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updateLinks="never" codeName="ThisWorkbook"/>
  <bookViews>
    <workbookView xWindow="-28920" yWindow="72" windowWidth="29040" windowHeight="15840" tabRatio="769" firstSheet="49" activeTab="58"/>
  </bookViews>
  <sheets>
    <sheet name="__snloffice" sheetId="339" state="veryHidden" r:id="rId1"/>
    <sheet name="1.1 Recommended Cap Structure" sheetId="413" r:id="rId2"/>
    <sheet name="1.2 Summary of CE Models" sheetId="13" r:id="rId3"/>
    <sheet name="2.4 OpCo Proxy Cap Str" sheetId="466" state="hidden" r:id="rId4"/>
    <sheet name="2.1 GasProxy CapStr Summary" sheetId="416" r:id="rId5"/>
    <sheet name="2.2 GasProxy CapStr" sheetId="417" r:id="rId6"/>
    <sheet name="11.3-4 WP" sheetId="418" state="hidden" r:id="rId7"/>
    <sheet name="2.3 OpCo Proxy Cap Str" sheetId="480" r:id="rId8"/>
    <sheet name="3.1 DCF Summary" sheetId="36" r:id="rId9"/>
    <sheet name="4.1 RP Summary" sheetId="31" r:id="rId10"/>
    <sheet name="4.2 Ind. PRPM Results" sheetId="55" r:id="rId11"/>
    <sheet name="4.3 Risk Premium Summary" sheetId="12" r:id="rId12"/>
    <sheet name="4.4 Moody's Bond Yields" sheetId="15" r:id="rId13"/>
    <sheet name="4.5 Bond Ratings" sheetId="18" r:id="rId14"/>
    <sheet name="4.6 Moody's_S&amp;P numbericl" sheetId="149" r:id="rId15"/>
    <sheet name="4.7 ERP Determination" sheetId="11" r:id="rId16"/>
    <sheet name="4.8-4.9 Beta Adjusted ERP" sheetId="10" r:id="rId17"/>
    <sheet name="4.12 S&amp;P RPM Study Returns" sheetId="14" r:id="rId18"/>
    <sheet name="4.13 Past Rate Cases Gas" sheetId="316" r:id="rId19"/>
    <sheet name="5.1 CAPM" sheetId="37" r:id="rId20"/>
    <sheet name="5.2 CAPM Notes" sheetId="150" r:id="rId21"/>
    <sheet name="6.1 Comp Earnings Criteria" sheetId="34" r:id="rId22"/>
    <sheet name="6.2 Proxy Group Equivalent" sheetId="52" r:id="rId23"/>
    <sheet name="7.1 CEM Summary" sheetId="58" r:id="rId24"/>
    <sheet name="7.2 CEM DCF" sheetId="39" r:id="rId25"/>
    <sheet name="7.3 CEM RPM Summary" sheetId="25" r:id="rId26"/>
    <sheet name="7.4 CEM RPM Bond Ratings" sheetId="38" r:id="rId27"/>
    <sheet name="7.5 CEM Beta Adjusted RP" sheetId="23" r:id="rId28"/>
    <sheet name="7.6 CEM CAPM Backup" sheetId="53" r:id="rId29"/>
    <sheet name="8.1 Equity Contributions" sheetId="420" r:id="rId30"/>
    <sheet name="9.1 Risk Adjustment" sheetId="253" r:id="rId31"/>
    <sheet name="9.2 Market Cap" sheetId="254" r:id="rId32"/>
    <sheet name="10.1 CAPEX to Net Plant" sheetId="482" r:id="rId33"/>
    <sheet name="Input" sheetId="118" r:id="rId34"/>
    <sheet name="Market Data" sheetId="121" r:id="rId35"/>
    <sheet name="Proxy Data Lookup" sheetId="119" r:id="rId36"/>
    <sheet name="Proxy Price Data" sheetId="122" r:id="rId37"/>
    <sheet name="Proxy Prices" sheetId="61" r:id="rId38"/>
    <sheet name="CEM Data Lookup" sheetId="120" r:id="rId39"/>
    <sheet name="CEM Price Data" sheetId="123" r:id="rId40"/>
    <sheet name="CEM PricesDivs" sheetId="97" r:id="rId41"/>
    <sheet name="MRP WP1" sheetId="7" r:id="rId42"/>
    <sheet name="MRP WP2" sheetId="100" r:id="rId43"/>
    <sheet name="MRP WP3" sheetId="152" r:id="rId44"/>
    <sheet name="ERP WP1" sheetId="101" r:id="rId45"/>
    <sheet name="ERP WP 2" sheetId="153" r:id="rId46"/>
    <sheet name="MRP ERP WP" sheetId="148" r:id="rId47"/>
    <sheet name="GASOpCo Cap Str WP" sheetId="478" r:id="rId48"/>
    <sheet name="PRPM WP1" sheetId="99" r:id="rId49"/>
    <sheet name="PRPM WP2" sheetId="483" r:id="rId50"/>
    <sheet name="PRPM WP3" sheetId="484" r:id="rId51"/>
    <sheet name="PRPM WP4" sheetId="485" r:id="rId52"/>
    <sheet name="PRPM WP5" sheetId="486" r:id="rId53"/>
    <sheet name="PRPM WP6" sheetId="487" r:id="rId54"/>
    <sheet name="PRPM WP7" sheetId="488" r:id="rId55"/>
    <sheet name="PRPM WP8" sheetId="489" r:id="rId56"/>
    <sheet name="PRPM WP9" sheetId="490" r:id="rId57"/>
    <sheet name="PRPM WP10" sheetId="491" r:id="rId58"/>
    <sheet name="PRPM WP11" sheetId="492" r:id="rId59"/>
    <sheet name="3. ATO" sheetId="358" r:id="rId60"/>
    <sheet name="3. NI" sheetId="473" r:id="rId61"/>
    <sheet name="3. NJR" sheetId="359" r:id="rId62"/>
    <sheet name="3. NWN" sheetId="360" r:id="rId63"/>
    <sheet name="3. OGS" sheetId="361" r:id="rId64"/>
    <sheet name="3. SR" sheetId="363" r:id="rId65"/>
  </sheets>
  <definedNames>
    <definedName name="\0">#N/A</definedName>
    <definedName name="\22" localSheetId="32">#REF!</definedName>
    <definedName name="\22" localSheetId="6">#REF!</definedName>
    <definedName name="\22" localSheetId="3">#REF!</definedName>
    <definedName name="\22">#REF!</definedName>
    <definedName name="\A" localSheetId="32">#REF!</definedName>
    <definedName name="\A" localSheetId="6">#REF!</definedName>
    <definedName name="\A">#REF!</definedName>
    <definedName name="\c" localSheetId="32">#REF!</definedName>
    <definedName name="\c" localSheetId="3">#REF!</definedName>
    <definedName name="\c">#REF!</definedName>
    <definedName name="\d">#REF!</definedName>
    <definedName name="\e" localSheetId="3">#REF!</definedName>
    <definedName name="\e">#REF!</definedName>
    <definedName name="\f" localSheetId="3">#REF!</definedName>
    <definedName name="\f">#REF!</definedName>
    <definedName name="\I" localSheetId="6">#REF!</definedName>
    <definedName name="\I" localSheetId="3">#REF!</definedName>
    <definedName name="\I">#REF!</definedName>
    <definedName name="\M" localSheetId="3">#REF!</definedName>
    <definedName name="\M">#REF!</definedName>
    <definedName name="\N" localSheetId="3">#REF!</definedName>
    <definedName name="\N">#REF!</definedName>
    <definedName name="\O" localSheetId="3">#REF!</definedName>
    <definedName name="\O">#REF!</definedName>
    <definedName name="\P" localSheetId="3">#REF!</definedName>
    <definedName name="\P">#REF!</definedName>
    <definedName name="\Q" localSheetId="3">#REF!</definedName>
    <definedName name="\Q">#REF!</definedName>
    <definedName name="\R" localSheetId="3">#REF!</definedName>
    <definedName name="\R">#REF!</definedName>
    <definedName name="\S" localSheetId="3">#REF!</definedName>
    <definedName name="\S">#REF!</definedName>
    <definedName name="\T" localSheetId="3">#REF!</definedName>
    <definedName name="\T">#REF!</definedName>
    <definedName name="\U" localSheetId="3">#REF!</definedName>
    <definedName name="\U">#REF!</definedName>
    <definedName name="\v" localSheetId="3">#REF!</definedName>
    <definedName name="\v">#REF!</definedName>
    <definedName name="\X" localSheetId="3">#REF!</definedName>
    <definedName name="\X">#REF!</definedName>
    <definedName name="\z" localSheetId="3">#REF!</definedName>
    <definedName name="\z">#REF!</definedName>
    <definedName name="__________bb" localSheetId="1" hidden="1">#REF!</definedName>
    <definedName name="__________bb" localSheetId="5" hidden="1">#REF!</definedName>
    <definedName name="__________bb" localSheetId="3" hidden="1">#REF!</definedName>
    <definedName name="__________bb" localSheetId="29" hidden="1">#REF!</definedName>
    <definedName name="__________bb" hidden="1">#REF!</definedName>
    <definedName name="__________sort" localSheetId="1" hidden="1">#REF!</definedName>
    <definedName name="__________sort" localSheetId="5" hidden="1">#REF!</definedName>
    <definedName name="__________sort" localSheetId="3" hidden="1">#REF!</definedName>
    <definedName name="__________sort" localSheetId="29" hidden="1">#REF!</definedName>
    <definedName name="__________sort" hidden="1">#REF!</definedName>
    <definedName name="_________bb" localSheetId="1" hidden="1">#REF!</definedName>
    <definedName name="_________bb" localSheetId="5" hidden="1">#REF!</definedName>
    <definedName name="_________bb" localSheetId="3" hidden="1">#REF!</definedName>
    <definedName name="_________bb" localSheetId="29" hidden="1">#REF!</definedName>
    <definedName name="_________bb" hidden="1">#REF!</definedName>
    <definedName name="_________Sort" localSheetId="1" hidden="1">#REF!</definedName>
    <definedName name="_________Sort" localSheetId="5" hidden="1">#REF!</definedName>
    <definedName name="_________Sort" localSheetId="3" hidden="1">#REF!</definedName>
    <definedName name="_________Sort" localSheetId="29" hidden="1">#REF!</definedName>
    <definedName name="_________Sort" hidden="1">#REF!</definedName>
    <definedName name="_______kay1" localSheetId="1" hidden="1">#REF!</definedName>
    <definedName name="_______kay1" localSheetId="5" hidden="1">#REF!</definedName>
    <definedName name="_______kay1" localSheetId="3" hidden="1">#REF!</definedName>
    <definedName name="_______kay1" localSheetId="29" hidden="1">#REF!</definedName>
    <definedName name="_______kay1" hidden="1">#REF!</definedName>
    <definedName name="_______ke1" localSheetId="1" hidden="1">#REF!</definedName>
    <definedName name="_______ke1" localSheetId="5" hidden="1">#REF!</definedName>
    <definedName name="_______ke1" localSheetId="3" hidden="1">#REF!</definedName>
    <definedName name="_______ke1" localSheetId="29" hidden="1">#REF!</definedName>
    <definedName name="_______ke1" hidden="1">#REF!</definedName>
    <definedName name="_______key1" localSheetId="1" hidden="1">#REF!</definedName>
    <definedName name="_______key1" localSheetId="5" hidden="1">#REF!</definedName>
    <definedName name="_______key1" localSheetId="3" hidden="1">#REF!</definedName>
    <definedName name="_______key1" localSheetId="29" hidden="1">#REF!</definedName>
    <definedName name="_______key1" hidden="1">#REF!</definedName>
    <definedName name="_______sort" localSheetId="1" hidden="1">#REF!</definedName>
    <definedName name="_______sort" localSheetId="5" hidden="1">#REF!</definedName>
    <definedName name="_______sort" localSheetId="3" hidden="1">#REF!</definedName>
    <definedName name="_______sort" localSheetId="29" hidden="1">#REF!</definedName>
    <definedName name="_______sort" hidden="1">#REF!</definedName>
    <definedName name="______key1" localSheetId="1" hidden="1">#REF!</definedName>
    <definedName name="______key1" localSheetId="5" hidden="1">#REF!</definedName>
    <definedName name="______key1" localSheetId="3" hidden="1">#REF!</definedName>
    <definedName name="______key1" localSheetId="29" hidden="1">#REF!</definedName>
    <definedName name="______key1" hidden="1">#REF!</definedName>
    <definedName name="______sort1" localSheetId="1" hidden="1">#REF!</definedName>
    <definedName name="______sort1" localSheetId="5" hidden="1">#REF!</definedName>
    <definedName name="______sort1" localSheetId="3" hidden="1">#REF!</definedName>
    <definedName name="______sort1" localSheetId="29" hidden="1">#REF!</definedName>
    <definedName name="______sort1" hidden="1">#REF!</definedName>
    <definedName name="_____BB" localSheetId="1" hidden="1">#REF!</definedName>
    <definedName name="_____BB" localSheetId="5" hidden="1">#REF!</definedName>
    <definedName name="_____BB" localSheetId="3" hidden="1">#REF!</definedName>
    <definedName name="_____BB" localSheetId="29" hidden="1">#REF!</definedName>
    <definedName name="_____BB" hidden="1">#REF!</definedName>
    <definedName name="_____Sort" localSheetId="1" hidden="1">#REF!</definedName>
    <definedName name="_____Sort" localSheetId="5" hidden="1">#REF!</definedName>
    <definedName name="_____Sort" localSheetId="3" hidden="1">#REF!</definedName>
    <definedName name="_____Sort" localSheetId="29" hidden="1">#REF!</definedName>
    <definedName name="_____Sort" hidden="1">#REF!</definedName>
    <definedName name="____sort" localSheetId="1" hidden="1">#REF!</definedName>
    <definedName name="____sort" localSheetId="5" hidden="1">#REF!</definedName>
    <definedName name="____sort" localSheetId="3" hidden="1">#REF!</definedName>
    <definedName name="____sort" localSheetId="29" hidden="1">#REF!</definedName>
    <definedName name="____sort" hidden="1">#REF!</definedName>
    <definedName name="___bb" localSheetId="1" hidden="1">#REF!</definedName>
    <definedName name="___bb" localSheetId="5" hidden="1">#REF!</definedName>
    <definedName name="___bb" localSheetId="3" hidden="1">#REF!</definedName>
    <definedName name="___bb" localSheetId="29" hidden="1">#REF!</definedName>
    <definedName name="___bb" hidden="1">#REF!</definedName>
    <definedName name="___Key1" localSheetId="1" hidden="1">#REF!</definedName>
    <definedName name="___Key1" localSheetId="5" hidden="1">#REF!</definedName>
    <definedName name="___Key1" localSheetId="3" hidden="1">#REF!</definedName>
    <definedName name="___Key1" localSheetId="29" hidden="1">#REF!</definedName>
    <definedName name="___Key1" hidden="1">#REF!</definedName>
    <definedName name="___Sort" localSheetId="1" hidden="1">#REF!</definedName>
    <definedName name="___Sort" localSheetId="5" hidden="1">#REF!</definedName>
    <definedName name="___Sort" localSheetId="3" hidden="1">#REF!</definedName>
    <definedName name="___Sort" localSheetId="29" hidden="1">#REF!</definedName>
    <definedName name="___Sort" hidden="1">#REF!</definedName>
    <definedName name="__123Graph_A" localSheetId="1" hidden="1">#REF!</definedName>
    <definedName name="__123Graph_A" localSheetId="6" hidden="1">#REF!</definedName>
    <definedName name="__123Graph_A" localSheetId="5" hidden="1">#REF!</definedName>
    <definedName name="__123Graph_A" localSheetId="7" hidden="1">#REF!</definedName>
    <definedName name="__123Graph_A" localSheetId="29" hidden="1">#REF!</definedName>
    <definedName name="__123Graph_A" localSheetId="47" hidden="1">#REF!</definedName>
    <definedName name="__123Graph_A" hidden="1">#REF!</definedName>
    <definedName name="__123Graph_Achart" hidden="1">#REF!</definedName>
    <definedName name="__123Graph_ACurrent" localSheetId="1" hidden="1">#REF!</definedName>
    <definedName name="__123Graph_ACurrent" localSheetId="6" hidden="1">#REF!</definedName>
    <definedName name="__123Graph_ACurrent" localSheetId="7" hidden="1">#REF!</definedName>
    <definedName name="__123Graph_ACurrent" localSheetId="29" hidden="1">#REF!</definedName>
    <definedName name="__123Graph_ACurrent" localSheetId="47" hidden="1">#REF!</definedName>
    <definedName name="__123Graph_ACurrent" hidden="1">#REF!</definedName>
    <definedName name="__123Graph_AHOBKEN4H" localSheetId="1" hidden="1">#REF!</definedName>
    <definedName name="__123Graph_AHOBKEN4H" localSheetId="5" hidden="1">#REF!</definedName>
    <definedName name="__123Graph_AHOBKEN4H" localSheetId="3" hidden="1">#REF!</definedName>
    <definedName name="__123Graph_AHOBKEN4H" localSheetId="29" hidden="1">#REF!</definedName>
    <definedName name="__123Graph_AHOBKEN4H" hidden="1">#REF!</definedName>
    <definedName name="__123Graph_AJCCASH4" localSheetId="1" hidden="1">#REF!</definedName>
    <definedName name="__123Graph_AJCCASH4" localSheetId="5" hidden="1">#REF!</definedName>
    <definedName name="__123Graph_AJCCASH4" localSheetId="3" hidden="1">#REF!</definedName>
    <definedName name="__123Graph_AJCCASH4" localSheetId="29" hidden="1">#REF!</definedName>
    <definedName name="__123Graph_AJCCASH4" hidden="1">#REF!</definedName>
    <definedName name="__123Graph_AJCCASH5" localSheetId="1" hidden="1">#REF!</definedName>
    <definedName name="__123Graph_AJCCASH5" localSheetId="5" hidden="1">#REF!</definedName>
    <definedName name="__123Graph_AJCCASH5" localSheetId="3" hidden="1">#REF!</definedName>
    <definedName name="__123Graph_AJCCASH5" localSheetId="29" hidden="1">#REF!</definedName>
    <definedName name="__123Graph_AJCCASH5" hidden="1">#REF!</definedName>
    <definedName name="__123Graph_AJCCASH6" localSheetId="1" hidden="1">#REF!</definedName>
    <definedName name="__123Graph_AJCCASH6" localSheetId="5" hidden="1">#REF!</definedName>
    <definedName name="__123Graph_AJCCASH6" localSheetId="3" hidden="1">#REF!</definedName>
    <definedName name="__123Graph_AJCCASH6" hidden="1">#REF!</definedName>
    <definedName name="__123Graph_AJCCASH7" localSheetId="1" hidden="1">#REF!</definedName>
    <definedName name="__123Graph_AJCCASH7" localSheetId="5" hidden="1">#REF!</definedName>
    <definedName name="__123Graph_AJCCASH7" localSheetId="3" hidden="1">#REF!</definedName>
    <definedName name="__123Graph_AJCCASH7" hidden="1">#REF!</definedName>
    <definedName name="__123Graph_B" localSheetId="1" hidden="1">#REF!</definedName>
    <definedName name="__123Graph_B" localSheetId="6" hidden="1">#REF!</definedName>
    <definedName name="__123Graph_B" localSheetId="5" hidden="1">#REF!</definedName>
    <definedName name="__123Graph_B" localSheetId="7" hidden="1">#REF!</definedName>
    <definedName name="__123Graph_B" localSheetId="29" hidden="1">#REF!</definedName>
    <definedName name="__123Graph_B" localSheetId="47" hidden="1">#REF!</definedName>
    <definedName name="__123Graph_B" hidden="1">#REF!</definedName>
    <definedName name="__123Graph_BCurrent" localSheetId="1" hidden="1">#REF!</definedName>
    <definedName name="__123Graph_BCurrent" localSheetId="6" hidden="1">#REF!</definedName>
    <definedName name="__123Graph_BCurrent" localSheetId="5" hidden="1">#REF!</definedName>
    <definedName name="__123Graph_BCurrent" localSheetId="7" hidden="1">#REF!</definedName>
    <definedName name="__123Graph_BCurrent" localSheetId="29" hidden="1">#REF!</definedName>
    <definedName name="__123Graph_BCurrent" localSheetId="47" hidden="1">#REF!</definedName>
    <definedName name="__123Graph_BCurrent" hidden="1">#REF!</definedName>
    <definedName name="__123Graph_BHOBKEN4H" localSheetId="1" hidden="1">#REF!</definedName>
    <definedName name="__123Graph_BHOBKEN4H" localSheetId="5" hidden="1">#REF!</definedName>
    <definedName name="__123Graph_BHOBKEN4H" localSheetId="3" hidden="1">#REF!</definedName>
    <definedName name="__123Graph_BHOBKEN4H" localSheetId="29" hidden="1">#REF!</definedName>
    <definedName name="__123Graph_BHOBKEN4H" hidden="1">#REF!</definedName>
    <definedName name="__123Graph_BHOBOKEN" localSheetId="1" hidden="1">#REF!</definedName>
    <definedName name="__123Graph_BHOBOKEN" localSheetId="5" hidden="1">#REF!</definedName>
    <definedName name="__123Graph_BHOBOKEN" localSheetId="3" hidden="1">#REF!</definedName>
    <definedName name="__123Graph_BHOBOKEN" localSheetId="29" hidden="1">#REF!</definedName>
    <definedName name="__123Graph_BHOBOKEN" hidden="1">#REF!</definedName>
    <definedName name="__123Graph_BJCCASH4" localSheetId="1" hidden="1">#REF!</definedName>
    <definedName name="__123Graph_BJCCASH4" localSheetId="5" hidden="1">#REF!</definedName>
    <definedName name="__123Graph_BJCCASH4" localSheetId="3" hidden="1">#REF!</definedName>
    <definedName name="__123Graph_BJCCASH4" localSheetId="29" hidden="1">#REF!</definedName>
    <definedName name="__123Graph_BJCCASH4" hidden="1">#REF!</definedName>
    <definedName name="__123Graph_BJCCASH5" localSheetId="1" hidden="1">#REF!</definedName>
    <definedName name="__123Graph_BJCCASH5" localSheetId="5" hidden="1">#REF!</definedName>
    <definedName name="__123Graph_BJCCASH5" localSheetId="3" hidden="1">#REF!</definedName>
    <definedName name="__123Graph_BJCCASH5" hidden="1">#REF!</definedName>
    <definedName name="__123Graph_BJCCASH6" localSheetId="1" hidden="1">#REF!</definedName>
    <definedName name="__123Graph_BJCCASH6" localSheetId="5" hidden="1">#REF!</definedName>
    <definedName name="__123Graph_BJCCASH6" localSheetId="3" hidden="1">#REF!</definedName>
    <definedName name="__123Graph_BJCCASH6" hidden="1">#REF!</definedName>
    <definedName name="__123Graph_BJCCASH7" localSheetId="1" hidden="1">#REF!</definedName>
    <definedName name="__123Graph_BJCCASH7" localSheetId="5" hidden="1">#REF!</definedName>
    <definedName name="__123Graph_BJCCASH7" localSheetId="3" hidden="1">#REF!</definedName>
    <definedName name="__123Graph_BJCCASH7" hidden="1">#REF!</definedName>
    <definedName name="__123Graph_C" localSheetId="1" hidden="1">#REF!</definedName>
    <definedName name="__123Graph_C" localSheetId="5" hidden="1">#REF!</definedName>
    <definedName name="__123Graph_C" localSheetId="3" hidden="1">#REF!</definedName>
    <definedName name="__123Graph_C" localSheetId="29" hidden="1">#REF!</definedName>
    <definedName name="__123Graph_C" hidden="1">#REF!</definedName>
    <definedName name="__123Graph_D" localSheetId="1" hidden="1">#REF!</definedName>
    <definedName name="__123Graph_D" localSheetId="6" hidden="1">#REF!</definedName>
    <definedName name="__123Graph_D" localSheetId="5" hidden="1">#REF!</definedName>
    <definedName name="__123Graph_D" localSheetId="7" hidden="1">#REF!</definedName>
    <definedName name="__123Graph_D" localSheetId="29" hidden="1">#REF!</definedName>
    <definedName name="__123Graph_D" localSheetId="47" hidden="1">#REF!</definedName>
    <definedName name="__123Graph_D" hidden="1">#REF!</definedName>
    <definedName name="__123Graph_E" localSheetId="1" hidden="1">#REF!</definedName>
    <definedName name="__123Graph_E" localSheetId="5" hidden="1">#REF!</definedName>
    <definedName name="__123Graph_E" localSheetId="29" hidden="1">#REF!</definedName>
    <definedName name="__123Graph_E" hidden="1">#REF!</definedName>
    <definedName name="__123Graph_ECURRENT" hidden="1">#REF!</definedName>
    <definedName name="__123Graph_F" localSheetId="1" hidden="1">#REF!</definedName>
    <definedName name="__123Graph_F" hidden="1">#REF!</definedName>
    <definedName name="__123Graph_LBL_A" localSheetId="1" hidden="1">#REF!</definedName>
    <definedName name="__123Graph_LBL_A" hidden="1">#REF!</definedName>
    <definedName name="__123Graph_X" localSheetId="1" hidden="1">#REF!</definedName>
    <definedName name="__123Graph_X" localSheetId="5" hidden="1">#REF!</definedName>
    <definedName name="__123Graph_X" localSheetId="3" hidden="1">#REF!</definedName>
    <definedName name="__123Graph_X" localSheetId="29" hidden="1">#REF!</definedName>
    <definedName name="__123Graph_X" hidden="1">#REF!</definedName>
    <definedName name="__123Graph_XCHART" hidden="1">#REF!</definedName>
    <definedName name="__123Graph_XCurrent" localSheetId="1" hidden="1">#REF!</definedName>
    <definedName name="__123Graph_XCurrent" localSheetId="6" hidden="1">#REF!</definedName>
    <definedName name="__123Graph_XCurrent" localSheetId="7" hidden="1">#REF!</definedName>
    <definedName name="__123Graph_XCurrent" localSheetId="29" hidden="1">#REF!</definedName>
    <definedName name="__123Graph_XCurrent" localSheetId="47" hidden="1">#REF!</definedName>
    <definedName name="__123Graph_XCurrent" hidden="1">#REF!</definedName>
    <definedName name="__123Graph_XJCCASH4" localSheetId="1" hidden="1">#REF!</definedName>
    <definedName name="__123Graph_XJCCASH4" localSheetId="5" hidden="1">#REF!</definedName>
    <definedName name="__123Graph_XJCCASH4" localSheetId="3" hidden="1">#REF!</definedName>
    <definedName name="__123Graph_XJCCASH4" localSheetId="29" hidden="1">#REF!</definedName>
    <definedName name="__123Graph_XJCCASH4" hidden="1">#REF!</definedName>
    <definedName name="__123Graph_XJCCASH5" localSheetId="1" hidden="1">#REF!</definedName>
    <definedName name="__123Graph_XJCCASH5" localSheetId="5" hidden="1">#REF!</definedName>
    <definedName name="__123Graph_XJCCASH5" localSheetId="3" hidden="1">#REF!</definedName>
    <definedName name="__123Graph_XJCCASH5" localSheetId="29" hidden="1">#REF!</definedName>
    <definedName name="__123Graph_XJCCASH5" hidden="1">#REF!</definedName>
    <definedName name="__123Graph_XJCCASH6" localSheetId="1" hidden="1">#REF!</definedName>
    <definedName name="__123Graph_XJCCASH6" localSheetId="5" hidden="1">#REF!</definedName>
    <definedName name="__123Graph_XJCCASH6" localSheetId="3" hidden="1">#REF!</definedName>
    <definedName name="__123Graph_XJCCASH6" localSheetId="29" hidden="1">#REF!</definedName>
    <definedName name="__123Graph_XJCCASH6" hidden="1">#REF!</definedName>
    <definedName name="__123Graph_XJCCASH7" localSheetId="1" hidden="1">#REF!</definedName>
    <definedName name="__123Graph_XJCCASH7" localSheetId="5" hidden="1">#REF!</definedName>
    <definedName name="__123Graph_XJCCASH7" localSheetId="3" hidden="1">#REF!</definedName>
    <definedName name="__123Graph_XJCCASH7" hidden="1">#REF!</definedName>
    <definedName name="__BB" localSheetId="1" hidden="1">#REF!</definedName>
    <definedName name="__BB" localSheetId="5" hidden="1">#REF!</definedName>
    <definedName name="__BB" localSheetId="3" hidden="1">#REF!</definedName>
    <definedName name="__BB" localSheetId="29" hidden="1">#REF!</definedName>
    <definedName name="__BB" hidden="1">#REF!</definedName>
    <definedName name="__Div02">#REF!</definedName>
    <definedName name="__div10" localSheetId="6">#REF!</definedName>
    <definedName name="__div10" localSheetId="3">#REF!</definedName>
    <definedName name="__div10">#REF!</definedName>
    <definedName name="__DIV12">#REF!</definedName>
    <definedName name="__div21" localSheetId="6">#REF!</definedName>
    <definedName name="__div21" localSheetId="3">#REF!</definedName>
    <definedName name="__div21">#REF!</definedName>
    <definedName name="__EXH1" localSheetId="6">#REF!</definedName>
    <definedName name="__EXH1" localSheetId="3">#REF!</definedName>
    <definedName name="__EXH1">#REF!</definedName>
    <definedName name="__EXH6" localSheetId="3">#REF!</definedName>
    <definedName name="__EXH6">#REF!</definedName>
    <definedName name="__FDS_HYPERLINK_TOGGLE_STATE__" hidden="1">"ON"</definedName>
    <definedName name="__key1" localSheetId="1" hidden="1">#REF!</definedName>
    <definedName name="__key1" localSheetId="5" hidden="1">#REF!</definedName>
    <definedName name="__key1" localSheetId="3" hidden="1">#REF!</definedName>
    <definedName name="__key1" localSheetId="29" hidden="1">#REF!</definedName>
    <definedName name="__key1" hidden="1">#REF!</definedName>
    <definedName name="__pb1" localSheetId="3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4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2" localSheetId="3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3"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4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3" localSheetId="3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4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g1" localSheetId="6">#REF!</definedName>
    <definedName name="__pg1" localSheetId="3">#REF!</definedName>
    <definedName name="__pg1">#REF!</definedName>
    <definedName name="__pg2" localSheetId="6">#REF!</definedName>
    <definedName name="__pg2" localSheetId="3">#REF!</definedName>
    <definedName name="__pg2">#REF!</definedName>
    <definedName name="__Sort" localSheetId="1" hidden="1">#REF!</definedName>
    <definedName name="__Sort" localSheetId="5" hidden="1">#REF!</definedName>
    <definedName name="__Sort" localSheetId="3" hidden="1">#REF!</definedName>
    <definedName name="__Sort" localSheetId="29" hidden="1">#REF!</definedName>
    <definedName name="__Sort" hidden="1">#REF!</definedName>
    <definedName name="__Sort1" localSheetId="1" hidden="1">#REF!</definedName>
    <definedName name="__Sort1" localSheetId="5" hidden="1">#REF!</definedName>
    <definedName name="__Sort1" localSheetId="3" hidden="1">#REF!</definedName>
    <definedName name="__Sort1" localSheetId="29" hidden="1">#REF!</definedName>
    <definedName name="__Sort1" hidden="1">#REF!</definedName>
    <definedName name="__swe80">#REF!</definedName>
    <definedName name="__ucg80">#REF!</definedName>
    <definedName name="_1" localSheetId="1" hidden="1">{#N/A,#N/A,FALSE,"SCA";#N/A,#N/A,FALSE,"NCA";#N/A,#N/A,FALSE,"SAZ";#N/A,#N/A,FALSE,"CAZ";#N/A,#N/A,FALSE,"SNV";#N/A,#N/A,FALSE,"NNV";#N/A,#N/A,FALSE,"PP";#N/A,#N/A,FALSE,"SA"}</definedName>
    <definedName name="_1" localSheetId="32" hidden="1">{#N/A,#N/A,FALSE,"SCA";#N/A,#N/A,FALSE,"NCA";#N/A,#N/A,FALSE,"SAZ";#N/A,#N/A,FALSE,"CAZ";#N/A,#N/A,FALSE,"SNV";#N/A,#N/A,FALSE,"NNV";#N/A,#N/A,FALSE,"PP";#N/A,#N/A,FALSE,"SA"}</definedName>
    <definedName name="_1" localSheetId="6" hidden="1">{#N/A,#N/A,FALSE,"SCA";#N/A,#N/A,FALSE,"NCA";#N/A,#N/A,FALSE,"SAZ";#N/A,#N/A,FALSE,"CAZ";#N/A,#N/A,FALSE,"SNV";#N/A,#N/A,FALSE,"NNV";#N/A,#N/A,FALSE,"PP";#N/A,#N/A,FALSE,"SA"}</definedName>
    <definedName name="_1" localSheetId="4" hidden="1">{#N/A,#N/A,FALSE,"SCA";#N/A,#N/A,FALSE,"NCA";#N/A,#N/A,FALSE,"SAZ";#N/A,#N/A,FALSE,"CAZ";#N/A,#N/A,FALSE,"SNV";#N/A,#N/A,FALSE,"NNV";#N/A,#N/A,FALSE,"PP";#N/A,#N/A,FALSE,"SA"}</definedName>
    <definedName name="_1" localSheetId="5" hidden="1">{#N/A,#N/A,FALSE,"SCA";#N/A,#N/A,FALSE,"NCA";#N/A,#N/A,FALSE,"SAZ";#N/A,#N/A,FALSE,"CAZ";#N/A,#N/A,FALSE,"SNV";#N/A,#N/A,FALSE,"NNV";#N/A,#N/A,FALSE,"PP";#N/A,#N/A,FALSE,"SA"}</definedName>
    <definedName name="_1" localSheetId="7" hidden="1">{#N/A,#N/A,FALSE,"SCA";#N/A,#N/A,FALSE,"NCA";#N/A,#N/A,FALSE,"SAZ";#N/A,#N/A,FALSE,"CAZ";#N/A,#N/A,FALSE,"SNV";#N/A,#N/A,FALSE,"NNV";#N/A,#N/A,FALSE,"PP";#N/A,#N/A,FALSE,"SA"}</definedName>
    <definedName name="_1" localSheetId="3" hidden="1">{#N/A,#N/A,FALSE,"SCA";#N/A,#N/A,FALSE,"NCA";#N/A,#N/A,FALSE,"SAZ";#N/A,#N/A,FALSE,"CAZ";#N/A,#N/A,FALSE,"SNV";#N/A,#N/A,FALSE,"NNV";#N/A,#N/A,FALSE,"PP";#N/A,#N/A,FALSE,"SA"}</definedName>
    <definedName name="_1" localSheetId="47" hidden="1">{#N/A,#N/A,FALSE,"SCA";#N/A,#N/A,FALSE,"NCA";#N/A,#N/A,FALSE,"SAZ";#N/A,#N/A,FALSE,"CAZ";#N/A,#N/A,FALSE,"SNV";#N/A,#N/A,FALSE,"NNV";#N/A,#N/A,FALSE,"PP";#N/A,#N/A,FALSE,"SA"}</definedName>
    <definedName name="_1" hidden="1">{#N/A,#N/A,FALSE,"SCA";#N/A,#N/A,FALSE,"NCA";#N/A,#N/A,FALSE,"SAZ";#N/A,#N/A,FALSE,"CAZ";#N/A,#N/A,FALSE,"SNV";#N/A,#N/A,FALSE,"NNV";#N/A,#N/A,FALSE,"PP";#N/A,#N/A,FALSE,"SA"}</definedName>
    <definedName name="_1__123Graph_ACHART_1" localSheetId="6" hidden="1">#REF!</definedName>
    <definedName name="_1__123Graph_ACHART_1" localSheetId="7" hidden="1">#REF!</definedName>
    <definedName name="_1__123Graph_ACHART_1" localSheetId="29" hidden="1">#REF!</definedName>
    <definedName name="_1__123Graph_ACHART_1" localSheetId="47" hidden="1">#REF!</definedName>
    <definedName name="_1__123Graph_ACHART_1" hidden="1">#REF!</definedName>
    <definedName name="_1__123Graph_ACHART_10" hidden="1">#REF!</definedName>
    <definedName name="_1__123Graph_AYIELD_CURVES" localSheetId="1" hidden="1">#REF!</definedName>
    <definedName name="_1__123Graph_AYIELD_CURVES" localSheetId="6" hidden="1">#REF!</definedName>
    <definedName name="_1__123Graph_AYIELD_CURVES" localSheetId="7" hidden="1">#REF!</definedName>
    <definedName name="_1__123Graph_AYIELD_CURVES" localSheetId="29" hidden="1">#REF!</definedName>
    <definedName name="_1__123Graph_AYIELD_CURVES" localSheetId="47" hidden="1">#REF!</definedName>
    <definedName name="_1__123Graph_AYIELD_CURVES" hidden="1">#REF!</definedName>
    <definedName name="_1_0__123Grap" localSheetId="1" hidden="1">#REF!</definedName>
    <definedName name="_1_0__123Grap" localSheetId="6" hidden="1">#REF!</definedName>
    <definedName name="_1_0__123Grap" localSheetId="7" hidden="1">#REF!</definedName>
    <definedName name="_1_0__123Grap" localSheetId="29" hidden="1">#REF!</definedName>
    <definedName name="_1_0__123Grap" localSheetId="47" hidden="1">#REF!</definedName>
    <definedName name="_1_0__123Grap" hidden="1">#REF!</definedName>
    <definedName name="_10" localSheetId="1" hidden="1">{"FAC_SUMMARY",#N/A,FALSE,"Summaries"}</definedName>
    <definedName name="_10" localSheetId="32" hidden="1">{"FAC_SUMMARY",#N/A,FALSE,"Summaries"}</definedName>
    <definedName name="_10" localSheetId="6" hidden="1">{"FAC_SUMMARY",#N/A,FALSE,"Summaries"}</definedName>
    <definedName name="_10" localSheetId="4" hidden="1">{"FAC_SUMMARY",#N/A,FALSE,"Summaries"}</definedName>
    <definedName name="_10" localSheetId="5" hidden="1">{"FAC_SUMMARY",#N/A,FALSE,"Summaries"}</definedName>
    <definedName name="_10" localSheetId="7" hidden="1">{"FAC_SUMMARY",#N/A,FALSE,"Summaries"}</definedName>
    <definedName name="_10" localSheetId="3" hidden="1">{"FAC_SUMMARY",#N/A,FALSE,"Summaries"}</definedName>
    <definedName name="_10" localSheetId="47" hidden="1">{"FAC_SUMMARY",#N/A,FALSE,"Summaries"}</definedName>
    <definedName name="_10" hidden="1">{"FAC_SUMMARY",#N/A,FALSE,"Summaries"}</definedName>
    <definedName name="_10__123Graph_ACHART_5" hidden="1">#REF!</definedName>
    <definedName name="_10__123Graph_BCHART_17" hidden="1">#REF!</definedName>
    <definedName name="_10__123Graph_CCHART_6" localSheetId="1" hidden="1">#REF!</definedName>
    <definedName name="_10__123Graph_CCHART_6" localSheetId="6" hidden="1">#REF!</definedName>
    <definedName name="_10__123Graph_CCHART_6" localSheetId="7" hidden="1">#REF!</definedName>
    <definedName name="_10__123Graph_CCHART_6" localSheetId="29" hidden="1">#REF!</definedName>
    <definedName name="_10__123Graph_CCHART_6" localSheetId="47" hidden="1">#REF!</definedName>
    <definedName name="_10__123Graph_CCHART_6" hidden="1">#REF!</definedName>
    <definedName name="_100" localSheetId="1" hidden="1">{#N/A,#N/A,FALSE,"OTHERINPUTS";#N/A,#N/A,FALSE,"DITRATEINPUTS";#N/A,#N/A,FALSE,"SUPPLIEDADJINPUT";#N/A,#N/A,FALSE,"TIMINGDIFFINPUTS";#N/A,#N/A,FALSE,"BR&amp;SUPADJ."}</definedName>
    <definedName name="_100" localSheetId="32" hidden="1">{#N/A,#N/A,FALSE,"OTHERINPUTS";#N/A,#N/A,FALSE,"DITRATEINPUTS";#N/A,#N/A,FALSE,"SUPPLIEDADJINPUT";#N/A,#N/A,FALSE,"TIMINGDIFFINPUTS";#N/A,#N/A,FALSE,"BR&amp;SUPADJ."}</definedName>
    <definedName name="_100" localSheetId="6" hidden="1">{#N/A,#N/A,FALSE,"OTHERINPUTS";#N/A,#N/A,FALSE,"DITRATEINPUTS";#N/A,#N/A,FALSE,"SUPPLIEDADJINPUT";#N/A,#N/A,FALSE,"TIMINGDIFFINPUTS";#N/A,#N/A,FALSE,"BR&amp;SUPADJ."}</definedName>
    <definedName name="_100" localSheetId="4" hidden="1">{#N/A,#N/A,FALSE,"OTHERINPUTS";#N/A,#N/A,FALSE,"DITRATEINPUTS";#N/A,#N/A,FALSE,"SUPPLIEDADJINPUT";#N/A,#N/A,FALSE,"TIMINGDIFFINPUTS";#N/A,#N/A,FALSE,"BR&amp;SUPADJ."}</definedName>
    <definedName name="_100" localSheetId="5" hidden="1">{#N/A,#N/A,FALSE,"OTHERINPUTS";#N/A,#N/A,FALSE,"DITRATEINPUTS";#N/A,#N/A,FALSE,"SUPPLIEDADJINPUT";#N/A,#N/A,FALSE,"TIMINGDIFFINPUTS";#N/A,#N/A,FALSE,"BR&amp;SUPADJ."}</definedName>
    <definedName name="_100" localSheetId="7" hidden="1">{#N/A,#N/A,FALSE,"OTHERINPUTS";#N/A,#N/A,FALSE,"DITRATEINPUTS";#N/A,#N/A,FALSE,"SUPPLIEDADJINPUT";#N/A,#N/A,FALSE,"TIMINGDIFFINPUTS";#N/A,#N/A,FALSE,"BR&amp;SUPADJ."}</definedName>
    <definedName name="_100" localSheetId="3" hidden="1">{#N/A,#N/A,FALSE,"OTHERINPUTS";#N/A,#N/A,FALSE,"DITRATEINPUTS";#N/A,#N/A,FALSE,"SUPPLIEDADJINPUT";#N/A,#N/A,FALSE,"TIMINGDIFFINPUTS";#N/A,#N/A,FALSE,"BR&amp;SUPADJ."}</definedName>
    <definedName name="_100" localSheetId="47" hidden="1">{#N/A,#N/A,FALSE,"OTHERINPUTS";#N/A,#N/A,FALSE,"DITRATEINPUTS";#N/A,#N/A,FALSE,"SUPPLIEDADJINPUT";#N/A,#N/A,FALSE,"TIMINGDIFFINPUTS";#N/A,#N/A,FALSE,"BR&amp;SUPADJ."}</definedName>
    <definedName name="_100" hidden="1">{#N/A,#N/A,FALSE,"OTHERINPUTS";#N/A,#N/A,FALSE,"DITRATEINPUTS";#N/A,#N/A,FALSE,"SUPPLIEDADJINPUT";#N/A,#N/A,FALSE,"TIMINGDIFFINPUTS";#N/A,#N/A,FALSE,"BR&amp;SUPADJ."}</definedName>
    <definedName name="_101" localSheetId="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3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6"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4"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5"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3"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4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2" localSheetId="1" hidden="1">{#N/A,#N/A,FALSE,"RORMEMO";#N/A,#N/A,FALSE,"RORSUMMARY";#N/A,#N/A,FALSE,"RORDETAIL"}</definedName>
    <definedName name="_102" localSheetId="32" hidden="1">{#N/A,#N/A,FALSE,"RORMEMO";#N/A,#N/A,FALSE,"RORSUMMARY";#N/A,#N/A,FALSE,"RORDETAIL"}</definedName>
    <definedName name="_102" localSheetId="6" hidden="1">{#N/A,#N/A,FALSE,"RORMEMO";#N/A,#N/A,FALSE,"RORSUMMARY";#N/A,#N/A,FALSE,"RORDETAIL"}</definedName>
    <definedName name="_102" localSheetId="4" hidden="1">{#N/A,#N/A,FALSE,"RORMEMO";#N/A,#N/A,FALSE,"RORSUMMARY";#N/A,#N/A,FALSE,"RORDETAIL"}</definedName>
    <definedName name="_102" localSheetId="5" hidden="1">{#N/A,#N/A,FALSE,"RORMEMO";#N/A,#N/A,FALSE,"RORSUMMARY";#N/A,#N/A,FALSE,"RORDETAIL"}</definedName>
    <definedName name="_102" localSheetId="7" hidden="1">{#N/A,#N/A,FALSE,"RORMEMO";#N/A,#N/A,FALSE,"RORSUMMARY";#N/A,#N/A,FALSE,"RORDETAIL"}</definedName>
    <definedName name="_102" localSheetId="3" hidden="1">{#N/A,#N/A,FALSE,"RORMEMO";#N/A,#N/A,FALSE,"RORSUMMARY";#N/A,#N/A,FALSE,"RORDETAIL"}</definedName>
    <definedName name="_102" localSheetId="47" hidden="1">{#N/A,#N/A,FALSE,"RORMEMO";#N/A,#N/A,FALSE,"RORSUMMARY";#N/A,#N/A,FALSE,"RORDETAIL"}</definedName>
    <definedName name="_102" hidden="1">{#N/A,#N/A,FALSE,"RORMEMO";#N/A,#N/A,FALSE,"RORSUMMARY";#N/A,#N/A,FALSE,"RORDETAIL"}</definedName>
    <definedName name="_102__123Graph_ACHART_6" hidden="1">#REF!</definedName>
    <definedName name="_103" localSheetId="1" hidden="1">{#N/A,#N/A,FALSE,"GLDwnLoad"}</definedName>
    <definedName name="_103" localSheetId="32" hidden="1">{#N/A,#N/A,FALSE,"GLDwnLoad"}</definedName>
    <definedName name="_103" localSheetId="6" hidden="1">{#N/A,#N/A,FALSE,"GLDwnLoad"}</definedName>
    <definedName name="_103" localSheetId="4" hidden="1">{#N/A,#N/A,FALSE,"GLDwnLoad"}</definedName>
    <definedName name="_103" localSheetId="5" hidden="1">{#N/A,#N/A,FALSE,"GLDwnLoad"}</definedName>
    <definedName name="_103" localSheetId="7" hidden="1">{#N/A,#N/A,FALSE,"GLDwnLoad"}</definedName>
    <definedName name="_103" localSheetId="3" hidden="1">{#N/A,#N/A,FALSE,"GLDwnLoad"}</definedName>
    <definedName name="_103" localSheetId="47" hidden="1">{#N/A,#N/A,FALSE,"GLDwnLoad"}</definedName>
    <definedName name="_103" hidden="1">{#N/A,#N/A,FALSE,"GLDwnLoad"}</definedName>
    <definedName name="_104" localSheetId="1" hidden="1">{#N/A,#N/A,FALSE,"OTHERINPUTS";#N/A,#N/A,FALSE,"SUPPLIEDADJINPUT";#N/A,#N/A,FALSE,"BR&amp;SUPADJ."}</definedName>
    <definedName name="_104" localSheetId="32" hidden="1">{#N/A,#N/A,FALSE,"OTHERINPUTS";#N/A,#N/A,FALSE,"SUPPLIEDADJINPUT";#N/A,#N/A,FALSE,"BR&amp;SUPADJ."}</definedName>
    <definedName name="_104" localSheetId="6" hidden="1">{#N/A,#N/A,FALSE,"OTHERINPUTS";#N/A,#N/A,FALSE,"SUPPLIEDADJINPUT";#N/A,#N/A,FALSE,"BR&amp;SUPADJ."}</definedName>
    <definedName name="_104" localSheetId="4" hidden="1">{#N/A,#N/A,FALSE,"OTHERINPUTS";#N/A,#N/A,FALSE,"SUPPLIEDADJINPUT";#N/A,#N/A,FALSE,"BR&amp;SUPADJ."}</definedName>
    <definedName name="_104" localSheetId="5" hidden="1">{#N/A,#N/A,FALSE,"OTHERINPUTS";#N/A,#N/A,FALSE,"SUPPLIEDADJINPUT";#N/A,#N/A,FALSE,"BR&amp;SUPADJ."}</definedName>
    <definedName name="_104" localSheetId="7" hidden="1">{#N/A,#N/A,FALSE,"OTHERINPUTS";#N/A,#N/A,FALSE,"SUPPLIEDADJINPUT";#N/A,#N/A,FALSE,"BR&amp;SUPADJ."}</definedName>
    <definedName name="_104" localSheetId="3" hidden="1">{#N/A,#N/A,FALSE,"OTHERINPUTS";#N/A,#N/A,FALSE,"SUPPLIEDADJINPUT";#N/A,#N/A,FALSE,"BR&amp;SUPADJ."}</definedName>
    <definedName name="_104" localSheetId="47" hidden="1">{#N/A,#N/A,FALSE,"OTHERINPUTS";#N/A,#N/A,FALSE,"SUPPLIEDADJINPUT";#N/A,#N/A,FALSE,"BR&amp;SUPADJ."}</definedName>
    <definedName name="_104" hidden="1">{#N/A,#N/A,FALSE,"OTHERINPUTS";#N/A,#N/A,FALSE,"SUPPLIEDADJINPUT";#N/A,#N/A,FALSE,"BR&amp;SUPADJ."}</definedName>
    <definedName name="_105" localSheetId="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3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6"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4"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3"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4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__123Graph_ACHART_5" hidden="1">#REF!</definedName>
    <definedName name="_106" localSheetId="1" hidden="1">{"SPA_FAC",#N/A,FALSE,"OMPA SPA FAC"}</definedName>
    <definedName name="_106" localSheetId="32" hidden="1">{"SPA_FAC",#N/A,FALSE,"OMPA SPA FAC"}</definedName>
    <definedName name="_106" localSheetId="6" hidden="1">{"SPA_FAC",#N/A,FALSE,"OMPA SPA FAC"}</definedName>
    <definedName name="_106" localSheetId="4" hidden="1">{"SPA_FAC",#N/A,FALSE,"OMPA SPA FAC"}</definedName>
    <definedName name="_106" localSheetId="5" hidden="1">{"SPA_FAC",#N/A,FALSE,"OMPA SPA FAC"}</definedName>
    <definedName name="_106" localSheetId="7" hidden="1">{"SPA_FAC",#N/A,FALSE,"OMPA SPA FAC"}</definedName>
    <definedName name="_106" localSheetId="3" hidden="1">{"SPA_FAC",#N/A,FALSE,"OMPA SPA FAC"}</definedName>
    <definedName name="_106" localSheetId="47" hidden="1">{"SPA_FAC",#N/A,FALSE,"OMPA SPA FAC"}</definedName>
    <definedName name="_106" hidden="1">{"SPA_FAC",#N/A,FALSE,"OMPA SPA FAC"}</definedName>
    <definedName name="_107" localSheetId="1" hidden="1">{#N/A,#N/A,FALSE,"GLDwnLoad"}</definedName>
    <definedName name="_107" localSheetId="32" hidden="1">{#N/A,#N/A,FALSE,"GLDwnLoad"}</definedName>
    <definedName name="_107" localSheetId="6" hidden="1">{#N/A,#N/A,FALSE,"GLDwnLoad"}</definedName>
    <definedName name="_107" localSheetId="4" hidden="1">{#N/A,#N/A,FALSE,"GLDwnLoad"}</definedName>
    <definedName name="_107" localSheetId="5" hidden="1">{#N/A,#N/A,FALSE,"GLDwnLoad"}</definedName>
    <definedName name="_107" localSheetId="7" hidden="1">{#N/A,#N/A,FALSE,"GLDwnLoad"}</definedName>
    <definedName name="_107" localSheetId="3" hidden="1">{#N/A,#N/A,FALSE,"GLDwnLoad"}</definedName>
    <definedName name="_107" localSheetId="47" hidden="1">{#N/A,#N/A,FALSE,"GLDwnLoad"}</definedName>
    <definedName name="_107" hidden="1">{#N/A,#N/A,FALSE,"GLDwnLoad"}</definedName>
    <definedName name="_108"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3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4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__123Graph_ACHART_6" hidden="1">#REF!</definedName>
    <definedName name="_109"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3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4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1" localSheetId="1" hidden="1">{#N/A,#N/A,TRUE,"1990";#N/A,#N/A,TRUE,"1991";#N/A,#N/A,TRUE,"1992";#N/A,#N/A,TRUE,"1993"}</definedName>
    <definedName name="_11" localSheetId="32" hidden="1">{#N/A,#N/A,TRUE,"1990";#N/A,#N/A,TRUE,"1991";#N/A,#N/A,TRUE,"1992";#N/A,#N/A,TRUE,"1993"}</definedName>
    <definedName name="_11" localSheetId="6" hidden="1">{#N/A,#N/A,TRUE,"1990";#N/A,#N/A,TRUE,"1991";#N/A,#N/A,TRUE,"1992";#N/A,#N/A,TRUE,"1993"}</definedName>
    <definedName name="_11" localSheetId="4" hidden="1">{#N/A,#N/A,TRUE,"1990";#N/A,#N/A,TRUE,"1991";#N/A,#N/A,TRUE,"1992";#N/A,#N/A,TRUE,"1993"}</definedName>
    <definedName name="_11" localSheetId="5" hidden="1">{#N/A,#N/A,TRUE,"1990";#N/A,#N/A,TRUE,"1991";#N/A,#N/A,TRUE,"1992";#N/A,#N/A,TRUE,"1993"}</definedName>
    <definedName name="_11" localSheetId="7" hidden="1">{#N/A,#N/A,TRUE,"1990";#N/A,#N/A,TRUE,"1991";#N/A,#N/A,TRUE,"1992";#N/A,#N/A,TRUE,"1993"}</definedName>
    <definedName name="_11" localSheetId="3" hidden="1">{#N/A,#N/A,TRUE,"1990";#N/A,#N/A,TRUE,"1991";#N/A,#N/A,TRUE,"1992";#N/A,#N/A,TRUE,"1993"}</definedName>
    <definedName name="_11" localSheetId="47" hidden="1">{#N/A,#N/A,TRUE,"1990";#N/A,#N/A,TRUE,"1991";#N/A,#N/A,TRUE,"1992";#N/A,#N/A,TRUE,"1993"}</definedName>
    <definedName name="_11" hidden="1">{#N/A,#N/A,TRUE,"1990";#N/A,#N/A,TRUE,"1991";#N/A,#N/A,TRUE,"1992";#N/A,#N/A,TRUE,"1993"}</definedName>
    <definedName name="_11__123Graph_CCHART_10" hidden="1">#REF!</definedName>
    <definedName name="_11__123Graph_XCHART_1" localSheetId="6" hidden="1">#REF!</definedName>
    <definedName name="_11__123Graph_XCHART_1" localSheetId="7" hidden="1">#REF!</definedName>
    <definedName name="_11__123Graph_XCHART_1" localSheetId="29" hidden="1">#REF!</definedName>
    <definedName name="_11__123Graph_XCHART_1" localSheetId="47" hidden="1">#REF!</definedName>
    <definedName name="_11__123Graph_XCHART_1" hidden="1">#REF!</definedName>
    <definedName name="_110" localSheetId="1" hidden="1">{"print1",#N/A,FALSE,"D21CUSTS";"print2",#N/A,FALSE,"D21CUSTS";"print3",#N/A,FALSE,"D21CUSTS";"print4",#N/A,FALSE,"D21CUSTS"}</definedName>
    <definedName name="_110" localSheetId="32" hidden="1">{"print1",#N/A,FALSE,"D21CUSTS";"print2",#N/A,FALSE,"D21CUSTS";"print3",#N/A,FALSE,"D21CUSTS";"print4",#N/A,FALSE,"D21CUSTS"}</definedName>
    <definedName name="_110" localSheetId="6" hidden="1">{"print1",#N/A,FALSE,"D21CUSTS";"print2",#N/A,FALSE,"D21CUSTS";"print3",#N/A,FALSE,"D21CUSTS";"print4",#N/A,FALSE,"D21CUSTS"}</definedName>
    <definedName name="_110" localSheetId="4" hidden="1">{"print1",#N/A,FALSE,"D21CUSTS";"print2",#N/A,FALSE,"D21CUSTS";"print3",#N/A,FALSE,"D21CUSTS";"print4",#N/A,FALSE,"D21CUSTS"}</definedName>
    <definedName name="_110" localSheetId="5" hidden="1">{"print1",#N/A,FALSE,"D21CUSTS";"print2",#N/A,FALSE,"D21CUSTS";"print3",#N/A,FALSE,"D21CUSTS";"print4",#N/A,FALSE,"D21CUSTS"}</definedName>
    <definedName name="_110" localSheetId="7" hidden="1">{"print1",#N/A,FALSE,"D21CUSTS";"print2",#N/A,FALSE,"D21CUSTS";"print3",#N/A,FALSE,"D21CUSTS";"print4",#N/A,FALSE,"D21CUSTS"}</definedName>
    <definedName name="_110" localSheetId="3" hidden="1">{"print1",#N/A,FALSE,"D21CUSTS";"print2",#N/A,FALSE,"D21CUSTS";"print3",#N/A,FALSE,"D21CUSTS";"print4",#N/A,FALSE,"D21CUSTS"}</definedName>
    <definedName name="_110" localSheetId="47" hidden="1">{"print1",#N/A,FALSE,"D21CUSTS";"print2",#N/A,FALSE,"D21CUSTS";"print3",#N/A,FALSE,"D21CUSTS";"print4",#N/A,FALSE,"D21CUSTS"}</definedName>
    <definedName name="_110" hidden="1">{"print1",#N/A,FALSE,"D21CUSTS";"print2",#N/A,FALSE,"D21CUSTS";"print3",#N/A,FALSE,"D21CUSTS";"print4",#N/A,FALSE,"D21CUSTS"}</definedName>
    <definedName name="_111" localSheetId="1" hidden="1">{"Fuel by Type",#N/A,FALSE,"00whfuel";"Fuel by Account",#N/A,FALSE,"00whfuel";"NTEC",#N/A,FALSE,"00whfuel";"Hope",#N/A,FALSE,"00whfuel";"Net Energy Load",#N/A,FALSE,"00whfuel";"Purchased Power",#N/A,FALSE,"00whfuel"}</definedName>
    <definedName name="_111" localSheetId="32" hidden="1">{"Fuel by Type",#N/A,FALSE,"00whfuel";"Fuel by Account",#N/A,FALSE,"00whfuel";"NTEC",#N/A,FALSE,"00whfuel";"Hope",#N/A,FALSE,"00whfuel";"Net Energy Load",#N/A,FALSE,"00whfuel";"Purchased Power",#N/A,FALSE,"00whfuel"}</definedName>
    <definedName name="_111" localSheetId="6" hidden="1">{"Fuel by Type",#N/A,FALSE,"00whfuel";"Fuel by Account",#N/A,FALSE,"00whfuel";"NTEC",#N/A,FALSE,"00whfuel";"Hope",#N/A,FALSE,"00whfuel";"Net Energy Load",#N/A,FALSE,"00whfuel";"Purchased Power",#N/A,FALSE,"00whfuel"}</definedName>
    <definedName name="_111" localSheetId="4" hidden="1">{"Fuel by Type",#N/A,FALSE,"00whfuel";"Fuel by Account",#N/A,FALSE,"00whfuel";"NTEC",#N/A,FALSE,"00whfuel";"Hope",#N/A,FALSE,"00whfuel";"Net Energy Load",#N/A,FALSE,"00whfuel";"Purchased Power",#N/A,FALSE,"00whfuel"}</definedName>
    <definedName name="_111" localSheetId="5" hidden="1">{"Fuel by Type",#N/A,FALSE,"00whfuel";"Fuel by Account",#N/A,FALSE,"00whfuel";"NTEC",#N/A,FALSE,"00whfuel";"Hope",#N/A,FALSE,"00whfuel";"Net Energy Load",#N/A,FALSE,"00whfuel";"Purchased Power",#N/A,FALSE,"00whfuel"}</definedName>
    <definedName name="_111" localSheetId="7" hidden="1">{"Fuel by Type",#N/A,FALSE,"00whfuel";"Fuel by Account",#N/A,FALSE,"00whfuel";"NTEC",#N/A,FALSE,"00whfuel";"Hope",#N/A,FALSE,"00whfuel";"Net Energy Load",#N/A,FALSE,"00whfuel";"Purchased Power",#N/A,FALSE,"00whfuel"}</definedName>
    <definedName name="_111" localSheetId="3" hidden="1">{"Fuel by Type",#N/A,FALSE,"00whfuel";"Fuel by Account",#N/A,FALSE,"00whfuel";"NTEC",#N/A,FALSE,"00whfuel";"Hope",#N/A,FALSE,"00whfuel";"Net Energy Load",#N/A,FALSE,"00whfuel";"Purchased Power",#N/A,FALSE,"00whfuel"}</definedName>
    <definedName name="_111" localSheetId="47" hidden="1">{"Fuel by Type",#N/A,FALSE,"00whfuel";"Fuel by Account",#N/A,FALSE,"00whfuel";"NTEC",#N/A,FALSE,"00whfuel";"Hope",#N/A,FALSE,"00whfuel";"Net Energy Load",#N/A,FALSE,"00whfuel";"Purchased Power",#N/A,FALSE,"00whfuel"}</definedName>
    <definedName name="_111" hidden="1">{"Fuel by Type",#N/A,FALSE,"00whfuel";"Fuel by Account",#N/A,FALSE,"00whfuel";"NTEC",#N/A,FALSE,"00whfuel";"Hope",#N/A,FALSE,"00whfuel";"Net Energy Load",#N/A,FALSE,"00whfuel";"Purchased Power",#N/A,FALSE,"00whfuel"}</definedName>
    <definedName name="_112" localSheetId="1" hidden="1">{"WEATHER_CUSTOMERS",#N/A,FALSE,"Ok_Fuel&amp;Rev"}</definedName>
    <definedName name="_112" localSheetId="32" hidden="1">{"WEATHER_CUSTOMERS",#N/A,FALSE,"Ok_Fuel&amp;Rev"}</definedName>
    <definedName name="_112" localSheetId="6" hidden="1">{"WEATHER_CUSTOMERS",#N/A,FALSE,"Ok_Fuel&amp;Rev"}</definedName>
    <definedName name="_112" localSheetId="4" hidden="1">{"WEATHER_CUSTOMERS",#N/A,FALSE,"Ok_Fuel&amp;Rev"}</definedName>
    <definedName name="_112" localSheetId="5" hidden="1">{"WEATHER_CUSTOMERS",#N/A,FALSE,"Ok_Fuel&amp;Rev"}</definedName>
    <definedName name="_112" localSheetId="7" hidden="1">{"WEATHER_CUSTOMERS",#N/A,FALSE,"Ok_Fuel&amp;Rev"}</definedName>
    <definedName name="_112" localSheetId="3" hidden="1">{"WEATHER_CUSTOMERS",#N/A,FALSE,"Ok_Fuel&amp;Rev"}</definedName>
    <definedName name="_112" localSheetId="47" hidden="1">{"WEATHER_CUSTOMERS",#N/A,FALSE,"Ok_Fuel&amp;Rev"}</definedName>
    <definedName name="_112" hidden="1">{"WEATHER_CUSTOMERS",#N/A,FALSE,"Ok_Fuel&amp;Rev"}</definedName>
    <definedName name="_113" localSheetId="1" hidden="1">{#N/A,#N/A,FALSE,"GLDwnLoad"}</definedName>
    <definedName name="_113" localSheetId="32" hidden="1">{#N/A,#N/A,FALSE,"GLDwnLoad"}</definedName>
    <definedName name="_113" localSheetId="6" hidden="1">{#N/A,#N/A,FALSE,"GLDwnLoad"}</definedName>
    <definedName name="_113" localSheetId="4" hidden="1">{#N/A,#N/A,FALSE,"GLDwnLoad"}</definedName>
    <definedName name="_113" localSheetId="5" hidden="1">{#N/A,#N/A,FALSE,"GLDwnLoad"}</definedName>
    <definedName name="_113" localSheetId="7" hidden="1">{#N/A,#N/A,FALSE,"GLDwnLoad"}</definedName>
    <definedName name="_113" localSheetId="3" hidden="1">{#N/A,#N/A,FALSE,"GLDwnLoad"}</definedName>
    <definedName name="_113" localSheetId="47" hidden="1">{#N/A,#N/A,FALSE,"GLDwnLoad"}</definedName>
    <definedName name="_113" hidden="1">{#N/A,#N/A,FALSE,"GLDwnLoad"}</definedName>
    <definedName name="_114" localSheetId="1" hidden="1">{#N/A,#N/A,FALSE,"OTHERINPUTS";#N/A,#N/A,FALSE,"DITRATEINPUTS";#N/A,#N/A,FALSE,"SUPPLIEDADJINPUT";#N/A,#N/A,FALSE,"TIMINGDIFFINPUTS";#N/A,#N/A,FALSE,"BR&amp;SUPADJ."}</definedName>
    <definedName name="_114" localSheetId="32" hidden="1">{#N/A,#N/A,FALSE,"OTHERINPUTS";#N/A,#N/A,FALSE,"DITRATEINPUTS";#N/A,#N/A,FALSE,"SUPPLIEDADJINPUT";#N/A,#N/A,FALSE,"TIMINGDIFFINPUTS";#N/A,#N/A,FALSE,"BR&amp;SUPADJ."}</definedName>
    <definedName name="_114" localSheetId="6" hidden="1">{#N/A,#N/A,FALSE,"OTHERINPUTS";#N/A,#N/A,FALSE,"DITRATEINPUTS";#N/A,#N/A,FALSE,"SUPPLIEDADJINPUT";#N/A,#N/A,FALSE,"TIMINGDIFFINPUTS";#N/A,#N/A,FALSE,"BR&amp;SUPADJ."}</definedName>
    <definedName name="_114" localSheetId="4" hidden="1">{#N/A,#N/A,FALSE,"OTHERINPUTS";#N/A,#N/A,FALSE,"DITRATEINPUTS";#N/A,#N/A,FALSE,"SUPPLIEDADJINPUT";#N/A,#N/A,FALSE,"TIMINGDIFFINPUTS";#N/A,#N/A,FALSE,"BR&amp;SUPADJ."}</definedName>
    <definedName name="_114" localSheetId="5" hidden="1">{#N/A,#N/A,FALSE,"OTHERINPUTS";#N/A,#N/A,FALSE,"DITRATEINPUTS";#N/A,#N/A,FALSE,"SUPPLIEDADJINPUT";#N/A,#N/A,FALSE,"TIMINGDIFFINPUTS";#N/A,#N/A,FALSE,"BR&amp;SUPADJ."}</definedName>
    <definedName name="_114" localSheetId="7" hidden="1">{#N/A,#N/A,FALSE,"OTHERINPUTS";#N/A,#N/A,FALSE,"DITRATEINPUTS";#N/A,#N/A,FALSE,"SUPPLIEDADJINPUT";#N/A,#N/A,FALSE,"TIMINGDIFFINPUTS";#N/A,#N/A,FALSE,"BR&amp;SUPADJ."}</definedName>
    <definedName name="_114" localSheetId="3" hidden="1">{#N/A,#N/A,FALSE,"OTHERINPUTS";#N/A,#N/A,FALSE,"DITRATEINPUTS";#N/A,#N/A,FALSE,"SUPPLIEDADJINPUT";#N/A,#N/A,FALSE,"TIMINGDIFFINPUTS";#N/A,#N/A,FALSE,"BR&amp;SUPADJ."}</definedName>
    <definedName name="_114" localSheetId="47" hidden="1">{#N/A,#N/A,FALSE,"OTHERINPUTS";#N/A,#N/A,FALSE,"DITRATEINPUTS";#N/A,#N/A,FALSE,"SUPPLIEDADJINPUT";#N/A,#N/A,FALSE,"TIMINGDIFFINPUTS";#N/A,#N/A,FALSE,"BR&amp;SUPADJ."}</definedName>
    <definedName name="_114" hidden="1">{#N/A,#N/A,FALSE,"OTHERINPUTS";#N/A,#N/A,FALSE,"DITRATEINPUTS";#N/A,#N/A,FALSE,"SUPPLIEDADJINPUT";#N/A,#N/A,FALSE,"TIMINGDIFFINPUTS";#N/A,#N/A,FALSE,"BR&amp;SUPADJ."}</definedName>
    <definedName name="_115" localSheetId="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3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4"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4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6" localSheetId="1" hidden="1">{#N/A,#N/A,FALSE,"GLDwnLoad"}</definedName>
    <definedName name="_116" localSheetId="32" hidden="1">{#N/A,#N/A,FALSE,"GLDwnLoad"}</definedName>
    <definedName name="_116" localSheetId="6" hidden="1">{#N/A,#N/A,FALSE,"GLDwnLoad"}</definedName>
    <definedName name="_116" localSheetId="4" hidden="1">{#N/A,#N/A,FALSE,"GLDwnLoad"}</definedName>
    <definedName name="_116" localSheetId="5" hidden="1">{#N/A,#N/A,FALSE,"GLDwnLoad"}</definedName>
    <definedName name="_116" localSheetId="7" hidden="1">{#N/A,#N/A,FALSE,"GLDwnLoad"}</definedName>
    <definedName name="_116" localSheetId="3" hidden="1">{#N/A,#N/A,FALSE,"GLDwnLoad"}</definedName>
    <definedName name="_116" localSheetId="47" hidden="1">{#N/A,#N/A,FALSE,"GLDwnLoad"}</definedName>
    <definedName name="_116" hidden="1">{#N/A,#N/A,FALSE,"GLDwnLoad"}</definedName>
    <definedName name="_118__123Graph_BCHART_6" hidden="1">#REF!</definedName>
    <definedName name="_119__123Graph_BCHART_5" hidden="1">#REF!</definedName>
    <definedName name="_12" localSheetId="1" hidden="1">{#N/A,#N/A,TRUE,"1990";#N/A,#N/A,TRUE,"1991";#N/A,#N/A,TRUE,"1992";#N/A,#N/A,TRUE,"1993"}</definedName>
    <definedName name="_12" localSheetId="32" hidden="1">{#N/A,#N/A,TRUE,"1990";#N/A,#N/A,TRUE,"1991";#N/A,#N/A,TRUE,"1992";#N/A,#N/A,TRUE,"1993"}</definedName>
    <definedName name="_12" localSheetId="6" hidden="1">{#N/A,#N/A,TRUE,"1990";#N/A,#N/A,TRUE,"1991";#N/A,#N/A,TRUE,"1992";#N/A,#N/A,TRUE,"1993"}</definedName>
    <definedName name="_12" localSheetId="4" hidden="1">{#N/A,#N/A,TRUE,"1990";#N/A,#N/A,TRUE,"1991";#N/A,#N/A,TRUE,"1992";#N/A,#N/A,TRUE,"1993"}</definedName>
    <definedName name="_12" localSheetId="5" hidden="1">{#N/A,#N/A,TRUE,"1990";#N/A,#N/A,TRUE,"1991";#N/A,#N/A,TRUE,"1992";#N/A,#N/A,TRUE,"1993"}</definedName>
    <definedName name="_12" localSheetId="7" hidden="1">{#N/A,#N/A,TRUE,"1990";#N/A,#N/A,TRUE,"1991";#N/A,#N/A,TRUE,"1992";#N/A,#N/A,TRUE,"1993"}</definedName>
    <definedName name="_12" localSheetId="3" hidden="1">{#N/A,#N/A,TRUE,"1990";#N/A,#N/A,TRUE,"1991";#N/A,#N/A,TRUE,"1992";#N/A,#N/A,TRUE,"1993"}</definedName>
    <definedName name="_12" localSheetId="47" hidden="1">{#N/A,#N/A,TRUE,"1990";#N/A,#N/A,TRUE,"1991";#N/A,#N/A,TRUE,"1992";#N/A,#N/A,TRUE,"1993"}</definedName>
    <definedName name="_12" hidden="1">{#N/A,#N/A,TRUE,"1990";#N/A,#N/A,TRUE,"1991";#N/A,#N/A,TRUE,"1992";#N/A,#N/A,TRUE,"1993"}</definedName>
    <definedName name="_12__123Graph_ACHART_6" hidden="1">#REF!</definedName>
    <definedName name="_12__123Graph_CCHART_12" hidden="1">#REF!</definedName>
    <definedName name="_12__123Graph_XCHART_2" localSheetId="6" hidden="1">#REF!</definedName>
    <definedName name="_12__123Graph_XCHART_2" localSheetId="7" hidden="1">#REF!</definedName>
    <definedName name="_12__123Graph_XCHART_2" localSheetId="29" hidden="1">#REF!</definedName>
    <definedName name="_12__123Graph_XCHART_2" localSheetId="47" hidden="1">#REF!</definedName>
    <definedName name="_12__123Graph_XCHART_2" hidden="1">#REF!</definedName>
    <definedName name="_123Graph_ACHART" hidden="1">#REF!</definedName>
    <definedName name="_126__123Graph_ACHART_6" hidden="1">#REF!</definedName>
    <definedName name="_126__123Graph_BCHART_5" hidden="1">#REF!</definedName>
    <definedName name="_13" localSheetId="1" hidden="1">{"summary",#N/A,TRUE,"E93ADJ";"detail",#N/A,TRUE,"E93ADJ"}</definedName>
    <definedName name="_13" localSheetId="32" hidden="1">{"summary",#N/A,TRUE,"E93ADJ";"detail",#N/A,TRUE,"E93ADJ"}</definedName>
    <definedName name="_13" localSheetId="6" hidden="1">{"summary",#N/A,TRUE,"E93ADJ";"detail",#N/A,TRUE,"E93ADJ"}</definedName>
    <definedName name="_13" localSheetId="4" hidden="1">{"summary",#N/A,TRUE,"E93ADJ";"detail",#N/A,TRUE,"E93ADJ"}</definedName>
    <definedName name="_13" localSheetId="5" hidden="1">{"summary",#N/A,TRUE,"E93ADJ";"detail",#N/A,TRUE,"E93ADJ"}</definedName>
    <definedName name="_13" localSheetId="7" hidden="1">{"summary",#N/A,TRUE,"E93ADJ";"detail",#N/A,TRUE,"E93ADJ"}</definedName>
    <definedName name="_13" localSheetId="3" hidden="1">{"summary",#N/A,TRUE,"E93ADJ";"detail",#N/A,TRUE,"E93ADJ"}</definedName>
    <definedName name="_13" localSheetId="47" hidden="1">{"summary",#N/A,TRUE,"E93ADJ";"detail",#N/A,TRUE,"E93ADJ"}</definedName>
    <definedName name="_13" hidden="1">{"summary",#N/A,TRUE,"E93ADJ";"detail",#N/A,TRUE,"E93ADJ"}</definedName>
    <definedName name="_13__123Graph_CCHART_13" hidden="1">#REF!</definedName>
    <definedName name="_13__123Graph_XCHART_3" localSheetId="6" hidden="1">#REF!</definedName>
    <definedName name="_13__123Graph_XCHART_3" localSheetId="7" hidden="1">#REF!</definedName>
    <definedName name="_13__123Graph_XCHART_3" localSheetId="29" hidden="1">#REF!</definedName>
    <definedName name="_13__123Graph_XCHART_3" localSheetId="47" hidden="1">#REF!</definedName>
    <definedName name="_13__123Graph_XCHART_3" hidden="1">#REF!</definedName>
    <definedName name="_132__123Graph_CCHART_4" hidden="1">#REF!</definedName>
    <definedName name="_14" localSheetId="1" hidden="1">{"summary",#N/A,TRUE,"E93ADJ";"detail",#N/A,TRUE,"E93ADJ"}</definedName>
    <definedName name="_14" localSheetId="32" hidden="1">{"summary",#N/A,TRUE,"E93ADJ";"detail",#N/A,TRUE,"E93ADJ"}</definedName>
    <definedName name="_14" localSheetId="6" hidden="1">{"summary",#N/A,TRUE,"E93ADJ";"detail",#N/A,TRUE,"E93ADJ"}</definedName>
    <definedName name="_14" localSheetId="4" hidden="1">{"summary",#N/A,TRUE,"E93ADJ";"detail",#N/A,TRUE,"E93ADJ"}</definedName>
    <definedName name="_14" localSheetId="5" hidden="1">{"summary",#N/A,TRUE,"E93ADJ";"detail",#N/A,TRUE,"E93ADJ"}</definedName>
    <definedName name="_14" localSheetId="7" hidden="1">{"summary",#N/A,TRUE,"E93ADJ";"detail",#N/A,TRUE,"E93ADJ"}</definedName>
    <definedName name="_14" localSheetId="3" hidden="1">{"summary",#N/A,TRUE,"E93ADJ";"detail",#N/A,TRUE,"E93ADJ"}</definedName>
    <definedName name="_14" localSheetId="47" hidden="1">{"summary",#N/A,TRUE,"E93ADJ";"detail",#N/A,TRUE,"E93ADJ"}</definedName>
    <definedName name="_14" hidden="1">{"summary",#N/A,TRUE,"E93ADJ";"detail",#N/A,TRUE,"E93ADJ"}</definedName>
    <definedName name="_14__123Graph_ACHART_1" hidden="1">#REF!</definedName>
    <definedName name="_14__123Graph_BCHART_5" hidden="1">#REF!</definedName>
    <definedName name="_14__123Graph_CCHART_14" hidden="1">#REF!</definedName>
    <definedName name="_14__123Graph_XCHART_4" localSheetId="6" hidden="1">#REF!</definedName>
    <definedName name="_14__123Graph_XCHART_4" localSheetId="7" hidden="1">#REF!</definedName>
    <definedName name="_14__123Graph_XCHART_4" localSheetId="29" hidden="1">#REF!</definedName>
    <definedName name="_14__123Graph_XCHART_4" localSheetId="47" hidden="1">#REF!</definedName>
    <definedName name="_14__123Graph_XCHART_4" hidden="1">#REF!</definedName>
    <definedName name="_144__123Graph_BCHART_6" localSheetId="6" hidden="1">#REF!</definedName>
    <definedName name="_144__123Graph_BCHART_6" localSheetId="7" hidden="1">#REF!</definedName>
    <definedName name="_144__123Graph_BCHART_6" localSheetId="3" hidden="1">#REF!</definedName>
    <definedName name="_144__123Graph_BCHART_6" localSheetId="29" hidden="1">#REF!</definedName>
    <definedName name="_144__123Graph_BCHART_6" hidden="1">#REF!</definedName>
    <definedName name="_147__123Graph_BCHART_5" hidden="1">#REF!</definedName>
    <definedName name="_15" localSheetId="1" hidden="1">{#N/A,#N/A,TRUE,"1990";#N/A,#N/A,TRUE,"1991";#N/A,#N/A,TRUE,"1992";#N/A,#N/A,TRUE,"1993"}</definedName>
    <definedName name="_15" localSheetId="32" hidden="1">{#N/A,#N/A,TRUE,"1990";#N/A,#N/A,TRUE,"1991";#N/A,#N/A,TRUE,"1992";#N/A,#N/A,TRUE,"1993"}</definedName>
    <definedName name="_15" localSheetId="6" hidden="1">{#N/A,#N/A,TRUE,"1990";#N/A,#N/A,TRUE,"1991";#N/A,#N/A,TRUE,"1992";#N/A,#N/A,TRUE,"1993"}</definedName>
    <definedName name="_15" localSheetId="4" hidden="1">{#N/A,#N/A,TRUE,"1990";#N/A,#N/A,TRUE,"1991";#N/A,#N/A,TRUE,"1992";#N/A,#N/A,TRUE,"1993"}</definedName>
    <definedName name="_15" localSheetId="5" hidden="1">{#N/A,#N/A,TRUE,"1990";#N/A,#N/A,TRUE,"1991";#N/A,#N/A,TRUE,"1992";#N/A,#N/A,TRUE,"1993"}</definedName>
    <definedName name="_15" localSheetId="7" hidden="1">{#N/A,#N/A,TRUE,"1990";#N/A,#N/A,TRUE,"1991";#N/A,#N/A,TRUE,"1992";#N/A,#N/A,TRUE,"1993"}</definedName>
    <definedName name="_15" localSheetId="3" hidden="1">{#N/A,#N/A,TRUE,"1990";#N/A,#N/A,TRUE,"1991";#N/A,#N/A,TRUE,"1992";#N/A,#N/A,TRUE,"1993"}</definedName>
    <definedName name="_15" localSheetId="47" hidden="1">{#N/A,#N/A,TRUE,"1990";#N/A,#N/A,TRUE,"1991";#N/A,#N/A,TRUE,"1992";#N/A,#N/A,TRUE,"1993"}</definedName>
    <definedName name="_15" hidden="1">{#N/A,#N/A,TRUE,"1990";#N/A,#N/A,TRUE,"1991";#N/A,#N/A,TRUE,"1992";#N/A,#N/A,TRUE,"1993"}</definedName>
    <definedName name="_15__123Graph_CCHART_15" hidden="1">#REF!</definedName>
    <definedName name="_15__123Graph_XCHART_5" localSheetId="6" hidden="1">#REF!</definedName>
    <definedName name="_15__123Graph_XCHART_5" localSheetId="7" hidden="1">#REF!</definedName>
    <definedName name="_15__123Graph_XCHART_5" localSheetId="29" hidden="1">#REF!</definedName>
    <definedName name="_15__123Graph_XCHART_5" localSheetId="47" hidden="1">#REF!</definedName>
    <definedName name="_15__123Graph_XCHART_5" hidden="1">#REF!</definedName>
    <definedName name="_152__123Graph_BCHART_6" localSheetId="6" hidden="1">#REF!</definedName>
    <definedName name="_152__123Graph_BCHART_6" localSheetId="7" hidden="1">#REF!</definedName>
    <definedName name="_152__123Graph_BCHART_6" localSheetId="3" hidden="1">#REF!</definedName>
    <definedName name="_152__123Graph_BCHART_6" localSheetId="29" hidden="1">#REF!</definedName>
    <definedName name="_152__123Graph_BCHART_6" hidden="1">#REF!</definedName>
    <definedName name="_152__123Graph_CCHART_6" localSheetId="6" hidden="1">#REF!</definedName>
    <definedName name="_152__123Graph_CCHART_6" localSheetId="7" hidden="1">#REF!</definedName>
    <definedName name="_152__123Graph_CCHART_6" localSheetId="29" hidden="1">#REF!</definedName>
    <definedName name="_152__123Graph_CCHART_6" hidden="1">#REF!</definedName>
    <definedName name="_16" localSheetId="1" hidden="1">{"summary",#N/A,TRUE,"E93ADJ";"detail",#N/A,TRUE,"E93ADJ"}</definedName>
    <definedName name="_16" localSheetId="32" hidden="1">{"summary",#N/A,TRUE,"E93ADJ";"detail",#N/A,TRUE,"E93ADJ"}</definedName>
    <definedName name="_16" localSheetId="6" hidden="1">{"summary",#N/A,TRUE,"E93ADJ";"detail",#N/A,TRUE,"E93ADJ"}</definedName>
    <definedName name="_16" localSheetId="4" hidden="1">{"summary",#N/A,TRUE,"E93ADJ";"detail",#N/A,TRUE,"E93ADJ"}</definedName>
    <definedName name="_16" localSheetId="5" hidden="1">{"summary",#N/A,TRUE,"E93ADJ";"detail",#N/A,TRUE,"E93ADJ"}</definedName>
    <definedName name="_16" localSheetId="7" hidden="1">{"summary",#N/A,TRUE,"E93ADJ";"detail",#N/A,TRUE,"E93ADJ"}</definedName>
    <definedName name="_16" localSheetId="3" hidden="1">{"summary",#N/A,TRUE,"E93ADJ";"detail",#N/A,TRUE,"E93ADJ"}</definedName>
    <definedName name="_16" localSheetId="47" hidden="1">{"summary",#N/A,TRUE,"E93ADJ";"detail",#N/A,TRUE,"E93ADJ"}</definedName>
    <definedName name="_16" hidden="1">{"summary",#N/A,TRUE,"E93ADJ";"detail",#N/A,TRUE,"E93ADJ"}</definedName>
    <definedName name="_16__123Graph_BCHART_6" hidden="1">#REF!</definedName>
    <definedName name="_16__123Graph_CCHART_16" hidden="1">#REF!</definedName>
    <definedName name="_16__123Graph_XCHART_6" localSheetId="6" hidden="1">#REF!</definedName>
    <definedName name="_16__123Graph_XCHART_6" localSheetId="7" hidden="1">#REF!</definedName>
    <definedName name="_16__123Graph_XCHART_6" localSheetId="29" hidden="1">#REF!</definedName>
    <definedName name="_16__123Graph_XCHART_6" localSheetId="47" hidden="1">#REF!</definedName>
    <definedName name="_16__123Graph_XCHART_6" hidden="1">#REF!</definedName>
    <definedName name="_161__123Graph_CCHART_4" hidden="1">#REF!</definedName>
    <definedName name="_166__123Graph_XCHART_1" hidden="1">#REF!</definedName>
    <definedName name="_17" localSheetId="1" hidden="1">{"ARK_JURIS_FUEL",#N/A,FALSE,"Ark_Fuel&amp;Rev"}</definedName>
    <definedName name="_17" localSheetId="32" hidden="1">{"ARK_JURIS_FUEL",#N/A,FALSE,"Ark_Fuel&amp;Rev"}</definedName>
    <definedName name="_17" localSheetId="6" hidden="1">{"ARK_JURIS_FUEL",#N/A,FALSE,"Ark_Fuel&amp;Rev"}</definedName>
    <definedName name="_17" localSheetId="4" hidden="1">{"ARK_JURIS_FUEL",#N/A,FALSE,"Ark_Fuel&amp;Rev"}</definedName>
    <definedName name="_17" localSheetId="5" hidden="1">{"ARK_JURIS_FUEL",#N/A,FALSE,"Ark_Fuel&amp;Rev"}</definedName>
    <definedName name="_17" localSheetId="7" hidden="1">{"ARK_JURIS_FUEL",#N/A,FALSE,"Ark_Fuel&amp;Rev"}</definedName>
    <definedName name="_17" localSheetId="3" hidden="1">{"ARK_JURIS_FUEL",#N/A,FALSE,"Ark_Fuel&amp;Rev"}</definedName>
    <definedName name="_17" localSheetId="47" hidden="1">{"ARK_JURIS_FUEL",#N/A,FALSE,"Ark_Fuel&amp;Rev"}</definedName>
    <definedName name="_17" hidden="1">{"ARK_JURIS_FUEL",#N/A,FALSE,"Ark_Fuel&amp;Rev"}</definedName>
    <definedName name="_17__123Graph_ACHART_1" hidden="1">#REF!</definedName>
    <definedName name="_17__123Graph_CCHART_17" hidden="1">#REF!</definedName>
    <definedName name="_170__123Graph_CCHART_4" hidden="1">#REF!</definedName>
    <definedName name="_173__123Graph_BCHART_6" hidden="1">#REF!</definedName>
    <definedName name="_18" localSheetId="1" hidden="1">{#N/A,#N/A,FALSE,"SCA";#N/A,#N/A,FALSE,"NCA";#N/A,#N/A,FALSE,"SAZ";#N/A,#N/A,FALSE,"CAZ";#N/A,#N/A,FALSE,"SNV";#N/A,#N/A,FALSE,"NNV";#N/A,#N/A,FALSE,"PP";#N/A,#N/A,FALSE,"SA"}</definedName>
    <definedName name="_18" localSheetId="32" hidden="1">{#N/A,#N/A,FALSE,"SCA";#N/A,#N/A,FALSE,"NCA";#N/A,#N/A,FALSE,"SAZ";#N/A,#N/A,FALSE,"CAZ";#N/A,#N/A,FALSE,"SNV";#N/A,#N/A,FALSE,"NNV";#N/A,#N/A,FALSE,"PP";#N/A,#N/A,FALSE,"SA"}</definedName>
    <definedName name="_18" localSheetId="6" hidden="1">{#N/A,#N/A,FALSE,"SCA";#N/A,#N/A,FALSE,"NCA";#N/A,#N/A,FALSE,"SAZ";#N/A,#N/A,FALSE,"CAZ";#N/A,#N/A,FALSE,"SNV";#N/A,#N/A,FALSE,"NNV";#N/A,#N/A,FALSE,"PP";#N/A,#N/A,FALSE,"SA"}</definedName>
    <definedName name="_18" localSheetId="4" hidden="1">{#N/A,#N/A,FALSE,"SCA";#N/A,#N/A,FALSE,"NCA";#N/A,#N/A,FALSE,"SAZ";#N/A,#N/A,FALSE,"CAZ";#N/A,#N/A,FALSE,"SNV";#N/A,#N/A,FALSE,"NNV";#N/A,#N/A,FALSE,"PP";#N/A,#N/A,FALSE,"SA"}</definedName>
    <definedName name="_18" localSheetId="5" hidden="1">{#N/A,#N/A,FALSE,"SCA";#N/A,#N/A,FALSE,"NCA";#N/A,#N/A,FALSE,"SAZ";#N/A,#N/A,FALSE,"CAZ";#N/A,#N/A,FALSE,"SNV";#N/A,#N/A,FALSE,"NNV";#N/A,#N/A,FALSE,"PP";#N/A,#N/A,FALSE,"SA"}</definedName>
    <definedName name="_18" localSheetId="7" hidden="1">{#N/A,#N/A,FALSE,"SCA";#N/A,#N/A,FALSE,"NCA";#N/A,#N/A,FALSE,"SAZ";#N/A,#N/A,FALSE,"CAZ";#N/A,#N/A,FALSE,"SNV";#N/A,#N/A,FALSE,"NNV";#N/A,#N/A,FALSE,"PP";#N/A,#N/A,FALSE,"SA"}</definedName>
    <definedName name="_18" localSheetId="3" hidden="1">{#N/A,#N/A,FALSE,"SCA";#N/A,#N/A,FALSE,"NCA";#N/A,#N/A,FALSE,"SAZ";#N/A,#N/A,FALSE,"CAZ";#N/A,#N/A,FALSE,"SNV";#N/A,#N/A,FALSE,"NNV";#N/A,#N/A,FALSE,"PP";#N/A,#N/A,FALSE,"SA"}</definedName>
    <definedName name="_18" localSheetId="47" hidden="1">{#N/A,#N/A,FALSE,"SCA";#N/A,#N/A,FALSE,"NCA";#N/A,#N/A,FALSE,"SAZ";#N/A,#N/A,FALSE,"CAZ";#N/A,#N/A,FALSE,"SNV";#N/A,#N/A,FALSE,"NNV";#N/A,#N/A,FALSE,"PP";#N/A,#N/A,FALSE,"SA"}</definedName>
    <definedName name="_18" hidden="1">{#N/A,#N/A,FALSE,"SCA";#N/A,#N/A,FALSE,"NCA";#N/A,#N/A,FALSE,"SAZ";#N/A,#N/A,FALSE,"CAZ";#N/A,#N/A,FALSE,"SNV";#N/A,#N/A,FALSE,"NNV";#N/A,#N/A,FALSE,"PP";#N/A,#N/A,FALSE,"SA"}</definedName>
    <definedName name="_18__123Graph_ACHART_1" hidden="1">#REF!</definedName>
    <definedName name="_18__123Graph_CCHART_18" hidden="1">#REF!</definedName>
    <definedName name="_18__123Graph_CCHART_4" hidden="1">#REF!</definedName>
    <definedName name="_180__123Graph_XCHART_2" hidden="1">#REF!</definedName>
    <definedName name="_186__123Graph_CCHART_6" localSheetId="6" hidden="1">#REF!</definedName>
    <definedName name="_186__123Graph_CCHART_6" localSheetId="7" hidden="1">#REF!</definedName>
    <definedName name="_186__123Graph_CCHART_6" localSheetId="3" hidden="1">#REF!</definedName>
    <definedName name="_186__123Graph_CCHART_6" localSheetId="29" hidden="1">#REF!</definedName>
    <definedName name="_186__123Graph_CCHART_6" hidden="1">#REF!</definedName>
    <definedName name="_19"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3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4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4__123Graph_CCHART_4" hidden="1">#REF!</definedName>
    <definedName name="_194__123Graph_XCHART_3" hidden="1">#REF!</definedName>
    <definedName name="_196__123Graph_CCHART_6" localSheetId="6" hidden="1">#REF!</definedName>
    <definedName name="_196__123Graph_CCHART_6" localSheetId="7" hidden="1">#REF!</definedName>
    <definedName name="_196__123Graph_CCHART_6" localSheetId="3" hidden="1">#REF!</definedName>
    <definedName name="_196__123Graph_CCHART_6" localSheetId="29" hidden="1">#REF!</definedName>
    <definedName name="_196__123Graph_CCHART_6" hidden="1">#REF!</definedName>
    <definedName name="_1ISSUANCE_EXPENS" localSheetId="6">#REF!</definedName>
    <definedName name="_1ISSUANCE_EXPENS" localSheetId="3">#REF!</definedName>
    <definedName name="_1ISSUANCE_EXPENS">#REF!</definedName>
    <definedName name="_1Q_0_Regressio" localSheetId="1" hidden="1">#REF!</definedName>
    <definedName name="_1Q_0_Regressio" localSheetId="5" hidden="1">#REF!</definedName>
    <definedName name="_1Q_0_Regressio" localSheetId="3" hidden="1">#REF!</definedName>
    <definedName name="_1Q_0_Regressio" localSheetId="29" hidden="1">#REF!</definedName>
    <definedName name="_1Q_0_Regressio" hidden="1">#REF!</definedName>
    <definedName name="_2" localSheetId="1" hidden="1">{#N/A,#N/A,FALSE,"SCA";#N/A,#N/A,FALSE,"NCA";#N/A,#N/A,FALSE,"SAZ";#N/A,#N/A,FALSE,"CAZ";#N/A,#N/A,FALSE,"SNV";#N/A,#N/A,FALSE,"NNV";#N/A,#N/A,FALSE,"PP";#N/A,#N/A,FALSE,"SA"}</definedName>
    <definedName name="_2" localSheetId="32" hidden="1">{#N/A,#N/A,FALSE,"SCA";#N/A,#N/A,FALSE,"NCA";#N/A,#N/A,FALSE,"SAZ";#N/A,#N/A,FALSE,"CAZ";#N/A,#N/A,FALSE,"SNV";#N/A,#N/A,FALSE,"NNV";#N/A,#N/A,FALSE,"PP";#N/A,#N/A,FALSE,"SA"}</definedName>
    <definedName name="_2" localSheetId="6" hidden="1">{#N/A,#N/A,FALSE,"SCA";#N/A,#N/A,FALSE,"NCA";#N/A,#N/A,FALSE,"SAZ";#N/A,#N/A,FALSE,"CAZ";#N/A,#N/A,FALSE,"SNV";#N/A,#N/A,FALSE,"NNV";#N/A,#N/A,FALSE,"PP";#N/A,#N/A,FALSE,"SA"}</definedName>
    <definedName name="_2" localSheetId="4" hidden="1">{#N/A,#N/A,FALSE,"SCA";#N/A,#N/A,FALSE,"NCA";#N/A,#N/A,FALSE,"SAZ";#N/A,#N/A,FALSE,"CAZ";#N/A,#N/A,FALSE,"SNV";#N/A,#N/A,FALSE,"NNV";#N/A,#N/A,FALSE,"PP";#N/A,#N/A,FALSE,"SA"}</definedName>
    <definedName name="_2" localSheetId="5" hidden="1">{#N/A,#N/A,FALSE,"SCA";#N/A,#N/A,FALSE,"NCA";#N/A,#N/A,FALSE,"SAZ";#N/A,#N/A,FALSE,"CAZ";#N/A,#N/A,FALSE,"SNV";#N/A,#N/A,FALSE,"NNV";#N/A,#N/A,FALSE,"PP";#N/A,#N/A,FALSE,"SA"}</definedName>
    <definedName name="_2" localSheetId="7" hidden="1">{#N/A,#N/A,FALSE,"SCA";#N/A,#N/A,FALSE,"NCA";#N/A,#N/A,FALSE,"SAZ";#N/A,#N/A,FALSE,"CAZ";#N/A,#N/A,FALSE,"SNV";#N/A,#N/A,FALSE,"NNV";#N/A,#N/A,FALSE,"PP";#N/A,#N/A,FALSE,"SA"}</definedName>
    <definedName name="_2" localSheetId="3" hidden="1">{#N/A,#N/A,FALSE,"SCA";#N/A,#N/A,FALSE,"NCA";#N/A,#N/A,FALSE,"SAZ";#N/A,#N/A,FALSE,"CAZ";#N/A,#N/A,FALSE,"SNV";#N/A,#N/A,FALSE,"NNV";#N/A,#N/A,FALSE,"PP";#N/A,#N/A,FALSE,"SA"}</definedName>
    <definedName name="_2" localSheetId="47" hidden="1">{#N/A,#N/A,FALSE,"SCA";#N/A,#N/A,FALSE,"NCA";#N/A,#N/A,FALSE,"SAZ";#N/A,#N/A,FALSE,"CAZ";#N/A,#N/A,FALSE,"SNV";#N/A,#N/A,FALSE,"NNV";#N/A,#N/A,FALSE,"PP";#N/A,#N/A,FALSE,"SA"}</definedName>
    <definedName name="_2" hidden="1">{#N/A,#N/A,FALSE,"SCA";#N/A,#N/A,FALSE,"NCA";#N/A,#N/A,FALSE,"SAZ";#N/A,#N/A,FALSE,"CAZ";#N/A,#N/A,FALSE,"SNV";#N/A,#N/A,FALSE,"NNV";#N/A,#N/A,FALSE,"PP";#N/A,#N/A,FALSE,"SA"}</definedName>
    <definedName name="_2__123Graph_ACHART_1" hidden="1">#REF!</definedName>
    <definedName name="_2__123Graph_ACHART_12" hidden="1">#REF!</definedName>
    <definedName name="_2__123Graph_ACHART_2" localSheetId="6" hidden="1">#REF!</definedName>
    <definedName name="_2__123Graph_ACHART_2" localSheetId="7" hidden="1">#REF!</definedName>
    <definedName name="_2__123Graph_ACHART_2" localSheetId="29" hidden="1">#REF!</definedName>
    <definedName name="_2__123Graph_ACHART_2" localSheetId="47" hidden="1">#REF!</definedName>
    <definedName name="_2__123Graph_ACHART_2" hidden="1">#REF!</definedName>
    <definedName name="_2__123Graph_BYIELD_CURVES" localSheetId="1" hidden="1">#REF!</definedName>
    <definedName name="_2__123Graph_BYIELD_CURVES" localSheetId="6" hidden="1">#REF!</definedName>
    <definedName name="_2__123Graph_BYIELD_CURVES" localSheetId="7" hidden="1">#REF!</definedName>
    <definedName name="_2__123Graph_BYIELD_CURVES" localSheetId="29" hidden="1">#REF!</definedName>
    <definedName name="_2__123Graph_BYIELD_CURVES" localSheetId="47" hidden="1">#REF!</definedName>
    <definedName name="_2__123Graph_BYIELD_CURVES" hidden="1">#REF!</definedName>
    <definedName name="_20"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3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4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__123Graph_CCHART_6" hidden="1">#REF!</definedName>
    <definedName name="_203__123Graph_XCHART_1" hidden="1">#REF!</definedName>
    <definedName name="_208__123Graph_XCHART_4" hidden="1">#REF!</definedName>
    <definedName name="_21" localSheetId="1" hidden="1">{"wp_h4.2",#N/A,FALSE,"WP_H4.2";"wp_h4.3",#N/A,FALSE,"WP_H4.3"}</definedName>
    <definedName name="_21" localSheetId="32" hidden="1">{"wp_h4.2",#N/A,FALSE,"WP_H4.2";"wp_h4.3",#N/A,FALSE,"WP_H4.3"}</definedName>
    <definedName name="_21" localSheetId="6" hidden="1">{"wp_h4.2",#N/A,FALSE,"WP_H4.2";"wp_h4.3",#N/A,FALSE,"WP_H4.3"}</definedName>
    <definedName name="_21" localSheetId="4" hidden="1">{"wp_h4.2",#N/A,FALSE,"WP_H4.2";"wp_h4.3",#N/A,FALSE,"WP_H4.3"}</definedName>
    <definedName name="_21" localSheetId="5" hidden="1">{"wp_h4.2",#N/A,FALSE,"WP_H4.2";"wp_h4.3",#N/A,FALSE,"WP_H4.3"}</definedName>
    <definedName name="_21" localSheetId="7" hidden="1">{"wp_h4.2",#N/A,FALSE,"WP_H4.2";"wp_h4.3",#N/A,FALSE,"WP_H4.3"}</definedName>
    <definedName name="_21" localSheetId="3" hidden="1">{"wp_h4.2",#N/A,FALSE,"WP_H4.2";"wp_h4.3",#N/A,FALSE,"WP_H4.3"}</definedName>
    <definedName name="_21" localSheetId="47" hidden="1">{"wp_h4.2",#N/A,FALSE,"WP_H4.2";"wp_h4.3",#N/A,FALSE,"WP_H4.3"}</definedName>
    <definedName name="_21" hidden="1">{"wp_h4.2",#N/A,FALSE,"WP_H4.2";"wp_h4.3",#N/A,FALSE,"WP_H4.3"}</definedName>
    <definedName name="_21__123Graph_ACHART_1" hidden="1">#REF!</definedName>
    <definedName name="_214__123Graph_XCHART_1" hidden="1">#REF!</definedName>
    <definedName name="_22" localSheetId="1" hidden="1">{#N/A,#N/A,TRUE,"1990";#N/A,#N/A,TRUE,"1991";#N/A,#N/A,TRUE,"1992";#N/A,#N/A,TRUE,"1993"}</definedName>
    <definedName name="_22" localSheetId="32" hidden="1">{#N/A,#N/A,TRUE,"1990";#N/A,#N/A,TRUE,"1991";#N/A,#N/A,TRUE,"1992";#N/A,#N/A,TRUE,"1993"}</definedName>
    <definedName name="_22" localSheetId="6" hidden="1">{#N/A,#N/A,TRUE,"1990";#N/A,#N/A,TRUE,"1991";#N/A,#N/A,TRUE,"1992";#N/A,#N/A,TRUE,"1993"}</definedName>
    <definedName name="_22" localSheetId="4" hidden="1">{#N/A,#N/A,TRUE,"1990";#N/A,#N/A,TRUE,"1991";#N/A,#N/A,TRUE,"1992";#N/A,#N/A,TRUE,"1993"}</definedName>
    <definedName name="_22" localSheetId="5" hidden="1">{#N/A,#N/A,TRUE,"1990";#N/A,#N/A,TRUE,"1991";#N/A,#N/A,TRUE,"1992";#N/A,#N/A,TRUE,"1993"}</definedName>
    <definedName name="_22" localSheetId="7" hidden="1">{#N/A,#N/A,TRUE,"1990";#N/A,#N/A,TRUE,"1991";#N/A,#N/A,TRUE,"1992";#N/A,#N/A,TRUE,"1993"}</definedName>
    <definedName name="_22" localSheetId="3" hidden="1">{#N/A,#N/A,TRUE,"1990";#N/A,#N/A,TRUE,"1991";#N/A,#N/A,TRUE,"1992";#N/A,#N/A,TRUE,"1993"}</definedName>
    <definedName name="_22" localSheetId="47" hidden="1">{#N/A,#N/A,TRUE,"1990";#N/A,#N/A,TRUE,"1991";#N/A,#N/A,TRUE,"1992";#N/A,#N/A,TRUE,"1993"}</definedName>
    <definedName name="_22" hidden="1">{#N/A,#N/A,TRUE,"1990";#N/A,#N/A,TRUE,"1991";#N/A,#N/A,TRUE,"1992";#N/A,#N/A,TRUE,"1993"}</definedName>
    <definedName name="_22__123Graph_XCHART_1" hidden="1">#REF!</definedName>
    <definedName name="_220__123Graph_CCHART_6" hidden="1">#REF!</definedName>
    <definedName name="_220__123Graph_XCHART_2" hidden="1">#REF!</definedName>
    <definedName name="_222__123Graph_XCHART_5" hidden="1">#REF!</definedName>
    <definedName name="_23"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3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4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2__123Graph_XCHART_2" hidden="1">#REF!</definedName>
    <definedName name="_236__123Graph_XCHART_6" hidden="1">#REF!</definedName>
    <definedName name="_237__123Graph_XCHART_3" hidden="1">#REF!</definedName>
    <definedName name="_24"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__123Graph_XCHART_2" hidden="1">#REF!</definedName>
    <definedName name="_241__123Graph_XCHART_1" hidden="1">#REF!</definedName>
    <definedName name="_25" localSheetId="1" hidden="1">{"ARK_JURIS_FAC",#N/A,FALSE,"Ark_Fuel&amp;Rev"}</definedName>
    <definedName name="_25" localSheetId="32" hidden="1">{"ARK_JURIS_FAC",#N/A,FALSE,"Ark_Fuel&amp;Rev"}</definedName>
    <definedName name="_25" localSheetId="6" hidden="1">{"ARK_JURIS_FAC",#N/A,FALSE,"Ark_Fuel&amp;Rev"}</definedName>
    <definedName name="_25" localSheetId="4" hidden="1">{"ARK_JURIS_FAC",#N/A,FALSE,"Ark_Fuel&amp;Rev"}</definedName>
    <definedName name="_25" localSheetId="5" hidden="1">{"ARK_JURIS_FAC",#N/A,FALSE,"Ark_Fuel&amp;Rev"}</definedName>
    <definedName name="_25" localSheetId="7" hidden="1">{"ARK_JURIS_FAC",#N/A,FALSE,"Ark_Fuel&amp;Rev"}</definedName>
    <definedName name="_25" localSheetId="3" hidden="1">{"ARK_JURIS_FAC",#N/A,FALSE,"Ark_Fuel&amp;Rev"}</definedName>
    <definedName name="_25" localSheetId="47" hidden="1">{"ARK_JURIS_FAC",#N/A,FALSE,"Ark_Fuel&amp;Rev"}</definedName>
    <definedName name="_25" hidden="1">{"ARK_JURIS_FAC",#N/A,FALSE,"Ark_Fuel&amp;Rev"}</definedName>
    <definedName name="_250__123Graph_XCHART_3" hidden="1">#REF!</definedName>
    <definedName name="_254__123Graph_XCHART_4" hidden="1">#REF!</definedName>
    <definedName name="_26" localSheetId="1" hidden="1">{"OMPA_FAC",#N/A,FALSE,"OMPA FAC"}</definedName>
    <definedName name="_26" localSheetId="32" hidden="1">{"OMPA_FAC",#N/A,FALSE,"OMPA FAC"}</definedName>
    <definedName name="_26" localSheetId="6" hidden="1">{"OMPA_FAC",#N/A,FALSE,"OMPA FAC"}</definedName>
    <definedName name="_26" localSheetId="4" hidden="1">{"OMPA_FAC",#N/A,FALSE,"OMPA FAC"}</definedName>
    <definedName name="_26" localSheetId="5" hidden="1">{"OMPA_FAC",#N/A,FALSE,"OMPA FAC"}</definedName>
    <definedName name="_26" localSheetId="7" hidden="1">{"OMPA_FAC",#N/A,FALSE,"OMPA FAC"}</definedName>
    <definedName name="_26" localSheetId="3" hidden="1">{"OMPA_FAC",#N/A,FALSE,"OMPA FAC"}</definedName>
    <definedName name="_26" localSheetId="47" hidden="1">{"OMPA_FAC",#N/A,FALSE,"OMPA FAC"}</definedName>
    <definedName name="_26" hidden="1">{"OMPA_FAC",#N/A,FALSE,"OMPA FAC"}</definedName>
    <definedName name="_26__123Graph_XCHART_3" hidden="1">#REF!</definedName>
    <definedName name="_262__123Graph_XCHART_2" hidden="1">#REF!</definedName>
    <definedName name="_268__123Graph_XCHART_4" hidden="1">#REF!</definedName>
    <definedName name="_27"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3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4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1__123Graph_XCHART_5" hidden="1">#REF!</definedName>
    <definedName name="_28" localSheetId="1" hidden="1">{#N/A,#N/A,FALSE,"SCA";#N/A,#N/A,FALSE,"NCA";#N/A,#N/A,FALSE,"SAZ";#N/A,#N/A,FALSE,"CAZ";#N/A,#N/A,FALSE,"SNV";#N/A,#N/A,FALSE,"NNV";#N/A,#N/A,FALSE,"PP";#N/A,#N/A,FALSE,"SA"}</definedName>
    <definedName name="_28" localSheetId="32" hidden="1">{#N/A,#N/A,FALSE,"SCA";#N/A,#N/A,FALSE,"NCA";#N/A,#N/A,FALSE,"SAZ";#N/A,#N/A,FALSE,"CAZ";#N/A,#N/A,FALSE,"SNV";#N/A,#N/A,FALSE,"NNV";#N/A,#N/A,FALSE,"PP";#N/A,#N/A,FALSE,"SA"}</definedName>
    <definedName name="_28" localSheetId="6" hidden="1">{#N/A,#N/A,FALSE,"SCA";#N/A,#N/A,FALSE,"NCA";#N/A,#N/A,FALSE,"SAZ";#N/A,#N/A,FALSE,"CAZ";#N/A,#N/A,FALSE,"SNV";#N/A,#N/A,FALSE,"NNV";#N/A,#N/A,FALSE,"PP";#N/A,#N/A,FALSE,"SA"}</definedName>
    <definedName name="_28" localSheetId="4" hidden="1">{#N/A,#N/A,FALSE,"SCA";#N/A,#N/A,FALSE,"NCA";#N/A,#N/A,FALSE,"SAZ";#N/A,#N/A,FALSE,"CAZ";#N/A,#N/A,FALSE,"SNV";#N/A,#N/A,FALSE,"NNV";#N/A,#N/A,FALSE,"PP";#N/A,#N/A,FALSE,"SA"}</definedName>
    <definedName name="_28" localSheetId="5" hidden="1">{#N/A,#N/A,FALSE,"SCA";#N/A,#N/A,FALSE,"NCA";#N/A,#N/A,FALSE,"SAZ";#N/A,#N/A,FALSE,"CAZ";#N/A,#N/A,FALSE,"SNV";#N/A,#N/A,FALSE,"NNV";#N/A,#N/A,FALSE,"PP";#N/A,#N/A,FALSE,"SA"}</definedName>
    <definedName name="_28" localSheetId="7" hidden="1">{#N/A,#N/A,FALSE,"SCA";#N/A,#N/A,FALSE,"NCA";#N/A,#N/A,FALSE,"SAZ";#N/A,#N/A,FALSE,"CAZ";#N/A,#N/A,FALSE,"SNV";#N/A,#N/A,FALSE,"NNV";#N/A,#N/A,FALSE,"PP";#N/A,#N/A,FALSE,"SA"}</definedName>
    <definedName name="_28" localSheetId="3" hidden="1">{#N/A,#N/A,FALSE,"SCA";#N/A,#N/A,FALSE,"NCA";#N/A,#N/A,FALSE,"SAZ";#N/A,#N/A,FALSE,"CAZ";#N/A,#N/A,FALSE,"SNV";#N/A,#N/A,FALSE,"NNV";#N/A,#N/A,FALSE,"PP";#N/A,#N/A,FALSE,"SA"}</definedName>
    <definedName name="_28" localSheetId="47" hidden="1">{#N/A,#N/A,FALSE,"SCA";#N/A,#N/A,FALSE,"NCA";#N/A,#N/A,FALSE,"SAZ";#N/A,#N/A,FALSE,"CAZ";#N/A,#N/A,FALSE,"SNV";#N/A,#N/A,FALSE,"NNV";#N/A,#N/A,FALSE,"PP";#N/A,#N/A,FALSE,"SA"}</definedName>
    <definedName name="_28" hidden="1">{#N/A,#N/A,FALSE,"SCA";#N/A,#N/A,FALSE,"NCA";#N/A,#N/A,FALSE,"SAZ";#N/A,#N/A,FALSE,"CAZ";#N/A,#N/A,FALSE,"SNV";#N/A,#N/A,FALSE,"NNV";#N/A,#N/A,FALSE,"PP";#N/A,#N/A,FALSE,"SA"}</definedName>
    <definedName name="_28__123Graph_ACHART_2" hidden="1">#REF!</definedName>
    <definedName name="_28__123Graph_XCHART_4" hidden="1">#REF!</definedName>
    <definedName name="_283__123Graph_XCHART_3" hidden="1">#REF!</definedName>
    <definedName name="_286__123Graph_XCHART_5" hidden="1">#REF!</definedName>
    <definedName name="_288__123Graph_XCHART_6" hidden="1">#REF!</definedName>
    <definedName name="_29"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LTD_EFFECTIVE">#REF!</definedName>
    <definedName name="_2S_0_Regressio" localSheetId="1" hidden="1">#REF!</definedName>
    <definedName name="_2S_0_Regressio" localSheetId="5" hidden="1">#REF!</definedName>
    <definedName name="_2S_0_Regressio" localSheetId="3" hidden="1">#REF!</definedName>
    <definedName name="_2S_0_Regressio" localSheetId="29" hidden="1">#REF!</definedName>
    <definedName name="_2S_0_Regressio" hidden="1">#REF!</definedName>
    <definedName name="_3" localSheetId="1" hidden="1">{#N/A,#N/A,FALSE,"SCA";#N/A,#N/A,FALSE,"NCA";#N/A,#N/A,FALSE,"SAZ";#N/A,#N/A,FALSE,"CAZ";#N/A,#N/A,FALSE,"SNV";#N/A,#N/A,FALSE,"NNV";#N/A,#N/A,FALSE,"PP";#N/A,#N/A,FALSE,"SA"}</definedName>
    <definedName name="_3" localSheetId="32" hidden="1">{#N/A,#N/A,FALSE,"SCA";#N/A,#N/A,FALSE,"NCA";#N/A,#N/A,FALSE,"SAZ";#N/A,#N/A,FALSE,"CAZ";#N/A,#N/A,FALSE,"SNV";#N/A,#N/A,FALSE,"NNV";#N/A,#N/A,FALSE,"PP";#N/A,#N/A,FALSE,"SA"}</definedName>
    <definedName name="_3" localSheetId="6" hidden="1">{#N/A,#N/A,FALSE,"SCA";#N/A,#N/A,FALSE,"NCA";#N/A,#N/A,FALSE,"SAZ";#N/A,#N/A,FALSE,"CAZ";#N/A,#N/A,FALSE,"SNV";#N/A,#N/A,FALSE,"NNV";#N/A,#N/A,FALSE,"PP";#N/A,#N/A,FALSE,"SA"}</definedName>
    <definedName name="_3" localSheetId="4" hidden="1">{#N/A,#N/A,FALSE,"SCA";#N/A,#N/A,FALSE,"NCA";#N/A,#N/A,FALSE,"SAZ";#N/A,#N/A,FALSE,"CAZ";#N/A,#N/A,FALSE,"SNV";#N/A,#N/A,FALSE,"NNV";#N/A,#N/A,FALSE,"PP";#N/A,#N/A,FALSE,"SA"}</definedName>
    <definedName name="_3" localSheetId="5" hidden="1">{#N/A,#N/A,FALSE,"SCA";#N/A,#N/A,FALSE,"NCA";#N/A,#N/A,FALSE,"SAZ";#N/A,#N/A,FALSE,"CAZ";#N/A,#N/A,FALSE,"SNV";#N/A,#N/A,FALSE,"NNV";#N/A,#N/A,FALSE,"PP";#N/A,#N/A,FALSE,"SA"}</definedName>
    <definedName name="_3" localSheetId="7" hidden="1">{#N/A,#N/A,FALSE,"SCA";#N/A,#N/A,FALSE,"NCA";#N/A,#N/A,FALSE,"SAZ";#N/A,#N/A,FALSE,"CAZ";#N/A,#N/A,FALSE,"SNV";#N/A,#N/A,FALSE,"NNV";#N/A,#N/A,FALSE,"PP";#N/A,#N/A,FALSE,"SA"}</definedName>
    <definedName name="_3" localSheetId="3" hidden="1">{#N/A,#N/A,FALSE,"SCA";#N/A,#N/A,FALSE,"NCA";#N/A,#N/A,FALSE,"SAZ";#N/A,#N/A,FALSE,"CAZ";#N/A,#N/A,FALSE,"SNV";#N/A,#N/A,FALSE,"NNV";#N/A,#N/A,FALSE,"PP";#N/A,#N/A,FALSE,"SA"}</definedName>
    <definedName name="_3" localSheetId="47" hidden="1">{#N/A,#N/A,FALSE,"SCA";#N/A,#N/A,FALSE,"NCA";#N/A,#N/A,FALSE,"SAZ";#N/A,#N/A,FALSE,"CAZ";#N/A,#N/A,FALSE,"SNV";#N/A,#N/A,FALSE,"NNV";#N/A,#N/A,FALSE,"PP";#N/A,#N/A,FALSE,"SA"}</definedName>
    <definedName name="_3" hidden="1">{#N/A,#N/A,FALSE,"SCA";#N/A,#N/A,FALSE,"NCA";#N/A,#N/A,FALSE,"SAZ";#N/A,#N/A,FALSE,"CAZ";#N/A,#N/A,FALSE,"SNV";#N/A,#N/A,FALSE,"NNV";#N/A,#N/A,FALSE,"PP";#N/A,#N/A,FALSE,"SA"}</definedName>
    <definedName name="_3__123Graph_ACHART_13" hidden="1">#REF!</definedName>
    <definedName name="_3__123Graph_ACHART_3" localSheetId="6" hidden="1">#REF!</definedName>
    <definedName name="_3__123Graph_ACHART_3" localSheetId="7" hidden="1">#REF!</definedName>
    <definedName name="_3__123Graph_ACHART_3" localSheetId="29" hidden="1">#REF!</definedName>
    <definedName name="_3__123Graph_ACHART_3" localSheetId="47" hidden="1">#REF!</definedName>
    <definedName name="_3__123Graph_ACHART_3" hidden="1">#REF!</definedName>
    <definedName name="_3__123Graph_CYIELD_CURVES" localSheetId="1" hidden="1">#REF!</definedName>
    <definedName name="_3__123Graph_CYIELD_CURVES" localSheetId="6" hidden="1">#REF!</definedName>
    <definedName name="_3__123Graph_CYIELD_CURVES" localSheetId="7" hidden="1">#REF!</definedName>
    <definedName name="_3__123Graph_CYIELD_CURVES" localSheetId="29" hidden="1">#REF!</definedName>
    <definedName name="_3__123Graph_CYIELD_CURVES" localSheetId="47" hidden="1">#REF!</definedName>
    <definedName name="_3__123Graph_CYIELD_CURVES" hidden="1">#REF!</definedName>
    <definedName name="_30" localSheetId="1" hidden="1">{"caz2",#N/A,FALSE,"Central Arizona 2";"saz2",#N/A,FALSE,"Southern Arizona 2";"snv2",#N/A,FALSE,"Southern Nevada 2";"nnv2",#N/A,FALSE,"Northern Nevada 2";"sca2",#N/A,FALSE,"Southern California 2";"nca2",#N/A,FALSE,"Northern California 2";"pai2",#N/A,FALSE,"Paiute 2"}</definedName>
    <definedName name="_30" localSheetId="32" hidden="1">{"caz2",#N/A,FALSE,"Central Arizona 2";"saz2",#N/A,FALSE,"Southern Arizona 2";"snv2",#N/A,FALSE,"Southern Nevada 2";"nnv2",#N/A,FALSE,"Northern Nevada 2";"sca2",#N/A,FALSE,"Southern California 2";"nca2",#N/A,FALSE,"Northern California 2";"pai2",#N/A,FALSE,"Paiute 2"}</definedName>
    <definedName name="_30" localSheetId="6" hidden="1">{"caz2",#N/A,FALSE,"Central Arizona 2";"saz2",#N/A,FALSE,"Southern Arizona 2";"snv2",#N/A,FALSE,"Southern Nevada 2";"nnv2",#N/A,FALSE,"Northern Nevada 2";"sca2",#N/A,FALSE,"Southern California 2";"nca2",#N/A,FALSE,"Northern California 2";"pai2",#N/A,FALSE,"Paiute 2"}</definedName>
    <definedName name="_30" localSheetId="4" hidden="1">{"caz2",#N/A,FALSE,"Central Arizona 2";"saz2",#N/A,FALSE,"Southern Arizona 2";"snv2",#N/A,FALSE,"Southern Nevada 2";"nnv2",#N/A,FALSE,"Northern Nevada 2";"sca2",#N/A,FALSE,"Southern California 2";"nca2",#N/A,FALSE,"Northern California 2";"pai2",#N/A,FALSE,"Paiute 2"}</definedName>
    <definedName name="_30" localSheetId="5" hidden="1">{"caz2",#N/A,FALSE,"Central Arizona 2";"saz2",#N/A,FALSE,"Southern Arizona 2";"snv2",#N/A,FALSE,"Southern Nevada 2";"nnv2",#N/A,FALSE,"Northern Nevada 2";"sca2",#N/A,FALSE,"Southern California 2";"nca2",#N/A,FALSE,"Northern California 2";"pai2",#N/A,FALSE,"Paiute 2"}</definedName>
    <definedName name="_30" localSheetId="7" hidden="1">{"caz2",#N/A,FALSE,"Central Arizona 2";"saz2",#N/A,FALSE,"Southern Arizona 2";"snv2",#N/A,FALSE,"Southern Nevada 2";"nnv2",#N/A,FALSE,"Northern Nevada 2";"sca2",#N/A,FALSE,"Southern California 2";"nca2",#N/A,FALSE,"Northern California 2";"pai2",#N/A,FALSE,"Paiute 2"}</definedName>
    <definedName name="_30" localSheetId="3" hidden="1">{"caz2",#N/A,FALSE,"Central Arizona 2";"saz2",#N/A,FALSE,"Southern Arizona 2";"snv2",#N/A,FALSE,"Southern Nevada 2";"nnv2",#N/A,FALSE,"Northern Nevada 2";"sca2",#N/A,FALSE,"Southern California 2";"nca2",#N/A,FALSE,"Northern California 2";"pai2",#N/A,FALSE,"Paiute 2"}</definedName>
    <definedName name="_30" localSheetId="47" hidden="1">{"caz2",#N/A,FALSE,"Central Arizona 2";"saz2",#N/A,FALSE,"Southern Arizona 2";"snv2",#N/A,FALSE,"Southern Nevada 2";"nnv2",#N/A,FALSE,"Northern Nevada 2";"sca2",#N/A,FALSE,"Southern California 2";"nca2",#N/A,FALSE,"Northern California 2";"pai2",#N/A,FALSE,"Paiute 2"}</definedName>
    <definedName name="_30" hidden="1">{"caz2",#N/A,FALSE,"Central Arizona 2";"saz2",#N/A,FALSE,"Southern Arizona 2";"snv2",#N/A,FALSE,"Southern Nevada 2";"nnv2",#N/A,FALSE,"Northern Nevada 2";"sca2",#N/A,FALSE,"Southern California 2";"nca2",#N/A,FALSE,"Northern California 2";"pai2",#N/A,FALSE,"Paiute 2"}</definedName>
    <definedName name="_30__123Graph_XCHART_5" hidden="1">#REF!</definedName>
    <definedName name="_304__123Graph_XCHART_4" hidden="1">#REF!</definedName>
    <definedName name="_304__123Graph_XCHART_6" hidden="1">#REF!</definedName>
    <definedName name="_31" localSheetId="1" hidden="1">{#N/A,#N/A,FALSE,"SCA";#N/A,#N/A,FALSE,"NCA";#N/A,#N/A,FALSE,"SAZ";#N/A,#N/A,FALSE,"CAZ";#N/A,#N/A,FALSE,"SNV";#N/A,#N/A,FALSE,"NNV";#N/A,#N/A,FALSE,"PP";#N/A,#N/A,FALSE,"SA"}</definedName>
    <definedName name="_31" localSheetId="32" hidden="1">{#N/A,#N/A,FALSE,"SCA";#N/A,#N/A,FALSE,"NCA";#N/A,#N/A,FALSE,"SAZ";#N/A,#N/A,FALSE,"CAZ";#N/A,#N/A,FALSE,"SNV";#N/A,#N/A,FALSE,"NNV";#N/A,#N/A,FALSE,"PP";#N/A,#N/A,FALSE,"SA"}</definedName>
    <definedName name="_31" localSheetId="6" hidden="1">{#N/A,#N/A,FALSE,"SCA";#N/A,#N/A,FALSE,"NCA";#N/A,#N/A,FALSE,"SAZ";#N/A,#N/A,FALSE,"CAZ";#N/A,#N/A,FALSE,"SNV";#N/A,#N/A,FALSE,"NNV";#N/A,#N/A,FALSE,"PP";#N/A,#N/A,FALSE,"SA"}</definedName>
    <definedName name="_31" localSheetId="4" hidden="1">{#N/A,#N/A,FALSE,"SCA";#N/A,#N/A,FALSE,"NCA";#N/A,#N/A,FALSE,"SAZ";#N/A,#N/A,FALSE,"CAZ";#N/A,#N/A,FALSE,"SNV";#N/A,#N/A,FALSE,"NNV";#N/A,#N/A,FALSE,"PP";#N/A,#N/A,FALSE,"SA"}</definedName>
    <definedName name="_31" localSheetId="5" hidden="1">{#N/A,#N/A,FALSE,"SCA";#N/A,#N/A,FALSE,"NCA";#N/A,#N/A,FALSE,"SAZ";#N/A,#N/A,FALSE,"CAZ";#N/A,#N/A,FALSE,"SNV";#N/A,#N/A,FALSE,"NNV";#N/A,#N/A,FALSE,"PP";#N/A,#N/A,FALSE,"SA"}</definedName>
    <definedName name="_31" localSheetId="7" hidden="1">{#N/A,#N/A,FALSE,"SCA";#N/A,#N/A,FALSE,"NCA";#N/A,#N/A,FALSE,"SAZ";#N/A,#N/A,FALSE,"CAZ";#N/A,#N/A,FALSE,"SNV";#N/A,#N/A,FALSE,"NNV";#N/A,#N/A,FALSE,"PP";#N/A,#N/A,FALSE,"SA"}</definedName>
    <definedName name="_31" localSheetId="3" hidden="1">{#N/A,#N/A,FALSE,"SCA";#N/A,#N/A,FALSE,"NCA";#N/A,#N/A,FALSE,"SAZ";#N/A,#N/A,FALSE,"CAZ";#N/A,#N/A,FALSE,"SNV";#N/A,#N/A,FALSE,"NNV";#N/A,#N/A,FALSE,"PP";#N/A,#N/A,FALSE,"SA"}</definedName>
    <definedName name="_31" localSheetId="47" hidden="1">{#N/A,#N/A,FALSE,"SCA";#N/A,#N/A,FALSE,"NCA";#N/A,#N/A,FALSE,"SAZ";#N/A,#N/A,FALSE,"CAZ";#N/A,#N/A,FALSE,"SNV";#N/A,#N/A,FALSE,"NNV";#N/A,#N/A,FALSE,"PP";#N/A,#N/A,FALSE,"SA"}</definedName>
    <definedName name="_31" hidden="1">{#N/A,#N/A,FALSE,"SCA";#N/A,#N/A,FALSE,"NCA";#N/A,#N/A,FALSE,"SAZ";#N/A,#N/A,FALSE,"CAZ";#N/A,#N/A,FALSE,"SNV";#N/A,#N/A,FALSE,"NNV";#N/A,#N/A,FALSE,"PP";#N/A,#N/A,FALSE,"SA"}</definedName>
    <definedName name="_32" localSheetId="1" hidden="1">{#N/A,#N/A,FALSE,"SCA";#N/A,#N/A,FALSE,"NCA";#N/A,#N/A,FALSE,"SAZ";#N/A,#N/A,FALSE,"CAZ";#N/A,#N/A,FALSE,"SNV";#N/A,#N/A,FALSE,"NNV";#N/A,#N/A,FALSE,"PP";#N/A,#N/A,FALSE,"SA"}</definedName>
    <definedName name="_32" localSheetId="32" hidden="1">{#N/A,#N/A,FALSE,"SCA";#N/A,#N/A,FALSE,"NCA";#N/A,#N/A,FALSE,"SAZ";#N/A,#N/A,FALSE,"CAZ";#N/A,#N/A,FALSE,"SNV";#N/A,#N/A,FALSE,"NNV";#N/A,#N/A,FALSE,"PP";#N/A,#N/A,FALSE,"SA"}</definedName>
    <definedName name="_32" localSheetId="6" hidden="1">{#N/A,#N/A,FALSE,"SCA";#N/A,#N/A,FALSE,"NCA";#N/A,#N/A,FALSE,"SAZ";#N/A,#N/A,FALSE,"CAZ";#N/A,#N/A,FALSE,"SNV";#N/A,#N/A,FALSE,"NNV";#N/A,#N/A,FALSE,"PP";#N/A,#N/A,FALSE,"SA"}</definedName>
    <definedName name="_32" localSheetId="4" hidden="1">{#N/A,#N/A,FALSE,"SCA";#N/A,#N/A,FALSE,"NCA";#N/A,#N/A,FALSE,"SAZ";#N/A,#N/A,FALSE,"CAZ";#N/A,#N/A,FALSE,"SNV";#N/A,#N/A,FALSE,"NNV";#N/A,#N/A,FALSE,"PP";#N/A,#N/A,FALSE,"SA"}</definedName>
    <definedName name="_32" localSheetId="5" hidden="1">{#N/A,#N/A,FALSE,"SCA";#N/A,#N/A,FALSE,"NCA";#N/A,#N/A,FALSE,"SAZ";#N/A,#N/A,FALSE,"CAZ";#N/A,#N/A,FALSE,"SNV";#N/A,#N/A,FALSE,"NNV";#N/A,#N/A,FALSE,"PP";#N/A,#N/A,FALSE,"SA"}</definedName>
    <definedName name="_32" localSheetId="7" hidden="1">{#N/A,#N/A,FALSE,"SCA";#N/A,#N/A,FALSE,"NCA";#N/A,#N/A,FALSE,"SAZ";#N/A,#N/A,FALSE,"CAZ";#N/A,#N/A,FALSE,"SNV";#N/A,#N/A,FALSE,"NNV";#N/A,#N/A,FALSE,"PP";#N/A,#N/A,FALSE,"SA"}</definedName>
    <definedName name="_32" localSheetId="3" hidden="1">{#N/A,#N/A,FALSE,"SCA";#N/A,#N/A,FALSE,"NCA";#N/A,#N/A,FALSE,"SAZ";#N/A,#N/A,FALSE,"CAZ";#N/A,#N/A,FALSE,"SNV";#N/A,#N/A,FALSE,"NNV";#N/A,#N/A,FALSE,"PP";#N/A,#N/A,FALSE,"SA"}</definedName>
    <definedName name="_32" localSheetId="47" hidden="1">{#N/A,#N/A,FALSE,"SCA";#N/A,#N/A,FALSE,"NCA";#N/A,#N/A,FALSE,"SAZ";#N/A,#N/A,FALSE,"CAZ";#N/A,#N/A,FALSE,"SNV";#N/A,#N/A,FALSE,"NNV";#N/A,#N/A,FALSE,"PP";#N/A,#N/A,FALSE,"SA"}</definedName>
    <definedName name="_32" hidden="1">{#N/A,#N/A,FALSE,"SCA";#N/A,#N/A,FALSE,"NCA";#N/A,#N/A,FALSE,"SAZ";#N/A,#N/A,FALSE,"CAZ";#N/A,#N/A,FALSE,"SNV";#N/A,#N/A,FALSE,"NNV";#N/A,#N/A,FALSE,"PP";#N/A,#N/A,FALSE,"SA"}</definedName>
    <definedName name="_32__123Graph_XCHART_6" hidden="1">#REF!</definedName>
    <definedName name="_325__123Graph_XCHART_5" hidden="1">#REF!</definedName>
    <definedName name="_33" localSheetId="1" hidden="1">{"ARK_JURIS_FUEL",#N/A,FALSE,"Ark_Fuel&amp;Rev"}</definedName>
    <definedName name="_33" localSheetId="32" hidden="1">{"ARK_JURIS_FUEL",#N/A,FALSE,"Ark_Fuel&amp;Rev"}</definedName>
    <definedName name="_33" localSheetId="6" hidden="1">{"ARK_JURIS_FUEL",#N/A,FALSE,"Ark_Fuel&amp;Rev"}</definedName>
    <definedName name="_33" localSheetId="4" hidden="1">{"ARK_JURIS_FUEL",#N/A,FALSE,"Ark_Fuel&amp;Rev"}</definedName>
    <definedName name="_33" localSheetId="5" hidden="1">{"ARK_JURIS_FUEL",#N/A,FALSE,"Ark_Fuel&amp;Rev"}</definedName>
    <definedName name="_33" localSheetId="7" hidden="1">{"ARK_JURIS_FUEL",#N/A,FALSE,"Ark_Fuel&amp;Rev"}</definedName>
    <definedName name="_33" localSheetId="3" hidden="1">{"ARK_JURIS_FUEL",#N/A,FALSE,"Ark_Fuel&amp;Rev"}</definedName>
    <definedName name="_33" localSheetId="47" hidden="1">{"ARK_JURIS_FUEL",#N/A,FALSE,"Ark_Fuel&amp;Rev"}</definedName>
    <definedName name="_33" hidden="1">{"ARK_JURIS_FUEL",#N/A,FALSE,"Ark_Fuel&amp;Rev"}</definedName>
    <definedName name="_33__123Graph_BCHART_6" hidden="1">#REF!</definedName>
    <definedName name="_34" localSheetId="1" hidden="1">{#N/A,#N/A,FALSE,"SCA";#N/A,#N/A,FALSE,"NCA";#N/A,#N/A,FALSE,"SAZ";#N/A,#N/A,FALSE,"CAZ";#N/A,#N/A,FALSE,"SNV";#N/A,#N/A,FALSE,"NNV";#N/A,#N/A,FALSE,"PP";#N/A,#N/A,FALSE,"SA"}</definedName>
    <definedName name="_34" localSheetId="32" hidden="1">{#N/A,#N/A,FALSE,"SCA";#N/A,#N/A,FALSE,"NCA";#N/A,#N/A,FALSE,"SAZ";#N/A,#N/A,FALSE,"CAZ";#N/A,#N/A,FALSE,"SNV";#N/A,#N/A,FALSE,"NNV";#N/A,#N/A,FALSE,"PP";#N/A,#N/A,FALSE,"SA"}</definedName>
    <definedName name="_34" localSheetId="6" hidden="1">{#N/A,#N/A,FALSE,"SCA";#N/A,#N/A,FALSE,"NCA";#N/A,#N/A,FALSE,"SAZ";#N/A,#N/A,FALSE,"CAZ";#N/A,#N/A,FALSE,"SNV";#N/A,#N/A,FALSE,"NNV";#N/A,#N/A,FALSE,"PP";#N/A,#N/A,FALSE,"SA"}</definedName>
    <definedName name="_34" localSheetId="4" hidden="1">{#N/A,#N/A,FALSE,"SCA";#N/A,#N/A,FALSE,"NCA";#N/A,#N/A,FALSE,"SAZ";#N/A,#N/A,FALSE,"CAZ";#N/A,#N/A,FALSE,"SNV";#N/A,#N/A,FALSE,"NNV";#N/A,#N/A,FALSE,"PP";#N/A,#N/A,FALSE,"SA"}</definedName>
    <definedName name="_34" localSheetId="5" hidden="1">{#N/A,#N/A,FALSE,"SCA";#N/A,#N/A,FALSE,"NCA";#N/A,#N/A,FALSE,"SAZ";#N/A,#N/A,FALSE,"CAZ";#N/A,#N/A,FALSE,"SNV";#N/A,#N/A,FALSE,"NNV";#N/A,#N/A,FALSE,"PP";#N/A,#N/A,FALSE,"SA"}</definedName>
    <definedName name="_34" localSheetId="7" hidden="1">{#N/A,#N/A,FALSE,"SCA";#N/A,#N/A,FALSE,"NCA";#N/A,#N/A,FALSE,"SAZ";#N/A,#N/A,FALSE,"CAZ";#N/A,#N/A,FALSE,"SNV";#N/A,#N/A,FALSE,"NNV";#N/A,#N/A,FALSE,"PP";#N/A,#N/A,FALSE,"SA"}</definedName>
    <definedName name="_34" localSheetId="3" hidden="1">{#N/A,#N/A,FALSE,"SCA";#N/A,#N/A,FALSE,"NCA";#N/A,#N/A,FALSE,"SAZ";#N/A,#N/A,FALSE,"CAZ";#N/A,#N/A,FALSE,"SNV";#N/A,#N/A,FALSE,"NNV";#N/A,#N/A,FALSE,"PP";#N/A,#N/A,FALSE,"SA"}</definedName>
    <definedName name="_34" localSheetId="47" hidden="1">{#N/A,#N/A,FALSE,"SCA";#N/A,#N/A,FALSE,"NCA";#N/A,#N/A,FALSE,"SAZ";#N/A,#N/A,FALSE,"CAZ";#N/A,#N/A,FALSE,"SNV";#N/A,#N/A,FALSE,"NNV";#N/A,#N/A,FALSE,"PP";#N/A,#N/A,FALSE,"SA"}</definedName>
    <definedName name="_34" hidden="1">{#N/A,#N/A,FALSE,"SCA";#N/A,#N/A,FALSE,"NCA";#N/A,#N/A,FALSE,"SAZ";#N/A,#N/A,FALSE,"CAZ";#N/A,#N/A,FALSE,"SNV";#N/A,#N/A,FALSE,"NNV";#N/A,#N/A,FALSE,"PP";#N/A,#N/A,FALSE,"SA"}</definedName>
    <definedName name="_34__123Graph_ACHART_2" hidden="1">#REF!</definedName>
    <definedName name="_346__123Graph_XCHART_6" hidden="1">#REF!</definedName>
    <definedName name="_35" localSheetId="1" hidden="1">{#N/A,#N/A,TRUE,"1990";#N/A,#N/A,TRUE,"1991";#N/A,#N/A,TRUE,"1992";#N/A,#N/A,TRUE,"1993"}</definedName>
    <definedName name="_35" localSheetId="32" hidden="1">{#N/A,#N/A,TRUE,"1990";#N/A,#N/A,TRUE,"1991";#N/A,#N/A,TRUE,"1992";#N/A,#N/A,TRUE,"1993"}</definedName>
    <definedName name="_35" localSheetId="6" hidden="1">{#N/A,#N/A,TRUE,"1990";#N/A,#N/A,TRUE,"1991";#N/A,#N/A,TRUE,"1992";#N/A,#N/A,TRUE,"1993"}</definedName>
    <definedName name="_35" localSheetId="4" hidden="1">{#N/A,#N/A,TRUE,"1990";#N/A,#N/A,TRUE,"1991";#N/A,#N/A,TRUE,"1992";#N/A,#N/A,TRUE,"1993"}</definedName>
    <definedName name="_35" localSheetId="5" hidden="1">{#N/A,#N/A,TRUE,"1990";#N/A,#N/A,TRUE,"1991";#N/A,#N/A,TRUE,"1992";#N/A,#N/A,TRUE,"1993"}</definedName>
    <definedName name="_35" localSheetId="7" hidden="1">{#N/A,#N/A,TRUE,"1990";#N/A,#N/A,TRUE,"1991";#N/A,#N/A,TRUE,"1992";#N/A,#N/A,TRUE,"1993"}</definedName>
    <definedName name="_35" localSheetId="3" hidden="1">{#N/A,#N/A,TRUE,"1990";#N/A,#N/A,TRUE,"1991";#N/A,#N/A,TRUE,"1992";#N/A,#N/A,TRUE,"1993"}</definedName>
    <definedName name="_35" localSheetId="47" hidden="1">{#N/A,#N/A,TRUE,"1990";#N/A,#N/A,TRUE,"1991";#N/A,#N/A,TRUE,"1992";#N/A,#N/A,TRUE,"1993"}</definedName>
    <definedName name="_35" hidden="1">{#N/A,#N/A,TRUE,"1990";#N/A,#N/A,TRUE,"1991";#N/A,#N/A,TRUE,"1992";#N/A,#N/A,TRUE,"1993"}</definedName>
    <definedName name="_36" localSheetId="1" hidden="1">{"summary",#N/A,TRUE,"E93ADJ";"detail",#N/A,TRUE,"E93ADJ"}</definedName>
    <definedName name="_36" localSheetId="32" hidden="1">{"summary",#N/A,TRUE,"E93ADJ";"detail",#N/A,TRUE,"E93ADJ"}</definedName>
    <definedName name="_36" localSheetId="6" hidden="1">{"summary",#N/A,TRUE,"E93ADJ";"detail",#N/A,TRUE,"E93ADJ"}</definedName>
    <definedName name="_36" localSheetId="4" hidden="1">{"summary",#N/A,TRUE,"E93ADJ";"detail",#N/A,TRUE,"E93ADJ"}</definedName>
    <definedName name="_36" localSheetId="5" hidden="1">{"summary",#N/A,TRUE,"E93ADJ";"detail",#N/A,TRUE,"E93ADJ"}</definedName>
    <definedName name="_36" localSheetId="7" hidden="1">{"summary",#N/A,TRUE,"E93ADJ";"detail",#N/A,TRUE,"E93ADJ"}</definedName>
    <definedName name="_36" localSheetId="3" hidden="1">{"summary",#N/A,TRUE,"E93ADJ";"detail",#N/A,TRUE,"E93ADJ"}</definedName>
    <definedName name="_36" localSheetId="47" hidden="1">{"summary",#N/A,TRUE,"E93ADJ";"detail",#N/A,TRUE,"E93ADJ"}</definedName>
    <definedName name="_36" hidden="1">{"summary",#N/A,TRUE,"E93ADJ";"detail",#N/A,TRUE,"E93ADJ"}</definedName>
    <definedName name="_36__123Graph_ACHART_2" hidden="1">#REF!</definedName>
    <definedName name="_37"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8"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3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4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9" localSheetId="1" hidden="1">{"summary",#N/A,TRUE,"E93ADJ";"detail",#N/A,TRUE,"E93ADJ"}</definedName>
    <definedName name="_39" localSheetId="32" hidden="1">{"summary",#N/A,TRUE,"E93ADJ";"detail",#N/A,TRUE,"E93ADJ"}</definedName>
    <definedName name="_39" localSheetId="6" hidden="1">{"summary",#N/A,TRUE,"E93ADJ";"detail",#N/A,TRUE,"E93ADJ"}</definedName>
    <definedName name="_39" localSheetId="4" hidden="1">{"summary",#N/A,TRUE,"E93ADJ";"detail",#N/A,TRUE,"E93ADJ"}</definedName>
    <definedName name="_39" localSheetId="5" hidden="1">{"summary",#N/A,TRUE,"E93ADJ";"detail",#N/A,TRUE,"E93ADJ"}</definedName>
    <definedName name="_39" localSheetId="7" hidden="1">{"summary",#N/A,TRUE,"E93ADJ";"detail",#N/A,TRUE,"E93ADJ"}</definedName>
    <definedName name="_39" localSheetId="3" hidden="1">{"summary",#N/A,TRUE,"E93ADJ";"detail",#N/A,TRUE,"E93ADJ"}</definedName>
    <definedName name="_39" localSheetId="47" hidden="1">{"summary",#N/A,TRUE,"E93ADJ";"detail",#N/A,TRUE,"E93ADJ"}</definedName>
    <definedName name="_39" hidden="1">{"summary",#N/A,TRUE,"E93ADJ";"detail",#N/A,TRUE,"E93ADJ"}</definedName>
    <definedName name="_3SERIES_R" localSheetId="6">#REF!</definedName>
    <definedName name="_3SERIES_R" localSheetId="3">#REF!</definedName>
    <definedName name="_3SERIES_R">#REF!</definedName>
    <definedName name="_4"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__123Graph_ACHART_14" hidden="1">#REF!</definedName>
    <definedName name="_4__123Graph_ACHART_2" hidden="1">#REF!</definedName>
    <definedName name="_4__123Graph_ACHART_4" localSheetId="6" hidden="1">#REF!</definedName>
    <definedName name="_4__123Graph_ACHART_4" localSheetId="7" hidden="1">#REF!</definedName>
    <definedName name="_4__123Graph_ACHART_4" localSheetId="29" hidden="1">#REF!</definedName>
    <definedName name="_4__123Graph_ACHART_4" localSheetId="47" hidden="1">#REF!</definedName>
    <definedName name="_4__123Graph_ACHART_4" hidden="1">#REF!</definedName>
    <definedName name="_4__123Graph_DYIELD_CURVES" localSheetId="1" hidden="1">#REF!</definedName>
    <definedName name="_4__123Graph_DYIELD_CURVES" localSheetId="6" hidden="1">#REF!</definedName>
    <definedName name="_4__123Graph_DYIELD_CURVES" localSheetId="7" hidden="1">#REF!</definedName>
    <definedName name="_4__123Graph_DYIELD_CURVES" localSheetId="29" hidden="1">#REF!</definedName>
    <definedName name="_4__123Graph_DYIELD_CURVES" localSheetId="47" hidden="1">#REF!</definedName>
    <definedName name="_4__123Graph_DYIELD_CURVES" hidden="1">#REF!</definedName>
    <definedName name="_4_0__123Grap" localSheetId="1" hidden="1">#REF!</definedName>
    <definedName name="_4_0__123Grap" localSheetId="6" hidden="1">#REF!</definedName>
    <definedName name="_4_0__123Grap" localSheetId="7" hidden="1">#REF!</definedName>
    <definedName name="_4_0__123Grap" localSheetId="29" hidden="1">#REF!</definedName>
    <definedName name="_4_0__123Grap" localSheetId="47" hidden="1">#REF!</definedName>
    <definedName name="_4_0__123Grap" hidden="1">#REF!</definedName>
    <definedName name="_40" localSheetId="1" hidden="1">{"ARK_JURIS_FUEL",#N/A,FALSE,"Ark_Fuel&amp;Rev"}</definedName>
    <definedName name="_40" localSheetId="32" hidden="1">{"ARK_JURIS_FUEL",#N/A,FALSE,"Ark_Fuel&amp;Rev"}</definedName>
    <definedName name="_40" localSheetId="6" hidden="1">{"ARK_JURIS_FUEL",#N/A,FALSE,"Ark_Fuel&amp;Rev"}</definedName>
    <definedName name="_40" localSheetId="4" hidden="1">{"ARK_JURIS_FUEL",#N/A,FALSE,"Ark_Fuel&amp;Rev"}</definedName>
    <definedName name="_40" localSheetId="5" hidden="1">{"ARK_JURIS_FUEL",#N/A,FALSE,"Ark_Fuel&amp;Rev"}</definedName>
    <definedName name="_40" localSheetId="7" hidden="1">{"ARK_JURIS_FUEL",#N/A,FALSE,"Ark_Fuel&amp;Rev"}</definedName>
    <definedName name="_40" localSheetId="3" hidden="1">{"ARK_JURIS_FUEL",#N/A,FALSE,"Ark_Fuel&amp;Rev"}</definedName>
    <definedName name="_40" localSheetId="47" hidden="1">{"ARK_JURIS_FUEL",#N/A,FALSE,"Ark_Fuel&amp;Rev"}</definedName>
    <definedName name="_40" hidden="1">{"ARK_JURIS_FUEL",#N/A,FALSE,"Ark_Fuel&amp;Rev"}</definedName>
    <definedName name="_41"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3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4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2" localSheetId="1" hidden="1">{#N/A,#N/A,TRUE,"1990";#N/A,#N/A,TRUE,"1991";#N/A,#N/A,TRUE,"1992";#N/A,#N/A,TRUE,"1993"}</definedName>
    <definedName name="_42" localSheetId="32" hidden="1">{#N/A,#N/A,TRUE,"1990";#N/A,#N/A,TRUE,"1991";#N/A,#N/A,TRUE,"1992";#N/A,#N/A,TRUE,"1993"}</definedName>
    <definedName name="_42" localSheetId="6" hidden="1">{#N/A,#N/A,TRUE,"1990";#N/A,#N/A,TRUE,"1991";#N/A,#N/A,TRUE,"1992";#N/A,#N/A,TRUE,"1993"}</definedName>
    <definedName name="_42" localSheetId="4" hidden="1">{#N/A,#N/A,TRUE,"1990";#N/A,#N/A,TRUE,"1991";#N/A,#N/A,TRUE,"1992";#N/A,#N/A,TRUE,"1993"}</definedName>
    <definedName name="_42" localSheetId="5" hidden="1">{#N/A,#N/A,TRUE,"1990";#N/A,#N/A,TRUE,"1991";#N/A,#N/A,TRUE,"1992";#N/A,#N/A,TRUE,"1993"}</definedName>
    <definedName name="_42" localSheetId="7" hidden="1">{#N/A,#N/A,TRUE,"1990";#N/A,#N/A,TRUE,"1991";#N/A,#N/A,TRUE,"1992";#N/A,#N/A,TRUE,"1993"}</definedName>
    <definedName name="_42" localSheetId="3" hidden="1">{#N/A,#N/A,TRUE,"1990";#N/A,#N/A,TRUE,"1991";#N/A,#N/A,TRUE,"1992";#N/A,#N/A,TRUE,"1993"}</definedName>
    <definedName name="_42" localSheetId="47" hidden="1">{#N/A,#N/A,TRUE,"1990";#N/A,#N/A,TRUE,"1991";#N/A,#N/A,TRUE,"1992";#N/A,#N/A,TRUE,"1993"}</definedName>
    <definedName name="_42" hidden="1">{#N/A,#N/A,TRUE,"1990";#N/A,#N/A,TRUE,"1991";#N/A,#N/A,TRUE,"1992";#N/A,#N/A,TRUE,"1993"}</definedName>
    <definedName name="_42__123Graph_ACHART_2" hidden="1">#REF!</definedName>
    <definedName name="_42__123Graph_ACHART_3" hidden="1">#REF!</definedName>
    <definedName name="_42__123Graph_CCHART_6" localSheetId="6" hidden="1">#REF!</definedName>
    <definedName name="_42__123Graph_CCHART_6" localSheetId="7" hidden="1">#REF!</definedName>
    <definedName name="_42__123Graph_CCHART_6" localSheetId="3" hidden="1">#REF!</definedName>
    <definedName name="_42__123Graph_CCHART_6" localSheetId="29" hidden="1">#REF!</definedName>
    <definedName name="_42__123Graph_CCHART_6" hidden="1">#REF!</definedName>
    <definedName name="_43" localSheetId="1" hidden="1">{#N/A,#N/A,TRUE,"1990";#N/A,#N/A,TRUE,"1991";#N/A,#N/A,TRUE,"1992";#N/A,#N/A,TRUE,"1993"}</definedName>
    <definedName name="_43" localSheetId="32" hidden="1">{#N/A,#N/A,TRUE,"1990";#N/A,#N/A,TRUE,"1991";#N/A,#N/A,TRUE,"1992";#N/A,#N/A,TRUE,"1993"}</definedName>
    <definedName name="_43" localSheetId="6" hidden="1">{#N/A,#N/A,TRUE,"1990";#N/A,#N/A,TRUE,"1991";#N/A,#N/A,TRUE,"1992";#N/A,#N/A,TRUE,"1993"}</definedName>
    <definedName name="_43" localSheetId="4" hidden="1">{#N/A,#N/A,TRUE,"1990";#N/A,#N/A,TRUE,"1991";#N/A,#N/A,TRUE,"1992";#N/A,#N/A,TRUE,"1993"}</definedName>
    <definedName name="_43" localSheetId="5" hidden="1">{#N/A,#N/A,TRUE,"1990";#N/A,#N/A,TRUE,"1991";#N/A,#N/A,TRUE,"1992";#N/A,#N/A,TRUE,"1993"}</definedName>
    <definedName name="_43" localSheetId="7" hidden="1">{#N/A,#N/A,TRUE,"1990";#N/A,#N/A,TRUE,"1991";#N/A,#N/A,TRUE,"1992";#N/A,#N/A,TRUE,"1993"}</definedName>
    <definedName name="_43" localSheetId="3" hidden="1">{#N/A,#N/A,TRUE,"1990";#N/A,#N/A,TRUE,"1991";#N/A,#N/A,TRUE,"1992";#N/A,#N/A,TRUE,"1993"}</definedName>
    <definedName name="_43" localSheetId="47" hidden="1">{#N/A,#N/A,TRUE,"1990";#N/A,#N/A,TRUE,"1991";#N/A,#N/A,TRUE,"1992";#N/A,#N/A,TRUE,"1993"}</definedName>
    <definedName name="_43" hidden="1">{#N/A,#N/A,TRUE,"1990";#N/A,#N/A,TRUE,"1991";#N/A,#N/A,TRUE,"1992";#N/A,#N/A,TRUE,"1993"}</definedName>
    <definedName name="_44" localSheetId="1" hidden="1">{"summary",#N/A,TRUE,"E93ADJ";"detail",#N/A,TRUE,"E93ADJ"}</definedName>
    <definedName name="_44" localSheetId="32" hidden="1">{"summary",#N/A,TRUE,"E93ADJ";"detail",#N/A,TRUE,"E93ADJ"}</definedName>
    <definedName name="_44" localSheetId="6" hidden="1">{"summary",#N/A,TRUE,"E93ADJ";"detail",#N/A,TRUE,"E93ADJ"}</definedName>
    <definedName name="_44" localSheetId="4" hidden="1">{"summary",#N/A,TRUE,"E93ADJ";"detail",#N/A,TRUE,"E93ADJ"}</definedName>
    <definedName name="_44" localSheetId="5" hidden="1">{"summary",#N/A,TRUE,"E93ADJ";"detail",#N/A,TRUE,"E93ADJ"}</definedName>
    <definedName name="_44" localSheetId="7" hidden="1">{"summary",#N/A,TRUE,"E93ADJ";"detail",#N/A,TRUE,"E93ADJ"}</definedName>
    <definedName name="_44" localSheetId="3" hidden="1">{"summary",#N/A,TRUE,"E93ADJ";"detail",#N/A,TRUE,"E93ADJ"}</definedName>
    <definedName name="_44" localSheetId="47" hidden="1">{"summary",#N/A,TRUE,"E93ADJ";"detail",#N/A,TRUE,"E93ADJ"}</definedName>
    <definedName name="_44" hidden="1">{"summary",#N/A,TRUE,"E93ADJ";"detail",#N/A,TRUE,"E93ADJ"}</definedName>
    <definedName name="_45" localSheetId="1" hidden="1">{"summary",#N/A,TRUE,"E93ADJ";"detail",#N/A,TRUE,"E93ADJ"}</definedName>
    <definedName name="_45" localSheetId="32" hidden="1">{"summary",#N/A,TRUE,"E93ADJ";"detail",#N/A,TRUE,"E93ADJ"}</definedName>
    <definedName name="_45" localSheetId="6" hidden="1">{"summary",#N/A,TRUE,"E93ADJ";"detail",#N/A,TRUE,"E93ADJ"}</definedName>
    <definedName name="_45" localSheetId="4" hidden="1">{"summary",#N/A,TRUE,"E93ADJ";"detail",#N/A,TRUE,"E93ADJ"}</definedName>
    <definedName name="_45" localSheetId="5" hidden="1">{"summary",#N/A,TRUE,"E93ADJ";"detail",#N/A,TRUE,"E93ADJ"}</definedName>
    <definedName name="_45" localSheetId="7" hidden="1">{"summary",#N/A,TRUE,"E93ADJ";"detail",#N/A,TRUE,"E93ADJ"}</definedName>
    <definedName name="_45" localSheetId="3" hidden="1">{"summary",#N/A,TRUE,"E93ADJ";"detail",#N/A,TRUE,"E93ADJ"}</definedName>
    <definedName name="_45" localSheetId="47" hidden="1">{"summary",#N/A,TRUE,"E93ADJ";"detail",#N/A,TRUE,"E93ADJ"}</definedName>
    <definedName name="_45" hidden="1">{"summary",#N/A,TRUE,"E93ADJ";"detail",#N/A,TRUE,"E93ADJ"}</definedName>
    <definedName name="_46" localSheetId="1" hidden="1">{#N/A,#N/A,TRUE,"1990";#N/A,#N/A,TRUE,"1991";#N/A,#N/A,TRUE,"1992";#N/A,#N/A,TRUE,"1993"}</definedName>
    <definedName name="_46" localSheetId="32" hidden="1">{#N/A,#N/A,TRUE,"1990";#N/A,#N/A,TRUE,"1991";#N/A,#N/A,TRUE,"1992";#N/A,#N/A,TRUE,"1993"}</definedName>
    <definedName name="_46" localSheetId="6" hidden="1">{#N/A,#N/A,TRUE,"1990";#N/A,#N/A,TRUE,"1991";#N/A,#N/A,TRUE,"1992";#N/A,#N/A,TRUE,"1993"}</definedName>
    <definedName name="_46" localSheetId="4" hidden="1">{#N/A,#N/A,TRUE,"1990";#N/A,#N/A,TRUE,"1991";#N/A,#N/A,TRUE,"1992";#N/A,#N/A,TRUE,"1993"}</definedName>
    <definedName name="_46" localSheetId="5" hidden="1">{#N/A,#N/A,TRUE,"1990";#N/A,#N/A,TRUE,"1991";#N/A,#N/A,TRUE,"1992";#N/A,#N/A,TRUE,"1993"}</definedName>
    <definedName name="_46" localSheetId="7" hidden="1">{#N/A,#N/A,TRUE,"1990";#N/A,#N/A,TRUE,"1991";#N/A,#N/A,TRUE,"1992";#N/A,#N/A,TRUE,"1993"}</definedName>
    <definedName name="_46" localSheetId="3" hidden="1">{#N/A,#N/A,TRUE,"1990";#N/A,#N/A,TRUE,"1991";#N/A,#N/A,TRUE,"1992";#N/A,#N/A,TRUE,"1993"}</definedName>
    <definedName name="_46" localSheetId="47" hidden="1">{#N/A,#N/A,TRUE,"1990";#N/A,#N/A,TRUE,"1991";#N/A,#N/A,TRUE,"1992";#N/A,#N/A,TRUE,"1993"}</definedName>
    <definedName name="_46" hidden="1">{#N/A,#N/A,TRUE,"1990";#N/A,#N/A,TRUE,"1991";#N/A,#N/A,TRUE,"1992";#N/A,#N/A,TRUE,"1993"}</definedName>
    <definedName name="_47" localSheetId="1" hidden="1">{"summary",#N/A,TRUE,"E93ADJ";"detail",#N/A,TRUE,"E93ADJ"}</definedName>
    <definedName name="_47" localSheetId="32" hidden="1">{"summary",#N/A,TRUE,"E93ADJ";"detail",#N/A,TRUE,"E93ADJ"}</definedName>
    <definedName name="_47" localSheetId="6" hidden="1">{"summary",#N/A,TRUE,"E93ADJ";"detail",#N/A,TRUE,"E93ADJ"}</definedName>
    <definedName name="_47" localSheetId="4" hidden="1">{"summary",#N/A,TRUE,"E93ADJ";"detail",#N/A,TRUE,"E93ADJ"}</definedName>
    <definedName name="_47" localSheetId="5" hidden="1">{"summary",#N/A,TRUE,"E93ADJ";"detail",#N/A,TRUE,"E93ADJ"}</definedName>
    <definedName name="_47" localSheetId="7" hidden="1">{"summary",#N/A,TRUE,"E93ADJ";"detail",#N/A,TRUE,"E93ADJ"}</definedName>
    <definedName name="_47" localSheetId="3" hidden="1">{"summary",#N/A,TRUE,"E93ADJ";"detail",#N/A,TRUE,"E93ADJ"}</definedName>
    <definedName name="_47" localSheetId="47" hidden="1">{"summary",#N/A,TRUE,"E93ADJ";"detail",#N/A,TRUE,"E93ADJ"}</definedName>
    <definedName name="_47" hidden="1">{"summary",#N/A,TRUE,"E93ADJ";"detail",#N/A,TRUE,"E93ADJ"}</definedName>
    <definedName name="_48" localSheetId="1" hidden="1">{#N/A,#N/A,TRUE,"1990";#N/A,#N/A,TRUE,"1991";#N/A,#N/A,TRUE,"1992";#N/A,#N/A,TRUE,"1993"}</definedName>
    <definedName name="_48" localSheetId="32" hidden="1">{#N/A,#N/A,TRUE,"1990";#N/A,#N/A,TRUE,"1991";#N/A,#N/A,TRUE,"1992";#N/A,#N/A,TRUE,"1993"}</definedName>
    <definedName name="_48" localSheetId="6" hidden="1">{#N/A,#N/A,TRUE,"1990";#N/A,#N/A,TRUE,"1991";#N/A,#N/A,TRUE,"1992";#N/A,#N/A,TRUE,"1993"}</definedName>
    <definedName name="_48" localSheetId="4" hidden="1">{#N/A,#N/A,TRUE,"1990";#N/A,#N/A,TRUE,"1991";#N/A,#N/A,TRUE,"1992";#N/A,#N/A,TRUE,"1993"}</definedName>
    <definedName name="_48" localSheetId="5" hidden="1">{#N/A,#N/A,TRUE,"1990";#N/A,#N/A,TRUE,"1991";#N/A,#N/A,TRUE,"1992";#N/A,#N/A,TRUE,"1993"}</definedName>
    <definedName name="_48" localSheetId="7" hidden="1">{#N/A,#N/A,TRUE,"1990";#N/A,#N/A,TRUE,"1991";#N/A,#N/A,TRUE,"1992";#N/A,#N/A,TRUE,"1993"}</definedName>
    <definedName name="_48" localSheetId="3" hidden="1">{#N/A,#N/A,TRUE,"1990";#N/A,#N/A,TRUE,"1991";#N/A,#N/A,TRUE,"1992";#N/A,#N/A,TRUE,"1993"}</definedName>
    <definedName name="_48" localSheetId="47" hidden="1">{#N/A,#N/A,TRUE,"1990";#N/A,#N/A,TRUE,"1991";#N/A,#N/A,TRUE,"1992";#N/A,#N/A,TRUE,"1993"}</definedName>
    <definedName name="_48" hidden="1">{#N/A,#N/A,TRUE,"1990";#N/A,#N/A,TRUE,"1991";#N/A,#N/A,TRUE,"1992";#N/A,#N/A,TRUE,"1993"}</definedName>
    <definedName name="_49" localSheetId="1" hidden="1">{#N/A,#N/A,TRUE,"1990";#N/A,#N/A,TRUE,"1991";#N/A,#N/A,TRUE,"1992";#N/A,#N/A,TRUE,"1993"}</definedName>
    <definedName name="_49" localSheetId="32" hidden="1">{#N/A,#N/A,TRUE,"1990";#N/A,#N/A,TRUE,"1991";#N/A,#N/A,TRUE,"1992";#N/A,#N/A,TRUE,"1993"}</definedName>
    <definedName name="_49" localSheetId="6" hidden="1">{#N/A,#N/A,TRUE,"1990";#N/A,#N/A,TRUE,"1991";#N/A,#N/A,TRUE,"1992";#N/A,#N/A,TRUE,"1993"}</definedName>
    <definedName name="_49" localSheetId="4" hidden="1">{#N/A,#N/A,TRUE,"1990";#N/A,#N/A,TRUE,"1991";#N/A,#N/A,TRUE,"1992";#N/A,#N/A,TRUE,"1993"}</definedName>
    <definedName name="_49" localSheetId="5" hidden="1">{#N/A,#N/A,TRUE,"1990";#N/A,#N/A,TRUE,"1991";#N/A,#N/A,TRUE,"1992";#N/A,#N/A,TRUE,"1993"}</definedName>
    <definedName name="_49" localSheetId="7" hidden="1">{#N/A,#N/A,TRUE,"1990";#N/A,#N/A,TRUE,"1991";#N/A,#N/A,TRUE,"1992";#N/A,#N/A,TRUE,"1993"}</definedName>
    <definedName name="_49" localSheetId="3" hidden="1">{#N/A,#N/A,TRUE,"1990";#N/A,#N/A,TRUE,"1991";#N/A,#N/A,TRUE,"1992";#N/A,#N/A,TRUE,"1993"}</definedName>
    <definedName name="_49" localSheetId="47" hidden="1">{#N/A,#N/A,TRUE,"1990";#N/A,#N/A,TRUE,"1991";#N/A,#N/A,TRUE,"1992";#N/A,#N/A,TRUE,"1993"}</definedName>
    <definedName name="_49" hidden="1">{#N/A,#N/A,TRUE,"1990";#N/A,#N/A,TRUE,"1991";#N/A,#N/A,TRUE,"1992";#N/A,#N/A,TRUE,"1993"}</definedName>
    <definedName name="_4SERIES_T" localSheetId="6">#REF!</definedName>
    <definedName name="_4SERIES_T" localSheetId="3">#REF!</definedName>
    <definedName name="_4SERIES_T">#REF!</definedName>
    <definedName name="_5" localSheetId="1" hidden="1">{#N/A,#N/A,FALSE,"SCA";#N/A,#N/A,FALSE,"NCA";#N/A,#N/A,FALSE,"SAZ";#N/A,#N/A,FALSE,"CAZ";#N/A,#N/A,FALSE,"SNV";#N/A,#N/A,FALSE,"NNV";#N/A,#N/A,FALSE,"PP";#N/A,#N/A,FALSE,"SA"}</definedName>
    <definedName name="_5" localSheetId="32" hidden="1">{#N/A,#N/A,FALSE,"SCA";#N/A,#N/A,FALSE,"NCA";#N/A,#N/A,FALSE,"SAZ";#N/A,#N/A,FALSE,"CAZ";#N/A,#N/A,FALSE,"SNV";#N/A,#N/A,FALSE,"NNV";#N/A,#N/A,FALSE,"PP";#N/A,#N/A,FALSE,"SA"}</definedName>
    <definedName name="_5" localSheetId="6" hidden="1">{#N/A,#N/A,FALSE,"SCA";#N/A,#N/A,FALSE,"NCA";#N/A,#N/A,FALSE,"SAZ";#N/A,#N/A,FALSE,"CAZ";#N/A,#N/A,FALSE,"SNV";#N/A,#N/A,FALSE,"NNV";#N/A,#N/A,FALSE,"PP";#N/A,#N/A,FALSE,"SA"}</definedName>
    <definedName name="_5" localSheetId="4" hidden="1">{#N/A,#N/A,FALSE,"SCA";#N/A,#N/A,FALSE,"NCA";#N/A,#N/A,FALSE,"SAZ";#N/A,#N/A,FALSE,"CAZ";#N/A,#N/A,FALSE,"SNV";#N/A,#N/A,FALSE,"NNV";#N/A,#N/A,FALSE,"PP";#N/A,#N/A,FALSE,"SA"}</definedName>
    <definedName name="_5" localSheetId="5" hidden="1">{#N/A,#N/A,FALSE,"SCA";#N/A,#N/A,FALSE,"NCA";#N/A,#N/A,FALSE,"SAZ";#N/A,#N/A,FALSE,"CAZ";#N/A,#N/A,FALSE,"SNV";#N/A,#N/A,FALSE,"NNV";#N/A,#N/A,FALSE,"PP";#N/A,#N/A,FALSE,"SA"}</definedName>
    <definedName name="_5" localSheetId="7" hidden="1">{#N/A,#N/A,FALSE,"SCA";#N/A,#N/A,FALSE,"NCA";#N/A,#N/A,FALSE,"SAZ";#N/A,#N/A,FALSE,"CAZ";#N/A,#N/A,FALSE,"SNV";#N/A,#N/A,FALSE,"NNV";#N/A,#N/A,FALSE,"PP";#N/A,#N/A,FALSE,"SA"}</definedName>
    <definedName name="_5" localSheetId="3" hidden="1">{#N/A,#N/A,FALSE,"SCA";#N/A,#N/A,FALSE,"NCA";#N/A,#N/A,FALSE,"SAZ";#N/A,#N/A,FALSE,"CAZ";#N/A,#N/A,FALSE,"SNV";#N/A,#N/A,FALSE,"NNV";#N/A,#N/A,FALSE,"PP";#N/A,#N/A,FALSE,"SA"}</definedName>
    <definedName name="_5" localSheetId="47" hidden="1">{#N/A,#N/A,FALSE,"SCA";#N/A,#N/A,FALSE,"NCA";#N/A,#N/A,FALSE,"SAZ";#N/A,#N/A,FALSE,"CAZ";#N/A,#N/A,FALSE,"SNV";#N/A,#N/A,FALSE,"NNV";#N/A,#N/A,FALSE,"PP";#N/A,#N/A,FALSE,"SA"}</definedName>
    <definedName name="_5" hidden="1">{#N/A,#N/A,FALSE,"SCA";#N/A,#N/A,FALSE,"NCA";#N/A,#N/A,FALSE,"SAZ";#N/A,#N/A,FALSE,"CAZ";#N/A,#N/A,FALSE,"SNV";#N/A,#N/A,FALSE,"NNV";#N/A,#N/A,FALSE,"PP";#N/A,#N/A,FALSE,"SA"}</definedName>
    <definedName name="_5__123Graph_ACHART_15" hidden="1">#REF!</definedName>
    <definedName name="_5__123Graph_ACHART_5" localSheetId="6" hidden="1">#REF!</definedName>
    <definedName name="_5__123Graph_ACHART_5" localSheetId="7" hidden="1">#REF!</definedName>
    <definedName name="_5__123Graph_ACHART_5" localSheetId="29" hidden="1">#REF!</definedName>
    <definedName name="_5__123Graph_ACHART_5" localSheetId="47" hidden="1">#REF!</definedName>
    <definedName name="_5__123Graph_ACHART_5" hidden="1">#REF!</definedName>
    <definedName name="_50" localSheetId="1" hidden="1">{"summary",#N/A,TRUE,"E93ADJ";"detail",#N/A,TRUE,"E93ADJ"}</definedName>
    <definedName name="_50" localSheetId="32" hidden="1">{"summary",#N/A,TRUE,"E93ADJ";"detail",#N/A,TRUE,"E93ADJ"}</definedName>
    <definedName name="_50" localSheetId="6" hidden="1">{"summary",#N/A,TRUE,"E93ADJ";"detail",#N/A,TRUE,"E93ADJ"}</definedName>
    <definedName name="_50" localSheetId="4" hidden="1">{"summary",#N/A,TRUE,"E93ADJ";"detail",#N/A,TRUE,"E93ADJ"}</definedName>
    <definedName name="_50" localSheetId="5" hidden="1">{"summary",#N/A,TRUE,"E93ADJ";"detail",#N/A,TRUE,"E93ADJ"}</definedName>
    <definedName name="_50" localSheetId="7" hidden="1">{"summary",#N/A,TRUE,"E93ADJ";"detail",#N/A,TRUE,"E93ADJ"}</definedName>
    <definedName name="_50" localSheetId="3" hidden="1">{"summary",#N/A,TRUE,"E93ADJ";"detail",#N/A,TRUE,"E93ADJ"}</definedName>
    <definedName name="_50" localSheetId="47" hidden="1">{"summary",#N/A,TRUE,"E93ADJ";"detail",#N/A,TRUE,"E93ADJ"}</definedName>
    <definedName name="_50" hidden="1">{"summary",#N/A,TRUE,"E93ADJ";"detail",#N/A,TRUE,"E93ADJ"}</definedName>
    <definedName name="_51" localSheetId="1" hidden="1">{"summary",#N/A,TRUE,"E93ADJ";"detail",#N/A,TRUE,"E93ADJ"}</definedName>
    <definedName name="_51" localSheetId="32" hidden="1">{"summary",#N/A,TRUE,"E93ADJ";"detail",#N/A,TRUE,"E93ADJ"}</definedName>
    <definedName name="_51" localSheetId="6" hidden="1">{"summary",#N/A,TRUE,"E93ADJ";"detail",#N/A,TRUE,"E93ADJ"}</definedName>
    <definedName name="_51" localSheetId="4" hidden="1">{"summary",#N/A,TRUE,"E93ADJ";"detail",#N/A,TRUE,"E93ADJ"}</definedName>
    <definedName name="_51" localSheetId="5" hidden="1">{"summary",#N/A,TRUE,"E93ADJ";"detail",#N/A,TRUE,"E93ADJ"}</definedName>
    <definedName name="_51" localSheetId="7" hidden="1">{"summary",#N/A,TRUE,"E93ADJ";"detail",#N/A,TRUE,"E93ADJ"}</definedName>
    <definedName name="_51" localSheetId="3" hidden="1">{"summary",#N/A,TRUE,"E93ADJ";"detail",#N/A,TRUE,"E93ADJ"}</definedName>
    <definedName name="_51" localSheetId="47" hidden="1">{"summary",#N/A,TRUE,"E93ADJ";"detail",#N/A,TRUE,"E93ADJ"}</definedName>
    <definedName name="_51" hidden="1">{"summary",#N/A,TRUE,"E93ADJ";"detail",#N/A,TRUE,"E93ADJ"}</definedName>
    <definedName name="_51__123Graph_ACHART_3" hidden="1">#REF!</definedName>
    <definedName name="_52" localSheetId="1" hidden="1">{#N/A,#N/A,TRUE,"1990";#N/A,#N/A,TRUE,"1991";#N/A,#N/A,TRUE,"1992";#N/A,#N/A,TRUE,"1993"}</definedName>
    <definedName name="_52" localSheetId="32" hidden="1">{#N/A,#N/A,TRUE,"1990";#N/A,#N/A,TRUE,"1991";#N/A,#N/A,TRUE,"1992";#N/A,#N/A,TRUE,"1993"}</definedName>
    <definedName name="_52" localSheetId="6" hidden="1">{#N/A,#N/A,TRUE,"1990";#N/A,#N/A,TRUE,"1991";#N/A,#N/A,TRUE,"1992";#N/A,#N/A,TRUE,"1993"}</definedName>
    <definedName name="_52" localSheetId="4" hidden="1">{#N/A,#N/A,TRUE,"1990";#N/A,#N/A,TRUE,"1991";#N/A,#N/A,TRUE,"1992";#N/A,#N/A,TRUE,"1993"}</definedName>
    <definedName name="_52" localSheetId="5" hidden="1">{#N/A,#N/A,TRUE,"1990";#N/A,#N/A,TRUE,"1991";#N/A,#N/A,TRUE,"1992";#N/A,#N/A,TRUE,"1993"}</definedName>
    <definedName name="_52" localSheetId="7" hidden="1">{#N/A,#N/A,TRUE,"1990";#N/A,#N/A,TRUE,"1991";#N/A,#N/A,TRUE,"1992";#N/A,#N/A,TRUE,"1993"}</definedName>
    <definedName name="_52" localSheetId="3" hidden="1">{#N/A,#N/A,TRUE,"1990";#N/A,#N/A,TRUE,"1991";#N/A,#N/A,TRUE,"1992";#N/A,#N/A,TRUE,"1993"}</definedName>
    <definedName name="_52" localSheetId="47" hidden="1">{#N/A,#N/A,TRUE,"1990";#N/A,#N/A,TRUE,"1991";#N/A,#N/A,TRUE,"1992";#N/A,#N/A,TRUE,"1993"}</definedName>
    <definedName name="_52" hidden="1">{#N/A,#N/A,TRUE,"1990";#N/A,#N/A,TRUE,"1991";#N/A,#N/A,TRUE,"1992";#N/A,#N/A,TRUE,"1993"}</definedName>
    <definedName name="_53" localSheetId="1" hidden="1">{"summary",#N/A,TRUE,"E93ADJ";"detail",#N/A,TRUE,"E93ADJ"}</definedName>
    <definedName name="_53" localSheetId="32" hidden="1">{"summary",#N/A,TRUE,"E93ADJ";"detail",#N/A,TRUE,"E93ADJ"}</definedName>
    <definedName name="_53" localSheetId="6" hidden="1">{"summary",#N/A,TRUE,"E93ADJ";"detail",#N/A,TRUE,"E93ADJ"}</definedName>
    <definedName name="_53" localSheetId="4" hidden="1">{"summary",#N/A,TRUE,"E93ADJ";"detail",#N/A,TRUE,"E93ADJ"}</definedName>
    <definedName name="_53" localSheetId="5" hidden="1">{"summary",#N/A,TRUE,"E93ADJ";"detail",#N/A,TRUE,"E93ADJ"}</definedName>
    <definedName name="_53" localSheetId="7" hidden="1">{"summary",#N/A,TRUE,"E93ADJ";"detail",#N/A,TRUE,"E93ADJ"}</definedName>
    <definedName name="_53" localSheetId="3" hidden="1">{"summary",#N/A,TRUE,"E93ADJ";"detail",#N/A,TRUE,"E93ADJ"}</definedName>
    <definedName name="_53" localSheetId="47" hidden="1">{"summary",#N/A,TRUE,"E93ADJ";"detail",#N/A,TRUE,"E93ADJ"}</definedName>
    <definedName name="_53" hidden="1">{"summary",#N/A,TRUE,"E93ADJ";"detail",#N/A,TRUE,"E93ADJ"}</definedName>
    <definedName name="_54" localSheetId="1" hidden="1">{#N/A,#N/A,FALSE,"COMPAPER";#N/A,#N/A,FALSE,"AFUDC";#N/A,#N/A,FALSE,"JE"}</definedName>
    <definedName name="_54" localSheetId="32" hidden="1">{#N/A,#N/A,FALSE,"COMPAPER";#N/A,#N/A,FALSE,"AFUDC";#N/A,#N/A,FALSE,"JE"}</definedName>
    <definedName name="_54" localSheetId="6" hidden="1">{#N/A,#N/A,FALSE,"COMPAPER";#N/A,#N/A,FALSE,"AFUDC";#N/A,#N/A,FALSE,"JE"}</definedName>
    <definedName name="_54" localSheetId="4" hidden="1">{#N/A,#N/A,FALSE,"COMPAPER";#N/A,#N/A,FALSE,"AFUDC";#N/A,#N/A,FALSE,"JE"}</definedName>
    <definedName name="_54" localSheetId="5" hidden="1">{#N/A,#N/A,FALSE,"COMPAPER";#N/A,#N/A,FALSE,"AFUDC";#N/A,#N/A,FALSE,"JE"}</definedName>
    <definedName name="_54" localSheetId="7" hidden="1">{#N/A,#N/A,FALSE,"COMPAPER";#N/A,#N/A,FALSE,"AFUDC";#N/A,#N/A,FALSE,"JE"}</definedName>
    <definedName name="_54" localSheetId="3" hidden="1">{#N/A,#N/A,FALSE,"COMPAPER";#N/A,#N/A,FALSE,"AFUDC";#N/A,#N/A,FALSE,"JE"}</definedName>
    <definedName name="_54" localSheetId="47" hidden="1">{#N/A,#N/A,FALSE,"COMPAPER";#N/A,#N/A,FALSE,"AFUDC";#N/A,#N/A,FALSE,"JE"}</definedName>
    <definedName name="_54" hidden="1">{#N/A,#N/A,FALSE,"COMPAPER";#N/A,#N/A,FALSE,"AFUDC";#N/A,#N/A,FALSE,"JE"}</definedName>
    <definedName name="_54__123Graph_ACHART_3" hidden="1">#REF!</definedName>
    <definedName name="_55" localSheetId="1" hidden="1">{"pb",#N/A,FALSE,"Sheet3";"pd",#N/A,FALSE,"Sheet3";"pe",#N/A,FALSE,"Sheet3"}</definedName>
    <definedName name="_55" localSheetId="32" hidden="1">{"pb",#N/A,FALSE,"Sheet3";"pd",#N/A,FALSE,"Sheet3";"pe",#N/A,FALSE,"Sheet3"}</definedName>
    <definedName name="_55" localSheetId="6" hidden="1">{"pb",#N/A,FALSE,"Sheet3";"pd",#N/A,FALSE,"Sheet3";"pe",#N/A,FALSE,"Sheet3"}</definedName>
    <definedName name="_55" localSheetId="4" hidden="1">{"pb",#N/A,FALSE,"Sheet3";"pd",#N/A,FALSE,"Sheet3";"pe",#N/A,FALSE,"Sheet3"}</definedName>
    <definedName name="_55" localSheetId="5" hidden="1">{"pb",#N/A,FALSE,"Sheet3";"pd",#N/A,FALSE,"Sheet3";"pe",#N/A,FALSE,"Sheet3"}</definedName>
    <definedName name="_55" localSheetId="7" hidden="1">{"pb",#N/A,FALSE,"Sheet3";"pd",#N/A,FALSE,"Sheet3";"pe",#N/A,FALSE,"Sheet3"}</definedName>
    <definedName name="_55" localSheetId="3" hidden="1">{"pb",#N/A,FALSE,"Sheet3";"pd",#N/A,FALSE,"Sheet3";"pe",#N/A,FALSE,"Sheet3"}</definedName>
    <definedName name="_55" localSheetId="47" hidden="1">{"pb",#N/A,FALSE,"Sheet3";"pd",#N/A,FALSE,"Sheet3";"pe",#N/A,FALSE,"Sheet3"}</definedName>
    <definedName name="_55" hidden="1">{"pb",#N/A,FALSE,"Sheet3";"pd",#N/A,FALSE,"Sheet3";"pe",#N/A,FALSE,"Sheet3"}</definedName>
    <definedName name="_56" localSheetId="1" hidden="1">{#N/A,#N/A,TRUE,"1990";#N/A,#N/A,TRUE,"1991";#N/A,#N/A,TRUE,"1992";#N/A,#N/A,TRUE,"1993"}</definedName>
    <definedName name="_56" localSheetId="32" hidden="1">{#N/A,#N/A,TRUE,"1990";#N/A,#N/A,TRUE,"1991";#N/A,#N/A,TRUE,"1992";#N/A,#N/A,TRUE,"1993"}</definedName>
    <definedName name="_56" localSheetId="6" hidden="1">{#N/A,#N/A,TRUE,"1990";#N/A,#N/A,TRUE,"1991";#N/A,#N/A,TRUE,"1992";#N/A,#N/A,TRUE,"1993"}</definedName>
    <definedName name="_56" localSheetId="4" hidden="1">{#N/A,#N/A,TRUE,"1990";#N/A,#N/A,TRUE,"1991";#N/A,#N/A,TRUE,"1992";#N/A,#N/A,TRUE,"1993"}</definedName>
    <definedName name="_56" localSheetId="5" hidden="1">{#N/A,#N/A,TRUE,"1990";#N/A,#N/A,TRUE,"1991";#N/A,#N/A,TRUE,"1992";#N/A,#N/A,TRUE,"1993"}</definedName>
    <definedName name="_56" localSheetId="7" hidden="1">{#N/A,#N/A,TRUE,"1990";#N/A,#N/A,TRUE,"1991";#N/A,#N/A,TRUE,"1992";#N/A,#N/A,TRUE,"1993"}</definedName>
    <definedName name="_56" localSheetId="3" hidden="1">{#N/A,#N/A,TRUE,"1990";#N/A,#N/A,TRUE,"1991";#N/A,#N/A,TRUE,"1992";#N/A,#N/A,TRUE,"1993"}</definedName>
    <definedName name="_56" localSheetId="47" hidden="1">{#N/A,#N/A,TRUE,"1990";#N/A,#N/A,TRUE,"1991";#N/A,#N/A,TRUE,"1992";#N/A,#N/A,TRUE,"1993"}</definedName>
    <definedName name="_56" hidden="1">{#N/A,#N/A,TRUE,"1990";#N/A,#N/A,TRUE,"1991";#N/A,#N/A,TRUE,"1992";#N/A,#N/A,TRUE,"1993"}</definedName>
    <definedName name="_56__123Graph_ACHART_4" hidden="1">#REF!</definedName>
    <definedName name="_57" localSheetId="1" hidden="1">{#N/A,#N/A,FALSE,"SCA";#N/A,#N/A,FALSE,"NCA";#N/A,#N/A,FALSE,"SAZ";#N/A,#N/A,FALSE,"CAZ";#N/A,#N/A,FALSE,"SNV";#N/A,#N/A,FALSE,"NNV";#N/A,#N/A,FALSE,"PP";#N/A,#N/A,FALSE,"SA"}</definedName>
    <definedName name="_57" localSheetId="32" hidden="1">{#N/A,#N/A,FALSE,"SCA";#N/A,#N/A,FALSE,"NCA";#N/A,#N/A,FALSE,"SAZ";#N/A,#N/A,FALSE,"CAZ";#N/A,#N/A,FALSE,"SNV";#N/A,#N/A,FALSE,"NNV";#N/A,#N/A,FALSE,"PP";#N/A,#N/A,FALSE,"SA"}</definedName>
    <definedName name="_57" localSheetId="6" hidden="1">{#N/A,#N/A,FALSE,"SCA";#N/A,#N/A,FALSE,"NCA";#N/A,#N/A,FALSE,"SAZ";#N/A,#N/A,FALSE,"CAZ";#N/A,#N/A,FALSE,"SNV";#N/A,#N/A,FALSE,"NNV";#N/A,#N/A,FALSE,"PP";#N/A,#N/A,FALSE,"SA"}</definedName>
    <definedName name="_57" localSheetId="4" hidden="1">{#N/A,#N/A,FALSE,"SCA";#N/A,#N/A,FALSE,"NCA";#N/A,#N/A,FALSE,"SAZ";#N/A,#N/A,FALSE,"CAZ";#N/A,#N/A,FALSE,"SNV";#N/A,#N/A,FALSE,"NNV";#N/A,#N/A,FALSE,"PP";#N/A,#N/A,FALSE,"SA"}</definedName>
    <definedName name="_57" localSheetId="5" hidden="1">{#N/A,#N/A,FALSE,"SCA";#N/A,#N/A,FALSE,"NCA";#N/A,#N/A,FALSE,"SAZ";#N/A,#N/A,FALSE,"CAZ";#N/A,#N/A,FALSE,"SNV";#N/A,#N/A,FALSE,"NNV";#N/A,#N/A,FALSE,"PP";#N/A,#N/A,FALSE,"SA"}</definedName>
    <definedName name="_57" localSheetId="7" hidden="1">{#N/A,#N/A,FALSE,"SCA";#N/A,#N/A,FALSE,"NCA";#N/A,#N/A,FALSE,"SAZ";#N/A,#N/A,FALSE,"CAZ";#N/A,#N/A,FALSE,"SNV";#N/A,#N/A,FALSE,"NNV";#N/A,#N/A,FALSE,"PP";#N/A,#N/A,FALSE,"SA"}</definedName>
    <definedName name="_57" localSheetId="3" hidden="1">{#N/A,#N/A,FALSE,"SCA";#N/A,#N/A,FALSE,"NCA";#N/A,#N/A,FALSE,"SAZ";#N/A,#N/A,FALSE,"CAZ";#N/A,#N/A,FALSE,"SNV";#N/A,#N/A,FALSE,"NNV";#N/A,#N/A,FALSE,"PP";#N/A,#N/A,FALSE,"SA"}</definedName>
    <definedName name="_57" localSheetId="47" hidden="1">{#N/A,#N/A,FALSE,"SCA";#N/A,#N/A,FALSE,"NCA";#N/A,#N/A,FALSE,"SAZ";#N/A,#N/A,FALSE,"CAZ";#N/A,#N/A,FALSE,"SNV";#N/A,#N/A,FALSE,"NNV";#N/A,#N/A,FALSE,"PP";#N/A,#N/A,FALSE,"SA"}</definedName>
    <definedName name="_57" hidden="1">{#N/A,#N/A,FALSE,"SCA";#N/A,#N/A,FALSE,"NCA";#N/A,#N/A,FALSE,"SAZ";#N/A,#N/A,FALSE,"CAZ";#N/A,#N/A,FALSE,"SNV";#N/A,#N/A,FALSE,"NNV";#N/A,#N/A,FALSE,"PP";#N/A,#N/A,FALSE,"SA"}</definedName>
    <definedName name="_58" localSheetId="1" hidden="1">{#N/A,#N/A,FALSE,"SCA";#N/A,#N/A,FALSE,"NCA";#N/A,#N/A,FALSE,"SAZ";#N/A,#N/A,FALSE,"CAZ";#N/A,#N/A,FALSE,"SNV";#N/A,#N/A,FALSE,"NNV";#N/A,#N/A,FALSE,"PP";#N/A,#N/A,FALSE,"SA"}</definedName>
    <definedName name="_58" localSheetId="32" hidden="1">{#N/A,#N/A,FALSE,"SCA";#N/A,#N/A,FALSE,"NCA";#N/A,#N/A,FALSE,"SAZ";#N/A,#N/A,FALSE,"CAZ";#N/A,#N/A,FALSE,"SNV";#N/A,#N/A,FALSE,"NNV";#N/A,#N/A,FALSE,"PP";#N/A,#N/A,FALSE,"SA"}</definedName>
    <definedName name="_58" localSheetId="6" hidden="1">{#N/A,#N/A,FALSE,"SCA";#N/A,#N/A,FALSE,"NCA";#N/A,#N/A,FALSE,"SAZ";#N/A,#N/A,FALSE,"CAZ";#N/A,#N/A,FALSE,"SNV";#N/A,#N/A,FALSE,"NNV";#N/A,#N/A,FALSE,"PP";#N/A,#N/A,FALSE,"SA"}</definedName>
    <definedName name="_58" localSheetId="4" hidden="1">{#N/A,#N/A,FALSE,"SCA";#N/A,#N/A,FALSE,"NCA";#N/A,#N/A,FALSE,"SAZ";#N/A,#N/A,FALSE,"CAZ";#N/A,#N/A,FALSE,"SNV";#N/A,#N/A,FALSE,"NNV";#N/A,#N/A,FALSE,"PP";#N/A,#N/A,FALSE,"SA"}</definedName>
    <definedName name="_58" localSheetId="5" hidden="1">{#N/A,#N/A,FALSE,"SCA";#N/A,#N/A,FALSE,"NCA";#N/A,#N/A,FALSE,"SAZ";#N/A,#N/A,FALSE,"CAZ";#N/A,#N/A,FALSE,"SNV";#N/A,#N/A,FALSE,"NNV";#N/A,#N/A,FALSE,"PP";#N/A,#N/A,FALSE,"SA"}</definedName>
    <definedName name="_58" localSheetId="7" hidden="1">{#N/A,#N/A,FALSE,"SCA";#N/A,#N/A,FALSE,"NCA";#N/A,#N/A,FALSE,"SAZ";#N/A,#N/A,FALSE,"CAZ";#N/A,#N/A,FALSE,"SNV";#N/A,#N/A,FALSE,"NNV";#N/A,#N/A,FALSE,"PP";#N/A,#N/A,FALSE,"SA"}</definedName>
    <definedName name="_58" localSheetId="3" hidden="1">{#N/A,#N/A,FALSE,"SCA";#N/A,#N/A,FALSE,"NCA";#N/A,#N/A,FALSE,"SAZ";#N/A,#N/A,FALSE,"CAZ";#N/A,#N/A,FALSE,"SNV";#N/A,#N/A,FALSE,"NNV";#N/A,#N/A,FALSE,"PP";#N/A,#N/A,FALSE,"SA"}</definedName>
    <definedName name="_58" localSheetId="47" hidden="1">{#N/A,#N/A,FALSE,"SCA";#N/A,#N/A,FALSE,"NCA";#N/A,#N/A,FALSE,"SAZ";#N/A,#N/A,FALSE,"CAZ";#N/A,#N/A,FALSE,"SNV";#N/A,#N/A,FALSE,"NNV";#N/A,#N/A,FALSE,"PP";#N/A,#N/A,FALSE,"SA"}</definedName>
    <definedName name="_58" hidden="1">{#N/A,#N/A,FALSE,"SCA";#N/A,#N/A,FALSE,"NCA";#N/A,#N/A,FALSE,"SAZ";#N/A,#N/A,FALSE,"CAZ";#N/A,#N/A,FALSE,"SNV";#N/A,#N/A,FALSE,"NNV";#N/A,#N/A,FALSE,"PP";#N/A,#N/A,FALSE,"SA"}</definedName>
    <definedName name="_59" localSheetId="1" hidden="1">{"ARK_JURIS_FAC",#N/A,FALSE,"Ark_Fuel&amp;Rev"}</definedName>
    <definedName name="_59" localSheetId="32" hidden="1">{"ARK_JURIS_FAC",#N/A,FALSE,"Ark_Fuel&amp;Rev"}</definedName>
    <definedName name="_59" localSheetId="6" hidden="1">{"ARK_JURIS_FAC",#N/A,FALSE,"Ark_Fuel&amp;Rev"}</definedName>
    <definedName name="_59" localSheetId="4" hidden="1">{"ARK_JURIS_FAC",#N/A,FALSE,"Ark_Fuel&amp;Rev"}</definedName>
    <definedName name="_59" localSheetId="5" hidden="1">{"ARK_JURIS_FAC",#N/A,FALSE,"Ark_Fuel&amp;Rev"}</definedName>
    <definedName name="_59" localSheetId="7" hidden="1">{"ARK_JURIS_FAC",#N/A,FALSE,"Ark_Fuel&amp;Rev"}</definedName>
    <definedName name="_59" localSheetId="3" hidden="1">{"ARK_JURIS_FAC",#N/A,FALSE,"Ark_Fuel&amp;Rev"}</definedName>
    <definedName name="_59" localSheetId="47" hidden="1">{"ARK_JURIS_FAC",#N/A,FALSE,"Ark_Fuel&amp;Rev"}</definedName>
    <definedName name="_59" hidden="1">{"ARK_JURIS_FAC",#N/A,FALSE,"Ark_Fuel&amp;Rev"}</definedName>
    <definedName name="_6" localSheetId="1" hidden="1">{#N/A,#N/A,FALSE,"SCA";#N/A,#N/A,FALSE,"NCA";#N/A,#N/A,FALSE,"SAZ";#N/A,#N/A,FALSE,"CAZ";#N/A,#N/A,FALSE,"SNV";#N/A,#N/A,FALSE,"NNV";#N/A,#N/A,FALSE,"PP";#N/A,#N/A,FALSE,"SA"}</definedName>
    <definedName name="_6" localSheetId="32" hidden="1">{#N/A,#N/A,FALSE,"SCA";#N/A,#N/A,FALSE,"NCA";#N/A,#N/A,FALSE,"SAZ";#N/A,#N/A,FALSE,"CAZ";#N/A,#N/A,FALSE,"SNV";#N/A,#N/A,FALSE,"NNV";#N/A,#N/A,FALSE,"PP";#N/A,#N/A,FALSE,"SA"}</definedName>
    <definedName name="_6" localSheetId="6" hidden="1">{#N/A,#N/A,FALSE,"SCA";#N/A,#N/A,FALSE,"NCA";#N/A,#N/A,FALSE,"SAZ";#N/A,#N/A,FALSE,"CAZ";#N/A,#N/A,FALSE,"SNV";#N/A,#N/A,FALSE,"NNV";#N/A,#N/A,FALSE,"PP";#N/A,#N/A,FALSE,"SA"}</definedName>
    <definedName name="_6" localSheetId="4" hidden="1">{#N/A,#N/A,FALSE,"SCA";#N/A,#N/A,FALSE,"NCA";#N/A,#N/A,FALSE,"SAZ";#N/A,#N/A,FALSE,"CAZ";#N/A,#N/A,FALSE,"SNV";#N/A,#N/A,FALSE,"NNV";#N/A,#N/A,FALSE,"PP";#N/A,#N/A,FALSE,"SA"}</definedName>
    <definedName name="_6" localSheetId="5" hidden="1">{#N/A,#N/A,FALSE,"SCA";#N/A,#N/A,FALSE,"NCA";#N/A,#N/A,FALSE,"SAZ";#N/A,#N/A,FALSE,"CAZ";#N/A,#N/A,FALSE,"SNV";#N/A,#N/A,FALSE,"NNV";#N/A,#N/A,FALSE,"PP";#N/A,#N/A,FALSE,"SA"}</definedName>
    <definedName name="_6" localSheetId="7" hidden="1">{#N/A,#N/A,FALSE,"SCA";#N/A,#N/A,FALSE,"NCA";#N/A,#N/A,FALSE,"SAZ";#N/A,#N/A,FALSE,"CAZ";#N/A,#N/A,FALSE,"SNV";#N/A,#N/A,FALSE,"NNV";#N/A,#N/A,FALSE,"PP";#N/A,#N/A,FALSE,"SA"}</definedName>
    <definedName name="_6" localSheetId="3" hidden="1">{#N/A,#N/A,FALSE,"SCA";#N/A,#N/A,FALSE,"NCA";#N/A,#N/A,FALSE,"SAZ";#N/A,#N/A,FALSE,"CAZ";#N/A,#N/A,FALSE,"SNV";#N/A,#N/A,FALSE,"NNV";#N/A,#N/A,FALSE,"PP";#N/A,#N/A,FALSE,"SA"}</definedName>
    <definedName name="_6" localSheetId="47" hidden="1">{#N/A,#N/A,FALSE,"SCA";#N/A,#N/A,FALSE,"NCA";#N/A,#N/A,FALSE,"SAZ";#N/A,#N/A,FALSE,"CAZ";#N/A,#N/A,FALSE,"SNV";#N/A,#N/A,FALSE,"NNV";#N/A,#N/A,FALSE,"PP";#N/A,#N/A,FALSE,"SA"}</definedName>
    <definedName name="_6" hidden="1">{#N/A,#N/A,FALSE,"SCA";#N/A,#N/A,FALSE,"NCA";#N/A,#N/A,FALSE,"SAZ";#N/A,#N/A,FALSE,"CAZ";#N/A,#N/A,FALSE,"SNV";#N/A,#N/A,FALSE,"NNV";#N/A,#N/A,FALSE,"PP";#N/A,#N/A,FALSE,"SA"}</definedName>
    <definedName name="_6__123Graph_ACHART_16" hidden="1">#REF!</definedName>
    <definedName name="_6__123Graph_ACHART_3" hidden="1">#REF!</definedName>
    <definedName name="_6__123Graph_ACHART_6" localSheetId="6" hidden="1">#REF!</definedName>
    <definedName name="_6__123Graph_ACHART_6" localSheetId="7" hidden="1">#REF!</definedName>
    <definedName name="_6__123Graph_ACHART_6" localSheetId="29" hidden="1">#REF!</definedName>
    <definedName name="_6__123Graph_ACHART_6" localSheetId="47" hidden="1">#REF!</definedName>
    <definedName name="_6__123Graph_ACHART_6" hidden="1">#REF!</definedName>
    <definedName name="_60" localSheetId="1" hidden="1">{"ARK_JURIS_FUEL",#N/A,FALSE,"Ark_Fuel&amp;Rev"}</definedName>
    <definedName name="_60" localSheetId="32" hidden="1">{"ARK_JURIS_FUEL",#N/A,FALSE,"Ark_Fuel&amp;Rev"}</definedName>
    <definedName name="_60" localSheetId="6" hidden="1">{"ARK_JURIS_FUEL",#N/A,FALSE,"Ark_Fuel&amp;Rev"}</definedName>
    <definedName name="_60" localSheetId="4" hidden="1">{"ARK_JURIS_FUEL",#N/A,FALSE,"Ark_Fuel&amp;Rev"}</definedName>
    <definedName name="_60" localSheetId="5" hidden="1">{"ARK_JURIS_FUEL",#N/A,FALSE,"Ark_Fuel&amp;Rev"}</definedName>
    <definedName name="_60" localSheetId="7" hidden="1">{"ARK_JURIS_FUEL",#N/A,FALSE,"Ark_Fuel&amp;Rev"}</definedName>
    <definedName name="_60" localSheetId="3" hidden="1">{"ARK_JURIS_FUEL",#N/A,FALSE,"Ark_Fuel&amp;Rev"}</definedName>
    <definedName name="_60" localSheetId="47" hidden="1">{"ARK_JURIS_FUEL",#N/A,FALSE,"Ark_Fuel&amp;Rev"}</definedName>
    <definedName name="_60" hidden="1">{"ARK_JURIS_FUEL",#N/A,FALSE,"Ark_Fuel&amp;Rev"}</definedName>
    <definedName name="_61" localSheetId="1" hidden="1">{"ATOKA_FAC",#N/A,FALSE,"Atoka"}</definedName>
    <definedName name="_61" localSheetId="32" hidden="1">{"ATOKA_FAC",#N/A,FALSE,"Atoka"}</definedName>
    <definedName name="_61" localSheetId="6" hidden="1">{"ATOKA_FAC",#N/A,FALSE,"Atoka"}</definedName>
    <definedName name="_61" localSheetId="4" hidden="1">{"ATOKA_FAC",#N/A,FALSE,"Atoka"}</definedName>
    <definedName name="_61" localSheetId="5" hidden="1">{"ATOKA_FAC",#N/A,FALSE,"Atoka"}</definedName>
    <definedName name="_61" localSheetId="7" hidden="1">{"ATOKA_FAC",#N/A,FALSE,"Atoka"}</definedName>
    <definedName name="_61" localSheetId="3" hidden="1">{"ATOKA_FAC",#N/A,FALSE,"Atoka"}</definedName>
    <definedName name="_61" localSheetId="47" hidden="1">{"ATOKA_FAC",#N/A,FALSE,"Atoka"}</definedName>
    <definedName name="_61" hidden="1">{"ATOKA_FAC",#N/A,FALSE,"Atoka"}</definedName>
    <definedName name="_62" localSheetId="1" hidden="1">{"Benefits Summary",#N/A,FALSE,"Benefits Info without WC Amount";"Medical and Dental Costs",#N/A,FALSE,"Benefits Info without WC Amount";"Workers' Compensation",#N/A,FALSE,"Benefits Info without WC Amount"}</definedName>
    <definedName name="_62" localSheetId="32" hidden="1">{"Benefits Summary",#N/A,FALSE,"Benefits Info without WC Amount";"Medical and Dental Costs",#N/A,FALSE,"Benefits Info without WC Amount";"Workers' Compensation",#N/A,FALSE,"Benefits Info without WC Amount"}</definedName>
    <definedName name="_62" localSheetId="6" hidden="1">{"Benefits Summary",#N/A,FALSE,"Benefits Info without WC Amount";"Medical and Dental Costs",#N/A,FALSE,"Benefits Info without WC Amount";"Workers' Compensation",#N/A,FALSE,"Benefits Info without WC Amount"}</definedName>
    <definedName name="_62" localSheetId="4" hidden="1">{"Benefits Summary",#N/A,FALSE,"Benefits Info without WC Amount";"Medical and Dental Costs",#N/A,FALSE,"Benefits Info without WC Amount";"Workers' Compensation",#N/A,FALSE,"Benefits Info without WC Amount"}</definedName>
    <definedName name="_62" localSheetId="5" hidden="1">{"Benefits Summary",#N/A,FALSE,"Benefits Info without WC Amount";"Medical and Dental Costs",#N/A,FALSE,"Benefits Info without WC Amount";"Workers' Compensation",#N/A,FALSE,"Benefits Info without WC Amount"}</definedName>
    <definedName name="_62" localSheetId="7" hidden="1">{"Benefits Summary",#N/A,FALSE,"Benefits Info without WC Amount";"Medical and Dental Costs",#N/A,FALSE,"Benefits Info without WC Amount";"Workers' Compensation",#N/A,FALSE,"Benefits Info without WC Amount"}</definedName>
    <definedName name="_62" localSheetId="3" hidden="1">{"Benefits Summary",#N/A,FALSE,"Benefits Info without WC Amount";"Medical and Dental Costs",#N/A,FALSE,"Benefits Info without WC Amount";"Workers' Compensation",#N/A,FALSE,"Benefits Info without WC Amount"}</definedName>
    <definedName name="_62" localSheetId="47" hidden="1">{"Benefits Summary",#N/A,FALSE,"Benefits Info without WC Amount";"Medical and Dental Costs",#N/A,FALSE,"Benefits Info without WC Amount";"Workers' Compensation",#N/A,FALSE,"Benefits Info without WC Amount"}</definedName>
    <definedName name="_62" hidden="1">{"Benefits Summary",#N/A,FALSE,"Benefits Info without WC Amount";"Medical and Dental Costs",#N/A,FALSE,"Benefits Info without WC Amount";"Workers' Compensation",#N/A,FALSE,"Benefits Info without WC Amount"}</definedName>
    <definedName name="_63" localSheetId="1" hidden="1">{#N/A,#N/A,FALSE,"Rev Seg Taxes";#N/A,#N/A,FALSE,"BookRev Seg";#N/A,#N/A,FALSE,"Supp Adj Seg";#N/A,#N/A,FALSE,"outside prov seg taxes"}</definedName>
    <definedName name="_63" localSheetId="32" hidden="1">{#N/A,#N/A,FALSE,"Rev Seg Taxes";#N/A,#N/A,FALSE,"BookRev Seg";#N/A,#N/A,FALSE,"Supp Adj Seg";#N/A,#N/A,FALSE,"outside prov seg taxes"}</definedName>
    <definedName name="_63" localSheetId="6" hidden="1">{#N/A,#N/A,FALSE,"Rev Seg Taxes";#N/A,#N/A,FALSE,"BookRev Seg";#N/A,#N/A,FALSE,"Supp Adj Seg";#N/A,#N/A,FALSE,"outside prov seg taxes"}</definedName>
    <definedName name="_63" localSheetId="4" hidden="1">{#N/A,#N/A,FALSE,"Rev Seg Taxes";#N/A,#N/A,FALSE,"BookRev Seg";#N/A,#N/A,FALSE,"Supp Adj Seg";#N/A,#N/A,FALSE,"outside prov seg taxes"}</definedName>
    <definedName name="_63" localSheetId="5" hidden="1">{#N/A,#N/A,FALSE,"Rev Seg Taxes";#N/A,#N/A,FALSE,"BookRev Seg";#N/A,#N/A,FALSE,"Supp Adj Seg";#N/A,#N/A,FALSE,"outside prov seg taxes"}</definedName>
    <definedName name="_63" localSheetId="7" hidden="1">{#N/A,#N/A,FALSE,"Rev Seg Taxes";#N/A,#N/A,FALSE,"BookRev Seg";#N/A,#N/A,FALSE,"Supp Adj Seg";#N/A,#N/A,FALSE,"outside prov seg taxes"}</definedName>
    <definedName name="_63" localSheetId="3" hidden="1">{#N/A,#N/A,FALSE,"Rev Seg Taxes";#N/A,#N/A,FALSE,"BookRev Seg";#N/A,#N/A,FALSE,"Supp Adj Seg";#N/A,#N/A,FALSE,"outside prov seg taxes"}</definedName>
    <definedName name="_63" localSheetId="47" hidden="1">{#N/A,#N/A,FALSE,"Rev Seg Taxes";#N/A,#N/A,FALSE,"BookRev Seg";#N/A,#N/A,FALSE,"Supp Adj Seg";#N/A,#N/A,FALSE,"outside prov seg taxes"}</definedName>
    <definedName name="_63" hidden="1">{#N/A,#N/A,FALSE,"Rev Seg Taxes";#N/A,#N/A,FALSE,"BookRev Seg";#N/A,#N/A,FALSE,"Supp Adj Seg";#N/A,#N/A,FALSE,"outside prov seg taxes"}</definedName>
    <definedName name="_63__123Graph_ACHART_3" hidden="1">#REF!</definedName>
    <definedName name="_64" localSheetId="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3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6"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5"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3"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4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5" localSheetId="1" hidden="1">{#N/A,#N/A,FALSE,"GLDwnLoad"}</definedName>
    <definedName name="_65" localSheetId="32" hidden="1">{#N/A,#N/A,FALSE,"GLDwnLoad"}</definedName>
    <definedName name="_65" localSheetId="6" hidden="1">{#N/A,#N/A,FALSE,"GLDwnLoad"}</definedName>
    <definedName name="_65" localSheetId="4" hidden="1">{#N/A,#N/A,FALSE,"GLDwnLoad"}</definedName>
    <definedName name="_65" localSheetId="5" hidden="1">{#N/A,#N/A,FALSE,"GLDwnLoad"}</definedName>
    <definedName name="_65" localSheetId="7" hidden="1">{#N/A,#N/A,FALSE,"GLDwnLoad"}</definedName>
    <definedName name="_65" localSheetId="3" hidden="1">{#N/A,#N/A,FALSE,"GLDwnLoad"}</definedName>
    <definedName name="_65" localSheetId="47" hidden="1">{#N/A,#N/A,FALSE,"GLDwnLoad"}</definedName>
    <definedName name="_65" hidden="1">{#N/A,#N/A,FALSE,"GLDwnLoad"}</definedName>
    <definedName name="_66" localSheetId="1" hidden="1">{#N/A,#N/A,FALSE,"OTHERINPUTS";#N/A,#N/A,FALSE,"DITRATEINPUTS";#N/A,#N/A,FALSE,"SUPPLIEDADJINPUT";#N/A,#N/A,FALSE,"BR&amp;SUPADJ."}</definedName>
    <definedName name="_66" localSheetId="32" hidden="1">{#N/A,#N/A,FALSE,"OTHERINPUTS";#N/A,#N/A,FALSE,"DITRATEINPUTS";#N/A,#N/A,FALSE,"SUPPLIEDADJINPUT";#N/A,#N/A,FALSE,"BR&amp;SUPADJ."}</definedName>
    <definedName name="_66" localSheetId="6" hidden="1">{#N/A,#N/A,FALSE,"OTHERINPUTS";#N/A,#N/A,FALSE,"DITRATEINPUTS";#N/A,#N/A,FALSE,"SUPPLIEDADJINPUT";#N/A,#N/A,FALSE,"BR&amp;SUPADJ."}</definedName>
    <definedName name="_66" localSheetId="4" hidden="1">{#N/A,#N/A,FALSE,"OTHERINPUTS";#N/A,#N/A,FALSE,"DITRATEINPUTS";#N/A,#N/A,FALSE,"SUPPLIEDADJINPUT";#N/A,#N/A,FALSE,"BR&amp;SUPADJ."}</definedName>
    <definedName name="_66" localSheetId="5" hidden="1">{#N/A,#N/A,FALSE,"OTHERINPUTS";#N/A,#N/A,FALSE,"DITRATEINPUTS";#N/A,#N/A,FALSE,"SUPPLIEDADJINPUT";#N/A,#N/A,FALSE,"BR&amp;SUPADJ."}</definedName>
    <definedName name="_66" localSheetId="7" hidden="1">{#N/A,#N/A,FALSE,"OTHERINPUTS";#N/A,#N/A,FALSE,"DITRATEINPUTS";#N/A,#N/A,FALSE,"SUPPLIEDADJINPUT";#N/A,#N/A,FALSE,"BR&amp;SUPADJ."}</definedName>
    <definedName name="_66" localSheetId="3" hidden="1">{#N/A,#N/A,FALSE,"OTHERINPUTS";#N/A,#N/A,FALSE,"DITRATEINPUTS";#N/A,#N/A,FALSE,"SUPPLIEDADJINPUT";#N/A,#N/A,FALSE,"BR&amp;SUPADJ."}</definedName>
    <definedName name="_66" localSheetId="47" hidden="1">{#N/A,#N/A,FALSE,"OTHERINPUTS";#N/A,#N/A,FALSE,"DITRATEINPUTS";#N/A,#N/A,FALSE,"SUPPLIEDADJINPUT";#N/A,#N/A,FALSE,"BR&amp;SUPADJ."}</definedName>
    <definedName name="_66" hidden="1">{#N/A,#N/A,FALSE,"OTHERINPUTS";#N/A,#N/A,FALSE,"DITRATEINPUTS";#N/A,#N/A,FALSE,"SUPPLIEDADJINPUT";#N/A,#N/A,FALSE,"BR&amp;SUPADJ."}</definedName>
    <definedName name="_67" localSheetId="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3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4"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5"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4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8" localSheetId="1" hidden="1">{"CONOCO_FAC",#N/A,FALSE,"Conoco FAC"}</definedName>
    <definedName name="_68" localSheetId="32" hidden="1">{"CONOCO_FAC",#N/A,FALSE,"Conoco FAC"}</definedName>
    <definedName name="_68" localSheetId="6" hidden="1">{"CONOCO_FAC",#N/A,FALSE,"Conoco FAC"}</definedName>
    <definedName name="_68" localSheetId="4" hidden="1">{"CONOCO_FAC",#N/A,FALSE,"Conoco FAC"}</definedName>
    <definedName name="_68" localSheetId="5" hidden="1">{"CONOCO_FAC",#N/A,FALSE,"Conoco FAC"}</definedName>
    <definedName name="_68" localSheetId="7" hidden="1">{"CONOCO_FAC",#N/A,FALSE,"Conoco FAC"}</definedName>
    <definedName name="_68" localSheetId="3" hidden="1">{"CONOCO_FAC",#N/A,FALSE,"Conoco FAC"}</definedName>
    <definedName name="_68" localSheetId="47" hidden="1">{"CONOCO_FAC",#N/A,FALSE,"Conoco FAC"}</definedName>
    <definedName name="_68" hidden="1">{"CONOCO_FAC",#N/A,FALSE,"Conoco FAC"}</definedName>
    <definedName name="_68__123Graph_ACHART_4" hidden="1">#REF!</definedName>
    <definedName name="_69" localSheetId="1" hidden="1">{#N/A,#N/A,FALSE,"GLDwnLoad"}</definedName>
    <definedName name="_69" localSheetId="32" hidden="1">{#N/A,#N/A,FALSE,"GLDwnLoad"}</definedName>
    <definedName name="_69" localSheetId="6" hidden="1">{#N/A,#N/A,FALSE,"GLDwnLoad"}</definedName>
    <definedName name="_69" localSheetId="4" hidden="1">{#N/A,#N/A,FALSE,"GLDwnLoad"}</definedName>
    <definedName name="_69" localSheetId="5" hidden="1">{#N/A,#N/A,FALSE,"GLDwnLoad"}</definedName>
    <definedName name="_69" localSheetId="7" hidden="1">{#N/A,#N/A,FALSE,"GLDwnLoad"}</definedName>
    <definedName name="_69" localSheetId="3" hidden="1">{#N/A,#N/A,FALSE,"GLDwnLoad"}</definedName>
    <definedName name="_69" localSheetId="47" hidden="1">{#N/A,#N/A,FALSE,"GLDwnLoad"}</definedName>
    <definedName name="_69" hidden="1">{#N/A,#N/A,FALSE,"GLDwnLoad"}</definedName>
    <definedName name="_7" localSheetId="1" hidden="1">{#N/A,#N/A,FALSE,"Page 1";#N/A,#N/A,FALSE,"Page 2";#N/A,#N/A,FALSE,"Page 3";#N/A,#N/A,FALSE,"Page 4";#N/A,#N/A,FALSE,"Page 5";#N/A,#N/A,FALSE,"Page 6";#N/A,#N/A,FALSE,"Page 7";#N/A,#N/A,FALSE,"Page 8";#N/A,#N/A,FALSE,"Page 9";#N/A,#N/A,FALSE,"PG8WP";#N/A,#N/A,FALSE,"PG9WP"}</definedName>
    <definedName name="_7" localSheetId="32" hidden="1">{#N/A,#N/A,FALSE,"Page 1";#N/A,#N/A,FALSE,"Page 2";#N/A,#N/A,FALSE,"Page 3";#N/A,#N/A,FALSE,"Page 4";#N/A,#N/A,FALSE,"Page 5";#N/A,#N/A,FALSE,"Page 6";#N/A,#N/A,FALSE,"Page 7";#N/A,#N/A,FALSE,"Page 8";#N/A,#N/A,FALSE,"Page 9";#N/A,#N/A,FALSE,"PG8WP";#N/A,#N/A,FALSE,"PG9WP"}</definedName>
    <definedName name="_7" localSheetId="6" hidden="1">{#N/A,#N/A,FALSE,"Page 1";#N/A,#N/A,FALSE,"Page 2";#N/A,#N/A,FALSE,"Page 3";#N/A,#N/A,FALSE,"Page 4";#N/A,#N/A,FALSE,"Page 5";#N/A,#N/A,FALSE,"Page 6";#N/A,#N/A,FALSE,"Page 7";#N/A,#N/A,FALSE,"Page 8";#N/A,#N/A,FALSE,"Page 9";#N/A,#N/A,FALSE,"PG8WP";#N/A,#N/A,FALSE,"PG9WP"}</definedName>
    <definedName name="_7" localSheetId="4" hidden="1">{#N/A,#N/A,FALSE,"Page 1";#N/A,#N/A,FALSE,"Page 2";#N/A,#N/A,FALSE,"Page 3";#N/A,#N/A,FALSE,"Page 4";#N/A,#N/A,FALSE,"Page 5";#N/A,#N/A,FALSE,"Page 6";#N/A,#N/A,FALSE,"Page 7";#N/A,#N/A,FALSE,"Page 8";#N/A,#N/A,FALSE,"Page 9";#N/A,#N/A,FALSE,"PG8WP";#N/A,#N/A,FALSE,"PG9WP"}</definedName>
    <definedName name="_7" localSheetId="5" hidden="1">{#N/A,#N/A,FALSE,"Page 1";#N/A,#N/A,FALSE,"Page 2";#N/A,#N/A,FALSE,"Page 3";#N/A,#N/A,FALSE,"Page 4";#N/A,#N/A,FALSE,"Page 5";#N/A,#N/A,FALSE,"Page 6";#N/A,#N/A,FALSE,"Page 7";#N/A,#N/A,FALSE,"Page 8";#N/A,#N/A,FALSE,"Page 9";#N/A,#N/A,FALSE,"PG8WP";#N/A,#N/A,FALSE,"PG9WP"}</definedName>
    <definedName name="_7" localSheetId="7" hidden="1">{#N/A,#N/A,FALSE,"Page 1";#N/A,#N/A,FALSE,"Page 2";#N/A,#N/A,FALSE,"Page 3";#N/A,#N/A,FALSE,"Page 4";#N/A,#N/A,FALSE,"Page 5";#N/A,#N/A,FALSE,"Page 6";#N/A,#N/A,FALSE,"Page 7";#N/A,#N/A,FALSE,"Page 8";#N/A,#N/A,FALSE,"Page 9";#N/A,#N/A,FALSE,"PG8WP";#N/A,#N/A,FALSE,"PG9WP"}</definedName>
    <definedName name="_7" localSheetId="3" hidden="1">{#N/A,#N/A,FALSE,"Page 1";#N/A,#N/A,FALSE,"Page 2";#N/A,#N/A,FALSE,"Page 3";#N/A,#N/A,FALSE,"Page 4";#N/A,#N/A,FALSE,"Page 5";#N/A,#N/A,FALSE,"Page 6";#N/A,#N/A,FALSE,"Page 7";#N/A,#N/A,FALSE,"Page 8";#N/A,#N/A,FALSE,"Page 9";#N/A,#N/A,FALSE,"PG8WP";#N/A,#N/A,FALSE,"PG9WP"}</definedName>
    <definedName name="_7" localSheetId="47" hidden="1">{#N/A,#N/A,FALSE,"Page 1";#N/A,#N/A,FALSE,"Page 2";#N/A,#N/A,FALSE,"Page 3";#N/A,#N/A,FALSE,"Page 4";#N/A,#N/A,FALSE,"Page 5";#N/A,#N/A,FALSE,"Page 6";#N/A,#N/A,FALSE,"Page 7";#N/A,#N/A,FALSE,"Page 8";#N/A,#N/A,FALSE,"Page 9";#N/A,#N/A,FALSE,"PG8WP";#N/A,#N/A,FALSE,"PG9WP"}</definedName>
    <definedName name="_7" hidden="1">{#N/A,#N/A,FALSE,"Page 1";#N/A,#N/A,FALSE,"Page 2";#N/A,#N/A,FALSE,"Page 3";#N/A,#N/A,FALSE,"Page 4";#N/A,#N/A,FALSE,"Page 5";#N/A,#N/A,FALSE,"Page 6";#N/A,#N/A,FALSE,"Page 7";#N/A,#N/A,FALSE,"Page 8";#N/A,#N/A,FALSE,"Page 9";#N/A,#N/A,FALSE,"PG8WP";#N/A,#N/A,FALSE,"PG9WP"}</definedName>
    <definedName name="_7__123Graph_ACHART_17" hidden="1">#REF!</definedName>
    <definedName name="_7__123Graph_BCHART_5" localSheetId="6" hidden="1">#REF!</definedName>
    <definedName name="_7__123Graph_BCHART_5" localSheetId="7" hidden="1">#REF!</definedName>
    <definedName name="_7__123Graph_BCHART_5" localSheetId="29" hidden="1">#REF!</definedName>
    <definedName name="_7__123Graph_BCHART_5" localSheetId="47" hidden="1">#REF!</definedName>
    <definedName name="_7__123Graph_BCHART_5" hidden="1">#REF!</definedName>
    <definedName name="_70" localSheetId="1" hidden="1">{#N/A,#N/A,FALSE,"OTHERINPUTS";#N/A,#N/A,FALSE,"DITRATEINPUTS";#N/A,#N/A,FALSE,"SUPPLIEDADJINPUT";#N/A,#N/A,FALSE,"TIMINGDIFFINPUTS";#N/A,#N/A,FALSE,"COSSINPUT";#N/A,#N/A,FALSE,"BR&amp;SUPADJ."}</definedName>
    <definedName name="_70" localSheetId="32" hidden="1">{#N/A,#N/A,FALSE,"OTHERINPUTS";#N/A,#N/A,FALSE,"DITRATEINPUTS";#N/A,#N/A,FALSE,"SUPPLIEDADJINPUT";#N/A,#N/A,FALSE,"TIMINGDIFFINPUTS";#N/A,#N/A,FALSE,"COSSINPUT";#N/A,#N/A,FALSE,"BR&amp;SUPADJ."}</definedName>
    <definedName name="_70" localSheetId="6" hidden="1">{#N/A,#N/A,FALSE,"OTHERINPUTS";#N/A,#N/A,FALSE,"DITRATEINPUTS";#N/A,#N/A,FALSE,"SUPPLIEDADJINPUT";#N/A,#N/A,FALSE,"TIMINGDIFFINPUTS";#N/A,#N/A,FALSE,"COSSINPUT";#N/A,#N/A,FALSE,"BR&amp;SUPADJ."}</definedName>
    <definedName name="_70" localSheetId="4" hidden="1">{#N/A,#N/A,FALSE,"OTHERINPUTS";#N/A,#N/A,FALSE,"DITRATEINPUTS";#N/A,#N/A,FALSE,"SUPPLIEDADJINPUT";#N/A,#N/A,FALSE,"TIMINGDIFFINPUTS";#N/A,#N/A,FALSE,"COSSINPUT";#N/A,#N/A,FALSE,"BR&amp;SUPADJ."}</definedName>
    <definedName name="_70" localSheetId="5" hidden="1">{#N/A,#N/A,FALSE,"OTHERINPUTS";#N/A,#N/A,FALSE,"DITRATEINPUTS";#N/A,#N/A,FALSE,"SUPPLIEDADJINPUT";#N/A,#N/A,FALSE,"TIMINGDIFFINPUTS";#N/A,#N/A,FALSE,"COSSINPUT";#N/A,#N/A,FALSE,"BR&amp;SUPADJ."}</definedName>
    <definedName name="_70" localSheetId="7" hidden="1">{#N/A,#N/A,FALSE,"OTHERINPUTS";#N/A,#N/A,FALSE,"DITRATEINPUTS";#N/A,#N/A,FALSE,"SUPPLIEDADJINPUT";#N/A,#N/A,FALSE,"TIMINGDIFFINPUTS";#N/A,#N/A,FALSE,"COSSINPUT";#N/A,#N/A,FALSE,"BR&amp;SUPADJ."}</definedName>
    <definedName name="_70" localSheetId="3" hidden="1">{#N/A,#N/A,FALSE,"OTHERINPUTS";#N/A,#N/A,FALSE,"DITRATEINPUTS";#N/A,#N/A,FALSE,"SUPPLIEDADJINPUT";#N/A,#N/A,FALSE,"TIMINGDIFFINPUTS";#N/A,#N/A,FALSE,"COSSINPUT";#N/A,#N/A,FALSE,"BR&amp;SUPADJ."}</definedName>
    <definedName name="_70" localSheetId="47" hidden="1">{#N/A,#N/A,FALSE,"OTHERINPUTS";#N/A,#N/A,FALSE,"DITRATEINPUTS";#N/A,#N/A,FALSE,"SUPPLIEDADJINPUT";#N/A,#N/A,FALSE,"TIMINGDIFFINPUTS";#N/A,#N/A,FALSE,"COSSINPUT";#N/A,#N/A,FALSE,"BR&amp;SUPADJ."}</definedName>
    <definedName name="_70" hidden="1">{#N/A,#N/A,FALSE,"OTHERINPUTS";#N/A,#N/A,FALSE,"DITRATEINPUTS";#N/A,#N/A,FALSE,"SUPPLIEDADJINPUT";#N/A,#N/A,FALSE,"TIMINGDIFFINPUTS";#N/A,#N/A,FALSE,"COSSINPUT";#N/A,#N/A,FALSE,"BR&amp;SUPADJ."}</definedName>
    <definedName name="_70__123Graph_ACHART_5" hidden="1">#REF!</definedName>
    <definedName name="_71"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2" localSheetId="1" hidden="1">{#N/A,#N/A,FALSE,"FAS109 Summary";#N/A,#N/A,FALSE,"FAS109 OPER 190 ITC";#N/A,#N/A,FALSE,"FAS109 OPER 190 Other";#N/A,#N/A,FALSE,"FAS109 OPER 282";#N/A,#N/A,FALSE,"FAS109 OPER 283";#N/A,#N/A,FALSE,"FAS109 Non OPER 283 ";#N/A,#N/A,FALSE,"J.E.UPLOAD DATA"}</definedName>
    <definedName name="_72" localSheetId="32" hidden="1">{#N/A,#N/A,FALSE,"FAS109 Summary";#N/A,#N/A,FALSE,"FAS109 OPER 190 ITC";#N/A,#N/A,FALSE,"FAS109 OPER 190 Other";#N/A,#N/A,FALSE,"FAS109 OPER 282";#N/A,#N/A,FALSE,"FAS109 OPER 283";#N/A,#N/A,FALSE,"FAS109 Non OPER 283 ";#N/A,#N/A,FALSE,"J.E.UPLOAD DATA"}</definedName>
    <definedName name="_72" localSheetId="6" hidden="1">{#N/A,#N/A,FALSE,"FAS109 Summary";#N/A,#N/A,FALSE,"FAS109 OPER 190 ITC";#N/A,#N/A,FALSE,"FAS109 OPER 190 Other";#N/A,#N/A,FALSE,"FAS109 OPER 282";#N/A,#N/A,FALSE,"FAS109 OPER 283";#N/A,#N/A,FALSE,"FAS109 Non OPER 283 ";#N/A,#N/A,FALSE,"J.E.UPLOAD DATA"}</definedName>
    <definedName name="_72" localSheetId="4" hidden="1">{#N/A,#N/A,FALSE,"FAS109 Summary";#N/A,#N/A,FALSE,"FAS109 OPER 190 ITC";#N/A,#N/A,FALSE,"FAS109 OPER 190 Other";#N/A,#N/A,FALSE,"FAS109 OPER 282";#N/A,#N/A,FALSE,"FAS109 OPER 283";#N/A,#N/A,FALSE,"FAS109 Non OPER 283 ";#N/A,#N/A,FALSE,"J.E.UPLOAD DATA"}</definedName>
    <definedName name="_72" localSheetId="5" hidden="1">{#N/A,#N/A,FALSE,"FAS109 Summary";#N/A,#N/A,FALSE,"FAS109 OPER 190 ITC";#N/A,#N/A,FALSE,"FAS109 OPER 190 Other";#N/A,#N/A,FALSE,"FAS109 OPER 282";#N/A,#N/A,FALSE,"FAS109 OPER 283";#N/A,#N/A,FALSE,"FAS109 Non OPER 283 ";#N/A,#N/A,FALSE,"J.E.UPLOAD DATA"}</definedName>
    <definedName name="_72" localSheetId="7" hidden="1">{#N/A,#N/A,FALSE,"FAS109 Summary";#N/A,#N/A,FALSE,"FAS109 OPER 190 ITC";#N/A,#N/A,FALSE,"FAS109 OPER 190 Other";#N/A,#N/A,FALSE,"FAS109 OPER 282";#N/A,#N/A,FALSE,"FAS109 OPER 283";#N/A,#N/A,FALSE,"FAS109 Non OPER 283 ";#N/A,#N/A,FALSE,"J.E.UPLOAD DATA"}</definedName>
    <definedName name="_72" localSheetId="3" hidden="1">{#N/A,#N/A,FALSE,"FAS109 Summary";#N/A,#N/A,FALSE,"FAS109 OPER 190 ITC";#N/A,#N/A,FALSE,"FAS109 OPER 190 Other";#N/A,#N/A,FALSE,"FAS109 OPER 282";#N/A,#N/A,FALSE,"FAS109 OPER 283";#N/A,#N/A,FALSE,"FAS109 Non OPER 283 ";#N/A,#N/A,FALSE,"J.E.UPLOAD DATA"}</definedName>
    <definedName name="_72" localSheetId="47" hidden="1">{#N/A,#N/A,FALSE,"FAS109 Summary";#N/A,#N/A,FALSE,"FAS109 OPER 190 ITC";#N/A,#N/A,FALSE,"FAS109 OPER 190 Other";#N/A,#N/A,FALSE,"FAS109 OPER 282";#N/A,#N/A,FALSE,"FAS109 OPER 283";#N/A,#N/A,FALSE,"FAS109 Non OPER 283 ";#N/A,#N/A,FALSE,"J.E.UPLOAD DATA"}</definedName>
    <definedName name="_72" hidden="1">{#N/A,#N/A,FALSE,"FAS109 Summary";#N/A,#N/A,FALSE,"FAS109 OPER 190 ITC";#N/A,#N/A,FALSE,"FAS109 OPER 190 Other";#N/A,#N/A,FALSE,"FAS109 OPER 282";#N/A,#N/A,FALSE,"FAS109 OPER 283";#N/A,#N/A,FALSE,"FAS109 Non OPER 283 ";#N/A,#N/A,FALSE,"J.E.UPLOAD DATA"}</definedName>
    <definedName name="_72__123Graph_ACHART_4" hidden="1">#REF!</definedName>
    <definedName name="_73" localSheetId="1" hidden="1">{"FAC_SUMMARY",#N/A,FALSE,"Summaries"}</definedName>
    <definedName name="_73" localSheetId="32" hidden="1">{"FAC_SUMMARY",#N/A,FALSE,"Summaries"}</definedName>
    <definedName name="_73" localSheetId="6" hidden="1">{"FAC_SUMMARY",#N/A,FALSE,"Summaries"}</definedName>
    <definedName name="_73" localSheetId="4" hidden="1">{"FAC_SUMMARY",#N/A,FALSE,"Summaries"}</definedName>
    <definedName name="_73" localSheetId="5" hidden="1">{"FAC_SUMMARY",#N/A,FALSE,"Summaries"}</definedName>
    <definedName name="_73" localSheetId="7" hidden="1">{"FAC_SUMMARY",#N/A,FALSE,"Summaries"}</definedName>
    <definedName name="_73" localSheetId="3" hidden="1">{"FAC_SUMMARY",#N/A,FALSE,"Summaries"}</definedName>
    <definedName name="_73" localSheetId="47" hidden="1">{"FAC_SUMMARY",#N/A,FALSE,"Summaries"}</definedName>
    <definedName name="_73" hidden="1">{"FAC_SUMMARY",#N/A,FALSE,"Summaries"}</definedName>
    <definedName name="_74" localSheetId="1" hidden="1">{"FERC_FAC",#N/A,FALSE,"FERC_Fuel&amp;Rev"}</definedName>
    <definedName name="_74" localSheetId="32" hidden="1">{"FERC_FAC",#N/A,FALSE,"FERC_Fuel&amp;Rev"}</definedName>
    <definedName name="_74" localSheetId="6" hidden="1">{"FERC_FAC",#N/A,FALSE,"FERC_Fuel&amp;Rev"}</definedName>
    <definedName name="_74" localSheetId="4" hidden="1">{"FERC_FAC",#N/A,FALSE,"FERC_Fuel&amp;Rev"}</definedName>
    <definedName name="_74" localSheetId="5" hidden="1">{"FERC_FAC",#N/A,FALSE,"FERC_Fuel&amp;Rev"}</definedName>
    <definedName name="_74" localSheetId="7" hidden="1">{"FERC_FAC",#N/A,FALSE,"FERC_Fuel&amp;Rev"}</definedName>
    <definedName name="_74" localSheetId="3" hidden="1">{"FERC_FAC",#N/A,FALSE,"FERC_Fuel&amp;Rev"}</definedName>
    <definedName name="_74" localSheetId="47" hidden="1">{"FERC_FAC",#N/A,FALSE,"FERC_Fuel&amp;Rev"}</definedName>
    <definedName name="_74" hidden="1">{"FERC_FAC",#N/A,FALSE,"FERC_Fuel&amp;Rev"}</definedName>
    <definedName name="_75" localSheetId="1" hidden="1">{"FERC_WEATHER_AND_FUEL",#N/A,FALSE,"FERC_Fuel&amp;Rev"}</definedName>
    <definedName name="_75" localSheetId="32" hidden="1">{"FERC_WEATHER_AND_FUEL",#N/A,FALSE,"FERC_Fuel&amp;Rev"}</definedName>
    <definedName name="_75" localSheetId="6" hidden="1">{"FERC_WEATHER_AND_FUEL",#N/A,FALSE,"FERC_Fuel&amp;Rev"}</definedName>
    <definedName name="_75" localSheetId="4" hidden="1">{"FERC_WEATHER_AND_FUEL",#N/A,FALSE,"FERC_Fuel&amp;Rev"}</definedName>
    <definedName name="_75" localSheetId="5" hidden="1">{"FERC_WEATHER_AND_FUEL",#N/A,FALSE,"FERC_Fuel&amp;Rev"}</definedName>
    <definedName name="_75" localSheetId="7" hidden="1">{"FERC_WEATHER_AND_FUEL",#N/A,FALSE,"FERC_Fuel&amp;Rev"}</definedName>
    <definedName name="_75" localSheetId="3" hidden="1">{"FERC_WEATHER_AND_FUEL",#N/A,FALSE,"FERC_Fuel&amp;Rev"}</definedName>
    <definedName name="_75" localSheetId="47" hidden="1">{"FERC_WEATHER_AND_FUEL",#N/A,FALSE,"FERC_Fuel&amp;Rev"}</definedName>
    <definedName name="_75" hidden="1">{"FERC_WEATHER_AND_FUEL",#N/A,FALSE,"FERC_Fuel&amp;Rev"}</definedName>
    <definedName name="_76" localSheetId="1" hidden="1">{"wp_h4.2",#N/A,FALSE,"WP_H4.2";"wp_h4.3",#N/A,FALSE,"WP_H4.3"}</definedName>
    <definedName name="_76" localSheetId="32" hidden="1">{"wp_h4.2",#N/A,FALSE,"WP_H4.2";"wp_h4.3",#N/A,FALSE,"WP_H4.3"}</definedName>
    <definedName name="_76" localSheetId="6" hidden="1">{"wp_h4.2",#N/A,FALSE,"WP_H4.2";"wp_h4.3",#N/A,FALSE,"WP_H4.3"}</definedName>
    <definedName name="_76" localSheetId="4" hidden="1">{"wp_h4.2",#N/A,FALSE,"WP_H4.2";"wp_h4.3",#N/A,FALSE,"WP_H4.3"}</definedName>
    <definedName name="_76" localSheetId="5" hidden="1">{"wp_h4.2",#N/A,FALSE,"WP_H4.2";"wp_h4.3",#N/A,FALSE,"WP_H4.3"}</definedName>
    <definedName name="_76" localSheetId="7" hidden="1">{"wp_h4.2",#N/A,FALSE,"WP_H4.2";"wp_h4.3",#N/A,FALSE,"WP_H4.3"}</definedName>
    <definedName name="_76" localSheetId="3" hidden="1">{"wp_h4.2",#N/A,FALSE,"WP_H4.2";"wp_h4.3",#N/A,FALSE,"WP_H4.3"}</definedName>
    <definedName name="_76" localSheetId="47" hidden="1">{"wp_h4.2",#N/A,FALSE,"WP_H4.2";"wp_h4.3",#N/A,FALSE,"WP_H4.3"}</definedName>
    <definedName name="_76" hidden="1">{"wp_h4.2",#N/A,FALSE,"WP_H4.2";"wp_h4.3",#N/A,FALSE,"WP_H4.3"}</definedName>
    <definedName name="_77" localSheetId="1" hidden="1">{#N/A,#N/A,FALSE,"GLDwnLoad"}</definedName>
    <definedName name="_77" localSheetId="32" hidden="1">{#N/A,#N/A,FALSE,"GLDwnLoad"}</definedName>
    <definedName name="_77" localSheetId="6" hidden="1">{#N/A,#N/A,FALSE,"GLDwnLoad"}</definedName>
    <definedName name="_77" localSheetId="4" hidden="1">{#N/A,#N/A,FALSE,"GLDwnLoad"}</definedName>
    <definedName name="_77" localSheetId="5" hidden="1">{#N/A,#N/A,FALSE,"GLDwnLoad"}</definedName>
    <definedName name="_77" localSheetId="7" hidden="1">{#N/A,#N/A,FALSE,"GLDwnLoad"}</definedName>
    <definedName name="_77" localSheetId="3" hidden="1">{#N/A,#N/A,FALSE,"GLDwnLoad"}</definedName>
    <definedName name="_77" localSheetId="47" hidden="1">{#N/A,#N/A,FALSE,"GLDwnLoad"}</definedName>
    <definedName name="_77" hidden="1">{#N/A,#N/A,FALSE,"GLDwnLoad"}</definedName>
    <definedName name="_78" localSheetId="1" hidden="1">{#N/A,#N/A,FALSE,"OTHERINPUTS";#N/A,#N/A,FALSE,"SUPPLIEDADJINPUT";#N/A,#N/A,FALSE,"BR&amp;SUPADJ."}</definedName>
    <definedName name="_78" localSheetId="32" hidden="1">{#N/A,#N/A,FALSE,"OTHERINPUTS";#N/A,#N/A,FALSE,"SUPPLIEDADJINPUT";#N/A,#N/A,FALSE,"BR&amp;SUPADJ."}</definedName>
    <definedName name="_78" localSheetId="6" hidden="1">{#N/A,#N/A,FALSE,"OTHERINPUTS";#N/A,#N/A,FALSE,"SUPPLIEDADJINPUT";#N/A,#N/A,FALSE,"BR&amp;SUPADJ."}</definedName>
    <definedName name="_78" localSheetId="4" hidden="1">{#N/A,#N/A,FALSE,"OTHERINPUTS";#N/A,#N/A,FALSE,"SUPPLIEDADJINPUT";#N/A,#N/A,FALSE,"BR&amp;SUPADJ."}</definedName>
    <definedName name="_78" localSheetId="5" hidden="1">{#N/A,#N/A,FALSE,"OTHERINPUTS";#N/A,#N/A,FALSE,"SUPPLIEDADJINPUT";#N/A,#N/A,FALSE,"BR&amp;SUPADJ."}</definedName>
    <definedName name="_78" localSheetId="7" hidden="1">{#N/A,#N/A,FALSE,"OTHERINPUTS";#N/A,#N/A,FALSE,"SUPPLIEDADJINPUT";#N/A,#N/A,FALSE,"BR&amp;SUPADJ."}</definedName>
    <definedName name="_78" localSheetId="3" hidden="1">{#N/A,#N/A,FALSE,"OTHERINPUTS";#N/A,#N/A,FALSE,"SUPPLIEDADJINPUT";#N/A,#N/A,FALSE,"BR&amp;SUPADJ."}</definedName>
    <definedName name="_78" localSheetId="47" hidden="1">{#N/A,#N/A,FALSE,"OTHERINPUTS";#N/A,#N/A,FALSE,"SUPPLIEDADJINPUT";#N/A,#N/A,FALSE,"BR&amp;SUPADJ."}</definedName>
    <definedName name="_78" hidden="1">{#N/A,#N/A,FALSE,"OTHERINPUTS";#N/A,#N/A,FALSE,"SUPPLIEDADJINPUT";#N/A,#N/A,FALSE,"BR&amp;SUPADJ."}</definedName>
    <definedName name="_79" localSheetId="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3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6"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4"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5"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3"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4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8"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__123Graph_ACHART_18" hidden="1">#REF!</definedName>
    <definedName name="_8__123Graph_ACHART_4" hidden="1">#REF!</definedName>
    <definedName name="_8__123Graph_BCHART_6" localSheetId="1" hidden="1">#REF!</definedName>
    <definedName name="_8__123Graph_BCHART_6" localSheetId="6" hidden="1">#REF!</definedName>
    <definedName name="_8__123Graph_BCHART_6" localSheetId="7" hidden="1">#REF!</definedName>
    <definedName name="_8__123Graph_BCHART_6" localSheetId="29" hidden="1">#REF!</definedName>
    <definedName name="_8__123Graph_BCHART_6" localSheetId="47" hidden="1">#REF!</definedName>
    <definedName name="_8__123Graph_BCHART_6" hidden="1">#REF!</definedName>
    <definedName name="_80"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2" localSheetId="1" hidden="1">{#N/A,#N/A,FALSE,"Page 1";#N/A,#N/A,FALSE,"Page 2";#N/A,#N/A,FALSE,"Page 3";#N/A,#N/A,FALSE,"Page 4";#N/A,#N/A,FALSE,"Page 5";#N/A,#N/A,FALSE,"Page 6";#N/A,#N/A,FALSE,"Page 7";#N/A,#N/A,FALSE,"Page 8";#N/A,#N/A,FALSE,"Page 9";#N/A,#N/A,FALSE,"PG8WP";#N/A,#N/A,FALSE,"PG9WP"}</definedName>
    <definedName name="_82" localSheetId="32" hidden="1">{#N/A,#N/A,FALSE,"Page 1";#N/A,#N/A,FALSE,"Page 2";#N/A,#N/A,FALSE,"Page 3";#N/A,#N/A,FALSE,"Page 4";#N/A,#N/A,FALSE,"Page 5";#N/A,#N/A,FALSE,"Page 6";#N/A,#N/A,FALSE,"Page 7";#N/A,#N/A,FALSE,"Page 8";#N/A,#N/A,FALSE,"Page 9";#N/A,#N/A,FALSE,"PG8WP";#N/A,#N/A,FALSE,"PG9WP"}</definedName>
    <definedName name="_82" localSheetId="6" hidden="1">{#N/A,#N/A,FALSE,"Page 1";#N/A,#N/A,FALSE,"Page 2";#N/A,#N/A,FALSE,"Page 3";#N/A,#N/A,FALSE,"Page 4";#N/A,#N/A,FALSE,"Page 5";#N/A,#N/A,FALSE,"Page 6";#N/A,#N/A,FALSE,"Page 7";#N/A,#N/A,FALSE,"Page 8";#N/A,#N/A,FALSE,"Page 9";#N/A,#N/A,FALSE,"PG8WP";#N/A,#N/A,FALSE,"PG9WP"}</definedName>
    <definedName name="_82" localSheetId="4" hidden="1">{#N/A,#N/A,FALSE,"Page 1";#N/A,#N/A,FALSE,"Page 2";#N/A,#N/A,FALSE,"Page 3";#N/A,#N/A,FALSE,"Page 4";#N/A,#N/A,FALSE,"Page 5";#N/A,#N/A,FALSE,"Page 6";#N/A,#N/A,FALSE,"Page 7";#N/A,#N/A,FALSE,"Page 8";#N/A,#N/A,FALSE,"Page 9";#N/A,#N/A,FALSE,"PG8WP";#N/A,#N/A,FALSE,"PG9WP"}</definedName>
    <definedName name="_82" localSheetId="5" hidden="1">{#N/A,#N/A,FALSE,"Page 1";#N/A,#N/A,FALSE,"Page 2";#N/A,#N/A,FALSE,"Page 3";#N/A,#N/A,FALSE,"Page 4";#N/A,#N/A,FALSE,"Page 5";#N/A,#N/A,FALSE,"Page 6";#N/A,#N/A,FALSE,"Page 7";#N/A,#N/A,FALSE,"Page 8";#N/A,#N/A,FALSE,"Page 9";#N/A,#N/A,FALSE,"PG8WP";#N/A,#N/A,FALSE,"PG9WP"}</definedName>
    <definedName name="_82" localSheetId="7" hidden="1">{#N/A,#N/A,FALSE,"Page 1";#N/A,#N/A,FALSE,"Page 2";#N/A,#N/A,FALSE,"Page 3";#N/A,#N/A,FALSE,"Page 4";#N/A,#N/A,FALSE,"Page 5";#N/A,#N/A,FALSE,"Page 6";#N/A,#N/A,FALSE,"Page 7";#N/A,#N/A,FALSE,"Page 8";#N/A,#N/A,FALSE,"Page 9";#N/A,#N/A,FALSE,"PG8WP";#N/A,#N/A,FALSE,"PG9WP"}</definedName>
    <definedName name="_82" localSheetId="3" hidden="1">{#N/A,#N/A,FALSE,"Page 1";#N/A,#N/A,FALSE,"Page 2";#N/A,#N/A,FALSE,"Page 3";#N/A,#N/A,FALSE,"Page 4";#N/A,#N/A,FALSE,"Page 5";#N/A,#N/A,FALSE,"Page 6";#N/A,#N/A,FALSE,"Page 7";#N/A,#N/A,FALSE,"Page 8";#N/A,#N/A,FALSE,"Page 9";#N/A,#N/A,FALSE,"PG8WP";#N/A,#N/A,FALSE,"PG9WP"}</definedName>
    <definedName name="_82" localSheetId="47" hidden="1">{#N/A,#N/A,FALSE,"Page 1";#N/A,#N/A,FALSE,"Page 2";#N/A,#N/A,FALSE,"Page 3";#N/A,#N/A,FALSE,"Page 4";#N/A,#N/A,FALSE,"Page 5";#N/A,#N/A,FALSE,"Page 6";#N/A,#N/A,FALSE,"Page 7";#N/A,#N/A,FALSE,"Page 8";#N/A,#N/A,FALSE,"Page 9";#N/A,#N/A,FALSE,"PG8WP";#N/A,#N/A,FALSE,"PG9WP"}</definedName>
    <definedName name="_82" hidden="1">{#N/A,#N/A,FALSE,"Page 1";#N/A,#N/A,FALSE,"Page 2";#N/A,#N/A,FALSE,"Page 3";#N/A,#N/A,FALSE,"Page 4";#N/A,#N/A,FALSE,"Page 5";#N/A,#N/A,FALSE,"Page 6";#N/A,#N/A,FALSE,"Page 7";#N/A,#N/A,FALSE,"Page 8";#N/A,#N/A,FALSE,"Page 9";#N/A,#N/A,FALSE,"PG8WP";#N/A,#N/A,FALSE,"PG9WP"}</definedName>
    <definedName name="_83" localSheetId="1" hidden="1">{#N/A,#N/A,FALSE,"Page 1";#N/A,#N/A,FALSE,"Page 2";#N/A,#N/A,FALSE,"Page 3";#N/A,#N/A,FALSE,"Page 4";#N/A,#N/A,FALSE,"Page 5";#N/A,#N/A,FALSE,"Page 6";#N/A,#N/A,FALSE,"Page 7";#N/A,#N/A,FALSE,"Page 8";#N/A,#N/A,FALSE,"Page 9";#N/A,#N/A,FALSE,"PG8WP";#N/A,#N/A,FALSE,"PG9WP"}</definedName>
    <definedName name="_83" localSheetId="32" hidden="1">{#N/A,#N/A,FALSE,"Page 1";#N/A,#N/A,FALSE,"Page 2";#N/A,#N/A,FALSE,"Page 3";#N/A,#N/A,FALSE,"Page 4";#N/A,#N/A,FALSE,"Page 5";#N/A,#N/A,FALSE,"Page 6";#N/A,#N/A,FALSE,"Page 7";#N/A,#N/A,FALSE,"Page 8";#N/A,#N/A,FALSE,"Page 9";#N/A,#N/A,FALSE,"PG8WP";#N/A,#N/A,FALSE,"PG9WP"}</definedName>
    <definedName name="_83" localSheetId="6" hidden="1">{#N/A,#N/A,FALSE,"Page 1";#N/A,#N/A,FALSE,"Page 2";#N/A,#N/A,FALSE,"Page 3";#N/A,#N/A,FALSE,"Page 4";#N/A,#N/A,FALSE,"Page 5";#N/A,#N/A,FALSE,"Page 6";#N/A,#N/A,FALSE,"Page 7";#N/A,#N/A,FALSE,"Page 8";#N/A,#N/A,FALSE,"Page 9";#N/A,#N/A,FALSE,"PG8WP";#N/A,#N/A,FALSE,"PG9WP"}</definedName>
    <definedName name="_83" localSheetId="4" hidden="1">{#N/A,#N/A,FALSE,"Page 1";#N/A,#N/A,FALSE,"Page 2";#N/A,#N/A,FALSE,"Page 3";#N/A,#N/A,FALSE,"Page 4";#N/A,#N/A,FALSE,"Page 5";#N/A,#N/A,FALSE,"Page 6";#N/A,#N/A,FALSE,"Page 7";#N/A,#N/A,FALSE,"Page 8";#N/A,#N/A,FALSE,"Page 9";#N/A,#N/A,FALSE,"PG8WP";#N/A,#N/A,FALSE,"PG9WP"}</definedName>
    <definedName name="_83" localSheetId="5" hidden="1">{#N/A,#N/A,FALSE,"Page 1";#N/A,#N/A,FALSE,"Page 2";#N/A,#N/A,FALSE,"Page 3";#N/A,#N/A,FALSE,"Page 4";#N/A,#N/A,FALSE,"Page 5";#N/A,#N/A,FALSE,"Page 6";#N/A,#N/A,FALSE,"Page 7";#N/A,#N/A,FALSE,"Page 8";#N/A,#N/A,FALSE,"Page 9";#N/A,#N/A,FALSE,"PG8WP";#N/A,#N/A,FALSE,"PG9WP"}</definedName>
    <definedName name="_83" localSheetId="7" hidden="1">{#N/A,#N/A,FALSE,"Page 1";#N/A,#N/A,FALSE,"Page 2";#N/A,#N/A,FALSE,"Page 3";#N/A,#N/A,FALSE,"Page 4";#N/A,#N/A,FALSE,"Page 5";#N/A,#N/A,FALSE,"Page 6";#N/A,#N/A,FALSE,"Page 7";#N/A,#N/A,FALSE,"Page 8";#N/A,#N/A,FALSE,"Page 9";#N/A,#N/A,FALSE,"PG8WP";#N/A,#N/A,FALSE,"PG9WP"}</definedName>
    <definedName name="_83" localSheetId="3" hidden="1">{#N/A,#N/A,FALSE,"Page 1";#N/A,#N/A,FALSE,"Page 2";#N/A,#N/A,FALSE,"Page 3";#N/A,#N/A,FALSE,"Page 4";#N/A,#N/A,FALSE,"Page 5";#N/A,#N/A,FALSE,"Page 6";#N/A,#N/A,FALSE,"Page 7";#N/A,#N/A,FALSE,"Page 8";#N/A,#N/A,FALSE,"Page 9";#N/A,#N/A,FALSE,"PG8WP";#N/A,#N/A,FALSE,"PG9WP"}</definedName>
    <definedName name="_83" localSheetId="47" hidden="1">{#N/A,#N/A,FALSE,"Page 1";#N/A,#N/A,FALSE,"Page 2";#N/A,#N/A,FALSE,"Page 3";#N/A,#N/A,FALSE,"Page 4";#N/A,#N/A,FALSE,"Page 5";#N/A,#N/A,FALSE,"Page 6";#N/A,#N/A,FALSE,"Page 7";#N/A,#N/A,FALSE,"Page 8";#N/A,#N/A,FALSE,"Page 9";#N/A,#N/A,FALSE,"PG8WP";#N/A,#N/A,FALSE,"PG9WP"}</definedName>
    <definedName name="_83" hidden="1">{#N/A,#N/A,FALSE,"Page 1";#N/A,#N/A,FALSE,"Page 2";#N/A,#N/A,FALSE,"Page 3";#N/A,#N/A,FALSE,"Page 4";#N/A,#N/A,FALSE,"Page 5";#N/A,#N/A,FALSE,"Page 6";#N/A,#N/A,FALSE,"Page 7";#N/A,#N/A,FALSE,"Page 8";#N/A,#N/A,FALSE,"Page 9";#N/A,#N/A,FALSE,"PG8WP";#N/A,#N/A,FALSE,"PG9WP"}</definedName>
    <definedName name="_84" localSheetId="1" hidden="1">{"OK_FUEL_COMPARISON",#N/A,FALSE,"Ok_Fuel&amp;Rev"}</definedName>
    <definedName name="_84" localSheetId="32" hidden="1">{"OK_FUEL_COMPARISON",#N/A,FALSE,"Ok_Fuel&amp;Rev"}</definedName>
    <definedName name="_84" localSheetId="6" hidden="1">{"OK_FUEL_COMPARISON",#N/A,FALSE,"Ok_Fuel&amp;Rev"}</definedName>
    <definedName name="_84" localSheetId="4" hidden="1">{"OK_FUEL_COMPARISON",#N/A,FALSE,"Ok_Fuel&amp;Rev"}</definedName>
    <definedName name="_84" localSheetId="5" hidden="1">{"OK_FUEL_COMPARISON",#N/A,FALSE,"Ok_Fuel&amp;Rev"}</definedName>
    <definedName name="_84" localSheetId="7" hidden="1">{"OK_FUEL_COMPARISON",#N/A,FALSE,"Ok_Fuel&amp;Rev"}</definedName>
    <definedName name="_84" localSheetId="3" hidden="1">{"OK_FUEL_COMPARISON",#N/A,FALSE,"Ok_Fuel&amp;Rev"}</definedName>
    <definedName name="_84" localSheetId="47" hidden="1">{"OK_FUEL_COMPARISON",#N/A,FALSE,"Ok_Fuel&amp;Rev"}</definedName>
    <definedName name="_84" hidden="1">{"OK_FUEL_COMPARISON",#N/A,FALSE,"Ok_Fuel&amp;Rev"}</definedName>
    <definedName name="_84__123Graph_ACHART_4" hidden="1">#REF!</definedName>
    <definedName name="_84__123Graph_ACHART_6" hidden="1">#REF!</definedName>
    <definedName name="_85" localSheetId="1" hidden="1">{"OK_JURIS_FAC",#N/A,FALSE,"Ok_Fuel&amp;Rev"}</definedName>
    <definedName name="_85" localSheetId="32" hidden="1">{"OK_JURIS_FAC",#N/A,FALSE,"Ok_Fuel&amp;Rev"}</definedName>
    <definedName name="_85" localSheetId="6" hidden="1">{"OK_JURIS_FAC",#N/A,FALSE,"Ok_Fuel&amp;Rev"}</definedName>
    <definedName name="_85" localSheetId="4" hidden="1">{"OK_JURIS_FAC",#N/A,FALSE,"Ok_Fuel&amp;Rev"}</definedName>
    <definedName name="_85" localSheetId="5" hidden="1">{"OK_JURIS_FAC",#N/A,FALSE,"Ok_Fuel&amp;Rev"}</definedName>
    <definedName name="_85" localSheetId="7" hidden="1">{"OK_JURIS_FAC",#N/A,FALSE,"Ok_Fuel&amp;Rev"}</definedName>
    <definedName name="_85" localSheetId="3" hidden="1">{"OK_JURIS_FAC",#N/A,FALSE,"Ok_Fuel&amp;Rev"}</definedName>
    <definedName name="_85" localSheetId="47" hidden="1">{"OK_JURIS_FAC",#N/A,FALSE,"Ok_Fuel&amp;Rev"}</definedName>
    <definedName name="_85" hidden="1">{"OK_JURIS_FAC",#N/A,FALSE,"Ok_Fuel&amp;Rev"}</definedName>
    <definedName name="_85__123Graph_ACHART_5" hidden="1">#REF!</definedName>
    <definedName name="_86" localSheetId="1" hidden="1">{"OK_JURIS_FUEL",#N/A,FALSE,"Ok_Fuel&amp;Rev"}</definedName>
    <definedName name="_86" localSheetId="32" hidden="1">{"OK_JURIS_FUEL",#N/A,FALSE,"Ok_Fuel&amp;Rev"}</definedName>
    <definedName name="_86" localSheetId="6" hidden="1">{"OK_JURIS_FUEL",#N/A,FALSE,"Ok_Fuel&amp;Rev"}</definedName>
    <definedName name="_86" localSheetId="4" hidden="1">{"OK_JURIS_FUEL",#N/A,FALSE,"Ok_Fuel&amp;Rev"}</definedName>
    <definedName name="_86" localSheetId="5" hidden="1">{"OK_JURIS_FUEL",#N/A,FALSE,"Ok_Fuel&amp;Rev"}</definedName>
    <definedName name="_86" localSheetId="7" hidden="1">{"OK_JURIS_FUEL",#N/A,FALSE,"Ok_Fuel&amp;Rev"}</definedName>
    <definedName name="_86" localSheetId="3" hidden="1">{"OK_JURIS_FUEL",#N/A,FALSE,"Ok_Fuel&amp;Rev"}</definedName>
    <definedName name="_86" localSheetId="47" hidden="1">{"OK_JURIS_FUEL",#N/A,FALSE,"Ok_Fuel&amp;Rev"}</definedName>
    <definedName name="_86" hidden="1">{"OK_JURIS_FUEL",#N/A,FALSE,"Ok_Fuel&amp;Rev"}</definedName>
    <definedName name="_87" localSheetId="1" hidden="1">{"OK_PRO_FORMA_FUEL",#N/A,FALSE,"Ok_Fuel&amp;Rev"}</definedName>
    <definedName name="_87" localSheetId="32" hidden="1">{"OK_PRO_FORMA_FUEL",#N/A,FALSE,"Ok_Fuel&amp;Rev"}</definedName>
    <definedName name="_87" localSheetId="6" hidden="1">{"OK_PRO_FORMA_FUEL",#N/A,FALSE,"Ok_Fuel&amp;Rev"}</definedName>
    <definedName name="_87" localSheetId="4" hidden="1">{"OK_PRO_FORMA_FUEL",#N/A,FALSE,"Ok_Fuel&amp;Rev"}</definedName>
    <definedName name="_87" localSheetId="5" hidden="1">{"OK_PRO_FORMA_FUEL",#N/A,FALSE,"Ok_Fuel&amp;Rev"}</definedName>
    <definedName name="_87" localSheetId="7" hidden="1">{"OK_PRO_FORMA_FUEL",#N/A,FALSE,"Ok_Fuel&amp;Rev"}</definedName>
    <definedName name="_87" localSheetId="3" hidden="1">{"OK_PRO_FORMA_FUEL",#N/A,FALSE,"Ok_Fuel&amp;Rev"}</definedName>
    <definedName name="_87" localSheetId="47" hidden="1">{"OK_PRO_FORMA_FUEL",#N/A,FALSE,"Ok_Fuel&amp;Rev"}</definedName>
    <definedName name="_87" hidden="1">{"OK_PRO_FORMA_FUEL",#N/A,FALSE,"Ok_Fuel&amp;Rev"}</definedName>
    <definedName name="_88" localSheetId="1" hidden="1">{"PF",#N/A,FALSE,"Sheet4";"PG",#N/A,FALSE,"Sheet4";"PH",#N/A,FALSE,"Sheet4";"PI",#N/A,FALSE,"Sheet4";"PJ",#N/A,FALSE,"Sheet4"}</definedName>
    <definedName name="_88" localSheetId="32" hidden="1">{"PF",#N/A,FALSE,"Sheet4";"PG",#N/A,FALSE,"Sheet4";"PH",#N/A,FALSE,"Sheet4";"PI",#N/A,FALSE,"Sheet4";"PJ",#N/A,FALSE,"Sheet4"}</definedName>
    <definedName name="_88" localSheetId="6" hidden="1">{"PF",#N/A,FALSE,"Sheet4";"PG",#N/A,FALSE,"Sheet4";"PH",#N/A,FALSE,"Sheet4";"PI",#N/A,FALSE,"Sheet4";"PJ",#N/A,FALSE,"Sheet4"}</definedName>
    <definedName name="_88" localSheetId="4" hidden="1">{"PF",#N/A,FALSE,"Sheet4";"PG",#N/A,FALSE,"Sheet4";"PH",#N/A,FALSE,"Sheet4";"PI",#N/A,FALSE,"Sheet4";"PJ",#N/A,FALSE,"Sheet4"}</definedName>
    <definedName name="_88" localSheetId="5" hidden="1">{"PF",#N/A,FALSE,"Sheet4";"PG",#N/A,FALSE,"Sheet4";"PH",#N/A,FALSE,"Sheet4";"PI",#N/A,FALSE,"Sheet4";"PJ",#N/A,FALSE,"Sheet4"}</definedName>
    <definedName name="_88" localSheetId="7" hidden="1">{"PF",#N/A,FALSE,"Sheet4";"PG",#N/A,FALSE,"Sheet4";"PH",#N/A,FALSE,"Sheet4";"PI",#N/A,FALSE,"Sheet4";"PJ",#N/A,FALSE,"Sheet4"}</definedName>
    <definedName name="_88" localSheetId="3" hidden="1">{"PF",#N/A,FALSE,"Sheet4";"PG",#N/A,FALSE,"Sheet4";"PH",#N/A,FALSE,"Sheet4";"PI",#N/A,FALSE,"Sheet4";"PJ",#N/A,FALSE,"Sheet4"}</definedName>
    <definedName name="_88" localSheetId="47" hidden="1">{"PF",#N/A,FALSE,"Sheet4";"PG",#N/A,FALSE,"Sheet4";"PH",#N/A,FALSE,"Sheet4";"PI",#N/A,FALSE,"Sheet4";"PJ",#N/A,FALSE,"Sheet4"}</definedName>
    <definedName name="_88" hidden="1">{"PF",#N/A,FALSE,"Sheet4";"PG",#N/A,FALSE,"Sheet4";"PH",#N/A,FALSE,"Sheet4";"PI",#N/A,FALSE,"Sheet4";"PJ",#N/A,FALSE,"Sheet4"}</definedName>
    <definedName name="_89" localSheetId="1" hidden="1">{"OMPA_FAC",#N/A,FALSE,"OMPA FAC"}</definedName>
    <definedName name="_89" localSheetId="32" hidden="1">{"OMPA_FAC",#N/A,FALSE,"OMPA FAC"}</definedName>
    <definedName name="_89" localSheetId="6" hidden="1">{"OMPA_FAC",#N/A,FALSE,"OMPA FAC"}</definedName>
    <definedName name="_89" localSheetId="4" hidden="1">{"OMPA_FAC",#N/A,FALSE,"OMPA FAC"}</definedName>
    <definedName name="_89" localSheetId="5" hidden="1">{"OMPA_FAC",#N/A,FALSE,"OMPA FAC"}</definedName>
    <definedName name="_89" localSheetId="7" hidden="1">{"OMPA_FAC",#N/A,FALSE,"OMPA FAC"}</definedName>
    <definedName name="_89" localSheetId="3" hidden="1">{"OMPA_FAC",#N/A,FALSE,"OMPA FAC"}</definedName>
    <definedName name="_89" localSheetId="47" hidden="1">{"OMPA_FAC",#N/A,FALSE,"OMPA FAC"}</definedName>
    <definedName name="_89" hidden="1">{"OMPA_FAC",#N/A,FALSE,"OMPA FAC"}</definedName>
    <definedName name="_9" localSheetId="1" hidden="1">{"caz2",#N/A,FALSE,"Central Arizona 2";"saz2",#N/A,FALSE,"Southern Arizona 2";"snv2",#N/A,FALSE,"Southern Nevada 2";"nnv2",#N/A,FALSE,"Northern Nevada 2";"sca2",#N/A,FALSE,"Southern California 2";"nca2",#N/A,FALSE,"Northern California 2";"pai2",#N/A,FALSE,"Paiute 2"}</definedName>
    <definedName name="_9" localSheetId="32" hidden="1">{"caz2",#N/A,FALSE,"Central Arizona 2";"saz2",#N/A,FALSE,"Southern Arizona 2";"snv2",#N/A,FALSE,"Southern Nevada 2";"nnv2",#N/A,FALSE,"Northern Nevada 2";"sca2",#N/A,FALSE,"Southern California 2";"nca2",#N/A,FALSE,"Northern California 2";"pai2",#N/A,FALSE,"Paiute 2"}</definedName>
    <definedName name="_9" localSheetId="6" hidden="1">{"caz2",#N/A,FALSE,"Central Arizona 2";"saz2",#N/A,FALSE,"Southern Arizona 2";"snv2",#N/A,FALSE,"Southern Nevada 2";"nnv2",#N/A,FALSE,"Northern Nevada 2";"sca2",#N/A,FALSE,"Southern California 2";"nca2",#N/A,FALSE,"Northern California 2";"pai2",#N/A,FALSE,"Paiute 2"}</definedName>
    <definedName name="_9" localSheetId="4" hidden="1">{"caz2",#N/A,FALSE,"Central Arizona 2";"saz2",#N/A,FALSE,"Southern Arizona 2";"snv2",#N/A,FALSE,"Southern Nevada 2";"nnv2",#N/A,FALSE,"Northern Nevada 2";"sca2",#N/A,FALSE,"Southern California 2";"nca2",#N/A,FALSE,"Northern California 2";"pai2",#N/A,FALSE,"Paiute 2"}</definedName>
    <definedName name="_9" localSheetId="5" hidden="1">{"caz2",#N/A,FALSE,"Central Arizona 2";"saz2",#N/A,FALSE,"Southern Arizona 2";"snv2",#N/A,FALSE,"Southern Nevada 2";"nnv2",#N/A,FALSE,"Northern Nevada 2";"sca2",#N/A,FALSE,"Southern California 2";"nca2",#N/A,FALSE,"Northern California 2";"pai2",#N/A,FALSE,"Paiute 2"}</definedName>
    <definedName name="_9" localSheetId="7" hidden="1">{"caz2",#N/A,FALSE,"Central Arizona 2";"saz2",#N/A,FALSE,"Southern Arizona 2";"snv2",#N/A,FALSE,"Southern Nevada 2";"nnv2",#N/A,FALSE,"Northern Nevada 2";"sca2",#N/A,FALSE,"Southern California 2";"nca2",#N/A,FALSE,"Northern California 2";"pai2",#N/A,FALSE,"Paiute 2"}</definedName>
    <definedName name="_9" localSheetId="3" hidden="1">{"caz2",#N/A,FALSE,"Central Arizona 2";"saz2",#N/A,FALSE,"Southern Arizona 2";"snv2",#N/A,FALSE,"Southern Nevada 2";"nnv2",#N/A,FALSE,"Northern Nevada 2";"sca2",#N/A,FALSE,"Southern California 2";"nca2",#N/A,FALSE,"Northern California 2";"pai2",#N/A,FALSE,"Paiute 2"}</definedName>
    <definedName name="_9" localSheetId="47" hidden="1">{"caz2",#N/A,FALSE,"Central Arizona 2";"saz2",#N/A,FALSE,"Southern Arizona 2";"snv2",#N/A,FALSE,"Southern Nevada 2";"nnv2",#N/A,FALSE,"Northern Nevada 2";"sca2",#N/A,FALSE,"Southern California 2";"nca2",#N/A,FALSE,"Northern California 2";"pai2",#N/A,FALSE,"Paiute 2"}</definedName>
    <definedName name="_9" hidden="1">{"caz2",#N/A,FALSE,"Central Arizona 2";"saz2",#N/A,FALSE,"Southern Arizona 2";"snv2",#N/A,FALSE,"Southern Nevada 2";"nnv2",#N/A,FALSE,"Northern Nevada 2";"sca2",#N/A,FALSE,"Southern California 2";"nca2",#N/A,FALSE,"Northern California 2";"pai2",#N/A,FALSE,"Paiute 2"}</definedName>
    <definedName name="_9__123Graph_BCHART_13" hidden="1">#REF!</definedName>
    <definedName name="_9__123Graph_CCHART_4" localSheetId="6" hidden="1">#REF!</definedName>
    <definedName name="_9__123Graph_CCHART_4" localSheetId="7" hidden="1">#REF!</definedName>
    <definedName name="_9__123Graph_CCHART_4" localSheetId="29" hidden="1">#REF!</definedName>
    <definedName name="_9__123Graph_CCHART_4" localSheetId="47" hidden="1">#REF!</definedName>
    <definedName name="_9__123Graph_CCHART_4" hidden="1">#REF!</definedName>
    <definedName name="_90" localSheetId="1" hidden="1">{"OTHER_DATA",#N/A,FALSE,"Ok_Fuel&amp;Rev"}</definedName>
    <definedName name="_90" localSheetId="32" hidden="1">{"OTHER_DATA",#N/A,FALSE,"Ok_Fuel&amp;Rev"}</definedName>
    <definedName name="_90" localSheetId="6" hidden="1">{"OTHER_DATA",#N/A,FALSE,"Ok_Fuel&amp;Rev"}</definedName>
    <definedName name="_90" localSheetId="4" hidden="1">{"OTHER_DATA",#N/A,FALSE,"Ok_Fuel&amp;Rev"}</definedName>
    <definedName name="_90" localSheetId="5" hidden="1">{"OTHER_DATA",#N/A,FALSE,"Ok_Fuel&amp;Rev"}</definedName>
    <definedName name="_90" localSheetId="7" hidden="1">{"OTHER_DATA",#N/A,FALSE,"Ok_Fuel&amp;Rev"}</definedName>
    <definedName name="_90" localSheetId="3" hidden="1">{"OTHER_DATA",#N/A,FALSE,"Ok_Fuel&amp;Rev"}</definedName>
    <definedName name="_90" localSheetId="47" hidden="1">{"OTHER_DATA",#N/A,FALSE,"Ok_Fuel&amp;Rev"}</definedName>
    <definedName name="_90" hidden="1">{"OTHER_DATA",#N/A,FALSE,"Ok_Fuel&amp;Rev"}</definedName>
    <definedName name="_90__123Graph_ACHART_5" hidden="1">#REF!</definedName>
    <definedName name="_91" localSheetId="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3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4"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5"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4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2" localSheetId="1" hidden="1">{"summary",#N/A,TRUE,"E93ADJ";"detail",#N/A,TRUE,"E93ADJ"}</definedName>
    <definedName name="_92" localSheetId="32" hidden="1">{"summary",#N/A,TRUE,"E93ADJ";"detail",#N/A,TRUE,"E93ADJ"}</definedName>
    <definedName name="_92" localSheetId="6" hidden="1">{"summary",#N/A,TRUE,"E93ADJ";"detail",#N/A,TRUE,"E93ADJ"}</definedName>
    <definedName name="_92" localSheetId="4" hidden="1">{"summary",#N/A,TRUE,"E93ADJ";"detail",#N/A,TRUE,"E93ADJ"}</definedName>
    <definedName name="_92" localSheetId="5" hidden="1">{"summary",#N/A,TRUE,"E93ADJ";"detail",#N/A,TRUE,"E93ADJ"}</definedName>
    <definedName name="_92" localSheetId="7" hidden="1">{"summary",#N/A,TRUE,"E93ADJ";"detail",#N/A,TRUE,"E93ADJ"}</definedName>
    <definedName name="_92" localSheetId="3" hidden="1">{"summary",#N/A,TRUE,"E93ADJ";"detail",#N/A,TRUE,"E93ADJ"}</definedName>
    <definedName name="_92" localSheetId="47" hidden="1">{"summary",#N/A,TRUE,"E93ADJ";"detail",#N/A,TRUE,"E93ADJ"}</definedName>
    <definedName name="_92" hidden="1">{"summary",#N/A,TRUE,"E93ADJ";"detail",#N/A,TRUE,"E93ADJ"}</definedName>
    <definedName name="_93" localSheetId="1" hidden="1">{"print1",#N/A,FALSE,"D21CUSTS"}</definedName>
    <definedName name="_93" localSheetId="32" hidden="1">{"print1",#N/A,FALSE,"D21CUSTS"}</definedName>
    <definedName name="_93" localSheetId="6" hidden="1">{"print1",#N/A,FALSE,"D21CUSTS"}</definedName>
    <definedName name="_93" localSheetId="4" hidden="1">{"print1",#N/A,FALSE,"D21CUSTS"}</definedName>
    <definedName name="_93" localSheetId="5" hidden="1">{"print1",#N/A,FALSE,"D21CUSTS"}</definedName>
    <definedName name="_93" localSheetId="7" hidden="1">{"print1",#N/A,FALSE,"D21CUSTS"}</definedName>
    <definedName name="_93" localSheetId="3" hidden="1">{"print1",#N/A,FALSE,"D21CUSTS"}</definedName>
    <definedName name="_93" localSheetId="47" hidden="1">{"print1",#N/A,FALSE,"D21CUSTS"}</definedName>
    <definedName name="_93" hidden="1">{"print1",#N/A,FALSE,"D21CUSTS"}</definedName>
    <definedName name="_94" localSheetId="1" hidden="1">{"print2",#N/A,FALSE,"D21CUSTS"}</definedName>
    <definedName name="_94" localSheetId="32" hidden="1">{"print2",#N/A,FALSE,"D21CUSTS"}</definedName>
    <definedName name="_94" localSheetId="6" hidden="1">{"print2",#N/A,FALSE,"D21CUSTS"}</definedName>
    <definedName name="_94" localSheetId="4" hidden="1">{"print2",#N/A,FALSE,"D21CUSTS"}</definedName>
    <definedName name="_94" localSheetId="5" hidden="1">{"print2",#N/A,FALSE,"D21CUSTS"}</definedName>
    <definedName name="_94" localSheetId="7" hidden="1">{"print2",#N/A,FALSE,"D21CUSTS"}</definedName>
    <definedName name="_94" localSheetId="3" hidden="1">{"print2",#N/A,FALSE,"D21CUSTS"}</definedName>
    <definedName name="_94" localSheetId="47" hidden="1">{"print2",#N/A,FALSE,"D21CUSTS"}</definedName>
    <definedName name="_94" hidden="1">{"print2",#N/A,FALSE,"D21CUSTS"}</definedName>
    <definedName name="_95" localSheetId="1" hidden="1">{"print3",#N/A,FALSE,"D21CUSTS"}</definedName>
    <definedName name="_95" localSheetId="32" hidden="1">{"print3",#N/A,FALSE,"D21CUSTS"}</definedName>
    <definedName name="_95" localSheetId="6" hidden="1">{"print3",#N/A,FALSE,"D21CUSTS"}</definedName>
    <definedName name="_95" localSheetId="4" hidden="1">{"print3",#N/A,FALSE,"D21CUSTS"}</definedName>
    <definedName name="_95" localSheetId="5" hidden="1">{"print3",#N/A,FALSE,"D21CUSTS"}</definedName>
    <definedName name="_95" localSheetId="7" hidden="1">{"print3",#N/A,FALSE,"D21CUSTS"}</definedName>
    <definedName name="_95" localSheetId="3" hidden="1">{"print3",#N/A,FALSE,"D21CUSTS"}</definedName>
    <definedName name="_95" localSheetId="47" hidden="1">{"print3",#N/A,FALSE,"D21CUSTS"}</definedName>
    <definedName name="_95" hidden="1">{"print3",#N/A,FALSE,"D21CUSTS"}</definedName>
    <definedName name="_96" localSheetId="1" hidden="1">{"print4",#N/A,FALSE,"D21CUSTS"}</definedName>
    <definedName name="_96" localSheetId="32" hidden="1">{"print4",#N/A,FALSE,"D21CUSTS"}</definedName>
    <definedName name="_96" localSheetId="6" hidden="1">{"print4",#N/A,FALSE,"D21CUSTS"}</definedName>
    <definedName name="_96" localSheetId="4" hidden="1">{"print4",#N/A,FALSE,"D21CUSTS"}</definedName>
    <definedName name="_96" localSheetId="5" hidden="1">{"print4",#N/A,FALSE,"D21CUSTS"}</definedName>
    <definedName name="_96" localSheetId="7" hidden="1">{"print4",#N/A,FALSE,"D21CUSTS"}</definedName>
    <definedName name="_96" localSheetId="3" hidden="1">{"print4",#N/A,FALSE,"D21CUSTS"}</definedName>
    <definedName name="_96" localSheetId="47" hidden="1">{"print4",#N/A,FALSE,"D21CUSTS"}</definedName>
    <definedName name="_96" hidden="1">{"print4",#N/A,FALSE,"D21CUSTS"}</definedName>
    <definedName name="_97"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8" localSheetId="1" hidden="1">{"caz2",#N/A,FALSE,"Central Arizona 2";"saz2",#N/A,FALSE,"Southern Arizona 2";"snv2",#N/A,FALSE,"Southern Nevada 2";"nnv2",#N/A,FALSE,"Northern Nevada 2";"sca2",#N/A,FALSE,"Southern California 2";"nca2",#N/A,FALSE,"Northern California 2";"pai2",#N/A,FALSE,"Paiute 2"}</definedName>
    <definedName name="_98" localSheetId="32" hidden="1">{"caz2",#N/A,FALSE,"Central Arizona 2";"saz2",#N/A,FALSE,"Southern Arizona 2";"snv2",#N/A,FALSE,"Southern Nevada 2";"nnv2",#N/A,FALSE,"Northern Nevada 2";"sca2",#N/A,FALSE,"Southern California 2";"nca2",#N/A,FALSE,"Northern California 2";"pai2",#N/A,FALSE,"Paiute 2"}</definedName>
    <definedName name="_98" localSheetId="6" hidden="1">{"caz2",#N/A,FALSE,"Central Arizona 2";"saz2",#N/A,FALSE,"Southern Arizona 2";"snv2",#N/A,FALSE,"Southern Nevada 2";"nnv2",#N/A,FALSE,"Northern Nevada 2";"sca2",#N/A,FALSE,"Southern California 2";"nca2",#N/A,FALSE,"Northern California 2";"pai2",#N/A,FALSE,"Paiute 2"}</definedName>
    <definedName name="_98" localSheetId="4" hidden="1">{"caz2",#N/A,FALSE,"Central Arizona 2";"saz2",#N/A,FALSE,"Southern Arizona 2";"snv2",#N/A,FALSE,"Southern Nevada 2";"nnv2",#N/A,FALSE,"Northern Nevada 2";"sca2",#N/A,FALSE,"Southern California 2";"nca2",#N/A,FALSE,"Northern California 2";"pai2",#N/A,FALSE,"Paiute 2"}</definedName>
    <definedName name="_98" localSheetId="5" hidden="1">{"caz2",#N/A,FALSE,"Central Arizona 2";"saz2",#N/A,FALSE,"Southern Arizona 2";"snv2",#N/A,FALSE,"Southern Nevada 2";"nnv2",#N/A,FALSE,"Northern Nevada 2";"sca2",#N/A,FALSE,"Southern California 2";"nca2",#N/A,FALSE,"Northern California 2";"pai2",#N/A,FALSE,"Paiute 2"}</definedName>
    <definedName name="_98" localSheetId="7" hidden="1">{"caz2",#N/A,FALSE,"Central Arizona 2";"saz2",#N/A,FALSE,"Southern Arizona 2";"snv2",#N/A,FALSE,"Southern Nevada 2";"nnv2",#N/A,FALSE,"Northern Nevada 2";"sca2",#N/A,FALSE,"Southern California 2";"nca2",#N/A,FALSE,"Northern California 2";"pai2",#N/A,FALSE,"Paiute 2"}</definedName>
    <definedName name="_98" localSheetId="3" hidden="1">{"caz2",#N/A,FALSE,"Central Arizona 2";"saz2",#N/A,FALSE,"Southern Arizona 2";"snv2",#N/A,FALSE,"Southern Nevada 2";"nnv2",#N/A,FALSE,"Northern Nevada 2";"sca2",#N/A,FALSE,"Southern California 2";"nca2",#N/A,FALSE,"Northern California 2";"pai2",#N/A,FALSE,"Paiute 2"}</definedName>
    <definedName name="_98" localSheetId="47" hidden="1">{"caz2",#N/A,FALSE,"Central Arizona 2";"saz2",#N/A,FALSE,"Southern Arizona 2";"snv2",#N/A,FALSE,"Southern Nevada 2";"nnv2",#N/A,FALSE,"Northern Nevada 2";"sca2",#N/A,FALSE,"Southern California 2";"nca2",#N/A,FALSE,"Northern California 2";"pai2",#N/A,FALSE,"Paiute 2"}</definedName>
    <definedName name="_98" hidden="1">{"caz2",#N/A,FALSE,"Central Arizona 2";"saz2",#N/A,FALSE,"Southern Arizona 2";"snv2",#N/A,FALSE,"Southern Nevada 2";"nnv2",#N/A,FALSE,"Northern Nevada 2";"sca2",#N/A,FALSE,"Southern California 2";"nca2",#N/A,FALSE,"Northern California 2";"pai2",#N/A,FALSE,"Paiute 2"}</definedName>
    <definedName name="_98__123Graph_BCHART_5" hidden="1">#REF!</definedName>
    <definedName name="_99" localSheetId="1" hidden="1">{#N/A,#N/A,FALSE,"GLDwnLoad"}</definedName>
    <definedName name="_99" localSheetId="32" hidden="1">{#N/A,#N/A,FALSE,"GLDwnLoad"}</definedName>
    <definedName name="_99" localSheetId="6" hidden="1">{#N/A,#N/A,FALSE,"GLDwnLoad"}</definedName>
    <definedName name="_99" localSheetId="4" hidden="1">{#N/A,#N/A,FALSE,"GLDwnLoad"}</definedName>
    <definedName name="_99" localSheetId="5" hidden="1">{#N/A,#N/A,FALSE,"GLDwnLoad"}</definedName>
    <definedName name="_99" localSheetId="7" hidden="1">{#N/A,#N/A,FALSE,"GLDwnLoad"}</definedName>
    <definedName name="_99" localSheetId="3" hidden="1">{#N/A,#N/A,FALSE,"GLDwnLoad"}</definedName>
    <definedName name="_99" localSheetId="47" hidden="1">{#N/A,#N/A,FALSE,"GLDwnLoad"}</definedName>
    <definedName name="_99" hidden="1">{#N/A,#N/A,FALSE,"GLDwnLoad"}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 localSheetId="1" hidden="1">{#N/A,#N/A,FALSE,"SCA";#N/A,#N/A,FALSE,"NCA";#N/A,#N/A,FALSE,"SAZ";#N/A,#N/A,FALSE,"CAZ";#N/A,#N/A,FALSE,"SNV";#N/A,#N/A,FALSE,"NNV";#N/A,#N/A,FALSE,"PP";#N/A,#N/A,FALSE,"SA"}</definedName>
    <definedName name="_b" localSheetId="32" hidden="1">{#N/A,#N/A,FALSE,"SCA";#N/A,#N/A,FALSE,"NCA";#N/A,#N/A,FALSE,"SAZ";#N/A,#N/A,FALSE,"CAZ";#N/A,#N/A,FALSE,"SNV";#N/A,#N/A,FALSE,"NNV";#N/A,#N/A,FALSE,"PP";#N/A,#N/A,FALSE,"SA"}</definedName>
    <definedName name="_b" localSheetId="6" hidden="1">{#N/A,#N/A,FALSE,"SCA";#N/A,#N/A,FALSE,"NCA";#N/A,#N/A,FALSE,"SAZ";#N/A,#N/A,FALSE,"CAZ";#N/A,#N/A,FALSE,"SNV";#N/A,#N/A,FALSE,"NNV";#N/A,#N/A,FALSE,"PP";#N/A,#N/A,FALSE,"SA"}</definedName>
    <definedName name="_b" localSheetId="4" hidden="1">{#N/A,#N/A,FALSE,"SCA";#N/A,#N/A,FALSE,"NCA";#N/A,#N/A,FALSE,"SAZ";#N/A,#N/A,FALSE,"CAZ";#N/A,#N/A,FALSE,"SNV";#N/A,#N/A,FALSE,"NNV";#N/A,#N/A,FALSE,"PP";#N/A,#N/A,FALSE,"SA"}</definedName>
    <definedName name="_b" localSheetId="5" hidden="1">{#N/A,#N/A,FALSE,"SCA";#N/A,#N/A,FALSE,"NCA";#N/A,#N/A,FALSE,"SAZ";#N/A,#N/A,FALSE,"CAZ";#N/A,#N/A,FALSE,"SNV";#N/A,#N/A,FALSE,"NNV";#N/A,#N/A,FALSE,"PP";#N/A,#N/A,FALSE,"SA"}</definedName>
    <definedName name="_b" localSheetId="7" hidden="1">{#N/A,#N/A,FALSE,"SCA";#N/A,#N/A,FALSE,"NCA";#N/A,#N/A,FALSE,"SAZ";#N/A,#N/A,FALSE,"CAZ";#N/A,#N/A,FALSE,"SNV";#N/A,#N/A,FALSE,"NNV";#N/A,#N/A,FALSE,"PP";#N/A,#N/A,FALSE,"SA"}</definedName>
    <definedName name="_b" localSheetId="3" hidden="1">{#N/A,#N/A,FALSE,"SCA";#N/A,#N/A,FALSE,"NCA";#N/A,#N/A,FALSE,"SAZ";#N/A,#N/A,FALSE,"CAZ";#N/A,#N/A,FALSE,"SNV";#N/A,#N/A,FALSE,"NNV";#N/A,#N/A,FALSE,"PP";#N/A,#N/A,FALSE,"SA"}</definedName>
    <definedName name="_b" localSheetId="47" hidden="1">{#N/A,#N/A,FALSE,"SCA";#N/A,#N/A,FALSE,"NCA";#N/A,#N/A,FALSE,"SAZ";#N/A,#N/A,FALSE,"CAZ";#N/A,#N/A,FALSE,"SNV";#N/A,#N/A,FALSE,"NNV";#N/A,#N/A,FALSE,"PP";#N/A,#N/A,FALSE,"SA"}</definedName>
    <definedName name="_b" hidden="1">{#N/A,#N/A,FALSE,"SCA";#N/A,#N/A,FALSE,"NCA";#N/A,#N/A,FALSE,"SAZ";#N/A,#N/A,FALSE,"CAZ";#N/A,#N/A,FALSE,"SNV";#N/A,#N/A,FALSE,"NNV";#N/A,#N/A,FALSE,"PP";#N/A,#N/A,FALSE,"SA"}</definedName>
    <definedName name="_bdm.0291A1646F1441D7AC944D0E5EFE3283.edm" localSheetId="6" hidden="1">#REF!</definedName>
    <definedName name="_bdm.0291A1646F1441D7AC944D0E5EFE3283.edm" localSheetId="7" hidden="1">#REF!</definedName>
    <definedName name="_bdm.0291A1646F1441D7AC944D0E5EFE3283.edm" localSheetId="3" hidden="1">#REF!</definedName>
    <definedName name="_bdm.0291A1646F1441D7AC944D0E5EFE3283.edm" localSheetId="47" hidden="1">#REF!</definedName>
    <definedName name="_bdm.0291A1646F1441D7AC944D0E5EFE3283.edm" hidden="1">#REF!</definedName>
    <definedName name="_bdm.4DE531A3AAE1459EA607D86D30555044.edm" localSheetId="5" hidden="1">#REF!</definedName>
    <definedName name="_bdm.4DE531A3AAE1459EA607D86D30555044.edm" localSheetId="3" hidden="1">#REF!</definedName>
    <definedName name="_bdm.4DE531A3AAE1459EA607D86D30555044.edm" hidden="1">#REF!</definedName>
    <definedName name="_bdm.61ECA6B5D6964E25B194F839DA09F1DE.edm" localSheetId="5" hidden="1">#REF!</definedName>
    <definedName name="_bdm.61ECA6B5D6964E25B194F839DA09F1DE.edm" localSheetId="3" hidden="1">#REF!</definedName>
    <definedName name="_bdm.61ECA6B5D6964E25B194F839DA09F1DE.edm" hidden="1">#REF!</definedName>
    <definedName name="_bdm.EF8E132A659C430387D12CF4C0897727.edm" localSheetId="5" hidden="1">#REF!</definedName>
    <definedName name="_bdm.EF8E132A659C430387D12CF4C0897727.edm" localSheetId="3" hidden="1">#REF!</definedName>
    <definedName name="_bdm.EF8E132A659C430387D12CF4C0897727.edm" hidden="1">#REF!</definedName>
    <definedName name="_con4050" localSheetId="32" hidden="1">{#N/A,"Anonymous",FALSE,"30 30k Table";#N/A,#N/A,FALSE,"30 50k Table";#N/A,#N/A,FALSE,"40 100k Table"}</definedName>
    <definedName name="_con4050" localSheetId="6" hidden="1">{#N/A,"Anonymous",FALSE,"30 30k Table";#N/A,#N/A,FALSE,"30 50k Table";#N/A,#N/A,FALSE,"40 100k Table"}</definedName>
    <definedName name="_con4050" localSheetId="4" hidden="1">{#N/A,"Anonymous",FALSE,"30 30k Table";#N/A,#N/A,FALSE,"30 50k Table";#N/A,#N/A,FALSE,"40 100k Table"}</definedName>
    <definedName name="_con4050" localSheetId="5" hidden="1">{#N/A,"Anonymous",FALSE,"30 30k Table";#N/A,#N/A,FALSE,"30 50k Table";#N/A,#N/A,FALSE,"40 100k Table"}</definedName>
    <definedName name="_con4050" localSheetId="7" hidden="1">{#N/A,"Anonymous",FALSE,"30 30k Table";#N/A,#N/A,FALSE,"30 50k Table";#N/A,#N/A,FALSE,"40 100k Table"}</definedName>
    <definedName name="_con4050" localSheetId="3" hidden="1">{#N/A,"Anonymous",FALSE,"30 30k Table";#N/A,#N/A,FALSE,"30 50k Table";#N/A,#N/A,FALSE,"40 100k Table"}</definedName>
    <definedName name="_con4050" localSheetId="29" hidden="1">{#N/A,"Anonymous",FALSE,"30 30k Table";#N/A,#N/A,FALSE,"30 50k Table";#N/A,#N/A,FALSE,"40 100k Table"}</definedName>
    <definedName name="_con4050" localSheetId="47" hidden="1">{#N/A,"Anonymous",FALSE,"30 30k Table";#N/A,#N/A,FALSE,"30 50k Table";#N/A,#N/A,FALSE,"40 100k Table"}</definedName>
    <definedName name="_con4050" hidden="1">{#N/A,"Anonymous",FALSE,"30 30k Table";#N/A,#N/A,FALSE,"30 50k Table";#N/A,#N/A,FALSE,"40 100k Table"}</definedName>
    <definedName name="_d" localSheetId="1" hidden="1">{"caz2",#N/A,FALSE,"Central Arizona 2";"saz2",#N/A,FALSE,"Southern Arizona 2";"snv2",#N/A,FALSE,"Southern Nevada 2";"nnv2",#N/A,FALSE,"Northern Nevada 2";"sca2",#N/A,FALSE,"Southern California 2";"nca2",#N/A,FALSE,"Northern California 2";"pai2",#N/A,FALSE,"Paiute 2"}</definedName>
    <definedName name="_d" localSheetId="32" hidden="1">{"caz2",#N/A,FALSE,"Central Arizona 2";"saz2",#N/A,FALSE,"Southern Arizona 2";"snv2",#N/A,FALSE,"Southern Nevada 2";"nnv2",#N/A,FALSE,"Northern Nevada 2";"sca2",#N/A,FALSE,"Southern California 2";"nca2",#N/A,FALSE,"Northern California 2";"pai2",#N/A,FALSE,"Paiute 2"}</definedName>
    <definedName name="_d" localSheetId="6" hidden="1">{"caz2",#N/A,FALSE,"Central Arizona 2";"saz2",#N/A,FALSE,"Southern Arizona 2";"snv2",#N/A,FALSE,"Southern Nevada 2";"nnv2",#N/A,FALSE,"Northern Nevada 2";"sca2",#N/A,FALSE,"Southern California 2";"nca2",#N/A,FALSE,"Northern California 2";"pai2",#N/A,FALSE,"Paiute 2"}</definedName>
    <definedName name="_d" localSheetId="4" hidden="1">{"caz2",#N/A,FALSE,"Central Arizona 2";"saz2",#N/A,FALSE,"Southern Arizona 2";"snv2",#N/A,FALSE,"Southern Nevada 2";"nnv2",#N/A,FALSE,"Northern Nevada 2";"sca2",#N/A,FALSE,"Southern California 2";"nca2",#N/A,FALSE,"Northern California 2";"pai2",#N/A,FALSE,"Paiute 2"}</definedName>
    <definedName name="_d" localSheetId="5" hidden="1">{"caz2",#N/A,FALSE,"Central Arizona 2";"saz2",#N/A,FALSE,"Southern Arizona 2";"snv2",#N/A,FALSE,"Southern Nevada 2";"nnv2",#N/A,FALSE,"Northern Nevada 2";"sca2",#N/A,FALSE,"Southern California 2";"nca2",#N/A,FALSE,"Northern California 2";"pai2",#N/A,FALSE,"Paiute 2"}</definedName>
    <definedName name="_d" localSheetId="7" hidden="1">{"caz2",#N/A,FALSE,"Central Arizona 2";"saz2",#N/A,FALSE,"Southern Arizona 2";"snv2",#N/A,FALSE,"Southern Nevada 2";"nnv2",#N/A,FALSE,"Northern Nevada 2";"sca2",#N/A,FALSE,"Southern California 2";"nca2",#N/A,FALSE,"Northern California 2";"pai2",#N/A,FALSE,"Paiute 2"}</definedName>
    <definedName name="_d" localSheetId="3" hidden="1">{"caz2",#N/A,FALSE,"Central Arizona 2";"saz2",#N/A,FALSE,"Southern Arizona 2";"snv2",#N/A,FALSE,"Southern Nevada 2";"nnv2",#N/A,FALSE,"Northern Nevada 2";"sca2",#N/A,FALSE,"Southern California 2";"nca2",#N/A,FALSE,"Northern California 2";"pai2",#N/A,FALSE,"Paiute 2"}</definedName>
    <definedName name="_d" localSheetId="47" hidden="1">{"caz2",#N/A,FALSE,"Central Arizona 2";"saz2",#N/A,FALSE,"Southern Arizona 2";"snv2",#N/A,FALSE,"Southern Nevada 2";"nnv2",#N/A,FALSE,"Northern Nevada 2";"sca2",#N/A,FALSE,"Southern California 2";"nca2",#N/A,FALSE,"Northern California 2";"pai2",#N/A,FALSE,"Paiute 2"}</definedName>
    <definedName name="_d" hidden="1">{"caz2",#N/A,FALSE,"Central Arizona 2";"saz2",#N/A,FALSE,"Southern Arizona 2";"snv2",#N/A,FALSE,"Southern Nevada 2";"nnv2",#N/A,FALSE,"Northern Nevada 2";"sca2",#N/A,FALSE,"Southern California 2";"nca2",#N/A,FALSE,"Northern California 2";"pai2",#N/A,FALSE,"Paiute 2"}</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iv02">#REF!</definedName>
    <definedName name="_div1" localSheetId="6">#REF!</definedName>
    <definedName name="_div1" localSheetId="3">#REF!</definedName>
    <definedName name="_div1">#REF!</definedName>
    <definedName name="_div10" localSheetId="6">#REF!</definedName>
    <definedName name="_div10" localSheetId="3">#REF!</definedName>
    <definedName name="_div10">#REF!</definedName>
    <definedName name="_DIV12">#REF!</definedName>
    <definedName name="_div2" localSheetId="6">#REF!</definedName>
    <definedName name="_div2" localSheetId="3">#REF!</definedName>
    <definedName name="_div2">#REF!</definedName>
    <definedName name="_div21" localSheetId="6">#REF!</definedName>
    <definedName name="_div21" localSheetId="3">#REF!</definedName>
    <definedName name="_div21">#REF!</definedName>
    <definedName name="_div3" localSheetId="6">#REF!</definedName>
    <definedName name="_div3" localSheetId="3">#REF!</definedName>
    <definedName name="_div3">#REF!</definedName>
    <definedName name="_div4" localSheetId="3">#REF!</definedName>
    <definedName name="_div4">#REF!</definedName>
    <definedName name="_EXH1" localSheetId="3">#REF!</definedName>
    <definedName name="_EXH1">#REF!</definedName>
    <definedName name="_EXH6" localSheetId="3">#REF!</definedName>
    <definedName name="_EXH6">#REF!</definedName>
    <definedName name="_Fill" localSheetId="1" hidden="1">#REF!</definedName>
    <definedName name="_Fill" localSheetId="5" hidden="1">#REF!</definedName>
    <definedName name="_Fill" localSheetId="3" hidden="1">#REF!</definedName>
    <definedName name="_Fill" localSheetId="29" hidden="1">#REF!</definedName>
    <definedName name="_Fill" hidden="1">#REF!</definedName>
    <definedName name="_xlnm._FilterDatabase" localSheetId="32" hidden="1">'10.1 CAPEX to Net Plant'!$N$3:$O$10</definedName>
    <definedName name="_Key1" localSheetId="1" hidden="1">#REF!</definedName>
    <definedName name="_Key1" localSheetId="5" hidden="1">#REF!</definedName>
    <definedName name="_Key1" localSheetId="3" hidden="1">#REF!</definedName>
    <definedName name="_Key1" localSheetId="29" hidden="1">#REF!</definedName>
    <definedName name="_Key1" hidden="1">#REF!</definedName>
    <definedName name="_Key11" localSheetId="1" hidden="1">#REF!</definedName>
    <definedName name="_Key11" localSheetId="5" hidden="1">#REF!</definedName>
    <definedName name="_Key11" localSheetId="3" hidden="1">#REF!</definedName>
    <definedName name="_Key11" localSheetId="29" hidden="1">#REF!</definedName>
    <definedName name="_Key11" hidden="1">#REF!</definedName>
    <definedName name="_key2" localSheetId="1" hidden="1">#REF!</definedName>
    <definedName name="_key2" localSheetId="5" hidden="1">#REF!</definedName>
    <definedName name="_key2" localSheetId="3" hidden="1">#REF!</definedName>
    <definedName name="_key2" localSheetId="29" hidden="1">#REF!</definedName>
    <definedName name="_key2" hidden="1">#REF!</definedName>
    <definedName name="_lslkdjf" localSheetId="1" hidden="1">#REF!</definedName>
    <definedName name="_lslkdjf" localSheetId="5" hidden="1">#REF!</definedName>
    <definedName name="_lslkdjf" localSheetId="3" hidden="1">#REF!</definedName>
    <definedName name="_lslkdjf" localSheetId="29" hidden="1">#REF!</definedName>
    <definedName name="_lslkdjf" hidden="1">#REF!</definedName>
    <definedName name="_MatInverse_In" localSheetId="1" hidden="1">#REF!</definedName>
    <definedName name="_MatInverse_In" localSheetId="5" hidden="1">#REF!</definedName>
    <definedName name="_MatInverse_In" localSheetId="3" hidden="1">#REF!</definedName>
    <definedName name="_MatInverse_In" hidden="1">#REF!</definedName>
    <definedName name="_MatInverse_Out" localSheetId="1" hidden="1">#REF!</definedName>
    <definedName name="_MatInverse_Out" localSheetId="5" hidden="1">#REF!</definedName>
    <definedName name="_MatInverse_Out" localSheetId="3" hidden="1">#REF!</definedName>
    <definedName name="_MatInverse_Out" hidden="1">#REF!</definedName>
    <definedName name="_MatMult_A" localSheetId="6" hidden="1">#REF!</definedName>
    <definedName name="_MatMult_A" localSheetId="7" hidden="1">#REF!</definedName>
    <definedName name="_MatMult_A" localSheetId="3" hidden="1">#REF!</definedName>
    <definedName name="_MatMult_A" localSheetId="47" hidden="1">#REF!</definedName>
    <definedName name="_MatMult_A" hidden="1">#REF!</definedName>
    <definedName name="_new22" localSheetId="1" hidden="1">{#N/A,#N/A,FALSE,"SCA";#N/A,#N/A,FALSE,"NCA";#N/A,#N/A,FALSE,"SAZ";#N/A,#N/A,FALSE,"CAZ";#N/A,#N/A,FALSE,"SNV";#N/A,#N/A,FALSE,"NNV";#N/A,#N/A,FALSE,"PP";#N/A,#N/A,FALSE,"SA"}</definedName>
    <definedName name="_new22" localSheetId="32" hidden="1">{#N/A,#N/A,FALSE,"SCA";#N/A,#N/A,FALSE,"NCA";#N/A,#N/A,FALSE,"SAZ";#N/A,#N/A,FALSE,"CAZ";#N/A,#N/A,FALSE,"SNV";#N/A,#N/A,FALSE,"NNV";#N/A,#N/A,FALSE,"PP";#N/A,#N/A,FALSE,"SA"}</definedName>
    <definedName name="_new22" localSheetId="6" hidden="1">{#N/A,#N/A,FALSE,"SCA";#N/A,#N/A,FALSE,"NCA";#N/A,#N/A,FALSE,"SAZ";#N/A,#N/A,FALSE,"CAZ";#N/A,#N/A,FALSE,"SNV";#N/A,#N/A,FALSE,"NNV";#N/A,#N/A,FALSE,"PP";#N/A,#N/A,FALSE,"SA"}</definedName>
    <definedName name="_new22" localSheetId="4" hidden="1">{#N/A,#N/A,FALSE,"SCA";#N/A,#N/A,FALSE,"NCA";#N/A,#N/A,FALSE,"SAZ";#N/A,#N/A,FALSE,"CAZ";#N/A,#N/A,FALSE,"SNV";#N/A,#N/A,FALSE,"NNV";#N/A,#N/A,FALSE,"PP";#N/A,#N/A,FALSE,"SA"}</definedName>
    <definedName name="_new22" localSheetId="5" hidden="1">{#N/A,#N/A,FALSE,"SCA";#N/A,#N/A,FALSE,"NCA";#N/A,#N/A,FALSE,"SAZ";#N/A,#N/A,FALSE,"CAZ";#N/A,#N/A,FALSE,"SNV";#N/A,#N/A,FALSE,"NNV";#N/A,#N/A,FALSE,"PP";#N/A,#N/A,FALSE,"SA"}</definedName>
    <definedName name="_new22" localSheetId="7" hidden="1">{#N/A,#N/A,FALSE,"SCA";#N/A,#N/A,FALSE,"NCA";#N/A,#N/A,FALSE,"SAZ";#N/A,#N/A,FALSE,"CAZ";#N/A,#N/A,FALSE,"SNV";#N/A,#N/A,FALSE,"NNV";#N/A,#N/A,FALSE,"PP";#N/A,#N/A,FALSE,"SA"}</definedName>
    <definedName name="_new22" localSheetId="3" hidden="1">{#N/A,#N/A,FALSE,"SCA";#N/A,#N/A,FALSE,"NCA";#N/A,#N/A,FALSE,"SAZ";#N/A,#N/A,FALSE,"CAZ";#N/A,#N/A,FALSE,"SNV";#N/A,#N/A,FALSE,"NNV";#N/A,#N/A,FALSE,"PP";#N/A,#N/A,FALSE,"SA"}</definedName>
    <definedName name="_new22" localSheetId="47" hidden="1">{#N/A,#N/A,FALSE,"SCA";#N/A,#N/A,FALSE,"NCA";#N/A,#N/A,FALSE,"SAZ";#N/A,#N/A,FALSE,"CAZ";#N/A,#N/A,FALSE,"SNV";#N/A,#N/A,FALSE,"NNV";#N/A,#N/A,FALSE,"PP";#N/A,#N/A,FALSE,"SA"}</definedName>
    <definedName name="_new22" hidden="1">{#N/A,#N/A,FALSE,"SCA";#N/A,#N/A,FALSE,"NCA";#N/A,#N/A,FALSE,"SAZ";#N/A,#N/A,FALSE,"CAZ";#N/A,#N/A,FALSE,"SNV";#N/A,#N/A,FALSE,"NNV";#N/A,#N/A,FALSE,"PP";#N/A,#N/A,FALSE,"SA"}</definedName>
    <definedName name="_new23" localSheetId="1" hidden="1">{#N/A,#N/A,FALSE,"SCA";#N/A,#N/A,FALSE,"NCA";#N/A,#N/A,FALSE,"SAZ";#N/A,#N/A,FALSE,"CAZ";#N/A,#N/A,FALSE,"SNV";#N/A,#N/A,FALSE,"NNV";#N/A,#N/A,FALSE,"PP";#N/A,#N/A,FALSE,"SA"}</definedName>
    <definedName name="_new23" localSheetId="32" hidden="1">{#N/A,#N/A,FALSE,"SCA";#N/A,#N/A,FALSE,"NCA";#N/A,#N/A,FALSE,"SAZ";#N/A,#N/A,FALSE,"CAZ";#N/A,#N/A,FALSE,"SNV";#N/A,#N/A,FALSE,"NNV";#N/A,#N/A,FALSE,"PP";#N/A,#N/A,FALSE,"SA"}</definedName>
    <definedName name="_new23" localSheetId="6" hidden="1">{#N/A,#N/A,FALSE,"SCA";#N/A,#N/A,FALSE,"NCA";#N/A,#N/A,FALSE,"SAZ";#N/A,#N/A,FALSE,"CAZ";#N/A,#N/A,FALSE,"SNV";#N/A,#N/A,FALSE,"NNV";#N/A,#N/A,FALSE,"PP";#N/A,#N/A,FALSE,"SA"}</definedName>
    <definedName name="_new23" localSheetId="4" hidden="1">{#N/A,#N/A,FALSE,"SCA";#N/A,#N/A,FALSE,"NCA";#N/A,#N/A,FALSE,"SAZ";#N/A,#N/A,FALSE,"CAZ";#N/A,#N/A,FALSE,"SNV";#N/A,#N/A,FALSE,"NNV";#N/A,#N/A,FALSE,"PP";#N/A,#N/A,FALSE,"SA"}</definedName>
    <definedName name="_new23" localSheetId="5" hidden="1">{#N/A,#N/A,FALSE,"SCA";#N/A,#N/A,FALSE,"NCA";#N/A,#N/A,FALSE,"SAZ";#N/A,#N/A,FALSE,"CAZ";#N/A,#N/A,FALSE,"SNV";#N/A,#N/A,FALSE,"NNV";#N/A,#N/A,FALSE,"PP";#N/A,#N/A,FALSE,"SA"}</definedName>
    <definedName name="_new23" localSheetId="7" hidden="1">{#N/A,#N/A,FALSE,"SCA";#N/A,#N/A,FALSE,"NCA";#N/A,#N/A,FALSE,"SAZ";#N/A,#N/A,FALSE,"CAZ";#N/A,#N/A,FALSE,"SNV";#N/A,#N/A,FALSE,"NNV";#N/A,#N/A,FALSE,"PP";#N/A,#N/A,FALSE,"SA"}</definedName>
    <definedName name="_new23" localSheetId="3" hidden="1">{#N/A,#N/A,FALSE,"SCA";#N/A,#N/A,FALSE,"NCA";#N/A,#N/A,FALSE,"SAZ";#N/A,#N/A,FALSE,"CAZ";#N/A,#N/A,FALSE,"SNV";#N/A,#N/A,FALSE,"NNV";#N/A,#N/A,FALSE,"PP";#N/A,#N/A,FALSE,"SA"}</definedName>
    <definedName name="_new23" localSheetId="47" hidden="1">{#N/A,#N/A,FALSE,"SCA";#N/A,#N/A,FALSE,"NCA";#N/A,#N/A,FALSE,"SAZ";#N/A,#N/A,FALSE,"CAZ";#N/A,#N/A,FALSE,"SNV";#N/A,#N/A,FALSE,"NNV";#N/A,#N/A,FALSE,"PP";#N/A,#N/A,FALSE,"SA"}</definedName>
    <definedName name="_new23" hidden="1">{#N/A,#N/A,FALSE,"SCA";#N/A,#N/A,FALSE,"NCA";#N/A,#N/A,FALSE,"SAZ";#N/A,#N/A,FALSE,"CAZ";#N/A,#N/A,FALSE,"SNV";#N/A,#N/A,FALSE,"NNV";#N/A,#N/A,FALSE,"PP";#N/A,#N/A,FALSE,"SA"}</definedName>
    <definedName name="_new37" localSheetId="1" hidden="1">{#N/A,#N/A,FALSE,"SCA";#N/A,#N/A,FALSE,"NCA";#N/A,#N/A,FALSE,"SAZ";#N/A,#N/A,FALSE,"CAZ";#N/A,#N/A,FALSE,"SNV";#N/A,#N/A,FALSE,"NNV";#N/A,#N/A,FALSE,"PP";#N/A,#N/A,FALSE,"SA"}</definedName>
    <definedName name="_new37" localSheetId="32" hidden="1">{#N/A,#N/A,FALSE,"SCA";#N/A,#N/A,FALSE,"NCA";#N/A,#N/A,FALSE,"SAZ";#N/A,#N/A,FALSE,"CAZ";#N/A,#N/A,FALSE,"SNV";#N/A,#N/A,FALSE,"NNV";#N/A,#N/A,FALSE,"PP";#N/A,#N/A,FALSE,"SA"}</definedName>
    <definedName name="_new37" localSheetId="6" hidden="1">{#N/A,#N/A,FALSE,"SCA";#N/A,#N/A,FALSE,"NCA";#N/A,#N/A,FALSE,"SAZ";#N/A,#N/A,FALSE,"CAZ";#N/A,#N/A,FALSE,"SNV";#N/A,#N/A,FALSE,"NNV";#N/A,#N/A,FALSE,"PP";#N/A,#N/A,FALSE,"SA"}</definedName>
    <definedName name="_new37" localSheetId="4" hidden="1">{#N/A,#N/A,FALSE,"SCA";#N/A,#N/A,FALSE,"NCA";#N/A,#N/A,FALSE,"SAZ";#N/A,#N/A,FALSE,"CAZ";#N/A,#N/A,FALSE,"SNV";#N/A,#N/A,FALSE,"NNV";#N/A,#N/A,FALSE,"PP";#N/A,#N/A,FALSE,"SA"}</definedName>
    <definedName name="_new37" localSheetId="5" hidden="1">{#N/A,#N/A,FALSE,"SCA";#N/A,#N/A,FALSE,"NCA";#N/A,#N/A,FALSE,"SAZ";#N/A,#N/A,FALSE,"CAZ";#N/A,#N/A,FALSE,"SNV";#N/A,#N/A,FALSE,"NNV";#N/A,#N/A,FALSE,"PP";#N/A,#N/A,FALSE,"SA"}</definedName>
    <definedName name="_new37" localSheetId="7" hidden="1">{#N/A,#N/A,FALSE,"SCA";#N/A,#N/A,FALSE,"NCA";#N/A,#N/A,FALSE,"SAZ";#N/A,#N/A,FALSE,"CAZ";#N/A,#N/A,FALSE,"SNV";#N/A,#N/A,FALSE,"NNV";#N/A,#N/A,FALSE,"PP";#N/A,#N/A,FALSE,"SA"}</definedName>
    <definedName name="_new37" localSheetId="3" hidden="1">{#N/A,#N/A,FALSE,"SCA";#N/A,#N/A,FALSE,"NCA";#N/A,#N/A,FALSE,"SAZ";#N/A,#N/A,FALSE,"CAZ";#N/A,#N/A,FALSE,"SNV";#N/A,#N/A,FALSE,"NNV";#N/A,#N/A,FALSE,"PP";#N/A,#N/A,FALSE,"SA"}</definedName>
    <definedName name="_new37" localSheetId="47" hidden="1">{#N/A,#N/A,FALSE,"SCA";#N/A,#N/A,FALSE,"NCA";#N/A,#N/A,FALSE,"SAZ";#N/A,#N/A,FALSE,"CAZ";#N/A,#N/A,FALSE,"SNV";#N/A,#N/A,FALSE,"NNV";#N/A,#N/A,FALSE,"PP";#N/A,#N/A,FALSE,"SA"}</definedName>
    <definedName name="_new37" hidden="1">{#N/A,#N/A,FALSE,"SCA";#N/A,#N/A,FALSE,"NCA";#N/A,#N/A,FALSE,"SAZ";#N/A,#N/A,FALSE,"CAZ";#N/A,#N/A,FALSE,"SNV";#N/A,#N/A,FALSE,"NNV";#N/A,#N/A,FALSE,"PP";#N/A,#N/A,FALSE,"SA"}</definedName>
    <definedName name="_new41" localSheetId="1" hidden="1">{"caz2",#N/A,FALSE,"Central Arizona 2";"saz2",#N/A,FALSE,"Southern Arizona 2";"snv2",#N/A,FALSE,"Southern Nevada 2";"nnv2",#N/A,FALSE,"Northern Nevada 2";"sca2",#N/A,FALSE,"Southern California 2";"nca2",#N/A,FALSE,"Northern California 2";"pai2",#N/A,FALSE,"Paiute 2"}</definedName>
    <definedName name="_new41" localSheetId="32" hidden="1">{"caz2",#N/A,FALSE,"Central Arizona 2";"saz2",#N/A,FALSE,"Southern Arizona 2";"snv2",#N/A,FALSE,"Southern Nevada 2";"nnv2",#N/A,FALSE,"Northern Nevada 2";"sca2",#N/A,FALSE,"Southern California 2";"nca2",#N/A,FALSE,"Northern California 2";"pai2",#N/A,FALSE,"Paiute 2"}</definedName>
    <definedName name="_new41" localSheetId="6" hidden="1">{"caz2",#N/A,FALSE,"Central Arizona 2";"saz2",#N/A,FALSE,"Southern Arizona 2";"snv2",#N/A,FALSE,"Southern Nevada 2";"nnv2",#N/A,FALSE,"Northern Nevada 2";"sca2",#N/A,FALSE,"Southern California 2";"nca2",#N/A,FALSE,"Northern California 2";"pai2",#N/A,FALSE,"Paiute 2"}</definedName>
    <definedName name="_new41" localSheetId="4" hidden="1">{"caz2",#N/A,FALSE,"Central Arizona 2";"saz2",#N/A,FALSE,"Southern Arizona 2";"snv2",#N/A,FALSE,"Southern Nevada 2";"nnv2",#N/A,FALSE,"Northern Nevada 2";"sca2",#N/A,FALSE,"Southern California 2";"nca2",#N/A,FALSE,"Northern California 2";"pai2",#N/A,FALSE,"Paiute 2"}</definedName>
    <definedName name="_new41" localSheetId="5" hidden="1">{"caz2",#N/A,FALSE,"Central Arizona 2";"saz2",#N/A,FALSE,"Southern Arizona 2";"snv2",#N/A,FALSE,"Southern Nevada 2";"nnv2",#N/A,FALSE,"Northern Nevada 2";"sca2",#N/A,FALSE,"Southern California 2";"nca2",#N/A,FALSE,"Northern California 2";"pai2",#N/A,FALSE,"Paiute 2"}</definedName>
    <definedName name="_new41" localSheetId="7" hidden="1">{"caz2",#N/A,FALSE,"Central Arizona 2";"saz2",#N/A,FALSE,"Southern Arizona 2";"snv2",#N/A,FALSE,"Southern Nevada 2";"nnv2",#N/A,FALSE,"Northern Nevada 2";"sca2",#N/A,FALSE,"Southern California 2";"nca2",#N/A,FALSE,"Northern California 2";"pai2",#N/A,FALSE,"Paiute 2"}</definedName>
    <definedName name="_new41" localSheetId="3" hidden="1">{"caz2",#N/A,FALSE,"Central Arizona 2";"saz2",#N/A,FALSE,"Southern Arizona 2";"snv2",#N/A,FALSE,"Southern Nevada 2";"nnv2",#N/A,FALSE,"Northern Nevada 2";"sca2",#N/A,FALSE,"Southern California 2";"nca2",#N/A,FALSE,"Northern California 2";"pai2",#N/A,FALSE,"Paiute 2"}</definedName>
    <definedName name="_new41" localSheetId="47" hidden="1">{"caz2",#N/A,FALSE,"Central Arizona 2";"saz2",#N/A,FALSE,"Southern Arizona 2";"snv2",#N/A,FALSE,"Southern Nevada 2";"nnv2",#N/A,FALSE,"Northern Nevada 2";"sca2",#N/A,FALSE,"Southern California 2";"nca2",#N/A,FALSE,"Northern California 2";"pai2",#N/A,FALSE,"Paiute 2"}</definedName>
    <definedName name="_new41" hidden="1">{"caz2",#N/A,FALSE,"Central Arizona 2";"saz2",#N/A,FALSE,"Southern Arizona 2";"snv2",#N/A,FALSE,"Southern Nevada 2";"nnv2",#N/A,FALSE,"Northern Nevada 2";"sca2",#N/A,FALSE,"Southern California 2";"nca2",#N/A,FALSE,"Northern California 2";"pai2",#N/A,FALSE,"Paiute 2"}</definedName>
    <definedName name="_new43" localSheetId="1" hidden="1">{#N/A,#N/A,FALSE,"SCA";#N/A,#N/A,FALSE,"NCA";#N/A,#N/A,FALSE,"SAZ";#N/A,#N/A,FALSE,"CAZ";#N/A,#N/A,FALSE,"SNV";#N/A,#N/A,FALSE,"NNV";#N/A,#N/A,FALSE,"PP";#N/A,#N/A,FALSE,"SA"}</definedName>
    <definedName name="_new43" localSheetId="32" hidden="1">{#N/A,#N/A,FALSE,"SCA";#N/A,#N/A,FALSE,"NCA";#N/A,#N/A,FALSE,"SAZ";#N/A,#N/A,FALSE,"CAZ";#N/A,#N/A,FALSE,"SNV";#N/A,#N/A,FALSE,"NNV";#N/A,#N/A,FALSE,"PP";#N/A,#N/A,FALSE,"SA"}</definedName>
    <definedName name="_new43" localSheetId="6" hidden="1">{#N/A,#N/A,FALSE,"SCA";#N/A,#N/A,FALSE,"NCA";#N/A,#N/A,FALSE,"SAZ";#N/A,#N/A,FALSE,"CAZ";#N/A,#N/A,FALSE,"SNV";#N/A,#N/A,FALSE,"NNV";#N/A,#N/A,FALSE,"PP";#N/A,#N/A,FALSE,"SA"}</definedName>
    <definedName name="_new43" localSheetId="4" hidden="1">{#N/A,#N/A,FALSE,"SCA";#N/A,#N/A,FALSE,"NCA";#N/A,#N/A,FALSE,"SAZ";#N/A,#N/A,FALSE,"CAZ";#N/A,#N/A,FALSE,"SNV";#N/A,#N/A,FALSE,"NNV";#N/A,#N/A,FALSE,"PP";#N/A,#N/A,FALSE,"SA"}</definedName>
    <definedName name="_new43" localSheetId="5" hidden="1">{#N/A,#N/A,FALSE,"SCA";#N/A,#N/A,FALSE,"NCA";#N/A,#N/A,FALSE,"SAZ";#N/A,#N/A,FALSE,"CAZ";#N/A,#N/A,FALSE,"SNV";#N/A,#N/A,FALSE,"NNV";#N/A,#N/A,FALSE,"PP";#N/A,#N/A,FALSE,"SA"}</definedName>
    <definedName name="_new43" localSheetId="7" hidden="1">{#N/A,#N/A,FALSE,"SCA";#N/A,#N/A,FALSE,"NCA";#N/A,#N/A,FALSE,"SAZ";#N/A,#N/A,FALSE,"CAZ";#N/A,#N/A,FALSE,"SNV";#N/A,#N/A,FALSE,"NNV";#N/A,#N/A,FALSE,"PP";#N/A,#N/A,FALSE,"SA"}</definedName>
    <definedName name="_new43" localSheetId="3" hidden="1">{#N/A,#N/A,FALSE,"SCA";#N/A,#N/A,FALSE,"NCA";#N/A,#N/A,FALSE,"SAZ";#N/A,#N/A,FALSE,"CAZ";#N/A,#N/A,FALSE,"SNV";#N/A,#N/A,FALSE,"NNV";#N/A,#N/A,FALSE,"PP";#N/A,#N/A,FALSE,"SA"}</definedName>
    <definedName name="_new43" localSheetId="47" hidden="1">{#N/A,#N/A,FALSE,"SCA";#N/A,#N/A,FALSE,"NCA";#N/A,#N/A,FALSE,"SAZ";#N/A,#N/A,FALSE,"CAZ";#N/A,#N/A,FALSE,"SNV";#N/A,#N/A,FALSE,"NNV";#N/A,#N/A,FALSE,"PP";#N/A,#N/A,FALSE,"SA"}</definedName>
    <definedName name="_new43" hidden="1">{#N/A,#N/A,FALSE,"SCA";#N/A,#N/A,FALSE,"NCA";#N/A,#N/A,FALSE,"SAZ";#N/A,#N/A,FALSE,"CAZ";#N/A,#N/A,FALSE,"SNV";#N/A,#N/A,FALSE,"NNV";#N/A,#N/A,FALSE,"PP";#N/A,#N/A,FALSE,"SA"}</definedName>
    <definedName name="_new57" localSheetId="1" hidden="1">{#N/A,#N/A,FALSE,"SCA";#N/A,#N/A,FALSE,"NCA";#N/A,#N/A,FALSE,"SAZ";#N/A,#N/A,FALSE,"CAZ";#N/A,#N/A,FALSE,"SNV";#N/A,#N/A,FALSE,"NNV";#N/A,#N/A,FALSE,"PP";#N/A,#N/A,FALSE,"SA"}</definedName>
    <definedName name="_new57" localSheetId="32" hidden="1">{#N/A,#N/A,FALSE,"SCA";#N/A,#N/A,FALSE,"NCA";#N/A,#N/A,FALSE,"SAZ";#N/A,#N/A,FALSE,"CAZ";#N/A,#N/A,FALSE,"SNV";#N/A,#N/A,FALSE,"NNV";#N/A,#N/A,FALSE,"PP";#N/A,#N/A,FALSE,"SA"}</definedName>
    <definedName name="_new57" localSheetId="6" hidden="1">{#N/A,#N/A,FALSE,"SCA";#N/A,#N/A,FALSE,"NCA";#N/A,#N/A,FALSE,"SAZ";#N/A,#N/A,FALSE,"CAZ";#N/A,#N/A,FALSE,"SNV";#N/A,#N/A,FALSE,"NNV";#N/A,#N/A,FALSE,"PP";#N/A,#N/A,FALSE,"SA"}</definedName>
    <definedName name="_new57" localSheetId="4" hidden="1">{#N/A,#N/A,FALSE,"SCA";#N/A,#N/A,FALSE,"NCA";#N/A,#N/A,FALSE,"SAZ";#N/A,#N/A,FALSE,"CAZ";#N/A,#N/A,FALSE,"SNV";#N/A,#N/A,FALSE,"NNV";#N/A,#N/A,FALSE,"PP";#N/A,#N/A,FALSE,"SA"}</definedName>
    <definedName name="_new57" localSheetId="5" hidden="1">{#N/A,#N/A,FALSE,"SCA";#N/A,#N/A,FALSE,"NCA";#N/A,#N/A,FALSE,"SAZ";#N/A,#N/A,FALSE,"CAZ";#N/A,#N/A,FALSE,"SNV";#N/A,#N/A,FALSE,"NNV";#N/A,#N/A,FALSE,"PP";#N/A,#N/A,FALSE,"SA"}</definedName>
    <definedName name="_new57" localSheetId="7" hidden="1">{#N/A,#N/A,FALSE,"SCA";#N/A,#N/A,FALSE,"NCA";#N/A,#N/A,FALSE,"SAZ";#N/A,#N/A,FALSE,"CAZ";#N/A,#N/A,FALSE,"SNV";#N/A,#N/A,FALSE,"NNV";#N/A,#N/A,FALSE,"PP";#N/A,#N/A,FALSE,"SA"}</definedName>
    <definedName name="_new57" localSheetId="3" hidden="1">{#N/A,#N/A,FALSE,"SCA";#N/A,#N/A,FALSE,"NCA";#N/A,#N/A,FALSE,"SAZ";#N/A,#N/A,FALSE,"CAZ";#N/A,#N/A,FALSE,"SNV";#N/A,#N/A,FALSE,"NNV";#N/A,#N/A,FALSE,"PP";#N/A,#N/A,FALSE,"SA"}</definedName>
    <definedName name="_new57" localSheetId="47" hidden="1">{#N/A,#N/A,FALSE,"SCA";#N/A,#N/A,FALSE,"NCA";#N/A,#N/A,FALSE,"SAZ";#N/A,#N/A,FALSE,"CAZ";#N/A,#N/A,FALSE,"SNV";#N/A,#N/A,FALSE,"NNV";#N/A,#N/A,FALSE,"PP";#N/A,#N/A,FALSE,"SA"}</definedName>
    <definedName name="_new57" hidden="1">{#N/A,#N/A,FALSE,"SCA";#N/A,#N/A,FALSE,"NCA";#N/A,#N/A,FALSE,"SAZ";#N/A,#N/A,FALSE,"CAZ";#N/A,#N/A,FALSE,"SNV";#N/A,#N/A,FALSE,"NNV";#N/A,#N/A,FALSE,"PP";#N/A,#N/A,FALSE,"SA"}</definedName>
    <definedName name="_new58" localSheetId="1" hidden="1">{#N/A,#N/A,FALSE,"SCA";#N/A,#N/A,FALSE,"NCA";#N/A,#N/A,FALSE,"SAZ";#N/A,#N/A,FALSE,"CAZ";#N/A,#N/A,FALSE,"SNV";#N/A,#N/A,FALSE,"NNV";#N/A,#N/A,FALSE,"PP";#N/A,#N/A,FALSE,"SA"}</definedName>
    <definedName name="_new58" localSheetId="32" hidden="1">{#N/A,#N/A,FALSE,"SCA";#N/A,#N/A,FALSE,"NCA";#N/A,#N/A,FALSE,"SAZ";#N/A,#N/A,FALSE,"CAZ";#N/A,#N/A,FALSE,"SNV";#N/A,#N/A,FALSE,"NNV";#N/A,#N/A,FALSE,"PP";#N/A,#N/A,FALSE,"SA"}</definedName>
    <definedName name="_new58" localSheetId="6" hidden="1">{#N/A,#N/A,FALSE,"SCA";#N/A,#N/A,FALSE,"NCA";#N/A,#N/A,FALSE,"SAZ";#N/A,#N/A,FALSE,"CAZ";#N/A,#N/A,FALSE,"SNV";#N/A,#N/A,FALSE,"NNV";#N/A,#N/A,FALSE,"PP";#N/A,#N/A,FALSE,"SA"}</definedName>
    <definedName name="_new58" localSheetId="4" hidden="1">{#N/A,#N/A,FALSE,"SCA";#N/A,#N/A,FALSE,"NCA";#N/A,#N/A,FALSE,"SAZ";#N/A,#N/A,FALSE,"CAZ";#N/A,#N/A,FALSE,"SNV";#N/A,#N/A,FALSE,"NNV";#N/A,#N/A,FALSE,"PP";#N/A,#N/A,FALSE,"SA"}</definedName>
    <definedName name="_new58" localSheetId="5" hidden="1">{#N/A,#N/A,FALSE,"SCA";#N/A,#N/A,FALSE,"NCA";#N/A,#N/A,FALSE,"SAZ";#N/A,#N/A,FALSE,"CAZ";#N/A,#N/A,FALSE,"SNV";#N/A,#N/A,FALSE,"NNV";#N/A,#N/A,FALSE,"PP";#N/A,#N/A,FALSE,"SA"}</definedName>
    <definedName name="_new58" localSheetId="7" hidden="1">{#N/A,#N/A,FALSE,"SCA";#N/A,#N/A,FALSE,"NCA";#N/A,#N/A,FALSE,"SAZ";#N/A,#N/A,FALSE,"CAZ";#N/A,#N/A,FALSE,"SNV";#N/A,#N/A,FALSE,"NNV";#N/A,#N/A,FALSE,"PP";#N/A,#N/A,FALSE,"SA"}</definedName>
    <definedName name="_new58" localSheetId="3" hidden="1">{#N/A,#N/A,FALSE,"SCA";#N/A,#N/A,FALSE,"NCA";#N/A,#N/A,FALSE,"SAZ";#N/A,#N/A,FALSE,"CAZ";#N/A,#N/A,FALSE,"SNV";#N/A,#N/A,FALSE,"NNV";#N/A,#N/A,FALSE,"PP";#N/A,#N/A,FALSE,"SA"}</definedName>
    <definedName name="_new58" localSheetId="47" hidden="1">{#N/A,#N/A,FALSE,"SCA";#N/A,#N/A,FALSE,"NCA";#N/A,#N/A,FALSE,"SAZ";#N/A,#N/A,FALSE,"CAZ";#N/A,#N/A,FALSE,"SNV";#N/A,#N/A,FALSE,"NNV";#N/A,#N/A,FALSE,"PP";#N/A,#N/A,FALSE,"SA"}</definedName>
    <definedName name="_new58" hidden="1">{#N/A,#N/A,FALSE,"SCA";#N/A,#N/A,FALSE,"NCA";#N/A,#N/A,FALSE,"SAZ";#N/A,#N/A,FALSE,"CAZ";#N/A,#N/A,FALSE,"SNV";#N/A,#N/A,FALSE,"NNV";#N/A,#N/A,FALSE,"PP";#N/A,#N/A,FALSE,"SA"}</definedName>
    <definedName name="_new61"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1" localSheetId="1" hidden="1">{#N/A,#N/A,FALSE,"SCA";#N/A,#N/A,FALSE,"NCA";#N/A,#N/A,FALSE,"SAZ";#N/A,#N/A,FALSE,"CAZ";#N/A,#N/A,FALSE,"SNV";#N/A,#N/A,FALSE,"NNV";#N/A,#N/A,FALSE,"PP";#N/A,#N/A,FALSE,"SA"}</definedName>
    <definedName name="_new71" localSheetId="32" hidden="1">{#N/A,#N/A,FALSE,"SCA";#N/A,#N/A,FALSE,"NCA";#N/A,#N/A,FALSE,"SAZ";#N/A,#N/A,FALSE,"CAZ";#N/A,#N/A,FALSE,"SNV";#N/A,#N/A,FALSE,"NNV";#N/A,#N/A,FALSE,"PP";#N/A,#N/A,FALSE,"SA"}</definedName>
    <definedName name="_new71" localSheetId="6" hidden="1">{#N/A,#N/A,FALSE,"SCA";#N/A,#N/A,FALSE,"NCA";#N/A,#N/A,FALSE,"SAZ";#N/A,#N/A,FALSE,"CAZ";#N/A,#N/A,FALSE,"SNV";#N/A,#N/A,FALSE,"NNV";#N/A,#N/A,FALSE,"PP";#N/A,#N/A,FALSE,"SA"}</definedName>
    <definedName name="_new71" localSheetId="4" hidden="1">{#N/A,#N/A,FALSE,"SCA";#N/A,#N/A,FALSE,"NCA";#N/A,#N/A,FALSE,"SAZ";#N/A,#N/A,FALSE,"CAZ";#N/A,#N/A,FALSE,"SNV";#N/A,#N/A,FALSE,"NNV";#N/A,#N/A,FALSE,"PP";#N/A,#N/A,FALSE,"SA"}</definedName>
    <definedName name="_new71" localSheetId="5" hidden="1">{#N/A,#N/A,FALSE,"SCA";#N/A,#N/A,FALSE,"NCA";#N/A,#N/A,FALSE,"SAZ";#N/A,#N/A,FALSE,"CAZ";#N/A,#N/A,FALSE,"SNV";#N/A,#N/A,FALSE,"NNV";#N/A,#N/A,FALSE,"PP";#N/A,#N/A,FALSE,"SA"}</definedName>
    <definedName name="_new71" localSheetId="7" hidden="1">{#N/A,#N/A,FALSE,"SCA";#N/A,#N/A,FALSE,"NCA";#N/A,#N/A,FALSE,"SAZ";#N/A,#N/A,FALSE,"CAZ";#N/A,#N/A,FALSE,"SNV";#N/A,#N/A,FALSE,"NNV";#N/A,#N/A,FALSE,"PP";#N/A,#N/A,FALSE,"SA"}</definedName>
    <definedName name="_new71" localSheetId="3" hidden="1">{#N/A,#N/A,FALSE,"SCA";#N/A,#N/A,FALSE,"NCA";#N/A,#N/A,FALSE,"SAZ";#N/A,#N/A,FALSE,"CAZ";#N/A,#N/A,FALSE,"SNV";#N/A,#N/A,FALSE,"NNV";#N/A,#N/A,FALSE,"PP";#N/A,#N/A,FALSE,"SA"}</definedName>
    <definedName name="_new71" localSheetId="47" hidden="1">{#N/A,#N/A,FALSE,"SCA";#N/A,#N/A,FALSE,"NCA";#N/A,#N/A,FALSE,"SAZ";#N/A,#N/A,FALSE,"CAZ";#N/A,#N/A,FALSE,"SNV";#N/A,#N/A,FALSE,"NNV";#N/A,#N/A,FALSE,"PP";#N/A,#N/A,FALSE,"SA"}</definedName>
    <definedName name="_new71" hidden="1">{#N/A,#N/A,FALSE,"SCA";#N/A,#N/A,FALSE,"NCA";#N/A,#N/A,FALSE,"SAZ";#N/A,#N/A,FALSE,"CAZ";#N/A,#N/A,FALSE,"SNV";#N/A,#N/A,FALSE,"NNV";#N/A,#N/A,FALSE,"PP";#N/A,#N/A,FALSE,"SA"}</definedName>
    <definedName name="_new72" localSheetId="1" hidden="1">{#N/A,#N/A,FALSE,"SCA";#N/A,#N/A,FALSE,"NCA";#N/A,#N/A,FALSE,"SAZ";#N/A,#N/A,FALSE,"CAZ";#N/A,#N/A,FALSE,"SNV";#N/A,#N/A,FALSE,"NNV";#N/A,#N/A,FALSE,"PP";#N/A,#N/A,FALSE,"SA"}</definedName>
    <definedName name="_new72" localSheetId="32" hidden="1">{#N/A,#N/A,FALSE,"SCA";#N/A,#N/A,FALSE,"NCA";#N/A,#N/A,FALSE,"SAZ";#N/A,#N/A,FALSE,"CAZ";#N/A,#N/A,FALSE,"SNV";#N/A,#N/A,FALSE,"NNV";#N/A,#N/A,FALSE,"PP";#N/A,#N/A,FALSE,"SA"}</definedName>
    <definedName name="_new72" localSheetId="6" hidden="1">{#N/A,#N/A,FALSE,"SCA";#N/A,#N/A,FALSE,"NCA";#N/A,#N/A,FALSE,"SAZ";#N/A,#N/A,FALSE,"CAZ";#N/A,#N/A,FALSE,"SNV";#N/A,#N/A,FALSE,"NNV";#N/A,#N/A,FALSE,"PP";#N/A,#N/A,FALSE,"SA"}</definedName>
    <definedName name="_new72" localSheetId="4" hidden="1">{#N/A,#N/A,FALSE,"SCA";#N/A,#N/A,FALSE,"NCA";#N/A,#N/A,FALSE,"SAZ";#N/A,#N/A,FALSE,"CAZ";#N/A,#N/A,FALSE,"SNV";#N/A,#N/A,FALSE,"NNV";#N/A,#N/A,FALSE,"PP";#N/A,#N/A,FALSE,"SA"}</definedName>
    <definedName name="_new72" localSheetId="5" hidden="1">{#N/A,#N/A,FALSE,"SCA";#N/A,#N/A,FALSE,"NCA";#N/A,#N/A,FALSE,"SAZ";#N/A,#N/A,FALSE,"CAZ";#N/A,#N/A,FALSE,"SNV";#N/A,#N/A,FALSE,"NNV";#N/A,#N/A,FALSE,"PP";#N/A,#N/A,FALSE,"SA"}</definedName>
    <definedName name="_new72" localSheetId="7" hidden="1">{#N/A,#N/A,FALSE,"SCA";#N/A,#N/A,FALSE,"NCA";#N/A,#N/A,FALSE,"SAZ";#N/A,#N/A,FALSE,"CAZ";#N/A,#N/A,FALSE,"SNV";#N/A,#N/A,FALSE,"NNV";#N/A,#N/A,FALSE,"PP";#N/A,#N/A,FALSE,"SA"}</definedName>
    <definedName name="_new72" localSheetId="3" hidden="1">{#N/A,#N/A,FALSE,"SCA";#N/A,#N/A,FALSE,"NCA";#N/A,#N/A,FALSE,"SAZ";#N/A,#N/A,FALSE,"CAZ";#N/A,#N/A,FALSE,"SNV";#N/A,#N/A,FALSE,"NNV";#N/A,#N/A,FALSE,"PP";#N/A,#N/A,FALSE,"SA"}</definedName>
    <definedName name="_new72" localSheetId="47" hidden="1">{#N/A,#N/A,FALSE,"SCA";#N/A,#N/A,FALSE,"NCA";#N/A,#N/A,FALSE,"SAZ";#N/A,#N/A,FALSE,"CAZ";#N/A,#N/A,FALSE,"SNV";#N/A,#N/A,FALSE,"NNV";#N/A,#N/A,FALSE,"PP";#N/A,#N/A,FALSE,"SA"}</definedName>
    <definedName name="_new72" hidden="1">{#N/A,#N/A,FALSE,"SCA";#N/A,#N/A,FALSE,"NCA";#N/A,#N/A,FALSE,"SAZ";#N/A,#N/A,FALSE,"CAZ";#N/A,#N/A,FALSE,"SNV";#N/A,#N/A,FALSE,"NNV";#N/A,#N/A,FALSE,"PP";#N/A,#N/A,FALSE,"SA"}</definedName>
    <definedName name="_new73" localSheetId="1" hidden="1">{#N/A,#N/A,FALSE,"Page 1";#N/A,#N/A,FALSE,"Page 2";#N/A,#N/A,FALSE,"Page 3";#N/A,#N/A,FALSE,"Page 4";#N/A,#N/A,FALSE,"Page 5";#N/A,#N/A,FALSE,"Page 6";#N/A,#N/A,FALSE,"Page 7";#N/A,#N/A,FALSE,"Page 8";#N/A,#N/A,FALSE,"Page 9";#N/A,#N/A,FALSE,"PG8WP";#N/A,#N/A,FALSE,"PG9WP"}</definedName>
    <definedName name="_new73" localSheetId="32" hidden="1">{#N/A,#N/A,FALSE,"Page 1";#N/A,#N/A,FALSE,"Page 2";#N/A,#N/A,FALSE,"Page 3";#N/A,#N/A,FALSE,"Page 4";#N/A,#N/A,FALSE,"Page 5";#N/A,#N/A,FALSE,"Page 6";#N/A,#N/A,FALSE,"Page 7";#N/A,#N/A,FALSE,"Page 8";#N/A,#N/A,FALSE,"Page 9";#N/A,#N/A,FALSE,"PG8WP";#N/A,#N/A,FALSE,"PG9WP"}</definedName>
    <definedName name="_new73" localSheetId="6" hidden="1">{#N/A,#N/A,FALSE,"Page 1";#N/A,#N/A,FALSE,"Page 2";#N/A,#N/A,FALSE,"Page 3";#N/A,#N/A,FALSE,"Page 4";#N/A,#N/A,FALSE,"Page 5";#N/A,#N/A,FALSE,"Page 6";#N/A,#N/A,FALSE,"Page 7";#N/A,#N/A,FALSE,"Page 8";#N/A,#N/A,FALSE,"Page 9";#N/A,#N/A,FALSE,"PG8WP";#N/A,#N/A,FALSE,"PG9WP"}</definedName>
    <definedName name="_new73" localSheetId="4" hidden="1">{#N/A,#N/A,FALSE,"Page 1";#N/A,#N/A,FALSE,"Page 2";#N/A,#N/A,FALSE,"Page 3";#N/A,#N/A,FALSE,"Page 4";#N/A,#N/A,FALSE,"Page 5";#N/A,#N/A,FALSE,"Page 6";#N/A,#N/A,FALSE,"Page 7";#N/A,#N/A,FALSE,"Page 8";#N/A,#N/A,FALSE,"Page 9";#N/A,#N/A,FALSE,"PG8WP";#N/A,#N/A,FALSE,"PG9WP"}</definedName>
    <definedName name="_new73" localSheetId="5" hidden="1">{#N/A,#N/A,FALSE,"Page 1";#N/A,#N/A,FALSE,"Page 2";#N/A,#N/A,FALSE,"Page 3";#N/A,#N/A,FALSE,"Page 4";#N/A,#N/A,FALSE,"Page 5";#N/A,#N/A,FALSE,"Page 6";#N/A,#N/A,FALSE,"Page 7";#N/A,#N/A,FALSE,"Page 8";#N/A,#N/A,FALSE,"Page 9";#N/A,#N/A,FALSE,"PG8WP";#N/A,#N/A,FALSE,"PG9WP"}</definedName>
    <definedName name="_new73" localSheetId="7" hidden="1">{#N/A,#N/A,FALSE,"Page 1";#N/A,#N/A,FALSE,"Page 2";#N/A,#N/A,FALSE,"Page 3";#N/A,#N/A,FALSE,"Page 4";#N/A,#N/A,FALSE,"Page 5";#N/A,#N/A,FALSE,"Page 6";#N/A,#N/A,FALSE,"Page 7";#N/A,#N/A,FALSE,"Page 8";#N/A,#N/A,FALSE,"Page 9";#N/A,#N/A,FALSE,"PG8WP";#N/A,#N/A,FALSE,"PG9WP"}</definedName>
    <definedName name="_new73" localSheetId="3" hidden="1">{#N/A,#N/A,FALSE,"Page 1";#N/A,#N/A,FALSE,"Page 2";#N/A,#N/A,FALSE,"Page 3";#N/A,#N/A,FALSE,"Page 4";#N/A,#N/A,FALSE,"Page 5";#N/A,#N/A,FALSE,"Page 6";#N/A,#N/A,FALSE,"Page 7";#N/A,#N/A,FALSE,"Page 8";#N/A,#N/A,FALSE,"Page 9";#N/A,#N/A,FALSE,"PG8WP";#N/A,#N/A,FALSE,"PG9WP"}</definedName>
    <definedName name="_new73" localSheetId="47" hidden="1">{#N/A,#N/A,FALSE,"Page 1";#N/A,#N/A,FALSE,"Page 2";#N/A,#N/A,FALSE,"Page 3";#N/A,#N/A,FALSE,"Page 4";#N/A,#N/A,FALSE,"Page 5";#N/A,#N/A,FALSE,"Page 6";#N/A,#N/A,FALSE,"Page 7";#N/A,#N/A,FALSE,"Page 8";#N/A,#N/A,FALSE,"Page 9";#N/A,#N/A,FALSE,"PG8WP";#N/A,#N/A,FALSE,"PG9WP"}</definedName>
    <definedName name="_new73" hidden="1">{#N/A,#N/A,FALSE,"Page 1";#N/A,#N/A,FALSE,"Page 2";#N/A,#N/A,FALSE,"Page 3";#N/A,#N/A,FALSE,"Page 4";#N/A,#N/A,FALSE,"Page 5";#N/A,#N/A,FALSE,"Page 6";#N/A,#N/A,FALSE,"Page 7";#N/A,#N/A,FALSE,"Page 8";#N/A,#N/A,FALSE,"Page 9";#N/A,#N/A,FALSE,"PG8WP";#N/A,#N/A,FALSE,"PG9WP"}</definedName>
    <definedName name="_new74"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5" localSheetId="1" hidden="1">{"caz2",#N/A,FALSE,"Central Arizona 2";"saz2",#N/A,FALSE,"Southern Arizona 2";"snv2",#N/A,FALSE,"Southern Nevada 2";"nnv2",#N/A,FALSE,"Northern Nevada 2";"sca2",#N/A,FALSE,"Southern California 2";"nca2",#N/A,FALSE,"Northern California 2";"pai2",#N/A,FALSE,"Paiute 2"}</definedName>
    <definedName name="_new75" localSheetId="32" hidden="1">{"caz2",#N/A,FALSE,"Central Arizona 2";"saz2",#N/A,FALSE,"Southern Arizona 2";"snv2",#N/A,FALSE,"Southern Nevada 2";"nnv2",#N/A,FALSE,"Northern Nevada 2";"sca2",#N/A,FALSE,"Southern California 2";"nca2",#N/A,FALSE,"Northern California 2";"pai2",#N/A,FALSE,"Paiute 2"}</definedName>
    <definedName name="_new75" localSheetId="6" hidden="1">{"caz2",#N/A,FALSE,"Central Arizona 2";"saz2",#N/A,FALSE,"Southern Arizona 2";"snv2",#N/A,FALSE,"Southern Nevada 2";"nnv2",#N/A,FALSE,"Northern Nevada 2";"sca2",#N/A,FALSE,"Southern California 2";"nca2",#N/A,FALSE,"Northern California 2";"pai2",#N/A,FALSE,"Paiute 2"}</definedName>
    <definedName name="_new75" localSheetId="4" hidden="1">{"caz2",#N/A,FALSE,"Central Arizona 2";"saz2",#N/A,FALSE,"Southern Arizona 2";"snv2",#N/A,FALSE,"Southern Nevada 2";"nnv2",#N/A,FALSE,"Northern Nevada 2";"sca2",#N/A,FALSE,"Southern California 2";"nca2",#N/A,FALSE,"Northern California 2";"pai2",#N/A,FALSE,"Paiute 2"}</definedName>
    <definedName name="_new75" localSheetId="5" hidden="1">{"caz2",#N/A,FALSE,"Central Arizona 2";"saz2",#N/A,FALSE,"Southern Arizona 2";"snv2",#N/A,FALSE,"Southern Nevada 2";"nnv2",#N/A,FALSE,"Northern Nevada 2";"sca2",#N/A,FALSE,"Southern California 2";"nca2",#N/A,FALSE,"Northern California 2";"pai2",#N/A,FALSE,"Paiute 2"}</definedName>
    <definedName name="_new75" localSheetId="7" hidden="1">{"caz2",#N/A,FALSE,"Central Arizona 2";"saz2",#N/A,FALSE,"Southern Arizona 2";"snv2",#N/A,FALSE,"Southern Nevada 2";"nnv2",#N/A,FALSE,"Northern Nevada 2";"sca2",#N/A,FALSE,"Southern California 2";"nca2",#N/A,FALSE,"Northern California 2";"pai2",#N/A,FALSE,"Paiute 2"}</definedName>
    <definedName name="_new75" localSheetId="3" hidden="1">{"caz2",#N/A,FALSE,"Central Arizona 2";"saz2",#N/A,FALSE,"Southern Arizona 2";"snv2",#N/A,FALSE,"Southern Nevada 2";"nnv2",#N/A,FALSE,"Northern Nevada 2";"sca2",#N/A,FALSE,"Southern California 2";"nca2",#N/A,FALSE,"Northern California 2";"pai2",#N/A,FALSE,"Paiute 2"}</definedName>
    <definedName name="_new75" localSheetId="47" hidden="1">{"caz2",#N/A,FALSE,"Central Arizona 2";"saz2",#N/A,FALSE,"Southern Arizona 2";"snv2",#N/A,FALSE,"Southern Nevada 2";"nnv2",#N/A,FALSE,"Northern Nevada 2";"sca2",#N/A,FALSE,"Southern California 2";"nca2",#N/A,FALSE,"Northern California 2";"pai2",#N/A,FALSE,"Paiute 2"}</definedName>
    <definedName name="_new75" hidden="1">{"caz2",#N/A,FALSE,"Central Arizona 2";"saz2",#N/A,FALSE,"Southern Arizona 2";"snv2",#N/A,FALSE,"Southern Nevada 2";"nnv2",#N/A,FALSE,"Northern Nevada 2";"sca2",#N/A,FALSE,"Southern California 2";"nca2",#N/A,FALSE,"Northern California 2";"pai2",#N/A,FALSE,"Paiute 2"}</definedName>
    <definedName name="_NRG1">#REF!</definedName>
    <definedName name="_NRG2">#REF!</definedName>
    <definedName name="_NRG3">#REF!</definedName>
    <definedName name="_NRG5">#REF!</definedName>
    <definedName name="_NRG6">#REF!</definedName>
    <definedName name="_NRG8">#REF!</definedName>
    <definedName name="_num1" localSheetId="6">#REF!</definedName>
    <definedName name="_num1" localSheetId="3">#REF!</definedName>
    <definedName name="_num1">#REF!</definedName>
    <definedName name="_num10" localSheetId="3">#REF!</definedName>
    <definedName name="_num10">#REF!</definedName>
    <definedName name="_num11" localSheetId="3">#REF!</definedName>
    <definedName name="_num11">#REF!</definedName>
    <definedName name="_num12" localSheetId="3">#REF!</definedName>
    <definedName name="_num12">#REF!</definedName>
    <definedName name="_num13" localSheetId="3">#REF!</definedName>
    <definedName name="_num13">#REF!</definedName>
    <definedName name="_num14" localSheetId="3">#REF!</definedName>
    <definedName name="_num14">#REF!</definedName>
    <definedName name="_num15" localSheetId="3">#REF!</definedName>
    <definedName name="_num15">#REF!</definedName>
    <definedName name="_num16" localSheetId="3">#REF!</definedName>
    <definedName name="_num16">#REF!</definedName>
    <definedName name="_num17" localSheetId="3">#REF!</definedName>
    <definedName name="_num17">#REF!</definedName>
    <definedName name="_num18" localSheetId="3">#REF!</definedName>
    <definedName name="_num18">#REF!</definedName>
    <definedName name="_num19" localSheetId="3">#REF!</definedName>
    <definedName name="_num19">#REF!</definedName>
    <definedName name="_num2" localSheetId="3">#REF!</definedName>
    <definedName name="_num2">#REF!</definedName>
    <definedName name="_num20" localSheetId="3">#REF!</definedName>
    <definedName name="_num20">#REF!</definedName>
    <definedName name="_num21" localSheetId="3">#REF!</definedName>
    <definedName name="_num21">#REF!</definedName>
    <definedName name="_num22" localSheetId="3">#REF!</definedName>
    <definedName name="_num22">#REF!</definedName>
    <definedName name="_num23" localSheetId="3">#REF!</definedName>
    <definedName name="_num23">#REF!</definedName>
    <definedName name="_num24" localSheetId="3">#REF!</definedName>
    <definedName name="_num24">#REF!</definedName>
    <definedName name="_num25" localSheetId="3">#REF!</definedName>
    <definedName name="_num25">#REF!</definedName>
    <definedName name="_num26" localSheetId="3">#REF!</definedName>
    <definedName name="_num26">#REF!</definedName>
    <definedName name="_num27" localSheetId="3">#REF!</definedName>
    <definedName name="_num27">#REF!</definedName>
    <definedName name="_num28" localSheetId="3">#REF!</definedName>
    <definedName name="_num28">#REF!</definedName>
    <definedName name="_num29" localSheetId="3">#REF!</definedName>
    <definedName name="_num29">#REF!</definedName>
    <definedName name="_num3" localSheetId="3">#REF!</definedName>
    <definedName name="_num3">#REF!</definedName>
    <definedName name="_num30" localSheetId="3">#REF!</definedName>
    <definedName name="_num30">#REF!</definedName>
    <definedName name="_num31" localSheetId="3">#REF!</definedName>
    <definedName name="_num31">#REF!</definedName>
    <definedName name="_num32" localSheetId="3">#REF!</definedName>
    <definedName name="_num32">#REF!</definedName>
    <definedName name="_num33" localSheetId="3">#REF!</definedName>
    <definedName name="_num33">#REF!</definedName>
    <definedName name="_num4" localSheetId="3">#REF!</definedName>
    <definedName name="_num4">#REF!</definedName>
    <definedName name="_num5" localSheetId="3">#REF!</definedName>
    <definedName name="_num5">#REF!</definedName>
    <definedName name="_num6" localSheetId="3">#REF!</definedName>
    <definedName name="_num6">#REF!</definedName>
    <definedName name="_num7" localSheetId="3">#REF!</definedName>
    <definedName name="_num7">#REF!</definedName>
    <definedName name="_num8" localSheetId="3">#REF!</definedName>
    <definedName name="_num8">#REF!</definedName>
    <definedName name="_num9" localSheetId="3">#REF!</definedName>
    <definedName name="_num9">#REF!</definedName>
    <definedName name="_Order1" hidden="1">255</definedName>
    <definedName name="_Order2" hidden="1">255</definedName>
    <definedName name="_pb1" localSheetId="3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4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2" localSheetId="3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3"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4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3" localSheetId="3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4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g1" localSheetId="6">#REF!</definedName>
    <definedName name="_pg1" localSheetId="3">#REF!</definedName>
    <definedName name="_pg1">#REF!</definedName>
    <definedName name="_pg2" localSheetId="3">#REF!</definedName>
    <definedName name="_pg2">#REF!</definedName>
    <definedName name="_R" localSheetId="6">#REF!</definedName>
    <definedName name="_R">#REF!</definedName>
    <definedName name="_Regression_Int" hidden="1">1</definedName>
    <definedName name="_Regression_Out" localSheetId="1" hidden="1">#REF!</definedName>
    <definedName name="_Regression_Out" localSheetId="5" hidden="1">#REF!</definedName>
    <definedName name="_Regression_Out" localSheetId="3" hidden="1">#REF!</definedName>
    <definedName name="_Regression_Out" localSheetId="29" hidden="1">#REF!</definedName>
    <definedName name="_Regression_Out" hidden="1">#REF!</definedName>
    <definedName name="_Regression_X" localSheetId="1" hidden="1">#REF!</definedName>
    <definedName name="_Regression_X" localSheetId="5" hidden="1">#REF!</definedName>
    <definedName name="_Regression_X" localSheetId="3" hidden="1">#REF!</definedName>
    <definedName name="_Regression_X" localSheetId="29" hidden="1">#REF!</definedName>
    <definedName name="_Regression_X" hidden="1">#REF!</definedName>
    <definedName name="_Regression_Y" localSheetId="1" hidden="1">#REF!</definedName>
    <definedName name="_Regression_Y" localSheetId="5" hidden="1">#REF!</definedName>
    <definedName name="_Regression_Y" localSheetId="3" hidden="1">#REF!</definedName>
    <definedName name="_Regression_Y" localSheetId="29" hidden="1">#REF!</definedName>
    <definedName name="_Regression_Y" hidden="1">#REF!</definedName>
    <definedName name="_RMA1" localSheetId="3">#REF!</definedName>
    <definedName name="_RMA1">#REF!</definedName>
    <definedName name="_RMA2" localSheetId="3">#REF!</definedName>
    <definedName name="_RMA2">#REF!</definedName>
    <definedName name="_Sort" localSheetId="1" hidden="1">#REF!</definedName>
    <definedName name="_Sort" localSheetId="5" hidden="1">#REF!</definedName>
    <definedName name="_Sort" localSheetId="3" hidden="1">#REF!</definedName>
    <definedName name="_Sort" localSheetId="29" hidden="1">#REF!</definedName>
    <definedName name="_Sort" hidden="1">#REF!</definedName>
    <definedName name="_sort2" localSheetId="1" hidden="1">#REF!</definedName>
    <definedName name="_sort2" localSheetId="5" hidden="1">#REF!</definedName>
    <definedName name="_sort2" localSheetId="3" hidden="1">#REF!</definedName>
    <definedName name="_sort2" localSheetId="29" hidden="1">#REF!</definedName>
    <definedName name="_sort2" hidden="1">#REF!</definedName>
    <definedName name="_swe80">#REF!</definedName>
    <definedName name="_Table1_In1" localSheetId="6" hidden="1">#REF!</definedName>
    <definedName name="_Table1_In1" localSheetId="5" hidden="1">#REF!</definedName>
    <definedName name="_Table1_In1" localSheetId="7" hidden="1">#REF!</definedName>
    <definedName name="_Table1_In1" localSheetId="3" hidden="1">#REF!</definedName>
    <definedName name="_Table1_In1" hidden="1">#REF!</definedName>
    <definedName name="_Table1_Out" localSheetId="5" hidden="1">#REF!</definedName>
    <definedName name="_Table1_Out" localSheetId="3" hidden="1">#REF!</definedName>
    <definedName name="_Table1_Out" hidden="1">#REF!</definedName>
    <definedName name="_Table2_Out" localSheetId="5" hidden="1">#REF!</definedName>
    <definedName name="_Table2_Out" localSheetId="3" hidden="1">#REF!</definedName>
    <definedName name="_Table2_Out" hidden="1">#REF!</definedName>
    <definedName name="_ucg80">#REF!</definedName>
    <definedName name="_x" localSheetId="6" hidden="1">#REF!</definedName>
    <definedName name="_x" localSheetId="5" hidden="1">#REF!</definedName>
    <definedName name="_x" localSheetId="7" hidden="1">#REF!</definedName>
    <definedName name="_x" localSheetId="3" hidden="1">#REF!</definedName>
    <definedName name="_x" hidden="1">#REF!</definedName>
    <definedName name="A" localSheetId="1" hidden="1">#REF!</definedName>
    <definedName name="A" localSheetId="5" hidden="1">#REF!</definedName>
    <definedName name="A" localSheetId="3" hidden="1">#REF!</definedName>
    <definedName name="A" localSheetId="29" hidden="1">#REF!</definedName>
    <definedName name="A" hidden="1">#REF!</definedName>
    <definedName name="aa" localSheetId="1" hidden="1">{"FAC_SUMMARY",#N/A,FALSE,"Summaries"}</definedName>
    <definedName name="aa" localSheetId="32" hidden="1">{"FAC_SUMMARY",#N/A,FALSE,"Summaries"}</definedName>
    <definedName name="aa" localSheetId="6" hidden="1">{"FAC_SUMMARY",#N/A,FALSE,"Summaries"}</definedName>
    <definedName name="aa" localSheetId="4" hidden="1">{"FAC_SUMMARY",#N/A,FALSE,"Summaries"}</definedName>
    <definedName name="aa" localSheetId="5" hidden="1">{"FAC_SUMMARY",#N/A,FALSE,"Summaries"}</definedName>
    <definedName name="aa" localSheetId="7" hidden="1">{"FAC_SUMMARY",#N/A,FALSE,"Summaries"}</definedName>
    <definedName name="aa" localSheetId="3" hidden="1">{"FAC_SUMMARY",#N/A,FALSE,"Summaries"}</definedName>
    <definedName name="aa" localSheetId="47" hidden="1">{"FAC_SUMMARY",#N/A,FALSE,"Summaries"}</definedName>
    <definedName name="aa" hidden="1">{"FAC_SUMMARY",#N/A,FALSE,"Summaries"}</definedName>
    <definedName name="AAA" localSheetId="6">#REF!</definedName>
    <definedName name="AAA" localSheetId="3">#REF!</definedName>
    <definedName name="AAA">#REF!</definedName>
    <definedName name="AAA_DOCTOPS" hidden="1">"AAA_SET"</definedName>
    <definedName name="AAA_duser" hidden="1">"OFF"</definedName>
    <definedName name="aaaa" localSheetId="1" hidden="1">{"caz2",#N/A,FALSE,"Central Arizona 2";"saz2",#N/A,FALSE,"Southern Arizona 2";"snv2",#N/A,FALSE,"Southern Nevada 2";"nnv2",#N/A,FALSE,"Northern Nevada 2";"sca2",#N/A,FALSE,"Southern California 2";"nca2",#N/A,FALSE,"Northern California 2";"pai2",#N/A,FALSE,"Paiute 2"}</definedName>
    <definedName name="aaaa" localSheetId="32" hidden="1">{"caz2",#N/A,FALSE,"Central Arizona 2";"saz2",#N/A,FALSE,"Southern Arizona 2";"snv2",#N/A,FALSE,"Southern Nevada 2";"nnv2",#N/A,FALSE,"Northern Nevada 2";"sca2",#N/A,FALSE,"Southern California 2";"nca2",#N/A,FALSE,"Northern California 2";"pai2",#N/A,FALSE,"Paiute 2"}</definedName>
    <definedName name="aaaa" localSheetId="6" hidden="1">{"caz2",#N/A,FALSE,"Central Arizona 2";"saz2",#N/A,FALSE,"Southern Arizona 2";"snv2",#N/A,FALSE,"Southern Nevada 2";"nnv2",#N/A,FALSE,"Northern Nevada 2";"sca2",#N/A,FALSE,"Southern California 2";"nca2",#N/A,FALSE,"Northern California 2";"pai2",#N/A,FALSE,"Paiute 2"}</definedName>
    <definedName name="aaaa" localSheetId="4" hidden="1">{"caz2",#N/A,FALSE,"Central Arizona 2";"saz2",#N/A,FALSE,"Southern Arizona 2";"snv2",#N/A,FALSE,"Southern Nevada 2";"nnv2",#N/A,FALSE,"Northern Nevada 2";"sca2",#N/A,FALSE,"Southern California 2";"nca2",#N/A,FALSE,"Northern California 2";"pai2",#N/A,FALSE,"Paiute 2"}</definedName>
    <definedName name="aaaa" localSheetId="5" hidden="1">{"caz2",#N/A,FALSE,"Central Arizona 2";"saz2",#N/A,FALSE,"Southern Arizona 2";"snv2",#N/A,FALSE,"Southern Nevada 2";"nnv2",#N/A,FALSE,"Northern Nevada 2";"sca2",#N/A,FALSE,"Southern California 2";"nca2",#N/A,FALSE,"Northern California 2";"pai2",#N/A,FALSE,"Paiute 2"}</definedName>
    <definedName name="aaaa" localSheetId="7" hidden="1">{"caz2",#N/A,FALSE,"Central Arizona 2";"saz2",#N/A,FALSE,"Southern Arizona 2";"snv2",#N/A,FALSE,"Southern Nevada 2";"nnv2",#N/A,FALSE,"Northern Nevada 2";"sca2",#N/A,FALSE,"Southern California 2";"nca2",#N/A,FALSE,"Northern California 2";"pai2",#N/A,FALSE,"Paiute 2"}</definedName>
    <definedName name="aaaa" localSheetId="3" hidden="1">{"caz2",#N/A,FALSE,"Central Arizona 2";"saz2",#N/A,FALSE,"Southern Arizona 2";"snv2",#N/A,FALSE,"Southern Nevada 2";"nnv2",#N/A,FALSE,"Northern Nevada 2";"sca2",#N/A,FALSE,"Southern California 2";"nca2",#N/A,FALSE,"Northern California 2";"pai2",#N/A,FALSE,"Paiute 2"}</definedName>
    <definedName name="aaaa" localSheetId="29" hidden="1">{"caz2",#N/A,FALSE,"Central Arizona 2";"saz2",#N/A,FALSE,"Southern Arizona 2";"snv2",#N/A,FALSE,"Southern Nevada 2";"nnv2",#N/A,FALSE,"Northern Nevada 2";"sca2",#N/A,FALSE,"Southern California 2";"nca2",#N/A,FALSE,"Northern California 2";"pai2",#N/A,FALSE,"Paiute 2"}</definedName>
    <definedName name="aaaa" localSheetId="47" hidden="1">{"caz2",#N/A,FALSE,"Central Arizona 2";"saz2",#N/A,FALSE,"Southern Arizona 2";"snv2",#N/A,FALSE,"Southern Nevada 2";"nnv2",#N/A,FALSE,"Northern Nevada 2";"sca2",#N/A,FALSE,"Southern California 2";"nca2",#N/A,FALSE,"Northern California 2";"pai2",#N/A,FALSE,"Paiute 2"}</definedName>
    <definedName name="aaaa" hidden="1">{"caz2",#N/A,FALSE,"Central Arizona 2";"saz2",#N/A,FALSE,"Southern Arizona 2";"snv2",#N/A,FALSE,"Southern Nevada 2";"nnv2",#N/A,FALSE,"Northern Nevada 2";"sca2",#N/A,FALSE,"Southern California 2";"nca2",#N/A,FALSE,"Northern California 2";"pai2",#N/A,FALSE,"Paiute 2"}</definedName>
    <definedName name="aaaaaa" localSheetId="1" hidden="1">{#N/A,#N/A,FALSE,"SCA";#N/A,#N/A,FALSE,"NCA";#N/A,#N/A,FALSE,"SAZ";#N/A,#N/A,FALSE,"CAZ";#N/A,#N/A,FALSE,"SNV";#N/A,#N/A,FALSE,"NNV";#N/A,#N/A,FALSE,"PP";#N/A,#N/A,FALSE,"SA"}</definedName>
    <definedName name="aaaaaa" localSheetId="32" hidden="1">{#N/A,#N/A,FALSE,"SCA";#N/A,#N/A,FALSE,"NCA";#N/A,#N/A,FALSE,"SAZ";#N/A,#N/A,FALSE,"CAZ";#N/A,#N/A,FALSE,"SNV";#N/A,#N/A,FALSE,"NNV";#N/A,#N/A,FALSE,"PP";#N/A,#N/A,FALSE,"SA"}</definedName>
    <definedName name="aaaaaa" localSheetId="6" hidden="1">{#N/A,#N/A,FALSE,"SCA";#N/A,#N/A,FALSE,"NCA";#N/A,#N/A,FALSE,"SAZ";#N/A,#N/A,FALSE,"CAZ";#N/A,#N/A,FALSE,"SNV";#N/A,#N/A,FALSE,"NNV";#N/A,#N/A,FALSE,"PP";#N/A,#N/A,FALSE,"SA"}</definedName>
    <definedName name="aaaaaa" localSheetId="4" hidden="1">{#N/A,#N/A,FALSE,"SCA";#N/A,#N/A,FALSE,"NCA";#N/A,#N/A,FALSE,"SAZ";#N/A,#N/A,FALSE,"CAZ";#N/A,#N/A,FALSE,"SNV";#N/A,#N/A,FALSE,"NNV";#N/A,#N/A,FALSE,"PP";#N/A,#N/A,FALSE,"SA"}</definedName>
    <definedName name="aaaaaa" localSheetId="5" hidden="1">{#N/A,#N/A,FALSE,"SCA";#N/A,#N/A,FALSE,"NCA";#N/A,#N/A,FALSE,"SAZ";#N/A,#N/A,FALSE,"CAZ";#N/A,#N/A,FALSE,"SNV";#N/A,#N/A,FALSE,"NNV";#N/A,#N/A,FALSE,"PP";#N/A,#N/A,FALSE,"SA"}</definedName>
    <definedName name="aaaaaa" localSheetId="7" hidden="1">{#N/A,#N/A,FALSE,"SCA";#N/A,#N/A,FALSE,"NCA";#N/A,#N/A,FALSE,"SAZ";#N/A,#N/A,FALSE,"CAZ";#N/A,#N/A,FALSE,"SNV";#N/A,#N/A,FALSE,"NNV";#N/A,#N/A,FALSE,"PP";#N/A,#N/A,FALSE,"SA"}</definedName>
    <definedName name="aaaaaa" localSheetId="3" hidden="1">{#N/A,#N/A,FALSE,"SCA";#N/A,#N/A,FALSE,"NCA";#N/A,#N/A,FALSE,"SAZ";#N/A,#N/A,FALSE,"CAZ";#N/A,#N/A,FALSE,"SNV";#N/A,#N/A,FALSE,"NNV";#N/A,#N/A,FALSE,"PP";#N/A,#N/A,FALSE,"SA"}</definedName>
    <definedName name="aaaaaa" localSheetId="29" hidden="1">{#N/A,#N/A,FALSE,"SCA";#N/A,#N/A,FALSE,"NCA";#N/A,#N/A,FALSE,"SAZ";#N/A,#N/A,FALSE,"CAZ";#N/A,#N/A,FALSE,"SNV";#N/A,#N/A,FALSE,"NNV";#N/A,#N/A,FALSE,"PP";#N/A,#N/A,FALSE,"SA"}</definedName>
    <definedName name="aaaaaa" localSheetId="47" hidden="1">{#N/A,#N/A,FALSE,"SCA";#N/A,#N/A,FALSE,"NCA";#N/A,#N/A,FALSE,"SAZ";#N/A,#N/A,FALSE,"CAZ";#N/A,#N/A,FALSE,"SNV";#N/A,#N/A,FALSE,"NNV";#N/A,#N/A,FALSE,"PP";#N/A,#N/A,FALSE,"SA"}</definedName>
    <definedName name="aaaaaa" hidden="1">{#N/A,#N/A,FALSE,"SCA";#N/A,#N/A,FALSE,"NCA";#N/A,#N/A,FALSE,"SAZ";#N/A,#N/A,FALSE,"CAZ";#N/A,#N/A,FALSE,"SNV";#N/A,#N/A,FALSE,"NNV";#N/A,#N/A,FALSE,"PP";#N/A,#N/A,FALSE,"SA"}</definedName>
    <definedName name="aaaaaaa" localSheetId="1" hidden="1">{#N/A,#N/A,FALSE,"SCA";#N/A,#N/A,FALSE,"NCA";#N/A,#N/A,FALSE,"SAZ";#N/A,#N/A,FALSE,"CAZ";#N/A,#N/A,FALSE,"SNV";#N/A,#N/A,FALSE,"NNV";#N/A,#N/A,FALSE,"PP";#N/A,#N/A,FALSE,"SA"}</definedName>
    <definedName name="aaaaaaa" localSheetId="32" hidden="1">{#N/A,#N/A,FALSE,"SCA";#N/A,#N/A,FALSE,"NCA";#N/A,#N/A,FALSE,"SAZ";#N/A,#N/A,FALSE,"CAZ";#N/A,#N/A,FALSE,"SNV";#N/A,#N/A,FALSE,"NNV";#N/A,#N/A,FALSE,"PP";#N/A,#N/A,FALSE,"SA"}</definedName>
    <definedName name="aaaaaaa" localSheetId="6" hidden="1">{#N/A,#N/A,FALSE,"SCA";#N/A,#N/A,FALSE,"NCA";#N/A,#N/A,FALSE,"SAZ";#N/A,#N/A,FALSE,"CAZ";#N/A,#N/A,FALSE,"SNV";#N/A,#N/A,FALSE,"NNV";#N/A,#N/A,FALSE,"PP";#N/A,#N/A,FALSE,"SA"}</definedName>
    <definedName name="aaaaaaa" localSheetId="4" hidden="1">{#N/A,#N/A,FALSE,"SCA";#N/A,#N/A,FALSE,"NCA";#N/A,#N/A,FALSE,"SAZ";#N/A,#N/A,FALSE,"CAZ";#N/A,#N/A,FALSE,"SNV";#N/A,#N/A,FALSE,"NNV";#N/A,#N/A,FALSE,"PP";#N/A,#N/A,FALSE,"SA"}</definedName>
    <definedName name="aaaaaaa" localSheetId="5" hidden="1">{#N/A,#N/A,FALSE,"SCA";#N/A,#N/A,FALSE,"NCA";#N/A,#N/A,FALSE,"SAZ";#N/A,#N/A,FALSE,"CAZ";#N/A,#N/A,FALSE,"SNV";#N/A,#N/A,FALSE,"NNV";#N/A,#N/A,FALSE,"PP";#N/A,#N/A,FALSE,"SA"}</definedName>
    <definedName name="aaaaaaa" localSheetId="7" hidden="1">{#N/A,#N/A,FALSE,"SCA";#N/A,#N/A,FALSE,"NCA";#N/A,#N/A,FALSE,"SAZ";#N/A,#N/A,FALSE,"CAZ";#N/A,#N/A,FALSE,"SNV";#N/A,#N/A,FALSE,"NNV";#N/A,#N/A,FALSE,"PP";#N/A,#N/A,FALSE,"SA"}</definedName>
    <definedName name="aaaaaaa" localSheetId="3" hidden="1">{#N/A,#N/A,FALSE,"SCA";#N/A,#N/A,FALSE,"NCA";#N/A,#N/A,FALSE,"SAZ";#N/A,#N/A,FALSE,"CAZ";#N/A,#N/A,FALSE,"SNV";#N/A,#N/A,FALSE,"NNV";#N/A,#N/A,FALSE,"PP";#N/A,#N/A,FALSE,"SA"}</definedName>
    <definedName name="aaaaaaa" localSheetId="29" hidden="1">{#N/A,#N/A,FALSE,"SCA";#N/A,#N/A,FALSE,"NCA";#N/A,#N/A,FALSE,"SAZ";#N/A,#N/A,FALSE,"CAZ";#N/A,#N/A,FALSE,"SNV";#N/A,#N/A,FALSE,"NNV";#N/A,#N/A,FALSE,"PP";#N/A,#N/A,FALSE,"SA"}</definedName>
    <definedName name="aaaaaaa" localSheetId="47" hidden="1">{#N/A,#N/A,FALSE,"SCA";#N/A,#N/A,FALSE,"NCA";#N/A,#N/A,FALSE,"SAZ";#N/A,#N/A,FALSE,"CAZ";#N/A,#N/A,FALSE,"SNV";#N/A,#N/A,FALSE,"NNV";#N/A,#N/A,FALSE,"PP";#N/A,#N/A,FALSE,"SA"}</definedName>
    <definedName name="aaaaaaa" hidden="1">{#N/A,#N/A,FALSE,"SCA";#N/A,#N/A,FALSE,"NCA";#N/A,#N/A,FALSE,"SAZ";#N/A,#N/A,FALSE,"CAZ";#N/A,#N/A,FALSE,"SNV";#N/A,#N/A,FALSE,"NNV";#N/A,#N/A,FALSE,"PP";#N/A,#N/A,FALSE,"SA"}</definedName>
    <definedName name="aaaaaaaa" localSheetId="1" hidden="1">{#N/A,#N/A,FALSE,"SCA";#N/A,#N/A,FALSE,"NCA";#N/A,#N/A,FALSE,"SAZ";#N/A,#N/A,FALSE,"CAZ";#N/A,#N/A,FALSE,"SNV";#N/A,#N/A,FALSE,"NNV";#N/A,#N/A,FALSE,"PP";#N/A,#N/A,FALSE,"SA"}</definedName>
    <definedName name="aaaaaaaa" localSheetId="32" hidden="1">{#N/A,#N/A,FALSE,"SCA";#N/A,#N/A,FALSE,"NCA";#N/A,#N/A,FALSE,"SAZ";#N/A,#N/A,FALSE,"CAZ";#N/A,#N/A,FALSE,"SNV";#N/A,#N/A,FALSE,"NNV";#N/A,#N/A,FALSE,"PP";#N/A,#N/A,FALSE,"SA"}</definedName>
    <definedName name="aaaaaaaa" localSheetId="6" hidden="1">{#N/A,#N/A,FALSE,"SCA";#N/A,#N/A,FALSE,"NCA";#N/A,#N/A,FALSE,"SAZ";#N/A,#N/A,FALSE,"CAZ";#N/A,#N/A,FALSE,"SNV";#N/A,#N/A,FALSE,"NNV";#N/A,#N/A,FALSE,"PP";#N/A,#N/A,FALSE,"SA"}</definedName>
    <definedName name="aaaaaaaa" localSheetId="4" hidden="1">{#N/A,#N/A,FALSE,"SCA";#N/A,#N/A,FALSE,"NCA";#N/A,#N/A,FALSE,"SAZ";#N/A,#N/A,FALSE,"CAZ";#N/A,#N/A,FALSE,"SNV";#N/A,#N/A,FALSE,"NNV";#N/A,#N/A,FALSE,"PP";#N/A,#N/A,FALSE,"SA"}</definedName>
    <definedName name="aaaaaaaa" localSheetId="5" hidden="1">{#N/A,#N/A,FALSE,"SCA";#N/A,#N/A,FALSE,"NCA";#N/A,#N/A,FALSE,"SAZ";#N/A,#N/A,FALSE,"CAZ";#N/A,#N/A,FALSE,"SNV";#N/A,#N/A,FALSE,"NNV";#N/A,#N/A,FALSE,"PP";#N/A,#N/A,FALSE,"SA"}</definedName>
    <definedName name="aaaaaaaa" localSheetId="7" hidden="1">{#N/A,#N/A,FALSE,"SCA";#N/A,#N/A,FALSE,"NCA";#N/A,#N/A,FALSE,"SAZ";#N/A,#N/A,FALSE,"CAZ";#N/A,#N/A,FALSE,"SNV";#N/A,#N/A,FALSE,"NNV";#N/A,#N/A,FALSE,"PP";#N/A,#N/A,FALSE,"SA"}</definedName>
    <definedName name="aaaaaaaa" localSheetId="3" hidden="1">{#N/A,#N/A,FALSE,"SCA";#N/A,#N/A,FALSE,"NCA";#N/A,#N/A,FALSE,"SAZ";#N/A,#N/A,FALSE,"CAZ";#N/A,#N/A,FALSE,"SNV";#N/A,#N/A,FALSE,"NNV";#N/A,#N/A,FALSE,"PP";#N/A,#N/A,FALSE,"SA"}</definedName>
    <definedName name="aaaaaaaa" localSheetId="29" hidden="1">{#N/A,#N/A,FALSE,"SCA";#N/A,#N/A,FALSE,"NCA";#N/A,#N/A,FALSE,"SAZ";#N/A,#N/A,FALSE,"CAZ";#N/A,#N/A,FALSE,"SNV";#N/A,#N/A,FALSE,"NNV";#N/A,#N/A,FALSE,"PP";#N/A,#N/A,FALSE,"SA"}</definedName>
    <definedName name="aaaaaaaa" localSheetId="47" hidden="1">{#N/A,#N/A,FALSE,"SCA";#N/A,#N/A,FALSE,"NCA";#N/A,#N/A,FALSE,"SAZ";#N/A,#N/A,FALSE,"CAZ";#N/A,#N/A,FALSE,"SNV";#N/A,#N/A,FALSE,"NNV";#N/A,#N/A,FALSE,"PP";#N/A,#N/A,FALSE,"SA"}</definedName>
    <definedName name="aaaaaaaa" hidden="1">{#N/A,#N/A,FALSE,"SCA";#N/A,#N/A,FALSE,"NCA";#N/A,#N/A,FALSE,"SAZ";#N/A,#N/A,FALSE,"CAZ";#N/A,#N/A,FALSE,"SNV";#N/A,#N/A,FALSE,"NNV";#N/A,#N/A,FALSE,"PP";#N/A,#N/A,FALSE,"SA"}</definedName>
    <definedName name="aaaaaaaaaaaaaaa" localSheetId="32" hidden="1">{#N/A,#N/A,FALSE,"O&amp;M by processes";#N/A,#N/A,FALSE,"Elec Act vs Bud";#N/A,#N/A,FALSE,"G&amp;A";#N/A,#N/A,FALSE,"BGS";#N/A,#N/A,FALSE,"Res Cost"}</definedName>
    <definedName name="aaaaaaaaaaaaaaa" localSheetId="6" hidden="1">{#N/A,#N/A,FALSE,"O&amp;M by processes";#N/A,#N/A,FALSE,"Elec Act vs Bud";#N/A,#N/A,FALSE,"G&amp;A";#N/A,#N/A,FALSE,"BGS";#N/A,#N/A,FALSE,"Res Cost"}</definedName>
    <definedName name="aaaaaaaaaaaaaaa" localSheetId="7" hidden="1">{#N/A,#N/A,FALSE,"O&amp;M by processes";#N/A,#N/A,FALSE,"Elec Act vs Bud";#N/A,#N/A,FALSE,"G&amp;A";#N/A,#N/A,FALSE,"BGS";#N/A,#N/A,FALSE,"Res Cost"}</definedName>
    <definedName name="aaaaaaaaaaaaaaa" localSheetId="3" hidden="1">{#N/A,#N/A,FALSE,"O&amp;M by processes";#N/A,#N/A,FALSE,"Elec Act vs Bud";#N/A,#N/A,FALSE,"G&amp;A";#N/A,#N/A,FALSE,"BGS";#N/A,#N/A,FALSE,"Res Cost"}</definedName>
    <definedName name="aaaaaaaaaaaaaaa" localSheetId="29" hidden="1">{#N/A,#N/A,FALSE,"O&amp;M by processes";#N/A,#N/A,FALSE,"Elec Act vs Bud";#N/A,#N/A,FALSE,"G&amp;A";#N/A,#N/A,FALSE,"BGS";#N/A,#N/A,FALSE,"Res Cost"}</definedName>
    <definedName name="aaaaaaaaaaaaaaa" localSheetId="47" hidden="1">{#N/A,#N/A,FALSE,"O&amp;M by processes";#N/A,#N/A,FALSE,"Elec Act vs Bud";#N/A,#N/A,FALSE,"G&amp;A";#N/A,#N/A,FALSE,"BGS";#N/A,#N/A,FALSE,"Res Cost"}</definedName>
    <definedName name="aaaaaaaaaaaaaaa" hidden="1">{#N/A,#N/A,FALSE,"O&amp;M by processes";#N/A,#N/A,FALSE,"Elec Act vs Bud";#N/A,#N/A,FALSE,"G&amp;A";#N/A,#N/A,FALSE,"BGS";#N/A,#N/A,FALSE,"Res Cost"}</definedName>
    <definedName name="aaaaaaagg"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B_Addin5" hidden="1">"AAB_Description for addin 5,Description for addin 5,Description for addin 5,Description for addin 5,Description for addin 5,Description for addin 5"</definedName>
    <definedName name="abc" localSheetId="1" hidden="1">{#N/A,#N/A,TRUE,"1990";#N/A,#N/A,TRUE,"1991";#N/A,#N/A,TRUE,"1992";#N/A,#N/A,TRUE,"1993"}</definedName>
    <definedName name="abc" localSheetId="32" hidden="1">{#N/A,#N/A,TRUE,"1990";#N/A,#N/A,TRUE,"1991";#N/A,#N/A,TRUE,"1992";#N/A,#N/A,TRUE,"1993"}</definedName>
    <definedName name="abc" localSheetId="6" hidden="1">{#N/A,#N/A,TRUE,"1990";#N/A,#N/A,TRUE,"1991";#N/A,#N/A,TRUE,"1992";#N/A,#N/A,TRUE,"1993"}</definedName>
    <definedName name="abc" localSheetId="4" hidden="1">{#N/A,#N/A,TRUE,"1990";#N/A,#N/A,TRUE,"1991";#N/A,#N/A,TRUE,"1992";#N/A,#N/A,TRUE,"1993"}</definedName>
    <definedName name="abc" localSheetId="5" hidden="1">{#N/A,#N/A,TRUE,"1990";#N/A,#N/A,TRUE,"1991";#N/A,#N/A,TRUE,"1992";#N/A,#N/A,TRUE,"1993"}</definedName>
    <definedName name="abc" localSheetId="7" hidden="1">{#N/A,#N/A,TRUE,"1990";#N/A,#N/A,TRUE,"1991";#N/A,#N/A,TRUE,"1992";#N/A,#N/A,TRUE,"1993"}</definedName>
    <definedName name="abc" localSheetId="3" hidden="1">{#N/A,#N/A,TRUE,"1990";#N/A,#N/A,TRUE,"1991";#N/A,#N/A,TRUE,"1992";#N/A,#N/A,TRUE,"1993"}</definedName>
    <definedName name="abc" localSheetId="47" hidden="1">{#N/A,#N/A,TRUE,"1990";#N/A,#N/A,TRUE,"1991";#N/A,#N/A,TRUE,"1992";#N/A,#N/A,TRUE,"1993"}</definedName>
    <definedName name="abc" hidden="1">{#N/A,#N/A,TRUE,"1990";#N/A,#N/A,TRUE,"1991";#N/A,#N/A,TRUE,"1992";#N/A,#N/A,TRUE,"1993"}</definedName>
    <definedName name="abcd" localSheetId="1" hidden="1">{#N/A,#N/A,TRUE,"1990";#N/A,#N/A,TRUE,"1991";#N/A,#N/A,TRUE,"1992";#N/A,#N/A,TRUE,"1993"}</definedName>
    <definedName name="abcd" localSheetId="32" hidden="1">{#N/A,#N/A,TRUE,"1990";#N/A,#N/A,TRUE,"1991";#N/A,#N/A,TRUE,"1992";#N/A,#N/A,TRUE,"1993"}</definedName>
    <definedName name="abcd" localSheetId="6" hidden="1">{#N/A,#N/A,TRUE,"1990";#N/A,#N/A,TRUE,"1991";#N/A,#N/A,TRUE,"1992";#N/A,#N/A,TRUE,"1993"}</definedName>
    <definedName name="abcd" localSheetId="4" hidden="1">{#N/A,#N/A,TRUE,"1990";#N/A,#N/A,TRUE,"1991";#N/A,#N/A,TRUE,"1992";#N/A,#N/A,TRUE,"1993"}</definedName>
    <definedName name="abcd" localSheetId="5" hidden="1">{#N/A,#N/A,TRUE,"1990";#N/A,#N/A,TRUE,"1991";#N/A,#N/A,TRUE,"1992";#N/A,#N/A,TRUE,"1993"}</definedName>
    <definedName name="abcd" localSheetId="7" hidden="1">{#N/A,#N/A,TRUE,"1990";#N/A,#N/A,TRUE,"1991";#N/A,#N/A,TRUE,"1992";#N/A,#N/A,TRUE,"1993"}</definedName>
    <definedName name="abcd" localSheetId="3" hidden="1">{#N/A,#N/A,TRUE,"1990";#N/A,#N/A,TRUE,"1991";#N/A,#N/A,TRUE,"1992";#N/A,#N/A,TRUE,"1993"}</definedName>
    <definedName name="abcd" localSheetId="47" hidden="1">{#N/A,#N/A,TRUE,"1990";#N/A,#N/A,TRUE,"1991";#N/A,#N/A,TRUE,"1992";#N/A,#N/A,TRUE,"1993"}</definedName>
    <definedName name="abcd" hidden="1">{#N/A,#N/A,TRUE,"1990";#N/A,#N/A,TRUE,"1991";#N/A,#N/A,TRUE,"1992";#N/A,#N/A,TRUE,"1993"}</definedName>
    <definedName name="abcde" localSheetId="1" hidden="1">{"summary",#N/A,TRUE,"E93ADJ";"detail",#N/A,TRUE,"E93ADJ"}</definedName>
    <definedName name="abcde" localSheetId="32" hidden="1">{"summary",#N/A,TRUE,"E93ADJ";"detail",#N/A,TRUE,"E93ADJ"}</definedName>
    <definedName name="abcde" localSheetId="6" hidden="1">{"summary",#N/A,TRUE,"E93ADJ";"detail",#N/A,TRUE,"E93ADJ"}</definedName>
    <definedName name="abcde" localSheetId="4" hidden="1">{"summary",#N/A,TRUE,"E93ADJ";"detail",#N/A,TRUE,"E93ADJ"}</definedName>
    <definedName name="abcde" localSheetId="5" hidden="1">{"summary",#N/A,TRUE,"E93ADJ";"detail",#N/A,TRUE,"E93ADJ"}</definedName>
    <definedName name="abcde" localSheetId="7" hidden="1">{"summary",#N/A,TRUE,"E93ADJ";"detail",#N/A,TRUE,"E93ADJ"}</definedName>
    <definedName name="abcde" localSheetId="3" hidden="1">{"summary",#N/A,TRUE,"E93ADJ";"detail",#N/A,TRUE,"E93ADJ"}</definedName>
    <definedName name="abcde" localSheetId="47" hidden="1">{"summary",#N/A,TRUE,"E93ADJ";"detail",#N/A,TRUE,"E93ADJ"}</definedName>
    <definedName name="abcde" hidden="1">{"summary",#N/A,TRUE,"E93ADJ";"detail",#N/A,TRUE,"E93ADJ"}</definedName>
    <definedName name="abcdef" localSheetId="1" hidden="1">{"summary",#N/A,TRUE,"E93ADJ";"detail",#N/A,TRUE,"E93ADJ"}</definedName>
    <definedName name="abcdef" localSheetId="32" hidden="1">{"summary",#N/A,TRUE,"E93ADJ";"detail",#N/A,TRUE,"E93ADJ"}</definedName>
    <definedName name="abcdef" localSheetId="6" hidden="1">{"summary",#N/A,TRUE,"E93ADJ";"detail",#N/A,TRUE,"E93ADJ"}</definedName>
    <definedName name="abcdef" localSheetId="4" hidden="1">{"summary",#N/A,TRUE,"E93ADJ";"detail",#N/A,TRUE,"E93ADJ"}</definedName>
    <definedName name="abcdef" localSheetId="5" hidden="1">{"summary",#N/A,TRUE,"E93ADJ";"detail",#N/A,TRUE,"E93ADJ"}</definedName>
    <definedName name="abcdef" localSheetId="7" hidden="1">{"summary",#N/A,TRUE,"E93ADJ";"detail",#N/A,TRUE,"E93ADJ"}</definedName>
    <definedName name="abcdef" localSheetId="3" hidden="1">{"summary",#N/A,TRUE,"E93ADJ";"detail",#N/A,TRUE,"E93ADJ"}</definedName>
    <definedName name="abcdef" localSheetId="47" hidden="1">{"summary",#N/A,TRUE,"E93ADJ";"detail",#N/A,TRUE,"E93ADJ"}</definedName>
    <definedName name="abcdef" hidden="1">{"summary",#N/A,TRUE,"E93ADJ";"detail",#N/A,TRUE,"E93ADJ"}</definedName>
    <definedName name="ACCTPAY00" localSheetId="3">#REF!</definedName>
    <definedName name="ACCTPAY00">#REF!</definedName>
    <definedName name="ACCTPAY98" localSheetId="3">#REF!</definedName>
    <definedName name="ACCTPAY98">#REF!</definedName>
    <definedName name="ACCTPAY99" localSheetId="3">#REF!</definedName>
    <definedName name="ACCTPAY99">#REF!</definedName>
    <definedName name="ACwvu.DATABASE." localSheetId="3" hidden="1">#REF!</definedName>
    <definedName name="ACwvu.DATABASE." localSheetId="47" hidden="1">#REF!</definedName>
    <definedName name="ACwvu.DATABASE." hidden="1">#REF!</definedName>
    <definedName name="ACwvu.OP." localSheetId="6" hidden="1">#REF!</definedName>
    <definedName name="ACwvu.OP." localSheetId="7" hidden="1">#REF!</definedName>
    <definedName name="ACwvu.OP." localSheetId="3" hidden="1">#REF!</definedName>
    <definedName name="ACwvu.OP." localSheetId="29" hidden="1">#REF!</definedName>
    <definedName name="ACwvu.OP." hidden="1">#REF!</definedName>
    <definedName name="ad" localSheetId="3">#REF!</definedName>
    <definedName name="ad">#REF!</definedName>
    <definedName name="adadf" localSheetId="3">#REF!</definedName>
    <definedName name="adadf">#REF!</definedName>
    <definedName name="AdditionalOPEX" localSheetId="3">#REF!</definedName>
    <definedName name="AdditionalOPEX">#REF!</definedName>
    <definedName name="AdditionalOPEX_Early" localSheetId="3">#REF!</definedName>
    <definedName name="AdditionalOPEX_Early">#REF!</definedName>
    <definedName name="adf">#REF!</definedName>
    <definedName name="adfadfdfadsfdsa" hidden="1">#REF!</definedName>
    <definedName name="ADJGROWTHRATES" localSheetId="6">#REF!</definedName>
    <definedName name="ADJGROWTHRATES" localSheetId="3">#REF!</definedName>
    <definedName name="ADJGROWTHRATES">#REF!</definedName>
    <definedName name="adsfadf" localSheetId="3">#REF!</definedName>
    <definedName name="adsfadf">#REF!</definedName>
    <definedName name="aedf" localSheetId="1" hidden="1">#REF!</definedName>
    <definedName name="aedf" localSheetId="5" hidden="1">#REF!</definedName>
    <definedName name="aedf" localSheetId="3" hidden="1">#REF!</definedName>
    <definedName name="aedf" localSheetId="29" hidden="1">#REF!</definedName>
    <definedName name="aedf" hidden="1">#REF!</definedName>
    <definedName name="AEP">#REF!</definedName>
    <definedName name="aewc12" localSheetId="1" hidden="1">#REF!</definedName>
    <definedName name="aewc12" localSheetId="5" hidden="1">#REF!</definedName>
    <definedName name="aewc12" localSheetId="3" hidden="1">#REF!</definedName>
    <definedName name="aewc12" localSheetId="29" hidden="1">#REF!</definedName>
    <definedName name="aewc12" hidden="1">#REF!</definedName>
    <definedName name="afd" localSheetId="3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4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dafadfs" hidden="1">#REF!</definedName>
    <definedName name="afddfadfdsfafdas" hidden="1">#REF!</definedName>
    <definedName name="Airport">#REF!</definedName>
    <definedName name="ajw2n" localSheetId="1" hidden="1">#REF!</definedName>
    <definedName name="ajw2n" localSheetId="5" hidden="1">#REF!</definedName>
    <definedName name="ajw2n" localSheetId="3" hidden="1">#REF!</definedName>
    <definedName name="ajw2n" localSheetId="29" hidden="1">#REF!</definedName>
    <definedName name="ajw2n" hidden="1">#REF!</definedName>
    <definedName name="ALL">#REF!</definedName>
    <definedName name="alldcfh" localSheetId="6">#REF!</definedName>
    <definedName name="alldcfh" localSheetId="3">#REF!</definedName>
    <definedName name="alldcfh">#REF!</definedName>
    <definedName name="alldcfl" localSheetId="3">#REF!</definedName>
    <definedName name="alldcfl">#REF!</definedName>
    <definedName name="AMORT" localSheetId="3">#REF!</definedName>
    <definedName name="AMORT">#REF!</definedName>
    <definedName name="AmtTable" localSheetId="3">#REF!</definedName>
    <definedName name="AmtTable">#REF!</definedName>
    <definedName name="anscount" hidden="1">1</definedName>
    <definedName name="antra" localSheetId="6">#REF!</definedName>
    <definedName name="antra" localSheetId="3">#REF!</definedName>
    <definedName name="antra">#REF!</definedName>
    <definedName name="ap" localSheetId="1" hidden="1">#REF!</definedName>
    <definedName name="ap" localSheetId="5" hidden="1">#REF!</definedName>
    <definedName name="ap" localSheetId="3" hidden="1">#REF!</definedName>
    <definedName name="ap" localSheetId="29" hidden="1">#REF!</definedName>
    <definedName name="ap" hidden="1">#REF!</definedName>
    <definedName name="AP00" localSheetId="3">#REF!</definedName>
    <definedName name="AP00">#REF!</definedName>
    <definedName name="aprilAMT" localSheetId="3">'2.4 OpCo Proxy Cap Str'!AmtTable</definedName>
    <definedName name="aprilAMT">#REF!</definedName>
    <definedName name="aprilDT" localSheetId="3">'2.4 OpCo Proxy Cap Str'!DTTable</definedName>
    <definedName name="aprilDT">#REF!</definedName>
    <definedName name="ARTNA" localSheetId="3">#REF!</definedName>
    <definedName name="ARTNA">#REF!</definedName>
    <definedName name="as" localSheetId="1" hidden="1">{"Summary",#N/A,FALSE,"Options "}</definedName>
    <definedName name="as" localSheetId="32" hidden="1">{"Summary",#N/A,FALSE,"Options "}</definedName>
    <definedName name="as" localSheetId="6" hidden="1">{"Summary",#N/A,FALSE,"Options "}</definedName>
    <definedName name="as" localSheetId="4" hidden="1">{"Summary",#N/A,FALSE,"Options "}</definedName>
    <definedName name="as" localSheetId="5" hidden="1">{"Summary",#N/A,FALSE,"Options "}</definedName>
    <definedName name="as" localSheetId="7" hidden="1">{"Summary",#N/A,FALSE,"Options "}</definedName>
    <definedName name="as" localSheetId="3" hidden="1">{"Summary",#N/A,FALSE,"Options "}</definedName>
    <definedName name="as" localSheetId="29" hidden="1">{"Summary",#N/A,FALSE,"Options "}</definedName>
    <definedName name="as" localSheetId="47" hidden="1">{"Summary",#N/A,FALSE,"Options "}</definedName>
    <definedName name="as" hidden="1">{"Summary",#N/A,FALSE,"Options "}</definedName>
    <definedName name="AS2DocOpenMode" hidden="1">"AS2DocumentEdit"</definedName>
    <definedName name="AS2NamedRange" hidden="1">7</definedName>
    <definedName name="asd" localSheetId="1" hidden="1">#REF!</definedName>
    <definedName name="asd" localSheetId="5" hidden="1">#REF!</definedName>
    <definedName name="asd" localSheetId="3" hidden="1">#REF!</definedName>
    <definedName name="asd" localSheetId="29" hidden="1">#REF!</definedName>
    <definedName name="asd" hidden="1">#REF!</definedName>
    <definedName name="asdf" localSheetId="1" hidden="1">#REF!</definedName>
    <definedName name="asdf" localSheetId="5" hidden="1">#REF!</definedName>
    <definedName name="asdf" localSheetId="3" hidden="1">#REF!</definedName>
    <definedName name="asdf" localSheetId="29" hidden="1">#REF!</definedName>
    <definedName name="asdf" hidden="1">#REF!</definedName>
    <definedName name="asdij" localSheetId="5" hidden="1">#REF!</definedName>
    <definedName name="asdij" localSheetId="3" hidden="1">#REF!</definedName>
    <definedName name="asdij" localSheetId="29" hidden="1">#REF!</definedName>
    <definedName name="asdij" hidden="1">#REF!</definedName>
    <definedName name="asf" localSheetId="5" hidden="1">#REF!</definedName>
    <definedName name="asf" localSheetId="3" hidden="1">#REF!</definedName>
    <definedName name="asf" localSheetId="29" hidden="1">#REF!</definedName>
    <definedName name="asf" hidden="1">#REF!</definedName>
    <definedName name="ashwin" localSheetId="1" hidden="1">{#N/A,"Anonymous",FALSE,"30 30k Table";#N/A,#N/A,FALSE,"30 50k Table";#N/A,#N/A,FALSE,"40 100k Table"}</definedName>
    <definedName name="ashwin" localSheetId="32" hidden="1">{#N/A,"Anonymous",FALSE,"30 30k Table";#N/A,#N/A,FALSE,"30 50k Table";#N/A,#N/A,FALSE,"40 100k Table"}</definedName>
    <definedName name="ashwin" localSheetId="6" hidden="1">{#N/A,"Anonymous",FALSE,"30 30k Table";#N/A,#N/A,FALSE,"30 50k Table";#N/A,#N/A,FALSE,"40 100k Table"}</definedName>
    <definedName name="ashwin" localSheetId="4" hidden="1">{#N/A,"Anonymous",FALSE,"30 30k Table";#N/A,#N/A,FALSE,"30 50k Table";#N/A,#N/A,FALSE,"40 100k Table"}</definedName>
    <definedName name="ashwin" localSheetId="5" hidden="1">{#N/A,"Anonymous",FALSE,"30 30k Table";#N/A,#N/A,FALSE,"30 50k Table";#N/A,#N/A,FALSE,"40 100k Table"}</definedName>
    <definedName name="ashwin" localSheetId="7" hidden="1">{#N/A,"Anonymous",FALSE,"30 30k Table";#N/A,#N/A,FALSE,"30 50k Table";#N/A,#N/A,FALSE,"40 100k Table"}</definedName>
    <definedName name="ashwin" localSheetId="3" hidden="1">{#N/A,"Anonymous",FALSE,"30 30k Table";#N/A,#N/A,FALSE,"30 50k Table";#N/A,#N/A,FALSE,"40 100k Table"}</definedName>
    <definedName name="ashwin" localSheetId="29" hidden="1">{#N/A,"Anonymous",FALSE,"30 30k Table";#N/A,#N/A,FALSE,"30 50k Table";#N/A,#N/A,FALSE,"40 100k Table"}</definedName>
    <definedName name="ashwin" localSheetId="47" hidden="1">{#N/A,"Anonymous",FALSE,"30 30k Table";#N/A,#N/A,FALSE,"30 50k Table";#N/A,#N/A,FALSE,"40 100k Table"}</definedName>
    <definedName name="ashwin" hidden="1">{#N/A,"Anonymous",FALSE,"30 30k Table";#N/A,#N/A,FALSE,"30 50k Table";#N/A,#N/A,FALSE,"40 100k Table"}</definedName>
    <definedName name="aspd" localSheetId="1" hidden="1">#REF!</definedName>
    <definedName name="aspd" localSheetId="5" hidden="1">#REF!</definedName>
    <definedName name="aspd" localSheetId="3" hidden="1">#REF!</definedName>
    <definedName name="aspd" localSheetId="29" hidden="1">#REF!</definedName>
    <definedName name="aspd" hidden="1">#REF!</definedName>
    <definedName name="Assessment_FooterType" hidden="1">"NONE"</definedName>
    <definedName name="Assessments_FooterType" hidden="1">"NONE"</definedName>
    <definedName name="aswac" localSheetId="1" hidden="1">#REF!</definedName>
    <definedName name="aswac" localSheetId="5" hidden="1">#REF!</definedName>
    <definedName name="aswac" localSheetId="3" hidden="1">#REF!</definedName>
    <definedName name="aswac" localSheetId="29" hidden="1">#REF!</definedName>
    <definedName name="aswac" hidden="1">#REF!</definedName>
    <definedName name="aswc" localSheetId="1" hidden="1">#REF!</definedName>
    <definedName name="aswc" localSheetId="5" hidden="1">#REF!</definedName>
    <definedName name="aswc" localSheetId="3" hidden="1">#REF!</definedName>
    <definedName name="aswc" localSheetId="29" hidden="1">#REF!</definedName>
    <definedName name="aswc" hidden="1">#REF!</definedName>
    <definedName name="atmos" localSheetId="3">#REF!</definedName>
    <definedName name="atmos">#REF!</definedName>
    <definedName name="ATOKA">#REF!</definedName>
    <definedName name="AUGAMT" localSheetId="3">'2.4 OpCo Proxy Cap Str'!AmtTable</definedName>
    <definedName name="AUGAMT">#REF!</definedName>
    <definedName name="AUGDT" localSheetId="3">'2.4 OpCo Proxy Cap Str'!DTTable</definedName>
    <definedName name="AUGDT">#REF!</definedName>
    <definedName name="AUGUSTAMT">#N/A</definedName>
    <definedName name="AUGUSTDT">#N/A</definedName>
    <definedName name="avbc" localSheetId="32"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6"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3"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4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erage_Calculated_Beta" localSheetId="6">#REF!</definedName>
    <definedName name="Average_Calculated_Beta" localSheetId="3">#REF!</definedName>
    <definedName name="Average_Calculated_Beta">#REF!</definedName>
    <definedName name="average_p_v">#REF!</definedName>
    <definedName name="average_p_v_h">#REF!</definedName>
    <definedName name="average_p_v_vh">#REF!</definedName>
    <definedName name="avg">#REF!</definedName>
    <definedName name="Avg_CmnEqtyRatioWST" localSheetId="6">#REF!</definedName>
    <definedName name="Avg_CmnEqtyRatioWST" localSheetId="3">#REF!</definedName>
    <definedName name="Avg_CmnEqtyRatioWST">#REF!</definedName>
    <definedName name="avg_date">#REF!</definedName>
    <definedName name="AVG_RESIDUAL_PROFORMA">#REF!</definedName>
    <definedName name="avg_ticker">#REF!</definedName>
    <definedName name="AvgStockPrice">#REF!</definedName>
    <definedName name="aw3dq" localSheetId="1" hidden="1">#REF!</definedName>
    <definedName name="aw3dq" localSheetId="5" hidden="1">#REF!</definedName>
    <definedName name="aw3dq" localSheetId="3" hidden="1">#REF!</definedName>
    <definedName name="aw3dq" localSheetId="29" hidden="1">#REF!</definedName>
    <definedName name="aw3dq" hidden="1">#REF!</definedName>
    <definedName name="awd" localSheetId="5" hidden="1">#REF!</definedName>
    <definedName name="awd" localSheetId="3" hidden="1">#REF!</definedName>
    <definedName name="awd" localSheetId="29" hidden="1">#REF!</definedName>
    <definedName name="awd" hidden="1">#REF!</definedName>
    <definedName name="awef" localSheetId="5" hidden="1">#REF!</definedName>
    <definedName name="awef" localSheetId="3" hidden="1">#REF!</definedName>
    <definedName name="awef" localSheetId="29" hidden="1">#REF!</definedName>
    <definedName name="awef" hidden="1">#REF!</definedName>
    <definedName name="AWS" localSheetId="5" hidden="1">#REF!</definedName>
    <definedName name="AWS" localSheetId="3" hidden="1">#REF!</definedName>
    <definedName name="AWS" localSheetId="29" hidden="1">#REF!</definedName>
    <definedName name="AWS" hidden="1">#REF!</definedName>
    <definedName name="az" localSheetId="5" hidden="1">#REF!</definedName>
    <definedName name="az" localSheetId="3" hidden="1">#REF!</definedName>
    <definedName name="az" localSheetId="29" hidden="1">#REF!</definedName>
    <definedName name="az" hidden="1">#REF!</definedName>
    <definedName name="b" localSheetId="1" hidden="1">{#N/A,#N/A,TRUE,"SLDE";#N/A,#N/A,TRUE,"Concession Summary"}</definedName>
    <definedName name="b" localSheetId="32" hidden="1">{#N/A,#N/A,TRUE,"SLDE";#N/A,#N/A,TRUE,"Concession Summary"}</definedName>
    <definedName name="b" localSheetId="6" hidden="1">{#N/A,#N/A,TRUE,"SLDE";#N/A,#N/A,TRUE,"Concession Summary"}</definedName>
    <definedName name="b" localSheetId="4" hidden="1">{#N/A,#N/A,TRUE,"SLDE";#N/A,#N/A,TRUE,"Concession Summary"}</definedName>
    <definedName name="b" localSheetId="5" hidden="1">{#N/A,#N/A,TRUE,"SLDE";#N/A,#N/A,TRUE,"Concession Summary"}</definedName>
    <definedName name="b" localSheetId="7" hidden="1">{#N/A,#N/A,TRUE,"SLDE";#N/A,#N/A,TRUE,"Concession Summary"}</definedName>
    <definedName name="b" localSheetId="3" hidden="1">{#N/A,#N/A,TRUE,"SLDE";#N/A,#N/A,TRUE,"Concession Summary"}</definedName>
    <definedName name="b" localSheetId="29" hidden="1">{#N/A,#N/A,TRUE,"SLDE";#N/A,#N/A,TRUE,"Concession Summary"}</definedName>
    <definedName name="b" localSheetId="47" hidden="1">{#N/A,#N/A,TRUE,"SLDE";#N/A,#N/A,TRUE,"Concession Summary"}</definedName>
    <definedName name="b" hidden="1">{#N/A,#N/A,TRUE,"SLDE";#N/A,#N/A,TRUE,"Concession Summary"}</definedName>
    <definedName name="BaaUBondYldFY06">#REF!</definedName>
    <definedName name="BaaUBondYldFY07">#REF!</definedName>
    <definedName name="BaaUBondYldFY08">#REF!</definedName>
    <definedName name="BaaUBondYldFY09">#REF!</definedName>
    <definedName name="BaaUBondYldFY10">#REF!</definedName>
    <definedName name="BaaUBondYldFY11">#REF!</definedName>
    <definedName name="BaaUBondYldFY12">#REF!</definedName>
    <definedName name="BaaUBondYldFY13">#REF!</definedName>
    <definedName name="BaaUBondYldFY14">#REF!</definedName>
    <definedName name="BACKUP">#REF!</definedName>
    <definedName name="badger" localSheetId="1" hidden="1">{"TOT_QTR_TO_PREV",#N/A,FALSE,"Site Sum"}</definedName>
    <definedName name="badger" localSheetId="32" hidden="1">{"TOT_QTR_TO_PREV",#N/A,FALSE,"Site Sum"}</definedName>
    <definedName name="badger" localSheetId="6" hidden="1">{"TOT_QTR_TO_PREV",#N/A,FALSE,"Site Sum"}</definedName>
    <definedName name="badger" localSheetId="4" hidden="1">{"TOT_QTR_TO_PREV",#N/A,FALSE,"Site Sum"}</definedName>
    <definedName name="badger" localSheetId="5" hidden="1">{"TOT_QTR_TO_PREV",#N/A,FALSE,"Site Sum"}</definedName>
    <definedName name="badger" localSheetId="7" hidden="1">{"TOT_QTR_TO_PREV",#N/A,FALSE,"Site Sum"}</definedName>
    <definedName name="badger" localSheetId="3" hidden="1">{"TOT_QTR_TO_PREV",#N/A,FALSE,"Site Sum"}</definedName>
    <definedName name="badger" localSheetId="29" hidden="1">{"TOT_QTR_TO_PREV",#N/A,FALSE,"Site Sum"}</definedName>
    <definedName name="badger" localSheetId="47" hidden="1">{"TOT_QTR_TO_PREV",#N/A,FALSE,"Site Sum"}</definedName>
    <definedName name="badger" hidden="1">{"TOT_QTR_TO_PREV",#N/A,FALSE,"Site Sum"}</definedName>
    <definedName name="badger1" localSheetId="1" hidden="1">{"TOT_QTR_TO_PREV",#N/A,FALSE,"Site Sum"}</definedName>
    <definedName name="badger1" localSheetId="32" hidden="1">{"TOT_QTR_TO_PREV",#N/A,FALSE,"Site Sum"}</definedName>
    <definedName name="badger1" localSheetId="6" hidden="1">{"TOT_QTR_TO_PREV",#N/A,FALSE,"Site Sum"}</definedName>
    <definedName name="badger1" localSheetId="4" hidden="1">{"TOT_QTR_TO_PREV",#N/A,FALSE,"Site Sum"}</definedName>
    <definedName name="badger1" localSheetId="5" hidden="1">{"TOT_QTR_TO_PREV",#N/A,FALSE,"Site Sum"}</definedName>
    <definedName name="badger1" localSheetId="7" hidden="1">{"TOT_QTR_TO_PREV",#N/A,FALSE,"Site Sum"}</definedName>
    <definedName name="badger1" localSheetId="3" hidden="1">{"TOT_QTR_TO_PREV",#N/A,FALSE,"Site Sum"}</definedName>
    <definedName name="badger1" localSheetId="29" hidden="1">{"TOT_QTR_TO_PREV",#N/A,FALSE,"Site Sum"}</definedName>
    <definedName name="badger1" localSheetId="47" hidden="1">{"TOT_QTR_TO_PREV",#N/A,FALSE,"Site Sum"}</definedName>
    <definedName name="badger1" hidden="1">{"TOT_QTR_TO_PREV",#N/A,FALSE,"Site Sum"}</definedName>
    <definedName name="BAL" localSheetId="3">#REF!</definedName>
    <definedName name="BAL">#REF!</definedName>
    <definedName name="BALTITLE" localSheetId="3">#REF!</definedName>
    <definedName name="BALTITLE">#REF!</definedName>
    <definedName name="BB" localSheetId="1" hidden="1">#REF!</definedName>
    <definedName name="BB" localSheetId="5" hidden="1">#REF!</definedName>
    <definedName name="BB" localSheetId="3" hidden="1">#REF!</definedName>
    <definedName name="BB" localSheetId="29" hidden="1">#REF!</definedName>
    <definedName name="BB" hidden="1">#REF!</definedName>
    <definedName name="bb_mdm" localSheetId="5" hidden="1">#REF!</definedName>
    <definedName name="bb_mdm" localSheetId="3" hidden="1">#REF!</definedName>
    <definedName name="bb_mdm" localSheetId="29" hidden="1">#REF!</definedName>
    <definedName name="bb_mdm" hidden="1">#REF!</definedName>
    <definedName name="bb_MDMyNTU0NDRBODY1NDVEQz" localSheetId="5" hidden="1">#REF!</definedName>
    <definedName name="bb_MDMyNTU0NDRBODY1NDVEQz" localSheetId="3" hidden="1">#REF!</definedName>
    <definedName name="bb_MDMyNTU0NDRBODY1NDVEQz" localSheetId="29" hidden="1">#REF!</definedName>
    <definedName name="bb_MDMyNTU0NDRBODY1NDVEQz" hidden="1">#REF!</definedName>
    <definedName name="BBB" localSheetId="3">#REF!</definedName>
    <definedName name="BBB">#REF!</definedName>
    <definedName name="bbbb" localSheetId="5" hidden="1">#REF!</definedName>
    <definedName name="bbbb" localSheetId="3" hidden="1">#REF!</definedName>
    <definedName name="bbbb" localSheetId="29" hidden="1">#REF!</definedName>
    <definedName name="bbbb" hidden="1">#REF!</definedName>
    <definedName name="bbbbb" localSheetId="32" hidden="1">{#N/A,#N/A,FALSE,"O&amp;M by processes";#N/A,#N/A,FALSE,"Elec Act vs Bud";#N/A,#N/A,FALSE,"G&amp;A";#N/A,#N/A,FALSE,"BGS";#N/A,#N/A,FALSE,"Res Cost"}</definedName>
    <definedName name="bbbbb" localSheetId="6" hidden="1">{#N/A,#N/A,FALSE,"O&amp;M by processes";#N/A,#N/A,FALSE,"Elec Act vs Bud";#N/A,#N/A,FALSE,"G&amp;A";#N/A,#N/A,FALSE,"BGS";#N/A,#N/A,FALSE,"Res Cost"}</definedName>
    <definedName name="bbbbb" localSheetId="7" hidden="1">{#N/A,#N/A,FALSE,"O&amp;M by processes";#N/A,#N/A,FALSE,"Elec Act vs Bud";#N/A,#N/A,FALSE,"G&amp;A";#N/A,#N/A,FALSE,"BGS";#N/A,#N/A,FALSE,"Res Cost"}</definedName>
    <definedName name="bbbbb" localSheetId="3" hidden="1">{#N/A,#N/A,FALSE,"O&amp;M by processes";#N/A,#N/A,FALSE,"Elec Act vs Bud";#N/A,#N/A,FALSE,"G&amp;A";#N/A,#N/A,FALSE,"BGS";#N/A,#N/A,FALSE,"Res Cost"}</definedName>
    <definedName name="bbbbb" localSheetId="29" hidden="1">{#N/A,#N/A,FALSE,"O&amp;M by processes";#N/A,#N/A,FALSE,"Elec Act vs Bud";#N/A,#N/A,FALSE,"G&amp;A";#N/A,#N/A,FALSE,"BGS";#N/A,#N/A,FALSE,"Res Cost"}</definedName>
    <definedName name="bbbbb" localSheetId="47"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32" hidden="1">{#N/A,#N/A,FALSE,"O&amp;M by processes";#N/A,#N/A,FALSE,"Elec Act vs Bud";#N/A,#N/A,FALSE,"G&amp;A";#N/A,#N/A,FALSE,"BGS";#N/A,#N/A,FALSE,"Res Cost"}</definedName>
    <definedName name="bbc" localSheetId="6" hidden="1">{#N/A,#N/A,FALSE,"O&amp;M by processes";#N/A,#N/A,FALSE,"Elec Act vs Bud";#N/A,#N/A,FALSE,"G&amp;A";#N/A,#N/A,FALSE,"BGS";#N/A,#N/A,FALSE,"Res Cost"}</definedName>
    <definedName name="bbc" localSheetId="7" hidden="1">{#N/A,#N/A,FALSE,"O&amp;M by processes";#N/A,#N/A,FALSE,"Elec Act vs Bud";#N/A,#N/A,FALSE,"G&amp;A";#N/A,#N/A,FALSE,"BGS";#N/A,#N/A,FALSE,"Res Cost"}</definedName>
    <definedName name="bbc" localSheetId="3" hidden="1">{#N/A,#N/A,FALSE,"O&amp;M by processes";#N/A,#N/A,FALSE,"Elec Act vs Bud";#N/A,#N/A,FALSE,"G&amp;A";#N/A,#N/A,FALSE,"BGS";#N/A,#N/A,FALSE,"Res Cost"}</definedName>
    <definedName name="bbc" localSheetId="29" hidden="1">{#N/A,#N/A,FALSE,"O&amp;M by processes";#N/A,#N/A,FALSE,"Elec Act vs Bud";#N/A,#N/A,FALSE,"G&amp;A";#N/A,#N/A,FALSE,"BGS";#N/A,#N/A,FALSE,"Res Cost"}</definedName>
    <definedName name="bbc" localSheetId="47" hidden="1">{#N/A,#N/A,FALSE,"O&amp;M by processes";#N/A,#N/A,FALSE,"Elec Act vs Bud";#N/A,#N/A,FALSE,"G&amp;A";#N/A,#N/A,FALSE,"BGS";#N/A,#N/A,FALSE,"Res Cost"}</definedName>
    <definedName name="bbc" hidden="1">{#N/A,#N/A,FALSE,"O&amp;M by processes";#N/A,#N/A,FALSE,"Elec Act vs Bud";#N/A,#N/A,FALSE,"G&amp;A";#N/A,#N/A,FALSE,"BGS";#N/A,#N/A,FALSE,"Res Cost"}</definedName>
    <definedName name="bcd" localSheetId="1" hidden="1">{#N/A,#N/A,TRUE,"1990";#N/A,#N/A,TRUE,"1991";#N/A,#N/A,TRUE,"1992";#N/A,#N/A,TRUE,"1993"}</definedName>
    <definedName name="bcd" localSheetId="32" hidden="1">{#N/A,#N/A,TRUE,"1990";#N/A,#N/A,TRUE,"1991";#N/A,#N/A,TRUE,"1992";#N/A,#N/A,TRUE,"1993"}</definedName>
    <definedName name="bcd" localSheetId="6" hidden="1">{#N/A,#N/A,TRUE,"1990";#N/A,#N/A,TRUE,"1991";#N/A,#N/A,TRUE,"1992";#N/A,#N/A,TRUE,"1993"}</definedName>
    <definedName name="bcd" localSheetId="4" hidden="1">{#N/A,#N/A,TRUE,"1990";#N/A,#N/A,TRUE,"1991";#N/A,#N/A,TRUE,"1992";#N/A,#N/A,TRUE,"1993"}</definedName>
    <definedName name="bcd" localSheetId="5" hidden="1">{#N/A,#N/A,TRUE,"1990";#N/A,#N/A,TRUE,"1991";#N/A,#N/A,TRUE,"1992";#N/A,#N/A,TRUE,"1993"}</definedName>
    <definedName name="bcd" localSheetId="7" hidden="1">{#N/A,#N/A,TRUE,"1990";#N/A,#N/A,TRUE,"1991";#N/A,#N/A,TRUE,"1992";#N/A,#N/A,TRUE,"1993"}</definedName>
    <definedName name="bcd" localSheetId="3" hidden="1">{#N/A,#N/A,TRUE,"1990";#N/A,#N/A,TRUE,"1991";#N/A,#N/A,TRUE,"1992";#N/A,#N/A,TRUE,"1993"}</definedName>
    <definedName name="bcd" localSheetId="47" hidden="1">{#N/A,#N/A,TRUE,"1990";#N/A,#N/A,TRUE,"1991";#N/A,#N/A,TRUE,"1992";#N/A,#N/A,TRUE,"1993"}</definedName>
    <definedName name="bcd" hidden="1">{#N/A,#N/A,TRUE,"1990";#N/A,#N/A,TRUE,"1991";#N/A,#N/A,TRUE,"1992";#N/A,#N/A,TRUE,"1993"}</definedName>
    <definedName name="bcde" localSheetId="1" hidden="1">{"summary",#N/A,TRUE,"E93ADJ";"detail",#N/A,TRUE,"E93ADJ"}</definedName>
    <definedName name="bcde" localSheetId="32" hidden="1">{"summary",#N/A,TRUE,"E93ADJ";"detail",#N/A,TRUE,"E93ADJ"}</definedName>
    <definedName name="bcde" localSheetId="6" hidden="1">{"summary",#N/A,TRUE,"E93ADJ";"detail",#N/A,TRUE,"E93ADJ"}</definedName>
    <definedName name="bcde" localSheetId="4" hidden="1">{"summary",#N/A,TRUE,"E93ADJ";"detail",#N/A,TRUE,"E93ADJ"}</definedName>
    <definedName name="bcde" localSheetId="5" hidden="1">{"summary",#N/A,TRUE,"E93ADJ";"detail",#N/A,TRUE,"E93ADJ"}</definedName>
    <definedName name="bcde" localSheetId="7" hidden="1">{"summary",#N/A,TRUE,"E93ADJ";"detail",#N/A,TRUE,"E93ADJ"}</definedName>
    <definedName name="bcde" localSheetId="3" hidden="1">{"summary",#N/A,TRUE,"E93ADJ";"detail",#N/A,TRUE,"E93ADJ"}</definedName>
    <definedName name="bcde" localSheetId="47" hidden="1">{"summary",#N/A,TRUE,"E93ADJ";"detail",#N/A,TRUE,"E93ADJ"}</definedName>
    <definedName name="bcde" hidden="1">{"summary",#N/A,TRUE,"E93ADJ";"detail",#N/A,TRUE,"E93ADJ"}</definedName>
    <definedName name="Beg_Bal">#REF!</definedName>
    <definedName name="begretre" localSheetId="1" hidden="1">{#N/A,#N/A,FALSE,"OTHERINPUTS";#N/A,#N/A,FALSE,"DITRATEINPUTS";#N/A,#N/A,FALSE,"SUPPLIEDADJINPUT";#N/A,#N/A,FALSE,"TIMINGDIFFINPUTS";#N/A,#N/A,FALSE,"BR&amp;SUPADJ."}</definedName>
    <definedName name="begretre" localSheetId="32" hidden="1">{#N/A,#N/A,FALSE,"OTHERINPUTS";#N/A,#N/A,FALSE,"DITRATEINPUTS";#N/A,#N/A,FALSE,"SUPPLIEDADJINPUT";#N/A,#N/A,FALSE,"TIMINGDIFFINPUTS";#N/A,#N/A,FALSE,"BR&amp;SUPADJ."}</definedName>
    <definedName name="begretre" localSheetId="6" hidden="1">{#N/A,#N/A,FALSE,"OTHERINPUTS";#N/A,#N/A,FALSE,"DITRATEINPUTS";#N/A,#N/A,FALSE,"SUPPLIEDADJINPUT";#N/A,#N/A,FALSE,"TIMINGDIFFINPUTS";#N/A,#N/A,FALSE,"BR&amp;SUPADJ."}</definedName>
    <definedName name="begretre" localSheetId="4" hidden="1">{#N/A,#N/A,FALSE,"OTHERINPUTS";#N/A,#N/A,FALSE,"DITRATEINPUTS";#N/A,#N/A,FALSE,"SUPPLIEDADJINPUT";#N/A,#N/A,FALSE,"TIMINGDIFFINPUTS";#N/A,#N/A,FALSE,"BR&amp;SUPADJ."}</definedName>
    <definedName name="begretre" localSheetId="5" hidden="1">{#N/A,#N/A,FALSE,"OTHERINPUTS";#N/A,#N/A,FALSE,"DITRATEINPUTS";#N/A,#N/A,FALSE,"SUPPLIEDADJINPUT";#N/A,#N/A,FALSE,"TIMINGDIFFINPUTS";#N/A,#N/A,FALSE,"BR&amp;SUPADJ."}</definedName>
    <definedName name="begretre" localSheetId="7" hidden="1">{#N/A,#N/A,FALSE,"OTHERINPUTS";#N/A,#N/A,FALSE,"DITRATEINPUTS";#N/A,#N/A,FALSE,"SUPPLIEDADJINPUT";#N/A,#N/A,FALSE,"TIMINGDIFFINPUTS";#N/A,#N/A,FALSE,"BR&amp;SUPADJ."}</definedName>
    <definedName name="begretre" localSheetId="3" hidden="1">{#N/A,#N/A,FALSE,"OTHERINPUTS";#N/A,#N/A,FALSE,"DITRATEINPUTS";#N/A,#N/A,FALSE,"SUPPLIEDADJINPUT";#N/A,#N/A,FALSE,"TIMINGDIFFINPUTS";#N/A,#N/A,FALSE,"BR&amp;SUPADJ."}</definedName>
    <definedName name="begretre" localSheetId="29" hidden="1">{#N/A,#N/A,FALSE,"OTHERINPUTS";#N/A,#N/A,FALSE,"DITRATEINPUTS";#N/A,#N/A,FALSE,"SUPPLIEDADJINPUT";#N/A,#N/A,FALSE,"TIMINGDIFFINPUTS";#N/A,#N/A,FALSE,"BR&amp;SUPADJ."}</definedName>
    <definedName name="begretre" localSheetId="47" hidden="1">{#N/A,#N/A,FALSE,"OTHERINPUTS";#N/A,#N/A,FALSE,"DITRATEINPUTS";#N/A,#N/A,FALSE,"SUPPLIEDADJINPUT";#N/A,#N/A,FALSE,"TIMINGDIFFINPUTS";#N/A,#N/A,FALSE,"BR&amp;SUPADJ."}</definedName>
    <definedName name="begretre" hidden="1">{#N/A,#N/A,FALSE,"OTHERINPUTS";#N/A,#N/A,FALSE,"DITRATEINPUTS";#N/A,#N/A,FALSE,"SUPPLIEDADJINPUT";#N/A,#N/A,FALSE,"TIMINGDIFFINPUTS";#N/A,#N/A,FALSE,"BR&amp;SUPADJ."}</definedName>
    <definedName name="BETA" localSheetId="6">#REF!</definedName>
    <definedName name="BETA" localSheetId="3">#REF!</definedName>
    <definedName name="BETA">#REF!</definedName>
    <definedName name="BETA_CURR_SELECTED">#REF!</definedName>
    <definedName name="BETA_CURRENCIES">#REF!</definedName>
    <definedName name="BETA_CURRENCY">#REF!</definedName>
    <definedName name="BETA_DATA_FIELDS" localSheetId="6">#REF!</definedName>
    <definedName name="BETA_DATA_FIELDS" localSheetId="3">#REF!</definedName>
    <definedName name="BETA_DATA_FIELDS">#REF!</definedName>
    <definedName name="BETA_OVERRIDE_FIELDS">#REF!</definedName>
    <definedName name="BETA_OVERRIDE_VALUES">#REF!</definedName>
    <definedName name="BETA_PERIOD">#REF!</definedName>
    <definedName name="BETA_PERIODS">#REF!</definedName>
    <definedName name="betaadj" localSheetId="6">#REF!</definedName>
    <definedName name="betaadj" localSheetId="3">#REF!</definedName>
    <definedName name="betaadj">#REF!</definedName>
    <definedName name="Bk_Tax_OH_Columns" localSheetId="3">#REF!</definedName>
    <definedName name="Bk_Tax_OH_Columns">#REF!</definedName>
    <definedName name="Bk_Tax_OH_Report" localSheetId="3">#REF!</definedName>
    <definedName name="Bk_Tax_OH_Report">#REF!</definedName>
    <definedName name="Bk_Tax_OH_Rows" localSheetId="3">#REF!</definedName>
    <definedName name="Bk_Tax_OH_Rows">#REF!</definedName>
    <definedName name="bl" localSheetId="1" hidden="1">#REF!</definedName>
    <definedName name="bl" localSheetId="5" hidden="1">#REF!</definedName>
    <definedName name="bl" localSheetId="3" hidden="1">#REF!</definedName>
    <definedName name="bl" localSheetId="29" hidden="1">#REF!</definedName>
    <definedName name="bl" hidden="1">#REF!</definedName>
    <definedName name="Blank" localSheetId="1" hidden="1">{"ARK_JURIS_FUEL",#N/A,FALSE,"Ark_Fuel&amp;Rev"}</definedName>
    <definedName name="Blank" localSheetId="32" hidden="1">{"ARK_JURIS_FUEL",#N/A,FALSE,"Ark_Fuel&amp;Rev"}</definedName>
    <definedName name="Blank" localSheetId="6" hidden="1">{"ARK_JURIS_FUEL",#N/A,FALSE,"Ark_Fuel&amp;Rev"}</definedName>
    <definedName name="Blank" localSheetId="4" hidden="1">{"ARK_JURIS_FUEL",#N/A,FALSE,"Ark_Fuel&amp;Rev"}</definedName>
    <definedName name="Blank" localSheetId="5" hidden="1">{"ARK_JURIS_FUEL",#N/A,FALSE,"Ark_Fuel&amp;Rev"}</definedName>
    <definedName name="Blank" localSheetId="7" hidden="1">{"ARK_JURIS_FUEL",#N/A,FALSE,"Ark_Fuel&amp;Rev"}</definedName>
    <definedName name="Blank" localSheetId="3" hidden="1">{"ARK_JURIS_FUEL",#N/A,FALSE,"Ark_Fuel&amp;Rev"}</definedName>
    <definedName name="Blank" localSheetId="47" hidden="1">{"ARK_JURIS_FUEL",#N/A,FALSE,"Ark_Fuel&amp;Rev"}</definedName>
    <definedName name="Blank" hidden="1">{"ARK_JURIS_FUEL",#N/A,FALSE,"Ark_Fuel&amp;Rev"}</definedName>
    <definedName name="bloomberg_footnote">#REF!</definedName>
    <definedName name="BLPH2" hidden="1">#REF!</definedName>
    <definedName name="BLPH3" hidden="1">#REF!</definedName>
    <definedName name="BLPH4" hidden="1">#REF!</definedName>
    <definedName name="BLPH5" hidden="1">#REF!</definedName>
    <definedName name="BLPH6" hidden="1">#REF!</definedName>
    <definedName name="bnca" localSheetId="1" hidden="1">#REF!</definedName>
    <definedName name="bnca" localSheetId="5" hidden="1">#REF!</definedName>
    <definedName name="bnca" localSheetId="3" hidden="1">#REF!</definedName>
    <definedName name="bnca" localSheetId="29" hidden="1">#REF!</definedName>
    <definedName name="bnca" hidden="1">#REF!</definedName>
    <definedName name="bned" localSheetId="5" hidden="1">#REF!</definedName>
    <definedName name="bned" localSheetId="3" hidden="1">#REF!</definedName>
    <definedName name="bned" localSheetId="29" hidden="1">#REF!</definedName>
    <definedName name="bned" hidden="1">#REF!</definedName>
    <definedName name="BODER8" localSheetId="3">#REF!</definedName>
    <definedName name="BODER8">#REF!</definedName>
    <definedName name="bond_rating">#REF!</definedName>
    <definedName name="bond_rating_h">#REF!</definedName>
    <definedName name="bond_rating_vh">#REF!</definedName>
    <definedName name="bond_yield_summary">#REF!</definedName>
    <definedName name="bond_yield_summary_h">#REF!</definedName>
    <definedName name="bond_yield_summary_vh">#REF!</definedName>
    <definedName name="Book_Depr_Rate_10" localSheetId="3">#REF!</definedName>
    <definedName name="Book_Depr_Rate_10">#REF!</definedName>
    <definedName name="Book_Depr_Rate_10_WGS" localSheetId="3">#REF!</definedName>
    <definedName name="Book_Depr_Rate_10_WGS">#REF!</definedName>
    <definedName name="Book_Depr_Rate_15E" localSheetId="3">#REF!</definedName>
    <definedName name="Book_Depr_Rate_15E">#REF!</definedName>
    <definedName name="Book_Depr_Rate_15G" localSheetId="3">#REF!</definedName>
    <definedName name="Book_Depr_Rate_15G">#REF!</definedName>
    <definedName name="Book_Depr_Rate_15S" localSheetId="3">#REF!</definedName>
    <definedName name="Book_Depr_Rate_15S">#REF!</definedName>
    <definedName name="Book_Depr_Rate_5" localSheetId="3">#REF!</definedName>
    <definedName name="Book_Depr_Rate_5">#REF!</definedName>
    <definedName name="Book_Depr_Rate_5_WGS" localSheetId="3">#REF!</definedName>
    <definedName name="Book_Depr_Rate_5_WGS">#REF!</definedName>
    <definedName name="Book_Depr_Rate_5NU" localSheetId="3">#REF!</definedName>
    <definedName name="Book_Depr_Rate_5NU">#REF!</definedName>
    <definedName name="borst" localSheetId="5" hidden="1">#REF!</definedName>
    <definedName name="borst" localSheetId="3" hidden="1">#REF!</definedName>
    <definedName name="borst" localSheetId="29" hidden="1">#REF!</definedName>
    <definedName name="borst" hidden="1">#REF!</definedName>
    <definedName name="Bruce" localSheetId="1" hidden="1">{#N/A,#N/A,FALSE,"SCA";#N/A,#N/A,FALSE,"NCA";#N/A,#N/A,FALSE,"SAZ";#N/A,#N/A,FALSE,"CAZ";#N/A,#N/A,FALSE,"SNV";#N/A,#N/A,FALSE,"NNV";#N/A,#N/A,FALSE,"PP";#N/A,#N/A,FALSE,"SA"}</definedName>
    <definedName name="Bruce" localSheetId="32" hidden="1">{#N/A,#N/A,FALSE,"SCA";#N/A,#N/A,FALSE,"NCA";#N/A,#N/A,FALSE,"SAZ";#N/A,#N/A,FALSE,"CAZ";#N/A,#N/A,FALSE,"SNV";#N/A,#N/A,FALSE,"NNV";#N/A,#N/A,FALSE,"PP";#N/A,#N/A,FALSE,"SA"}</definedName>
    <definedName name="Bruce" localSheetId="6" hidden="1">{#N/A,#N/A,FALSE,"SCA";#N/A,#N/A,FALSE,"NCA";#N/A,#N/A,FALSE,"SAZ";#N/A,#N/A,FALSE,"CAZ";#N/A,#N/A,FALSE,"SNV";#N/A,#N/A,FALSE,"NNV";#N/A,#N/A,FALSE,"PP";#N/A,#N/A,FALSE,"SA"}</definedName>
    <definedName name="Bruce" localSheetId="4" hidden="1">{#N/A,#N/A,FALSE,"SCA";#N/A,#N/A,FALSE,"NCA";#N/A,#N/A,FALSE,"SAZ";#N/A,#N/A,FALSE,"CAZ";#N/A,#N/A,FALSE,"SNV";#N/A,#N/A,FALSE,"NNV";#N/A,#N/A,FALSE,"PP";#N/A,#N/A,FALSE,"SA"}</definedName>
    <definedName name="Bruce" localSheetId="5" hidden="1">{#N/A,#N/A,FALSE,"SCA";#N/A,#N/A,FALSE,"NCA";#N/A,#N/A,FALSE,"SAZ";#N/A,#N/A,FALSE,"CAZ";#N/A,#N/A,FALSE,"SNV";#N/A,#N/A,FALSE,"NNV";#N/A,#N/A,FALSE,"PP";#N/A,#N/A,FALSE,"SA"}</definedName>
    <definedName name="Bruce" localSheetId="7" hidden="1">{#N/A,#N/A,FALSE,"SCA";#N/A,#N/A,FALSE,"NCA";#N/A,#N/A,FALSE,"SAZ";#N/A,#N/A,FALSE,"CAZ";#N/A,#N/A,FALSE,"SNV";#N/A,#N/A,FALSE,"NNV";#N/A,#N/A,FALSE,"PP";#N/A,#N/A,FALSE,"SA"}</definedName>
    <definedName name="Bruce" localSheetId="3" hidden="1">{#N/A,#N/A,FALSE,"SCA";#N/A,#N/A,FALSE,"NCA";#N/A,#N/A,FALSE,"SAZ";#N/A,#N/A,FALSE,"CAZ";#N/A,#N/A,FALSE,"SNV";#N/A,#N/A,FALSE,"NNV";#N/A,#N/A,FALSE,"PP";#N/A,#N/A,FALSE,"SA"}</definedName>
    <definedName name="Bruce" localSheetId="47" hidden="1">{#N/A,#N/A,FALSE,"SCA";#N/A,#N/A,FALSE,"NCA";#N/A,#N/A,FALSE,"SAZ";#N/A,#N/A,FALSE,"CAZ";#N/A,#N/A,FALSE,"SNV";#N/A,#N/A,FALSE,"NNV";#N/A,#N/A,FALSE,"PP";#N/A,#N/A,FALSE,"SA"}</definedName>
    <definedName name="Bruce" hidden="1">{#N/A,#N/A,FALSE,"SCA";#N/A,#N/A,FALSE,"NCA";#N/A,#N/A,FALSE,"SAZ";#N/A,#N/A,FALSE,"CAZ";#N/A,#N/A,FALSE,"SNV";#N/A,#N/A,FALSE,"NNV";#N/A,#N/A,FALSE,"PP";#N/A,#N/A,FALSE,"SA"}</definedName>
    <definedName name="Bruce1" localSheetId="1" hidden="1">{#N/A,#N/A,FALSE,"Page 1";#N/A,#N/A,FALSE,"Page 2";#N/A,#N/A,FALSE,"Page 3";#N/A,#N/A,FALSE,"Page 4";#N/A,#N/A,FALSE,"Page 5";#N/A,#N/A,FALSE,"Page 6";#N/A,#N/A,FALSE,"Page 7";#N/A,#N/A,FALSE,"Page 8";#N/A,#N/A,FALSE,"Page 9";#N/A,#N/A,FALSE,"PG8WP";#N/A,#N/A,FALSE,"PG9WP"}</definedName>
    <definedName name="Bruce1" localSheetId="32" hidden="1">{#N/A,#N/A,FALSE,"Page 1";#N/A,#N/A,FALSE,"Page 2";#N/A,#N/A,FALSE,"Page 3";#N/A,#N/A,FALSE,"Page 4";#N/A,#N/A,FALSE,"Page 5";#N/A,#N/A,FALSE,"Page 6";#N/A,#N/A,FALSE,"Page 7";#N/A,#N/A,FALSE,"Page 8";#N/A,#N/A,FALSE,"Page 9";#N/A,#N/A,FALSE,"PG8WP";#N/A,#N/A,FALSE,"PG9WP"}</definedName>
    <definedName name="Bruce1" localSheetId="6" hidden="1">{#N/A,#N/A,FALSE,"Page 1";#N/A,#N/A,FALSE,"Page 2";#N/A,#N/A,FALSE,"Page 3";#N/A,#N/A,FALSE,"Page 4";#N/A,#N/A,FALSE,"Page 5";#N/A,#N/A,FALSE,"Page 6";#N/A,#N/A,FALSE,"Page 7";#N/A,#N/A,FALSE,"Page 8";#N/A,#N/A,FALSE,"Page 9";#N/A,#N/A,FALSE,"PG8WP";#N/A,#N/A,FALSE,"PG9WP"}</definedName>
    <definedName name="Bruce1" localSheetId="4" hidden="1">{#N/A,#N/A,FALSE,"Page 1";#N/A,#N/A,FALSE,"Page 2";#N/A,#N/A,FALSE,"Page 3";#N/A,#N/A,FALSE,"Page 4";#N/A,#N/A,FALSE,"Page 5";#N/A,#N/A,FALSE,"Page 6";#N/A,#N/A,FALSE,"Page 7";#N/A,#N/A,FALSE,"Page 8";#N/A,#N/A,FALSE,"Page 9";#N/A,#N/A,FALSE,"PG8WP";#N/A,#N/A,FALSE,"PG9WP"}</definedName>
    <definedName name="Bruce1" localSheetId="5" hidden="1">{#N/A,#N/A,FALSE,"Page 1";#N/A,#N/A,FALSE,"Page 2";#N/A,#N/A,FALSE,"Page 3";#N/A,#N/A,FALSE,"Page 4";#N/A,#N/A,FALSE,"Page 5";#N/A,#N/A,FALSE,"Page 6";#N/A,#N/A,FALSE,"Page 7";#N/A,#N/A,FALSE,"Page 8";#N/A,#N/A,FALSE,"Page 9";#N/A,#N/A,FALSE,"PG8WP";#N/A,#N/A,FALSE,"PG9WP"}</definedName>
    <definedName name="Bruce1" localSheetId="7" hidden="1">{#N/A,#N/A,FALSE,"Page 1";#N/A,#N/A,FALSE,"Page 2";#N/A,#N/A,FALSE,"Page 3";#N/A,#N/A,FALSE,"Page 4";#N/A,#N/A,FALSE,"Page 5";#N/A,#N/A,FALSE,"Page 6";#N/A,#N/A,FALSE,"Page 7";#N/A,#N/A,FALSE,"Page 8";#N/A,#N/A,FALSE,"Page 9";#N/A,#N/A,FALSE,"PG8WP";#N/A,#N/A,FALSE,"PG9WP"}</definedName>
    <definedName name="Bruce1" localSheetId="3" hidden="1">{#N/A,#N/A,FALSE,"Page 1";#N/A,#N/A,FALSE,"Page 2";#N/A,#N/A,FALSE,"Page 3";#N/A,#N/A,FALSE,"Page 4";#N/A,#N/A,FALSE,"Page 5";#N/A,#N/A,FALSE,"Page 6";#N/A,#N/A,FALSE,"Page 7";#N/A,#N/A,FALSE,"Page 8";#N/A,#N/A,FALSE,"Page 9";#N/A,#N/A,FALSE,"PG8WP";#N/A,#N/A,FALSE,"PG9WP"}</definedName>
    <definedName name="Bruce1" localSheetId="47" hidden="1">{#N/A,#N/A,FALSE,"Page 1";#N/A,#N/A,FALSE,"Page 2";#N/A,#N/A,FALSE,"Page 3";#N/A,#N/A,FALSE,"Page 4";#N/A,#N/A,FALSE,"Page 5";#N/A,#N/A,FALSE,"Page 6";#N/A,#N/A,FALSE,"Page 7";#N/A,#N/A,FALSE,"Page 8";#N/A,#N/A,FALSE,"Page 9";#N/A,#N/A,FALSE,"PG8WP";#N/A,#N/A,FALSE,"PG9WP"}</definedName>
    <definedName name="Bruce1" hidden="1">{#N/A,#N/A,FALSE,"Page 1";#N/A,#N/A,FALSE,"Page 2";#N/A,#N/A,FALSE,"Page 3";#N/A,#N/A,FALSE,"Page 4";#N/A,#N/A,FALSE,"Page 5";#N/A,#N/A,FALSE,"Page 6";#N/A,#N/A,FALSE,"Page 7";#N/A,#N/A,FALSE,"Page 8";#N/A,#N/A,FALSE,"Page 9";#N/A,#N/A,FALSE,"PG8WP";#N/A,#N/A,FALSE,"PG9WP"}</definedName>
    <definedName name="BUSUNIT">#REF!</definedName>
    <definedName name="BUTLER" localSheetId="6">#REF!</definedName>
    <definedName name="BUTLER" localSheetId="3">#REF!</definedName>
    <definedName name="BUTLER">#REF!</definedName>
    <definedName name="bvvrr" localSheetId="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3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4"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2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4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c.LTMYear" localSheetId="6" hidden="1">#REF!</definedName>
    <definedName name="c.LTMYear" localSheetId="7" hidden="1">#REF!</definedName>
    <definedName name="c.LTMYear" hidden="1">#REF!</definedName>
    <definedName name="C_" localSheetId="6">#REF!</definedName>
    <definedName name="C_" localSheetId="3">#REF!</definedName>
    <definedName name="C_">#REF!</definedName>
    <definedName name="C_A">OFFSET(#REF!,0,0,#REF!-3,1)</definedName>
    <definedName name="C_Aa">OFFSET(#REF!,0,0,#REF!-3,1)</definedName>
    <definedName name="C_Aaa">OFFSET(#REF!,0,0,#REF!-3,1)</definedName>
    <definedName name="C_Avg">OFFSET(#REF!,0,0,#REF!-3,1)</definedName>
    <definedName name="C_Baa">OFFSET(#REF!,0,0,#REF!-3,1)</definedName>
    <definedName name="ca" localSheetId="1" hidden="1">#REF!</definedName>
    <definedName name="ca" localSheetId="5" hidden="1">#REF!</definedName>
    <definedName name="ca" localSheetId="3" hidden="1">#REF!</definedName>
    <definedName name="ca" localSheetId="29" hidden="1">#REF!</definedName>
    <definedName name="ca" hidden="1">#REF!</definedName>
    <definedName name="cadfed" localSheetId="3">#REF!</definedName>
    <definedName name="cadfed">#REF!</definedName>
    <definedName name="calcDiv1">#REF!</definedName>
    <definedName name="calcDiv2">#REF!</definedName>
    <definedName name="calcDiv3">#REF!</definedName>
    <definedName name="calcDiv4">#REF!</definedName>
    <definedName name="calcEDiv01">#REF!</definedName>
    <definedName name="calcEDiv02">#REF!</definedName>
    <definedName name="calcEDiv03">#REF!</definedName>
    <definedName name="calcEDiv04">#REF!</definedName>
    <definedName name="calcEDiv05">#REF!</definedName>
    <definedName name="calcEDiv06">#REF!</definedName>
    <definedName name="calcEDiv07">#REF!</definedName>
    <definedName name="calcEDiv08">#REF!</definedName>
    <definedName name="calcEDiv09" localSheetId="6">#REF!</definedName>
    <definedName name="calcEDiv09">#REF!</definedName>
    <definedName name="calcEDiv10">#REF!</definedName>
    <definedName name="calcEDiv11">#REF!</definedName>
    <definedName name="calcEDiv12">#REF!</definedName>
    <definedName name="calcEDiv13">#REF!</definedName>
    <definedName name="calcEDiv14">#REF!</definedName>
    <definedName name="calcEDiv15">#REF!</definedName>
    <definedName name="calcEDiv16">#REF!</definedName>
    <definedName name="calcEDiv17">#REF!</definedName>
    <definedName name="calcEDiv18">#REF!</definedName>
    <definedName name="calcEDiv19">#REF!</definedName>
    <definedName name="calcEDiv20">#REF!</definedName>
    <definedName name="calcEDiv21">#REF!</definedName>
    <definedName name="calcEDiv22">#REF!</definedName>
    <definedName name="calcEDiv23">#REF!</definedName>
    <definedName name="calcEDiv24">#REF!</definedName>
    <definedName name="calcEDiv25">#REF!</definedName>
    <definedName name="Calculation_of_Ok_Juris_Cost_of_Fuel">#REF!</definedName>
    <definedName name="can" localSheetId="32" hidden="1">{#N/A,#N/A,FALSE,"O&amp;M by processes";#N/A,#N/A,FALSE,"Elec Act vs Bud";#N/A,#N/A,FALSE,"G&amp;A";#N/A,#N/A,FALSE,"BGS";#N/A,#N/A,FALSE,"Res Cost"}</definedName>
    <definedName name="can" localSheetId="6" hidden="1">{#N/A,#N/A,FALSE,"O&amp;M by processes";#N/A,#N/A,FALSE,"Elec Act vs Bud";#N/A,#N/A,FALSE,"G&amp;A";#N/A,#N/A,FALSE,"BGS";#N/A,#N/A,FALSE,"Res Cost"}</definedName>
    <definedName name="can" localSheetId="7" hidden="1">{#N/A,#N/A,FALSE,"O&amp;M by processes";#N/A,#N/A,FALSE,"Elec Act vs Bud";#N/A,#N/A,FALSE,"G&amp;A";#N/A,#N/A,FALSE,"BGS";#N/A,#N/A,FALSE,"Res Cost"}</definedName>
    <definedName name="can" localSheetId="3" hidden="1">{#N/A,#N/A,FALSE,"O&amp;M by processes";#N/A,#N/A,FALSE,"Elec Act vs Bud";#N/A,#N/A,FALSE,"G&amp;A";#N/A,#N/A,FALSE,"BGS";#N/A,#N/A,FALSE,"Res Cost"}</definedName>
    <definedName name="can" localSheetId="29" hidden="1">{#N/A,#N/A,FALSE,"O&amp;M by processes";#N/A,#N/A,FALSE,"Elec Act vs Bud";#N/A,#N/A,FALSE,"G&amp;A";#N/A,#N/A,FALSE,"BGS";#N/A,#N/A,FALSE,"Res Cost"}</definedName>
    <definedName name="can" localSheetId="47" hidden="1">{#N/A,#N/A,FALSE,"O&amp;M by processes";#N/A,#N/A,FALSE,"Elec Act vs Bud";#N/A,#N/A,FALSE,"G&amp;A";#N/A,#N/A,FALSE,"BGS";#N/A,#N/A,FALSE,"Res Cost"}</definedName>
    <definedName name="can" hidden="1">{#N/A,#N/A,FALSE,"O&amp;M by processes";#N/A,#N/A,FALSE,"Elec Act vs Bud";#N/A,#N/A,FALSE,"G&amp;A";#N/A,#N/A,FALSE,"BGS";#N/A,#N/A,FALSE,"Res Cost"}</definedName>
    <definedName name="CapCash">#REF!</definedName>
    <definedName name="CapCashTic">#REF!</definedName>
    <definedName name="capital_structure">#REF!</definedName>
    <definedName name="capital_structure_h">#REF!</definedName>
    <definedName name="capital_structure_vh">#REF!</definedName>
    <definedName name="capitalization">#REF!</definedName>
    <definedName name="CapSpending">#REF!</definedName>
    <definedName name="CashFlow">#REF!</definedName>
    <definedName name="cbwe" localSheetId="1" hidden="1">#REF!</definedName>
    <definedName name="cbwe" localSheetId="5" hidden="1">#REF!</definedName>
    <definedName name="cbwe" localSheetId="3" hidden="1">#REF!</definedName>
    <definedName name="cbwe" localSheetId="29" hidden="1">#REF!</definedName>
    <definedName name="cbwe" hidden="1">#REF!</definedName>
    <definedName name="CBWorkbookPriority" hidden="1">-1523877792</definedName>
    <definedName name="CC" localSheetId="6">#REF!</definedName>
    <definedName name="CC" localSheetId="3">#REF!</definedName>
    <definedName name="CC">#REF!</definedName>
    <definedName name="CCC" localSheetId="3">#REF!</definedName>
    <definedName name="CCC">#REF!</definedName>
    <definedName name="cccc" localSheetId="32" hidden="1">{#N/A,#N/A,FALSE,"O&amp;M by processes";#N/A,#N/A,FALSE,"Elec Act vs Bud";#N/A,#N/A,FALSE,"G&amp;A";#N/A,#N/A,FALSE,"BGS";#N/A,#N/A,FALSE,"Res Cost"}</definedName>
    <definedName name="cccc" localSheetId="6" hidden="1">{#N/A,#N/A,FALSE,"O&amp;M by processes";#N/A,#N/A,FALSE,"Elec Act vs Bud";#N/A,#N/A,FALSE,"G&amp;A";#N/A,#N/A,FALSE,"BGS";#N/A,#N/A,FALSE,"Res Cost"}</definedName>
    <definedName name="cccc" localSheetId="7" hidden="1">{#N/A,#N/A,FALSE,"O&amp;M by processes";#N/A,#N/A,FALSE,"Elec Act vs Bud";#N/A,#N/A,FALSE,"G&amp;A";#N/A,#N/A,FALSE,"BGS";#N/A,#N/A,FALSE,"Res Cost"}</definedName>
    <definedName name="cccc" localSheetId="3" hidden="1">{#N/A,#N/A,FALSE,"O&amp;M by processes";#N/A,#N/A,FALSE,"Elec Act vs Bud";#N/A,#N/A,FALSE,"G&amp;A";#N/A,#N/A,FALSE,"BGS";#N/A,#N/A,FALSE,"Res Cost"}</definedName>
    <definedName name="cccc" localSheetId="29" hidden="1">{#N/A,#N/A,FALSE,"O&amp;M by processes";#N/A,#N/A,FALSE,"Elec Act vs Bud";#N/A,#N/A,FALSE,"G&amp;A";#N/A,#N/A,FALSE,"BGS";#N/A,#N/A,FALSE,"Res Cost"}</definedName>
    <definedName name="cccc" localSheetId="47" hidden="1">{#N/A,#N/A,FALSE,"O&amp;M by processes";#N/A,#N/A,FALSE,"Elec Act vs Bud";#N/A,#N/A,FALSE,"G&amp;A";#N/A,#N/A,FALSE,"BGS";#N/A,#N/A,FALSE,"Res Cost"}</definedName>
    <definedName name="cccc" hidden="1">{#N/A,#N/A,FALSE,"O&amp;M by processes";#N/A,#N/A,FALSE,"Elec Act vs Bud";#N/A,#N/A,FALSE,"G&amp;A";#N/A,#N/A,FALSE,"BGS";#N/A,#N/A,FALSE,"Res Cost"}</definedName>
    <definedName name="cdcfcomph" localSheetId="6">#REF!</definedName>
    <definedName name="cdcfcomph" localSheetId="3">#REF!</definedName>
    <definedName name="cdcfcomph">#REF!</definedName>
    <definedName name="cdcfcompl" localSheetId="3">#REF!</definedName>
    <definedName name="cdcfcompl">#REF!</definedName>
    <definedName name="cdcfcowith" localSheetId="3">#REF!</definedName>
    <definedName name="cdcfcowith">#REF!</definedName>
    <definedName name="cdcfcowitl" localSheetId="3">#REF!</definedName>
    <definedName name="cdcfcowitl">#REF!</definedName>
    <definedName name="cdcfh" localSheetId="3">#REF!</definedName>
    <definedName name="cdcfh">#REF!</definedName>
    <definedName name="cdcfl" localSheetId="3">#REF!</definedName>
    <definedName name="cdcfl">#REF!</definedName>
    <definedName name="cdiv1">#REF!</definedName>
    <definedName name="cdiv2">#REF!</definedName>
    <definedName name="cdiv3">#REF!</definedName>
    <definedName name="cdiv4">#REF!</definedName>
    <definedName name="Central_Only" localSheetId="6">#REF!</definedName>
    <definedName name="Central_Only" localSheetId="3">#REF!</definedName>
    <definedName name="Central_Only">#REF!</definedName>
    <definedName name="CF_CAP_WP">#REF!</definedName>
    <definedName name="cgcoe" localSheetId="6">#REF!</definedName>
    <definedName name="cgcoe" localSheetId="3">#REF!</definedName>
    <definedName name="cgcoe">#REF!</definedName>
    <definedName name="chj" localSheetId="1" hidden="1">#REF!</definedName>
    <definedName name="chj" localSheetId="5" hidden="1">#REF!</definedName>
    <definedName name="chj" localSheetId="3" hidden="1">#REF!</definedName>
    <definedName name="chj" localSheetId="29" hidden="1">#REF!</definedName>
    <definedName name="chj" hidden="1">#REF!</definedName>
    <definedName name="chy" localSheetId="3">#REF!</definedName>
    <definedName name="chy">#REF!</definedName>
    <definedName name="CHY_ACCUM_RES_REPORT" localSheetId="3">#REF!</definedName>
    <definedName name="CHY_ACCUM_RES_REPORT">#REF!</definedName>
    <definedName name="CHY_CUST_ADV_COLUMNS" localSheetId="3">#REF!</definedName>
    <definedName name="CHY_CUST_ADV_COLUMNS">#REF!</definedName>
    <definedName name="CHY_CUST_ADV_REPORT" localSheetId="3">#REF!</definedName>
    <definedName name="CHY_CUST_ADV_REPORT">#REF!</definedName>
    <definedName name="CHY_CUST_ADV_ROWS" localSheetId="3">#REF!</definedName>
    <definedName name="CHY_CUST_ADV_ROWS">#REF!</definedName>
    <definedName name="CHY_DCAS_ACRS" localSheetId="3">#REF!</definedName>
    <definedName name="CHY_DCAS_ACRS">#REF!</definedName>
    <definedName name="CHY_DCAS_ADR" localSheetId="3">#REF!</definedName>
    <definedName name="CHY_DCAS_ADR">#REF!</definedName>
    <definedName name="CHY_DCAS_COLUMNS" localSheetId="3">#REF!</definedName>
    <definedName name="CHY_DCAS_COLUMNS">#REF!</definedName>
    <definedName name="CHY_DCAS_DDB" localSheetId="3">#REF!</definedName>
    <definedName name="CHY_DCAS_DDB">#REF!</definedName>
    <definedName name="CHY_DCAS_DEPR" localSheetId="3">#REF!</definedName>
    <definedName name="CHY_DCAS_DEPR">#REF!</definedName>
    <definedName name="CHY_DCAS_MACRS" localSheetId="3">#REF!</definedName>
    <definedName name="CHY_DCAS_MACRS">#REF!</definedName>
    <definedName name="CHY_DCAS_NONDEPR" localSheetId="3">#REF!</definedName>
    <definedName name="CHY_DCAS_NONDEPR">#REF!</definedName>
    <definedName name="CHY_DCAS_ROWS" localSheetId="3">#REF!</definedName>
    <definedName name="CHY_DCAS_ROWS">#REF!</definedName>
    <definedName name="CHY_DCAS_STLINE" localSheetId="3">#REF!</definedName>
    <definedName name="CHY_DCAS_STLINE">#REF!</definedName>
    <definedName name="CHY_DEF_TAX_ANAL_ROWS" localSheetId="3">#REF!</definedName>
    <definedName name="CHY_DEF_TAX_ANAL_ROWS">#REF!</definedName>
    <definedName name="CHY_DEPR_CAP_ANAL_REPORT" localSheetId="3">#REF!</definedName>
    <definedName name="CHY_DEPR_CAP_ANAL_REPORT">#REF!</definedName>
    <definedName name="CHY_PPE_COLUMNS" localSheetId="3">#REF!</definedName>
    <definedName name="CHY_PPE_COLUMNS">#REF!</definedName>
    <definedName name="CHY_PPE_REPORT" localSheetId="3">#REF!</definedName>
    <definedName name="CHY_PPE_REPORT">#REF!</definedName>
    <definedName name="CHY_PPE_ROWS" localSheetId="3">#REF!</definedName>
    <definedName name="CHY_PPE_ROWS">#REF!</definedName>
    <definedName name="CHY_RAR" localSheetId="3">#REF!</definedName>
    <definedName name="CHY_RAR">#REF!</definedName>
    <definedName name="CHY_RAR_DETAIL" localSheetId="3">#REF!</definedName>
    <definedName name="CHY_RAR_DETAIL">#REF!</definedName>
    <definedName name="CHY_RAR_ROWS" localSheetId="3">#REF!</definedName>
    <definedName name="CHY_RAR_ROWS">#REF!</definedName>
    <definedName name="CHY_RES" localSheetId="3">#REF!</definedName>
    <definedName name="CHY_RES">#REF!</definedName>
    <definedName name="CHY_RES_ADDS" localSheetId="3">#REF!</definedName>
    <definedName name="CHY_RES_ADDS">#REF!</definedName>
    <definedName name="CHY_RES_COLUMNS" localSheetId="3">#REF!</definedName>
    <definedName name="CHY_RES_COLUMNS">#REF!</definedName>
    <definedName name="CHY_RES_DEDUCTS" localSheetId="3">#REF!</definedName>
    <definedName name="CHY_RES_DEDUCTS">#REF!</definedName>
    <definedName name="CHY_RES_ROWS" localSheetId="3">#REF!</definedName>
    <definedName name="CHY_RES_ROWS">#REF!</definedName>
    <definedName name="CHY_ROW_DEF_TAX_ANAL_REPORT" localSheetId="3">#REF!</definedName>
    <definedName name="CHY_ROW_DEF_TAX_ANAL_REPORT">#REF!</definedName>
    <definedName name="CHY_TAX_BASIS_ADD_REPORT" localSheetId="3">#REF!</definedName>
    <definedName name="CHY_TAX_BASIS_ADD_REPORT">#REF!</definedName>
    <definedName name="chyfbAMT" localSheetId="3">'2.4 OpCo Proxy Cap Str'!AmtTable</definedName>
    <definedName name="chyfbAMT">#REF!</definedName>
    <definedName name="chyfbDT" localSheetId="3">'2.4 OpCo Proxy Cap Str'!DTTable</definedName>
    <definedName name="chyfbDT">#REF!</definedName>
    <definedName name="CHYMARAMT" localSheetId="3">'2.4 OpCo Proxy Cap Str'!AmtTable</definedName>
    <definedName name="CHYMARAMT">#REF!</definedName>
    <definedName name="CHYMARDT" localSheetId="3">'2.4 OpCo Proxy Cap Str'!DTTable</definedName>
    <definedName name="CHYMARDT">#REF!</definedName>
    <definedName name="CIQANR_54746e34064d474d99f979470604f0cb" localSheetId="3" hidden="1">#REF!</definedName>
    <definedName name="CIQANR_54746e34064d474d99f979470604f0cb" localSheetId="29" hidden="1">#REF!</definedName>
    <definedName name="CIQANR_54746e34064d474d99f979470604f0cb" localSheetId="47" hidden="1">#REF!</definedName>
    <definedName name="CIQANR_54746e34064d474d99f979470604f0cb" hidden="1">#REF!</definedName>
    <definedName name="CIQANR_9170e773fe574b34ba3f8c73c13a53ef" localSheetId="6" hidden="1">#REF!</definedName>
    <definedName name="CIQANR_9170e773fe574b34ba3f8c73c13a53ef" localSheetId="7" hidden="1">#REF!</definedName>
    <definedName name="CIQANR_9170e773fe574b34ba3f8c73c13a53ef" localSheetId="47" hidden="1">#REF!</definedName>
    <definedName name="CIQANR_9170e773fe574b34ba3f8c73c13a53ef" hidden="1">#REF!</definedName>
    <definedName name="CIQWBGuid" hidden="1">"0a162ba8-f85b-49e3-88c3-69ce2b8033eb"</definedName>
    <definedName name="CIQWBInfo" hidden="1">"{ ""CIQVersion"":""9.45.614.5792"" }"</definedName>
    <definedName name="client_debt_cost">#REF!</definedName>
    <definedName name="client_deemed_d_v">#REF!</definedName>
    <definedName name="client_deemed_e_v">#REF!</definedName>
    <definedName name="client_deemed_p_v">#REF!</definedName>
    <definedName name="client_name">#REF!</definedName>
    <definedName name="client_pref_cost">#REF!</definedName>
    <definedName name="co_number">#REF!</definedName>
    <definedName name="codcfh" localSheetId="6">#REF!</definedName>
    <definedName name="codcfh" localSheetId="3">#REF!</definedName>
    <definedName name="codcfh">#REF!</definedName>
    <definedName name="codcfl" localSheetId="6">#REF!</definedName>
    <definedName name="codcfl" localSheetId="3">#REF!</definedName>
    <definedName name="codcfl">#REF!</definedName>
    <definedName name="Common" localSheetId="1" hidden="1">{#N/A,#N/A,FALSE,"SCA";#N/A,#N/A,FALSE,"NCA";#N/A,#N/A,FALSE,"SAZ";#N/A,#N/A,FALSE,"CAZ";#N/A,#N/A,FALSE,"SNV";#N/A,#N/A,FALSE,"NNV";#N/A,#N/A,FALSE,"PP";#N/A,#N/A,FALSE,"SA"}</definedName>
    <definedName name="Common" localSheetId="32" hidden="1">{#N/A,#N/A,FALSE,"SCA";#N/A,#N/A,FALSE,"NCA";#N/A,#N/A,FALSE,"SAZ";#N/A,#N/A,FALSE,"CAZ";#N/A,#N/A,FALSE,"SNV";#N/A,#N/A,FALSE,"NNV";#N/A,#N/A,FALSE,"PP";#N/A,#N/A,FALSE,"SA"}</definedName>
    <definedName name="Common" localSheetId="6" hidden="1">{#N/A,#N/A,FALSE,"SCA";#N/A,#N/A,FALSE,"NCA";#N/A,#N/A,FALSE,"SAZ";#N/A,#N/A,FALSE,"CAZ";#N/A,#N/A,FALSE,"SNV";#N/A,#N/A,FALSE,"NNV";#N/A,#N/A,FALSE,"PP";#N/A,#N/A,FALSE,"SA"}</definedName>
    <definedName name="Common" localSheetId="4" hidden="1">{#N/A,#N/A,FALSE,"SCA";#N/A,#N/A,FALSE,"NCA";#N/A,#N/A,FALSE,"SAZ";#N/A,#N/A,FALSE,"CAZ";#N/A,#N/A,FALSE,"SNV";#N/A,#N/A,FALSE,"NNV";#N/A,#N/A,FALSE,"PP";#N/A,#N/A,FALSE,"SA"}</definedName>
    <definedName name="Common" localSheetId="5" hidden="1">{#N/A,#N/A,FALSE,"SCA";#N/A,#N/A,FALSE,"NCA";#N/A,#N/A,FALSE,"SAZ";#N/A,#N/A,FALSE,"CAZ";#N/A,#N/A,FALSE,"SNV";#N/A,#N/A,FALSE,"NNV";#N/A,#N/A,FALSE,"PP";#N/A,#N/A,FALSE,"SA"}</definedName>
    <definedName name="Common" localSheetId="7" hidden="1">{#N/A,#N/A,FALSE,"SCA";#N/A,#N/A,FALSE,"NCA";#N/A,#N/A,FALSE,"SAZ";#N/A,#N/A,FALSE,"CAZ";#N/A,#N/A,FALSE,"SNV";#N/A,#N/A,FALSE,"NNV";#N/A,#N/A,FALSE,"PP";#N/A,#N/A,FALSE,"SA"}</definedName>
    <definedName name="Common" localSheetId="3" hidden="1">{#N/A,#N/A,FALSE,"SCA";#N/A,#N/A,FALSE,"NCA";#N/A,#N/A,FALSE,"SAZ";#N/A,#N/A,FALSE,"CAZ";#N/A,#N/A,FALSE,"SNV";#N/A,#N/A,FALSE,"NNV";#N/A,#N/A,FALSE,"PP";#N/A,#N/A,FALSE,"SA"}</definedName>
    <definedName name="Common" localSheetId="47" hidden="1">{#N/A,#N/A,FALSE,"SCA";#N/A,#N/A,FALSE,"NCA";#N/A,#N/A,FALSE,"SAZ";#N/A,#N/A,FALSE,"CAZ";#N/A,#N/A,FALSE,"SNV";#N/A,#N/A,FALSE,"NNV";#N/A,#N/A,FALSE,"PP";#N/A,#N/A,FALSE,"SA"}</definedName>
    <definedName name="Common" hidden="1">{#N/A,#N/A,FALSE,"SCA";#N/A,#N/A,FALSE,"NCA";#N/A,#N/A,FALSE,"SAZ";#N/A,#N/A,FALSE,"CAZ";#N/A,#N/A,FALSE,"SNV";#N/A,#N/A,FALSE,"NNV";#N/A,#N/A,FALSE,"PP";#N/A,#N/A,FALSE,"SA"}</definedName>
    <definedName name="Common___Pre__81" localSheetId="3">#REF!</definedName>
    <definedName name="Common___Pre__81">#REF!</definedName>
    <definedName name="company">#REF!</definedName>
    <definedName name="company_map" localSheetId="6">#REF!</definedName>
    <definedName name="company_map" localSheetId="3">#REF!</definedName>
    <definedName name="company_map">#REF!</definedName>
    <definedName name="company1" localSheetId="3">#REF!</definedName>
    <definedName name="company1">#REF!</definedName>
    <definedName name="company10" localSheetId="3">#REF!</definedName>
    <definedName name="company10">#REF!</definedName>
    <definedName name="company11" localSheetId="3">#REF!</definedName>
    <definedName name="company11">#REF!</definedName>
    <definedName name="company12" localSheetId="3">#REF!</definedName>
    <definedName name="company12">#REF!</definedName>
    <definedName name="company13" localSheetId="3">#REF!</definedName>
    <definedName name="company13">#REF!</definedName>
    <definedName name="company14" localSheetId="3">#REF!</definedName>
    <definedName name="company14">#REF!</definedName>
    <definedName name="company15" localSheetId="3">#REF!</definedName>
    <definedName name="company15">#REF!</definedName>
    <definedName name="company16" localSheetId="3">#REF!</definedName>
    <definedName name="company16">#REF!</definedName>
    <definedName name="company17" localSheetId="3">#REF!</definedName>
    <definedName name="company17">#REF!</definedName>
    <definedName name="company18" localSheetId="3">#REF!</definedName>
    <definedName name="company18">#REF!</definedName>
    <definedName name="company19" localSheetId="3">#REF!</definedName>
    <definedName name="company19">#REF!</definedName>
    <definedName name="company2" localSheetId="3">#REF!</definedName>
    <definedName name="company2">#REF!</definedName>
    <definedName name="company20" localSheetId="3">#REF!</definedName>
    <definedName name="company20">#REF!</definedName>
    <definedName name="company21" localSheetId="3">#REF!</definedName>
    <definedName name="company21">#REF!</definedName>
    <definedName name="company22" localSheetId="3">#REF!</definedName>
    <definedName name="company22">#REF!</definedName>
    <definedName name="company23" localSheetId="3">#REF!</definedName>
    <definedName name="company23">#REF!</definedName>
    <definedName name="company24" localSheetId="3">#REF!</definedName>
    <definedName name="company24">#REF!</definedName>
    <definedName name="company25" localSheetId="3">#REF!</definedName>
    <definedName name="company25">#REF!</definedName>
    <definedName name="company26" localSheetId="3">#REF!</definedName>
    <definedName name="company26">#REF!</definedName>
    <definedName name="company27" localSheetId="3">#REF!</definedName>
    <definedName name="company27">#REF!</definedName>
    <definedName name="company28" localSheetId="3">#REF!</definedName>
    <definedName name="company28">#REF!</definedName>
    <definedName name="company29" localSheetId="3">#REF!</definedName>
    <definedName name="company29">#REF!</definedName>
    <definedName name="company3" localSheetId="3">#REF!</definedName>
    <definedName name="company3">#REF!</definedName>
    <definedName name="company30" localSheetId="3">#REF!</definedName>
    <definedName name="company30">#REF!</definedName>
    <definedName name="company31" localSheetId="3">#REF!</definedName>
    <definedName name="company31">#REF!</definedName>
    <definedName name="company32" localSheetId="3">#REF!</definedName>
    <definedName name="company32">#REF!</definedName>
    <definedName name="company33" localSheetId="3">#REF!</definedName>
    <definedName name="company33">#REF!</definedName>
    <definedName name="company4" localSheetId="3">#REF!</definedName>
    <definedName name="company4">#REF!</definedName>
    <definedName name="company5" localSheetId="3">#REF!</definedName>
    <definedName name="company5">#REF!</definedName>
    <definedName name="company6" localSheetId="3">#REF!</definedName>
    <definedName name="company6">#REF!</definedName>
    <definedName name="company7" localSheetId="3">#REF!</definedName>
    <definedName name="company7">#REF!</definedName>
    <definedName name="company8" localSheetId="3">#REF!</definedName>
    <definedName name="company8">#REF!</definedName>
    <definedName name="company9" localSheetId="3">#REF!</definedName>
    <definedName name="company9">#REF!</definedName>
    <definedName name="companylist">OFFSET(#REF!,0,0,COUNTA(#REF!),6)</definedName>
    <definedName name="Comparison_of_Fuel_Okla_Juris">#REF!</definedName>
    <definedName name="Composite" localSheetId="6">#REF!</definedName>
    <definedName name="Composite" localSheetId="3">#REF!</definedName>
    <definedName name="Composite">#REF!</definedName>
    <definedName name="con00" localSheetId="1" hidden="1">{#N/A,"Anonymous",FALSE,"30 30k Table";#N/A,#N/A,FALSE,"30 50k Table";#N/A,#N/A,FALSE,"40 100k Table"}</definedName>
    <definedName name="con00" localSheetId="32" hidden="1">{#N/A,"Anonymous",FALSE,"30 30k Table";#N/A,#N/A,FALSE,"30 50k Table";#N/A,#N/A,FALSE,"40 100k Table"}</definedName>
    <definedName name="con00" localSheetId="6" hidden="1">{#N/A,"Anonymous",FALSE,"30 30k Table";#N/A,#N/A,FALSE,"30 50k Table";#N/A,#N/A,FALSE,"40 100k Table"}</definedName>
    <definedName name="con00" localSheetId="4" hidden="1">{#N/A,"Anonymous",FALSE,"30 30k Table";#N/A,#N/A,FALSE,"30 50k Table";#N/A,#N/A,FALSE,"40 100k Table"}</definedName>
    <definedName name="con00" localSheetId="5" hidden="1">{#N/A,"Anonymous",FALSE,"30 30k Table";#N/A,#N/A,FALSE,"30 50k Table";#N/A,#N/A,FALSE,"40 100k Table"}</definedName>
    <definedName name="con00" localSheetId="7" hidden="1">{#N/A,"Anonymous",FALSE,"30 30k Table";#N/A,#N/A,FALSE,"30 50k Table";#N/A,#N/A,FALSE,"40 100k Table"}</definedName>
    <definedName name="con00" localSheetId="3" hidden="1">{#N/A,"Anonymous",FALSE,"30 30k Table";#N/A,#N/A,FALSE,"30 50k Table";#N/A,#N/A,FALSE,"40 100k Table"}</definedName>
    <definedName name="con00" localSheetId="29" hidden="1">{#N/A,"Anonymous",FALSE,"30 30k Table";#N/A,#N/A,FALSE,"30 50k Table";#N/A,#N/A,FALSE,"40 100k Table"}</definedName>
    <definedName name="con00" localSheetId="47" hidden="1">{#N/A,"Anonymous",FALSE,"30 30k Table";#N/A,#N/A,FALSE,"30 50k Table";#N/A,#N/A,FALSE,"40 100k Table"}</definedName>
    <definedName name="con00" hidden="1">{#N/A,"Anonymous",FALSE,"30 30k Table";#N/A,#N/A,FALSE,"30 50k Table";#N/A,#N/A,FALSE,"40 100k Table"}</definedName>
    <definedName name="conflic40100k" localSheetId="1" hidden="1">{#N/A,"Anonymous",FALSE,"30 30k Table";#N/A,#N/A,FALSE,"30 50k Table";#N/A,#N/A,FALSE,"40 100k Table"}</definedName>
    <definedName name="conflic40100k" localSheetId="32" hidden="1">{#N/A,"Anonymous",FALSE,"30 30k Table";#N/A,#N/A,FALSE,"30 50k Table";#N/A,#N/A,FALSE,"40 100k Table"}</definedName>
    <definedName name="conflic40100k" localSheetId="6" hidden="1">{#N/A,"Anonymous",FALSE,"30 30k Table";#N/A,#N/A,FALSE,"30 50k Table";#N/A,#N/A,FALSE,"40 100k Table"}</definedName>
    <definedName name="conflic40100k" localSheetId="4" hidden="1">{#N/A,"Anonymous",FALSE,"30 30k Table";#N/A,#N/A,FALSE,"30 50k Table";#N/A,#N/A,FALSE,"40 100k Table"}</definedName>
    <definedName name="conflic40100k" localSheetId="5" hidden="1">{#N/A,"Anonymous",FALSE,"30 30k Table";#N/A,#N/A,FALSE,"30 50k Table";#N/A,#N/A,FALSE,"40 100k Table"}</definedName>
    <definedName name="conflic40100k" localSheetId="7" hidden="1">{#N/A,"Anonymous",FALSE,"30 30k Table";#N/A,#N/A,FALSE,"30 50k Table";#N/A,#N/A,FALSE,"40 100k Table"}</definedName>
    <definedName name="conflic40100k" localSheetId="3" hidden="1">{#N/A,"Anonymous",FALSE,"30 30k Table";#N/A,#N/A,FALSE,"30 50k Table";#N/A,#N/A,FALSE,"40 100k Table"}</definedName>
    <definedName name="conflic40100k" localSheetId="29" hidden="1">{#N/A,"Anonymous",FALSE,"30 30k Table";#N/A,#N/A,FALSE,"30 50k Table";#N/A,#N/A,FALSE,"40 100k Table"}</definedName>
    <definedName name="conflic40100k" localSheetId="47" hidden="1">{#N/A,"Anonymous",FALSE,"30 30k Table";#N/A,#N/A,FALSE,"30 50k Table";#N/A,#N/A,FALSE,"40 100k Table"}</definedName>
    <definedName name="conflic40100k" hidden="1">{#N/A,"Anonymous",FALSE,"30 30k Table";#N/A,#N/A,FALSE,"30 50k Table";#N/A,#N/A,FALSE,"40 100k Table"}</definedName>
    <definedName name="conflict" localSheetId="1" hidden="1">{#N/A,"Anonymous",FALSE,"30 30k Table";#N/A,#N/A,FALSE,"30 50k Table";#N/A,#N/A,FALSE,"40 100k Table"}</definedName>
    <definedName name="conflict" localSheetId="32" hidden="1">{#N/A,"Anonymous",FALSE,"30 30k Table";#N/A,#N/A,FALSE,"30 50k Table";#N/A,#N/A,FALSE,"40 100k Table"}</definedName>
    <definedName name="conflict" localSheetId="6" hidden="1">{#N/A,"Anonymous",FALSE,"30 30k Table";#N/A,#N/A,FALSE,"30 50k Table";#N/A,#N/A,FALSE,"40 100k Table"}</definedName>
    <definedName name="conflict" localSheetId="4" hidden="1">{#N/A,"Anonymous",FALSE,"30 30k Table";#N/A,#N/A,FALSE,"30 50k Table";#N/A,#N/A,FALSE,"40 100k Table"}</definedName>
    <definedName name="conflict" localSheetId="5" hidden="1">{#N/A,"Anonymous",FALSE,"30 30k Table";#N/A,#N/A,FALSE,"30 50k Table";#N/A,#N/A,FALSE,"40 100k Table"}</definedName>
    <definedName name="conflict" localSheetId="7" hidden="1">{#N/A,"Anonymous",FALSE,"30 30k Table";#N/A,#N/A,FALSE,"30 50k Table";#N/A,#N/A,FALSE,"40 100k Table"}</definedName>
    <definedName name="conflict" localSheetId="3" hidden="1">{#N/A,"Anonymous",FALSE,"30 30k Table";#N/A,#N/A,FALSE,"30 50k Table";#N/A,#N/A,FALSE,"40 100k Table"}</definedName>
    <definedName name="conflict" localSheetId="29" hidden="1">{#N/A,"Anonymous",FALSE,"30 30k Table";#N/A,#N/A,FALSE,"30 50k Table";#N/A,#N/A,FALSE,"40 100k Table"}</definedName>
    <definedName name="conflict" localSheetId="47" hidden="1">{#N/A,"Anonymous",FALSE,"30 30k Table";#N/A,#N/A,FALSE,"30 50k Table";#N/A,#N/A,FALSE,"40 100k Table"}</definedName>
    <definedName name="conflict" hidden="1">{#N/A,"Anonymous",FALSE,"30 30k Table";#N/A,#N/A,FALSE,"30 50k Table";#N/A,#N/A,FALSE,"40 100k Table"}</definedName>
    <definedName name="conflict3" localSheetId="1" hidden="1">{#N/A,"Anonymous",FALSE,"30 30k Table";#N/A,#N/A,FALSE,"30 50k Table";#N/A,#N/A,FALSE,"40 100k Table"}</definedName>
    <definedName name="conflict3" localSheetId="32" hidden="1">{#N/A,"Anonymous",FALSE,"30 30k Table";#N/A,#N/A,FALSE,"30 50k Table";#N/A,#N/A,FALSE,"40 100k Table"}</definedName>
    <definedName name="conflict3" localSheetId="6" hidden="1">{#N/A,"Anonymous",FALSE,"30 30k Table";#N/A,#N/A,FALSE,"30 50k Table";#N/A,#N/A,FALSE,"40 100k Table"}</definedName>
    <definedName name="conflict3" localSheetId="4" hidden="1">{#N/A,"Anonymous",FALSE,"30 30k Table";#N/A,#N/A,FALSE,"30 50k Table";#N/A,#N/A,FALSE,"40 100k Table"}</definedName>
    <definedName name="conflict3" localSheetId="5" hidden="1">{#N/A,"Anonymous",FALSE,"30 30k Table";#N/A,#N/A,FALSE,"30 50k Table";#N/A,#N/A,FALSE,"40 100k Table"}</definedName>
    <definedName name="conflict3" localSheetId="7" hidden="1">{#N/A,"Anonymous",FALSE,"30 30k Table";#N/A,#N/A,FALSE,"30 50k Table";#N/A,#N/A,FALSE,"40 100k Table"}</definedName>
    <definedName name="conflict3" localSheetId="3" hidden="1">{#N/A,"Anonymous",FALSE,"30 30k Table";#N/A,#N/A,FALSE,"30 50k Table";#N/A,#N/A,FALSE,"40 100k Table"}</definedName>
    <definedName name="conflict3" localSheetId="29" hidden="1">{#N/A,"Anonymous",FALSE,"30 30k Table";#N/A,#N/A,FALSE,"30 50k Table";#N/A,#N/A,FALSE,"40 100k Table"}</definedName>
    <definedName name="conflict3" localSheetId="47" hidden="1">{#N/A,"Anonymous",FALSE,"30 30k Table";#N/A,#N/A,FALSE,"30 50k Table";#N/A,#N/A,FALSE,"40 100k Table"}</definedName>
    <definedName name="conflict3" hidden="1">{#N/A,"Anonymous",FALSE,"30 30k Table";#N/A,#N/A,FALSE,"30 50k Table";#N/A,#N/A,FALSE,"40 100k Table"}</definedName>
    <definedName name="conflict40100k" localSheetId="1" hidden="1">{#N/A,"Anonymous",FALSE,"30 30k Table";#N/A,#N/A,FALSE,"30 50k Table";#N/A,#N/A,FALSE,"40 100k Table"}</definedName>
    <definedName name="conflict40100k" localSheetId="32" hidden="1">{#N/A,"Anonymous",FALSE,"30 30k Table";#N/A,#N/A,FALSE,"30 50k Table";#N/A,#N/A,FALSE,"40 100k Table"}</definedName>
    <definedName name="conflict40100k" localSheetId="6" hidden="1">{#N/A,"Anonymous",FALSE,"30 30k Table";#N/A,#N/A,FALSE,"30 50k Table";#N/A,#N/A,FALSE,"40 100k Table"}</definedName>
    <definedName name="conflict40100k" localSheetId="4" hidden="1">{#N/A,"Anonymous",FALSE,"30 30k Table";#N/A,#N/A,FALSE,"30 50k Table";#N/A,#N/A,FALSE,"40 100k Table"}</definedName>
    <definedName name="conflict40100k" localSheetId="5" hidden="1">{#N/A,"Anonymous",FALSE,"30 30k Table";#N/A,#N/A,FALSE,"30 50k Table";#N/A,#N/A,FALSE,"40 100k Table"}</definedName>
    <definedName name="conflict40100k" localSheetId="7" hidden="1">{#N/A,"Anonymous",FALSE,"30 30k Table";#N/A,#N/A,FALSE,"30 50k Table";#N/A,#N/A,FALSE,"40 100k Table"}</definedName>
    <definedName name="conflict40100k" localSheetId="3" hidden="1">{#N/A,"Anonymous",FALSE,"30 30k Table";#N/A,#N/A,FALSE,"30 50k Table";#N/A,#N/A,FALSE,"40 100k Table"}</definedName>
    <definedName name="conflict40100k" localSheetId="29" hidden="1">{#N/A,"Anonymous",FALSE,"30 30k Table";#N/A,#N/A,FALSE,"30 50k Table";#N/A,#N/A,FALSE,"40 100k Table"}</definedName>
    <definedName name="conflict40100k" localSheetId="47" hidden="1">{#N/A,"Anonymous",FALSE,"30 30k Table";#N/A,#N/A,FALSE,"30 50k Table";#N/A,#N/A,FALSE,"40 100k Table"}</definedName>
    <definedName name="conflict40100k" hidden="1">{#N/A,"Anonymous",FALSE,"30 30k Table";#N/A,#N/A,FALSE,"30 50k Table";#N/A,#N/A,FALSE,"40 100k Table"}</definedName>
    <definedName name="conflict404050k" localSheetId="1" hidden="1">{#N/A,"Anonymous",FALSE,"30 30k Table";#N/A,#N/A,FALSE,"30 50k Table";#N/A,#N/A,FALSE,"40 100k Table"}</definedName>
    <definedName name="conflict404050k" localSheetId="32" hidden="1">{#N/A,"Anonymous",FALSE,"30 30k Table";#N/A,#N/A,FALSE,"30 50k Table";#N/A,#N/A,FALSE,"40 100k Table"}</definedName>
    <definedName name="conflict404050k" localSheetId="6" hidden="1">{#N/A,"Anonymous",FALSE,"30 30k Table";#N/A,#N/A,FALSE,"30 50k Table";#N/A,#N/A,FALSE,"40 100k Table"}</definedName>
    <definedName name="conflict404050k" localSheetId="4" hidden="1">{#N/A,"Anonymous",FALSE,"30 30k Table";#N/A,#N/A,FALSE,"30 50k Table";#N/A,#N/A,FALSE,"40 100k Table"}</definedName>
    <definedName name="conflict404050k" localSheetId="5" hidden="1">{#N/A,"Anonymous",FALSE,"30 30k Table";#N/A,#N/A,FALSE,"30 50k Table";#N/A,#N/A,FALSE,"40 100k Table"}</definedName>
    <definedName name="conflict404050k" localSheetId="7" hidden="1">{#N/A,"Anonymous",FALSE,"30 30k Table";#N/A,#N/A,FALSE,"30 50k Table";#N/A,#N/A,FALSE,"40 100k Table"}</definedName>
    <definedName name="conflict404050k" localSheetId="3" hidden="1">{#N/A,"Anonymous",FALSE,"30 30k Table";#N/A,#N/A,FALSE,"30 50k Table";#N/A,#N/A,FALSE,"40 100k Table"}</definedName>
    <definedName name="conflict404050k" localSheetId="29" hidden="1">{#N/A,"Anonymous",FALSE,"30 30k Table";#N/A,#N/A,FALSE,"30 50k Table";#N/A,#N/A,FALSE,"40 100k Table"}</definedName>
    <definedName name="conflict404050k" localSheetId="47" hidden="1">{#N/A,"Anonymous",FALSE,"30 30k Table";#N/A,#N/A,FALSE,"30 50k Table";#N/A,#N/A,FALSE,"40 100k Table"}</definedName>
    <definedName name="conflict404050k" hidden="1">{#N/A,"Anonymous",FALSE,"30 30k Table";#N/A,#N/A,FALSE,"30 50k Table";#N/A,#N/A,FALSE,"40 100k Table"}</definedName>
    <definedName name="conflict4050k" localSheetId="1" hidden="1">{#N/A,"Anonymous",FALSE,"30 30k Table";#N/A,#N/A,FALSE,"30 50k Table";#N/A,#N/A,FALSE,"40 100k Table"}</definedName>
    <definedName name="conflict4050k" localSheetId="32" hidden="1">{#N/A,"Anonymous",FALSE,"30 30k Table";#N/A,#N/A,FALSE,"30 50k Table";#N/A,#N/A,FALSE,"40 100k Table"}</definedName>
    <definedName name="conflict4050k" localSheetId="6" hidden="1">{#N/A,"Anonymous",FALSE,"30 30k Table";#N/A,#N/A,FALSE,"30 50k Table";#N/A,#N/A,FALSE,"40 100k Table"}</definedName>
    <definedName name="conflict4050k" localSheetId="4" hidden="1">{#N/A,"Anonymous",FALSE,"30 30k Table";#N/A,#N/A,FALSE,"30 50k Table";#N/A,#N/A,FALSE,"40 100k Table"}</definedName>
    <definedName name="conflict4050k" localSheetId="5" hidden="1">{#N/A,"Anonymous",FALSE,"30 30k Table";#N/A,#N/A,FALSE,"30 50k Table";#N/A,#N/A,FALSE,"40 100k Table"}</definedName>
    <definedName name="conflict4050k" localSheetId="7" hidden="1">{#N/A,"Anonymous",FALSE,"30 30k Table";#N/A,#N/A,FALSE,"30 50k Table";#N/A,#N/A,FALSE,"40 100k Table"}</definedName>
    <definedName name="conflict4050k" localSheetId="3" hidden="1">{#N/A,"Anonymous",FALSE,"30 30k Table";#N/A,#N/A,FALSE,"30 50k Table";#N/A,#N/A,FALSE,"40 100k Table"}</definedName>
    <definedName name="conflict4050k" localSheetId="29" hidden="1">{#N/A,"Anonymous",FALSE,"30 30k Table";#N/A,#N/A,FALSE,"30 50k Table";#N/A,#N/A,FALSE,"40 100k Table"}</definedName>
    <definedName name="conflict4050k" localSheetId="47" hidden="1">{#N/A,"Anonymous",FALSE,"30 30k Table";#N/A,#N/A,FALSE,"30 50k Table";#N/A,#N/A,FALSE,"40 100k Table"}</definedName>
    <definedName name="conflict4050k" hidden="1">{#N/A,"Anonymous",FALSE,"30 30k Table";#N/A,#N/A,FALSE,"30 50k Table";#N/A,#N/A,FALSE,"40 100k Table"}</definedName>
    <definedName name="conflict4050kkk" localSheetId="1" hidden="1">{#N/A,"Anonymous",FALSE,"30 30k Table";#N/A,#N/A,FALSE,"30 50k Table";#N/A,#N/A,FALSE,"40 100k Table"}</definedName>
    <definedName name="conflict4050kkk" localSheetId="32" hidden="1">{#N/A,"Anonymous",FALSE,"30 30k Table";#N/A,#N/A,FALSE,"30 50k Table";#N/A,#N/A,FALSE,"40 100k Table"}</definedName>
    <definedName name="conflict4050kkk" localSheetId="6" hidden="1">{#N/A,"Anonymous",FALSE,"30 30k Table";#N/A,#N/A,FALSE,"30 50k Table";#N/A,#N/A,FALSE,"40 100k Table"}</definedName>
    <definedName name="conflict4050kkk" localSheetId="4" hidden="1">{#N/A,"Anonymous",FALSE,"30 30k Table";#N/A,#N/A,FALSE,"30 50k Table";#N/A,#N/A,FALSE,"40 100k Table"}</definedName>
    <definedName name="conflict4050kkk" localSheetId="5" hidden="1">{#N/A,"Anonymous",FALSE,"30 30k Table";#N/A,#N/A,FALSE,"30 50k Table";#N/A,#N/A,FALSE,"40 100k Table"}</definedName>
    <definedName name="conflict4050kkk" localSheetId="7" hidden="1">{#N/A,"Anonymous",FALSE,"30 30k Table";#N/A,#N/A,FALSE,"30 50k Table";#N/A,#N/A,FALSE,"40 100k Table"}</definedName>
    <definedName name="conflict4050kkk" localSheetId="3" hidden="1">{#N/A,"Anonymous",FALSE,"30 30k Table";#N/A,#N/A,FALSE,"30 50k Table";#N/A,#N/A,FALSE,"40 100k Table"}</definedName>
    <definedName name="conflict4050kkk" localSheetId="29" hidden="1">{#N/A,"Anonymous",FALSE,"30 30k Table";#N/A,#N/A,FALSE,"30 50k Table";#N/A,#N/A,FALSE,"40 100k Table"}</definedName>
    <definedName name="conflict4050kkk" localSheetId="47" hidden="1">{#N/A,"Anonymous",FALSE,"30 30k Table";#N/A,#N/A,FALSE,"30 50k Table";#N/A,#N/A,FALSE,"40 100k Table"}</definedName>
    <definedName name="conflict4050kkk" hidden="1">{#N/A,"Anonymous",FALSE,"30 30k Table";#N/A,#N/A,FALSE,"30 50k Table";#N/A,#N/A,FALSE,"40 100k Table"}</definedName>
    <definedName name="conflt40100k" localSheetId="1" hidden="1">{#N/A,"Anonymous",FALSE,"30 30k Table";#N/A,#N/A,FALSE,"30 50k Table";#N/A,#N/A,FALSE,"40 100k Table"}</definedName>
    <definedName name="conflt40100k" localSheetId="32" hidden="1">{#N/A,"Anonymous",FALSE,"30 30k Table";#N/A,#N/A,FALSE,"30 50k Table";#N/A,#N/A,FALSE,"40 100k Table"}</definedName>
    <definedName name="conflt40100k" localSheetId="6" hidden="1">{#N/A,"Anonymous",FALSE,"30 30k Table";#N/A,#N/A,FALSE,"30 50k Table";#N/A,#N/A,FALSE,"40 100k Table"}</definedName>
    <definedName name="conflt40100k" localSheetId="4" hidden="1">{#N/A,"Anonymous",FALSE,"30 30k Table";#N/A,#N/A,FALSE,"30 50k Table";#N/A,#N/A,FALSE,"40 100k Table"}</definedName>
    <definedName name="conflt40100k" localSheetId="5" hidden="1">{#N/A,"Anonymous",FALSE,"30 30k Table";#N/A,#N/A,FALSE,"30 50k Table";#N/A,#N/A,FALSE,"40 100k Table"}</definedName>
    <definedName name="conflt40100k" localSheetId="7" hidden="1">{#N/A,"Anonymous",FALSE,"30 30k Table";#N/A,#N/A,FALSE,"30 50k Table";#N/A,#N/A,FALSE,"40 100k Table"}</definedName>
    <definedName name="conflt40100k" localSheetId="3" hidden="1">{#N/A,"Anonymous",FALSE,"30 30k Table";#N/A,#N/A,FALSE,"30 50k Table";#N/A,#N/A,FALSE,"40 100k Table"}</definedName>
    <definedName name="conflt40100k" localSheetId="29" hidden="1">{#N/A,"Anonymous",FALSE,"30 30k Table";#N/A,#N/A,FALSE,"30 50k Table";#N/A,#N/A,FALSE,"40 100k Table"}</definedName>
    <definedName name="conflt40100k" localSheetId="47" hidden="1">{#N/A,"Anonymous",FALSE,"30 30k Table";#N/A,#N/A,FALSE,"30 50k Table";#N/A,#N/A,FALSE,"40 100k Table"}</definedName>
    <definedName name="conflt40100k" hidden="1">{#N/A,"Anonymous",FALSE,"30 30k Table";#N/A,#N/A,FALSE,"30 50k Table";#N/A,#N/A,FALSE,"40 100k Table"}</definedName>
    <definedName name="CONOCO_FAC">#REF!</definedName>
    <definedName name="Conoco_Sale_Columns" localSheetId="3">#REF!</definedName>
    <definedName name="Conoco_Sale_Columns">#REF!</definedName>
    <definedName name="CONOCO_SALE_REPORT" localSheetId="3">#REF!</definedName>
    <definedName name="CONOCO_SALE_REPORT">#REF!</definedName>
    <definedName name="Conoco_Sale_Rows" localSheetId="3">#REF!</definedName>
    <definedName name="Conoco_Sale_Rows">#REF!</definedName>
    <definedName name="CONSOL5" localSheetId="3">#REF!</definedName>
    <definedName name="CONSOL5">#REF!</definedName>
    <definedName name="CONSOL6" localSheetId="3">#REF!</definedName>
    <definedName name="CONSOL6">#REF!</definedName>
    <definedName name="CONSOL8" localSheetId="3">#REF!</definedName>
    <definedName name="CONSOL8">#REF!</definedName>
    <definedName name="Consolid" localSheetId="32" hidden="1">{#N/A,#N/A,FALSE,"O&amp;M by processes";#N/A,#N/A,FALSE,"Elec Act vs Bud";#N/A,#N/A,FALSE,"G&amp;A";#N/A,#N/A,FALSE,"BGS";#N/A,#N/A,FALSE,"Res Cost"}</definedName>
    <definedName name="Consolid" localSheetId="6" hidden="1">{#N/A,#N/A,FALSE,"O&amp;M by processes";#N/A,#N/A,FALSE,"Elec Act vs Bud";#N/A,#N/A,FALSE,"G&amp;A";#N/A,#N/A,FALSE,"BGS";#N/A,#N/A,FALSE,"Res Cost"}</definedName>
    <definedName name="Consolid" localSheetId="7" hidden="1">{#N/A,#N/A,FALSE,"O&amp;M by processes";#N/A,#N/A,FALSE,"Elec Act vs Bud";#N/A,#N/A,FALSE,"G&amp;A";#N/A,#N/A,FALSE,"BGS";#N/A,#N/A,FALSE,"Res Cost"}</definedName>
    <definedName name="Consolid" localSheetId="3" hidden="1">{#N/A,#N/A,FALSE,"O&amp;M by processes";#N/A,#N/A,FALSE,"Elec Act vs Bud";#N/A,#N/A,FALSE,"G&amp;A";#N/A,#N/A,FALSE,"BGS";#N/A,#N/A,FALSE,"Res Cost"}</definedName>
    <definedName name="Consolid" localSheetId="29" hidden="1">{#N/A,#N/A,FALSE,"O&amp;M by processes";#N/A,#N/A,FALSE,"Elec Act vs Bud";#N/A,#N/A,FALSE,"G&amp;A";#N/A,#N/A,FALSE,"BGS";#N/A,#N/A,FALSE,"Res Cost"}</definedName>
    <definedName name="Consolid" localSheetId="47"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32" hidden="1">{#N/A,#N/A,FALSE,"O&amp;M by processes";#N/A,#N/A,FALSE,"Elec Act vs Bud";#N/A,#N/A,FALSE,"G&amp;A";#N/A,#N/A,FALSE,"BGS";#N/A,#N/A,FALSE,"Res Cost"}</definedName>
    <definedName name="Consolidated" localSheetId="6" hidden="1">{#N/A,#N/A,FALSE,"O&amp;M by processes";#N/A,#N/A,FALSE,"Elec Act vs Bud";#N/A,#N/A,FALSE,"G&amp;A";#N/A,#N/A,FALSE,"BGS";#N/A,#N/A,FALSE,"Res Cost"}</definedName>
    <definedName name="Consolidated" localSheetId="7" hidden="1">{#N/A,#N/A,FALSE,"O&amp;M by processes";#N/A,#N/A,FALSE,"Elec Act vs Bud";#N/A,#N/A,FALSE,"G&amp;A";#N/A,#N/A,FALSE,"BGS";#N/A,#N/A,FALSE,"Res Cost"}</definedName>
    <definedName name="Consolidated" localSheetId="3" hidden="1">{#N/A,#N/A,FALSE,"O&amp;M by processes";#N/A,#N/A,FALSE,"Elec Act vs Bud";#N/A,#N/A,FALSE,"G&amp;A";#N/A,#N/A,FALSE,"BGS";#N/A,#N/A,FALSE,"Res Cost"}</definedName>
    <definedName name="Consolidated" localSheetId="29" hidden="1">{#N/A,#N/A,FALSE,"O&amp;M by processes";#N/A,#N/A,FALSE,"Elec Act vs Bud";#N/A,#N/A,FALSE,"G&amp;A";#N/A,#N/A,FALSE,"BGS";#N/A,#N/A,FALSE,"Res Cost"}</definedName>
    <definedName name="Consolidated" localSheetId="47" hidden="1">{#N/A,#N/A,FALSE,"O&amp;M by processes";#N/A,#N/A,FALSE,"Elec Act vs Bud";#N/A,#N/A,FALSE,"G&amp;A";#N/A,#N/A,FALSE,"BGS";#N/A,#N/A,FALSE,"Res Cost"}</definedName>
    <definedName name="Consolidated" hidden="1">{#N/A,#N/A,FALSE,"O&amp;M by processes";#N/A,#N/A,FALSE,"Elec Act vs Bud";#N/A,#N/A,FALSE,"G&amp;A";#N/A,#N/A,FALSE,"BGS";#N/A,#N/A,FALSE,"Res Cost"}</definedName>
    <definedName name="corrh" localSheetId="6">#REF!</definedName>
    <definedName name="corrh" localSheetId="3">#REF!</definedName>
    <definedName name="corrh">#REF!</definedName>
    <definedName name="corrl" localSheetId="3">#REF!</definedName>
    <definedName name="corrl">#REF!</definedName>
    <definedName name="Cortez" localSheetId="6">#REF!</definedName>
    <definedName name="Cortez" localSheetId="3">#REF!</definedName>
    <definedName name="Cortez">#REF!</definedName>
    <definedName name="COST" localSheetId="6">#REF!</definedName>
    <definedName name="COST" localSheetId="3">#REF!</definedName>
    <definedName name="COST">#REF!</definedName>
    <definedName name="Cosum" localSheetId="6">#REF!</definedName>
    <definedName name="Cosum">#REF!</definedName>
    <definedName name="COUNTCELL" localSheetId="3">#REF!</definedName>
    <definedName name="COUNTCELL">#REF!</definedName>
    <definedName name="cover" localSheetId="1" hidden="1">#REF!</definedName>
    <definedName name="cover" localSheetId="5" hidden="1">#REF!</definedName>
    <definedName name="cover" localSheetId="3" hidden="1">#REF!</definedName>
    <definedName name="cover" localSheetId="29" hidden="1">#REF!</definedName>
    <definedName name="cover" hidden="1">#REF!</definedName>
    <definedName name="cp_by_group">#REF!</definedName>
    <definedName name="cp_by_serv_level">#REF!</definedName>
    <definedName name="cp_input_area">#REF!</definedName>
    <definedName name="_xlnm.Criteria" localSheetId="3">#REF!</definedName>
    <definedName name="_xlnm.Criteria">#REF!</definedName>
    <definedName name="csadj" localSheetId="3">#REF!</definedName>
    <definedName name="csadj">#REF!</definedName>
    <definedName name="cscomp" localSheetId="3">#REF!</definedName>
    <definedName name="cscomp">#REF!</definedName>
    <definedName name="csDesignMode">1</definedName>
    <definedName name="cust_dep">#REF!</definedName>
    <definedName name="customerinput" localSheetId="6">#REF!</definedName>
    <definedName name="customerinput" localSheetId="3">#REF!</definedName>
    <definedName name="customerinput">#REF!</definedName>
    <definedName name="cvdsza" localSheetId="5" hidden="1">#REF!</definedName>
    <definedName name="cvdsza" localSheetId="3" hidden="1">#REF!</definedName>
    <definedName name="cvdsza" localSheetId="29" hidden="1">#REF!</definedName>
    <definedName name="cvdsza" hidden="1">#REF!</definedName>
    <definedName name="CWIP"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3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4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2"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3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4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d" localSheetId="1" hidden="1">#REF!</definedName>
    <definedName name="d" localSheetId="5" hidden="1">#REF!</definedName>
    <definedName name="d" localSheetId="3" hidden="1">#REF!</definedName>
    <definedName name="d" localSheetId="29" hidden="1">#REF!</definedName>
    <definedName name="d" hidden="1">#REF!</definedName>
    <definedName name="da" localSheetId="32" hidden="1">{#N/A,#N/A,FALSE,"O&amp;M by processes";#N/A,#N/A,FALSE,"Elec Act vs Bud";#N/A,#N/A,FALSE,"G&amp;A";#N/A,#N/A,FALSE,"BGS";#N/A,#N/A,FALSE,"Res Cost"}</definedName>
    <definedName name="da" localSheetId="6" hidden="1">{#N/A,#N/A,FALSE,"O&amp;M by processes";#N/A,#N/A,FALSE,"Elec Act vs Bud";#N/A,#N/A,FALSE,"G&amp;A";#N/A,#N/A,FALSE,"BGS";#N/A,#N/A,FALSE,"Res Cost"}</definedName>
    <definedName name="da" localSheetId="7" hidden="1">{#N/A,#N/A,FALSE,"O&amp;M by processes";#N/A,#N/A,FALSE,"Elec Act vs Bud";#N/A,#N/A,FALSE,"G&amp;A";#N/A,#N/A,FALSE,"BGS";#N/A,#N/A,FALSE,"Res Cost"}</definedName>
    <definedName name="da" localSheetId="3" hidden="1">{#N/A,#N/A,FALSE,"O&amp;M by processes";#N/A,#N/A,FALSE,"Elec Act vs Bud";#N/A,#N/A,FALSE,"G&amp;A";#N/A,#N/A,FALSE,"BGS";#N/A,#N/A,FALSE,"Res Cost"}</definedName>
    <definedName name="da" localSheetId="29" hidden="1">{#N/A,#N/A,FALSE,"O&amp;M by processes";#N/A,#N/A,FALSE,"Elec Act vs Bud";#N/A,#N/A,FALSE,"G&amp;A";#N/A,#N/A,FALSE,"BGS";#N/A,#N/A,FALSE,"Res Cost"}</definedName>
    <definedName name="da" localSheetId="47" hidden="1">{#N/A,#N/A,FALSE,"O&amp;M by processes";#N/A,#N/A,FALSE,"Elec Act vs Bud";#N/A,#N/A,FALSE,"G&amp;A";#N/A,#N/A,FALSE,"BGS";#N/A,#N/A,FALSE,"Res Cost"}</definedName>
    <definedName name="da" hidden="1">{#N/A,#N/A,FALSE,"O&amp;M by processes";#N/A,#N/A,FALSE,"Elec Act vs Bud";#N/A,#N/A,FALSE,"G&amp;A";#N/A,#N/A,FALSE,"BGS";#N/A,#N/A,FALSE,"Res Cost"}</definedName>
    <definedName name="da3a" localSheetId="1" hidden="1">#REF!</definedName>
    <definedName name="da3a" localSheetId="5" hidden="1">#REF!</definedName>
    <definedName name="da3a" localSheetId="3" hidden="1">#REF!</definedName>
    <definedName name="da3a" localSheetId="29" hidden="1">#REF!</definedName>
    <definedName name="da3a" hidden="1">#REF!</definedName>
    <definedName name="dada" localSheetId="32" hidden="1">{#N/A,#N/A,FALSE,"O&amp;M by processes";#N/A,#N/A,FALSE,"Elec Act vs Bud";#N/A,#N/A,FALSE,"G&amp;A";#N/A,#N/A,FALSE,"BGS";#N/A,#N/A,FALSE,"Res Cost"}</definedName>
    <definedName name="dada" localSheetId="6" hidden="1">{#N/A,#N/A,FALSE,"O&amp;M by processes";#N/A,#N/A,FALSE,"Elec Act vs Bud";#N/A,#N/A,FALSE,"G&amp;A";#N/A,#N/A,FALSE,"BGS";#N/A,#N/A,FALSE,"Res Cost"}</definedName>
    <definedName name="dada" localSheetId="7" hidden="1">{#N/A,#N/A,FALSE,"O&amp;M by processes";#N/A,#N/A,FALSE,"Elec Act vs Bud";#N/A,#N/A,FALSE,"G&amp;A";#N/A,#N/A,FALSE,"BGS";#N/A,#N/A,FALSE,"Res Cost"}</definedName>
    <definedName name="dada" localSheetId="3" hidden="1">{#N/A,#N/A,FALSE,"O&amp;M by processes";#N/A,#N/A,FALSE,"Elec Act vs Bud";#N/A,#N/A,FALSE,"G&amp;A";#N/A,#N/A,FALSE,"BGS";#N/A,#N/A,FALSE,"Res Cost"}</definedName>
    <definedName name="dada" localSheetId="29" hidden="1">{#N/A,#N/A,FALSE,"O&amp;M by processes";#N/A,#N/A,FALSE,"Elec Act vs Bud";#N/A,#N/A,FALSE,"G&amp;A";#N/A,#N/A,FALSE,"BGS";#N/A,#N/A,FALSE,"Res Cost"}</definedName>
    <definedName name="dada" localSheetId="47" hidden="1">{#N/A,#N/A,FALSE,"O&amp;M by processes";#N/A,#N/A,FALSE,"Elec Act vs Bud";#N/A,#N/A,FALSE,"G&amp;A";#N/A,#N/A,FALSE,"BGS";#N/A,#N/A,FALSE,"Res Cost"}</definedName>
    <definedName name="dada" hidden="1">{#N/A,#N/A,FALSE,"O&amp;M by processes";#N/A,#N/A,FALSE,"Elec Act vs Bud";#N/A,#N/A,FALSE,"G&amp;A";#N/A,#N/A,FALSE,"BGS";#N/A,#N/A,FALSE,"Res Cost"}</definedName>
    <definedName name="dadffadfa" localSheetId="1" hidden="1">#REF!</definedName>
    <definedName name="dadffadfa" localSheetId="5" hidden="1">#REF!</definedName>
    <definedName name="dadffadfa" localSheetId="29" hidden="1">#REF!</definedName>
    <definedName name="dadffadfa" hidden="1">#REF!</definedName>
    <definedName name="DATA">#N/A</definedName>
    <definedName name="Data_for_Above_Calculations">#REF!</definedName>
    <definedName name="_xlnm.Database" localSheetId="6">#REF!</definedName>
    <definedName name="_xlnm.Database" localSheetId="3">#REF!</definedName>
    <definedName name="_xlnm.Database">#REF!</definedName>
    <definedName name="dataset" localSheetId="3">#REF!</definedName>
    <definedName name="dataset">#REF!</definedName>
    <definedName name="DATE" localSheetId="3">#REF!</definedName>
    <definedName name="DATE">#REF!</definedName>
    <definedName name="db" localSheetId="5" hidden="1">#REF!</definedName>
    <definedName name="db" localSheetId="3" hidden="1">#REF!</definedName>
    <definedName name="db" localSheetId="29" hidden="1">#REF!</definedName>
    <definedName name="db" hidden="1">#REF!</definedName>
    <definedName name="dcf_cost_equity">#REF!</definedName>
    <definedName name="dcf_cost_equity_h">#REF!</definedName>
    <definedName name="dcf_cost_equity_vh">#REF!</definedName>
    <definedName name="dcf_date">#REF!</definedName>
    <definedName name="dd" localSheetId="1" hidden="1">{"Print_Detail",#N/A,FALSE,"Redemption_Maturity Extract"}</definedName>
    <definedName name="dd" localSheetId="32" hidden="1">{"Print_Detail",#N/A,FALSE,"Redemption_Maturity Extract"}</definedName>
    <definedName name="dd" localSheetId="6" hidden="1">{"Print_Detail",#N/A,FALSE,"Redemption_Maturity Extract"}</definedName>
    <definedName name="dd" localSheetId="4" hidden="1">{"Print_Detail",#N/A,FALSE,"Redemption_Maturity Extract"}</definedName>
    <definedName name="dd" localSheetId="5" hidden="1">{"Print_Detail",#N/A,FALSE,"Redemption_Maturity Extract"}</definedName>
    <definedName name="dd" localSheetId="7" hidden="1">{"Print_Detail",#N/A,FALSE,"Redemption_Maturity Extract"}</definedName>
    <definedName name="dd" localSheetId="3" hidden="1">{"Print_Detail",#N/A,FALSE,"Redemption_Maturity Extract"}</definedName>
    <definedName name="dd" localSheetId="47" hidden="1">{"Print_Detail",#N/A,FALSE,"Redemption_Maturity Extract"}</definedName>
    <definedName name="dd" hidden="1">{"Print_Detail",#N/A,FALSE,"Redemption_Maturity Extract"}</definedName>
    <definedName name="ddd" localSheetId="1" hidden="1">{"Full",#N/A,FALSE,"Sec MTN B Summary"}</definedName>
    <definedName name="ddd" localSheetId="32" hidden="1">{"Full",#N/A,FALSE,"Sec MTN B Summary"}</definedName>
    <definedName name="ddd" localSheetId="6" hidden="1">{"Full",#N/A,FALSE,"Sec MTN B Summary"}</definedName>
    <definedName name="ddd" localSheetId="4" hidden="1">{"Full",#N/A,FALSE,"Sec MTN B Summary"}</definedName>
    <definedName name="ddd" localSheetId="5" hidden="1">{"Full",#N/A,FALSE,"Sec MTN B Summary"}</definedName>
    <definedName name="ddd" localSheetId="7" hidden="1">{"Full",#N/A,FALSE,"Sec MTN B Summary"}</definedName>
    <definedName name="ddd" localSheetId="3" hidden="1">{"Full",#N/A,FALSE,"Sec MTN B Summary"}</definedName>
    <definedName name="ddd" localSheetId="47" hidden="1">{"Full",#N/A,FALSE,"Sec MTN B Summary"}</definedName>
    <definedName name="ddd" hidden="1">{"Full",#N/A,FALSE,"Sec MTN B Summary"}</definedName>
    <definedName name="dddd" localSheetId="1" hidden="1">{"RedPrem_InitRed View",#N/A,FALSE,"Sec MTN B Summary"}</definedName>
    <definedName name="dddd" localSheetId="32" hidden="1">{"RedPrem_InitRed View",#N/A,FALSE,"Sec MTN B Summary"}</definedName>
    <definedName name="dddd" localSheetId="6" hidden="1">{"RedPrem_InitRed View",#N/A,FALSE,"Sec MTN B Summary"}</definedName>
    <definedName name="dddd" localSheetId="4" hidden="1">{"RedPrem_InitRed View",#N/A,FALSE,"Sec MTN B Summary"}</definedName>
    <definedName name="dddd" localSheetId="5" hidden="1">{"RedPrem_InitRed View",#N/A,FALSE,"Sec MTN B Summary"}</definedName>
    <definedName name="dddd" localSheetId="7" hidden="1">{"RedPrem_InitRed View",#N/A,FALSE,"Sec MTN B Summary"}</definedName>
    <definedName name="dddd" localSheetId="3" hidden="1">{"RedPrem_InitRed View",#N/A,FALSE,"Sec MTN B Summary"}</definedName>
    <definedName name="dddd" localSheetId="47" hidden="1">{"RedPrem_InitRed View",#N/A,FALSE,"Sec MTN B Summary"}</definedName>
    <definedName name="dddd" hidden="1">{"RedPrem_InitRed View",#N/A,FALSE,"Sec MTN B Summary"}</definedName>
    <definedName name="dddddd" localSheetId="1" hidden="1">{"Pivot1",#N/A,FALSE,"Redemption_Maturity Extract"}</definedName>
    <definedName name="dddddd" localSheetId="32" hidden="1">{"Pivot1",#N/A,FALSE,"Redemption_Maturity Extract"}</definedName>
    <definedName name="dddddd" localSheetId="6" hidden="1">{"Pivot1",#N/A,FALSE,"Redemption_Maturity Extract"}</definedName>
    <definedName name="dddddd" localSheetId="4" hidden="1">{"Pivot1",#N/A,FALSE,"Redemption_Maturity Extract"}</definedName>
    <definedName name="dddddd" localSheetId="5" hidden="1">{"Pivot1",#N/A,FALSE,"Redemption_Maturity Extract"}</definedName>
    <definedName name="dddddd" localSheetId="7" hidden="1">{"Pivot1",#N/A,FALSE,"Redemption_Maturity Extract"}</definedName>
    <definedName name="dddddd" localSheetId="3" hidden="1">{"Pivot1",#N/A,FALSE,"Redemption_Maturity Extract"}</definedName>
    <definedName name="dddddd" localSheetId="47" hidden="1">{"Pivot1",#N/A,FALSE,"Redemption_Maturity Extract"}</definedName>
    <definedName name="dddddd" hidden="1">{"Pivot1",#N/A,FALSE,"Redemption_Maturity Extract"}</definedName>
    <definedName name="dddddddd" localSheetId="1" hidden="1">{"Pivot2",#N/A,FALSE,"Redemption_Maturity Extract"}</definedName>
    <definedName name="dddddddd" localSheetId="32" hidden="1">{"Pivot2",#N/A,FALSE,"Redemption_Maturity Extract"}</definedName>
    <definedName name="dddddddd" localSheetId="6" hidden="1">{"Pivot2",#N/A,FALSE,"Redemption_Maturity Extract"}</definedName>
    <definedName name="dddddddd" localSheetId="4" hidden="1">{"Pivot2",#N/A,FALSE,"Redemption_Maturity Extract"}</definedName>
    <definedName name="dddddddd" localSheetId="5" hidden="1">{"Pivot2",#N/A,FALSE,"Redemption_Maturity Extract"}</definedName>
    <definedName name="dddddddd" localSheetId="7" hidden="1">{"Pivot2",#N/A,FALSE,"Redemption_Maturity Extract"}</definedName>
    <definedName name="dddddddd" localSheetId="3" hidden="1">{"Pivot2",#N/A,FALSE,"Redemption_Maturity Extract"}</definedName>
    <definedName name="dddddddd" localSheetId="47" hidden="1">{"Pivot2",#N/A,FALSE,"Redemption_Maturity Extract"}</definedName>
    <definedName name="dddddddd" hidden="1">{"Pivot2",#N/A,FALSE,"Redemption_Maturity Extract"}</definedName>
    <definedName name="ddrfef" localSheetId="1" hidden="1">{"'Sheet1'!$A$1:$O$40"}</definedName>
    <definedName name="ddrfef" localSheetId="32" hidden="1">{"'Sheet1'!$A$1:$O$40"}</definedName>
    <definedName name="ddrfef" localSheetId="6" hidden="1">{"'Sheet1'!$A$1:$O$40"}</definedName>
    <definedName name="ddrfef" localSheetId="4" hidden="1">{"'Sheet1'!$A$1:$O$40"}</definedName>
    <definedName name="ddrfef" localSheetId="5" hidden="1">{"'Sheet1'!$A$1:$O$40"}</definedName>
    <definedName name="ddrfef" localSheetId="7" hidden="1">{"'Sheet1'!$A$1:$O$40"}</definedName>
    <definedName name="ddrfef" localSheetId="3" hidden="1">{"'Sheet1'!$A$1:$O$40"}</definedName>
    <definedName name="ddrfef" localSheetId="29" hidden="1">{"'Sheet1'!$A$1:$O$40"}</definedName>
    <definedName name="ddrfef" localSheetId="47" hidden="1">{"'Sheet1'!$A$1:$O$40"}</definedName>
    <definedName name="ddrfef" hidden="1">{"'Sheet1'!$A$1:$O$40"}</definedName>
    <definedName name="DEBT" localSheetId="6">#REF!</definedName>
    <definedName name="DEBT" localSheetId="3">#REF!</definedName>
    <definedName name="DEBT">#REF!</definedName>
    <definedName name="debt_rating">#REF!</definedName>
    <definedName name="DEBTCOST" localSheetId="3">#REF!</definedName>
    <definedName name="DEBTCOST">#REF!</definedName>
    <definedName name="DECAMT" localSheetId="3">'2.4 OpCo Proxy Cap Str'!AmtTable</definedName>
    <definedName name="DECAMT">#REF!</definedName>
    <definedName name="DECDT" localSheetId="3">'2.4 OpCo Proxy Cap Str'!DTTable</definedName>
    <definedName name="DECDT">#REF!</definedName>
    <definedName name="DECEMBER2ndCloseAMT" localSheetId="3">'2.4 OpCo Proxy Cap Str'!AmtTable</definedName>
    <definedName name="DECEMBER2ndCloseAMT">#REF!</definedName>
    <definedName name="DECEMBER2ndCloseDT" localSheetId="3">'2.4 OpCo Proxy Cap Str'!DTTable</definedName>
    <definedName name="DECEMBER2ndCloseDT">#REF!</definedName>
    <definedName name="DECEMBERAMT">#N/A</definedName>
    <definedName name="DECEMBERDT">#N/A</definedName>
    <definedName name="DEF_INTER_GAIN_REPORT" localSheetId="3">#REF!</definedName>
    <definedName name="DEF_INTER_GAIN_REPORT">#REF!</definedName>
    <definedName name="DEFERREDITEMS" localSheetId="3">#REF!</definedName>
    <definedName name="DEFERREDITEMS">#REF!</definedName>
    <definedName name="delete" localSheetId="32" hidden="1">{#N/A,#N/A,FALSE,"CURRENT"}</definedName>
    <definedName name="delete" localSheetId="6" hidden="1">{#N/A,#N/A,FALSE,"CURRENT"}</definedName>
    <definedName name="delete" localSheetId="7" hidden="1">{#N/A,#N/A,FALSE,"CURRENT"}</definedName>
    <definedName name="delete" localSheetId="3" hidden="1">{#N/A,#N/A,FALSE,"CURRENT"}</definedName>
    <definedName name="delete" localSheetId="29" hidden="1">{#N/A,#N/A,FALSE,"CURRENT"}</definedName>
    <definedName name="delete" localSheetId="47" hidden="1">{#N/A,#N/A,FALSE,"CURRENT"}</definedName>
    <definedName name="delete" hidden="1">{#N/A,#N/A,FALSE,"CURRENT"}</definedName>
    <definedName name="DEPR_CAP_ANAL_REPORT" localSheetId="3">#REF!</definedName>
    <definedName name="DEPR_CAP_ANAL_REPORT">#REF!</definedName>
    <definedName name="DEPR_CAP_ANAL_ROWS" localSheetId="3">#REF!</definedName>
    <definedName name="DEPR_CAP_ANAL_ROWS">#REF!</definedName>
    <definedName name="DEPR_CAP_VOUCHER_6_REPORT" localSheetId="3">#REF!</definedName>
    <definedName name="DEPR_CAP_VOUCHER_6_REPORT">#REF!</definedName>
    <definedName name="DEPR_CAP_VOUCHER_9_REPORT" localSheetId="3">#REF!</definedName>
    <definedName name="DEPR_CAP_VOUCHER_9_REPORT">#REF!</definedName>
    <definedName name="DEPRECIATION" localSheetId="3">#REF!</definedName>
    <definedName name="DEPRECIATION">#REF!</definedName>
    <definedName name="dfghj" localSheetId="1" hidden="1">#REF!</definedName>
    <definedName name="dfghj" localSheetId="5" hidden="1">#REF!</definedName>
    <definedName name="dfghj" localSheetId="3" hidden="1">#REF!</definedName>
    <definedName name="dfghj" localSheetId="29" hidden="1">#REF!</definedName>
    <definedName name="dfghj" hidden="1">#REF!</definedName>
    <definedName name="dfjhdbfhdbf" localSheetId="1" hidden="1">#REF!</definedName>
    <definedName name="dfjhdbfhdbf" localSheetId="5" hidden="1">#REF!</definedName>
    <definedName name="dfjhdbfhdbf" localSheetId="3" hidden="1">#REF!</definedName>
    <definedName name="dfjhdbfhdbf" localSheetId="29" hidden="1">#REF!</definedName>
    <definedName name="dfjhdbfhdbf" hidden="1">#REF!</definedName>
    <definedName name="dfl" localSheetId="5" hidden="1">#REF!</definedName>
    <definedName name="dfl" localSheetId="3" hidden="1">#REF!</definedName>
    <definedName name="dfl" localSheetId="29" hidden="1">#REF!</definedName>
    <definedName name="dfl" hidden="1">#REF!</definedName>
    <definedName name="dfsdfsdfsdf" localSheetId="6" hidden="1">#REF!</definedName>
    <definedName name="dfsdfsdfsdf" localSheetId="5" hidden="1">#REF!</definedName>
    <definedName name="dfsdfsdfsdf" localSheetId="7" hidden="1">#REF!</definedName>
    <definedName name="dfsdfsdfsdf" localSheetId="29" hidden="1">#REF!</definedName>
    <definedName name="dfsdfsdfsdf" hidden="1">#REF!</definedName>
    <definedName name="dggfgdgdg" localSheetId="1" hidden="1">{#N/A,#N/A,FALSE,"RORMEMO";#N/A,#N/A,FALSE,"RORSUMMARY";#N/A,#N/A,FALSE,"RORDETAIL"}</definedName>
    <definedName name="dggfgdgdg" localSheetId="32" hidden="1">{#N/A,#N/A,FALSE,"RORMEMO";#N/A,#N/A,FALSE,"RORSUMMARY";#N/A,#N/A,FALSE,"RORDETAIL"}</definedName>
    <definedName name="dggfgdgdg" localSheetId="6" hidden="1">{#N/A,#N/A,FALSE,"RORMEMO";#N/A,#N/A,FALSE,"RORSUMMARY";#N/A,#N/A,FALSE,"RORDETAIL"}</definedName>
    <definedName name="dggfgdgdg" localSheetId="4" hidden="1">{#N/A,#N/A,FALSE,"RORMEMO";#N/A,#N/A,FALSE,"RORSUMMARY";#N/A,#N/A,FALSE,"RORDETAIL"}</definedName>
    <definedName name="dggfgdgdg" localSheetId="5" hidden="1">{#N/A,#N/A,FALSE,"RORMEMO";#N/A,#N/A,FALSE,"RORSUMMARY";#N/A,#N/A,FALSE,"RORDETAIL"}</definedName>
    <definedName name="dggfgdgdg" localSheetId="7" hidden="1">{#N/A,#N/A,FALSE,"RORMEMO";#N/A,#N/A,FALSE,"RORSUMMARY";#N/A,#N/A,FALSE,"RORDETAIL"}</definedName>
    <definedName name="dggfgdgdg" localSheetId="3" hidden="1">{#N/A,#N/A,FALSE,"RORMEMO";#N/A,#N/A,FALSE,"RORSUMMARY";#N/A,#N/A,FALSE,"RORDETAIL"}</definedName>
    <definedName name="dggfgdgdg" localSheetId="29" hidden="1">{#N/A,#N/A,FALSE,"RORMEMO";#N/A,#N/A,FALSE,"RORSUMMARY";#N/A,#N/A,FALSE,"RORDETAIL"}</definedName>
    <definedName name="dggfgdgdg" localSheetId="47" hidden="1">{#N/A,#N/A,FALSE,"RORMEMO";#N/A,#N/A,FALSE,"RORSUMMARY";#N/A,#N/A,FALSE,"RORDETAIL"}</definedName>
    <definedName name="dggfgdgdg" hidden="1">{#N/A,#N/A,FALSE,"RORMEMO";#N/A,#N/A,FALSE,"RORSUMMARY";#N/A,#N/A,FALSE,"RORDETAIL"}</definedName>
    <definedName name="Discount" hidden="1">#REF!</definedName>
    <definedName name="discount2" hidden="1">#REF!</definedName>
    <definedName name="discsens3">#REF!</definedName>
    <definedName name="distr" localSheetId="1" hidden="1">{"wp_h4.2",#N/A,FALSE,"WP_H4.2";"wp_h4.3",#N/A,FALSE,"WP_H4.3"}</definedName>
    <definedName name="distr" localSheetId="32" hidden="1">{"wp_h4.2",#N/A,FALSE,"WP_H4.2";"wp_h4.3",#N/A,FALSE,"WP_H4.3"}</definedName>
    <definedName name="distr" localSheetId="6" hidden="1">{"wp_h4.2",#N/A,FALSE,"WP_H4.2";"wp_h4.3",#N/A,FALSE,"WP_H4.3"}</definedName>
    <definedName name="distr" localSheetId="4" hidden="1">{"wp_h4.2",#N/A,FALSE,"WP_H4.2";"wp_h4.3",#N/A,FALSE,"WP_H4.3"}</definedName>
    <definedName name="distr" localSheetId="5" hidden="1">{"wp_h4.2",#N/A,FALSE,"WP_H4.2";"wp_h4.3",#N/A,FALSE,"WP_H4.3"}</definedName>
    <definedName name="distr" localSheetId="7" hidden="1">{"wp_h4.2",#N/A,FALSE,"WP_H4.2";"wp_h4.3",#N/A,FALSE,"WP_H4.3"}</definedName>
    <definedName name="distr" localSheetId="3" hidden="1">{"wp_h4.2",#N/A,FALSE,"WP_H4.2";"wp_h4.3",#N/A,FALSE,"WP_H4.3"}</definedName>
    <definedName name="distr" localSheetId="47" hidden="1">{"wp_h4.2",#N/A,FALSE,"WP_H4.2";"wp_h4.3",#N/A,FALSE,"WP_H4.3"}</definedName>
    <definedName name="distr" hidden="1">{"wp_h4.2",#N/A,FALSE,"WP_H4.2";"wp_h4.3",#N/A,FALSE,"WP_H4.3"}</definedName>
    <definedName name="DIV" localSheetId="6">#REF!</definedName>
    <definedName name="DIV" localSheetId="3">#REF!</definedName>
    <definedName name="DIV">#REF!</definedName>
    <definedName name="DIV_BV_WP">#REF!</definedName>
    <definedName name="DIV_EARN_WP">#REF!</definedName>
    <definedName name="DIV_MP_WP">#REF!</definedName>
    <definedName name="div1a" localSheetId="6">#REF!</definedName>
    <definedName name="div1a" localSheetId="3">#REF!</definedName>
    <definedName name="div1a">#REF!</definedName>
    <definedName name="div2a" localSheetId="3">#REF!</definedName>
    <definedName name="div2a">#REF!</definedName>
    <definedName name="Dividends">#REF!</definedName>
    <definedName name="DJInd" localSheetId="6">#REF!</definedName>
    <definedName name="DJInd" localSheetId="3">#REF!</definedName>
    <definedName name="DJInd">#REF!</definedName>
    <definedName name="DJUtil" localSheetId="3">#REF!</definedName>
    <definedName name="DJUtil">#REF!</definedName>
    <definedName name="dle" localSheetId="5" hidden="1">#REF!</definedName>
    <definedName name="dle" localSheetId="3" hidden="1">#REF!</definedName>
    <definedName name="dle" localSheetId="29" hidden="1">#REF!</definedName>
    <definedName name="dle" hidden="1">#REF!</definedName>
    <definedName name="DocketNo">#REF!</definedName>
    <definedName name="dp" localSheetId="1" hidden="1">#REF!</definedName>
    <definedName name="dp" localSheetId="5" hidden="1">#REF!</definedName>
    <definedName name="dp" localSheetId="3" hidden="1">#REF!</definedName>
    <definedName name="dp" localSheetId="29" hidden="1">#REF!</definedName>
    <definedName name="dp" hidden="1">#REF!</definedName>
    <definedName name="DPREPORT" localSheetId="6">#REF!</definedName>
    <definedName name="DPREPORT" localSheetId="3">#REF!</definedName>
    <definedName name="DPREPORT">#REF!</definedName>
    <definedName name="DPREPORT1" localSheetId="6">#REF!</definedName>
    <definedName name="DPREPORT1" localSheetId="3">#REF!</definedName>
    <definedName name="DPREPORT1">#REF!</definedName>
    <definedName name="DRI_Mnemonics" localSheetId="3">#REF!</definedName>
    <definedName name="DRI_Mnemonics">#REF!</definedName>
    <definedName name="dsac" localSheetId="1" hidden="1">#REF!</definedName>
    <definedName name="dsac" localSheetId="5" hidden="1">#REF!</definedName>
    <definedName name="dsac" localSheetId="3" hidden="1">#REF!</definedName>
    <definedName name="dsac" localSheetId="29" hidden="1">#REF!</definedName>
    <definedName name="dsac" hidden="1">#REF!</definedName>
    <definedName name="dsfsd">#REF!</definedName>
    <definedName name="dslakfjk" localSheetId="1" hidden="1">#REF!</definedName>
    <definedName name="dslakfjk" localSheetId="5" hidden="1">#REF!</definedName>
    <definedName name="dslakfjk" localSheetId="3" hidden="1">#REF!</definedName>
    <definedName name="dslakfjk" localSheetId="29" hidden="1">#REF!</definedName>
    <definedName name="dslakfjk" hidden="1">#REF!</definedName>
    <definedName name="dsld" localSheetId="5" hidden="1">#REF!</definedName>
    <definedName name="dsld" localSheetId="3" hidden="1">#REF!</definedName>
    <definedName name="dsld" localSheetId="29" hidden="1">#REF!</definedName>
    <definedName name="dsld" hidden="1">#REF!</definedName>
    <definedName name="DTTable" localSheetId="3">#REF!</definedName>
    <definedName name="DTTable">#REF!</definedName>
    <definedName name="dud" localSheetId="1" hidden="1">{#N/A,#N/A,TRUE,"1990";#N/A,#N/A,TRUE,"1991";#N/A,#N/A,TRUE,"1992";#N/A,#N/A,TRUE,"1993"}</definedName>
    <definedName name="dud" localSheetId="32" hidden="1">{#N/A,#N/A,TRUE,"1990";#N/A,#N/A,TRUE,"1991";#N/A,#N/A,TRUE,"1992";#N/A,#N/A,TRUE,"1993"}</definedName>
    <definedName name="dud" localSheetId="6" hidden="1">{#N/A,#N/A,TRUE,"1990";#N/A,#N/A,TRUE,"1991";#N/A,#N/A,TRUE,"1992";#N/A,#N/A,TRUE,"1993"}</definedName>
    <definedName name="dud" localSheetId="4" hidden="1">{#N/A,#N/A,TRUE,"1990";#N/A,#N/A,TRUE,"1991";#N/A,#N/A,TRUE,"1992";#N/A,#N/A,TRUE,"1993"}</definedName>
    <definedName name="dud" localSheetId="5" hidden="1">{#N/A,#N/A,TRUE,"1990";#N/A,#N/A,TRUE,"1991";#N/A,#N/A,TRUE,"1992";#N/A,#N/A,TRUE,"1993"}</definedName>
    <definedName name="dud" localSheetId="7" hidden="1">{#N/A,#N/A,TRUE,"1990";#N/A,#N/A,TRUE,"1991";#N/A,#N/A,TRUE,"1992";#N/A,#N/A,TRUE,"1993"}</definedName>
    <definedName name="dud" localSheetId="3" hidden="1">{#N/A,#N/A,TRUE,"1990";#N/A,#N/A,TRUE,"1991";#N/A,#N/A,TRUE,"1992";#N/A,#N/A,TRUE,"1993"}</definedName>
    <definedName name="dud" localSheetId="47" hidden="1">{#N/A,#N/A,TRUE,"1990";#N/A,#N/A,TRUE,"1991";#N/A,#N/A,TRUE,"1992";#N/A,#N/A,TRUE,"1993"}</definedName>
    <definedName name="dud" hidden="1">{#N/A,#N/A,TRUE,"1990";#N/A,#N/A,TRUE,"1991";#N/A,#N/A,TRUE,"1992";#N/A,#N/A,TRUE,"1993"}</definedName>
    <definedName name="Durango">#REF!</definedName>
    <definedName name="e" localSheetId="1"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32"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6"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4"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5"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7"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3"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29"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47" hidden="1">{"PR=O&amp;M per Customer",#N/A,FALSE,"Prod-Ratios";"PR=Customer per Equivalent Employee",#N/A,FALSE,"Prod-Ratios";"PR=Operating Ratio(OI to Revenue)",#N/A,FALSE,"Prod-Ratios";"PR=Return on Net Utility Plant",#N/A,FALSE,"Prod-Ratios";"PR=Revenue per Equivalent Employee",#N/A,FALSE,"Prod-Ratios"}</definedName>
    <definedName name="e" hidden="1">{"PR=O&amp;M per Customer",#N/A,FALSE,"Prod-Ratios";"PR=Customer per Equivalent Employee",#N/A,FALSE,"Prod-Ratios";"PR=Operating Ratio(OI to Revenue)",#N/A,FALSE,"Prod-Ratios";"PR=Return on Net Utility Plant",#N/A,FALSE,"Prod-Ratios";"PR=Revenue per Equivalent Employee",#N/A,FALSE,"Prod-Ratios"}</definedName>
    <definedName name="E_PRIME_ACCUM_TAX_RES_REPORT" localSheetId="3">#REF!</definedName>
    <definedName name="E_PRIME_ACCUM_TAX_RES_REPORT">#REF!</definedName>
    <definedName name="E_PRIME_TAX_CLASS" localSheetId="3">#REF!</definedName>
    <definedName name="E_PRIME_TAX_CLASS">#REF!</definedName>
    <definedName name="Earnings">#REF!</definedName>
    <definedName name="ebereg"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cao" localSheetId="1" hidden="1">#REF!</definedName>
    <definedName name="ecao" localSheetId="5" hidden="1">#REF!</definedName>
    <definedName name="ecao" localSheetId="3" hidden="1">#REF!</definedName>
    <definedName name="ecao" localSheetId="29" hidden="1">#REF!</definedName>
    <definedName name="ecao" hidden="1">#REF!</definedName>
    <definedName name="ecapmlt1">#REF!</definedName>
    <definedName name="ecapmlt2">#REF!</definedName>
    <definedName name="ecsaop" localSheetId="1" hidden="1">#REF!</definedName>
    <definedName name="ecsaop" localSheetId="5" hidden="1">#REF!</definedName>
    <definedName name="ecsaop" localSheetId="3" hidden="1">#REF!</definedName>
    <definedName name="ecsaop" localSheetId="29" hidden="1">#REF!</definedName>
    <definedName name="ecsaop" hidden="1">#REF!</definedName>
    <definedName name="EDALL">#REF!,#REF!,#REF!,#REF!</definedName>
    <definedName name="edd" localSheetId="3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3"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4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3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3"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4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f" localSheetId="1" hidden="1">{#N/A,"Anonymous",FALSE,"30 30k Table";#N/A,#N/A,FALSE,"30 50k Table";#N/A,#N/A,FALSE,"40 100k Table"}</definedName>
    <definedName name="edf" localSheetId="32" hidden="1">{#N/A,"Anonymous",FALSE,"30 30k Table";#N/A,#N/A,FALSE,"30 50k Table";#N/A,#N/A,FALSE,"40 100k Table"}</definedName>
    <definedName name="edf" localSheetId="6" hidden="1">{#N/A,"Anonymous",FALSE,"30 30k Table";#N/A,#N/A,FALSE,"30 50k Table";#N/A,#N/A,FALSE,"40 100k Table"}</definedName>
    <definedName name="edf" localSheetId="4" hidden="1">{#N/A,"Anonymous",FALSE,"30 30k Table";#N/A,#N/A,FALSE,"30 50k Table";#N/A,#N/A,FALSE,"40 100k Table"}</definedName>
    <definedName name="edf" localSheetId="5" hidden="1">{#N/A,"Anonymous",FALSE,"30 30k Table";#N/A,#N/A,FALSE,"30 50k Table";#N/A,#N/A,FALSE,"40 100k Table"}</definedName>
    <definedName name="edf" localSheetId="7" hidden="1">{#N/A,"Anonymous",FALSE,"30 30k Table";#N/A,#N/A,FALSE,"30 50k Table";#N/A,#N/A,FALSE,"40 100k Table"}</definedName>
    <definedName name="edf" localSheetId="3" hidden="1">{#N/A,"Anonymous",FALSE,"30 30k Table";#N/A,#N/A,FALSE,"30 50k Table";#N/A,#N/A,FALSE,"40 100k Table"}</definedName>
    <definedName name="edf" localSheetId="29" hidden="1">{#N/A,"Anonymous",FALSE,"30 30k Table";#N/A,#N/A,FALSE,"30 50k Table";#N/A,#N/A,FALSE,"40 100k Table"}</definedName>
    <definedName name="edf" localSheetId="47" hidden="1">{#N/A,"Anonymous",FALSE,"30 30k Table";#N/A,#N/A,FALSE,"30 50k Table";#N/A,#N/A,FALSE,"40 100k Table"}</definedName>
    <definedName name="edf" hidden="1">{#N/A,"Anonymous",FALSE,"30 30k Table";#N/A,#N/A,FALSE,"30 50k Table";#N/A,#N/A,FALSE,"40 100k Table"}</definedName>
    <definedName name="EEE" localSheetId="6">#REF!</definedName>
    <definedName name="EEE" localSheetId="3">#REF!</definedName>
    <definedName name="EEE">#REF!</definedName>
    <definedName name="EEEE"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3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4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gfdbbdgre"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GEXMPCA.XLS">#REF!</definedName>
    <definedName name="elec_comp_book_depr_rate" localSheetId="3">#REF!</definedName>
    <definedName name="elec_comp_book_depr_rate">#REF!</definedName>
    <definedName name="elec_comp_book_depr_rate_2000" localSheetId="3">#REF!</definedName>
    <definedName name="elec_comp_book_depr_rate_2000">#REF!</definedName>
    <definedName name="ELEC_MTR_STATS" localSheetId="3">#REF!</definedName>
    <definedName name="ELEC_MTR_STATS">#REF!</definedName>
    <definedName name="Elec10A">#REF!,#REF!,#REF!,#REF!</definedName>
    <definedName name="Elec10DA">#REF!,#REF!,#REF!</definedName>
    <definedName name="Elec11DA">#REF!,#REF!,#REF!</definedName>
    <definedName name="Elec12DA">#REF!,#REF!,#REF!,#REF!</definedName>
    <definedName name="Elec1a">#REF!,#REF!,#REF!,#REF!</definedName>
    <definedName name="Elec1DA">#REF!,#REF!,#REF!</definedName>
    <definedName name="Elec2a">#REF!,#REF!,#REF!,#REF!</definedName>
    <definedName name="Elec2DA">#REF!,#REF!,#REF!</definedName>
    <definedName name="Elec3A">#REF!,#REF!,#REF!,#REF!</definedName>
    <definedName name="Elec3DA">#REF!,#REF!,#REF!</definedName>
    <definedName name="Elec4DA">#REF!,#REF!,#REF!</definedName>
    <definedName name="Elec5A">#REF!,#REF!,#REF!,#REF!</definedName>
    <definedName name="Elec5DA">#REF!,#REF!,#REF!</definedName>
    <definedName name="Elec6A">#REF!,#REF!,#REF!,#REF!</definedName>
    <definedName name="Elec6DA">#REF!,#REF!,#REF!</definedName>
    <definedName name="Elec7A">#REF!,#REF!,#REF!,#REF!</definedName>
    <definedName name="Elec7DA">#REF!,#REF!,#REF!</definedName>
    <definedName name="Elec8A">#REF!,#REF!,#REF!,#REF!</definedName>
    <definedName name="Elec8DA">#REF!,#REF!,#REF!</definedName>
    <definedName name="Elec9A">#REF!,#REF!,#REF!,#REF!</definedName>
    <definedName name="Elec9DA">#REF!,#REF!,#REF!</definedName>
    <definedName name="ElecAprilA">#REF!,#REF!,#REF!,#REF!</definedName>
    <definedName name="ElecAprilDA">#REF!,#REF!,#REF!,#REF!</definedName>
    <definedName name="ElecAugA">#REF!,#REF!,#REF!,#REF!</definedName>
    <definedName name="ElecAugDA">#REF!,#REF!,#REF!,#REF!</definedName>
    <definedName name="ElecDecA">#REF!,#REF!,#REF!,#REF!</definedName>
    <definedName name="ElecDecDA">#REF!,#REF!,#REF!,#REF!</definedName>
    <definedName name="ElecFebA">#REF!,#REF!,#REF!,#REF!</definedName>
    <definedName name="ElecFebDA">#REF!,#REF!,#REF!,#REF!</definedName>
    <definedName name="ElecJanA">#REF!,#REF!,#REF!,#REF!,#REF!</definedName>
    <definedName name="ElecJanDA">#REF!,#REF!,#REF!,#REF!</definedName>
    <definedName name="ElecJulyA">#REF!,#REF!,#REF!,#REF!</definedName>
    <definedName name="ElecJulyDA">#REF!,#REF!,#REF!,#REF!</definedName>
    <definedName name="ElecJuneA">#REF!,#REF!,#REF!,#REF!</definedName>
    <definedName name="elecJuneDA">#REF!,#REF!,#REF!,#REF!</definedName>
    <definedName name="ElecMarchA">#REF!,#REF!,#REF!,#REF!</definedName>
    <definedName name="ElecMarchDA">#REF!,#REF!,#REF!,#REF!</definedName>
    <definedName name="ElecMayA">#REF!,#REF!,#REF!,#REF!</definedName>
    <definedName name="ElecMayDA">#REF!,#REF!,#REF!,#REF!</definedName>
    <definedName name="ElecNovA">#REF!,#REF!,#REF!,#REF!</definedName>
    <definedName name="ElecNovDA">#REF!,#REF!,#REF!,#REF!</definedName>
    <definedName name="ElecOctA">#REF!,#REF!,#REF!,#REF!</definedName>
    <definedName name="ElecOctDA">#REF!,#REF!,#REF!,#REF!</definedName>
    <definedName name="ELECSEPT">#REF!</definedName>
    <definedName name="ElecSeptA" localSheetId="3">#REF!,#REF!,#REF!,#REF!</definedName>
    <definedName name="ElecSeptA">#REF!,#REF!,#REF!,#REF!</definedName>
    <definedName name="ElecSeptD" localSheetId="3">#REF!</definedName>
    <definedName name="ElecSeptD">#REF!</definedName>
    <definedName name="ElecSeptDA" localSheetId="3">#REF!,#REF!,#REF!,#REF!</definedName>
    <definedName name="ElecSeptDA">#REF!,#REF!,#REF!,#REF!</definedName>
    <definedName name="Electric___Pre__81" localSheetId="3">#REF!</definedName>
    <definedName name="Electric___Pre__81">#REF!</definedName>
    <definedName name="emk" localSheetId="3">#REF!</definedName>
    <definedName name="emk">#REF!</definedName>
    <definedName name="End_Bal" localSheetId="6">#REF!</definedName>
    <definedName name="End_Bal" localSheetId="3">#REF!</definedName>
    <definedName name="End_Bal">#REF!</definedName>
    <definedName name="End_Row" localSheetId="32">IF('10.1 CAPEX to Net Plant'!Values_Entered,Header_Row+'10.1 CAPEX to Net Plant'!Number_of_Payments,Header_Row)</definedName>
    <definedName name="End_Row" localSheetId="6">IF('11.3-4 WP'!Values_Entered,Header_Row+'11.3-4 WP'!Number_of_Payments,Header_Row)</definedName>
    <definedName name="End_Row" localSheetId="3">IF('2.4 OpCo Proxy Cap Str'!Values_Entered,Header_Row+'2.4 OpCo Proxy Cap Str'!Number_of_Payments,Header_Row)</definedName>
    <definedName name="End_Row">IF(Values_Entered,Header_Row+Number_of_Payments,Header_Row)</definedName>
    <definedName name="ENERGY1" localSheetId="32">#REF!</definedName>
    <definedName name="ENERGY1">#REF!</definedName>
    <definedName name="ENERGY3" localSheetId="3">#REF!</definedName>
    <definedName name="ENERGY3">#REF!</definedName>
    <definedName name="ENERGY5" localSheetId="3">#REF!</definedName>
    <definedName name="ENERGY5">#REF!</definedName>
    <definedName name="ENERGY6" localSheetId="3">#REF!</definedName>
    <definedName name="ENERGY6">#REF!</definedName>
    <definedName name="EntityComboCacheDate" hidden="1">39099</definedName>
    <definedName name="EntityComboCacheTestDate" hidden="1">39099</definedName>
    <definedName name="epsrec" localSheetId="6">#REF!</definedName>
    <definedName name="epsrec" localSheetId="3">#REF!</definedName>
    <definedName name="epsrec">#REF!</definedName>
    <definedName name="eq" localSheetId="1" hidden="1">#REF!</definedName>
    <definedName name="eq" localSheetId="5" hidden="1">#REF!</definedName>
    <definedName name="eq" localSheetId="3" hidden="1">#REF!</definedName>
    <definedName name="eq" localSheetId="29" hidden="1">#REF!</definedName>
    <definedName name="eq" hidden="1">#REF!</definedName>
    <definedName name="er" localSheetId="32" hidden="1">{TRUE,TRUE,-1.25,-15.5,484.5,279.75,FALSE,FALSE,TRUE,TRUE,0,3,#N/A,1,#N/A,6.54545454545454,15.55,1,FALSE,FALSE,3,TRUE,1,FALSE,100,"Swvu.WP1.","ACwvu.WP1.",1,FALSE,FALSE,0.25,0.25,0.25,0.25,1,"","&amp;L&amp;D &amp;T NBW&amp;C&amp;P&amp;R&amp;F",FALSE,FALSE,FALSE,FALSE,1,100,#N/A,#N/A,FALSE,FALSE,#N/A,#N/A,FALSE,FALSE}</definedName>
    <definedName name="er" localSheetId="6" hidden="1">{TRUE,TRUE,-1.25,-15.5,484.5,279.75,FALSE,FALSE,TRUE,TRUE,0,3,#N/A,1,#N/A,6.54545454545454,15.55,1,FALSE,FALSE,3,TRUE,1,FALSE,100,"Swvu.WP1.","ACwvu.WP1.",1,FALSE,FALSE,0.25,0.25,0.25,0.25,1,"","&amp;L&amp;D &amp;T NBW&amp;C&amp;P&amp;R&amp;F",FALSE,FALSE,FALSE,FALSE,1,100,#N/A,#N/A,FALSE,FALSE,#N/A,#N/A,FALSE,FALSE}</definedName>
    <definedName name="er" localSheetId="7" hidden="1">{TRUE,TRUE,-1.25,-15.5,484.5,279.75,FALSE,FALSE,TRUE,TRUE,0,3,#N/A,1,#N/A,6.54545454545454,15.55,1,FALSE,FALSE,3,TRUE,1,FALSE,100,"Swvu.WP1.","ACwvu.WP1.",1,FALSE,FALSE,0.25,0.25,0.25,0.25,1,"","&amp;L&amp;D &amp;T NBW&amp;C&amp;P&amp;R&amp;F",FALSE,FALSE,FALSE,FALSE,1,100,#N/A,#N/A,FALSE,FALSE,#N/A,#N/A,FALSE,FALSE}</definedName>
    <definedName name="er" localSheetId="3" hidden="1">{TRUE,TRUE,-1.25,-15.5,484.5,279.75,FALSE,FALSE,TRUE,TRUE,0,3,#N/A,1,#N/A,6.54545454545454,15.55,1,FALSE,FALSE,3,TRUE,1,FALSE,100,"Swvu.WP1.","ACwvu.WP1.",1,FALSE,FALSE,0.25,0.25,0.25,0.25,1,"","&amp;L&amp;D &amp;T NBW&amp;C&amp;P&amp;R&amp;F",FALSE,FALSE,FALSE,FALSE,1,100,#N/A,#N/A,FALSE,FALSE,#N/A,#N/A,FALSE,FALSE}</definedName>
    <definedName name="er" localSheetId="29" hidden="1">{TRUE,TRUE,-1.25,-15.5,484.5,279.75,FALSE,FALSE,TRUE,TRUE,0,3,#N/A,1,#N/A,6.54545454545454,15.55,1,FALSE,FALSE,3,TRUE,1,FALSE,100,"Swvu.WP1.","ACwvu.WP1.",1,FALSE,FALSE,0.25,0.25,0.25,0.25,1,"","&amp;L&amp;D &amp;T NBW&amp;C&amp;P&amp;R&amp;F",FALSE,FALSE,FALSE,FALSE,1,100,#N/A,#N/A,FALSE,FALSE,#N/A,#N/A,FALSE,FALSE}</definedName>
    <definedName name="er" localSheetId="47" hidden="1">{TRUE,TRUE,-1.25,-15.5,484.5,279.75,FALSE,FALSE,TRUE,TRUE,0,3,#N/A,1,#N/A,6.54545454545454,15.55,1,FALSE,FALSE,3,TRUE,1,FALSE,100,"Swvu.WP1.","ACwvu.WP1.",1,FALSE,FALSE,0.25,0.25,0.25,0.25,1,"","&amp;L&amp;D &amp;T NBW&amp;C&amp;P&amp;R&amp;F",FALSE,FALSE,FALSE,FALSE,1,100,#N/A,#N/A,FALSE,FALSE,#N/A,#N/A,FALSE,FALSE}</definedName>
    <definedName name="er" hidden="1">{TRUE,TRUE,-1.25,-15.5,484.5,279.75,FALSE,FALSE,TRUE,TRUE,0,3,#N/A,1,#N/A,6.54545454545454,15.55,1,FALSE,FALSE,3,TRUE,1,FALSE,100,"Swvu.WP1.","ACwvu.WP1.",1,FALSE,FALSE,0.25,0.25,0.25,0.25,1,"","&amp;L&amp;D &amp;T NBW&amp;C&amp;P&amp;R&amp;F",FALSE,FALSE,FALSE,FALSE,1,100,#N/A,#N/A,FALSE,FALSE,#N/A,#N/A,FALSE,FALSE}</definedName>
    <definedName name="ergfdgeg" localSheetId="1" hidden="1">{"print2",#N/A,FALSE,"D21CUSTS"}</definedName>
    <definedName name="ergfdgeg" localSheetId="32" hidden="1">{"print2",#N/A,FALSE,"D21CUSTS"}</definedName>
    <definedName name="ergfdgeg" localSheetId="6" hidden="1">{"print2",#N/A,FALSE,"D21CUSTS"}</definedName>
    <definedName name="ergfdgeg" localSheetId="4" hidden="1">{"print2",#N/A,FALSE,"D21CUSTS"}</definedName>
    <definedName name="ergfdgeg" localSheetId="5" hidden="1">{"print2",#N/A,FALSE,"D21CUSTS"}</definedName>
    <definedName name="ergfdgeg" localSheetId="7" hidden="1">{"print2",#N/A,FALSE,"D21CUSTS"}</definedName>
    <definedName name="ergfdgeg" localSheetId="3" hidden="1">{"print2",#N/A,FALSE,"D21CUSTS"}</definedName>
    <definedName name="ergfdgeg" localSheetId="29" hidden="1">{"print2",#N/A,FALSE,"D21CUSTS"}</definedName>
    <definedName name="ergfdgeg" localSheetId="47" hidden="1">{"print2",#N/A,FALSE,"D21CUSTS"}</definedName>
    <definedName name="ergfdgeg" hidden="1">{"print2",#N/A,FALSE,"D21CUSTS"}</definedName>
    <definedName name="ert" localSheetId="1" hidden="1">#REF!</definedName>
    <definedName name="ert" localSheetId="5" hidden="1">#REF!</definedName>
    <definedName name="ert" localSheetId="3" hidden="1">#REF!</definedName>
    <definedName name="ert" localSheetId="29" hidden="1">#REF!</definedName>
    <definedName name="ert" hidden="1">#REF!</definedName>
    <definedName name="ertertertet" localSheetId="1" hidden="1">{#N/A,#N/A,FALSE,"GLDwnLoad"}</definedName>
    <definedName name="ertertertet" localSheetId="32" hidden="1">{#N/A,#N/A,FALSE,"GLDwnLoad"}</definedName>
    <definedName name="ertertertet" localSheetId="6" hidden="1">{#N/A,#N/A,FALSE,"GLDwnLoad"}</definedName>
    <definedName name="ertertertet" localSheetId="4" hidden="1">{#N/A,#N/A,FALSE,"GLDwnLoad"}</definedName>
    <definedName name="ertertertet" localSheetId="5" hidden="1">{#N/A,#N/A,FALSE,"GLDwnLoad"}</definedName>
    <definedName name="ertertertet" localSheetId="7" hidden="1">{#N/A,#N/A,FALSE,"GLDwnLoad"}</definedName>
    <definedName name="ertertertet" localSheetId="3" hidden="1">{#N/A,#N/A,FALSE,"GLDwnLoad"}</definedName>
    <definedName name="ertertertet" localSheetId="29" hidden="1">{#N/A,#N/A,FALSE,"GLDwnLoad"}</definedName>
    <definedName name="ertertertet" localSheetId="47" hidden="1">{#N/A,#N/A,FALSE,"GLDwnLoad"}</definedName>
    <definedName name="ertertertet" hidden="1">{#N/A,#N/A,FALSE,"GLDwnLoad"}</definedName>
    <definedName name="ertyu" localSheetId="1" hidden="1">#REF!</definedName>
    <definedName name="ertyu" localSheetId="5" hidden="1">#REF!</definedName>
    <definedName name="ertyu" localSheetId="3" hidden="1">#REF!</definedName>
    <definedName name="ertyu" localSheetId="29" hidden="1">#REF!</definedName>
    <definedName name="ertyu" hidden="1">#REF!</definedName>
    <definedName name="esdateno.21" localSheetId="3">#REF!</definedName>
    <definedName name="esdateno.21">#REF!</definedName>
    <definedName name="EST_95_CHY_REPORT" localSheetId="3">#REF!</definedName>
    <definedName name="EST_95_CHY_REPORT">#REF!</definedName>
    <definedName name="EST_95_COLUMNS" localSheetId="3">#REF!</definedName>
    <definedName name="EST_95_COLUMNS">#REF!</definedName>
    <definedName name="EST_95_PSC_DETAIL_ANAL" localSheetId="3">#REF!</definedName>
    <definedName name="EST_95_PSC_DETAIL_ANAL">#REF!</definedName>
    <definedName name="EST_95_PSC_REPORT_PG1" localSheetId="3">#REF!</definedName>
    <definedName name="EST_95_PSC_REPORT_PG1">#REF!</definedName>
    <definedName name="EST_95_PSC_REPORT_PG2" localSheetId="3">#REF!</definedName>
    <definedName name="EST_95_PSC_REPORT_PG2">#REF!</definedName>
    <definedName name="EST_95_PSC_REPORT_PG3" localSheetId="3">#REF!</definedName>
    <definedName name="EST_95_PSC_REPORT_PG3">#REF!</definedName>
    <definedName name="EST_95_ROWS" localSheetId="3">#REF!</definedName>
    <definedName name="EST_95_ROWS">#REF!</definedName>
    <definedName name="EST_95_WEL_REPORT" localSheetId="3">#REF!</definedName>
    <definedName name="EST_95_WEL_REPORT">#REF!</definedName>
    <definedName name="EST_95_WGI_REPORT" localSheetId="3">#REF!</definedName>
    <definedName name="EST_95_WGI_REPORT">#REF!</definedName>
    <definedName name="estte1" localSheetId="3">#REF!</definedName>
    <definedName name="estte1">#REF!</definedName>
    <definedName name="etertretee" localSheetId="1" hidden="1">{#N/A,#N/A,FALSE,"GLDwnLoad"}</definedName>
    <definedName name="etertretee" localSheetId="32" hidden="1">{#N/A,#N/A,FALSE,"GLDwnLoad"}</definedName>
    <definedName name="etertretee" localSheetId="6" hidden="1">{#N/A,#N/A,FALSE,"GLDwnLoad"}</definedName>
    <definedName name="etertretee" localSheetId="4" hidden="1">{#N/A,#N/A,FALSE,"GLDwnLoad"}</definedName>
    <definedName name="etertretee" localSheetId="5" hidden="1">{#N/A,#N/A,FALSE,"GLDwnLoad"}</definedName>
    <definedName name="etertretee" localSheetId="7" hidden="1">{#N/A,#N/A,FALSE,"GLDwnLoad"}</definedName>
    <definedName name="etertretee" localSheetId="3" hidden="1">{#N/A,#N/A,FALSE,"GLDwnLoad"}</definedName>
    <definedName name="etertretee" localSheetId="29" hidden="1">{#N/A,#N/A,FALSE,"GLDwnLoad"}</definedName>
    <definedName name="etertretee" localSheetId="47" hidden="1">{#N/A,#N/A,FALSE,"GLDwnLoad"}</definedName>
    <definedName name="etertretee" hidden="1">{#N/A,#N/A,FALSE,"GLDwnLoad"}</definedName>
    <definedName name="etretete" localSheetId="1" hidden="1">{"print3",#N/A,FALSE,"D21CUSTS"}</definedName>
    <definedName name="etretete" localSheetId="32" hidden="1">{"print3",#N/A,FALSE,"D21CUSTS"}</definedName>
    <definedName name="etretete" localSheetId="6" hidden="1">{"print3",#N/A,FALSE,"D21CUSTS"}</definedName>
    <definedName name="etretete" localSheetId="4" hidden="1">{"print3",#N/A,FALSE,"D21CUSTS"}</definedName>
    <definedName name="etretete" localSheetId="5" hidden="1">{"print3",#N/A,FALSE,"D21CUSTS"}</definedName>
    <definedName name="etretete" localSheetId="7" hidden="1">{"print3",#N/A,FALSE,"D21CUSTS"}</definedName>
    <definedName name="etretete" localSheetId="3" hidden="1">{"print3",#N/A,FALSE,"D21CUSTS"}</definedName>
    <definedName name="etretete" localSheetId="29" hidden="1">{"print3",#N/A,FALSE,"D21CUSTS"}</definedName>
    <definedName name="etretete" localSheetId="47" hidden="1">{"print3",#N/A,FALSE,"D21CUSTS"}</definedName>
    <definedName name="etretete" hidden="1">{"print3",#N/A,FALSE,"D21CUSTS"}</definedName>
    <definedName name="etretrtehdhe" localSheetId="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3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6"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4"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5"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3"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2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4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wretrete" localSheetId="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3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6"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4"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5"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3"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29"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4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orig"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tertet" localSheetId="1" hidden="1">{#N/A,#N/A,FALSE,"OTHERINPUTS";#N/A,#N/A,FALSE,"DITRATEINPUTS";#N/A,#N/A,FALSE,"SUPPLIEDADJINPUT";#N/A,#N/A,FALSE,"TIMINGDIFFINPUTS";#N/A,#N/A,FALSE,"COSSINPUT";#N/A,#N/A,FALSE,"BR&amp;SUPADJ."}</definedName>
    <definedName name="etrtertet" localSheetId="32" hidden="1">{#N/A,#N/A,FALSE,"OTHERINPUTS";#N/A,#N/A,FALSE,"DITRATEINPUTS";#N/A,#N/A,FALSE,"SUPPLIEDADJINPUT";#N/A,#N/A,FALSE,"TIMINGDIFFINPUTS";#N/A,#N/A,FALSE,"COSSINPUT";#N/A,#N/A,FALSE,"BR&amp;SUPADJ."}</definedName>
    <definedName name="etrtertet" localSheetId="6" hidden="1">{#N/A,#N/A,FALSE,"OTHERINPUTS";#N/A,#N/A,FALSE,"DITRATEINPUTS";#N/A,#N/A,FALSE,"SUPPLIEDADJINPUT";#N/A,#N/A,FALSE,"TIMINGDIFFINPUTS";#N/A,#N/A,FALSE,"COSSINPUT";#N/A,#N/A,FALSE,"BR&amp;SUPADJ."}</definedName>
    <definedName name="etrtertet" localSheetId="4" hidden="1">{#N/A,#N/A,FALSE,"OTHERINPUTS";#N/A,#N/A,FALSE,"DITRATEINPUTS";#N/A,#N/A,FALSE,"SUPPLIEDADJINPUT";#N/A,#N/A,FALSE,"TIMINGDIFFINPUTS";#N/A,#N/A,FALSE,"COSSINPUT";#N/A,#N/A,FALSE,"BR&amp;SUPADJ."}</definedName>
    <definedName name="etrtertet" localSheetId="5" hidden="1">{#N/A,#N/A,FALSE,"OTHERINPUTS";#N/A,#N/A,FALSE,"DITRATEINPUTS";#N/A,#N/A,FALSE,"SUPPLIEDADJINPUT";#N/A,#N/A,FALSE,"TIMINGDIFFINPUTS";#N/A,#N/A,FALSE,"COSSINPUT";#N/A,#N/A,FALSE,"BR&amp;SUPADJ."}</definedName>
    <definedName name="etrtertet" localSheetId="7" hidden="1">{#N/A,#N/A,FALSE,"OTHERINPUTS";#N/A,#N/A,FALSE,"DITRATEINPUTS";#N/A,#N/A,FALSE,"SUPPLIEDADJINPUT";#N/A,#N/A,FALSE,"TIMINGDIFFINPUTS";#N/A,#N/A,FALSE,"COSSINPUT";#N/A,#N/A,FALSE,"BR&amp;SUPADJ."}</definedName>
    <definedName name="etrtertet" localSheetId="3" hidden="1">{#N/A,#N/A,FALSE,"OTHERINPUTS";#N/A,#N/A,FALSE,"DITRATEINPUTS";#N/A,#N/A,FALSE,"SUPPLIEDADJINPUT";#N/A,#N/A,FALSE,"TIMINGDIFFINPUTS";#N/A,#N/A,FALSE,"COSSINPUT";#N/A,#N/A,FALSE,"BR&amp;SUPADJ."}</definedName>
    <definedName name="etrtertet" localSheetId="29" hidden="1">{#N/A,#N/A,FALSE,"OTHERINPUTS";#N/A,#N/A,FALSE,"DITRATEINPUTS";#N/A,#N/A,FALSE,"SUPPLIEDADJINPUT";#N/A,#N/A,FALSE,"TIMINGDIFFINPUTS";#N/A,#N/A,FALSE,"COSSINPUT";#N/A,#N/A,FALSE,"BR&amp;SUPADJ."}</definedName>
    <definedName name="etrtertet" localSheetId="47" hidden="1">{#N/A,#N/A,FALSE,"OTHERINPUTS";#N/A,#N/A,FALSE,"DITRATEINPUTS";#N/A,#N/A,FALSE,"SUPPLIEDADJINPUT";#N/A,#N/A,FALSE,"TIMINGDIFFINPUTS";#N/A,#N/A,FALSE,"COSSINPUT";#N/A,#N/A,FALSE,"BR&amp;SUPADJ."}</definedName>
    <definedName name="etrtertet" hidden="1">{#N/A,#N/A,FALSE,"OTHERINPUTS";#N/A,#N/A,FALSE,"DITRATEINPUTS";#N/A,#N/A,FALSE,"SUPPLIEDADJINPUT";#N/A,#N/A,FALSE,"TIMINGDIFFINPUTS";#N/A,#N/A,FALSE,"COSSINPUT";#N/A,#N/A,FALSE,"BR&amp;SUPADJ."}</definedName>
    <definedName name="etrtete" localSheetId="1" hidden="1">{#N/A,#N/A,FALSE,"OTHERINPUTS";#N/A,#N/A,FALSE,"SUPPLIEDADJINPUT";#N/A,#N/A,FALSE,"BR&amp;SUPADJ."}</definedName>
    <definedName name="etrtete" localSheetId="32" hidden="1">{#N/A,#N/A,FALSE,"OTHERINPUTS";#N/A,#N/A,FALSE,"SUPPLIEDADJINPUT";#N/A,#N/A,FALSE,"BR&amp;SUPADJ."}</definedName>
    <definedName name="etrtete" localSheetId="6" hidden="1">{#N/A,#N/A,FALSE,"OTHERINPUTS";#N/A,#N/A,FALSE,"SUPPLIEDADJINPUT";#N/A,#N/A,FALSE,"BR&amp;SUPADJ."}</definedName>
    <definedName name="etrtete" localSheetId="4" hidden="1">{#N/A,#N/A,FALSE,"OTHERINPUTS";#N/A,#N/A,FALSE,"SUPPLIEDADJINPUT";#N/A,#N/A,FALSE,"BR&amp;SUPADJ."}</definedName>
    <definedName name="etrtete" localSheetId="5" hidden="1">{#N/A,#N/A,FALSE,"OTHERINPUTS";#N/A,#N/A,FALSE,"SUPPLIEDADJINPUT";#N/A,#N/A,FALSE,"BR&amp;SUPADJ."}</definedName>
    <definedName name="etrtete" localSheetId="7" hidden="1">{#N/A,#N/A,FALSE,"OTHERINPUTS";#N/A,#N/A,FALSE,"SUPPLIEDADJINPUT";#N/A,#N/A,FALSE,"BR&amp;SUPADJ."}</definedName>
    <definedName name="etrtete" localSheetId="3" hidden="1">{#N/A,#N/A,FALSE,"OTHERINPUTS";#N/A,#N/A,FALSE,"SUPPLIEDADJINPUT";#N/A,#N/A,FALSE,"BR&amp;SUPADJ."}</definedName>
    <definedName name="etrtete" localSheetId="29" hidden="1">{#N/A,#N/A,FALSE,"OTHERINPUTS";#N/A,#N/A,FALSE,"SUPPLIEDADJINPUT";#N/A,#N/A,FALSE,"BR&amp;SUPADJ."}</definedName>
    <definedName name="etrtete" localSheetId="47" hidden="1">{#N/A,#N/A,FALSE,"OTHERINPUTS";#N/A,#N/A,FALSE,"SUPPLIEDADJINPUT";#N/A,#N/A,FALSE,"BR&amp;SUPADJ."}</definedName>
    <definedName name="etrtete" hidden="1">{#N/A,#N/A,FALSE,"OTHERINPUTS";#N/A,#N/A,FALSE,"SUPPLIEDADJINPUT";#N/A,#N/A,FALSE,"BR&amp;SUPADJ."}</definedName>
    <definedName name="ev.Calculation" hidden="1">-4105</definedName>
    <definedName name="ev.Initialized" hidden="1">FALSE</definedName>
    <definedName name="EV__ALLOWSTOPEXPAND__" hidden="1">1</definedName>
    <definedName name="EV__EVCOM_OPTIONS__" hidden="1">8</definedName>
    <definedName name="EV__EXPOPTIONS__" hidden="1">1</definedName>
    <definedName name="EV__LASTREFTIME__" hidden="1">39198.5712152778</definedName>
    <definedName name="EV__LOCKEDCVW__BGE_FP" hidden="1">"INCOMESTATEMENT,ACTUAL,ALL_COMPANIES,NO_ORG,TOTALADJ,2002.TOTAL,PERIODIC,"</definedName>
    <definedName name="EV__LOCKEDCVW__CAPITAL" hidden="1">"ACTUAL,3XXXXX,CAPITAL_EXP_TYPES,MAJOR_CATEGORY,FACTORS,TOTAL_PORTFOLIO,2002.TOTAL,PERIODIC,"</definedName>
    <definedName name="EV__LOCKEDCVW__CPA" hidden="1">"O_M,ALL_ACTIVITIES,ACTUAL,ALL_SPENDERS,ALL_EXPTYPES,ALL_PROCESSES,OM_MAJOR_CATEGORY,2005.TOTAL,PERIODIC,"</definedName>
    <definedName name="EV__LOCKEDCVW__SLR" hidden="1">"2005_ORIGBUDGET,ALL_EXPTYPES,IN_UNIT,ALL_COMPANIES,ALL_EMPLOYEES,ALL_SPENDERS,2006.TOTAL,PERIODIC,"</definedName>
    <definedName name="EV__LOCKEDCVW__STAFF_PLANNING" hidden="1">"ALL_STAT_ACCOUNTS,ACTUAL,BGE_CC,ALL_EXP_RESOURCES,ALL_RESOURCES,2002.TOTAL,PERIODIC,"</definedName>
    <definedName name="EV__LOCKSTATUS__" hidden="1">1</definedName>
    <definedName name="EV__MAXEXPCOLS__" hidden="1">100</definedName>
    <definedName name="EV__MAXEXPROWS__" hidden="1">20000</definedName>
    <definedName name="EV__MEMORYCVW__" hidden="1">0</definedName>
    <definedName name="EV__WBEVMODE__" hidden="1">0</definedName>
    <definedName name="EV__WBREFOPTIONS__" hidden="1">134217799</definedName>
    <definedName name="EV__WBVERSION__" hidden="1">0</definedName>
    <definedName name="ewqwe" localSheetId="1" hidden="1">#REF!</definedName>
    <definedName name="ewqwe" localSheetId="5" hidden="1">#REF!</definedName>
    <definedName name="ewqwe" localSheetId="3" hidden="1">#REF!</definedName>
    <definedName name="ewqwe" localSheetId="29" hidden="1">#REF!</definedName>
    <definedName name="ewqwe" hidden="1">#REF!</definedName>
    <definedName name="exdate" localSheetId="3">#REF!</definedName>
    <definedName name="exdate">#REF!</definedName>
    <definedName name="EXECCOMP" localSheetId="3">#REF!</definedName>
    <definedName name="EXECCOMP">#REF!</definedName>
    <definedName name="EXH1A" localSheetId="3">#REF!</definedName>
    <definedName name="EXH1A">#REF!</definedName>
    <definedName name="exhb_capm_coc" localSheetId="6">#REF!</definedName>
    <definedName name="exhb_capm_coc" localSheetId="3">#REF!</definedName>
    <definedName name="exhb_capm_coc">#REF!</definedName>
    <definedName name="exhb_capm_roe" localSheetId="6">#REF!</definedName>
    <definedName name="exhb_capm_roe">#REF!</definedName>
    <definedName name="exhb_capstruct">#REF!</definedName>
    <definedName name="exhb_dcf_atwacc">#REF!</definedName>
    <definedName name="exhb_dcf_client_roe">#REF!</definedName>
    <definedName name="exhb_dcf_roe">#REF!</definedName>
    <definedName name="exp.div.a">#REF!</definedName>
    <definedName name="exp.div.b">#REF!</definedName>
    <definedName name="ExpDurant">#REF!</definedName>
    <definedName name="ExpGlenpool">#REF!</definedName>
    <definedName name="exproe" localSheetId="6">#REF!</definedName>
    <definedName name="exproe" localSheetId="3">#REF!</definedName>
    <definedName name="exproe">#REF!</definedName>
    <definedName name="Extra_Pay" localSheetId="6">#REF!</definedName>
    <definedName name="Extra_Pay" localSheetId="3">#REF!</definedName>
    <definedName name="Extra_Pay">#REF!</definedName>
    <definedName name="f" localSheetId="5" hidden="1">#REF!</definedName>
    <definedName name="f" localSheetId="3" hidden="1">#REF!</definedName>
    <definedName name="f" localSheetId="29" hidden="1">#REF!</definedName>
    <definedName name="f" hidden="1">#REF!</definedName>
    <definedName name="FAC_CALC">#REF!</definedName>
    <definedName name="Factor_Million" localSheetId="3">#REF!</definedName>
    <definedName name="Factor_Million">#REF!</definedName>
    <definedName name="FACTOR1" localSheetId="3">#REF!</definedName>
    <definedName name="FACTOR1">#REF!</definedName>
    <definedName name="FCTCcalcN">"optbox_FCcalcN"</definedName>
    <definedName name="FCTCcalcY">"optbox_FccalcY"</definedName>
    <definedName name="fdafafdfdafdfafds" hidden="1">#REF!</definedName>
    <definedName name="fdv" localSheetId="1" hidden="1">#REF!</definedName>
    <definedName name="fdv" localSheetId="5" hidden="1">#REF!</definedName>
    <definedName name="fdv" localSheetId="3" hidden="1">#REF!</definedName>
    <definedName name="fdv" localSheetId="29" hidden="1">#REF!</definedName>
    <definedName name="fdv" hidden="1">#REF!</definedName>
    <definedName name="FE_EST_95_DETAIL_ANAL" localSheetId="3">#REF!</definedName>
    <definedName name="FE_EST_95_DETAIL_ANAL">#REF!</definedName>
    <definedName name="FE95_CHY_MEMO" localSheetId="3">#REF!</definedName>
    <definedName name="FE95_CHY_MEMO">#REF!</definedName>
    <definedName name="FE95_COLO_UTE_DEF_TAX" localSheetId="3">#REF!</definedName>
    <definedName name="FE95_COLO_UTE_DEF_TAX">#REF!</definedName>
    <definedName name="FE95_PSC_MEMO" localSheetId="3">#REF!</definedName>
    <definedName name="FE95_PSC_MEMO">#REF!</definedName>
    <definedName name="FE95_WEL_MEMO" localSheetId="3">#REF!</definedName>
    <definedName name="FE95_WEL_MEMO">#REF!</definedName>
    <definedName name="FE95_WGI_MEMO" localSheetId="3">#REF!</definedName>
    <definedName name="FE95_WGI_MEMO">#REF!</definedName>
    <definedName name="FEBAMT" localSheetId="3">'2.4 OpCo Proxy Cap Str'!AmtTable</definedName>
    <definedName name="FEBAMT">#REF!</definedName>
    <definedName name="FEBDT" localSheetId="3">'2.4 OpCo Proxy Cap Str'!DTTable</definedName>
    <definedName name="FEBDT">#REF!</definedName>
    <definedName name="ff" localSheetId="5" hidden="1">#REF!</definedName>
    <definedName name="ff" localSheetId="3" hidden="1">#REF!</definedName>
    <definedName name="ff" localSheetId="29" hidden="1">#REF!</definedName>
    <definedName name="ff" localSheetId="47" hidden="1">#REF!</definedName>
    <definedName name="ff" hidden="1">#REF!</definedName>
    <definedName name="fff" localSheetId="5" hidden="1">#REF!</definedName>
    <definedName name="fff" localSheetId="3" hidden="1">#REF!</definedName>
    <definedName name="fff" localSheetId="29" hidden="1">#REF!</definedName>
    <definedName name="fff" hidden="1">#REF!</definedName>
    <definedName name="fffff" localSheetId="5" hidden="1">#REF!</definedName>
    <definedName name="fffff" localSheetId="3" hidden="1">#REF!</definedName>
    <definedName name="fffff" hidden="1">#REF!</definedName>
    <definedName name="ffffff" localSheetId="5" hidden="1">#REF!</definedName>
    <definedName name="ffffff" localSheetId="3" hidden="1">#REF!</definedName>
    <definedName name="ffffff" localSheetId="29" hidden="1">#REF!</definedName>
    <definedName name="ffffff" hidden="1">#REF!</definedName>
    <definedName name="fffffffffffffffffffff" localSheetId="5" hidden="1">#REF!</definedName>
    <definedName name="fffffffffffffffffffff" localSheetId="3" hidden="1">#REF!</definedName>
    <definedName name="fffffffffffffffffffff" hidden="1">#REF!</definedName>
    <definedName name="ffggfgfgf" localSheetId="1" hidden="1">{#N/A,#N/A,FALSE,"SCA";#N/A,#N/A,FALSE,"NCA";#N/A,#N/A,FALSE,"SAZ";#N/A,#N/A,FALSE,"CAZ";#N/A,#N/A,FALSE,"SNV";#N/A,#N/A,FALSE,"NNV";#N/A,#N/A,FALSE,"PP";#N/A,#N/A,FALSE,"SA"}</definedName>
    <definedName name="ffggfgfgf" localSheetId="32" hidden="1">{#N/A,#N/A,FALSE,"SCA";#N/A,#N/A,FALSE,"NCA";#N/A,#N/A,FALSE,"SAZ";#N/A,#N/A,FALSE,"CAZ";#N/A,#N/A,FALSE,"SNV";#N/A,#N/A,FALSE,"NNV";#N/A,#N/A,FALSE,"PP";#N/A,#N/A,FALSE,"SA"}</definedName>
    <definedName name="ffggfgfgf" localSheetId="6" hidden="1">{#N/A,#N/A,FALSE,"SCA";#N/A,#N/A,FALSE,"NCA";#N/A,#N/A,FALSE,"SAZ";#N/A,#N/A,FALSE,"CAZ";#N/A,#N/A,FALSE,"SNV";#N/A,#N/A,FALSE,"NNV";#N/A,#N/A,FALSE,"PP";#N/A,#N/A,FALSE,"SA"}</definedName>
    <definedName name="ffggfgfgf" localSheetId="4" hidden="1">{#N/A,#N/A,FALSE,"SCA";#N/A,#N/A,FALSE,"NCA";#N/A,#N/A,FALSE,"SAZ";#N/A,#N/A,FALSE,"CAZ";#N/A,#N/A,FALSE,"SNV";#N/A,#N/A,FALSE,"NNV";#N/A,#N/A,FALSE,"PP";#N/A,#N/A,FALSE,"SA"}</definedName>
    <definedName name="ffggfgfgf" localSheetId="5" hidden="1">{#N/A,#N/A,FALSE,"SCA";#N/A,#N/A,FALSE,"NCA";#N/A,#N/A,FALSE,"SAZ";#N/A,#N/A,FALSE,"CAZ";#N/A,#N/A,FALSE,"SNV";#N/A,#N/A,FALSE,"NNV";#N/A,#N/A,FALSE,"PP";#N/A,#N/A,FALSE,"SA"}</definedName>
    <definedName name="ffggfgfgf" localSheetId="7" hidden="1">{#N/A,#N/A,FALSE,"SCA";#N/A,#N/A,FALSE,"NCA";#N/A,#N/A,FALSE,"SAZ";#N/A,#N/A,FALSE,"CAZ";#N/A,#N/A,FALSE,"SNV";#N/A,#N/A,FALSE,"NNV";#N/A,#N/A,FALSE,"PP";#N/A,#N/A,FALSE,"SA"}</definedName>
    <definedName name="ffggfgfgf" localSheetId="3" hidden="1">{#N/A,#N/A,FALSE,"SCA";#N/A,#N/A,FALSE,"NCA";#N/A,#N/A,FALSE,"SAZ";#N/A,#N/A,FALSE,"CAZ";#N/A,#N/A,FALSE,"SNV";#N/A,#N/A,FALSE,"NNV";#N/A,#N/A,FALSE,"PP";#N/A,#N/A,FALSE,"SA"}</definedName>
    <definedName name="ffggfgfgf" localSheetId="29" hidden="1">{#N/A,#N/A,FALSE,"SCA";#N/A,#N/A,FALSE,"NCA";#N/A,#N/A,FALSE,"SAZ";#N/A,#N/A,FALSE,"CAZ";#N/A,#N/A,FALSE,"SNV";#N/A,#N/A,FALSE,"NNV";#N/A,#N/A,FALSE,"PP";#N/A,#N/A,FALSE,"SA"}</definedName>
    <definedName name="ffggfgfgf" localSheetId="47" hidden="1">{#N/A,#N/A,FALSE,"SCA";#N/A,#N/A,FALSE,"NCA";#N/A,#N/A,FALSE,"SAZ";#N/A,#N/A,FALSE,"CAZ";#N/A,#N/A,FALSE,"SNV";#N/A,#N/A,FALSE,"NNV";#N/A,#N/A,FALSE,"PP";#N/A,#N/A,FALSE,"SA"}</definedName>
    <definedName name="ffggfgfgf" hidden="1">{#N/A,#N/A,FALSE,"SCA";#N/A,#N/A,FALSE,"NCA";#N/A,#N/A,FALSE,"SAZ";#N/A,#N/A,FALSE,"CAZ";#N/A,#N/A,FALSE,"SNV";#N/A,#N/A,FALSE,"NNV";#N/A,#N/A,FALSE,"PP";#N/A,#N/A,FALSE,"SA"}</definedName>
    <definedName name="ffkf" localSheetId="1" hidden="1">#REF!</definedName>
    <definedName name="ffkf" localSheetId="5" hidden="1">#REF!</definedName>
    <definedName name="ffkf" localSheetId="3" hidden="1">#REF!</definedName>
    <definedName name="ffkf" localSheetId="29" hidden="1">#REF!</definedName>
    <definedName name="ffkf" hidden="1">#REF!</definedName>
    <definedName name="fhjmyuu" localSheetId="1" hidden="1">{"print1",#N/A,FALSE,"D21CUSTS";"print2",#N/A,FALSE,"D21CUSTS";"print3",#N/A,FALSE,"D21CUSTS";"print4",#N/A,FALSE,"D21CUSTS"}</definedName>
    <definedName name="fhjmyuu" localSheetId="32" hidden="1">{"print1",#N/A,FALSE,"D21CUSTS";"print2",#N/A,FALSE,"D21CUSTS";"print3",#N/A,FALSE,"D21CUSTS";"print4",#N/A,FALSE,"D21CUSTS"}</definedName>
    <definedName name="fhjmyuu" localSheetId="6" hidden="1">{"print1",#N/A,FALSE,"D21CUSTS";"print2",#N/A,FALSE,"D21CUSTS";"print3",#N/A,FALSE,"D21CUSTS";"print4",#N/A,FALSE,"D21CUSTS"}</definedName>
    <definedName name="fhjmyuu" localSheetId="4" hidden="1">{"print1",#N/A,FALSE,"D21CUSTS";"print2",#N/A,FALSE,"D21CUSTS";"print3",#N/A,FALSE,"D21CUSTS";"print4",#N/A,FALSE,"D21CUSTS"}</definedName>
    <definedName name="fhjmyuu" localSheetId="5" hidden="1">{"print1",#N/A,FALSE,"D21CUSTS";"print2",#N/A,FALSE,"D21CUSTS";"print3",#N/A,FALSE,"D21CUSTS";"print4",#N/A,FALSE,"D21CUSTS"}</definedName>
    <definedName name="fhjmyuu" localSheetId="7" hidden="1">{"print1",#N/A,FALSE,"D21CUSTS";"print2",#N/A,FALSE,"D21CUSTS";"print3",#N/A,FALSE,"D21CUSTS";"print4",#N/A,FALSE,"D21CUSTS"}</definedName>
    <definedName name="fhjmyuu" localSheetId="3" hidden="1">{"print1",#N/A,FALSE,"D21CUSTS";"print2",#N/A,FALSE,"D21CUSTS";"print3",#N/A,FALSE,"D21CUSTS";"print4",#N/A,FALSE,"D21CUSTS"}</definedName>
    <definedName name="fhjmyuu" localSheetId="29" hidden="1">{"print1",#N/A,FALSE,"D21CUSTS";"print2",#N/A,FALSE,"D21CUSTS";"print3",#N/A,FALSE,"D21CUSTS";"print4",#N/A,FALSE,"D21CUSTS"}</definedName>
    <definedName name="fhjmyuu" localSheetId="47" hidden="1">{"print1",#N/A,FALSE,"D21CUSTS";"print2",#N/A,FALSE,"D21CUSTS";"print3",#N/A,FALSE,"D21CUSTS";"print4",#N/A,FALSE,"D21CUSTS"}</definedName>
    <definedName name="fhjmyuu" hidden="1">{"print1",#N/A,FALSE,"D21CUSTS";"print2",#N/A,FALSE,"D21CUSTS";"print3",#N/A,FALSE,"D21CUSTS";"print4",#N/A,FALSE,"D21CUSTS"}</definedName>
    <definedName name="finalpassnorth">#REF!</definedName>
    <definedName name="First.Conflict" localSheetId="1" hidden="1">{#N/A,#N/A,TRUE,"1 (2)";#N/A,#N/A,TRUE,"2";#N/A,#N/A,TRUE,"3"}</definedName>
    <definedName name="First.Conflict" localSheetId="32" hidden="1">{#N/A,#N/A,TRUE,"1 (2)";#N/A,#N/A,TRUE,"2";#N/A,#N/A,TRUE,"3"}</definedName>
    <definedName name="First.Conflict" localSheetId="6" hidden="1">{#N/A,#N/A,TRUE,"1 (2)";#N/A,#N/A,TRUE,"2";#N/A,#N/A,TRUE,"3"}</definedName>
    <definedName name="First.Conflict" localSheetId="4" hidden="1">{#N/A,#N/A,TRUE,"1 (2)";#N/A,#N/A,TRUE,"2";#N/A,#N/A,TRUE,"3"}</definedName>
    <definedName name="First.Conflict" localSheetId="5" hidden="1">{#N/A,#N/A,TRUE,"1 (2)";#N/A,#N/A,TRUE,"2";#N/A,#N/A,TRUE,"3"}</definedName>
    <definedName name="First.Conflict" localSheetId="7" hidden="1">{#N/A,#N/A,TRUE,"1 (2)";#N/A,#N/A,TRUE,"2";#N/A,#N/A,TRUE,"3"}</definedName>
    <definedName name="First.Conflict" localSheetId="3" hidden="1">{#N/A,#N/A,TRUE,"1 (2)";#N/A,#N/A,TRUE,"2";#N/A,#N/A,TRUE,"3"}</definedName>
    <definedName name="First.Conflict" localSheetId="29" hidden="1">{#N/A,#N/A,TRUE,"1 (2)";#N/A,#N/A,TRUE,"2";#N/A,#N/A,TRUE,"3"}</definedName>
    <definedName name="First.Conflict" localSheetId="47" hidden="1">{#N/A,#N/A,TRUE,"1 (2)";#N/A,#N/A,TRUE,"2";#N/A,#N/A,TRUE,"3"}</definedName>
    <definedName name="First.Conflict" hidden="1">{#N/A,#N/A,TRUE,"1 (2)";#N/A,#N/A,TRUE,"2";#N/A,#N/A,TRUE,"3"}</definedName>
    <definedName name="First.conflict2" localSheetId="1" hidden="1">{#N/A,#N/A,TRUE,"1 (2)";#N/A,#N/A,TRUE,"2";#N/A,#N/A,TRUE,"3"}</definedName>
    <definedName name="First.conflict2" localSheetId="32" hidden="1">{#N/A,#N/A,TRUE,"1 (2)";#N/A,#N/A,TRUE,"2";#N/A,#N/A,TRUE,"3"}</definedName>
    <definedName name="First.conflict2" localSheetId="6" hidden="1">{#N/A,#N/A,TRUE,"1 (2)";#N/A,#N/A,TRUE,"2";#N/A,#N/A,TRUE,"3"}</definedName>
    <definedName name="First.conflict2" localSheetId="4" hidden="1">{#N/A,#N/A,TRUE,"1 (2)";#N/A,#N/A,TRUE,"2";#N/A,#N/A,TRUE,"3"}</definedName>
    <definedName name="First.conflict2" localSheetId="5" hidden="1">{#N/A,#N/A,TRUE,"1 (2)";#N/A,#N/A,TRUE,"2";#N/A,#N/A,TRUE,"3"}</definedName>
    <definedName name="First.conflict2" localSheetId="7" hidden="1">{#N/A,#N/A,TRUE,"1 (2)";#N/A,#N/A,TRUE,"2";#N/A,#N/A,TRUE,"3"}</definedName>
    <definedName name="First.conflict2" localSheetId="3" hidden="1">{#N/A,#N/A,TRUE,"1 (2)";#N/A,#N/A,TRUE,"2";#N/A,#N/A,TRUE,"3"}</definedName>
    <definedName name="First.conflict2" localSheetId="29" hidden="1">{#N/A,#N/A,TRUE,"1 (2)";#N/A,#N/A,TRUE,"2";#N/A,#N/A,TRUE,"3"}</definedName>
    <definedName name="First.conflict2" localSheetId="47" hidden="1">{#N/A,#N/A,TRUE,"1 (2)";#N/A,#N/A,TRUE,"2";#N/A,#N/A,TRUE,"3"}</definedName>
    <definedName name="First.conflict2" hidden="1">{#N/A,#N/A,TRUE,"1 (2)";#N/A,#N/A,TRUE,"2";#N/A,#N/A,TRUE,"3"}</definedName>
    <definedName name="First.Conflict2006" localSheetId="1" hidden="1">{#N/A,#N/A,TRUE,"1 (2)";#N/A,#N/A,TRUE,"2";#N/A,#N/A,TRUE,"3"}</definedName>
    <definedName name="First.Conflict2006" localSheetId="32" hidden="1">{#N/A,#N/A,TRUE,"1 (2)";#N/A,#N/A,TRUE,"2";#N/A,#N/A,TRUE,"3"}</definedName>
    <definedName name="First.Conflict2006" localSheetId="6" hidden="1">{#N/A,#N/A,TRUE,"1 (2)";#N/A,#N/A,TRUE,"2";#N/A,#N/A,TRUE,"3"}</definedName>
    <definedName name="First.Conflict2006" localSheetId="4" hidden="1">{#N/A,#N/A,TRUE,"1 (2)";#N/A,#N/A,TRUE,"2";#N/A,#N/A,TRUE,"3"}</definedName>
    <definedName name="First.Conflict2006" localSheetId="5" hidden="1">{#N/A,#N/A,TRUE,"1 (2)";#N/A,#N/A,TRUE,"2";#N/A,#N/A,TRUE,"3"}</definedName>
    <definedName name="First.Conflict2006" localSheetId="7" hidden="1">{#N/A,#N/A,TRUE,"1 (2)";#N/A,#N/A,TRUE,"2";#N/A,#N/A,TRUE,"3"}</definedName>
    <definedName name="First.Conflict2006" localSheetId="3" hidden="1">{#N/A,#N/A,TRUE,"1 (2)";#N/A,#N/A,TRUE,"2";#N/A,#N/A,TRUE,"3"}</definedName>
    <definedName name="First.Conflict2006" localSheetId="29" hidden="1">{#N/A,#N/A,TRUE,"1 (2)";#N/A,#N/A,TRUE,"2";#N/A,#N/A,TRUE,"3"}</definedName>
    <definedName name="First.Conflict2006" localSheetId="47" hidden="1">{#N/A,#N/A,TRUE,"1 (2)";#N/A,#N/A,TRUE,"2";#N/A,#N/A,TRUE,"3"}</definedName>
    <definedName name="First.Conflict2006" hidden="1">{#N/A,#N/A,TRUE,"1 (2)";#N/A,#N/A,TRUE,"2";#N/A,#N/A,TRUE,"3"}</definedName>
    <definedName name="fkfkf" localSheetId="1" hidden="1">#REF!</definedName>
    <definedName name="fkfkf" localSheetId="5" hidden="1">#REF!</definedName>
    <definedName name="fkfkf" localSheetId="3" hidden="1">#REF!</definedName>
    <definedName name="fkfkf" localSheetId="29" hidden="1">#REF!</definedName>
    <definedName name="fkfkf" hidden="1">#REF!</definedName>
    <definedName name="FORM_4562_ANAL_REPORT" localSheetId="3">#REF!</definedName>
    <definedName name="FORM_4562_ANAL_REPORT">#REF!</definedName>
    <definedName name="FORM_4562_ANAL_ROWS" localSheetId="3">#REF!</definedName>
    <definedName name="FORM_4562_ANAL_ROWS">#REF!</definedName>
    <definedName name="FOURTH_QTR_PUR_ANAL_ML_REPORT" localSheetId="3">#REF!</definedName>
    <definedName name="FOURTH_QTR_PUR_ANAL_ML_REPORT">#REF!</definedName>
    <definedName name="FOURTH_QTR_PUR_ANAL_ML_ROWS" localSheetId="3">#REF!</definedName>
    <definedName name="FOURTH_QTR_PUR_ANAL_ML_ROWS">#REF!</definedName>
    <definedName name="FOURTH_QTR_PUR_ANAL_REPORT" localSheetId="3">#REF!</definedName>
    <definedName name="FOURTH_QTR_PUR_ANAL_REPORT">#REF!</definedName>
    <definedName name="FOURTH_QTR_PUR_ANAL_ROWS" localSheetId="3">#REF!</definedName>
    <definedName name="FOURTH_QTR_PUR_ANAL_ROWS">#REF!</definedName>
    <definedName name="fpfl" localSheetId="1" hidden="1">#REF!</definedName>
    <definedName name="fpfl" localSheetId="5" hidden="1">#REF!</definedName>
    <definedName name="fpfl" localSheetId="3" hidden="1">#REF!</definedName>
    <definedName name="fpfl" localSheetId="29" hidden="1">#REF!</definedName>
    <definedName name="fpfl" hidden="1">#REF!</definedName>
    <definedName name="Fremont" localSheetId="6">#REF!</definedName>
    <definedName name="Fremont" localSheetId="3">#REF!</definedName>
    <definedName name="Fremont">#REF!</definedName>
    <definedName name="fuckioff"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EL_EXCLUSION_SECTION">#REF!</definedName>
    <definedName name="Fuel_Pro_Forma_Adj">#REF!</definedName>
    <definedName name="FUELCO_SALE_REPORT" localSheetId="3">#REF!</definedName>
    <definedName name="FUELCO_SALE_REPORT">#REF!</definedName>
    <definedName name="FuelCycle" localSheetId="32" hidden="1">{#N/A,#N/A,FALSE,"AltFuel"}</definedName>
    <definedName name="FuelCycle" localSheetId="6" hidden="1">{#N/A,#N/A,FALSE,"AltFuel"}</definedName>
    <definedName name="FuelCycle" localSheetId="7" hidden="1">{#N/A,#N/A,FALSE,"AltFuel"}</definedName>
    <definedName name="FuelCycle" localSheetId="3" hidden="1">{#N/A,#N/A,FALSE,"AltFuel"}</definedName>
    <definedName name="FuelCycle" localSheetId="47" hidden="1">{#N/A,#N/A,FALSE,"AltFuel"}</definedName>
    <definedName name="FuelCycle" hidden="1">{#N/A,#N/A,FALSE,"AltFuel"}</definedName>
    <definedName name="Full_Print" localSheetId="6">#REF!</definedName>
    <definedName name="Full_Print" localSheetId="3">#REF!</definedName>
    <definedName name="Full_Print">#REF!</definedName>
    <definedName name="furn_comp_book_depr_rate" localSheetId="3">#REF!</definedName>
    <definedName name="furn_comp_book_depr_rate">#REF!</definedName>
    <definedName name="furn_comp_book_depr_rate_2000" localSheetId="3">#REF!</definedName>
    <definedName name="furn_comp_book_depr_rate_2000">#REF!</definedName>
    <definedName name="fvgbn" localSheetId="1" hidden="1">#REF!</definedName>
    <definedName name="fvgbn" localSheetId="5" hidden="1">#REF!</definedName>
    <definedName name="fvgbn" localSheetId="3" hidden="1">#REF!</definedName>
    <definedName name="fvgbn" localSheetId="29" hidden="1">#REF!</definedName>
    <definedName name="fvgbn" hidden="1">#REF!</definedName>
    <definedName name="FY18OPEX_ADJ" localSheetId="3">#REF!</definedName>
    <definedName name="FY18OPEX_ADJ">#REF!</definedName>
    <definedName name="g" localSheetId="32" hidden="1">{#N/A,#N/A,FALSE,"O&amp;M by processes";#N/A,#N/A,FALSE,"Elec Act vs Bud";#N/A,#N/A,FALSE,"G&amp;A";#N/A,#N/A,FALSE,"BGS";#N/A,#N/A,FALSE,"Res Cost"}</definedName>
    <definedName name="g" localSheetId="6" hidden="1">{#N/A,#N/A,FALSE,"O&amp;M by processes";#N/A,#N/A,FALSE,"Elec Act vs Bud";#N/A,#N/A,FALSE,"G&amp;A";#N/A,#N/A,FALSE,"BGS";#N/A,#N/A,FALSE,"Res Cost"}</definedName>
    <definedName name="g" localSheetId="7" hidden="1">{#N/A,#N/A,FALSE,"O&amp;M by processes";#N/A,#N/A,FALSE,"Elec Act vs Bud";#N/A,#N/A,FALSE,"G&amp;A";#N/A,#N/A,FALSE,"BGS";#N/A,#N/A,FALSE,"Res Cost"}</definedName>
    <definedName name="g" localSheetId="3" hidden="1">{#N/A,#N/A,FALSE,"O&amp;M by processes";#N/A,#N/A,FALSE,"Elec Act vs Bud";#N/A,#N/A,FALSE,"G&amp;A";#N/A,#N/A,FALSE,"BGS";#N/A,#N/A,FALSE,"Res Cost"}</definedName>
    <definedName name="g" localSheetId="47" hidden="1">{#N/A,#N/A,FALSE,"O&amp;M by processes";#N/A,#N/A,FALSE,"Elec Act vs Bud";#N/A,#N/A,FALSE,"G&amp;A";#N/A,#N/A,FALSE,"BGS";#N/A,#N/A,FALSE,"Res Cost"}</definedName>
    <definedName name="g" hidden="1">{#N/A,#N/A,FALSE,"O&amp;M by processes";#N/A,#N/A,FALSE,"Elec Act vs Bud";#N/A,#N/A,FALSE,"G&amp;A";#N/A,#N/A,FALSE,"BGS";#N/A,#N/A,FALSE,"Res Cost"}</definedName>
    <definedName name="Gas.calc" localSheetId="1" hidden="1">{"ARK_JURIS_FAC",#N/A,FALSE,"Ark_Fuel&amp;Rev"}</definedName>
    <definedName name="Gas.calc" localSheetId="32" hidden="1">{"ARK_JURIS_FAC",#N/A,FALSE,"Ark_Fuel&amp;Rev"}</definedName>
    <definedName name="Gas.calc" localSheetId="6" hidden="1">{"ARK_JURIS_FAC",#N/A,FALSE,"Ark_Fuel&amp;Rev"}</definedName>
    <definedName name="Gas.calc" localSheetId="4" hidden="1">{"ARK_JURIS_FAC",#N/A,FALSE,"Ark_Fuel&amp;Rev"}</definedName>
    <definedName name="Gas.calc" localSheetId="5" hidden="1">{"ARK_JURIS_FAC",#N/A,FALSE,"Ark_Fuel&amp;Rev"}</definedName>
    <definedName name="Gas.calc" localSheetId="7" hidden="1">{"ARK_JURIS_FAC",#N/A,FALSE,"Ark_Fuel&amp;Rev"}</definedName>
    <definedName name="Gas.calc" localSheetId="3" hidden="1">{"ARK_JURIS_FAC",#N/A,FALSE,"Ark_Fuel&amp;Rev"}</definedName>
    <definedName name="Gas.calc" localSheetId="47" hidden="1">{"ARK_JURIS_FAC",#N/A,FALSE,"Ark_Fuel&amp;Rev"}</definedName>
    <definedName name="Gas.calc" hidden="1">{"ARK_JURIS_FAC",#N/A,FALSE,"Ark_Fuel&amp;Rev"}</definedName>
    <definedName name="Gas___Pre__81">#REF!</definedName>
    <definedName name="gas_comp_book_depr_rate" localSheetId="3">#REF!</definedName>
    <definedName name="gas_comp_book_depr_rate">#REF!</definedName>
    <definedName name="gas_comp_book_depr_rate_2000" localSheetId="3">#REF!</definedName>
    <definedName name="gas_comp_book_depr_rate_2000">#REF!</definedName>
    <definedName name="Gas10A">#REF!,#REF!,#REF!,#REF!</definedName>
    <definedName name="Gas10DA">#REF!,#REF!,#REF!</definedName>
    <definedName name="Gas11DA">#REF!,#REF!,#REF!</definedName>
    <definedName name="Gas12A">#REF!,#REF!,#REF!,#REF!</definedName>
    <definedName name="Gas12DA">#REF!,#REF!,#REF!</definedName>
    <definedName name="Gas1A">#REF!,#REF!,#REF!,#REF!</definedName>
    <definedName name="Gas1DA">#REF!,#REF!,#REF!</definedName>
    <definedName name="Gas2A">#REF!,#REF!,#REF!,#REF!</definedName>
    <definedName name="Gas2DA">#REF!,#REF!,#REF!</definedName>
    <definedName name="Gas3A">#REF!,#REF!,#REF!,#REF!</definedName>
    <definedName name="Gas3DA">#REF!,#REF!,#REF!</definedName>
    <definedName name="Gas4A">#REF!,#REF!,#REF!,#REF!</definedName>
    <definedName name="Gas4DA">#REF!,#REF!,#REF!</definedName>
    <definedName name="Gas5A">#REF!,#REF!,#REF!,#REF!</definedName>
    <definedName name="Gas5DA">#REF!,#REF!,#REF!</definedName>
    <definedName name="Gas6A">#REF!,#REF!,#REF!,#REF!</definedName>
    <definedName name="Gas6DA">#REF!,#REF!,#REF!</definedName>
    <definedName name="Gas7A">#REF!,#REF!,#REF!,#REF!</definedName>
    <definedName name="Gas7DA">#REF!,#REF!,#REF!</definedName>
    <definedName name="Gas8A">#REF!,#REF!,#REF!,#REF!</definedName>
    <definedName name="Gas8DA">#REF!,#REF!,#REF!</definedName>
    <definedName name="Gas9A">#REF!,#REF!,#REF!,#REF!</definedName>
    <definedName name="Gas9DA">#REF!,#REF!,#REF!</definedName>
    <definedName name="GasAprilA">#REF!,#REF!,#REF!,#REF!</definedName>
    <definedName name="GasAprilDA">#REF!,#REF!,#REF!,#REF!</definedName>
    <definedName name="GasAugA">#REF!,#REF!,#REF!,#REF!</definedName>
    <definedName name="GasAugDA">#REF!,#REF!,#REF!,#REF!</definedName>
    <definedName name="GASCOST">#REF!</definedName>
    <definedName name="GasDecA">#REF!,#REF!,#REF!,#REF!</definedName>
    <definedName name="GasDecDA">#REF!,#REF!,#REF!,#REF!</definedName>
    <definedName name="GasFebA">#REF!,#REF!,#REF!,#REF!</definedName>
    <definedName name="GasFebDA">#REF!,#REF!,#REF!,#REF!</definedName>
    <definedName name="GasJanA">#REF!,#REF!,#REF!,#REF!,#REF!</definedName>
    <definedName name="GasJanDA">#REF!,#REF!,#REF!,#REF!</definedName>
    <definedName name="GasJulyA">#REF!,#REF!,#REF!,#REF!</definedName>
    <definedName name="GasJulyDA">#REF!,#REF!,#REF!,#REF!</definedName>
    <definedName name="GasJuneA">#REF!,#REF!,#REF!,#REF!</definedName>
    <definedName name="GasJuneDA">#REF!,#REF!,#REF!,#REF!</definedName>
    <definedName name="GasMarchA">#REF!,#REF!,#REF!,#REF!</definedName>
    <definedName name="GasMarchDA">#REF!,#REF!,#REF!,#REF!</definedName>
    <definedName name="GasMayA">#REF!,#REF!,#REF!,#REF!</definedName>
    <definedName name="GasMayDA">#REF!,#REF!,#REF!,#REF!</definedName>
    <definedName name="GasNovA">#REF!,#REF!,#REF!,#REF!</definedName>
    <definedName name="GasNovDA">#REF!,#REF!,#REF!,#REF!</definedName>
    <definedName name="GasOctA">#REF!,#REF!,#REF!,#REF!</definedName>
    <definedName name="GasOctDA">#REF!,#REF!,#REF!,#REF!</definedName>
    <definedName name="GASSEPT">#REF!</definedName>
    <definedName name="GasSeptA" localSheetId="3">#REF!,#REF!,#REF!,#REF!</definedName>
    <definedName name="GasSeptA">#REF!,#REF!,#REF!,#REF!</definedName>
    <definedName name="GasSeptD" localSheetId="3">#REF!</definedName>
    <definedName name="GasSeptD">#REF!</definedName>
    <definedName name="GasSeptDA" localSheetId="3">#REF!,#REF!,#REF!,#REF!</definedName>
    <definedName name="GasSeptDA">#REF!,#REF!,#REF!,#REF!</definedName>
    <definedName name="GasU">#REF!</definedName>
    <definedName name="GDALL">#REF!,#REF!,#REF!,#REF!</definedName>
    <definedName name="gdp_grate">#REF!</definedName>
    <definedName name="gdp_grate_h">#REF!</definedName>
    <definedName name="gdp_grate_vh">#REF!</definedName>
    <definedName name="GDP_Growth">#REF!</definedName>
    <definedName name="gegerrtetetr" localSheetId="1" hidden="1">{#N/A,#N/A,FALSE,"GLDwnLoad"}</definedName>
    <definedName name="gegerrtetetr" localSheetId="32" hidden="1">{#N/A,#N/A,FALSE,"GLDwnLoad"}</definedName>
    <definedName name="gegerrtetetr" localSheetId="6" hidden="1">{#N/A,#N/A,FALSE,"GLDwnLoad"}</definedName>
    <definedName name="gegerrtetetr" localSheetId="4" hidden="1">{#N/A,#N/A,FALSE,"GLDwnLoad"}</definedName>
    <definedName name="gegerrtetetr" localSheetId="5" hidden="1">{#N/A,#N/A,FALSE,"GLDwnLoad"}</definedName>
    <definedName name="gegerrtetetr" localSheetId="7" hidden="1">{#N/A,#N/A,FALSE,"GLDwnLoad"}</definedName>
    <definedName name="gegerrtetetr" localSheetId="3" hidden="1">{#N/A,#N/A,FALSE,"GLDwnLoad"}</definedName>
    <definedName name="gegerrtetetr" localSheetId="29" hidden="1">{#N/A,#N/A,FALSE,"GLDwnLoad"}</definedName>
    <definedName name="gegerrtetetr" localSheetId="47" hidden="1">{#N/A,#N/A,FALSE,"GLDwnLoad"}</definedName>
    <definedName name="gegerrtetetr" hidden="1">{#N/A,#N/A,FALSE,"GLDwnLoad"}</definedName>
    <definedName name="GeogiaPac">#REF!</definedName>
    <definedName name="gfgfgf" localSheetId="1" hidden="1">{"pb",#N/A,FALSE,"Sheet3";"pd",#N/A,FALSE,"Sheet3";"pe",#N/A,FALSE,"Sheet3"}</definedName>
    <definedName name="gfgfgf" localSheetId="32" hidden="1">{"pb",#N/A,FALSE,"Sheet3";"pd",#N/A,FALSE,"Sheet3";"pe",#N/A,FALSE,"Sheet3"}</definedName>
    <definedName name="gfgfgf" localSheetId="6" hidden="1">{"pb",#N/A,FALSE,"Sheet3";"pd",#N/A,FALSE,"Sheet3";"pe",#N/A,FALSE,"Sheet3"}</definedName>
    <definedName name="gfgfgf" localSheetId="4" hidden="1">{"pb",#N/A,FALSE,"Sheet3";"pd",#N/A,FALSE,"Sheet3";"pe",#N/A,FALSE,"Sheet3"}</definedName>
    <definedName name="gfgfgf" localSheetId="5" hidden="1">{"pb",#N/A,FALSE,"Sheet3";"pd",#N/A,FALSE,"Sheet3";"pe",#N/A,FALSE,"Sheet3"}</definedName>
    <definedName name="gfgfgf" localSheetId="7" hidden="1">{"pb",#N/A,FALSE,"Sheet3";"pd",#N/A,FALSE,"Sheet3";"pe",#N/A,FALSE,"Sheet3"}</definedName>
    <definedName name="gfgfgf" localSheetId="3" hidden="1">{"pb",#N/A,FALSE,"Sheet3";"pd",#N/A,FALSE,"Sheet3";"pe",#N/A,FALSE,"Sheet3"}</definedName>
    <definedName name="gfgfgf" localSheetId="29" hidden="1">{"pb",#N/A,FALSE,"Sheet3";"pd",#N/A,FALSE,"Sheet3";"pe",#N/A,FALSE,"Sheet3"}</definedName>
    <definedName name="gfgfgf" localSheetId="47" hidden="1">{"pb",#N/A,FALSE,"Sheet3";"pd",#N/A,FALSE,"Sheet3";"pe",#N/A,FALSE,"Sheet3"}</definedName>
    <definedName name="gfgfgf" hidden="1">{"pb",#N/A,FALSE,"Sheet3";"pd",#N/A,FALSE,"Sheet3";"pe",#N/A,FALSE,"Sheet3"}</definedName>
    <definedName name="gfhj" localSheetId="1" hidden="1">#REF!</definedName>
    <definedName name="gfhj" localSheetId="5" hidden="1">#REF!</definedName>
    <definedName name="gfhj" localSheetId="3" hidden="1">#REF!</definedName>
    <definedName name="gfhj" localSheetId="29" hidden="1">#REF!</definedName>
    <definedName name="gfhj" hidden="1">#REF!</definedName>
    <definedName name="GGG" localSheetId="3">#REF!</definedName>
    <definedName name="GGG">#REF!</definedName>
    <definedName name="gggggg" localSheetId="5" hidden="1">#REF!</definedName>
    <definedName name="gggggg" localSheetId="3" hidden="1">#REF!</definedName>
    <definedName name="gggggg" localSheetId="29" hidden="1">#REF!</definedName>
    <definedName name="gggggg" hidden="1">#REF!</definedName>
    <definedName name="ghfgh">#REF!</definedName>
    <definedName name="ghjk" localSheetId="5" hidden="1">#REF!</definedName>
    <definedName name="ghjk" localSheetId="3" hidden="1">#REF!</definedName>
    <definedName name="ghjk" localSheetId="29" hidden="1">#REF!</definedName>
    <definedName name="ghjk" hidden="1">#REF!</definedName>
    <definedName name="gita" localSheetId="32" hidden="1">{#N/A,#N/A,FALSE,"O&amp;M by processes";#N/A,#N/A,FALSE,"Elec Act vs Bud";#N/A,#N/A,FALSE,"G&amp;A";#N/A,#N/A,FALSE,"BGS";#N/A,#N/A,FALSE,"Res Cost"}</definedName>
    <definedName name="gita" localSheetId="6" hidden="1">{#N/A,#N/A,FALSE,"O&amp;M by processes";#N/A,#N/A,FALSE,"Elec Act vs Bud";#N/A,#N/A,FALSE,"G&amp;A";#N/A,#N/A,FALSE,"BGS";#N/A,#N/A,FALSE,"Res Cost"}</definedName>
    <definedName name="gita" localSheetId="7" hidden="1">{#N/A,#N/A,FALSE,"O&amp;M by processes";#N/A,#N/A,FALSE,"Elec Act vs Bud";#N/A,#N/A,FALSE,"G&amp;A";#N/A,#N/A,FALSE,"BGS";#N/A,#N/A,FALSE,"Res Cost"}</definedName>
    <definedName name="gita" localSheetId="3" hidden="1">{#N/A,#N/A,FALSE,"O&amp;M by processes";#N/A,#N/A,FALSE,"Elec Act vs Bud";#N/A,#N/A,FALSE,"G&amp;A";#N/A,#N/A,FALSE,"BGS";#N/A,#N/A,FALSE,"Res Cost"}</definedName>
    <definedName name="gita" localSheetId="29" hidden="1">{#N/A,#N/A,FALSE,"O&amp;M by processes";#N/A,#N/A,FALSE,"Elec Act vs Bud";#N/A,#N/A,FALSE,"G&amp;A";#N/A,#N/A,FALSE,"BGS";#N/A,#N/A,FALSE,"Res Cost"}</definedName>
    <definedName name="gita" localSheetId="47"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32" hidden="1">{#N/A,#N/A,FALSE,"O&amp;M by processes";#N/A,#N/A,FALSE,"Elec Act vs Bud";#N/A,#N/A,FALSE,"G&amp;A";#N/A,#N/A,FALSE,"BGS";#N/A,#N/A,FALSE,"Res Cost"}</definedName>
    <definedName name="gitah" localSheetId="6" hidden="1">{#N/A,#N/A,FALSE,"O&amp;M by processes";#N/A,#N/A,FALSE,"Elec Act vs Bud";#N/A,#N/A,FALSE,"G&amp;A";#N/A,#N/A,FALSE,"BGS";#N/A,#N/A,FALSE,"Res Cost"}</definedName>
    <definedName name="gitah" localSheetId="7" hidden="1">{#N/A,#N/A,FALSE,"O&amp;M by processes";#N/A,#N/A,FALSE,"Elec Act vs Bud";#N/A,#N/A,FALSE,"G&amp;A";#N/A,#N/A,FALSE,"BGS";#N/A,#N/A,FALSE,"Res Cost"}</definedName>
    <definedName name="gitah" localSheetId="3" hidden="1">{#N/A,#N/A,FALSE,"O&amp;M by processes";#N/A,#N/A,FALSE,"Elec Act vs Bud";#N/A,#N/A,FALSE,"G&amp;A";#N/A,#N/A,FALSE,"BGS";#N/A,#N/A,FALSE,"Res Cost"}</definedName>
    <definedName name="gitah" localSheetId="29" hidden="1">{#N/A,#N/A,FALSE,"O&amp;M by processes";#N/A,#N/A,FALSE,"Elec Act vs Bud";#N/A,#N/A,FALSE,"G&amp;A";#N/A,#N/A,FALSE,"BGS";#N/A,#N/A,FALSE,"Res Cost"}</definedName>
    <definedName name="gitah" localSheetId="47" hidden="1">{#N/A,#N/A,FALSE,"O&amp;M by processes";#N/A,#N/A,FALSE,"Elec Act vs Bud";#N/A,#N/A,FALSE,"G&amp;A";#N/A,#N/A,FALSE,"BGS";#N/A,#N/A,FALSE,"Res Cost"}</definedName>
    <definedName name="gitah" hidden="1">{#N/A,#N/A,FALSE,"O&amp;M by processes";#N/A,#N/A,FALSE,"Elec Act vs Bud";#N/A,#N/A,FALSE,"G&amp;A";#N/A,#N/A,FALSE,"BGS";#N/A,#N/A,FALSE,"Res Cost"}</definedName>
    <definedName name="goaway" localSheetId="32" hidden="1">{#N/A,#N/A,TRUE,"TAXPROV";#N/A,#N/A,TRUE,"FLOWTHRU";#N/A,#N/A,TRUE,"SCHEDULE M'S";#N/A,#N/A,TRUE,"PLANT M'S";#N/A,#N/A,TRUE,"TAXJE"}</definedName>
    <definedName name="goaway" localSheetId="6" hidden="1">{#N/A,#N/A,TRUE,"TAXPROV";#N/A,#N/A,TRUE,"FLOWTHRU";#N/A,#N/A,TRUE,"SCHEDULE M'S";#N/A,#N/A,TRUE,"PLANT M'S";#N/A,#N/A,TRUE,"TAXJE"}</definedName>
    <definedName name="goaway" localSheetId="7" hidden="1">{#N/A,#N/A,TRUE,"TAXPROV";#N/A,#N/A,TRUE,"FLOWTHRU";#N/A,#N/A,TRUE,"SCHEDULE M'S";#N/A,#N/A,TRUE,"PLANT M'S";#N/A,#N/A,TRUE,"TAXJE"}</definedName>
    <definedName name="goaway" localSheetId="3" hidden="1">{#N/A,#N/A,TRUE,"TAXPROV";#N/A,#N/A,TRUE,"FLOWTHRU";#N/A,#N/A,TRUE,"SCHEDULE M'S";#N/A,#N/A,TRUE,"PLANT M'S";#N/A,#N/A,TRUE,"TAXJE"}</definedName>
    <definedName name="goaway" localSheetId="29" hidden="1">{#N/A,#N/A,TRUE,"TAXPROV";#N/A,#N/A,TRUE,"FLOWTHRU";#N/A,#N/A,TRUE,"SCHEDULE M'S";#N/A,#N/A,TRUE,"PLANT M'S";#N/A,#N/A,TRUE,"TAXJE"}</definedName>
    <definedName name="goaway" localSheetId="47" hidden="1">{#N/A,#N/A,TRUE,"TAXPROV";#N/A,#N/A,TRUE,"FLOWTHRU";#N/A,#N/A,TRUE,"SCHEDULE M'S";#N/A,#N/A,TRUE,"PLANT M'S";#N/A,#N/A,TRUE,"TAXJE"}</definedName>
    <definedName name="goaway" hidden="1">{#N/A,#N/A,TRUE,"TAXPROV";#N/A,#N/A,TRUE,"FLOWTHRU";#N/A,#N/A,TRUE,"SCHEDULE M'S";#N/A,#N/A,TRUE,"PLANT M'S";#N/A,#N/A,TRUE,"TAXJE"}</definedName>
    <definedName name="GOEXP">#REF!</definedName>
    <definedName name="GOEXP_PROFORMA">#REF!</definedName>
    <definedName name="gONE" localSheetId="6">#REF!</definedName>
    <definedName name="gONE" localSheetId="3">#REF!</definedName>
    <definedName name="gONE">#REF!</definedName>
    <definedName name="gONE_3" localSheetId="3">#REF!</definedName>
    <definedName name="gONE_3">#REF!</definedName>
    <definedName name="gONE_4" localSheetId="3">#REF!</definedName>
    <definedName name="gONE_4">#REF!</definedName>
    <definedName name="GOPLANT" localSheetId="6">#REF!</definedName>
    <definedName name="GOPLANT" localSheetId="3">#REF!</definedName>
    <definedName name="GOPLANT">#REF!</definedName>
    <definedName name="GOPLANT_PROFORMA">#REF!</definedName>
    <definedName name="got" localSheetId="1" hidden="1">#REF!</definedName>
    <definedName name="got" localSheetId="5" hidden="1">#REF!</definedName>
    <definedName name="got" localSheetId="3" hidden="1">#REF!</definedName>
    <definedName name="got" localSheetId="29" hidden="1">#REF!</definedName>
    <definedName name="got" hidden="1">#REF!</definedName>
    <definedName name="GRLU">#REF!</definedName>
    <definedName name="Grouping_RateBase" localSheetId="3">#REF!</definedName>
    <definedName name="Grouping_RateBase">#REF!</definedName>
    <definedName name="GROWTH" localSheetId="6">#REF!</definedName>
    <definedName name="GROWTH" localSheetId="3">#REF!</definedName>
    <definedName name="GROWTH">#REF!</definedName>
    <definedName name="GROWTH_Table">#REF!</definedName>
    <definedName name="growth1st01">#REF!</definedName>
    <definedName name="growth1st02">#REF!</definedName>
    <definedName name="growth1st03">#REF!</definedName>
    <definedName name="growth1st04">#REF!</definedName>
    <definedName name="growth1st05">#REF!</definedName>
    <definedName name="growth1st06">#REF!</definedName>
    <definedName name="growth1st07">#REF!</definedName>
    <definedName name="growth1st08">#REF!</definedName>
    <definedName name="growth1st09">#REF!</definedName>
    <definedName name="growth1st10">#REF!</definedName>
    <definedName name="growth1st11">#REF!</definedName>
    <definedName name="growth1st12">#REF!</definedName>
    <definedName name="growth1st13">#REF!</definedName>
    <definedName name="growth1st14">#REF!</definedName>
    <definedName name="growth1st15">#REF!</definedName>
    <definedName name="growth1st16">#REF!</definedName>
    <definedName name="growth1st17">#REF!</definedName>
    <definedName name="growth1st18">#REF!</definedName>
    <definedName name="growth1st19">#REF!</definedName>
    <definedName name="growth1st20">#REF!</definedName>
    <definedName name="growth1st21">#REF!</definedName>
    <definedName name="growth1st22">#REF!</definedName>
    <definedName name="growth1st23">#REF!</definedName>
    <definedName name="growth1st24">#REF!</definedName>
    <definedName name="growth1st25">#REF!</definedName>
    <definedName name="growthnum21" localSheetId="6">#REF!</definedName>
    <definedName name="growthnum21" localSheetId="3">#REF!</definedName>
    <definedName name="growthnum21">#REF!</definedName>
    <definedName name="GrowthSS01" localSheetId="6">#REF!</definedName>
    <definedName name="GrowthSS01" localSheetId="3">#REF!</definedName>
    <definedName name="GrowthSS01">#REF!</definedName>
    <definedName name="GrowthSS02" localSheetId="6">#REF!</definedName>
    <definedName name="GrowthSS02">#REF!</definedName>
    <definedName name="GrowthSS03" localSheetId="6">#REF!</definedName>
    <definedName name="GrowthSS03">#REF!</definedName>
    <definedName name="GrowthSS04" localSheetId="6">#REF!</definedName>
    <definedName name="GrowthSS04">#REF!</definedName>
    <definedName name="GrowthSS05" localSheetId="6">#REF!</definedName>
    <definedName name="GrowthSS05">#REF!</definedName>
    <definedName name="GrowthSS06" localSheetId="6">#REF!</definedName>
    <definedName name="GrowthSS06">#REF!</definedName>
    <definedName name="GrowthSS07" localSheetId="6">#REF!</definedName>
    <definedName name="GrowthSS07">#REF!</definedName>
    <definedName name="GrowthSS08" localSheetId="6">#REF!</definedName>
    <definedName name="GrowthSS08">#REF!</definedName>
    <definedName name="GrowthSS09" localSheetId="6">#REF!</definedName>
    <definedName name="GrowthSS09">#REF!</definedName>
    <definedName name="GrowthSS10" localSheetId="6">#REF!</definedName>
    <definedName name="GrowthSS10">#REF!</definedName>
    <definedName name="GrowthSS11" localSheetId="6">#REF!</definedName>
    <definedName name="GrowthSS11">#REF!</definedName>
    <definedName name="GrowthSS12" localSheetId="6">#REF!</definedName>
    <definedName name="GrowthSS12">#REF!</definedName>
    <definedName name="GrowthSS13" localSheetId="6">#REF!</definedName>
    <definedName name="GrowthSS13">#REF!</definedName>
    <definedName name="GrowthSS14" localSheetId="6">#REF!</definedName>
    <definedName name="GrowthSS14">#REF!</definedName>
    <definedName name="GrowthSS15" localSheetId="6">#REF!</definedName>
    <definedName name="GrowthSS15">#REF!</definedName>
    <definedName name="GrowthSS16" localSheetId="6">#REF!</definedName>
    <definedName name="GrowthSS16">#REF!</definedName>
    <definedName name="GrowthSS17" localSheetId="6">#REF!</definedName>
    <definedName name="GrowthSS17">#REF!</definedName>
    <definedName name="GrowthSS18" localSheetId="6">#REF!</definedName>
    <definedName name="GrowthSS18">#REF!</definedName>
    <definedName name="GrowthSS19" localSheetId="6">#REF!</definedName>
    <definedName name="GrowthSS19">#REF!</definedName>
    <definedName name="GrowthSS20" localSheetId="6">#REF!</definedName>
    <definedName name="GrowthSS20">#REF!</definedName>
    <definedName name="GrowthSS21" localSheetId="6">#REF!</definedName>
    <definedName name="GrowthSS21">#REF!</definedName>
    <definedName name="GrowthSS22" localSheetId="6">#REF!</definedName>
    <definedName name="GrowthSS22">#REF!</definedName>
    <definedName name="GrowthSS23" localSheetId="6">#REF!</definedName>
    <definedName name="GrowthSS23">#REF!</definedName>
    <definedName name="GrowthSS24" localSheetId="6">#REF!</definedName>
    <definedName name="GrowthSS24">#REF!</definedName>
    <definedName name="GrowthSS25" localSheetId="6">#REF!</definedName>
    <definedName name="GrowthSS25">#REF!</definedName>
    <definedName name="GrowthTrans01" localSheetId="6">#REF!</definedName>
    <definedName name="GrowthTrans01">#REF!</definedName>
    <definedName name="GrowthTrans02" localSheetId="6">#REF!</definedName>
    <definedName name="GrowthTrans02">#REF!</definedName>
    <definedName name="GrowthTrans03" localSheetId="6">#REF!</definedName>
    <definedName name="GrowthTrans03">#REF!</definedName>
    <definedName name="GrowthTrans04" localSheetId="6">#REF!</definedName>
    <definedName name="GrowthTrans04">#REF!</definedName>
    <definedName name="GrowthTrans05" localSheetId="6">#REF!</definedName>
    <definedName name="GrowthTrans05">#REF!</definedName>
    <definedName name="GrowthTrans06" localSheetId="6">#REF!</definedName>
    <definedName name="GrowthTrans06">#REF!</definedName>
    <definedName name="GrowthTrans07" localSheetId="6">#REF!</definedName>
    <definedName name="GrowthTrans07">#REF!</definedName>
    <definedName name="GrowthTrans08" localSheetId="6">#REF!</definedName>
    <definedName name="GrowthTrans08">#REF!</definedName>
    <definedName name="GrowthTrans09" localSheetId="6">#REF!</definedName>
    <definedName name="GrowthTrans09">#REF!</definedName>
    <definedName name="GrowthTrans10" localSheetId="6">#REF!</definedName>
    <definedName name="GrowthTrans10">#REF!</definedName>
    <definedName name="GrowthTrans11" localSheetId="6">#REF!</definedName>
    <definedName name="GrowthTrans11">#REF!</definedName>
    <definedName name="GrowthTrans12" localSheetId="6">#REF!</definedName>
    <definedName name="GrowthTrans12">#REF!</definedName>
    <definedName name="GrowthTrans13" localSheetId="6">#REF!</definedName>
    <definedName name="GrowthTrans13">#REF!</definedName>
    <definedName name="GrowthTrans14" localSheetId="6">#REF!</definedName>
    <definedName name="GrowthTrans14">#REF!</definedName>
    <definedName name="GrowthTrans15" localSheetId="6">#REF!</definedName>
    <definedName name="GrowthTrans15">#REF!</definedName>
    <definedName name="GrowthTrans16" localSheetId="6">#REF!</definedName>
    <definedName name="GrowthTrans16">#REF!</definedName>
    <definedName name="GrowthTrans17" localSheetId="6">#REF!</definedName>
    <definedName name="GrowthTrans17">#REF!</definedName>
    <definedName name="GrowthTrans18" localSheetId="6">#REF!</definedName>
    <definedName name="GrowthTrans18">#REF!</definedName>
    <definedName name="GrowthTrans19" localSheetId="6">#REF!</definedName>
    <definedName name="GrowthTrans19">#REF!</definedName>
    <definedName name="GrowthTrans20" localSheetId="6">#REF!</definedName>
    <definedName name="GrowthTrans20">#REF!</definedName>
    <definedName name="GrowthTrans21" localSheetId="6">#REF!</definedName>
    <definedName name="GrowthTrans21">#REF!</definedName>
    <definedName name="GrowthTrans22" localSheetId="6">#REF!</definedName>
    <definedName name="GrowthTrans22">#REF!</definedName>
    <definedName name="GrowthTrans23" localSheetId="6">#REF!</definedName>
    <definedName name="GrowthTrans23">#REF!</definedName>
    <definedName name="GrowthTrans24" localSheetId="6">#REF!</definedName>
    <definedName name="GrowthTrans24">#REF!</definedName>
    <definedName name="GrowthTrans25" localSheetId="6">#REF!</definedName>
    <definedName name="GrowthTrans25">#REF!</definedName>
    <definedName name="haha" localSheetId="1" hidden="1">{"OMPA_FAC",#N/A,FALSE,"OMPA FAC"}</definedName>
    <definedName name="haha" localSheetId="32" hidden="1">{"OMPA_FAC",#N/A,FALSE,"OMPA FAC"}</definedName>
    <definedName name="haha" localSheetId="6" hidden="1">{"OMPA_FAC",#N/A,FALSE,"OMPA FAC"}</definedName>
    <definedName name="haha" localSheetId="4" hidden="1">{"OMPA_FAC",#N/A,FALSE,"OMPA FAC"}</definedName>
    <definedName name="haha" localSheetId="5" hidden="1">{"OMPA_FAC",#N/A,FALSE,"OMPA FAC"}</definedName>
    <definedName name="haha" localSheetId="7" hidden="1">{"OMPA_FAC",#N/A,FALSE,"OMPA FAC"}</definedName>
    <definedName name="haha" localSheetId="3" hidden="1">{"OMPA_FAC",#N/A,FALSE,"OMPA FAC"}</definedName>
    <definedName name="haha" localSheetId="47" hidden="1">{"OMPA_FAC",#N/A,FALSE,"OMPA FAC"}</definedName>
    <definedName name="haha" hidden="1">{"OMPA_FAC",#N/A,FALSE,"OMPA FAC"}</definedName>
    <definedName name="HB2INCOME" localSheetId="3">#REF!</definedName>
    <definedName name="HB2INCOME">#REF!</definedName>
    <definedName name="HBINCOME" localSheetId="3">#REF!</definedName>
    <definedName name="HBINCOME">#REF!</definedName>
    <definedName name="Header_Row">ROW(#REF!)</definedName>
    <definedName name="henry" localSheetId="6">#REF!</definedName>
    <definedName name="henry" localSheetId="3">#REF!</definedName>
    <definedName name="henry">#REF!</definedName>
    <definedName name="HertzData">#REF!</definedName>
    <definedName name="HertzRes">#REF!</definedName>
    <definedName name="hhhdffg" localSheetId="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3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4"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5"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2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4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hh" localSheetId="1" hidden="1">#REF!</definedName>
    <definedName name="hhhhh" localSheetId="5" hidden="1">#REF!</definedName>
    <definedName name="hhhhh" localSheetId="3" hidden="1">#REF!</definedName>
    <definedName name="hhhhh" localSheetId="29" hidden="1">#REF!</definedName>
    <definedName name="hhhhh" hidden="1">#REF!</definedName>
    <definedName name="Histogram" localSheetId="3">#REF!</definedName>
    <definedName name="Histogram">#REF!</definedName>
    <definedName name="history" localSheetId="3">#REF!</definedName>
    <definedName name="history">#REF!</definedName>
    <definedName name="hldgpd" localSheetId="3">#REF!</definedName>
    <definedName name="hldgpd">#REF!</definedName>
    <definedName name="HLP_DIV_RETIRE_TRFS_REPORT" localSheetId="3">#REF!</definedName>
    <definedName name="HLP_DIV_RETIRE_TRFS_REPORT">#REF!</definedName>
    <definedName name="HMMM"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3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4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n._I006" localSheetId="6" hidden="1">#REF!</definedName>
    <definedName name="hn._I006" localSheetId="7" hidden="1">#REF!</definedName>
    <definedName name="hn._I006" hidden="1">#REF!</definedName>
    <definedName name="hn._I018" localSheetId="6" hidden="1">#REF!</definedName>
    <definedName name="hn._I018" localSheetId="7" hidden="1">#REF!</definedName>
    <definedName name="hn._I018" localSheetId="3" hidden="1">#REF!</definedName>
    <definedName name="hn._I018" hidden="1">#REF!</definedName>
    <definedName name="hn._I024" localSheetId="6" hidden="1">#REF!</definedName>
    <definedName name="hn._I024" localSheetId="7" hidden="1">#REF!</definedName>
    <definedName name="hn._I024" localSheetId="3" hidden="1">#REF!</definedName>
    <definedName name="hn._I024" hidden="1">#REF!</definedName>
    <definedName name="hn._I028" localSheetId="3" hidden="1">#REF!</definedName>
    <definedName name="hn._I028" hidden="1">#REF!</definedName>
    <definedName name="hn._I029" localSheetId="3" hidden="1">#REF!</definedName>
    <definedName name="hn._I029" hidden="1">#REF!</definedName>
    <definedName name="hn._I030" localSheetId="3" hidden="1">#REF!</definedName>
    <definedName name="hn._I030" hidden="1">#REF!</definedName>
    <definedName name="hn._I031" localSheetId="3" hidden="1">#REF!</definedName>
    <definedName name="hn._I031" hidden="1">#REF!</definedName>
    <definedName name="hn._I059" localSheetId="3" hidden="1">#REF!</definedName>
    <definedName name="hn._I059" hidden="1">#REF!</definedName>
    <definedName name="hn._I071" localSheetId="3" hidden="1">#REF!</definedName>
    <definedName name="hn._I071" hidden="1">#REF!</definedName>
    <definedName name="hn._I075" localSheetId="3" hidden="1">#REF!</definedName>
    <definedName name="hn._I075" hidden="1">#REF!</definedName>
    <definedName name="hn._I083" localSheetId="3" hidden="1">#REF!</definedName>
    <definedName name="hn._I083" hidden="1">#REF!</definedName>
    <definedName name="hn._I085" localSheetId="3" hidden="1">#REF!</definedName>
    <definedName name="hn._I085" hidden="1">#REF!</definedName>
    <definedName name="hn._P001" localSheetId="3" hidden="1">#REF!</definedName>
    <definedName name="hn._P001" hidden="1">#REF!</definedName>
    <definedName name="hn._P004" localSheetId="3" hidden="1">#REF!</definedName>
    <definedName name="hn._P004" hidden="1">#REF!</definedName>
    <definedName name="hn._P014" localSheetId="3" hidden="1">#REF!</definedName>
    <definedName name="hn._P014" hidden="1">#REF!</definedName>
    <definedName name="hn._P016" localSheetId="3" hidden="1">#REF!</definedName>
    <definedName name="hn._P016" hidden="1">#REF!</definedName>
    <definedName name="hn._P021" localSheetId="3" hidden="1">#REF!</definedName>
    <definedName name="hn._P021" hidden="1">#REF!</definedName>
    <definedName name="hn._P024" localSheetId="3" hidden="1">#REF!</definedName>
    <definedName name="hn._P024" hidden="1">#REF!</definedName>
    <definedName name="hn.Add015" localSheetId="3" hidden="1">#REF!</definedName>
    <definedName name="hn.Add015" hidden="1">#REF!</definedName>
    <definedName name="hn.Delete015" localSheetId="6" hidden="1">#REF!,#REF!,#REF!,#REF!,#REF!</definedName>
    <definedName name="hn.Delete015" localSheetId="7" hidden="1">#REF!,#REF!,#REF!,#REF!,#REF!</definedName>
    <definedName name="hn.Delete015" localSheetId="3" hidden="1">#REF!,#REF!,#REF!,#REF!,#REF!</definedName>
    <definedName name="hn.Delete015" hidden="1">#REF!,#REF!,#REF!,#REF!,#REF!</definedName>
    <definedName name="hn.ModelVersion" hidden="1">1</definedName>
    <definedName name="hn.NoUpload" hidden="1">0</definedName>
    <definedName name="hn.PrivateLTMYear" localSheetId="6" hidden="1">#REF!</definedName>
    <definedName name="hn.PrivateLTMYear" localSheetId="7" hidden="1">#REF!</definedName>
    <definedName name="hn.PrivateLTMYear" localSheetId="3" hidden="1">#REF!</definedName>
    <definedName name="hn.PrivateLTMYear" hidden="1">#REF!</definedName>
    <definedName name="hrehehr" localSheetId="1" hidden="1">{"caz2",#N/A,FALSE,"Central Arizona 2";"saz2",#N/A,FALSE,"Southern Arizona 2";"snv2",#N/A,FALSE,"Southern Nevada 2";"nnv2",#N/A,FALSE,"Northern Nevada 2";"sca2",#N/A,FALSE,"Southern California 2";"nca2",#N/A,FALSE,"Northern California 2";"pai2",#N/A,FALSE,"Paiute 2"}</definedName>
    <definedName name="hrehehr" localSheetId="32" hidden="1">{"caz2",#N/A,FALSE,"Central Arizona 2";"saz2",#N/A,FALSE,"Southern Arizona 2";"snv2",#N/A,FALSE,"Southern Nevada 2";"nnv2",#N/A,FALSE,"Northern Nevada 2";"sca2",#N/A,FALSE,"Southern California 2";"nca2",#N/A,FALSE,"Northern California 2";"pai2",#N/A,FALSE,"Paiute 2"}</definedName>
    <definedName name="hrehehr" localSheetId="6" hidden="1">{"caz2",#N/A,FALSE,"Central Arizona 2";"saz2",#N/A,FALSE,"Southern Arizona 2";"snv2",#N/A,FALSE,"Southern Nevada 2";"nnv2",#N/A,FALSE,"Northern Nevada 2";"sca2",#N/A,FALSE,"Southern California 2";"nca2",#N/A,FALSE,"Northern California 2";"pai2",#N/A,FALSE,"Paiute 2"}</definedName>
    <definedName name="hrehehr" localSheetId="4" hidden="1">{"caz2",#N/A,FALSE,"Central Arizona 2";"saz2",#N/A,FALSE,"Southern Arizona 2";"snv2",#N/A,FALSE,"Southern Nevada 2";"nnv2",#N/A,FALSE,"Northern Nevada 2";"sca2",#N/A,FALSE,"Southern California 2";"nca2",#N/A,FALSE,"Northern California 2";"pai2",#N/A,FALSE,"Paiute 2"}</definedName>
    <definedName name="hrehehr" localSheetId="5" hidden="1">{"caz2",#N/A,FALSE,"Central Arizona 2";"saz2",#N/A,FALSE,"Southern Arizona 2";"snv2",#N/A,FALSE,"Southern Nevada 2";"nnv2",#N/A,FALSE,"Northern Nevada 2";"sca2",#N/A,FALSE,"Southern California 2";"nca2",#N/A,FALSE,"Northern California 2";"pai2",#N/A,FALSE,"Paiute 2"}</definedName>
    <definedName name="hrehehr" localSheetId="7" hidden="1">{"caz2",#N/A,FALSE,"Central Arizona 2";"saz2",#N/A,FALSE,"Southern Arizona 2";"snv2",#N/A,FALSE,"Southern Nevada 2";"nnv2",#N/A,FALSE,"Northern Nevada 2";"sca2",#N/A,FALSE,"Southern California 2";"nca2",#N/A,FALSE,"Northern California 2";"pai2",#N/A,FALSE,"Paiute 2"}</definedName>
    <definedName name="hrehehr" localSheetId="3" hidden="1">{"caz2",#N/A,FALSE,"Central Arizona 2";"saz2",#N/A,FALSE,"Southern Arizona 2";"snv2",#N/A,FALSE,"Southern Nevada 2";"nnv2",#N/A,FALSE,"Northern Nevada 2";"sca2",#N/A,FALSE,"Southern California 2";"nca2",#N/A,FALSE,"Northern California 2";"pai2",#N/A,FALSE,"Paiute 2"}</definedName>
    <definedName name="hrehehr" localSheetId="29" hidden="1">{"caz2",#N/A,FALSE,"Central Arizona 2";"saz2",#N/A,FALSE,"Southern Arizona 2";"snv2",#N/A,FALSE,"Southern Nevada 2";"nnv2",#N/A,FALSE,"Northern Nevada 2";"sca2",#N/A,FALSE,"Southern California 2";"nca2",#N/A,FALSE,"Northern California 2";"pai2",#N/A,FALSE,"Paiute 2"}</definedName>
    <definedName name="hrehehr" localSheetId="47" hidden="1">{"caz2",#N/A,FALSE,"Central Arizona 2";"saz2",#N/A,FALSE,"Southern Arizona 2";"snv2",#N/A,FALSE,"Southern Nevada 2";"nnv2",#N/A,FALSE,"Northern Nevada 2";"sca2",#N/A,FALSE,"Southern California 2";"nca2",#N/A,FALSE,"Northern California 2";"pai2",#N/A,FALSE,"Paiute 2"}</definedName>
    <definedName name="hrehehr" hidden="1">{"caz2",#N/A,FALSE,"Central Arizona 2";"saz2",#N/A,FALSE,"Southern Arizona 2";"snv2",#N/A,FALSE,"Southern Nevada 2";"nnv2",#N/A,FALSE,"Northern Nevada 2";"sca2",#N/A,FALSE,"Southern California 2";"nca2",#N/A,FALSE,"Northern California 2";"pai2",#N/A,FALSE,"Paiute 2"}</definedName>
    <definedName name="HTML_CodePage" hidden="1">1252</definedName>
    <definedName name="HTML_Control" localSheetId="1" hidden="1">{"'Sheet1'!$A$1:$O$40"}</definedName>
    <definedName name="HTML_Control" localSheetId="32" hidden="1">{"'Sheet1'!$A$1:$O$40"}</definedName>
    <definedName name="HTML_Control" localSheetId="6" hidden="1">{"'Sheet1'!$A$1:$O$40"}</definedName>
    <definedName name="HTML_Control" localSheetId="4" hidden="1">{"'Sheet1'!$A$1:$O$40"}</definedName>
    <definedName name="HTML_Control" localSheetId="5" hidden="1">{"'Sheet1'!$A$1:$O$40"}</definedName>
    <definedName name="HTML_Control" localSheetId="7" hidden="1">{"'Sheet1'!$A$1:$O$40"}</definedName>
    <definedName name="HTML_Control" localSheetId="3" hidden="1">{"'Sheet1'!$A$1:$O$40"}</definedName>
    <definedName name="HTML_Control" localSheetId="29" hidden="1">{"'Sheet1'!$A$1:$O$40"}</definedName>
    <definedName name="HTML_Control" localSheetId="47" hidden="1">{"'Sheet1'!$A$1:$O$40"}</definedName>
    <definedName name="HTML_Control" hidden="1">{"'Sheet1'!$A$1:$O$40"}</definedName>
    <definedName name="HTML_Description" hidden="1">""</definedName>
    <definedName name="HTML_Email" hidden="1">""</definedName>
    <definedName name="HTML_Header" hidden="1">"Sheet1"</definedName>
    <definedName name="HTML_LastUpdate" hidden="1">"2/5/99"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HD:HomePageStuff:pc:datasets:implprem.html"</definedName>
    <definedName name="HTML_Title" hidden="1">"S&amp;P Implied Equity Premiums"</definedName>
    <definedName name="HTML1_1" hidden="1">"[RiskPremiumUS]Sheet1!$A$1:$M$38"</definedName>
    <definedName name="HTML1_10" hidden="1">""</definedName>
    <definedName name="HTML1_11" hidden="1">1</definedName>
    <definedName name="HTML1_12" hidden="1">"Zip 100:New_Home_Page:datafile:implpr.html"</definedName>
    <definedName name="HTML1_2" hidden="1">1</definedName>
    <definedName name="HTML1_3" hidden="1">"RiskPremiumUS"</definedName>
    <definedName name="HTML1_4" hidden="1">"Implied Risk Premiums for US"</definedName>
    <definedName name="HTML1_5" hidden="1">""</definedName>
    <definedName name="HTML1_6" hidden="1">-4146</definedName>
    <definedName name="HTML1_7" hidden="1">-4146</definedName>
    <definedName name="HTML1_8" hidden="1">"3/19/97"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1</definedName>
    <definedName name="i" localSheetId="1" hidden="1">{"Support Net Plant=Net Utility Plant",#N/A,FALSE,"Net Plant"}</definedName>
    <definedName name="i" localSheetId="32" hidden="1">{"Support Net Plant=Net Utility Plant",#N/A,FALSE,"Net Plant"}</definedName>
    <definedName name="i" localSheetId="6" hidden="1">{"Support Net Plant=Net Utility Plant",#N/A,FALSE,"Net Plant"}</definedName>
    <definedName name="i" localSheetId="4" hidden="1">{"Support Net Plant=Net Utility Plant",#N/A,FALSE,"Net Plant"}</definedName>
    <definedName name="i" localSheetId="5" hidden="1">{"Support Net Plant=Net Utility Plant",#N/A,FALSE,"Net Plant"}</definedName>
    <definedName name="i" localSheetId="7" hidden="1">{"Support Net Plant=Net Utility Plant",#N/A,FALSE,"Net Plant"}</definedName>
    <definedName name="i" localSheetId="3" hidden="1">{"Support Net Plant=Net Utility Plant",#N/A,FALSE,"Net Plant"}</definedName>
    <definedName name="i" localSheetId="29" hidden="1">{"Support Net Plant=Net Utility Plant",#N/A,FALSE,"Net Plant"}</definedName>
    <definedName name="i" localSheetId="47" hidden="1">{"Support Net Plant=Net Utility Plant",#N/A,FALSE,"Net Plant"}</definedName>
    <definedName name="i" hidden="1">{"Support Net Plant=Net Utility Plant",#N/A,FALSE,"Net Plant"}</definedName>
    <definedName name="ifch" localSheetId="1" hidden="1">#REF!</definedName>
    <definedName name="ifch" localSheetId="5" hidden="1">#REF!</definedName>
    <definedName name="ifch" localSheetId="3" hidden="1">#REF!</definedName>
    <definedName name="ifch" localSheetId="29" hidden="1">#REF!</definedName>
    <definedName name="ifch" hidden="1">#REF!</definedName>
    <definedName name="INCOME1" localSheetId="3">#REF!</definedName>
    <definedName name="INCOME1">#REF!</definedName>
    <definedName name="INCOME2" localSheetId="3">#REF!</definedName>
    <definedName name="INCOME2">#REF!</definedName>
    <definedName name="INCOME3" localSheetId="3">#REF!</definedName>
    <definedName name="INCOME3">#REF!</definedName>
    <definedName name="IncomeStatement" localSheetId="32" hidden="1">{#N/A,#N/A,FALSE,"FinStateUS"}</definedName>
    <definedName name="IncomeStatement" localSheetId="6" hidden="1">{#N/A,#N/A,FALSE,"FinStateUS"}</definedName>
    <definedName name="IncomeStatement" localSheetId="7" hidden="1">{#N/A,#N/A,FALSE,"FinStateUS"}</definedName>
    <definedName name="IncomeStatement" localSheetId="3" hidden="1">{#N/A,#N/A,FALSE,"FinStateUS"}</definedName>
    <definedName name="IncomeStatement" localSheetId="47" hidden="1">{#N/A,#N/A,FALSE,"FinStateUS"}</definedName>
    <definedName name="IncomeStatement" hidden="1">{#N/A,#N/A,FALSE,"FinStateUS"}</definedName>
    <definedName name="IncomeStatement6Years" localSheetId="32" hidden="1">{"IncStatement 6 years",#N/A,FALSE,"FinStateUS"}</definedName>
    <definedName name="IncomeStatement6Years" localSheetId="6" hidden="1">{"IncStatement 6 years",#N/A,FALSE,"FinStateUS"}</definedName>
    <definedName name="IncomeStatement6Years" localSheetId="7" hidden="1">{"IncStatement 6 years",#N/A,FALSE,"FinStateUS"}</definedName>
    <definedName name="IncomeStatement6Years" localSheetId="3" hidden="1">{"IncStatement 6 years",#N/A,FALSE,"FinStateUS"}</definedName>
    <definedName name="IncomeStatement6Years" localSheetId="47" hidden="1">{"IncStatement 6 years",#N/A,FALSE,"FinStateUS"}</definedName>
    <definedName name="IncomeStatement6Years" hidden="1">{"IncStatement 6 years",#N/A,FALSE,"FinStateUS"}</definedName>
    <definedName name="ind" localSheetId="6">#REF!</definedName>
    <definedName name="ind" localSheetId="3">#REF!</definedName>
    <definedName name="ind">#REF!</definedName>
    <definedName name="index" localSheetId="6">#REF!</definedName>
    <definedName name="index" localSheetId="3">#REF!</definedName>
    <definedName name="index">#REF!</definedName>
    <definedName name="index_name" localSheetId="3">OFFSET(#REF!,10,0,COUNTA(#REF!),1)</definedName>
    <definedName name="index_name">OFFSET(#REF!,10,0,COUNTA(#REF!),1)</definedName>
    <definedName name="Inflation" localSheetId="1" hidden="1">#REF!</definedName>
    <definedName name="Inflation" hidden="1">#REF!</definedName>
    <definedName name="INPUT" localSheetId="6">#REF!</definedName>
    <definedName name="INPUT" localSheetId="3">#REF!</definedName>
    <definedName name="INPUT">#REF!</definedName>
    <definedName name="Int" localSheetId="6">#REF!</definedName>
    <definedName name="Int" localSheetId="3">#REF!</definedName>
    <definedName name="Int">#REF!</definedName>
    <definedName name="INTACCR001" localSheetId="3">#REF!</definedName>
    <definedName name="INTACCR001">#REF!</definedName>
    <definedName name="INTACCR002" localSheetId="3">#REF!</definedName>
    <definedName name="INTACCR002">#REF!</definedName>
    <definedName name="INTACCR981" localSheetId="3">#REF!</definedName>
    <definedName name="INTACCR981">#REF!</definedName>
    <definedName name="INTACCR982" localSheetId="3">#REF!</definedName>
    <definedName name="INTACCR982">#REF!</definedName>
    <definedName name="INTACCR991" localSheetId="3">#REF!</definedName>
    <definedName name="INTACCR991">#REF!</definedName>
    <definedName name="INTACCR992" localSheetId="3">#REF!</definedName>
    <definedName name="INTACCR992">#REF!</definedName>
    <definedName name="Interest_Rate" localSheetId="3">#REF!</definedName>
    <definedName name="Interest_Rate">#REF!</definedName>
    <definedName name="INTSCH001" localSheetId="3">#REF!</definedName>
    <definedName name="INTSCH001">#REF!</definedName>
    <definedName name="INTSCH002" localSheetId="3">#REF!</definedName>
    <definedName name="INTSCH002">#REF!</definedName>
    <definedName name="INTSCH981" localSheetId="3">#REF!</definedName>
    <definedName name="INTSCH981">#REF!</definedName>
    <definedName name="INTSCH982" localSheetId="3">#REF!</definedName>
    <definedName name="INTSCH982">#REF!</definedName>
    <definedName name="INTSCH991" localSheetId="3">#REF!</definedName>
    <definedName name="INTSCH991">#REF!</definedName>
    <definedName name="INTSCH992" localSheetId="3">#REF!</definedName>
    <definedName name="INTSCH992">#REF!</definedName>
    <definedName name="INTSYNCH">#REF!</definedName>
    <definedName name="ipowAC" localSheetId="1" hidden="1">#REF!</definedName>
    <definedName name="ipowAC" localSheetId="5" hidden="1">#REF!</definedName>
    <definedName name="ipowAC" localSheetId="3" hidden="1">#REF!</definedName>
    <definedName name="ipowAC" localSheetId="29" hidden="1">#REF!</definedName>
    <definedName name="ipowAC"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40164.5046875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39623.4334259259</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uy" localSheetId="1" hidden="1">#REF!</definedName>
    <definedName name="iuy" localSheetId="5" hidden="1">#REF!</definedName>
    <definedName name="iuy" localSheetId="3" hidden="1">#REF!</definedName>
    <definedName name="iuy" localSheetId="29" hidden="1">#REF!</definedName>
    <definedName name="iuy" hidden="1">#REF!</definedName>
    <definedName name="iuyt" localSheetId="1" hidden="1">#REF!</definedName>
    <definedName name="iuyt" localSheetId="5" hidden="1">#REF!</definedName>
    <definedName name="iuyt" localSheetId="3" hidden="1">#REF!</definedName>
    <definedName name="iuyt" localSheetId="29" hidden="1">#REF!</definedName>
    <definedName name="iuyt" hidden="1">#REF!</definedName>
    <definedName name="j" localSheetId="5" hidden="1">#REF!</definedName>
    <definedName name="j" localSheetId="3" hidden="1">#REF!</definedName>
    <definedName name="j" localSheetId="29" hidden="1">#REF!</definedName>
    <definedName name="j" hidden="1">#REF!</definedName>
    <definedName name="JANAMT" localSheetId="3">'2.4 OpCo Proxy Cap Str'!AmtTable</definedName>
    <definedName name="JANAMT">#REF!</definedName>
    <definedName name="JANDT" localSheetId="3">'2.4 OpCo Proxy Cap Str'!DTTable</definedName>
    <definedName name="JANDT">#REF!</definedName>
    <definedName name="JBL">#REF!</definedName>
    <definedName name="jdn" localSheetId="5" hidden="1">#REF!</definedName>
    <definedName name="jdn" localSheetId="3" hidden="1">#REF!</definedName>
    <definedName name="jdn" localSheetId="29" hidden="1">#REF!</definedName>
    <definedName name="jdn" hidden="1">#REF!</definedName>
    <definedName name="je" localSheetId="1" hidden="1">{#N/A,#N/A,FALSE,"SCA";#N/A,#N/A,FALSE,"NCA";#N/A,#N/A,FALSE,"SAZ";#N/A,#N/A,FALSE,"CAZ";#N/A,#N/A,FALSE,"SNV";#N/A,#N/A,FALSE,"NNV";#N/A,#N/A,FALSE,"PP";#N/A,#N/A,FALSE,"SA"}</definedName>
    <definedName name="je" localSheetId="32" hidden="1">{#N/A,#N/A,FALSE,"SCA";#N/A,#N/A,FALSE,"NCA";#N/A,#N/A,FALSE,"SAZ";#N/A,#N/A,FALSE,"CAZ";#N/A,#N/A,FALSE,"SNV";#N/A,#N/A,FALSE,"NNV";#N/A,#N/A,FALSE,"PP";#N/A,#N/A,FALSE,"SA"}</definedName>
    <definedName name="je" localSheetId="6" hidden="1">{#N/A,#N/A,FALSE,"SCA";#N/A,#N/A,FALSE,"NCA";#N/A,#N/A,FALSE,"SAZ";#N/A,#N/A,FALSE,"CAZ";#N/A,#N/A,FALSE,"SNV";#N/A,#N/A,FALSE,"NNV";#N/A,#N/A,FALSE,"PP";#N/A,#N/A,FALSE,"SA"}</definedName>
    <definedName name="je" localSheetId="4" hidden="1">{#N/A,#N/A,FALSE,"SCA";#N/A,#N/A,FALSE,"NCA";#N/A,#N/A,FALSE,"SAZ";#N/A,#N/A,FALSE,"CAZ";#N/A,#N/A,FALSE,"SNV";#N/A,#N/A,FALSE,"NNV";#N/A,#N/A,FALSE,"PP";#N/A,#N/A,FALSE,"SA"}</definedName>
    <definedName name="je" localSheetId="5" hidden="1">{#N/A,#N/A,FALSE,"SCA";#N/A,#N/A,FALSE,"NCA";#N/A,#N/A,FALSE,"SAZ";#N/A,#N/A,FALSE,"CAZ";#N/A,#N/A,FALSE,"SNV";#N/A,#N/A,FALSE,"NNV";#N/A,#N/A,FALSE,"PP";#N/A,#N/A,FALSE,"SA"}</definedName>
    <definedName name="je" localSheetId="7" hidden="1">{#N/A,#N/A,FALSE,"SCA";#N/A,#N/A,FALSE,"NCA";#N/A,#N/A,FALSE,"SAZ";#N/A,#N/A,FALSE,"CAZ";#N/A,#N/A,FALSE,"SNV";#N/A,#N/A,FALSE,"NNV";#N/A,#N/A,FALSE,"PP";#N/A,#N/A,FALSE,"SA"}</definedName>
    <definedName name="je" localSheetId="3" hidden="1">{#N/A,#N/A,FALSE,"SCA";#N/A,#N/A,FALSE,"NCA";#N/A,#N/A,FALSE,"SAZ";#N/A,#N/A,FALSE,"CAZ";#N/A,#N/A,FALSE,"SNV";#N/A,#N/A,FALSE,"NNV";#N/A,#N/A,FALSE,"PP";#N/A,#N/A,FALSE,"SA"}</definedName>
    <definedName name="je" localSheetId="47" hidden="1">{#N/A,#N/A,FALSE,"SCA";#N/A,#N/A,FALSE,"NCA";#N/A,#N/A,FALSE,"SAZ";#N/A,#N/A,FALSE,"CAZ";#N/A,#N/A,FALSE,"SNV";#N/A,#N/A,FALSE,"NNV";#N/A,#N/A,FALSE,"PP";#N/A,#N/A,FALSE,"SA"}</definedName>
    <definedName name="je" hidden="1">{#N/A,#N/A,FALSE,"SCA";#N/A,#N/A,FALSE,"NCA";#N/A,#N/A,FALSE,"SAZ";#N/A,#N/A,FALSE,"CAZ";#N/A,#N/A,FALSE,"SNV";#N/A,#N/A,FALSE,"NNV";#N/A,#N/A,FALSE,"PP";#N/A,#N/A,FALSE,"SA"}</definedName>
    <definedName name="jhlkqFL" localSheetId="1" hidden="1">{"'Sheet1'!$A$1:$O$40"}</definedName>
    <definedName name="jhlkqFL" localSheetId="32" hidden="1">{"'Sheet1'!$A$1:$O$40"}</definedName>
    <definedName name="jhlkqFL" localSheetId="6" hidden="1">{"'Sheet1'!$A$1:$O$40"}</definedName>
    <definedName name="jhlkqFL" localSheetId="4" hidden="1">{"'Sheet1'!$A$1:$O$40"}</definedName>
    <definedName name="jhlkqFL" localSheetId="5" hidden="1">{"'Sheet1'!$A$1:$O$40"}</definedName>
    <definedName name="jhlkqFL" localSheetId="7" hidden="1">{"'Sheet1'!$A$1:$O$40"}</definedName>
    <definedName name="jhlkqFL" localSheetId="3" hidden="1">{"'Sheet1'!$A$1:$O$40"}</definedName>
    <definedName name="jhlkqFL" localSheetId="29" hidden="1">{"'Sheet1'!$A$1:$O$40"}</definedName>
    <definedName name="jhlkqFL" localSheetId="47" hidden="1">{"'Sheet1'!$A$1:$O$40"}</definedName>
    <definedName name="jhlkqFL" hidden="1">{"'Sheet1'!$A$1:$O$40"}</definedName>
    <definedName name="jkdf" localSheetId="1" hidden="1">#REF!</definedName>
    <definedName name="jkdf" localSheetId="5" hidden="1">#REF!</definedName>
    <definedName name="jkdf" localSheetId="3" hidden="1">#REF!</definedName>
    <definedName name="jkdf" localSheetId="29" hidden="1">#REF!</definedName>
    <definedName name="jkdf" hidden="1">#REF!</definedName>
    <definedName name="jkdsac" localSheetId="1" hidden="1">#REF!</definedName>
    <definedName name="jkdsac" localSheetId="5" hidden="1">#REF!</definedName>
    <definedName name="jkdsac" localSheetId="3" hidden="1">#REF!</definedName>
    <definedName name="jkdsac" localSheetId="29" hidden="1">#REF!</definedName>
    <definedName name="jkdsac" hidden="1">#REF!</definedName>
    <definedName name="jkfoo" localSheetId="5" hidden="1">#REF!</definedName>
    <definedName name="jkfoo" localSheetId="3" hidden="1">#REF!</definedName>
    <definedName name="jkfoo" localSheetId="29" hidden="1">#REF!</definedName>
    <definedName name="jkfoo" hidden="1">#REF!</definedName>
    <definedName name="jkrhtr" localSheetId="1" hidden="1">{"print1",#N/A,FALSE,"D21CUSTS"}</definedName>
    <definedName name="jkrhtr" localSheetId="32" hidden="1">{"print1",#N/A,FALSE,"D21CUSTS"}</definedName>
    <definedName name="jkrhtr" localSheetId="6" hidden="1">{"print1",#N/A,FALSE,"D21CUSTS"}</definedName>
    <definedName name="jkrhtr" localSheetId="4" hidden="1">{"print1",#N/A,FALSE,"D21CUSTS"}</definedName>
    <definedName name="jkrhtr" localSheetId="5" hidden="1">{"print1",#N/A,FALSE,"D21CUSTS"}</definedName>
    <definedName name="jkrhtr" localSheetId="7" hidden="1">{"print1",#N/A,FALSE,"D21CUSTS"}</definedName>
    <definedName name="jkrhtr" localSheetId="3" hidden="1">{"print1",#N/A,FALSE,"D21CUSTS"}</definedName>
    <definedName name="jkrhtr" localSheetId="29" hidden="1">{"print1",#N/A,FALSE,"D21CUSTS"}</definedName>
    <definedName name="jkrhtr" localSheetId="47" hidden="1">{"print1",#N/A,FALSE,"D21CUSTS"}</definedName>
    <definedName name="jkrhtr" hidden="1">{"print1",#N/A,FALSE,"D21CUSTS"}</definedName>
    <definedName name="jktrjhjhjh" localSheetId="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3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6"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4"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3"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29"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4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ohn">#REF!</definedName>
    <definedName name="jrththtr" localSheetId="1" hidden="1">{#N/A,#N/A,FALSE,"OTHERINPUTS";#N/A,#N/A,FALSE,"SUPPLIEDADJINPUT";#N/A,#N/A,FALSE,"BR&amp;SUPADJ."}</definedName>
    <definedName name="jrththtr" localSheetId="32" hidden="1">{#N/A,#N/A,FALSE,"OTHERINPUTS";#N/A,#N/A,FALSE,"SUPPLIEDADJINPUT";#N/A,#N/A,FALSE,"BR&amp;SUPADJ."}</definedName>
    <definedName name="jrththtr" localSheetId="6" hidden="1">{#N/A,#N/A,FALSE,"OTHERINPUTS";#N/A,#N/A,FALSE,"SUPPLIEDADJINPUT";#N/A,#N/A,FALSE,"BR&amp;SUPADJ."}</definedName>
    <definedName name="jrththtr" localSheetId="4" hidden="1">{#N/A,#N/A,FALSE,"OTHERINPUTS";#N/A,#N/A,FALSE,"SUPPLIEDADJINPUT";#N/A,#N/A,FALSE,"BR&amp;SUPADJ."}</definedName>
    <definedName name="jrththtr" localSheetId="5" hidden="1">{#N/A,#N/A,FALSE,"OTHERINPUTS";#N/A,#N/A,FALSE,"SUPPLIEDADJINPUT";#N/A,#N/A,FALSE,"BR&amp;SUPADJ."}</definedName>
    <definedName name="jrththtr" localSheetId="7" hidden="1">{#N/A,#N/A,FALSE,"OTHERINPUTS";#N/A,#N/A,FALSE,"SUPPLIEDADJINPUT";#N/A,#N/A,FALSE,"BR&amp;SUPADJ."}</definedName>
    <definedName name="jrththtr" localSheetId="3" hidden="1">{#N/A,#N/A,FALSE,"OTHERINPUTS";#N/A,#N/A,FALSE,"SUPPLIEDADJINPUT";#N/A,#N/A,FALSE,"BR&amp;SUPADJ."}</definedName>
    <definedName name="jrththtr" localSheetId="29" hidden="1">{#N/A,#N/A,FALSE,"OTHERINPUTS";#N/A,#N/A,FALSE,"SUPPLIEDADJINPUT";#N/A,#N/A,FALSE,"BR&amp;SUPADJ."}</definedName>
    <definedName name="jrththtr" localSheetId="47" hidden="1">{#N/A,#N/A,FALSE,"OTHERINPUTS";#N/A,#N/A,FALSE,"SUPPLIEDADJINPUT";#N/A,#N/A,FALSE,"BR&amp;SUPADJ."}</definedName>
    <definedName name="jrththtr" hidden="1">{#N/A,#N/A,FALSE,"OTHERINPUTS";#N/A,#N/A,FALSE,"SUPPLIEDADJINPUT";#N/A,#N/A,FALSE,"BR&amp;SUPADJ."}</definedName>
    <definedName name="jseqf" localSheetId="1" hidden="1">#REF!</definedName>
    <definedName name="jseqf" localSheetId="5" hidden="1">#REF!</definedName>
    <definedName name="jseqf" localSheetId="3" hidden="1">#REF!</definedName>
    <definedName name="jseqf" localSheetId="29" hidden="1">#REF!</definedName>
    <definedName name="jseqf" hidden="1">#REF!</definedName>
    <definedName name="JULYAMT" localSheetId="3">'2.4 OpCo Proxy Cap Str'!AmtTable</definedName>
    <definedName name="JULYAMT">#REF!</definedName>
    <definedName name="JULYDT" localSheetId="3">'2.4 OpCo Proxy Cap Str'!DTTable</definedName>
    <definedName name="JULYDT">#REF!</definedName>
    <definedName name="JUNEAMT" localSheetId="3">'2.4 OpCo Proxy Cap Str'!AmtTable</definedName>
    <definedName name="JUNEAMT">#REF!</definedName>
    <definedName name="JUNEDT" localSheetId="3">'2.4 OpCo Proxy Cap Str'!DTTable</definedName>
    <definedName name="JUNEDT">#REF!</definedName>
    <definedName name="JUNK">#REF!,#REF!,#REF!,#REF!,#REF!,#REF!,#REF!,#REF!,#REF!,#REF!,#REF!,#REF!,#REF!</definedName>
    <definedName name="Juris_Weather_Adj_Data">#REF!</definedName>
    <definedName name="JURISDICTION">#REF!</definedName>
    <definedName name="JurisdictionalFactor" localSheetId="6">#REF!</definedName>
    <definedName name="JurisdictionalFactor" localSheetId="3">#REF!</definedName>
    <definedName name="JurisdictionalFactor">#REF!</definedName>
    <definedName name="jz" localSheetId="1" hidden="1">#REF!</definedName>
    <definedName name="jz" localSheetId="5" hidden="1">#REF!</definedName>
    <definedName name="jz" localSheetId="3" hidden="1">#REF!</definedName>
    <definedName name="jz" localSheetId="29" hidden="1">#REF!</definedName>
    <definedName name="jz" hidden="1">#REF!</definedName>
    <definedName name="jzs" localSheetId="1" hidden="1">#REF!</definedName>
    <definedName name="jzs" localSheetId="5" hidden="1">#REF!</definedName>
    <definedName name="jzs" localSheetId="3" hidden="1">#REF!</definedName>
    <definedName name="jzs" localSheetId="29" hidden="1">#REF!</definedName>
    <definedName name="jzs" hidden="1">#REF!</definedName>
    <definedName name="k" localSheetId="5" hidden="1">#REF!</definedName>
    <definedName name="k" localSheetId="3" hidden="1">#REF!</definedName>
    <definedName name="k" localSheetId="29" hidden="1">#REF!</definedName>
    <definedName name="k" hidden="1">#REF!</definedName>
    <definedName name="k.1">#REF!</definedName>
    <definedName name="k.10">#REF!</definedName>
    <definedName name="k.11">#REF!</definedName>
    <definedName name="k.12">#REF!</definedName>
    <definedName name="k.13">#REF!</definedName>
    <definedName name="k.14">#REF!</definedName>
    <definedName name="k.15">#REF!</definedName>
    <definedName name="k.16">#REF!</definedName>
    <definedName name="k.17">#REF!</definedName>
    <definedName name="k.18">#REF!</definedName>
    <definedName name="k.19">#REF!</definedName>
    <definedName name="k.2">#REF!</definedName>
    <definedName name="k.20">#REF!</definedName>
    <definedName name="k.21">#REF!</definedName>
    <definedName name="k.22">#REF!</definedName>
    <definedName name="k.23">#REF!</definedName>
    <definedName name="k.24">#REF!</definedName>
    <definedName name="k.25">#REF!</definedName>
    <definedName name="k.26">#REF!</definedName>
    <definedName name="k.27">#REF!</definedName>
    <definedName name="k.28">#REF!</definedName>
    <definedName name="k.29">#REF!</definedName>
    <definedName name="k.3">#REF!</definedName>
    <definedName name="k.30">#REF!</definedName>
    <definedName name="k.31">#REF!</definedName>
    <definedName name="k.32">#REF!</definedName>
    <definedName name="k.33">#REF!</definedName>
    <definedName name="k.4">#REF!</definedName>
    <definedName name="k.5">#REF!</definedName>
    <definedName name="k.6">#REF!</definedName>
    <definedName name="k.7">#REF!</definedName>
    <definedName name="k.8">#REF!</definedName>
    <definedName name="k.9">#REF!</definedName>
    <definedName name="K2_WBEVMODE" hidden="1">0</definedName>
    <definedName name="kal" localSheetId="1" hidden="1">#REF!</definedName>
    <definedName name="kal" localSheetId="5" hidden="1">#REF!</definedName>
    <definedName name="kal" localSheetId="3" hidden="1">#REF!</definedName>
    <definedName name="kal" localSheetId="29" hidden="1">#REF!</definedName>
    <definedName name="kal" hidden="1">#REF!</definedName>
    <definedName name="kaw" localSheetId="5" hidden="1">#REF!</definedName>
    <definedName name="kaw" localSheetId="3" hidden="1">#REF!</definedName>
    <definedName name="kaw" localSheetId="29" hidden="1">#REF!</definedName>
    <definedName name="kaw" hidden="1">#REF!</definedName>
    <definedName name="Kcgeq01">#REF!</definedName>
    <definedName name="Kcgeq02">#REF!</definedName>
    <definedName name="Kcgeq03">#REF!</definedName>
    <definedName name="Kcgeq04">#REF!</definedName>
    <definedName name="Kcgeq05">#REF!</definedName>
    <definedName name="Kcgeq06">#REF!</definedName>
    <definedName name="Kcgeq07">#REF!</definedName>
    <definedName name="Kcgeq08">#REF!</definedName>
    <definedName name="Kcgeq09" localSheetId="6">#REF!</definedName>
    <definedName name="Kcgeq09">#REF!</definedName>
    <definedName name="Kcgeq10" localSheetId="6">#REF!</definedName>
    <definedName name="Kcgeq10">#REF!</definedName>
    <definedName name="Kcgeq11" localSheetId="6">#REF!</definedName>
    <definedName name="Kcgeq11">#REF!</definedName>
    <definedName name="Kcgeq12" localSheetId="6">#REF!</definedName>
    <definedName name="Kcgeq12">#REF!</definedName>
    <definedName name="Kcgeq13">#REF!</definedName>
    <definedName name="Kcgeq14">#REF!</definedName>
    <definedName name="Kcgeq15">#REF!</definedName>
    <definedName name="Kcgeq16">#REF!</definedName>
    <definedName name="Kcgeq17">#REF!</definedName>
    <definedName name="Kcgeq18">#REF!</definedName>
    <definedName name="Kcgeq19">#REF!</definedName>
    <definedName name="Kcgeq20">#REF!</definedName>
    <definedName name="Kcgeq21">#REF!</definedName>
    <definedName name="Kcgeq22">#REF!</definedName>
    <definedName name="Kcgeq23">#REF!</definedName>
    <definedName name="Kcgeq24">#REF!</definedName>
    <definedName name="Kcgeq25">#REF!</definedName>
    <definedName name="kdkd" localSheetId="1" hidden="1">#REF!</definedName>
    <definedName name="kdkd" localSheetId="5" hidden="1">#REF!</definedName>
    <definedName name="kdkd" localSheetId="3" hidden="1">#REF!</definedName>
    <definedName name="kdkd" localSheetId="29" hidden="1">#REF!</definedName>
    <definedName name="kdkd" hidden="1">#REF!</definedName>
    <definedName name="kdkjrt" localSheetId="5" hidden="1">#REF!</definedName>
    <definedName name="kdkjrt" localSheetId="3" hidden="1">#REF!</definedName>
    <definedName name="kdkjrt" localSheetId="29" hidden="1">#REF!</definedName>
    <definedName name="kdkjrt" hidden="1">#REF!</definedName>
    <definedName name="kdsfj" localSheetId="5" hidden="1">#REF!</definedName>
    <definedName name="kdsfj" localSheetId="3" hidden="1">#REF!</definedName>
    <definedName name="kdsfj" localSheetId="29" hidden="1">#REF!</definedName>
    <definedName name="kdsfj" hidden="1">#REF!</definedName>
    <definedName name="kfdlsg" localSheetId="5" hidden="1">#REF!</definedName>
    <definedName name="kfdlsg" localSheetId="3" hidden="1">#REF!</definedName>
    <definedName name="kfdlsg" localSheetId="29" hidden="1">#REF!</definedName>
    <definedName name="kfdlsg" hidden="1">#REF!</definedName>
    <definedName name="kfkf" localSheetId="5" hidden="1">#REF!</definedName>
    <definedName name="kfkf" localSheetId="3" hidden="1">#REF!</definedName>
    <definedName name="kfkf" localSheetId="29" hidden="1">#REF!</definedName>
    <definedName name="kfkf" hidden="1">#REF!</definedName>
    <definedName name="kfkfkf" localSheetId="5" hidden="1">#REF!</definedName>
    <definedName name="kfkfkf" localSheetId="3" hidden="1">#REF!</definedName>
    <definedName name="kfkfkf" localSheetId="29" hidden="1">#REF!</definedName>
    <definedName name="kfkfkf" hidden="1">#REF!</definedName>
    <definedName name="kfkfkfkf" localSheetId="5" hidden="1">#REF!</definedName>
    <definedName name="kfkfkfkf" localSheetId="3" hidden="1">#REF!</definedName>
    <definedName name="kfkfkfkf" localSheetId="29" hidden="1">#REF!</definedName>
    <definedName name="kfkfkfkf" hidden="1">#REF!</definedName>
    <definedName name="kfkfkfl" localSheetId="5" hidden="1">#REF!</definedName>
    <definedName name="kfkfkfl" localSheetId="3" hidden="1">#REF!</definedName>
    <definedName name="kfkfkfl" localSheetId="29" hidden="1">#REF!</definedName>
    <definedName name="kfkfkfl" hidden="1">#REF!</definedName>
    <definedName name="kfkfksm" localSheetId="5" hidden="1">#REF!</definedName>
    <definedName name="kfkfksm" localSheetId="3" hidden="1">#REF!</definedName>
    <definedName name="kfkfksm" localSheetId="29" hidden="1">#REF!</definedName>
    <definedName name="kfkfksm" hidden="1">#REF!</definedName>
    <definedName name="KI" localSheetId="6" hidden="1">#REF!,#REF!</definedName>
    <definedName name="KI" localSheetId="7" hidden="1">#REF!,#REF!</definedName>
    <definedName name="KI" localSheetId="3" hidden="1">#REF!,#REF!</definedName>
    <definedName name="KI" hidden="1">#REF!,#REF!</definedName>
    <definedName name="KIRK" localSheetId="6">#REF!</definedName>
    <definedName name="KIRK" localSheetId="3">#REF!</definedName>
    <definedName name="KIRK">#REF!</definedName>
    <definedName name="Kirk_Plant" localSheetId="6">#REF!</definedName>
    <definedName name="Kirk_Plant" localSheetId="3">#REF!</definedName>
    <definedName name="Kirk_Plant">#REF!</definedName>
    <definedName name="kiujh" localSheetId="5" hidden="1">#REF!</definedName>
    <definedName name="kiujh" localSheetId="3" hidden="1">#REF!</definedName>
    <definedName name="kiujh" localSheetId="29" hidden="1">#REF!</definedName>
    <definedName name="kiujh" hidden="1">#REF!</definedName>
    <definedName name="kjfdjfei" localSheetId="1" hidden="1">{#N/A,#N/A,FALSE,"OTHERINPUTS";#N/A,#N/A,FALSE,"DITRATEINPUTS";#N/A,#N/A,FALSE,"SUPPLIEDADJINPUT";#N/A,#N/A,FALSE,"TIMINGDIFFINPUTS";#N/A,#N/A,FALSE,"BR&amp;SUPADJ."}</definedName>
    <definedName name="kjfdjfei" localSheetId="32" hidden="1">{#N/A,#N/A,FALSE,"OTHERINPUTS";#N/A,#N/A,FALSE,"DITRATEINPUTS";#N/A,#N/A,FALSE,"SUPPLIEDADJINPUT";#N/A,#N/A,FALSE,"TIMINGDIFFINPUTS";#N/A,#N/A,FALSE,"BR&amp;SUPADJ."}</definedName>
    <definedName name="kjfdjfei" localSheetId="6" hidden="1">{#N/A,#N/A,FALSE,"OTHERINPUTS";#N/A,#N/A,FALSE,"DITRATEINPUTS";#N/A,#N/A,FALSE,"SUPPLIEDADJINPUT";#N/A,#N/A,FALSE,"TIMINGDIFFINPUTS";#N/A,#N/A,FALSE,"BR&amp;SUPADJ."}</definedName>
    <definedName name="kjfdjfei" localSheetId="4" hidden="1">{#N/A,#N/A,FALSE,"OTHERINPUTS";#N/A,#N/A,FALSE,"DITRATEINPUTS";#N/A,#N/A,FALSE,"SUPPLIEDADJINPUT";#N/A,#N/A,FALSE,"TIMINGDIFFINPUTS";#N/A,#N/A,FALSE,"BR&amp;SUPADJ."}</definedName>
    <definedName name="kjfdjfei" localSheetId="5" hidden="1">{#N/A,#N/A,FALSE,"OTHERINPUTS";#N/A,#N/A,FALSE,"DITRATEINPUTS";#N/A,#N/A,FALSE,"SUPPLIEDADJINPUT";#N/A,#N/A,FALSE,"TIMINGDIFFINPUTS";#N/A,#N/A,FALSE,"BR&amp;SUPADJ."}</definedName>
    <definedName name="kjfdjfei" localSheetId="7" hidden="1">{#N/A,#N/A,FALSE,"OTHERINPUTS";#N/A,#N/A,FALSE,"DITRATEINPUTS";#N/A,#N/A,FALSE,"SUPPLIEDADJINPUT";#N/A,#N/A,FALSE,"TIMINGDIFFINPUTS";#N/A,#N/A,FALSE,"BR&amp;SUPADJ."}</definedName>
    <definedName name="kjfdjfei" localSheetId="3" hidden="1">{#N/A,#N/A,FALSE,"OTHERINPUTS";#N/A,#N/A,FALSE,"DITRATEINPUTS";#N/A,#N/A,FALSE,"SUPPLIEDADJINPUT";#N/A,#N/A,FALSE,"TIMINGDIFFINPUTS";#N/A,#N/A,FALSE,"BR&amp;SUPADJ."}</definedName>
    <definedName name="kjfdjfei" localSheetId="29" hidden="1">{#N/A,#N/A,FALSE,"OTHERINPUTS";#N/A,#N/A,FALSE,"DITRATEINPUTS";#N/A,#N/A,FALSE,"SUPPLIEDADJINPUT";#N/A,#N/A,FALSE,"TIMINGDIFFINPUTS";#N/A,#N/A,FALSE,"BR&amp;SUPADJ."}</definedName>
    <definedName name="kjfdjfei" localSheetId="47" hidden="1">{#N/A,#N/A,FALSE,"OTHERINPUTS";#N/A,#N/A,FALSE,"DITRATEINPUTS";#N/A,#N/A,FALSE,"SUPPLIEDADJINPUT";#N/A,#N/A,FALSE,"TIMINGDIFFINPUTS";#N/A,#N/A,FALSE,"BR&amp;SUPADJ."}</definedName>
    <definedName name="kjfdjfei" hidden="1">{#N/A,#N/A,FALSE,"OTHERINPUTS";#N/A,#N/A,FALSE,"DITRATEINPUTS";#N/A,#N/A,FALSE,"SUPPLIEDADJINPUT";#N/A,#N/A,FALSE,"TIMINGDIFFINPUTS";#N/A,#N/A,FALSE,"BR&amp;SUPADJ."}</definedName>
    <definedName name="kjfjffnnf" localSheetId="1" hidden="1">#REF!</definedName>
    <definedName name="kjfjffnnf" localSheetId="5" hidden="1">#REF!</definedName>
    <definedName name="kjfjffnnf" localSheetId="3" hidden="1">#REF!</definedName>
    <definedName name="kjfjffnnf" localSheetId="29" hidden="1">#REF!</definedName>
    <definedName name="kjfjffnnf" hidden="1">#REF!</definedName>
    <definedName name="kjhg" localSheetId="1" hidden="1">#REF!</definedName>
    <definedName name="kjhg" localSheetId="5" hidden="1">#REF!</definedName>
    <definedName name="kjhg" localSheetId="3" hidden="1">#REF!</definedName>
    <definedName name="kjhg" localSheetId="29" hidden="1">#REF!</definedName>
    <definedName name="kjhg" hidden="1">#REF!</definedName>
    <definedName name="kjhgf" localSheetId="5" hidden="1">#REF!</definedName>
    <definedName name="kjhgf" localSheetId="3" hidden="1">#REF!</definedName>
    <definedName name="kjhgf" localSheetId="29" hidden="1">#REF!</definedName>
    <definedName name="kjhgf" hidden="1">#REF!</definedName>
    <definedName name="kjk" localSheetId="1" hidden="1">#REF!</definedName>
    <definedName name="kjk" localSheetId="6" hidden="1">#REF!</definedName>
    <definedName name="kjk" localSheetId="5" hidden="1">#REF!</definedName>
    <definedName name="kjk" localSheetId="7" hidden="1">#REF!</definedName>
    <definedName name="kjk" localSheetId="29" hidden="1">#REF!</definedName>
    <definedName name="kjk" hidden="1">#REF!</definedName>
    <definedName name="kjzd" localSheetId="1" hidden="1">#REF!</definedName>
    <definedName name="kjzd" localSheetId="5" hidden="1">#REF!</definedName>
    <definedName name="kjzd" localSheetId="3" hidden="1">#REF!</definedName>
    <definedName name="kjzd" localSheetId="29" hidden="1">#REF!</definedName>
    <definedName name="kjzd" hidden="1">#REF!</definedName>
    <definedName name="kk"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kkk" localSheetId="1" hidden="1">#REF!</definedName>
    <definedName name="kkkkk" localSheetId="5" hidden="1">#REF!</definedName>
    <definedName name="kkkkk" localSheetId="3" hidden="1">#REF!</definedName>
    <definedName name="kkkkk" localSheetId="29" hidden="1">#REF!</definedName>
    <definedName name="kkkkk" hidden="1">#REF!</definedName>
    <definedName name="KL" localSheetId="3" hidden="1">#REF!</definedName>
    <definedName name="KL" hidden="1">#REF!</definedName>
    <definedName name="kldk" localSheetId="1" hidden="1">#REF!</definedName>
    <definedName name="kldk" localSheetId="5" hidden="1">#REF!</definedName>
    <definedName name="kldk" localSheetId="3" hidden="1">#REF!</definedName>
    <definedName name="kldk" localSheetId="29" hidden="1">#REF!</definedName>
    <definedName name="kldk" hidden="1">#REF!</definedName>
    <definedName name="klfeqw" localSheetId="5" hidden="1">#REF!</definedName>
    <definedName name="klfeqw" localSheetId="3" hidden="1">#REF!</definedName>
    <definedName name="klfeqw" localSheetId="29" hidden="1">#REF!</definedName>
    <definedName name="klfeqw" hidden="1">#REF!</definedName>
    <definedName name="kqwh" localSheetId="5" hidden="1">#REF!</definedName>
    <definedName name="kqwh" localSheetId="3" hidden="1">#REF!</definedName>
    <definedName name="kqwh" localSheetId="29" hidden="1">#REF!</definedName>
    <definedName name="kqwh" hidden="1">#REF!</definedName>
    <definedName name="ksadfl" localSheetId="5" hidden="1">#REF!</definedName>
    <definedName name="ksadfl" localSheetId="3" hidden="1">#REF!</definedName>
    <definedName name="ksadfl" localSheetId="29" hidden="1">#REF!</definedName>
    <definedName name="ksadfl" hidden="1">#REF!</definedName>
    <definedName name="ku" localSheetId="1" hidden="1">{#N/A,#N/A,FALSE,"SCA";#N/A,#N/A,FALSE,"NCA";#N/A,#N/A,FALSE,"SAZ";#N/A,#N/A,FALSE,"CAZ";#N/A,#N/A,FALSE,"SNV";#N/A,#N/A,FALSE,"NNV";#N/A,#N/A,FALSE,"PP";#N/A,#N/A,FALSE,"SA"}</definedName>
    <definedName name="ku" localSheetId="32" hidden="1">{#N/A,#N/A,FALSE,"SCA";#N/A,#N/A,FALSE,"NCA";#N/A,#N/A,FALSE,"SAZ";#N/A,#N/A,FALSE,"CAZ";#N/A,#N/A,FALSE,"SNV";#N/A,#N/A,FALSE,"NNV";#N/A,#N/A,FALSE,"PP";#N/A,#N/A,FALSE,"SA"}</definedName>
    <definedName name="ku" localSheetId="6" hidden="1">{#N/A,#N/A,FALSE,"SCA";#N/A,#N/A,FALSE,"NCA";#N/A,#N/A,FALSE,"SAZ";#N/A,#N/A,FALSE,"CAZ";#N/A,#N/A,FALSE,"SNV";#N/A,#N/A,FALSE,"NNV";#N/A,#N/A,FALSE,"PP";#N/A,#N/A,FALSE,"SA"}</definedName>
    <definedName name="ku" localSheetId="4" hidden="1">{#N/A,#N/A,FALSE,"SCA";#N/A,#N/A,FALSE,"NCA";#N/A,#N/A,FALSE,"SAZ";#N/A,#N/A,FALSE,"CAZ";#N/A,#N/A,FALSE,"SNV";#N/A,#N/A,FALSE,"NNV";#N/A,#N/A,FALSE,"PP";#N/A,#N/A,FALSE,"SA"}</definedName>
    <definedName name="ku" localSheetId="5" hidden="1">{#N/A,#N/A,FALSE,"SCA";#N/A,#N/A,FALSE,"NCA";#N/A,#N/A,FALSE,"SAZ";#N/A,#N/A,FALSE,"CAZ";#N/A,#N/A,FALSE,"SNV";#N/A,#N/A,FALSE,"NNV";#N/A,#N/A,FALSE,"PP";#N/A,#N/A,FALSE,"SA"}</definedName>
    <definedName name="ku" localSheetId="7" hidden="1">{#N/A,#N/A,FALSE,"SCA";#N/A,#N/A,FALSE,"NCA";#N/A,#N/A,FALSE,"SAZ";#N/A,#N/A,FALSE,"CAZ";#N/A,#N/A,FALSE,"SNV";#N/A,#N/A,FALSE,"NNV";#N/A,#N/A,FALSE,"PP";#N/A,#N/A,FALSE,"SA"}</definedName>
    <definedName name="ku" localSheetId="3" hidden="1">{#N/A,#N/A,FALSE,"SCA";#N/A,#N/A,FALSE,"NCA";#N/A,#N/A,FALSE,"SAZ";#N/A,#N/A,FALSE,"CAZ";#N/A,#N/A,FALSE,"SNV";#N/A,#N/A,FALSE,"NNV";#N/A,#N/A,FALSE,"PP";#N/A,#N/A,FALSE,"SA"}</definedName>
    <definedName name="ku" localSheetId="29" hidden="1">{#N/A,#N/A,FALSE,"SCA";#N/A,#N/A,FALSE,"NCA";#N/A,#N/A,FALSE,"SAZ";#N/A,#N/A,FALSE,"CAZ";#N/A,#N/A,FALSE,"SNV";#N/A,#N/A,FALSE,"NNV";#N/A,#N/A,FALSE,"PP";#N/A,#N/A,FALSE,"SA"}</definedName>
    <definedName name="ku" localSheetId="47" hidden="1">{#N/A,#N/A,FALSE,"SCA";#N/A,#N/A,FALSE,"NCA";#N/A,#N/A,FALSE,"SAZ";#N/A,#N/A,FALSE,"CAZ";#N/A,#N/A,FALSE,"SNV";#N/A,#N/A,FALSE,"NNV";#N/A,#N/A,FALSE,"PP";#N/A,#N/A,FALSE,"SA"}</definedName>
    <definedName name="ku" hidden="1">{#N/A,#N/A,FALSE,"SCA";#N/A,#N/A,FALSE,"NCA";#N/A,#N/A,FALSE,"SAZ";#N/A,#N/A,FALSE,"CAZ";#N/A,#N/A,FALSE,"SNV";#N/A,#N/A,FALSE,"NNV";#N/A,#N/A,FALSE,"PP";#N/A,#N/A,FALSE,"SA"}</definedName>
    <definedName name="kw" localSheetId="1" hidden="1">#REF!</definedName>
    <definedName name="kw" localSheetId="5" hidden="1">#REF!</definedName>
    <definedName name="kw" localSheetId="3" hidden="1">#REF!</definedName>
    <definedName name="kw" localSheetId="29" hidden="1">#REF!</definedName>
    <definedName name="kw" hidden="1">#REF!</definedName>
    <definedName name="kz" localSheetId="1" hidden="1">#REF!</definedName>
    <definedName name="kz" localSheetId="5" hidden="1">#REF!</definedName>
    <definedName name="kz" localSheetId="3" hidden="1">#REF!</definedName>
    <definedName name="kz" localSheetId="29" hidden="1">#REF!</definedName>
    <definedName name="kz" hidden="1">#REF!</definedName>
    <definedName name="l" localSheetId="5" hidden="1">#REF!</definedName>
    <definedName name="l" localSheetId="3" hidden="1">#REF!</definedName>
    <definedName name="l" localSheetId="29" hidden="1">#REF!</definedName>
    <definedName name="l" hidden="1">#REF!</definedName>
    <definedName name="Last_Row" localSheetId="32">IF('10.1 CAPEX to Net Plant'!Values_Entered,Header_Row+'10.1 CAPEX to Net Plant'!Number_of_Payments,Header_Row)</definedName>
    <definedName name="Last_Row" localSheetId="6">IF('11.3-4 WP'!Values_Entered,Header_Row+'11.3-4 WP'!Number_of_Payments,Header_Row)</definedName>
    <definedName name="Last_Row" localSheetId="3">IF('2.4 OpCo Proxy Cap Str'!Values_Entered,Header_Row+'2.4 OpCo Proxy Cap Str'!Number_of_Payments,Header_Row)</definedName>
    <definedName name="Last_Row">IF(Values_Entered,Header_Row+Number_of_Payments,Header_Row)</definedName>
    <definedName name="LastRow" localSheetId="32">IF('10.1 CAPEX to Net Plant'!Values_Entered,Header_Row+'10.1 CAPEX to Net Plant'!NumberofPayments,Header_Row)</definedName>
    <definedName name="LastRow" localSheetId="6">IF('11.3-4 WP'!Values_Entered,Header_Row+'11.3-4 WP'!NumberofPayments,Header_Row)</definedName>
    <definedName name="LastRow" localSheetId="3">IF('2.4 OpCo Proxy Cap Str'!Values_Entered,Header_Row+'2.4 OpCo Proxy Cap Str'!NumberofPayments,Header_Row)</definedName>
    <definedName name="LastRow">IF(Values_Entered,Header_Row+NumberofPayments,Header_Row)</definedName>
    <definedName name="LASTYR" localSheetId="32">OFFSET(#REF!,0,0,#REF!,MAX(#REF!))</definedName>
    <definedName name="LASTYR" localSheetId="6">OFFSET(#REF!,0,0,#REF!,MAX(#REF!))</definedName>
    <definedName name="LASTYR" localSheetId="3">OFFSET(#REF!,0,0,#REF!,MAX(#REF!))</definedName>
    <definedName name="LASTYR">OFFSET(#REF!,0,0,#REF!,MAX(#REF!))</definedName>
    <definedName name="LDCs" localSheetId="6">#REF!</definedName>
    <definedName name="LDCs" localSheetId="3">#REF!</definedName>
    <definedName name="LDCs">#REF!</definedName>
    <definedName name="LEYDON_UNGND_STORAGE" localSheetId="3">#REF!</definedName>
    <definedName name="LEYDON_UNGND_STORAGE">#REF!</definedName>
    <definedName name="lfkfjnn" localSheetId="1" hidden="1">#REF!</definedName>
    <definedName name="lfkfjnn" localSheetId="5" hidden="1">#REF!</definedName>
    <definedName name="lfkfjnn" localSheetId="3" hidden="1">#REF!</definedName>
    <definedName name="lfkfjnn" localSheetId="29" hidden="1">#REF!</definedName>
    <definedName name="lfkfjnn" hidden="1">#REF!</definedName>
    <definedName name="limcount" hidden="1">1</definedName>
    <definedName name="Line" localSheetId="3">#REF!</definedName>
    <definedName name="Line">#REF!</definedName>
    <definedName name="LIPA_FY15" localSheetId="3">#REF!</definedName>
    <definedName name="LIPA_FY15">#REF!</definedName>
    <definedName name="LIPA_FY16" localSheetId="3">#REF!</definedName>
    <definedName name="LIPA_FY16">#REF!</definedName>
    <definedName name="LIPA_FY17" localSheetId="3">#REF!</definedName>
    <definedName name="LIPA_FY17">#REF!</definedName>
    <definedName name="LIPA_FY18" localSheetId="3">#REF!</definedName>
    <definedName name="LIPA_FY18">#REF!</definedName>
    <definedName name="LIPA_FY19" localSheetId="3">#REF!</definedName>
    <definedName name="LIPA_FY19">#REF!</definedName>
    <definedName name="List_CadillacTax" localSheetId="3">#REF!</definedName>
    <definedName name="List_CadillacTax">#REF!</definedName>
    <definedName name="ListOffset" hidden="1">1</definedName>
    <definedName name="Litigated_BaseROEs_2006" localSheetId="3">#REF!</definedName>
    <definedName name="Litigated_BaseROEs_2006">#REF!</definedName>
    <definedName name="Litigated_BaseROEs_2007" localSheetId="3">#REF!</definedName>
    <definedName name="Litigated_BaseROEs_2007">#REF!</definedName>
    <definedName name="Litigated_BaseROEs_2008" localSheetId="3">#REF!</definedName>
    <definedName name="Litigated_BaseROEs_2008">#REF!</definedName>
    <definedName name="Litigated_BaseROEs_2009" localSheetId="3">#REF!</definedName>
    <definedName name="Litigated_BaseROEs_2009">#REF!</definedName>
    <definedName name="Litigated_BaseROEs_2010" localSheetId="3">#REF!</definedName>
    <definedName name="Litigated_BaseROEs_2010">#REF!</definedName>
    <definedName name="Litigated_BaseROEs_2011" localSheetId="3">#REF!</definedName>
    <definedName name="Litigated_BaseROEs_2011">#REF!</definedName>
    <definedName name="Litigated_BaseROEs_2012" localSheetId="3">#REF!</definedName>
    <definedName name="Litigated_BaseROEs_2012">#REF!</definedName>
    <definedName name="Litigated_BaseROEs_2013" localSheetId="3">#REF!</definedName>
    <definedName name="Litigated_BaseROEs_2013">#REF!</definedName>
    <definedName name="Litigated_BaseROEs_2014" localSheetId="3">#REF!</definedName>
    <definedName name="Litigated_BaseROEs_2014">#REF!</definedName>
    <definedName name="lkajsdfg" localSheetId="5" hidden="1">#REF!</definedName>
    <definedName name="lkajsdfg" localSheetId="3" hidden="1">#REF!</definedName>
    <definedName name="lkajsdfg" localSheetId="29" hidden="1">#REF!</definedName>
    <definedName name="lkajsdfg" hidden="1">#REF!</definedName>
    <definedName name="lkjh" localSheetId="5" hidden="1">#REF!</definedName>
    <definedName name="lkjh" localSheetId="3" hidden="1">#REF!</definedName>
    <definedName name="lkjh" localSheetId="29" hidden="1">#REF!</definedName>
    <definedName name="lkjh" hidden="1">#REF!</definedName>
    <definedName name="lkjkju"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3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4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ohsvd" localSheetId="1" hidden="1">#REF!</definedName>
    <definedName name="lkohsvd" localSheetId="5" hidden="1">#REF!</definedName>
    <definedName name="lkohsvd" localSheetId="3" hidden="1">#REF!</definedName>
    <definedName name="lkohsvd" localSheetId="29" hidden="1">#REF!</definedName>
    <definedName name="lkohsvd" hidden="1">#REF!</definedName>
    <definedName name="llllllllll" localSheetId="1" hidden="1">#REF!</definedName>
    <definedName name="llllllllll" localSheetId="5" hidden="1">#REF!</definedName>
    <definedName name="llllllllll" localSheetId="3" hidden="1">#REF!</definedName>
    <definedName name="llllllllll" localSheetId="29" hidden="1">#REF!</definedName>
    <definedName name="llllllllll" hidden="1">#REF!</definedName>
    <definedName name="Loan_Amount" localSheetId="3">#REF!</definedName>
    <definedName name="Loan_Amount">#REF!</definedName>
    <definedName name="Loan_Start" localSheetId="3">#REF!</definedName>
    <definedName name="Loan_Start">#REF!</definedName>
    <definedName name="Loan_Years" localSheetId="3">#REF!</definedName>
    <definedName name="Loan_Years">#REF!</definedName>
    <definedName name="loke" localSheetId="5" hidden="1">#REF!</definedName>
    <definedName name="loke" localSheetId="3" hidden="1">#REF!</definedName>
    <definedName name="loke" localSheetId="29" hidden="1">#REF!</definedName>
    <definedName name="loke" hidden="1">#REF!</definedName>
    <definedName name="LowCAPEX_PERCENT" localSheetId="3">#REF!</definedName>
    <definedName name="LowCAPEX_PERCENT">#REF!</definedName>
    <definedName name="lpoicea" localSheetId="5" hidden="1">#REF!</definedName>
    <definedName name="lpoicea" localSheetId="3" hidden="1">#REF!</definedName>
    <definedName name="lpoicea" localSheetId="29" hidden="1">#REF!</definedName>
    <definedName name="lpoicea" hidden="1">#REF!</definedName>
    <definedName name="ls"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t_debt">#REF!</definedName>
    <definedName name="LTD_Rate">#REF!</definedName>
    <definedName name="LTDcostrate" localSheetId="6">#REF!</definedName>
    <definedName name="LTDcostrate" localSheetId="3">#REF!</definedName>
    <definedName name="LTDcostrate">#REF!</definedName>
    <definedName name="LUCurYr">#REF!</definedName>
    <definedName name="m">#REF!</definedName>
    <definedName name="ma_months">24</definedName>
    <definedName name="MacSteel">#REF!</definedName>
    <definedName name="MARCHAMT" localSheetId="3">'2.4 OpCo Proxy Cap Str'!AmtTable</definedName>
    <definedName name="MARCHAMT">#REF!</definedName>
    <definedName name="MARCHDT" localSheetId="3">'2.4 OpCo Proxy Cap Str'!DTTable</definedName>
    <definedName name="MARCHDT">#REF!</definedName>
    <definedName name="Market_Return" localSheetId="6">#REF!</definedName>
    <definedName name="Market_Return" localSheetId="3">#REF!</definedName>
    <definedName name="Market_Return">#REF!</definedName>
    <definedName name="MarketPrice">#REF!</definedName>
    <definedName name="Mass_Assets_Elec._Book_Depr_Rate" localSheetId="3">#REF!</definedName>
    <definedName name="Mass_Assets_Elec._Book_Depr_Rate">#REF!</definedName>
    <definedName name="Mass_Assets_Gas_Book_Depr_Rate" localSheetId="3">#REF!</definedName>
    <definedName name="Mass_Assets_Gas_Book_Depr_Rate">#REF!</definedName>
    <definedName name="mat_ltd">#REF!</definedName>
    <definedName name="mayAMT" localSheetId="3">'2.4 OpCo Proxy Cap Str'!AmtTable</definedName>
    <definedName name="mayAMT">#REF!</definedName>
    <definedName name="mayDT" localSheetId="3">'2.4 OpCo Proxy Cap Str'!DTTable</definedName>
    <definedName name="mayDT">#REF!</definedName>
    <definedName name="MB">#REF!</definedName>
    <definedName name="MB_PCH_Assessment_FooterType" hidden="1">"NONE"</definedName>
    <definedName name="MB_PCH_Gen_Ind_FooterType" hidden="1">"NONE"</definedName>
    <definedName name="MB_PCH_Sector_Specific_FooterType" hidden="1">"NONE"</definedName>
    <definedName name="MENNU" localSheetId="3">#REF!</definedName>
    <definedName name="MENNU">#REF!</definedName>
    <definedName name="MENU" localSheetId="6">#REF!</definedName>
    <definedName name="MENU" localSheetId="3">#REF!</definedName>
    <definedName name="MENU">#REF!</definedName>
    <definedName name="mergent_note">#REF!</definedName>
    <definedName name="METERS_AND_TRANSFORMERS_REPORT" localSheetId="3">#REF!</definedName>
    <definedName name="METERS_AND_TRANSFORMERS_REPORT">#REF!</definedName>
    <definedName name="meters_and_transformers_rows" localSheetId="3">#REF!</definedName>
    <definedName name="meters_and_transformers_rows">#REF!</definedName>
    <definedName name="meters_and_transformers_summary_report" localSheetId="3">#REF!</definedName>
    <definedName name="meters_and_transformers_summary_report">#REF!</definedName>
    <definedName name="MH" localSheetId="3">#REF!</definedName>
    <definedName name="MH">#REF!</definedName>
    <definedName name="misc" localSheetId="3" hidden="1">#REF!</definedName>
    <definedName name="misc" hidden="1">#REF!</definedName>
    <definedName name="MISCL" localSheetId="3">#REF!</definedName>
    <definedName name="MISCL">#REF!</definedName>
    <definedName name="ML_RETIRE_ANAL_REPORT" localSheetId="3">#REF!</definedName>
    <definedName name="ML_RETIRE_ANAL_REPORT">#REF!</definedName>
    <definedName name="ML_RETIRE_ANAL_ROWS" localSheetId="3">#REF!</definedName>
    <definedName name="ML_RETIRE_ANAL_ROWS">#REF!</definedName>
    <definedName name="ML_RETIRE_PUR_BY_3PARTY_COLUMNS" localSheetId="3">#REF!</definedName>
    <definedName name="ML_RETIRE_PUR_BY_3PARTY_COLUMNS">#REF!</definedName>
    <definedName name="ML_RETIRE_PUR_BY_3PARTY_REPORT" localSheetId="3">#REF!</definedName>
    <definedName name="ML_RETIRE_PUR_BY_3PARTY_REPORT">#REF!</definedName>
    <definedName name="ML_RETIRE_PUR_BY_3PARTY_ROWS" localSheetId="3">#REF!</definedName>
    <definedName name="ML_RETIRE_PUR_BY_3PARTY_ROWS">#REF!</definedName>
    <definedName name="ML_RETIRE_PUR_BY_PSC_REPORT" localSheetId="3">#REF!</definedName>
    <definedName name="ML_RETIRE_PUR_BY_PSC_REPORT">#REF!</definedName>
    <definedName name="ML_RETIRE_REPORT" localSheetId="3">#REF!</definedName>
    <definedName name="ML_RETIRE_REPORT">#REF!</definedName>
    <definedName name="mlaw" localSheetId="1" hidden="1">#REF!</definedName>
    <definedName name="mlaw" localSheetId="5" hidden="1">#REF!</definedName>
    <definedName name="mlaw" localSheetId="3" hidden="1">#REF!</definedName>
    <definedName name="mlaw" localSheetId="29" hidden="1">#REF!</definedName>
    <definedName name="mlaw" hidden="1">#REF!</definedName>
    <definedName name="mnbv" localSheetId="5" hidden="1">#REF!</definedName>
    <definedName name="mnbv" localSheetId="3" hidden="1">#REF!</definedName>
    <definedName name="mnbv" localSheetId="29" hidden="1">#REF!</definedName>
    <definedName name="mnbv" hidden="1">#REF!</definedName>
    <definedName name="mnkp" localSheetId="5" hidden="1">#REF!</definedName>
    <definedName name="mnkp" localSheetId="3" hidden="1">#REF!</definedName>
    <definedName name="mnkp" localSheetId="29" hidden="1">#REF!</definedName>
    <definedName name="mnkp" hidden="1">#REF!</definedName>
    <definedName name="mo" localSheetId="5" hidden="1">#REF!</definedName>
    <definedName name="mo" localSheetId="3" hidden="1">#REF!</definedName>
    <definedName name="mo" localSheetId="29" hidden="1">#REF!</definedName>
    <definedName name="mo" hidden="1">#REF!</definedName>
    <definedName name="Module1.Deferred" localSheetId="6">#REF!</definedName>
    <definedName name="Module1.Deferred">#REF!</definedName>
    <definedName name="Module1.Print_Income1" localSheetId="6">#REF!</definedName>
    <definedName name="Module1.Print_Income1">#REF!</definedName>
    <definedName name="mol" localSheetId="5" hidden="1">#REF!</definedName>
    <definedName name="mol" localSheetId="3" hidden="1">#REF!</definedName>
    <definedName name="mol" localSheetId="29" hidden="1">#REF!</definedName>
    <definedName name="mol" localSheetId="47" hidden="1">#REF!</definedName>
    <definedName name="mol" hidden="1">#REF!</definedName>
    <definedName name="molp" localSheetId="5" hidden="1">#REF!</definedName>
    <definedName name="molp" localSheetId="3" hidden="1">#REF!</definedName>
    <definedName name="molp" localSheetId="29" hidden="1">#REF!</definedName>
    <definedName name="molp" hidden="1">#REF!</definedName>
    <definedName name="month_yr">OFFSET(#REF!,0,0,#REF!-3,1)</definedName>
    <definedName name="Moodys" localSheetId="6">#REF!</definedName>
    <definedName name="Moodys" localSheetId="3">#REF!</definedName>
    <definedName name="Moodys">#REF!</definedName>
    <definedName name="MoodysDalies">OFFSET(#REF!,0,0,#REF!-ROW(#REF!),#REF!)</definedName>
    <definedName name="movelines">"movelines"</definedName>
    <definedName name="MP_BV_WP">#REF!</definedName>
    <definedName name="MP_CF_WP">#REF!</definedName>
    <definedName name="mrh" localSheetId="6">#REF!</definedName>
    <definedName name="mrh" localSheetId="3">#REF!</definedName>
    <definedName name="mrh">#REF!</definedName>
    <definedName name="MRP_adjustment_1">#REF!</definedName>
    <definedName name="mrp_lt">#REF!</definedName>
    <definedName name="MS" localSheetId="3">#REF!</definedName>
    <definedName name="MS">#REF!</definedName>
    <definedName name="MS_Plant" localSheetId="3">#REF!</definedName>
    <definedName name="MS_Plant">#REF!</definedName>
    <definedName name="MSB" localSheetId="3">#REF!</definedName>
    <definedName name="MSB">#REF!</definedName>
    <definedName name="MSD" localSheetId="3">#REF!</definedName>
    <definedName name="MSD">#REF!</definedName>
    <definedName name="MSEB" localSheetId="3">#REF!</definedName>
    <definedName name="MSEB">#REF!</definedName>
    <definedName name="MSED" localSheetId="3">#REF!</definedName>
    <definedName name="MSED">#REF!</definedName>
    <definedName name="MSEF" localSheetId="3">#REF!</definedName>
    <definedName name="MSEF">#REF!</definedName>
    <definedName name="MSF" localSheetId="3">#REF!</definedName>
    <definedName name="MSF">#REF!</definedName>
    <definedName name="MST" localSheetId="3">#REF!</definedName>
    <definedName name="MST">#REF!</definedName>
    <definedName name="myty" localSheetId="1" hidden="1">{#N/A,#N/A,FALSE,"GLDwnLoad"}</definedName>
    <definedName name="myty" localSheetId="32" hidden="1">{#N/A,#N/A,FALSE,"GLDwnLoad"}</definedName>
    <definedName name="myty" localSheetId="6" hidden="1">{#N/A,#N/A,FALSE,"GLDwnLoad"}</definedName>
    <definedName name="myty" localSheetId="4" hidden="1">{#N/A,#N/A,FALSE,"GLDwnLoad"}</definedName>
    <definedName name="myty" localSheetId="5" hidden="1">{#N/A,#N/A,FALSE,"GLDwnLoad"}</definedName>
    <definedName name="myty" localSheetId="7" hidden="1">{#N/A,#N/A,FALSE,"GLDwnLoad"}</definedName>
    <definedName name="myty" localSheetId="3" hidden="1">{#N/A,#N/A,FALSE,"GLDwnLoad"}</definedName>
    <definedName name="myty" localSheetId="29" hidden="1">{#N/A,#N/A,FALSE,"GLDwnLoad"}</definedName>
    <definedName name="myty" localSheetId="47" hidden="1">{#N/A,#N/A,FALSE,"GLDwnLoad"}</definedName>
    <definedName name="myty" hidden="1">{#N/A,#N/A,FALSE,"GLDwnLoad"}</definedName>
    <definedName name="myuyj" localSheetId="1" hidden="1">{#N/A,#N/A,FALSE,"GLDwnLoad"}</definedName>
    <definedName name="myuyj" localSheetId="32" hidden="1">{#N/A,#N/A,FALSE,"GLDwnLoad"}</definedName>
    <definedName name="myuyj" localSheetId="6" hidden="1">{#N/A,#N/A,FALSE,"GLDwnLoad"}</definedName>
    <definedName name="myuyj" localSheetId="4" hidden="1">{#N/A,#N/A,FALSE,"GLDwnLoad"}</definedName>
    <definedName name="myuyj" localSheetId="5" hidden="1">{#N/A,#N/A,FALSE,"GLDwnLoad"}</definedName>
    <definedName name="myuyj" localSheetId="7" hidden="1">{#N/A,#N/A,FALSE,"GLDwnLoad"}</definedName>
    <definedName name="myuyj" localSheetId="3" hidden="1">{#N/A,#N/A,FALSE,"GLDwnLoad"}</definedName>
    <definedName name="myuyj" localSheetId="29" hidden="1">{#N/A,#N/A,FALSE,"GLDwnLoad"}</definedName>
    <definedName name="myuyj" localSheetId="47" hidden="1">{#N/A,#N/A,FALSE,"GLDwnLoad"}</definedName>
    <definedName name="myuyj" hidden="1">{#N/A,#N/A,FALSE,"GLDwnLoad"}</definedName>
    <definedName name="n" localSheetId="1" hidden="1">{"Assumption-Description",#N/A,FALSE,"Assumptions"}</definedName>
    <definedName name="n" localSheetId="32" hidden="1">{"Assumption-Description",#N/A,FALSE,"Assumptions"}</definedName>
    <definedName name="n" localSheetId="6" hidden="1">{"Assumption-Description",#N/A,FALSE,"Assumptions"}</definedName>
    <definedName name="n" localSheetId="4" hidden="1">{"Assumption-Description",#N/A,FALSE,"Assumptions"}</definedName>
    <definedName name="n" localSheetId="5" hidden="1">{"Assumption-Description",#N/A,FALSE,"Assumptions"}</definedName>
    <definedName name="n" localSheetId="7" hidden="1">{"Assumption-Description",#N/A,FALSE,"Assumptions"}</definedName>
    <definedName name="n" localSheetId="3" hidden="1">{"Assumption-Description",#N/A,FALSE,"Assumptions"}</definedName>
    <definedName name="n" localSheetId="29" hidden="1">{"Assumption-Description",#N/A,FALSE,"Assumptions"}</definedName>
    <definedName name="n" localSheetId="47" hidden="1">{"Assumption-Description",#N/A,FALSE,"Assumptions"}</definedName>
    <definedName name="n" hidden="1">{"Assumption-Description",#N/A,FALSE,"Assumptions"}</definedName>
    <definedName name="n_3" localSheetId="6">#REF!</definedName>
    <definedName name="n_3" localSheetId="3">#REF!</definedName>
    <definedName name="n_3">#REF!</definedName>
    <definedName name="n_4" localSheetId="6">#REF!</definedName>
    <definedName name="n_4" localSheetId="3">#REF!</definedName>
    <definedName name="n_4">#REF!</definedName>
    <definedName name="NADA" localSheetId="1" hidden="1">{"caz2",#N/A,FALSE,"Central Arizona 2";"saz2",#N/A,FALSE,"Southern Arizona 2";"snv2",#N/A,FALSE,"Southern Nevada 2";"nnv2",#N/A,FALSE,"Northern Nevada 2";"sca2",#N/A,FALSE,"Southern California 2";"nca2",#N/A,FALSE,"Northern California 2";"pai2",#N/A,FALSE,"Paiute 2"}</definedName>
    <definedName name="NADA" localSheetId="32" hidden="1">{"caz2",#N/A,FALSE,"Central Arizona 2";"saz2",#N/A,FALSE,"Southern Arizona 2";"snv2",#N/A,FALSE,"Southern Nevada 2";"nnv2",#N/A,FALSE,"Northern Nevada 2";"sca2",#N/A,FALSE,"Southern California 2";"nca2",#N/A,FALSE,"Northern California 2";"pai2",#N/A,FALSE,"Paiute 2"}</definedName>
    <definedName name="NADA" localSheetId="6" hidden="1">{"caz2",#N/A,FALSE,"Central Arizona 2";"saz2",#N/A,FALSE,"Southern Arizona 2";"snv2",#N/A,FALSE,"Southern Nevada 2";"nnv2",#N/A,FALSE,"Northern Nevada 2";"sca2",#N/A,FALSE,"Southern California 2";"nca2",#N/A,FALSE,"Northern California 2";"pai2",#N/A,FALSE,"Paiute 2"}</definedName>
    <definedName name="NADA" localSheetId="4" hidden="1">{"caz2",#N/A,FALSE,"Central Arizona 2";"saz2",#N/A,FALSE,"Southern Arizona 2";"snv2",#N/A,FALSE,"Southern Nevada 2";"nnv2",#N/A,FALSE,"Northern Nevada 2";"sca2",#N/A,FALSE,"Southern California 2";"nca2",#N/A,FALSE,"Northern California 2";"pai2",#N/A,FALSE,"Paiute 2"}</definedName>
    <definedName name="NADA" localSheetId="5" hidden="1">{"caz2",#N/A,FALSE,"Central Arizona 2";"saz2",#N/A,FALSE,"Southern Arizona 2";"snv2",#N/A,FALSE,"Southern Nevada 2";"nnv2",#N/A,FALSE,"Northern Nevada 2";"sca2",#N/A,FALSE,"Southern California 2";"nca2",#N/A,FALSE,"Northern California 2";"pai2",#N/A,FALSE,"Paiute 2"}</definedName>
    <definedName name="NADA" localSheetId="7" hidden="1">{"caz2",#N/A,FALSE,"Central Arizona 2";"saz2",#N/A,FALSE,"Southern Arizona 2";"snv2",#N/A,FALSE,"Southern Nevada 2";"nnv2",#N/A,FALSE,"Northern Nevada 2";"sca2",#N/A,FALSE,"Southern California 2";"nca2",#N/A,FALSE,"Northern California 2";"pai2",#N/A,FALSE,"Paiute 2"}</definedName>
    <definedName name="NADA" localSheetId="3" hidden="1">{"caz2",#N/A,FALSE,"Central Arizona 2";"saz2",#N/A,FALSE,"Southern Arizona 2";"snv2",#N/A,FALSE,"Southern Nevada 2";"nnv2",#N/A,FALSE,"Northern Nevada 2";"sca2",#N/A,FALSE,"Southern California 2";"nca2",#N/A,FALSE,"Northern California 2";"pai2",#N/A,FALSE,"Paiute 2"}</definedName>
    <definedName name="NADA" localSheetId="47" hidden="1">{"caz2",#N/A,FALSE,"Central Arizona 2";"saz2",#N/A,FALSE,"Southern Arizona 2";"snv2",#N/A,FALSE,"Southern Nevada 2";"nnv2",#N/A,FALSE,"Northern Nevada 2";"sca2",#N/A,FALSE,"Southern California 2";"nca2",#N/A,FALSE,"Northern California 2";"pai2",#N/A,FALSE,"Paiute 2"}</definedName>
    <definedName name="NADA" hidden="1">{"caz2",#N/A,FALSE,"Central Arizona 2";"saz2",#N/A,FALSE,"Southern Arizona 2";"snv2",#N/A,FALSE,"Southern Nevada 2";"nnv2",#N/A,FALSE,"Northern Nevada 2";"sca2",#N/A,FALSE,"Southern California 2";"nca2",#N/A,FALSE,"Northern California 2";"pai2",#N/A,FALSE,"Paiute 2"}</definedName>
    <definedName name="NAME">#N/A</definedName>
    <definedName name="name2"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field" localSheetId="1" hidden="1">#REF!</definedName>
    <definedName name="namefield" localSheetId="5" hidden="1">#REF!</definedName>
    <definedName name="namefield" localSheetId="3" hidden="1">#REF!</definedName>
    <definedName name="namefield" localSheetId="29" hidden="1">#REF!</definedName>
    <definedName name="namefield" hidden="1">#REF!</definedName>
    <definedName name="nameLU">OFFSET(#REF!,0,0,#REF!,1)</definedName>
    <definedName name="naow" localSheetId="5" hidden="1">#REF!</definedName>
    <definedName name="naow" localSheetId="3" hidden="1">#REF!</definedName>
    <definedName name="naow" localSheetId="29" hidden="1">#REF!</definedName>
    <definedName name="naow" hidden="1">#REF!</definedName>
    <definedName name="Natural_Fuels_Corporation" localSheetId="3">#REF!</definedName>
    <definedName name="Natural_Fuels_Corporation">#REF!</definedName>
    <definedName name="nbeo" localSheetId="5" hidden="1">#REF!</definedName>
    <definedName name="nbeo" localSheetId="3" hidden="1">#REF!</definedName>
    <definedName name="nbeo" localSheetId="29" hidden="1">#REF!</definedName>
    <definedName name="nbeo" hidden="1">#REF!</definedName>
    <definedName name="nbw" localSheetId="5" hidden="1">#REF!</definedName>
    <definedName name="nbw" localSheetId="3" hidden="1">#REF!</definedName>
    <definedName name="nbw" localSheetId="29" hidden="1">#REF!</definedName>
    <definedName name="nbw" hidden="1">#REF!</definedName>
    <definedName name="NEadit" localSheetId="3">#REF!</definedName>
    <definedName name="NEadit">#REF!</definedName>
    <definedName name="NEadv" localSheetId="3">#REF!</definedName>
    <definedName name="NEadv">#REF!</definedName>
    <definedName name="NEcash" localSheetId="3">#REF!</definedName>
    <definedName name="NEcash">#REF!</definedName>
    <definedName name="NEcwip" localSheetId="3">#REF!</definedName>
    <definedName name="NEcwip">#REF!</definedName>
    <definedName name="NEdep" localSheetId="3">#REF!</definedName>
    <definedName name="NEdep">#REF!</definedName>
    <definedName name="NEmatsup" localSheetId="3">#REF!</definedName>
    <definedName name="NEmatsup">#REF!</definedName>
    <definedName name="NEplant" localSheetId="3">#REF!</definedName>
    <definedName name="NEplant">#REF!</definedName>
    <definedName name="NEpp" localSheetId="3">#REF!</definedName>
    <definedName name="NEpp">#REF!</definedName>
    <definedName name="NEST" localSheetId="3">#REF!</definedName>
    <definedName name="NEST">#REF!</definedName>
    <definedName name="NEstorg" localSheetId="3">#REF!</definedName>
    <definedName name="NEstorg">#REF!</definedName>
    <definedName name="new" localSheetId="1" hidden="1">{"Summary",#N/A,FALSE,"Options "}</definedName>
    <definedName name="new" localSheetId="32" hidden="1">{"Summary",#N/A,FALSE,"Options "}</definedName>
    <definedName name="new" localSheetId="6" hidden="1">{"Summary",#N/A,FALSE,"Options "}</definedName>
    <definedName name="new" localSheetId="4" hidden="1">{"Summary",#N/A,FALSE,"Options "}</definedName>
    <definedName name="new" localSheetId="5" hidden="1">{"Summary",#N/A,FALSE,"Options "}</definedName>
    <definedName name="new" localSheetId="7" hidden="1">{"Summary",#N/A,FALSE,"Options "}</definedName>
    <definedName name="new" localSheetId="3" hidden="1">{"Summary",#N/A,FALSE,"Options "}</definedName>
    <definedName name="new" localSheetId="29" hidden="1">{"Summary",#N/A,FALSE,"Options "}</definedName>
    <definedName name="new" localSheetId="47" hidden="1">{"Summary",#N/A,FALSE,"Options "}</definedName>
    <definedName name="new" hidden="1">{"Summary",#N/A,FALSE,"Options "}</definedName>
    <definedName name="nfgh" localSheetId="6">#REF!</definedName>
    <definedName name="nfgh" localSheetId="3">#REF!</definedName>
    <definedName name="nfgh">#REF!</definedName>
    <definedName name="nfgl" localSheetId="3">#REF!</definedName>
    <definedName name="nfgl">#REF!</definedName>
    <definedName name="niPO" localSheetId="1" hidden="1">#REF!</definedName>
    <definedName name="niPO" localSheetId="5" hidden="1">#REF!</definedName>
    <definedName name="niPO" localSheetId="3" hidden="1">#REF!</definedName>
    <definedName name="niPO" localSheetId="29" hidden="1">#REF!</definedName>
    <definedName name="niPO" hidden="1">#REF!</definedName>
    <definedName name="nipxre" localSheetId="5" hidden="1">#REF!</definedName>
    <definedName name="nipxre" localSheetId="3" hidden="1">#REF!</definedName>
    <definedName name="nipxre" localSheetId="29" hidden="1">#REF!</definedName>
    <definedName name="nipxre" hidden="1">#REF!</definedName>
    <definedName name="nixre" localSheetId="5" hidden="1">#REF!</definedName>
    <definedName name="nixre" localSheetId="3" hidden="1">#REF!</definedName>
    <definedName name="nixre" localSheetId="29" hidden="1">#REF!</definedName>
    <definedName name="nixre" hidden="1">#REF!</definedName>
    <definedName name="nk" localSheetId="5" hidden="1">#REF!</definedName>
    <definedName name="nk" localSheetId="3" hidden="1">#REF!</definedName>
    <definedName name="nk" localSheetId="29" hidden="1">#REF!</definedName>
    <definedName name="nk" hidden="1">#REF!</definedName>
    <definedName name="nki" localSheetId="5" hidden="1">#REF!</definedName>
    <definedName name="nki" localSheetId="3" hidden="1">#REF!</definedName>
    <definedName name="nki" localSheetId="29" hidden="1">#REF!</definedName>
    <definedName name="nki" hidden="1">#REF!</definedName>
    <definedName name="nkiw" localSheetId="5" hidden="1">#REF!</definedName>
    <definedName name="nkiw" localSheetId="3" hidden="1">#REF!</definedName>
    <definedName name="nkiw" localSheetId="29" hidden="1">#REF!</definedName>
    <definedName name="nkiw" hidden="1">#REF!</definedName>
    <definedName name="nKLqw" localSheetId="5" hidden="1">#REF!</definedName>
    <definedName name="nKLqw" localSheetId="3" hidden="1">#REF!</definedName>
    <definedName name="nKLqw" localSheetId="29" hidden="1">#REF!</definedName>
    <definedName name="nKLqw" hidden="1">#REF!</definedName>
    <definedName name="nkse" localSheetId="5" hidden="1">#REF!</definedName>
    <definedName name="nkse" localSheetId="3" hidden="1">#REF!</definedName>
    <definedName name="nkse" localSheetId="29" hidden="1">#REF!</definedName>
    <definedName name="nkse" hidden="1">#REF!</definedName>
    <definedName name="nkw" localSheetId="5" hidden="1">#REF!</definedName>
    <definedName name="nkw" localSheetId="3" hidden="1">#REF!</definedName>
    <definedName name="nkw" localSheetId="29" hidden="1">#REF!</definedName>
    <definedName name="nkw" hidden="1">#REF!</definedName>
    <definedName name="NMB_Gen_Industry_FooterType" hidden="1">"NONE"</definedName>
    <definedName name="NMB_PCH_Assessment_FooterType" hidden="1">"NONE"</definedName>
    <definedName name="NMB_Sector_Specific_Assessment_FooterType" hidden="1">"NONE"</definedName>
    <definedName name="NMB_Sector_Specific_FooterType" hidden="1">"NONE"</definedName>
    <definedName name="NMN" localSheetId="1" hidden="1">#REF!</definedName>
    <definedName name="NMN" localSheetId="5" hidden="1">#REF!</definedName>
    <definedName name="NMN" localSheetId="3" hidden="1">#REF!</definedName>
    <definedName name="NMN" localSheetId="29" hidden="1">#REF!</definedName>
    <definedName name="NMN" hidden="1">#REF!</definedName>
    <definedName name="nmop" localSheetId="1" hidden="1">#REF!</definedName>
    <definedName name="nmop" localSheetId="5" hidden="1">#REF!</definedName>
    <definedName name="nmop" localSheetId="3" hidden="1">#REF!</definedName>
    <definedName name="nmop" localSheetId="29" hidden="1">#REF!</definedName>
    <definedName name="nmop" hidden="1">#REF!</definedName>
    <definedName name="nmwqi" localSheetId="5" hidden="1">#REF!</definedName>
    <definedName name="nmwqi" localSheetId="3" hidden="1">#REF!</definedName>
    <definedName name="nmwqi" localSheetId="29" hidden="1">#REF!</definedName>
    <definedName name="nmwqi" hidden="1">#REF!</definedName>
    <definedName name="nnnnnnn" localSheetId="5" hidden="1">#REF!</definedName>
    <definedName name="nnnnnnn" localSheetId="3" hidden="1">#REF!</definedName>
    <definedName name="nnnnnnn" localSheetId="29" hidden="1">#REF!</definedName>
    <definedName name="nnnnnnn" hidden="1">#REF!</definedName>
    <definedName name="no" localSheetId="5" hidden="1">#REF!</definedName>
    <definedName name="no" localSheetId="3" hidden="1">#REF!</definedName>
    <definedName name="no" localSheetId="29" hidden="1">#REF!</definedName>
    <definedName name="no" hidden="1">#REF!</definedName>
    <definedName name="no.1" localSheetId="3">#REF!</definedName>
    <definedName name="no.1">#REF!</definedName>
    <definedName name="no.10" localSheetId="3">#REF!</definedName>
    <definedName name="no.10">#REF!</definedName>
    <definedName name="no.11" localSheetId="3">#REF!</definedName>
    <definedName name="no.11">#REF!</definedName>
    <definedName name="no.12" localSheetId="3">#REF!</definedName>
    <definedName name="no.12">#REF!</definedName>
    <definedName name="no.13" localSheetId="3">#REF!</definedName>
    <definedName name="no.13">#REF!</definedName>
    <definedName name="no.14" localSheetId="3">#REF!</definedName>
    <definedName name="no.14">#REF!</definedName>
    <definedName name="no.15" localSheetId="3">#REF!</definedName>
    <definedName name="no.15">#REF!</definedName>
    <definedName name="no.16" localSheetId="3">#REF!</definedName>
    <definedName name="no.16">#REF!</definedName>
    <definedName name="no.17" localSheetId="3">#REF!</definedName>
    <definedName name="no.17">#REF!</definedName>
    <definedName name="no.18" localSheetId="3">#REF!</definedName>
    <definedName name="no.18">#REF!</definedName>
    <definedName name="no.19" localSheetId="3">#REF!</definedName>
    <definedName name="no.19">#REF!</definedName>
    <definedName name="no.2" localSheetId="3">#REF!</definedName>
    <definedName name="no.2">#REF!</definedName>
    <definedName name="no.20" localSheetId="3">#REF!</definedName>
    <definedName name="no.20">#REF!</definedName>
    <definedName name="no.21" localSheetId="3">#REF!</definedName>
    <definedName name="no.21">#REF!</definedName>
    <definedName name="no.22" localSheetId="3">#REF!</definedName>
    <definedName name="no.22">#REF!</definedName>
    <definedName name="no.23" localSheetId="3">#REF!</definedName>
    <definedName name="no.23">#REF!</definedName>
    <definedName name="no.24" localSheetId="3">#REF!</definedName>
    <definedName name="no.24">#REF!</definedName>
    <definedName name="no.25" localSheetId="3">#REF!</definedName>
    <definedName name="no.25">#REF!</definedName>
    <definedName name="no.26" localSheetId="3">#REF!</definedName>
    <definedName name="no.26">#REF!</definedName>
    <definedName name="no.27" localSheetId="3">#REF!</definedName>
    <definedName name="no.27">#REF!</definedName>
    <definedName name="no.28" localSheetId="3">#REF!</definedName>
    <definedName name="no.28">#REF!</definedName>
    <definedName name="no.29" localSheetId="3">#REF!</definedName>
    <definedName name="no.29">#REF!</definedName>
    <definedName name="no.3" localSheetId="3">#REF!</definedName>
    <definedName name="no.3">#REF!</definedName>
    <definedName name="no.30" localSheetId="3">#REF!</definedName>
    <definedName name="no.30">#REF!</definedName>
    <definedName name="no.31" localSheetId="3">#REF!</definedName>
    <definedName name="no.31">#REF!</definedName>
    <definedName name="no.32" localSheetId="3">#REF!</definedName>
    <definedName name="no.32">#REF!</definedName>
    <definedName name="no.33" localSheetId="3">#REF!</definedName>
    <definedName name="no.33">#REF!</definedName>
    <definedName name="no.4" localSheetId="3">#REF!</definedName>
    <definedName name="no.4">#REF!</definedName>
    <definedName name="no.5" localSheetId="3">#REF!</definedName>
    <definedName name="no.5">#REF!</definedName>
    <definedName name="no.6" localSheetId="3">#REF!</definedName>
    <definedName name="no.6">#REF!</definedName>
    <definedName name="no.7" localSheetId="3">#REF!</definedName>
    <definedName name="no.7">#REF!</definedName>
    <definedName name="no.8" localSheetId="3">#REF!</definedName>
    <definedName name="no.8">#REF!</definedName>
    <definedName name="no.9" localSheetId="3">#REF!</definedName>
    <definedName name="no.9">#REF!</definedName>
    <definedName name="NO_DIV" localSheetId="3">#REF!</definedName>
    <definedName name="NO_DIV">#REF!</definedName>
    <definedName name="noD">TRUE</definedName>
    <definedName name="noip" localSheetId="5" hidden="1">#REF!</definedName>
    <definedName name="noip" localSheetId="3" hidden="1">#REF!</definedName>
    <definedName name="noip" localSheetId="29" hidden="1">#REF!</definedName>
    <definedName name="noip" hidden="1">#REF!</definedName>
    <definedName name="noipx" localSheetId="5" hidden="1">#REF!</definedName>
    <definedName name="noipx" localSheetId="3" hidden="1">#REF!</definedName>
    <definedName name="noipx" localSheetId="29" hidden="1">#REF!</definedName>
    <definedName name="noipx" hidden="1">#REF!</definedName>
    <definedName name="nom"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NE" localSheetId="1" hidden="1">{#N/A,#N/A,FALSE,"SCA";#N/A,#N/A,FALSE,"NCA";#N/A,#N/A,FALSE,"SAZ";#N/A,#N/A,FALSE,"CAZ";#N/A,#N/A,FALSE,"SNV";#N/A,#N/A,FALSE,"NNV";#N/A,#N/A,FALSE,"PP";#N/A,#N/A,FALSE,"SA"}</definedName>
    <definedName name="NONE" localSheetId="32" hidden="1">{#N/A,#N/A,FALSE,"SCA";#N/A,#N/A,FALSE,"NCA";#N/A,#N/A,FALSE,"SAZ";#N/A,#N/A,FALSE,"CAZ";#N/A,#N/A,FALSE,"SNV";#N/A,#N/A,FALSE,"NNV";#N/A,#N/A,FALSE,"PP";#N/A,#N/A,FALSE,"SA"}</definedName>
    <definedName name="NONE" localSheetId="6" hidden="1">{#N/A,#N/A,FALSE,"SCA";#N/A,#N/A,FALSE,"NCA";#N/A,#N/A,FALSE,"SAZ";#N/A,#N/A,FALSE,"CAZ";#N/A,#N/A,FALSE,"SNV";#N/A,#N/A,FALSE,"NNV";#N/A,#N/A,FALSE,"PP";#N/A,#N/A,FALSE,"SA"}</definedName>
    <definedName name="NONE" localSheetId="4" hidden="1">{#N/A,#N/A,FALSE,"SCA";#N/A,#N/A,FALSE,"NCA";#N/A,#N/A,FALSE,"SAZ";#N/A,#N/A,FALSE,"CAZ";#N/A,#N/A,FALSE,"SNV";#N/A,#N/A,FALSE,"NNV";#N/A,#N/A,FALSE,"PP";#N/A,#N/A,FALSE,"SA"}</definedName>
    <definedName name="NONE" localSheetId="5" hidden="1">{#N/A,#N/A,FALSE,"SCA";#N/A,#N/A,FALSE,"NCA";#N/A,#N/A,FALSE,"SAZ";#N/A,#N/A,FALSE,"CAZ";#N/A,#N/A,FALSE,"SNV";#N/A,#N/A,FALSE,"NNV";#N/A,#N/A,FALSE,"PP";#N/A,#N/A,FALSE,"SA"}</definedName>
    <definedName name="NONE" localSheetId="7" hidden="1">{#N/A,#N/A,FALSE,"SCA";#N/A,#N/A,FALSE,"NCA";#N/A,#N/A,FALSE,"SAZ";#N/A,#N/A,FALSE,"CAZ";#N/A,#N/A,FALSE,"SNV";#N/A,#N/A,FALSE,"NNV";#N/A,#N/A,FALSE,"PP";#N/A,#N/A,FALSE,"SA"}</definedName>
    <definedName name="NONE" localSheetId="3" hidden="1">{#N/A,#N/A,FALSE,"SCA";#N/A,#N/A,FALSE,"NCA";#N/A,#N/A,FALSE,"SAZ";#N/A,#N/A,FALSE,"CAZ";#N/A,#N/A,FALSE,"SNV";#N/A,#N/A,FALSE,"NNV";#N/A,#N/A,FALSE,"PP";#N/A,#N/A,FALSE,"SA"}</definedName>
    <definedName name="NONE" localSheetId="47" hidden="1">{#N/A,#N/A,FALSE,"SCA";#N/A,#N/A,FALSE,"NCA";#N/A,#N/A,FALSE,"SAZ";#N/A,#N/A,FALSE,"CAZ";#N/A,#N/A,FALSE,"SNV";#N/A,#N/A,FALSE,"NNV";#N/A,#N/A,FALSE,"PP";#N/A,#N/A,FALSE,"SA"}</definedName>
    <definedName name="NONE" hidden="1">{#N/A,#N/A,FALSE,"SCA";#N/A,#N/A,FALSE,"NCA";#N/A,#N/A,FALSE,"SAZ";#N/A,#N/A,FALSE,"CAZ";#N/A,#N/A,FALSE,"SNV";#N/A,#N/A,FALSE,"NNV";#N/A,#N/A,FALSE,"PP";#N/A,#N/A,FALSE,"SA"}</definedName>
    <definedName name="nop" localSheetId="1" hidden="1">#REF!</definedName>
    <definedName name="nop" localSheetId="5" hidden="1">#REF!</definedName>
    <definedName name="nop" localSheetId="3" hidden="1">#REF!</definedName>
    <definedName name="nop" localSheetId="29" hidden="1">#REF!</definedName>
    <definedName name="nop" hidden="1">#REF!</definedName>
    <definedName name="nope" localSheetId="1" hidden="1">#REF!</definedName>
    <definedName name="nope" localSheetId="5" hidden="1">#REF!</definedName>
    <definedName name="nope" localSheetId="3" hidden="1">#REF!</definedName>
    <definedName name="nope" localSheetId="29" hidden="1">#REF!</definedName>
    <definedName name="nope" hidden="1">#REF!</definedName>
    <definedName name="noper" localSheetId="5" hidden="1">#REF!</definedName>
    <definedName name="noper" localSheetId="3" hidden="1">#REF!</definedName>
    <definedName name="noper" localSheetId="29" hidden="1">#REF!</definedName>
    <definedName name="noper" hidden="1">#REF!</definedName>
    <definedName name="notes_pay">#REF!</definedName>
    <definedName name="notes_pay_assoc">#REF!</definedName>
    <definedName name="NOVAMT" localSheetId="3">'2.4 OpCo Proxy Cap Str'!AmtTable</definedName>
    <definedName name="NOVAMT">#REF!</definedName>
    <definedName name="NOVDT" localSheetId="3">'2.4 OpCo Proxy Cap Str'!DTTable</definedName>
    <definedName name="NOVDT">#REF!</definedName>
    <definedName name="NOVEMBERAMT">#N/A</definedName>
    <definedName name="NOVEMBERDT">#N/A</definedName>
    <definedName name="now"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sz" localSheetId="1" hidden="1">#REF!</definedName>
    <definedName name="nsz" localSheetId="5" hidden="1">#REF!</definedName>
    <definedName name="nsz" localSheetId="3" hidden="1">#REF!</definedName>
    <definedName name="nsz" localSheetId="29" hidden="1">#REF!</definedName>
    <definedName name="nsz" hidden="1">#REF!</definedName>
    <definedName name="ntgt" localSheetId="1" hidden="1">{"'Sheet1'!$A$1:$O$40"}</definedName>
    <definedName name="ntgt" localSheetId="32" hidden="1">{"'Sheet1'!$A$1:$O$40"}</definedName>
    <definedName name="ntgt" localSheetId="6" hidden="1">{"'Sheet1'!$A$1:$O$40"}</definedName>
    <definedName name="ntgt" localSheetId="4" hidden="1">{"'Sheet1'!$A$1:$O$40"}</definedName>
    <definedName name="ntgt" localSheetId="5" hidden="1">{"'Sheet1'!$A$1:$O$40"}</definedName>
    <definedName name="ntgt" localSheetId="7" hidden="1">{"'Sheet1'!$A$1:$O$40"}</definedName>
    <definedName name="ntgt" localSheetId="3" hidden="1">{"'Sheet1'!$A$1:$O$40"}</definedName>
    <definedName name="ntgt" localSheetId="29" hidden="1">{"'Sheet1'!$A$1:$O$40"}</definedName>
    <definedName name="ntgt" localSheetId="47" hidden="1">{"'Sheet1'!$A$1:$O$40"}</definedName>
    <definedName name="ntgt" hidden="1">{"'Sheet1'!$A$1:$O$40"}</definedName>
    <definedName name="NucCostEscalator" localSheetId="6">#REF!</definedName>
    <definedName name="NucCostEscalator" localSheetId="3">#REF!</definedName>
    <definedName name="NucCostEscalator">#REF!</definedName>
    <definedName name="num"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_Pmt_Per_Year">#REF!</definedName>
    <definedName name="Number_of_Payments" localSheetId="32">MATCH(0.01,End_Bal,-1)+1</definedName>
    <definedName name="Number_of_Payments" localSheetId="6">MATCH(0.01,'11.3-4 WP'!End_Bal,-1)+1</definedName>
    <definedName name="Number_of_Payments" localSheetId="3">MATCH(0.01,'2.4 OpCo Proxy Cap Str'!End_Bal,-1)+1</definedName>
    <definedName name="Number_of_Payments">MATCH(0.01,End_Bal,-1)+1</definedName>
    <definedName name="NumberofPayments" localSheetId="32">MATCH(0.01,[0]!End_Bal,-1)+1</definedName>
    <definedName name="NumberofPayments" localSheetId="6">MATCH(0.01,#REF!,-1)+1</definedName>
    <definedName name="NumberofPayments" localSheetId="3">MATCH(0.01,'2.4 OpCo Proxy Cap Str'!End_Bal,-1)+1</definedName>
    <definedName name="NumberofPayments">MATCH(0.01,[0]!End_Bal,-1)+1</definedName>
    <definedName name="NvsASD">"V2011-12-31"</definedName>
    <definedName name="NvsAutoDrillOk">"VN"</definedName>
    <definedName name="NvsElapsedTime">0.000162037038535345</definedName>
    <definedName name="NvsEndTime">40921.1792824074</definedName>
    <definedName name="NvsInstLang">"VENG"</definedName>
    <definedName name="NvsInstSpec">"%,FBUSINESS_UNIT,V00049"</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"V2003-11-05"</definedName>
    <definedName name="NvsPanelSetid">"VSHARE"</definedName>
    <definedName name="NvsReqBU">"VNVSDD"</definedName>
    <definedName name="NvsReqBUOnly">"VN"</definedName>
    <definedName name="NvsStyleNme">"NoFormat.xls"</definedName>
    <definedName name="NvsTransLed">"VN"</definedName>
    <definedName name="NvsTreeASD">"V2011-12-31"</definedName>
    <definedName name="NvsValTbl.OPERATING_UNIT">"OPER_UNIT_TBL"</definedName>
    <definedName name="NW_Only" localSheetId="6">#REF!</definedName>
    <definedName name="NW_Only" localSheetId="3">#REF!</definedName>
    <definedName name="NW_Only">#REF!</definedName>
    <definedName name="NWadit" localSheetId="6">#REF!</definedName>
    <definedName name="NWadit" localSheetId="3">#REF!</definedName>
    <definedName name="NWadit">#REF!</definedName>
    <definedName name="NWadv" localSheetId="3">#REF!</definedName>
    <definedName name="NWadv">#REF!</definedName>
    <definedName name="NWcash" localSheetId="3">#REF!</definedName>
    <definedName name="NWcash">#REF!</definedName>
    <definedName name="NWcwip" localSheetId="3">#REF!</definedName>
    <definedName name="NWcwip">#REF!</definedName>
    <definedName name="NWdep" localSheetId="3">#REF!</definedName>
    <definedName name="NWdep">#REF!</definedName>
    <definedName name="NWmatsup" localSheetId="3">#REF!</definedName>
    <definedName name="NWmatsup">#REF!</definedName>
    <definedName name="NWplant" localSheetId="3">#REF!</definedName>
    <definedName name="NWplant">#REF!</definedName>
    <definedName name="NWpp" localSheetId="3">#REF!</definedName>
    <definedName name="NWpp">#REF!</definedName>
    <definedName name="NWstorg" localSheetId="3">#REF!</definedName>
    <definedName name="NWstorg">#REF!</definedName>
    <definedName name="o" localSheetId="5" hidden="1">#REF!</definedName>
    <definedName name="o" localSheetId="3" hidden="1">#REF!</definedName>
    <definedName name="o" localSheetId="29" hidden="1">#REF!</definedName>
    <definedName name="o" hidden="1">#REF!</definedName>
    <definedName name="occ" localSheetId="3">#REF!</definedName>
    <definedName name="occ">#REF!</definedName>
    <definedName name="ocq" localSheetId="5" hidden="1">#REF!</definedName>
    <definedName name="ocq" localSheetId="3" hidden="1">#REF!</definedName>
    <definedName name="ocq" localSheetId="29" hidden="1">#REF!</definedName>
    <definedName name="ocq" hidden="1">#REF!</definedName>
    <definedName name="OCTAMT" localSheetId="3">'2.4 OpCo Proxy Cap Str'!AmtTable</definedName>
    <definedName name="OCTAMT">#REF!</definedName>
    <definedName name="OCTDT" localSheetId="3">'2.4 OpCo Proxy Cap Str'!DTTable</definedName>
    <definedName name="OCTDT">#REF!</definedName>
    <definedName name="OCTOBERAMT">#N/A</definedName>
    <definedName name="OCTOBERDT">#N/A</definedName>
    <definedName name="odezscv" localSheetId="5" hidden="1">#REF!</definedName>
    <definedName name="odezscv" localSheetId="3" hidden="1">#REF!</definedName>
    <definedName name="odezscv" localSheetId="29" hidden="1">#REF!</definedName>
    <definedName name="odezscv" localSheetId="47" hidden="1">#REF!</definedName>
    <definedName name="odezscv" hidden="1">#REF!</definedName>
    <definedName name="OE96_COLO_UTE_DEF_TAX" localSheetId="3">#REF!</definedName>
    <definedName name="OE96_COLO_UTE_DEF_TAX">#REF!</definedName>
    <definedName name="oe96_detail_anal" localSheetId="3">#REF!</definedName>
    <definedName name="oe96_detail_anal">#REF!</definedName>
    <definedName name="OE96_MEMO" localSheetId="3">#REF!</definedName>
    <definedName name="OE96_MEMO">#REF!</definedName>
    <definedName name="OE96_MEMO_ROWS" localSheetId="3">#REF!</definedName>
    <definedName name="OE96_MEMO_ROWS">#REF!</definedName>
    <definedName name="ofooooo" localSheetId="5" hidden="1">#REF!</definedName>
    <definedName name="ofooooo" localSheetId="3" hidden="1">#REF!</definedName>
    <definedName name="ofooooo" localSheetId="29" hidden="1">#REF!</definedName>
    <definedName name="ofooooo" hidden="1">#REF!</definedName>
    <definedName name="OH_Factor_Distribution" localSheetId="3">#REF!</definedName>
    <definedName name="OH_Factor_Distribution">#REF!</definedName>
    <definedName name="OH_FACTOR_GEN_PROP" localSheetId="3">#REF!</definedName>
    <definedName name="OH_FACTOR_GEN_PROP">#REF!</definedName>
    <definedName name="oia" localSheetId="5" hidden="1">#REF!</definedName>
    <definedName name="oia" localSheetId="3" hidden="1">#REF!</definedName>
    <definedName name="oia" localSheetId="29" hidden="1">#REF!</definedName>
    <definedName name="oia" hidden="1">#REF!</definedName>
    <definedName name="oiacew" localSheetId="5" hidden="1">#REF!</definedName>
    <definedName name="oiacew" localSheetId="3" hidden="1">#REF!</definedName>
    <definedName name="oiacew" localSheetId="29" hidden="1">#REF!</definedName>
    <definedName name="oiacew" hidden="1">#REF!</definedName>
    <definedName name="oicw" localSheetId="5" hidden="1">#REF!</definedName>
    <definedName name="oicw" localSheetId="3" hidden="1">#REF!</definedName>
    <definedName name="oicw" localSheetId="29" hidden="1">#REF!</definedName>
    <definedName name="oicw" hidden="1">#REF!</definedName>
    <definedName name="oieac" localSheetId="5" hidden="1">#REF!</definedName>
    <definedName name="oieac" localSheetId="3" hidden="1">#REF!</definedName>
    <definedName name="oieac" localSheetId="29" hidden="1">#REF!</definedName>
    <definedName name="oieac" hidden="1">#REF!</definedName>
    <definedName name="oiewq" localSheetId="5" hidden="1">#REF!</definedName>
    <definedName name="oiewq" localSheetId="3" hidden="1">#REF!</definedName>
    <definedName name="oiewq" localSheetId="29" hidden="1">#REF!</definedName>
    <definedName name="oiewq" hidden="1">#REF!</definedName>
    <definedName name="oihyecv" localSheetId="5" hidden="1">#REF!</definedName>
    <definedName name="oihyecv" localSheetId="3" hidden="1">#REF!</definedName>
    <definedName name="oihyecv" localSheetId="29" hidden="1">#REF!</definedName>
    <definedName name="oihyecv" hidden="1">#REF!</definedName>
    <definedName name="oips" localSheetId="5" hidden="1">#REF!</definedName>
    <definedName name="oips" localSheetId="3" hidden="1">#REF!</definedName>
    <definedName name="oips" localSheetId="29" hidden="1">#REF!</definedName>
    <definedName name="oips" hidden="1">#REF!</definedName>
    <definedName name="ok" localSheetId="5" hidden="1">#REF!</definedName>
    <definedName name="ok" localSheetId="3" hidden="1">#REF!</definedName>
    <definedName name="ok" localSheetId="29" hidden="1">#REF!</definedName>
    <definedName name="ok" hidden="1">#REF!</definedName>
    <definedName name="OKCOALADJ">#REF!</definedName>
    <definedName name="okey" localSheetId="5" hidden="1">#REF!</definedName>
    <definedName name="okey" localSheetId="3" hidden="1">#REF!</definedName>
    <definedName name="okey" localSheetId="29" hidden="1">#REF!</definedName>
    <definedName name="okey" hidden="1">#REF!</definedName>
    <definedName name="okeydokey" localSheetId="5" hidden="1">#REF!</definedName>
    <definedName name="okeydokey" localSheetId="3" hidden="1">#REF!</definedName>
    <definedName name="okeydokey" localSheetId="29" hidden="1">#REF!</definedName>
    <definedName name="okeydokey" hidden="1">#REF!</definedName>
    <definedName name="OKLAFAC">#REF!</definedName>
    <definedName name="oklpwa" localSheetId="5" hidden="1">#REF!</definedName>
    <definedName name="oklpwa" localSheetId="3" hidden="1">#REF!</definedName>
    <definedName name="oklpwa" localSheetId="29" hidden="1">#REF!</definedName>
    <definedName name="oklpwa" hidden="1">#REF!</definedName>
    <definedName name="olpuwce" localSheetId="5" hidden="1">#REF!</definedName>
    <definedName name="olpuwce" localSheetId="3" hidden="1">#REF!</definedName>
    <definedName name="olpuwce" localSheetId="29" hidden="1">#REF!</definedName>
    <definedName name="olpuwce" hidden="1">#REF!</definedName>
    <definedName name="oluw" localSheetId="5" hidden="1">#REF!</definedName>
    <definedName name="oluw" localSheetId="3" hidden="1">#REF!</definedName>
    <definedName name="oluw" localSheetId="29" hidden="1">#REF!</definedName>
    <definedName name="oluw" hidden="1">#REF!</definedName>
    <definedName name="OneYear">#REF!</definedName>
    <definedName name="oooofp" localSheetId="6" hidden="1">#REF!</definedName>
    <definedName name="oooofp" localSheetId="5" hidden="1">#REF!</definedName>
    <definedName name="oooofp" localSheetId="7" hidden="1">#REF!</definedName>
    <definedName name="oooofp" localSheetId="3" hidden="1">#REF!</definedName>
    <definedName name="oooofp" localSheetId="29" hidden="1">#REF!</definedName>
    <definedName name="oooofp" hidden="1">#REF!</definedName>
    <definedName name="OPCO_LIST" localSheetId="3">#REF!</definedName>
    <definedName name="OPCO_LIST">#REF!</definedName>
    <definedName name="opec" localSheetId="5" hidden="1">#REF!</definedName>
    <definedName name="opec" localSheetId="3" hidden="1">#REF!</definedName>
    <definedName name="opec" localSheetId="29" hidden="1">#REF!</definedName>
    <definedName name="opec" hidden="1">#REF!</definedName>
    <definedName name="opewqr" localSheetId="5" hidden="1">#REF!</definedName>
    <definedName name="opewqr" localSheetId="3" hidden="1">#REF!</definedName>
    <definedName name="opewqr" localSheetId="29" hidden="1">#REF!</definedName>
    <definedName name="opewqr" hidden="1">#REF!</definedName>
    <definedName name="opicaew" localSheetId="5" hidden="1">#REF!</definedName>
    <definedName name="opicaew" localSheetId="3" hidden="1">#REF!</definedName>
    <definedName name="opicaew" localSheetId="29" hidden="1">#REF!</definedName>
    <definedName name="opicaew" hidden="1">#REF!</definedName>
    <definedName name="opiecv" localSheetId="5" hidden="1">#REF!</definedName>
    <definedName name="opiecv" localSheetId="3" hidden="1">#REF!</definedName>
    <definedName name="opiecv" localSheetId="29" hidden="1">#REF!</definedName>
    <definedName name="opiecv" hidden="1">#REF!</definedName>
    <definedName name="opiyu" localSheetId="5" hidden="1">#REF!</definedName>
    <definedName name="opiyu" localSheetId="3" hidden="1">#REF!</definedName>
    <definedName name="opiyu" localSheetId="29" hidden="1">#REF!</definedName>
    <definedName name="opiyu" hidden="1">#REF!</definedName>
    <definedName name="oplpp" localSheetId="5" hidden="1">#REF!</definedName>
    <definedName name="oplpp" localSheetId="3" hidden="1">#REF!</definedName>
    <definedName name="oplpp" localSheetId="29" hidden="1">#REF!</definedName>
    <definedName name="oplpp" hidden="1">#REF!</definedName>
    <definedName name="opp" localSheetId="5" hidden="1">#REF!</definedName>
    <definedName name="opp" localSheetId="3" hidden="1">#REF!</definedName>
    <definedName name="opp" localSheetId="29" hidden="1">#REF!</definedName>
    <definedName name="opp" hidden="1">#REF!</definedName>
    <definedName name="opuafw" localSheetId="5" hidden="1">#REF!</definedName>
    <definedName name="opuafw" localSheetId="3" hidden="1">#REF!</definedName>
    <definedName name="opuafw" localSheetId="29" hidden="1">#REF!</definedName>
    <definedName name="opuafw" hidden="1">#REF!</definedName>
    <definedName name="opuc3e" localSheetId="5" hidden="1">#REF!</definedName>
    <definedName name="opuc3e" localSheetId="3" hidden="1">#REF!</definedName>
    <definedName name="opuc3e" localSheetId="29" hidden="1">#REF!</definedName>
    <definedName name="opuc3e" hidden="1">#REF!</definedName>
    <definedName name="opueac" localSheetId="5" hidden="1">#REF!</definedName>
    <definedName name="opueac" localSheetId="3" hidden="1">#REF!</definedName>
    <definedName name="opueac" localSheetId="29" hidden="1">#REF!</definedName>
    <definedName name="opueac" hidden="1">#REF!</definedName>
    <definedName name="opufw" localSheetId="5" hidden="1">#REF!</definedName>
    <definedName name="opufw" localSheetId="3" hidden="1">#REF!</definedName>
    <definedName name="opufw" localSheetId="29" hidden="1">#REF!</definedName>
    <definedName name="opufw" hidden="1">#REF!</definedName>
    <definedName name="opuwa" localSheetId="5" hidden="1">#REF!</definedName>
    <definedName name="opuwa" localSheetId="3" hidden="1">#REF!</definedName>
    <definedName name="opuwa" localSheetId="29" hidden="1">#REF!</definedName>
    <definedName name="opuwa" hidden="1">#REF!</definedName>
    <definedName name="opvs" localSheetId="5" hidden="1">#REF!</definedName>
    <definedName name="opvs" localSheetId="3" hidden="1">#REF!</definedName>
    <definedName name="opvs" localSheetId="29" hidden="1">#REF!</definedName>
    <definedName name="opvs" hidden="1">#REF!</definedName>
    <definedName name="os" localSheetId="5" hidden="1">#REF!</definedName>
    <definedName name="os" localSheetId="3" hidden="1">#REF!</definedName>
    <definedName name="os" localSheetId="29" hidden="1">#REF!</definedName>
    <definedName name="os" hidden="1">#REF!</definedName>
    <definedName name="Other_WestGas_Supply_Loc_Code_Report" localSheetId="3">#REF!</definedName>
    <definedName name="Other_WestGas_Supply_Loc_Code_Report">#REF!</definedName>
    <definedName name="Other10A">#REF!,#REF!,#REF!,#REF!</definedName>
    <definedName name="Other10DA">#REF!,#REF!,#REF!</definedName>
    <definedName name="Other11A">#REF!,#REF!,#REF!,#REF!</definedName>
    <definedName name="other11da">#REF!,#REF!,#REF!</definedName>
    <definedName name="Other12A">#REF!,#REF!,#REF!,#REF!</definedName>
    <definedName name="Other12DA">#REF!,#REF!,#REF!</definedName>
    <definedName name="Other1A">#REF!,#REF!,#REF!,#REF!</definedName>
    <definedName name="Other1Da">#REF!,#REF!,#REF!</definedName>
    <definedName name="Other2A">#REF!,#REF!,#REF!,#REF!</definedName>
    <definedName name="Other2DA">#REF!,#REF!,#REF!</definedName>
    <definedName name="Other3A">#REF!,#REF!,#REF!,#REF!</definedName>
    <definedName name="Other3DA">#REF!,#REF!,#REF!</definedName>
    <definedName name="Other4A">#REF!,#REF!,#REF!,#REF!</definedName>
    <definedName name="Other4Da">#REF!,#REF!,#REF!</definedName>
    <definedName name="Other5A">#REF!,#REF!,#REF!,#REF!</definedName>
    <definedName name="Other5Da">#REF!,#REF!,#REF!</definedName>
    <definedName name="Other6DA">#REF!,#REF!,#REF!</definedName>
    <definedName name="Other7A">#REF!,#REF!,#REF!,#REF!</definedName>
    <definedName name="Other7DA">#REF!,#REF!,#REF!</definedName>
    <definedName name="Other8A">#REF!,#REF!,#REF!,#REF!</definedName>
    <definedName name="Other8DA">#REF!,#REF!,#REF!</definedName>
    <definedName name="Other9A">#REF!,#REF!,#REF!,#REF!</definedName>
    <definedName name="Other9DA">#REF!,#REF!,#REF!</definedName>
    <definedName name="OtherAprilA">#REF!,#REF!,#REF!,#REF!</definedName>
    <definedName name="OtherAprilDA">#REF!,#REF!,#REF!,#REF!</definedName>
    <definedName name="OtherArpilA">#REF!,#REF!,#REF!,#REF!</definedName>
    <definedName name="OtherAugA">#REF!,#REF!,#REF!,#REF!</definedName>
    <definedName name="OtherAugDa">#REF!,#REF!,#REF!,#REF!</definedName>
    <definedName name="OtherDecA">#REF!,#REF!,#REF!,#REF!</definedName>
    <definedName name="OtherDecDA">#REF!,#REF!,#REF!,#REF!</definedName>
    <definedName name="OtherFebA">#REF!,#REF!,#REF!,#REF!</definedName>
    <definedName name="OtherFebDA">#REF!,#REF!,#REF!,#REF!</definedName>
    <definedName name="OtherJanA">#REF!,#REF!,#REF!,#REF!,#REF!</definedName>
    <definedName name="OtherJanDA">#REF!,#REF!,#REF!,#REF!</definedName>
    <definedName name="OtherJulyA">#REF!,#REF!,#REF!,#REF!,#REF!,#REF!</definedName>
    <definedName name="OtherJulyDA">#REF!,#REF!,#REF!,#REF!</definedName>
    <definedName name="OtherJuneA">#REF!,#REF!,#REF!,#REF!</definedName>
    <definedName name="OtherJuneDA">#REF!,#REF!,#REF!,#REF!</definedName>
    <definedName name="Otherm6A">#REF!,#REF!,#REF!,#REF!</definedName>
    <definedName name="OtherMarchA">#REF!,#REF!,#REF!,#REF!</definedName>
    <definedName name="OtherMarchDA">#REF!,#REF!,#REF!,#REF!</definedName>
    <definedName name="OtherMayA">#REF!,#REF!,#REF!,#REF!</definedName>
    <definedName name="OtherMayDA">#REF!,#REF!,#REF!,#REF!</definedName>
    <definedName name="OtherNovA">#REF!,#REF!,#REF!,#REF!</definedName>
    <definedName name="OtherNovDA">#REF!,#REF!,#REF!,#REF!</definedName>
    <definedName name="OtherOctA">#REF!,#REF!,#REF!,#REF!</definedName>
    <definedName name="OtherOctDA">#REF!,#REF!,#REF!,#REF!</definedName>
    <definedName name="OTHERSEPT">#REF!</definedName>
    <definedName name="OtherSeptA" localSheetId="3">#REF!,#REF!,#REF!,#REF!</definedName>
    <definedName name="OtherSeptA">#REF!,#REF!,#REF!,#REF!</definedName>
    <definedName name="OtherSeptDA" localSheetId="3">#REF!,#REF!,#REF!,#REF!</definedName>
    <definedName name="OtherSeptDA">#REF!,#REF!,#REF!,#REF!</definedName>
    <definedName name="oupc" localSheetId="5" hidden="1">#REF!</definedName>
    <definedName name="oupc" localSheetId="3" hidden="1">#REF!</definedName>
    <definedName name="oupc" localSheetId="29" hidden="1">#REF!</definedName>
    <definedName name="oupc" localSheetId="47" hidden="1">#REF!</definedName>
    <definedName name="oupc" hidden="1">#REF!</definedName>
    <definedName name="OUTPUT">#REF!</definedName>
    <definedName name="Overhead_Factor" localSheetId="3">#REF!</definedName>
    <definedName name="Overhead_Factor">#REF!</definedName>
    <definedName name="ovwe" localSheetId="1" hidden="1">#REF!</definedName>
    <definedName name="ovwe" localSheetId="5" hidden="1">#REF!</definedName>
    <definedName name="ovwe" localSheetId="3" hidden="1">#REF!</definedName>
    <definedName name="ovwe" localSheetId="29" hidden="1">#REF!</definedName>
    <definedName name="ovwe" hidden="1">#REF!</definedName>
    <definedName name="OwnershipShare" localSheetId="3">#REF!</definedName>
    <definedName name="OwnershipShare">#REF!</definedName>
    <definedName name="p" localSheetId="1" hidden="1">{"Support/Rev Op Inc=Total revenue + OIBT",#N/A,FALSE,"Rev-Op Inc"}</definedName>
    <definedName name="p" localSheetId="32" hidden="1">{"Support/Rev Op Inc=Total revenue + OIBT",#N/A,FALSE,"Rev-Op Inc"}</definedName>
    <definedName name="p" localSheetId="6" hidden="1">{"Support/Rev Op Inc=Total revenue + OIBT",#N/A,FALSE,"Rev-Op Inc"}</definedName>
    <definedName name="p" localSheetId="4" hidden="1">{"Support/Rev Op Inc=Total revenue + OIBT",#N/A,FALSE,"Rev-Op Inc"}</definedName>
    <definedName name="p" localSheetId="5" hidden="1">{"Support/Rev Op Inc=Total revenue + OIBT",#N/A,FALSE,"Rev-Op Inc"}</definedName>
    <definedName name="p" localSheetId="7" hidden="1">{"Support/Rev Op Inc=Total revenue + OIBT",#N/A,FALSE,"Rev-Op Inc"}</definedName>
    <definedName name="p" localSheetId="3" hidden="1">{"Support/Rev Op Inc=Total revenue + OIBT",#N/A,FALSE,"Rev-Op Inc"}</definedName>
    <definedName name="p" localSheetId="29" hidden="1">{"Support/Rev Op Inc=Total revenue + OIBT",#N/A,FALSE,"Rev-Op Inc"}</definedName>
    <definedName name="p" localSheetId="47" hidden="1">{"Support/Rev Op Inc=Total revenue + OIBT",#N/A,FALSE,"Rev-Op Inc"}</definedName>
    <definedName name="p" hidden="1">{"Support/Rev Op Inc=Total revenue + OIBT",#N/A,FALSE,"Rev-Op Inc"}</definedName>
    <definedName name="P1_" localSheetId="6">#REF!</definedName>
    <definedName name="P1_" localSheetId="3">#REF!</definedName>
    <definedName name="P1_">#REF!</definedName>
    <definedName name="P2_" localSheetId="3">#REF!</definedName>
    <definedName name="P2_">#REF!</definedName>
    <definedName name="PAGE">#N/A</definedName>
    <definedName name="PAGE_1">#REF!</definedName>
    <definedName name="PAGE_2">#REF!</definedName>
    <definedName name="PAGE_3">#N/A</definedName>
    <definedName name="PAGE_4">#N/A</definedName>
    <definedName name="PAGE1">#N/A</definedName>
    <definedName name="PAGE4">#N/A</definedName>
    <definedName name="PAGE5" localSheetId="6">#REF!</definedName>
    <definedName name="PAGE5" localSheetId="3">#REF!</definedName>
    <definedName name="PAGE5">#REF!</definedName>
    <definedName name="PAGE6" localSheetId="3">#REF!</definedName>
    <definedName name="PAGE6">#REF!</definedName>
    <definedName name="PAGE7" localSheetId="3">#REF!</definedName>
    <definedName name="PAGE7">#REF!</definedName>
    <definedName name="PAGE8" localSheetId="3">#REF!</definedName>
    <definedName name="PAGE8">#REF!</definedName>
    <definedName name="Pageheaders">#REF!</definedName>
    <definedName name="Pal_Workbook_GUID" localSheetId="29" hidden="1">"31D6I8PXZ2UBY1JJ5B7BIZ2J"</definedName>
    <definedName name="Pal_Workbook_GUID" hidden="1">"2L986F145WYGX229IDPE7YKM"</definedName>
    <definedName name="Parent">#REF!</definedName>
    <definedName name="Parent_Company">#REF!</definedName>
    <definedName name="Pay_Date" localSheetId="6">#REF!</definedName>
    <definedName name="Pay_Date" localSheetId="3">#REF!</definedName>
    <definedName name="Pay_Date">#REF!</definedName>
    <definedName name="Pay_Num" localSheetId="6">#REF!</definedName>
    <definedName name="Pay_Num" localSheetId="3">#REF!</definedName>
    <definedName name="Pay_Num">#REF!</definedName>
    <definedName name="paydate" localSheetId="3">#REF!</definedName>
    <definedName name="paydate">#REF!</definedName>
    <definedName name="paydateno.7" localSheetId="3">#REF!</definedName>
    <definedName name="paydateno.7">#REF!</definedName>
    <definedName name="Payment_Date" localSheetId="32">DATE(YEAR(Loan_Start),MONTH(Loan_Start)+Payment_Number,DAY(Loan_Start))</definedName>
    <definedName name="Payment_Date" localSheetId="6">DATE(YEAR([0]!Loan_Start),MONTH([0]!Loan_Start)+Payment_Number,DAY([0]!Loan_Start))</definedName>
    <definedName name="Payment_Date" localSheetId="3">DATE(YEAR('2.4 OpCo Proxy Cap Str'!Loan_Start),MONTH('2.4 OpCo Proxy Cap Str'!Loan_Start)+Payment_Number,DAY('2.4 OpCo Proxy Cap Str'!Loan_Start))</definedName>
    <definedName name="Payment_Date">DATE(YEAR(Loan_Start),MONTH(Loan_Start)+Payment_Number,DAY(Loan_Start))</definedName>
    <definedName name="pb" localSheetId="32" hidden="1">{#N/A,#N/A,FALSE,"04 Target Calc.";#N/A,#N/A,FALSE,"03 Projection Calc"}</definedName>
    <definedName name="pb" localSheetId="6" hidden="1">{#N/A,#N/A,FALSE,"04 Target Calc.";#N/A,#N/A,FALSE,"03 Projection Calc"}</definedName>
    <definedName name="pb" localSheetId="7" hidden="1">{#N/A,#N/A,FALSE,"04 Target Calc.";#N/A,#N/A,FALSE,"03 Projection Calc"}</definedName>
    <definedName name="pb" localSheetId="3" hidden="1">{#N/A,#N/A,FALSE,"04 Target Calc.";#N/A,#N/A,FALSE,"03 Projection Calc"}</definedName>
    <definedName name="pb" localSheetId="47" hidden="1">{#N/A,#N/A,FALSE,"04 Target Calc.";#N/A,#N/A,FALSE,"03 Projection Calc"}</definedName>
    <definedName name="pb" hidden="1">{#N/A,#N/A,FALSE,"04 Target Calc.";#N/A,#N/A,FALSE,"03 Projection Calc"}</definedName>
    <definedName name="PE_WP">#REF!</definedName>
    <definedName name="Pepco" localSheetId="32" hidden="1">{#N/A,#N/A,FALSE,"O&amp;M by processes";#N/A,#N/A,FALSE,"Elec Act vs Bud";#N/A,#N/A,FALSE,"G&amp;A";#N/A,#N/A,FALSE,"BGS";#N/A,#N/A,FALSE,"Res Cost"}</definedName>
    <definedName name="Pepco" localSheetId="6" hidden="1">{#N/A,#N/A,FALSE,"O&amp;M by processes";#N/A,#N/A,FALSE,"Elec Act vs Bud";#N/A,#N/A,FALSE,"G&amp;A";#N/A,#N/A,FALSE,"BGS";#N/A,#N/A,FALSE,"Res Cost"}</definedName>
    <definedName name="Pepco" localSheetId="7" hidden="1">{#N/A,#N/A,FALSE,"O&amp;M by processes";#N/A,#N/A,FALSE,"Elec Act vs Bud";#N/A,#N/A,FALSE,"G&amp;A";#N/A,#N/A,FALSE,"BGS";#N/A,#N/A,FALSE,"Res Cost"}</definedName>
    <definedName name="Pepco" localSheetId="3" hidden="1">{#N/A,#N/A,FALSE,"O&amp;M by processes";#N/A,#N/A,FALSE,"Elec Act vs Bud";#N/A,#N/A,FALSE,"G&amp;A";#N/A,#N/A,FALSE,"BGS";#N/A,#N/A,FALSE,"Res Cost"}</definedName>
    <definedName name="Pepco" localSheetId="29" hidden="1">{#N/A,#N/A,FALSE,"O&amp;M by processes";#N/A,#N/A,FALSE,"Elec Act vs Bud";#N/A,#N/A,FALSE,"G&amp;A";#N/A,#N/A,FALSE,"BGS";#N/A,#N/A,FALSE,"Res Cost"}</definedName>
    <definedName name="Pepco" localSheetId="47" hidden="1">{#N/A,#N/A,FALSE,"O&amp;M by processes";#N/A,#N/A,FALSE,"Elec Act vs Bud";#N/A,#N/A,FALSE,"G&amp;A";#N/A,#N/A,FALSE,"BGS";#N/A,#N/A,FALSE,"Res Cost"}</definedName>
    <definedName name="Pepco" hidden="1">{#N/A,#N/A,FALSE,"O&amp;M by processes";#N/A,#N/A,FALSE,"Elec Act vs Bud";#N/A,#N/A,FALSE,"G&amp;A";#N/A,#N/A,FALSE,"BGS";#N/A,#N/A,FALSE,"Res Cost"}</definedName>
    <definedName name="peqafd" localSheetId="1" hidden="1">#REF!</definedName>
    <definedName name="peqafd" localSheetId="5" hidden="1">#REF!</definedName>
    <definedName name="peqafd" localSheetId="3" hidden="1">#REF!</definedName>
    <definedName name="peqafd" localSheetId="29" hidden="1">#REF!</definedName>
    <definedName name="peqafd" hidden="1">#REF!</definedName>
    <definedName name="Percent">#REF!</definedName>
    <definedName name="PERO" localSheetId="1" hidden="1">{#N/A,#N/A,FALSE,"SCA";#N/A,#N/A,FALSE,"NCA";#N/A,#N/A,FALSE,"SAZ";#N/A,#N/A,FALSE,"CAZ";#N/A,#N/A,FALSE,"SNV";#N/A,#N/A,FALSE,"NNV";#N/A,#N/A,FALSE,"PP";#N/A,#N/A,FALSE,"SA"}</definedName>
    <definedName name="PERO" localSheetId="32" hidden="1">{#N/A,#N/A,FALSE,"SCA";#N/A,#N/A,FALSE,"NCA";#N/A,#N/A,FALSE,"SAZ";#N/A,#N/A,FALSE,"CAZ";#N/A,#N/A,FALSE,"SNV";#N/A,#N/A,FALSE,"NNV";#N/A,#N/A,FALSE,"PP";#N/A,#N/A,FALSE,"SA"}</definedName>
    <definedName name="PERO" localSheetId="6" hidden="1">{#N/A,#N/A,FALSE,"SCA";#N/A,#N/A,FALSE,"NCA";#N/A,#N/A,FALSE,"SAZ";#N/A,#N/A,FALSE,"CAZ";#N/A,#N/A,FALSE,"SNV";#N/A,#N/A,FALSE,"NNV";#N/A,#N/A,FALSE,"PP";#N/A,#N/A,FALSE,"SA"}</definedName>
    <definedName name="PERO" localSheetId="4" hidden="1">{#N/A,#N/A,FALSE,"SCA";#N/A,#N/A,FALSE,"NCA";#N/A,#N/A,FALSE,"SAZ";#N/A,#N/A,FALSE,"CAZ";#N/A,#N/A,FALSE,"SNV";#N/A,#N/A,FALSE,"NNV";#N/A,#N/A,FALSE,"PP";#N/A,#N/A,FALSE,"SA"}</definedName>
    <definedName name="PERO" localSheetId="5" hidden="1">{#N/A,#N/A,FALSE,"SCA";#N/A,#N/A,FALSE,"NCA";#N/A,#N/A,FALSE,"SAZ";#N/A,#N/A,FALSE,"CAZ";#N/A,#N/A,FALSE,"SNV";#N/A,#N/A,FALSE,"NNV";#N/A,#N/A,FALSE,"PP";#N/A,#N/A,FALSE,"SA"}</definedName>
    <definedName name="PERO" localSheetId="7" hidden="1">{#N/A,#N/A,FALSE,"SCA";#N/A,#N/A,FALSE,"NCA";#N/A,#N/A,FALSE,"SAZ";#N/A,#N/A,FALSE,"CAZ";#N/A,#N/A,FALSE,"SNV";#N/A,#N/A,FALSE,"NNV";#N/A,#N/A,FALSE,"PP";#N/A,#N/A,FALSE,"SA"}</definedName>
    <definedName name="PERO" localSheetId="3" hidden="1">{#N/A,#N/A,FALSE,"SCA";#N/A,#N/A,FALSE,"NCA";#N/A,#N/A,FALSE,"SAZ";#N/A,#N/A,FALSE,"CAZ";#N/A,#N/A,FALSE,"SNV";#N/A,#N/A,FALSE,"NNV";#N/A,#N/A,FALSE,"PP";#N/A,#N/A,FALSE,"SA"}</definedName>
    <definedName name="PERO" localSheetId="47" hidden="1">{#N/A,#N/A,FALSE,"SCA";#N/A,#N/A,FALSE,"NCA";#N/A,#N/A,FALSE,"SAZ";#N/A,#N/A,FALSE,"CAZ";#N/A,#N/A,FALSE,"SNV";#N/A,#N/A,FALSE,"NNV";#N/A,#N/A,FALSE,"PP";#N/A,#N/A,FALSE,"SA"}</definedName>
    <definedName name="PERO" hidden="1">{#N/A,#N/A,FALSE,"SCA";#N/A,#N/A,FALSE,"NCA";#N/A,#N/A,FALSE,"SAZ";#N/A,#N/A,FALSE,"CAZ";#N/A,#N/A,FALSE,"SNV";#N/A,#N/A,FALSE,"NNV";#N/A,#N/A,FALSE,"PP";#N/A,#N/A,FALSE,"SA"}</definedName>
    <definedName name="pert" localSheetId="1" hidden="1">#REF!</definedName>
    <definedName name="pert" localSheetId="5" hidden="1">#REF!</definedName>
    <definedName name="pert" localSheetId="3" hidden="1">#REF!</definedName>
    <definedName name="pert" localSheetId="29" hidden="1">#REF!</definedName>
    <definedName name="pert" hidden="1">#REF!</definedName>
    <definedName name="PG">#REF!</definedName>
    <definedName name="Plains">#REF!</definedName>
    <definedName name="plk" localSheetId="1" hidden="1">#REF!</definedName>
    <definedName name="plk" localSheetId="5" hidden="1">#REF!</definedName>
    <definedName name="plk" localSheetId="3" hidden="1">#REF!</definedName>
    <definedName name="plk" localSheetId="29" hidden="1">#REF!</definedName>
    <definedName name="plk" hidden="1">#REF!</definedName>
    <definedName name="plo" localSheetId="5" hidden="1">#REF!</definedName>
    <definedName name="plo" localSheetId="3" hidden="1">#REF!</definedName>
    <definedName name="plo" localSheetId="29" hidden="1">#REF!</definedName>
    <definedName name="plo" hidden="1">#REF!</definedName>
    <definedName name="plvsanj" localSheetId="5" hidden="1">#REF!</definedName>
    <definedName name="plvsanj" localSheetId="3" hidden="1">#REF!</definedName>
    <definedName name="plvsanj" localSheetId="29" hidden="1">#REF!</definedName>
    <definedName name="plvsanj" hidden="1">#REF!</definedName>
    <definedName name="pocq" localSheetId="5" hidden="1">#REF!</definedName>
    <definedName name="pocq" localSheetId="3" hidden="1">#REF!</definedName>
    <definedName name="pocq" localSheetId="29" hidden="1">#REF!</definedName>
    <definedName name="pocq" hidden="1">#REF!</definedName>
    <definedName name="poe" localSheetId="5" hidden="1">#REF!</definedName>
    <definedName name="poe" localSheetId="3" hidden="1">#REF!</definedName>
    <definedName name="poe" localSheetId="29" hidden="1">#REF!</definedName>
    <definedName name="poe" hidden="1">#REF!</definedName>
    <definedName name="poeac" localSheetId="5" hidden="1">#REF!</definedName>
    <definedName name="poeac" localSheetId="3" hidden="1">#REF!</definedName>
    <definedName name="poeac" localSheetId="29" hidden="1">#REF!</definedName>
    <definedName name="poeac" hidden="1">#REF!</definedName>
    <definedName name="poec" localSheetId="5" hidden="1">#REF!</definedName>
    <definedName name="poec" localSheetId="3" hidden="1">#REF!</definedName>
    <definedName name="poec" localSheetId="29" hidden="1">#REF!</definedName>
    <definedName name="poec" hidden="1">#REF!</definedName>
    <definedName name="poeca" localSheetId="5" hidden="1">#REF!</definedName>
    <definedName name="poeca" localSheetId="3" hidden="1">#REF!</definedName>
    <definedName name="poeca" localSheetId="29" hidden="1">#REF!</definedName>
    <definedName name="poeca" hidden="1">#REF!</definedName>
    <definedName name="poert" localSheetId="5" hidden="1">#REF!</definedName>
    <definedName name="poert" localSheetId="3" hidden="1">#REF!</definedName>
    <definedName name="poert" localSheetId="29" hidden="1">#REF!</definedName>
    <definedName name="poert" hidden="1">#REF!</definedName>
    <definedName name="poi" localSheetId="5" hidden="1">#REF!</definedName>
    <definedName name="poi" localSheetId="3" hidden="1">#REF!</definedName>
    <definedName name="poi" localSheetId="29" hidden="1">#REF!</definedName>
    <definedName name="poi" hidden="1">#REF!</definedName>
    <definedName name="poica" localSheetId="5" hidden="1">#REF!</definedName>
    <definedName name="poica" localSheetId="3" hidden="1">#REF!</definedName>
    <definedName name="poica" localSheetId="29" hidden="1">#REF!</definedName>
    <definedName name="poica" hidden="1">#REF!</definedName>
    <definedName name="poiea" localSheetId="5" hidden="1">#REF!</definedName>
    <definedName name="poiea" localSheetId="3" hidden="1">#REF!</definedName>
    <definedName name="poiea" localSheetId="29" hidden="1">#REF!</definedName>
    <definedName name="poiea" hidden="1">#REF!</definedName>
    <definedName name="poiv" localSheetId="5" hidden="1">#REF!</definedName>
    <definedName name="poiv" localSheetId="3" hidden="1">#REF!</definedName>
    <definedName name="poiv" localSheetId="29" hidden="1">#REF!</definedName>
    <definedName name="poiv" hidden="1">#REF!</definedName>
    <definedName name="poiy" localSheetId="5" hidden="1">#REF!</definedName>
    <definedName name="poiy" localSheetId="3" hidden="1">#REF!</definedName>
    <definedName name="poiy" localSheetId="29" hidden="1">#REF!</definedName>
    <definedName name="poiy" hidden="1">#REF!</definedName>
    <definedName name="poiyw" localSheetId="5" hidden="1">#REF!</definedName>
    <definedName name="poiyw" localSheetId="3" hidden="1">#REF!</definedName>
    <definedName name="poiyw" localSheetId="29" hidden="1">#REF!</definedName>
    <definedName name="poiyw" hidden="1">#REF!</definedName>
    <definedName name="PopCache_GL_INTERFACE_REFERENCE7" localSheetId="1" hidden="1">#REF!</definedName>
    <definedName name="PopCache_GL_INTERFACE_REFERENCE7" hidden="1">#REF!</definedName>
    <definedName name="pouac" localSheetId="1" hidden="1">#REF!</definedName>
    <definedName name="pouac" localSheetId="5" hidden="1">#REF!</definedName>
    <definedName name="pouac" localSheetId="3" hidden="1">#REF!</definedName>
    <definedName name="pouac" localSheetId="29" hidden="1">#REF!</definedName>
    <definedName name="pouac" hidden="1">#REF!</definedName>
    <definedName name="pouce" localSheetId="1" hidden="1">#REF!</definedName>
    <definedName name="pouce" localSheetId="5" hidden="1">#REF!</definedName>
    <definedName name="pouce" localSheetId="3" hidden="1">#REF!</definedName>
    <definedName name="pouce" localSheetId="29" hidden="1">#REF!</definedName>
    <definedName name="pouce" hidden="1">#REF!</definedName>
    <definedName name="povrs" localSheetId="5" hidden="1">#REF!</definedName>
    <definedName name="povrs" localSheetId="3" hidden="1">#REF!</definedName>
    <definedName name="povrs" localSheetId="29" hidden="1">#REF!</definedName>
    <definedName name="povrs" hidden="1">#REF!</definedName>
    <definedName name="pp"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2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E_DCAS_ROWS" localSheetId="3">#REF!</definedName>
    <definedName name="PPE_DCAS_ROWS">#REF!</definedName>
    <definedName name="PPP" localSheetId="6">#REF!</definedName>
    <definedName name="PPP" localSheetId="3">#REF!</definedName>
    <definedName name="PPP">#REF!</definedName>
    <definedName name="pppp" localSheetId="1" hidden="1">{"'Sheet1'!$A$1:$O$40"}</definedName>
    <definedName name="pppp" localSheetId="32" hidden="1">{"'Sheet1'!$A$1:$O$40"}</definedName>
    <definedName name="pppp" localSheetId="6" hidden="1">{"'Sheet1'!$A$1:$O$40"}</definedName>
    <definedName name="pppp" localSheetId="4" hidden="1">{"'Sheet1'!$A$1:$O$40"}</definedName>
    <definedName name="pppp" localSheetId="5" hidden="1">{"'Sheet1'!$A$1:$O$40"}</definedName>
    <definedName name="pppp" localSheetId="7" hidden="1">{"'Sheet1'!$A$1:$O$40"}</definedName>
    <definedName name="pppp" localSheetId="3" hidden="1">{"'Sheet1'!$A$1:$O$40"}</definedName>
    <definedName name="pppp" localSheetId="29" hidden="1">{"'Sheet1'!$A$1:$O$40"}</definedName>
    <definedName name="pppp" localSheetId="47" hidden="1">{"'Sheet1'!$A$1:$O$40"}</definedName>
    <definedName name="pppp" hidden="1">{"'Sheet1'!$A$1:$O$40"}</definedName>
    <definedName name="ppppp" localSheetId="1" hidden="1">{#N/A,#N/A,FALSE,"SCA";#N/A,#N/A,FALSE,"NCA";#N/A,#N/A,FALSE,"SAZ";#N/A,#N/A,FALSE,"CAZ";#N/A,#N/A,FALSE,"SNV";#N/A,#N/A,FALSE,"NNV";#N/A,#N/A,FALSE,"PP";#N/A,#N/A,FALSE,"SA"}</definedName>
    <definedName name="ppppp" localSheetId="32" hidden="1">{#N/A,#N/A,FALSE,"SCA";#N/A,#N/A,FALSE,"NCA";#N/A,#N/A,FALSE,"SAZ";#N/A,#N/A,FALSE,"CAZ";#N/A,#N/A,FALSE,"SNV";#N/A,#N/A,FALSE,"NNV";#N/A,#N/A,FALSE,"PP";#N/A,#N/A,FALSE,"SA"}</definedName>
    <definedName name="ppppp" localSheetId="6" hidden="1">{#N/A,#N/A,FALSE,"SCA";#N/A,#N/A,FALSE,"NCA";#N/A,#N/A,FALSE,"SAZ";#N/A,#N/A,FALSE,"CAZ";#N/A,#N/A,FALSE,"SNV";#N/A,#N/A,FALSE,"NNV";#N/A,#N/A,FALSE,"PP";#N/A,#N/A,FALSE,"SA"}</definedName>
    <definedName name="ppppp" localSheetId="4" hidden="1">{#N/A,#N/A,FALSE,"SCA";#N/A,#N/A,FALSE,"NCA";#N/A,#N/A,FALSE,"SAZ";#N/A,#N/A,FALSE,"CAZ";#N/A,#N/A,FALSE,"SNV";#N/A,#N/A,FALSE,"NNV";#N/A,#N/A,FALSE,"PP";#N/A,#N/A,FALSE,"SA"}</definedName>
    <definedName name="ppppp" localSheetId="5" hidden="1">{#N/A,#N/A,FALSE,"SCA";#N/A,#N/A,FALSE,"NCA";#N/A,#N/A,FALSE,"SAZ";#N/A,#N/A,FALSE,"CAZ";#N/A,#N/A,FALSE,"SNV";#N/A,#N/A,FALSE,"NNV";#N/A,#N/A,FALSE,"PP";#N/A,#N/A,FALSE,"SA"}</definedName>
    <definedName name="ppppp" localSheetId="7" hidden="1">{#N/A,#N/A,FALSE,"SCA";#N/A,#N/A,FALSE,"NCA";#N/A,#N/A,FALSE,"SAZ";#N/A,#N/A,FALSE,"CAZ";#N/A,#N/A,FALSE,"SNV";#N/A,#N/A,FALSE,"NNV";#N/A,#N/A,FALSE,"PP";#N/A,#N/A,FALSE,"SA"}</definedName>
    <definedName name="ppppp" localSheetId="3" hidden="1">{#N/A,#N/A,FALSE,"SCA";#N/A,#N/A,FALSE,"NCA";#N/A,#N/A,FALSE,"SAZ";#N/A,#N/A,FALSE,"CAZ";#N/A,#N/A,FALSE,"SNV";#N/A,#N/A,FALSE,"NNV";#N/A,#N/A,FALSE,"PP";#N/A,#N/A,FALSE,"SA"}</definedName>
    <definedName name="ppppp" localSheetId="29" hidden="1">{#N/A,#N/A,FALSE,"SCA";#N/A,#N/A,FALSE,"NCA";#N/A,#N/A,FALSE,"SAZ";#N/A,#N/A,FALSE,"CAZ";#N/A,#N/A,FALSE,"SNV";#N/A,#N/A,FALSE,"NNV";#N/A,#N/A,FALSE,"PP";#N/A,#N/A,FALSE,"SA"}</definedName>
    <definedName name="ppppp" localSheetId="47" hidden="1">{#N/A,#N/A,FALSE,"SCA";#N/A,#N/A,FALSE,"NCA";#N/A,#N/A,FALSE,"SAZ";#N/A,#N/A,FALSE,"CAZ";#N/A,#N/A,FALSE,"SNV";#N/A,#N/A,FALSE,"NNV";#N/A,#N/A,FALSE,"PP";#N/A,#N/A,FALSE,"SA"}</definedName>
    <definedName name="ppppp" hidden="1">{#N/A,#N/A,FALSE,"SCA";#N/A,#N/A,FALSE,"NCA";#N/A,#N/A,FALSE,"SAZ";#N/A,#N/A,FALSE,"CAZ";#N/A,#N/A,FALSE,"SNV";#N/A,#N/A,FALSE,"NNV";#N/A,#N/A,FALSE,"PP";#N/A,#N/A,FALSE,"SA"}</definedName>
    <definedName name="pppppppp" localSheetId="1" hidden="1">#REF!</definedName>
    <definedName name="pppppppp" localSheetId="5" hidden="1">#REF!</definedName>
    <definedName name="pppppppp" localSheetId="3" hidden="1">#REF!</definedName>
    <definedName name="pppppppp" localSheetId="29" hidden="1">#REF!</definedName>
    <definedName name="pppppppp" hidden="1">#REF!</definedName>
    <definedName name="pppppppppp" localSheetId="1" hidden="1">{"'Sheet1'!$A$1:$O$40"}</definedName>
    <definedName name="pppppppppp" localSheetId="32" hidden="1">{"'Sheet1'!$A$1:$O$40"}</definedName>
    <definedName name="pppppppppp" localSheetId="6" hidden="1">{"'Sheet1'!$A$1:$O$40"}</definedName>
    <definedName name="pppppppppp" localSheetId="4" hidden="1">{"'Sheet1'!$A$1:$O$40"}</definedName>
    <definedName name="pppppppppp" localSheetId="5" hidden="1">{"'Sheet1'!$A$1:$O$40"}</definedName>
    <definedName name="pppppppppp" localSheetId="7" hidden="1">{"'Sheet1'!$A$1:$O$40"}</definedName>
    <definedName name="pppppppppp" localSheetId="3" hidden="1">{"'Sheet1'!$A$1:$O$40"}</definedName>
    <definedName name="pppppppppp" localSheetId="29" hidden="1">{"'Sheet1'!$A$1:$O$40"}</definedName>
    <definedName name="pppppppppp" localSheetId="47" hidden="1">{"'Sheet1'!$A$1:$O$40"}</definedName>
    <definedName name="pppppppppp" hidden="1">{"'Sheet1'!$A$1:$O$40"}</definedName>
    <definedName name="prcCloseAMT">"FEBAMT"</definedName>
    <definedName name="prcCloseDT">#N/A</definedName>
    <definedName name="preferred_equity">#REF!</definedName>
    <definedName name="pres_sum_blk1_chg">#REF!</definedName>
    <definedName name="pres_sum_cust_chg">#REF!</definedName>
    <definedName name="pres_win_blk1_chg">#REF!</definedName>
    <definedName name="pres_win_cust_chg">#REF!</definedName>
    <definedName name="pres_win_xs_chg">#REF!</definedName>
    <definedName name="PREVNOPD">#N/A</definedName>
    <definedName name="price" localSheetId="6">#REF!</definedName>
    <definedName name="price" localSheetId="3">#REF!</definedName>
    <definedName name="price">#REF!</definedName>
    <definedName name="Princ" localSheetId="6">#REF!</definedName>
    <definedName name="Princ" localSheetId="3">#REF!</definedName>
    <definedName name="Princ">#REF!</definedName>
    <definedName name="principal">#REF!</definedName>
    <definedName name="PRINT" localSheetId="3">#REF!</definedName>
    <definedName name="PRINT">#REF!</definedName>
    <definedName name="print_all_D_1">#REF!</definedName>
    <definedName name="_xlnm.Print_Area" localSheetId="1">'1.1 Recommended Cap Structure'!$A$1:$I$17</definedName>
    <definedName name="_xlnm.Print_Area" localSheetId="2">'1.2 Summary of CE Models'!$A$1:$E$31</definedName>
    <definedName name="_xlnm.Print_Area" localSheetId="32">'10.1 CAPEX to Net Plant'!$Q$1:$Z$28</definedName>
    <definedName name="_xlnm.Print_Area" localSheetId="4">'2.1 GasProxy CapStr Summary'!$Q$1:$AD$58</definedName>
    <definedName name="_xlnm.Print_Area" localSheetId="5">'2.2 GasProxy CapStr'!$B$1:$O$54</definedName>
    <definedName name="_xlnm.Print_Area" localSheetId="7">'2.3 OpCo Proxy Cap Str'!$A$1:$I$19</definedName>
    <definedName name="_xlnm.Print_Area" localSheetId="3">'2.4 OpCo Proxy Cap Str'!$A$1:$I$47</definedName>
    <definedName name="_xlnm.Print_Area" localSheetId="8">'3.1 DCF Summary'!$B$1:$W$31</definedName>
    <definedName name="_xlnm.Print_Area" localSheetId="9">'4.1 RP Summary'!$A$1:$E$14</definedName>
    <definedName name="_xlnm.Print_Area" localSheetId="17">'4.12 S&amp;P RPM Study Returns'!$A$1:$F$32</definedName>
    <definedName name="_xlnm.Print_Area" localSheetId="18">'4.13 Past Rate Cases Gas'!$Z$1:$AG$28</definedName>
    <definedName name="_xlnm.Print_Area" localSheetId="10">'4.2 Ind. PRPM Results'!$B$1:$P$27</definedName>
    <definedName name="_xlnm.Print_Area" localSheetId="11">'4.3 Risk Premium Summary'!$A$1:$H$28</definedName>
    <definedName name="_xlnm.Print_Area" localSheetId="13">'4.5 Bond Ratings'!$B$1:$K$27</definedName>
    <definedName name="_xlnm.Print_Area" localSheetId="14">'4.6 Moody''s_S&amp;P numbericl'!$B$1:$F$26</definedName>
    <definedName name="_xlnm.Print_Area" localSheetId="15">'4.7 ERP Determination'!$A$1:$F$30</definedName>
    <definedName name="_xlnm.Print_Area" localSheetId="16">'4.8-4.9 Beta Adjusted ERP'!$A$1:$F$50</definedName>
    <definedName name="_xlnm.Print_Area" localSheetId="19">'5.1 CAPM'!$B$1:$W$24</definedName>
    <definedName name="_xlnm.Print_Area" localSheetId="20">'5.2 CAPM Notes'!$A$1:$O$62</definedName>
    <definedName name="_xlnm.Print_Area" localSheetId="21">'6.1 Comp Earnings Criteria'!$C$1:$K$28</definedName>
    <definedName name="_xlnm.Print_Area" localSheetId="22">'6.2 Proxy Group Equivalent'!$C$1:$K$54</definedName>
    <definedName name="_xlnm.Print_Area" localSheetId="23">'7.1 CEM Summary'!$A$1:$F$25</definedName>
    <definedName name="_xlnm.Print_Area" localSheetId="24">'7.2 CEM DCF'!$B$1:$W$60</definedName>
    <definedName name="_xlnm.Print_Area" localSheetId="25">'7.3 CEM RPM Summary'!$A$1:$I$44</definedName>
    <definedName name="_xlnm.Print_Area" localSheetId="26">'7.4 CEM RPM Bond Ratings'!$B$1:$J$56</definedName>
    <definedName name="_xlnm.Print_Area" localSheetId="27">'7.5 CEM Beta Adjusted RP'!$A$1:$G$40</definedName>
    <definedName name="_xlnm.Print_Area" localSheetId="28">'7.6 CEM CAPM Backup'!$B$1:$W$58</definedName>
    <definedName name="_xlnm.Print_Area" localSheetId="29">'8.1 Equity Contributions'!$A$1:$W$34</definedName>
    <definedName name="_xlnm.Print_Area" localSheetId="30">'9.1 Risk Adjustment'!$A$1:$M$38</definedName>
    <definedName name="_xlnm.Print_Area" localSheetId="31">'9.2 Market Cap'!$B$1:$Q$40</definedName>
    <definedName name="_xlnm.Print_Area" localSheetId="57">'PRPM WP10'!$B$1:$I$1165</definedName>
    <definedName name="_xlnm.Print_Area" localSheetId="58">'PRPM WP11'!$B$1:$I$1165</definedName>
    <definedName name="_xlnm.Print_Area" localSheetId="50">'PRPM WP3'!$B$1:$I$1165</definedName>
    <definedName name="_xlnm.Print_Area" localSheetId="51">'PRPM WP4'!$B$1:$I$1165</definedName>
    <definedName name="_xlnm.Print_Area" localSheetId="52">'PRPM WP5'!$B$1:$I$1165</definedName>
    <definedName name="_xlnm.Print_Area" localSheetId="53">'PRPM WP6'!$A$1:$I$1165</definedName>
    <definedName name="_xlnm.Print_Area" localSheetId="54">'PRPM WP7'!$B$1:$I$1165</definedName>
    <definedName name="_xlnm.Print_Area" localSheetId="55">'PRPM WP8'!$B$1:$I$1165</definedName>
    <definedName name="_xlnm.Print_Area" localSheetId="56">'PRPM WP9'!$B$1:$I$1165</definedName>
    <definedName name="_xlnm.Print_Area">#REF!</definedName>
    <definedName name="Print_Area_MI" localSheetId="6">#REF!</definedName>
    <definedName name="Print_Area_MI" localSheetId="3">#REF!</definedName>
    <definedName name="Print_Area_MI">#REF!</definedName>
    <definedName name="Print_Area_Reset" localSheetId="32">OFFSET(Full_Print,0,0,'10.1 CAPEX to Net Plant'!Last_Row)</definedName>
    <definedName name="Print_Area_Reset" localSheetId="6">OFFSET('11.3-4 WP'!Full_Print,0,0,'11.3-4 WP'!Last_Row)</definedName>
    <definedName name="Print_Area_Reset" localSheetId="3">OFFSET('2.4 OpCo Proxy Cap Str'!Full_Print,0,0,'2.4 OpCo Proxy Cap Str'!Last_Row)</definedName>
    <definedName name="Print_Area_Reset" localSheetId="60">OFFSET([0]!Full_Print,0,0,[0]!Last_Row)</definedName>
    <definedName name="Print_Area_Reset">OFFSET(Full_Print,0,0,Last_Row)</definedName>
    <definedName name="Print_Elec_Com_Gen_Anal" localSheetId="3">#REF!</definedName>
    <definedName name="Print_Elec_Com_Gen_Anal">#REF!</definedName>
    <definedName name="print_filing" localSheetId="3">#REF!</definedName>
    <definedName name="print_filing">#REF!</definedName>
    <definedName name="PRINT_T8004_HLPRET96_DATA" localSheetId="3">#REF!</definedName>
    <definedName name="PRINT_T8004_HLPRET96_DATA">#REF!</definedName>
    <definedName name="_xlnm.Print_Titles" localSheetId="16">'4.8-4.9 Beta Adjusted ERP'!$1:$5</definedName>
    <definedName name="_xlnm.Print_Titles" localSheetId="22">'6.2 Proxy Group Equivalent'!$1:$4</definedName>
    <definedName name="_xlnm.Print_Titles" localSheetId="24">'7.2 CEM DCF'!$1:$3</definedName>
    <definedName name="_xlnm.Print_Titles" localSheetId="26">'7.4 CEM RPM Bond Ratings'!$1:$4</definedName>
    <definedName name="_xlnm.Print_Titles" localSheetId="28">'7.6 CEM CAPM Backup'!$1:$4</definedName>
    <definedName name="_xlnm.Print_Titles" localSheetId="50">'PRPM WP3'!$1:$1</definedName>
    <definedName name="_xlnm.Print_Titles" localSheetId="51">'PRPM WP4'!$1:$1</definedName>
    <definedName name="_xlnm.Print_Titles" localSheetId="52">'PRPM WP5'!$1:$1</definedName>
    <definedName name="_xlnm.Print_Titles">#N/A</definedName>
    <definedName name="Print_Titles_MI" localSheetId="3">#REF!</definedName>
    <definedName name="Print_Titles_MI">#REF!</definedName>
    <definedName name="PRINT1" localSheetId="6">#REF!</definedName>
    <definedName name="PRINT1" localSheetId="3">#REF!</definedName>
    <definedName name="PRINT1">#REF!</definedName>
    <definedName name="printing_probelm2_2006" localSheetId="1" hidden="1">{"CONSOL_UWNJ_ISV",#N/A,FALSE,"Sheet1";"CONSOL_UWNJ_SAV",#N/A,FALSE,"Sheet1";"CONSOL_UWNJ_BSV",#N/A,FALSE,"Sheet1";"CONSOL_UWNJ_SFDV",#N/A,FALSE,"Sheet1"}</definedName>
    <definedName name="printing_probelm2_2006" localSheetId="32" hidden="1">{"CONSOL_UWNJ_ISV",#N/A,FALSE,"Sheet1";"CONSOL_UWNJ_SAV",#N/A,FALSE,"Sheet1";"CONSOL_UWNJ_BSV",#N/A,FALSE,"Sheet1";"CONSOL_UWNJ_SFDV",#N/A,FALSE,"Sheet1"}</definedName>
    <definedName name="printing_probelm2_2006" localSheetId="6" hidden="1">{"CONSOL_UWNJ_ISV",#N/A,FALSE,"Sheet1";"CONSOL_UWNJ_SAV",#N/A,FALSE,"Sheet1";"CONSOL_UWNJ_BSV",#N/A,FALSE,"Sheet1";"CONSOL_UWNJ_SFDV",#N/A,FALSE,"Sheet1"}</definedName>
    <definedName name="printing_probelm2_2006" localSheetId="4" hidden="1">{"CONSOL_UWNJ_ISV",#N/A,FALSE,"Sheet1";"CONSOL_UWNJ_SAV",#N/A,FALSE,"Sheet1";"CONSOL_UWNJ_BSV",#N/A,FALSE,"Sheet1";"CONSOL_UWNJ_SFDV",#N/A,FALSE,"Sheet1"}</definedName>
    <definedName name="printing_probelm2_2006" localSheetId="5" hidden="1">{"CONSOL_UWNJ_ISV",#N/A,FALSE,"Sheet1";"CONSOL_UWNJ_SAV",#N/A,FALSE,"Sheet1";"CONSOL_UWNJ_BSV",#N/A,FALSE,"Sheet1";"CONSOL_UWNJ_SFDV",#N/A,FALSE,"Sheet1"}</definedName>
    <definedName name="printing_probelm2_2006" localSheetId="7" hidden="1">{"CONSOL_UWNJ_ISV",#N/A,FALSE,"Sheet1";"CONSOL_UWNJ_SAV",#N/A,FALSE,"Sheet1";"CONSOL_UWNJ_BSV",#N/A,FALSE,"Sheet1";"CONSOL_UWNJ_SFDV",#N/A,FALSE,"Sheet1"}</definedName>
    <definedName name="printing_probelm2_2006" localSheetId="3" hidden="1">{"CONSOL_UWNJ_ISV",#N/A,FALSE,"Sheet1";"CONSOL_UWNJ_SAV",#N/A,FALSE,"Sheet1";"CONSOL_UWNJ_BSV",#N/A,FALSE,"Sheet1";"CONSOL_UWNJ_SFDV",#N/A,FALSE,"Sheet1"}</definedName>
    <definedName name="printing_probelm2_2006" localSheetId="29" hidden="1">{"CONSOL_UWNJ_ISV",#N/A,FALSE,"Sheet1";"CONSOL_UWNJ_SAV",#N/A,FALSE,"Sheet1";"CONSOL_UWNJ_BSV",#N/A,FALSE,"Sheet1";"CONSOL_UWNJ_SFDV",#N/A,FALSE,"Sheet1"}</definedName>
    <definedName name="printing_probelm2_2006" localSheetId="47" hidden="1">{"CONSOL_UWNJ_ISV",#N/A,FALSE,"Sheet1";"CONSOL_UWNJ_SAV",#N/A,FALSE,"Sheet1";"CONSOL_UWNJ_BSV",#N/A,FALSE,"Sheet1";"CONSOL_UWNJ_SFDV",#N/A,FALSE,"Sheet1"}</definedName>
    <definedName name="printing_probelm2_2006" hidden="1">{"CONSOL_UWNJ_ISV",#N/A,FALSE,"Sheet1";"CONSOL_UWNJ_SAV",#N/A,FALSE,"Sheet1";"CONSOL_UWNJ_BSV",#N/A,FALSE,"Sheet1";"CONSOL_UWNJ_SFDV",#N/A,FALSE,"Sheet1"}</definedName>
    <definedName name="printing_Problem" localSheetId="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3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6"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4"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5"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3"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2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4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 localSheetId="1" hidden="1">{"CONSOL_UWNJ_ISV",#N/A,FALSE,"Sheet1";"CONSOL_UWNJ_SAV",#N/A,FALSE,"Sheet1";"CONSOL_UWNJ_BSV",#N/A,FALSE,"Sheet1";"CONSOL_UWNJ_SFDV",#N/A,FALSE,"Sheet1"}</definedName>
    <definedName name="printing_problem2" localSheetId="32" hidden="1">{"CONSOL_UWNJ_ISV",#N/A,FALSE,"Sheet1";"CONSOL_UWNJ_SAV",#N/A,FALSE,"Sheet1";"CONSOL_UWNJ_BSV",#N/A,FALSE,"Sheet1";"CONSOL_UWNJ_SFDV",#N/A,FALSE,"Sheet1"}</definedName>
    <definedName name="printing_problem2" localSheetId="6" hidden="1">{"CONSOL_UWNJ_ISV",#N/A,FALSE,"Sheet1";"CONSOL_UWNJ_SAV",#N/A,FALSE,"Sheet1";"CONSOL_UWNJ_BSV",#N/A,FALSE,"Sheet1";"CONSOL_UWNJ_SFDV",#N/A,FALSE,"Sheet1"}</definedName>
    <definedName name="printing_problem2" localSheetId="4" hidden="1">{"CONSOL_UWNJ_ISV",#N/A,FALSE,"Sheet1";"CONSOL_UWNJ_SAV",#N/A,FALSE,"Sheet1";"CONSOL_UWNJ_BSV",#N/A,FALSE,"Sheet1";"CONSOL_UWNJ_SFDV",#N/A,FALSE,"Sheet1"}</definedName>
    <definedName name="printing_problem2" localSheetId="5" hidden="1">{"CONSOL_UWNJ_ISV",#N/A,FALSE,"Sheet1";"CONSOL_UWNJ_SAV",#N/A,FALSE,"Sheet1";"CONSOL_UWNJ_BSV",#N/A,FALSE,"Sheet1";"CONSOL_UWNJ_SFDV",#N/A,FALSE,"Sheet1"}</definedName>
    <definedName name="printing_problem2" localSheetId="7" hidden="1">{"CONSOL_UWNJ_ISV",#N/A,FALSE,"Sheet1";"CONSOL_UWNJ_SAV",#N/A,FALSE,"Sheet1";"CONSOL_UWNJ_BSV",#N/A,FALSE,"Sheet1";"CONSOL_UWNJ_SFDV",#N/A,FALSE,"Sheet1"}</definedName>
    <definedName name="printing_problem2" localSheetId="3" hidden="1">{"CONSOL_UWNJ_ISV",#N/A,FALSE,"Sheet1";"CONSOL_UWNJ_SAV",#N/A,FALSE,"Sheet1";"CONSOL_UWNJ_BSV",#N/A,FALSE,"Sheet1";"CONSOL_UWNJ_SFDV",#N/A,FALSE,"Sheet1"}</definedName>
    <definedName name="printing_problem2" localSheetId="29" hidden="1">{"CONSOL_UWNJ_ISV",#N/A,FALSE,"Sheet1";"CONSOL_UWNJ_SAV",#N/A,FALSE,"Sheet1";"CONSOL_UWNJ_BSV",#N/A,FALSE,"Sheet1";"CONSOL_UWNJ_SFDV",#N/A,FALSE,"Sheet1"}</definedName>
    <definedName name="printing_problem2" localSheetId="47" hidden="1">{"CONSOL_UWNJ_ISV",#N/A,FALSE,"Sheet1";"CONSOL_UWNJ_SAV",#N/A,FALSE,"Sheet1";"CONSOL_UWNJ_BSV",#N/A,FALSE,"Sheet1";"CONSOL_UWNJ_SFDV",#N/A,FALSE,"Sheet1"}</definedName>
    <definedName name="printing_problem2" hidden="1">{"CONSOL_UWNJ_ISV",#N/A,FALSE,"Sheet1";"CONSOL_UWNJ_SAV",#N/A,FALSE,"Sheet1";"CONSOL_UWNJ_BSV",#N/A,FALSE,"Sheet1";"CONSOL_UWNJ_SFDV",#N/A,FALSE,"Sheet1"}</definedName>
    <definedName name="printing_Problem2006" localSheetId="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3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6"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4"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5"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3"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2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4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3" localSheetId="1" hidden="1">{"CONSOL_WO_ISV",#N/A,FALSE,"Sheet1";"CONSOL_WO_SAV",#N/A,FALSE,"Sheet1";"CONSOL_WO_BSV",#N/A,FALSE,"Sheet1";"CONSOL_WO_SFDV",#N/A,FALSE,"Sheet1"}</definedName>
    <definedName name="printing_problem3" localSheetId="32" hidden="1">{"CONSOL_WO_ISV",#N/A,FALSE,"Sheet1";"CONSOL_WO_SAV",#N/A,FALSE,"Sheet1";"CONSOL_WO_BSV",#N/A,FALSE,"Sheet1";"CONSOL_WO_SFDV",#N/A,FALSE,"Sheet1"}</definedName>
    <definedName name="printing_problem3" localSheetId="6" hidden="1">{"CONSOL_WO_ISV",#N/A,FALSE,"Sheet1";"CONSOL_WO_SAV",#N/A,FALSE,"Sheet1";"CONSOL_WO_BSV",#N/A,FALSE,"Sheet1";"CONSOL_WO_SFDV",#N/A,FALSE,"Sheet1"}</definedName>
    <definedName name="printing_problem3" localSheetId="4" hidden="1">{"CONSOL_WO_ISV",#N/A,FALSE,"Sheet1";"CONSOL_WO_SAV",#N/A,FALSE,"Sheet1";"CONSOL_WO_BSV",#N/A,FALSE,"Sheet1";"CONSOL_WO_SFDV",#N/A,FALSE,"Sheet1"}</definedName>
    <definedName name="printing_problem3" localSheetId="5" hidden="1">{"CONSOL_WO_ISV",#N/A,FALSE,"Sheet1";"CONSOL_WO_SAV",#N/A,FALSE,"Sheet1";"CONSOL_WO_BSV",#N/A,FALSE,"Sheet1";"CONSOL_WO_SFDV",#N/A,FALSE,"Sheet1"}</definedName>
    <definedName name="printing_problem3" localSheetId="7" hidden="1">{"CONSOL_WO_ISV",#N/A,FALSE,"Sheet1";"CONSOL_WO_SAV",#N/A,FALSE,"Sheet1";"CONSOL_WO_BSV",#N/A,FALSE,"Sheet1";"CONSOL_WO_SFDV",#N/A,FALSE,"Sheet1"}</definedName>
    <definedName name="printing_problem3" localSheetId="3" hidden="1">{"CONSOL_WO_ISV",#N/A,FALSE,"Sheet1";"CONSOL_WO_SAV",#N/A,FALSE,"Sheet1";"CONSOL_WO_BSV",#N/A,FALSE,"Sheet1";"CONSOL_WO_SFDV",#N/A,FALSE,"Sheet1"}</definedName>
    <definedName name="printing_problem3" localSheetId="29" hidden="1">{"CONSOL_WO_ISV",#N/A,FALSE,"Sheet1";"CONSOL_WO_SAV",#N/A,FALSE,"Sheet1";"CONSOL_WO_BSV",#N/A,FALSE,"Sheet1";"CONSOL_WO_SFDV",#N/A,FALSE,"Sheet1"}</definedName>
    <definedName name="printing_problem3" localSheetId="47" hidden="1">{"CONSOL_WO_ISV",#N/A,FALSE,"Sheet1";"CONSOL_WO_SAV",#N/A,FALSE,"Sheet1";"CONSOL_WO_BSV",#N/A,FALSE,"Sheet1";"CONSOL_WO_SFDV",#N/A,FALSE,"Sheet1"}</definedName>
    <definedName name="printing_problem3" hidden="1">{"CONSOL_WO_ISV",#N/A,FALSE,"Sheet1";"CONSOL_WO_SAV",#N/A,FALSE,"Sheet1";"CONSOL_WO_BSV",#N/A,FALSE,"Sheet1";"CONSOL_WO_SFDV",#N/A,FALSE,"Sheet1"}</definedName>
    <definedName name="printing_problem3_2006" localSheetId="1" hidden="1">{"CONSOL_WO_ISV",#N/A,FALSE,"Sheet1";"CONSOL_WO_SAV",#N/A,FALSE,"Sheet1";"CONSOL_WO_BSV",#N/A,FALSE,"Sheet1";"CONSOL_WO_SFDV",#N/A,FALSE,"Sheet1"}</definedName>
    <definedName name="printing_problem3_2006" localSheetId="32" hidden="1">{"CONSOL_WO_ISV",#N/A,FALSE,"Sheet1";"CONSOL_WO_SAV",#N/A,FALSE,"Sheet1";"CONSOL_WO_BSV",#N/A,FALSE,"Sheet1";"CONSOL_WO_SFDV",#N/A,FALSE,"Sheet1"}</definedName>
    <definedName name="printing_problem3_2006" localSheetId="6" hidden="1">{"CONSOL_WO_ISV",#N/A,FALSE,"Sheet1";"CONSOL_WO_SAV",#N/A,FALSE,"Sheet1";"CONSOL_WO_BSV",#N/A,FALSE,"Sheet1";"CONSOL_WO_SFDV",#N/A,FALSE,"Sheet1"}</definedName>
    <definedName name="printing_problem3_2006" localSheetId="4" hidden="1">{"CONSOL_WO_ISV",#N/A,FALSE,"Sheet1";"CONSOL_WO_SAV",#N/A,FALSE,"Sheet1";"CONSOL_WO_BSV",#N/A,FALSE,"Sheet1";"CONSOL_WO_SFDV",#N/A,FALSE,"Sheet1"}</definedName>
    <definedName name="printing_problem3_2006" localSheetId="5" hidden="1">{"CONSOL_WO_ISV",#N/A,FALSE,"Sheet1";"CONSOL_WO_SAV",#N/A,FALSE,"Sheet1";"CONSOL_WO_BSV",#N/A,FALSE,"Sheet1";"CONSOL_WO_SFDV",#N/A,FALSE,"Sheet1"}</definedName>
    <definedName name="printing_problem3_2006" localSheetId="7" hidden="1">{"CONSOL_WO_ISV",#N/A,FALSE,"Sheet1";"CONSOL_WO_SAV",#N/A,FALSE,"Sheet1";"CONSOL_WO_BSV",#N/A,FALSE,"Sheet1";"CONSOL_WO_SFDV",#N/A,FALSE,"Sheet1"}</definedName>
    <definedName name="printing_problem3_2006" localSheetId="3" hidden="1">{"CONSOL_WO_ISV",#N/A,FALSE,"Sheet1";"CONSOL_WO_SAV",#N/A,FALSE,"Sheet1";"CONSOL_WO_BSV",#N/A,FALSE,"Sheet1";"CONSOL_WO_SFDV",#N/A,FALSE,"Sheet1"}</definedName>
    <definedName name="printing_problem3_2006" localSheetId="29" hidden="1">{"CONSOL_WO_ISV",#N/A,FALSE,"Sheet1";"CONSOL_WO_SAV",#N/A,FALSE,"Sheet1";"CONSOL_WO_BSV",#N/A,FALSE,"Sheet1";"CONSOL_WO_SFDV",#N/A,FALSE,"Sheet1"}</definedName>
    <definedName name="printing_problem3_2006" localSheetId="47" hidden="1">{"CONSOL_WO_ISV",#N/A,FALSE,"Sheet1";"CONSOL_WO_SAV",#N/A,FALSE,"Sheet1";"CONSOL_WO_BSV",#N/A,FALSE,"Sheet1";"CONSOL_WO_SFDV",#N/A,FALSE,"Sheet1"}</definedName>
    <definedName name="printing_problem3_2006" hidden="1">{"CONSOL_WO_ISV",#N/A,FALSE,"Sheet1";"CONSOL_WO_SAV",#N/A,FALSE,"Sheet1";"CONSOL_WO_BSV",#N/A,FALSE,"Sheet1";"CONSOL_WO_SFDV",#N/A,FALSE,"Sheet1"}</definedName>
    <definedName name="printing_problem4" localSheetId="1" hidden="1">{"ELIM_CWO_ISV",#N/A,FALSE,"Sheet1";"ELIM_CWO_SAV",#N/A,FALSE,"Sheet1";"ELIM_CWO_BSV",#N/A,FALSE,"Sheet1";"ELIM_CWO_SFDV",#N/A,FALSE,"Sheet1"}</definedName>
    <definedName name="printing_problem4" localSheetId="32" hidden="1">{"ELIM_CWO_ISV",#N/A,FALSE,"Sheet1";"ELIM_CWO_SAV",#N/A,FALSE,"Sheet1";"ELIM_CWO_BSV",#N/A,FALSE,"Sheet1";"ELIM_CWO_SFDV",#N/A,FALSE,"Sheet1"}</definedName>
    <definedName name="printing_problem4" localSheetId="6" hidden="1">{"ELIM_CWO_ISV",#N/A,FALSE,"Sheet1";"ELIM_CWO_SAV",#N/A,FALSE,"Sheet1";"ELIM_CWO_BSV",#N/A,FALSE,"Sheet1";"ELIM_CWO_SFDV",#N/A,FALSE,"Sheet1"}</definedName>
    <definedName name="printing_problem4" localSheetId="4" hidden="1">{"ELIM_CWO_ISV",#N/A,FALSE,"Sheet1";"ELIM_CWO_SAV",#N/A,FALSE,"Sheet1";"ELIM_CWO_BSV",#N/A,FALSE,"Sheet1";"ELIM_CWO_SFDV",#N/A,FALSE,"Sheet1"}</definedName>
    <definedName name="printing_problem4" localSheetId="5" hidden="1">{"ELIM_CWO_ISV",#N/A,FALSE,"Sheet1";"ELIM_CWO_SAV",#N/A,FALSE,"Sheet1";"ELIM_CWO_BSV",#N/A,FALSE,"Sheet1";"ELIM_CWO_SFDV",#N/A,FALSE,"Sheet1"}</definedName>
    <definedName name="printing_problem4" localSheetId="7" hidden="1">{"ELIM_CWO_ISV",#N/A,FALSE,"Sheet1";"ELIM_CWO_SAV",#N/A,FALSE,"Sheet1";"ELIM_CWO_BSV",#N/A,FALSE,"Sheet1";"ELIM_CWO_SFDV",#N/A,FALSE,"Sheet1"}</definedName>
    <definedName name="printing_problem4" localSheetId="3" hidden="1">{"ELIM_CWO_ISV",#N/A,FALSE,"Sheet1";"ELIM_CWO_SAV",#N/A,FALSE,"Sheet1";"ELIM_CWO_BSV",#N/A,FALSE,"Sheet1";"ELIM_CWO_SFDV",#N/A,FALSE,"Sheet1"}</definedName>
    <definedName name="printing_problem4" localSheetId="29" hidden="1">{"ELIM_CWO_ISV",#N/A,FALSE,"Sheet1";"ELIM_CWO_SAV",#N/A,FALSE,"Sheet1";"ELIM_CWO_BSV",#N/A,FALSE,"Sheet1";"ELIM_CWO_SFDV",#N/A,FALSE,"Sheet1"}</definedName>
    <definedName name="printing_problem4" localSheetId="47" hidden="1">{"ELIM_CWO_ISV",#N/A,FALSE,"Sheet1";"ELIM_CWO_SAV",#N/A,FALSE,"Sheet1";"ELIM_CWO_BSV",#N/A,FALSE,"Sheet1";"ELIM_CWO_SFDV",#N/A,FALSE,"Sheet1"}</definedName>
    <definedName name="printing_problem4" hidden="1">{"ELIM_CWO_ISV",#N/A,FALSE,"Sheet1";"ELIM_CWO_SAV",#N/A,FALSE,"Sheet1";"ELIM_CWO_BSV",#N/A,FALSE,"Sheet1";"ELIM_CWO_SFDV",#N/A,FALSE,"Sheet1"}</definedName>
    <definedName name="printing_problem4_2006" localSheetId="1" hidden="1">{"ELIM_CWO_ISV",#N/A,FALSE,"Sheet1";"ELIM_CWO_SAV",#N/A,FALSE,"Sheet1";"ELIM_CWO_BSV",#N/A,FALSE,"Sheet1";"ELIM_CWO_SFDV",#N/A,FALSE,"Sheet1"}</definedName>
    <definedName name="printing_problem4_2006" localSheetId="32" hidden="1">{"ELIM_CWO_ISV",#N/A,FALSE,"Sheet1";"ELIM_CWO_SAV",#N/A,FALSE,"Sheet1";"ELIM_CWO_BSV",#N/A,FALSE,"Sheet1";"ELIM_CWO_SFDV",#N/A,FALSE,"Sheet1"}</definedName>
    <definedName name="printing_problem4_2006" localSheetId="6" hidden="1">{"ELIM_CWO_ISV",#N/A,FALSE,"Sheet1";"ELIM_CWO_SAV",#N/A,FALSE,"Sheet1";"ELIM_CWO_BSV",#N/A,FALSE,"Sheet1";"ELIM_CWO_SFDV",#N/A,FALSE,"Sheet1"}</definedName>
    <definedName name="printing_problem4_2006" localSheetId="4" hidden="1">{"ELIM_CWO_ISV",#N/A,FALSE,"Sheet1";"ELIM_CWO_SAV",#N/A,FALSE,"Sheet1";"ELIM_CWO_BSV",#N/A,FALSE,"Sheet1";"ELIM_CWO_SFDV",#N/A,FALSE,"Sheet1"}</definedName>
    <definedName name="printing_problem4_2006" localSheetId="5" hidden="1">{"ELIM_CWO_ISV",#N/A,FALSE,"Sheet1";"ELIM_CWO_SAV",#N/A,FALSE,"Sheet1";"ELIM_CWO_BSV",#N/A,FALSE,"Sheet1";"ELIM_CWO_SFDV",#N/A,FALSE,"Sheet1"}</definedName>
    <definedName name="printing_problem4_2006" localSheetId="7" hidden="1">{"ELIM_CWO_ISV",#N/A,FALSE,"Sheet1";"ELIM_CWO_SAV",#N/A,FALSE,"Sheet1";"ELIM_CWO_BSV",#N/A,FALSE,"Sheet1";"ELIM_CWO_SFDV",#N/A,FALSE,"Sheet1"}</definedName>
    <definedName name="printing_problem4_2006" localSheetId="3" hidden="1">{"ELIM_CWO_ISV",#N/A,FALSE,"Sheet1";"ELIM_CWO_SAV",#N/A,FALSE,"Sheet1";"ELIM_CWO_BSV",#N/A,FALSE,"Sheet1";"ELIM_CWO_SFDV",#N/A,FALSE,"Sheet1"}</definedName>
    <definedName name="printing_problem4_2006" localSheetId="29" hidden="1">{"ELIM_CWO_ISV",#N/A,FALSE,"Sheet1";"ELIM_CWO_SAV",#N/A,FALSE,"Sheet1";"ELIM_CWO_BSV",#N/A,FALSE,"Sheet1";"ELIM_CWO_SFDV",#N/A,FALSE,"Sheet1"}</definedName>
    <definedName name="printing_problem4_2006" localSheetId="47" hidden="1">{"ELIM_CWO_ISV",#N/A,FALSE,"Sheet1";"ELIM_CWO_SAV",#N/A,FALSE,"Sheet1";"ELIM_CWO_BSV",#N/A,FALSE,"Sheet1";"ELIM_CWO_SFDV",#N/A,FALSE,"Sheet1"}</definedName>
    <definedName name="printing_problem4_2006" hidden="1">{"ELIM_CWO_ISV",#N/A,FALSE,"Sheet1";"ELIM_CWO_SAV",#N/A,FALSE,"Sheet1";"ELIM_CWO_BSV",#N/A,FALSE,"Sheet1";"ELIM_CWO_SFDV",#N/A,FALSE,"Sheet1"}</definedName>
    <definedName name="printing_problem5" localSheetId="1" hidden="1">{"ELIM_UWNJ_UWNY_ISV",#N/A,FALSE,"Sheet1";"ELIM_UWNJ_UWNY_SAV",#N/A,FALSE,"Sheet1";"ELIM_UWNJ_UWNY_BSV",#N/A,FALSE,"Sheet1";"ELIM_UWNJ_UWNY_SFDV",#N/A,FALSE,"Sheet1"}</definedName>
    <definedName name="printing_problem5" localSheetId="32" hidden="1">{"ELIM_UWNJ_UWNY_ISV",#N/A,FALSE,"Sheet1";"ELIM_UWNJ_UWNY_SAV",#N/A,FALSE,"Sheet1";"ELIM_UWNJ_UWNY_BSV",#N/A,FALSE,"Sheet1";"ELIM_UWNJ_UWNY_SFDV",#N/A,FALSE,"Sheet1"}</definedName>
    <definedName name="printing_problem5" localSheetId="6" hidden="1">{"ELIM_UWNJ_UWNY_ISV",#N/A,FALSE,"Sheet1";"ELIM_UWNJ_UWNY_SAV",#N/A,FALSE,"Sheet1";"ELIM_UWNJ_UWNY_BSV",#N/A,FALSE,"Sheet1";"ELIM_UWNJ_UWNY_SFDV",#N/A,FALSE,"Sheet1"}</definedName>
    <definedName name="printing_problem5" localSheetId="4" hidden="1">{"ELIM_UWNJ_UWNY_ISV",#N/A,FALSE,"Sheet1";"ELIM_UWNJ_UWNY_SAV",#N/A,FALSE,"Sheet1";"ELIM_UWNJ_UWNY_BSV",#N/A,FALSE,"Sheet1";"ELIM_UWNJ_UWNY_SFDV",#N/A,FALSE,"Sheet1"}</definedName>
    <definedName name="printing_problem5" localSheetId="5" hidden="1">{"ELIM_UWNJ_UWNY_ISV",#N/A,FALSE,"Sheet1";"ELIM_UWNJ_UWNY_SAV",#N/A,FALSE,"Sheet1";"ELIM_UWNJ_UWNY_BSV",#N/A,FALSE,"Sheet1";"ELIM_UWNJ_UWNY_SFDV",#N/A,FALSE,"Sheet1"}</definedName>
    <definedName name="printing_problem5" localSheetId="7" hidden="1">{"ELIM_UWNJ_UWNY_ISV",#N/A,FALSE,"Sheet1";"ELIM_UWNJ_UWNY_SAV",#N/A,FALSE,"Sheet1";"ELIM_UWNJ_UWNY_BSV",#N/A,FALSE,"Sheet1";"ELIM_UWNJ_UWNY_SFDV",#N/A,FALSE,"Sheet1"}</definedName>
    <definedName name="printing_problem5" localSheetId="3" hidden="1">{"ELIM_UWNJ_UWNY_ISV",#N/A,FALSE,"Sheet1";"ELIM_UWNJ_UWNY_SAV",#N/A,FALSE,"Sheet1";"ELIM_UWNJ_UWNY_BSV",#N/A,FALSE,"Sheet1";"ELIM_UWNJ_UWNY_SFDV",#N/A,FALSE,"Sheet1"}</definedName>
    <definedName name="printing_problem5" localSheetId="29" hidden="1">{"ELIM_UWNJ_UWNY_ISV",#N/A,FALSE,"Sheet1";"ELIM_UWNJ_UWNY_SAV",#N/A,FALSE,"Sheet1";"ELIM_UWNJ_UWNY_BSV",#N/A,FALSE,"Sheet1";"ELIM_UWNJ_UWNY_SFDV",#N/A,FALSE,"Sheet1"}</definedName>
    <definedName name="printing_problem5" localSheetId="47" hidden="1">{"ELIM_UWNJ_UWNY_ISV",#N/A,FALSE,"Sheet1";"ELIM_UWNJ_UWNY_SAV",#N/A,FALSE,"Sheet1";"ELIM_UWNJ_UWNY_BSV",#N/A,FALSE,"Sheet1";"ELIM_UWNJ_UWNY_SFDV",#N/A,FALSE,"Sheet1"}</definedName>
    <definedName name="printing_problem5" hidden="1">{"ELIM_UWNJ_UWNY_ISV",#N/A,FALSE,"Sheet1";"ELIM_UWNJ_UWNY_SAV",#N/A,FALSE,"Sheet1";"ELIM_UWNJ_UWNY_BSV",#N/A,FALSE,"Sheet1";"ELIM_UWNJ_UWNY_SFDV",#N/A,FALSE,"Sheet1"}</definedName>
    <definedName name="printingproblem6" localSheetId="1" hidden="1">{"UWMACISV",#N/A,FALSE,"Sheet1";"UWMACSAV",#N/A,FALSE,"Sheet1";"UWMACBSV",#N/A,FALSE,"Sheet1";"UWMACSFDV",#N/A,FALSE,"Sheet1"}</definedName>
    <definedName name="printingproblem6" localSheetId="32" hidden="1">{"UWMACISV",#N/A,FALSE,"Sheet1";"UWMACSAV",#N/A,FALSE,"Sheet1";"UWMACBSV",#N/A,FALSE,"Sheet1";"UWMACSFDV",#N/A,FALSE,"Sheet1"}</definedName>
    <definedName name="printingproblem6" localSheetId="6" hidden="1">{"UWMACISV",#N/A,FALSE,"Sheet1";"UWMACSAV",#N/A,FALSE,"Sheet1";"UWMACBSV",#N/A,FALSE,"Sheet1";"UWMACSFDV",#N/A,FALSE,"Sheet1"}</definedName>
    <definedName name="printingproblem6" localSheetId="4" hidden="1">{"UWMACISV",#N/A,FALSE,"Sheet1";"UWMACSAV",#N/A,FALSE,"Sheet1";"UWMACBSV",#N/A,FALSE,"Sheet1";"UWMACSFDV",#N/A,FALSE,"Sheet1"}</definedName>
    <definedName name="printingproblem6" localSheetId="5" hidden="1">{"UWMACISV",#N/A,FALSE,"Sheet1";"UWMACSAV",#N/A,FALSE,"Sheet1";"UWMACBSV",#N/A,FALSE,"Sheet1";"UWMACSFDV",#N/A,FALSE,"Sheet1"}</definedName>
    <definedName name="printingproblem6" localSheetId="7" hidden="1">{"UWMACISV",#N/A,FALSE,"Sheet1";"UWMACSAV",#N/A,FALSE,"Sheet1";"UWMACBSV",#N/A,FALSE,"Sheet1";"UWMACSFDV",#N/A,FALSE,"Sheet1"}</definedName>
    <definedName name="printingproblem6" localSheetId="3" hidden="1">{"UWMACISV",#N/A,FALSE,"Sheet1";"UWMACSAV",#N/A,FALSE,"Sheet1";"UWMACBSV",#N/A,FALSE,"Sheet1";"UWMACSFDV",#N/A,FALSE,"Sheet1"}</definedName>
    <definedName name="printingproblem6" localSheetId="29" hidden="1">{"UWMACISV",#N/A,FALSE,"Sheet1";"UWMACSAV",#N/A,FALSE,"Sheet1";"UWMACBSV",#N/A,FALSE,"Sheet1";"UWMACSFDV",#N/A,FALSE,"Sheet1"}</definedName>
    <definedName name="printingproblem6" localSheetId="47" hidden="1">{"UWMACISV",#N/A,FALSE,"Sheet1";"UWMACSAV",#N/A,FALSE,"Sheet1";"UWMACBSV",#N/A,FALSE,"Sheet1";"UWMACSFDV",#N/A,FALSE,"Sheet1"}</definedName>
    <definedName name="printingproblem6" hidden="1">{"UWMACISV",#N/A,FALSE,"Sheet1";"UWMACSAV",#N/A,FALSE,"Sheet1";"UWMACBSV",#N/A,FALSE,"Sheet1";"UWMACSFDV",#N/A,FALSE,"Sheet1"}</definedName>
    <definedName name="printingproblem7" localSheetId="1" hidden="1">{"UWNYISV",#N/A,FALSE,"Sheet1";"UWNYSAV",#N/A,FALSE,"Sheet1";"UWNYBSV",#N/A,FALSE,"Sheet1";"UWNYSFDV",#N/A,FALSE,"Sheet1"}</definedName>
    <definedName name="printingproblem7" localSheetId="32" hidden="1">{"UWNYISV",#N/A,FALSE,"Sheet1";"UWNYSAV",#N/A,FALSE,"Sheet1";"UWNYBSV",#N/A,FALSE,"Sheet1";"UWNYSFDV",#N/A,FALSE,"Sheet1"}</definedName>
    <definedName name="printingproblem7" localSheetId="6" hidden="1">{"UWNYISV",#N/A,FALSE,"Sheet1";"UWNYSAV",#N/A,FALSE,"Sheet1";"UWNYBSV",#N/A,FALSE,"Sheet1";"UWNYSFDV",#N/A,FALSE,"Sheet1"}</definedName>
    <definedName name="printingproblem7" localSheetId="4" hidden="1">{"UWNYISV",#N/A,FALSE,"Sheet1";"UWNYSAV",#N/A,FALSE,"Sheet1";"UWNYBSV",#N/A,FALSE,"Sheet1";"UWNYSFDV",#N/A,FALSE,"Sheet1"}</definedName>
    <definedName name="printingproblem7" localSheetId="5" hidden="1">{"UWNYISV",#N/A,FALSE,"Sheet1";"UWNYSAV",#N/A,FALSE,"Sheet1";"UWNYBSV",#N/A,FALSE,"Sheet1";"UWNYSFDV",#N/A,FALSE,"Sheet1"}</definedName>
    <definedName name="printingproblem7" localSheetId="7" hidden="1">{"UWNYISV",#N/A,FALSE,"Sheet1";"UWNYSAV",#N/A,FALSE,"Sheet1";"UWNYBSV",#N/A,FALSE,"Sheet1";"UWNYSFDV",#N/A,FALSE,"Sheet1"}</definedName>
    <definedName name="printingproblem7" localSheetId="3" hidden="1">{"UWNYISV",#N/A,FALSE,"Sheet1";"UWNYSAV",#N/A,FALSE,"Sheet1";"UWNYBSV",#N/A,FALSE,"Sheet1";"UWNYSFDV",#N/A,FALSE,"Sheet1"}</definedName>
    <definedName name="printingproblem7" localSheetId="29" hidden="1">{"UWNYISV",#N/A,FALSE,"Sheet1";"UWNYSAV",#N/A,FALSE,"Sheet1";"UWNYBSV",#N/A,FALSE,"Sheet1";"UWNYSFDV",#N/A,FALSE,"Sheet1"}</definedName>
    <definedName name="printingproblem7" localSheetId="47" hidden="1">{"UWNYISV",#N/A,FALSE,"Sheet1";"UWNYSAV",#N/A,FALSE,"Sheet1";"UWNYBSV",#N/A,FALSE,"Sheet1";"UWNYSFDV",#N/A,FALSE,"Sheet1"}</definedName>
    <definedName name="printingproblem7" hidden="1">{"UWNYISV",#N/A,FALSE,"Sheet1";"UWNYSAV",#N/A,FALSE,"Sheet1";"UWNYBSV",#N/A,FALSE,"Sheet1";"UWNYSFDV",#N/A,FALSE,"Sheet1"}</definedName>
    <definedName name="printingproblem8" localSheetId="1" hidden="1">{"UWWISV",#N/A,FALSE,"Sheet1";"UWWSAV",#N/A,FALSE,"Sheet1";"UWWBSV",#N/A,FALSE,"Sheet1";"UWWSFDV",#N/A,FALSE,"Sheet1"}</definedName>
    <definedName name="printingproblem8" localSheetId="32" hidden="1">{"UWWISV",#N/A,FALSE,"Sheet1";"UWWSAV",#N/A,FALSE,"Sheet1";"UWWBSV",#N/A,FALSE,"Sheet1";"UWWSFDV",#N/A,FALSE,"Sheet1"}</definedName>
    <definedName name="printingproblem8" localSheetId="6" hidden="1">{"UWWISV",#N/A,FALSE,"Sheet1";"UWWSAV",#N/A,FALSE,"Sheet1";"UWWBSV",#N/A,FALSE,"Sheet1";"UWWSFDV",#N/A,FALSE,"Sheet1"}</definedName>
    <definedName name="printingproblem8" localSheetId="4" hidden="1">{"UWWISV",#N/A,FALSE,"Sheet1";"UWWSAV",#N/A,FALSE,"Sheet1";"UWWBSV",#N/A,FALSE,"Sheet1";"UWWSFDV",#N/A,FALSE,"Sheet1"}</definedName>
    <definedName name="printingproblem8" localSheetId="5" hidden="1">{"UWWISV",#N/A,FALSE,"Sheet1";"UWWSAV",#N/A,FALSE,"Sheet1";"UWWBSV",#N/A,FALSE,"Sheet1";"UWWSFDV",#N/A,FALSE,"Sheet1"}</definedName>
    <definedName name="printingproblem8" localSheetId="7" hidden="1">{"UWWISV",#N/A,FALSE,"Sheet1";"UWWSAV",#N/A,FALSE,"Sheet1";"UWWBSV",#N/A,FALSE,"Sheet1";"UWWSFDV",#N/A,FALSE,"Sheet1"}</definedName>
    <definedName name="printingproblem8" localSheetId="3" hidden="1">{"UWWISV",#N/A,FALSE,"Sheet1";"UWWSAV",#N/A,FALSE,"Sheet1";"UWWBSV",#N/A,FALSE,"Sheet1";"UWWSFDV",#N/A,FALSE,"Sheet1"}</definedName>
    <definedName name="printingproblem8" localSheetId="29" hidden="1">{"UWWISV",#N/A,FALSE,"Sheet1";"UWWSAV",#N/A,FALSE,"Sheet1";"UWWBSV",#N/A,FALSE,"Sheet1";"UWWSFDV",#N/A,FALSE,"Sheet1"}</definedName>
    <definedName name="printingproblem8" localSheetId="47" hidden="1">{"UWWISV",#N/A,FALSE,"Sheet1";"UWWSAV",#N/A,FALSE,"Sheet1";"UWWBSV",#N/A,FALSE,"Sheet1";"UWWSFDV",#N/A,FALSE,"Sheet1"}</definedName>
    <definedName name="printingproblem8" hidden="1">{"UWWISV",#N/A,FALSE,"Sheet1";"UWWSAV",#N/A,FALSE,"Sheet1";"UWWBSV",#N/A,FALSE,"Sheet1";"UWWSFDV",#N/A,FALSE,"Sheet1"}</definedName>
    <definedName name="PRN">#REF!</definedName>
    <definedName name="PRNGROWTH">#REF!</definedName>
    <definedName name="prop_cap">#REF!</definedName>
    <definedName name="prop_sum_blk1_chg">#REF!</definedName>
    <definedName name="prop_sum_cust_chg">#REF!</definedName>
    <definedName name="prop_win_blk1_chg">#REF!</definedName>
    <definedName name="prop_win_cust_chg">#REF!</definedName>
    <definedName name="prop_win_xs_chg">#REF!</definedName>
    <definedName name="PROPERTY" localSheetId="6">#REF!</definedName>
    <definedName name="PROPERTY" localSheetId="3">#REF!</definedName>
    <definedName name="PROPERTY">#REF!</definedName>
    <definedName name="PS">#REF!</definedName>
    <definedName name="PSC_ACCUM_DEPR_RES_REPORT" localSheetId="3">#REF!</definedName>
    <definedName name="PSC_ACCUM_DEPR_RES_REPORT">#REF!</definedName>
    <definedName name="PSC_BOOK_DEPR_EXPENSE_" localSheetId="3">#REF!</definedName>
    <definedName name="PSC_BOOK_DEPR_EXPENSE_">#REF!</definedName>
    <definedName name="PSC_COM_POLL_CONT_REPORT" localSheetId="3">#REF!</definedName>
    <definedName name="PSC_COM_POLL_CONT_REPORT">#REF!</definedName>
    <definedName name="PSC_CUST_ADV_COLUMNS" localSheetId="3">#REF!</definedName>
    <definedName name="PSC_CUST_ADV_COLUMNS">#REF!</definedName>
    <definedName name="PSC_CUST_ADV_REPORT" localSheetId="3">#REF!</definedName>
    <definedName name="PSC_CUST_ADV_REPORT">#REF!</definedName>
    <definedName name="PSC_CUST_ADV_ROWS" localSheetId="3">#REF!</definedName>
    <definedName name="PSC_CUST_ADV_ROWS">#REF!</definedName>
    <definedName name="PSC_DCAS_ACRS" localSheetId="3">#REF!</definedName>
    <definedName name="PSC_DCAS_ACRS">#REF!</definedName>
    <definedName name="PSC_DCAS_ADR" localSheetId="3">#REF!</definedName>
    <definedName name="PSC_DCAS_ADR">#REF!</definedName>
    <definedName name="PSC_DCAS_COLUMNS" localSheetId="3">#REF!</definedName>
    <definedName name="PSC_DCAS_COLUMNS">#REF!</definedName>
    <definedName name="PSC_DCAS_DB" localSheetId="3">#REF!</definedName>
    <definedName name="PSC_DCAS_DB">#REF!</definedName>
    <definedName name="PSC_DCAS_DDB" localSheetId="3">#REF!</definedName>
    <definedName name="PSC_DCAS_DDB">#REF!</definedName>
    <definedName name="PSC_DCAS_MACRS" localSheetId="3">#REF!</definedName>
    <definedName name="PSC_DCAS_MACRS">#REF!</definedName>
    <definedName name="PSC_DCAS_NONACRS" localSheetId="3">#REF!</definedName>
    <definedName name="PSC_DCAS_NONACRS">#REF!</definedName>
    <definedName name="PSC_DCAS_NONDEPRE" localSheetId="3">#REF!</definedName>
    <definedName name="PSC_DCAS_NONDEPRE">#REF!</definedName>
    <definedName name="PSC_DCAS_NONDEPRGS" localSheetId="3">#REF!</definedName>
    <definedName name="PSC_DCAS_NONDEPRGS">#REF!</definedName>
    <definedName name="PSC_DCAS_NONDEPRO" localSheetId="3">#REF!</definedName>
    <definedName name="PSC_DCAS_NONDEPRO">#REF!</definedName>
    <definedName name="PSC_DCAS_ROWS" localSheetId="3">#REF!</definedName>
    <definedName name="PSC_DCAS_ROWS">#REF!</definedName>
    <definedName name="PSC_DCAS_STLINE" localSheetId="3">#REF!</definedName>
    <definedName name="PSC_DCAS_STLINE">#REF!</definedName>
    <definedName name="PSC_DCAS_TAXBASIS" localSheetId="3">#REF!</definedName>
    <definedName name="PSC_DCAS_TAXBASIS">#REF!</definedName>
    <definedName name="PSC_DEPR_CAP_ANAL_REPORT" localSheetId="3">#REF!</definedName>
    <definedName name="PSC_DEPR_CAP_ANAL_REPORT">#REF!</definedName>
    <definedName name="PSC_EMER_FAC" localSheetId="3">#REF!</definedName>
    <definedName name="PSC_EMER_FAC">#REF!</definedName>
    <definedName name="PSC_ML_AMORT_COLUMNS" localSheetId="3">#REF!</definedName>
    <definedName name="PSC_ML_AMORT_COLUMNS">#REF!</definedName>
    <definedName name="PSC_ML_AMORT_REPORT" localSheetId="3">#REF!</definedName>
    <definedName name="PSC_ML_AMORT_REPORT">#REF!</definedName>
    <definedName name="PSC_ML_AMORT_ROWS" localSheetId="3">#REF!</definedName>
    <definedName name="PSC_ML_AMORT_ROWS">#REF!</definedName>
    <definedName name="PSC_ML_RETIRE_PUR_BY_3PARTY_REPORT" localSheetId="3">#REF!</definedName>
    <definedName name="PSC_ML_RETIRE_PUR_BY_3PARTY_REPORT">#REF!</definedName>
    <definedName name="PSC_ML_RETIRE_PUR_BY_3PARTY_ROWS" localSheetId="3">#REF!</definedName>
    <definedName name="PSC_ML_RETIRE_PUR_BY_3PARTY_ROWS">#REF!</definedName>
    <definedName name="PSC_ML_TAX_BASIS_ADDITIONS" localSheetId="3">#REF!</definedName>
    <definedName name="PSC_ML_TAX_BASIS_ADDITIONS">#REF!</definedName>
    <definedName name="PSC_ML_TAX_BASIS_ADDITIONS_ROWS" localSheetId="3">#REF!</definedName>
    <definedName name="PSC_ML_TAX_BASIS_ADDITIONS_ROWS">#REF!</definedName>
    <definedName name="PSC_MTRS_TRFS_COLUMNS" localSheetId="3">#REF!</definedName>
    <definedName name="PSC_MTRS_TRFS_COLUMNS">#REF!</definedName>
    <definedName name="PSC_MTRS_TRFS_DETAIL_REPORT" localSheetId="3">#REF!</definedName>
    <definedName name="PSC_MTRS_TRFS_DETAIL_REPORT">#REF!</definedName>
    <definedName name="PSC_MTRS_TRFS_REPORT" localSheetId="3">#REF!</definedName>
    <definedName name="PSC_MTRS_TRFS_REPORT">#REF!</definedName>
    <definedName name="PSC_MTRS_TRFS_ROWS" localSheetId="3">#REF!</definedName>
    <definedName name="PSC_MTRS_TRFS_ROWS">#REF!</definedName>
    <definedName name="PSC_P24_DETAIL_COLUMNS" localSheetId="3">#REF!</definedName>
    <definedName name="PSC_P24_DETAIL_COLUMNS">#REF!</definedName>
    <definedName name="PSC_P24_DETAIL_COMMON" localSheetId="3">#REF!</definedName>
    <definedName name="PSC_P24_DETAIL_COMMON">#REF!</definedName>
    <definedName name="PSC_P24_DETAIL_ELECTRIC" localSheetId="3">#REF!</definedName>
    <definedName name="PSC_P24_DETAIL_ELECTRIC">#REF!</definedName>
    <definedName name="PSC_P24_DETAIL_GAS" localSheetId="3">#REF!</definedName>
    <definedName name="PSC_P24_DETAIL_GAS">#REF!</definedName>
    <definedName name="PSC_P24_DETAIL_ROWS" localSheetId="3">#REF!</definedName>
    <definedName name="PSC_P24_DETAIL_ROWS">#REF!</definedName>
    <definedName name="PSC_P24_DETAILED_ROWS" localSheetId="3">#REF!</definedName>
    <definedName name="PSC_P24_DETAILED_ROWS">#REF!</definedName>
    <definedName name="PSC_P24_REPORT" localSheetId="3">#REF!</definedName>
    <definedName name="PSC_P24_REPORT">#REF!</definedName>
    <definedName name="PSC_P24_ROWS" localSheetId="3">#REF!</definedName>
    <definedName name="PSC_P24_ROWS">#REF!</definedName>
    <definedName name="PSC_PLT_TRFS_BETWEEN_FGROUPS_REPORT" localSheetId="3">#REF!</definedName>
    <definedName name="PSC_PLT_TRFS_BETWEEN_FGROUPS_REPORT">#REF!</definedName>
    <definedName name="PSC_POLL_CONT_RETIRE_REPORT" localSheetId="3">#REF!</definedName>
    <definedName name="PSC_POLL_CONT_RETIRE_REPORT">#REF!</definedName>
    <definedName name="PSC_POLL_CONT_RETIRE_ROWS" localSheetId="3">#REF!</definedName>
    <definedName name="PSC_POLL_CONT_RETIRE_ROWS">#REF!</definedName>
    <definedName name="PSC_POLL_CONT_SUM_REPORT" localSheetId="3">#REF!</definedName>
    <definedName name="PSC_POLL_CONT_SUM_REPORT">#REF!</definedName>
    <definedName name="PSC_POLL_CONTROL_RETIRE_COLUMNS" localSheetId="3">#REF!</definedName>
    <definedName name="PSC_POLL_CONTROL_RETIRE_COLUMNS">#REF!</definedName>
    <definedName name="PSC_PPE_REPORT" localSheetId="3">#REF!</definedName>
    <definedName name="PSC_PPE_REPORT">#REF!</definedName>
    <definedName name="PSC_PPE_ROWS" localSheetId="3">#REF!</definedName>
    <definedName name="PSC_PPE_ROWS">#REF!</definedName>
    <definedName name="PSC_RAR1_REPORT" localSheetId="3">#REF!</definedName>
    <definedName name="PSC_RAR1_REPORT">#REF!</definedName>
    <definedName name="PSC_RAR1_ROWS" localSheetId="3">#REF!</definedName>
    <definedName name="PSC_RAR1_ROWS">#REF!</definedName>
    <definedName name="PSC_RAR6_REPORT" localSheetId="3">#REF!</definedName>
    <definedName name="PSC_RAR6_REPORT">#REF!</definedName>
    <definedName name="PSC_RAR6_ROWS" localSheetId="3">#REF!</definedName>
    <definedName name="PSC_RAR6_ROWS">#REF!</definedName>
    <definedName name="PSC_RAR6_SUM_REPORT" localSheetId="3">#REF!</definedName>
    <definedName name="PSC_RAR6_SUM_REPORT">#REF!</definedName>
    <definedName name="PSC_RELOCA_PMTS_REPORT" localSheetId="3">#REF!</definedName>
    <definedName name="PSC_RELOCA_PMTS_REPORT">#REF!</definedName>
    <definedName name="PSC_TAX_BASIS_ADDITIONS_BLDGS" localSheetId="3">#REF!</definedName>
    <definedName name="PSC_TAX_BASIS_ADDITIONS_BLDGS">#REF!</definedName>
    <definedName name="PSC_TAX_BASIS_ADDITIONS_COLUMNS" localSheetId="3">#REF!</definedName>
    <definedName name="PSC_TAX_BASIS_ADDITIONS_COLUMNS">#REF!</definedName>
    <definedName name="PSC_TAX_BASIS_ADDITIONS_REPORT" localSheetId="3">#REF!</definedName>
    <definedName name="PSC_TAX_BASIS_ADDITIONS_REPORT">#REF!</definedName>
    <definedName name="PSC_TAX_BASIS_ADDITIONS_ROWS" localSheetId="3">#REF!</definedName>
    <definedName name="PSC_TAX_BASIS_ADDITIONS_ROWS">#REF!</definedName>
    <definedName name="PSC_TAX_BASIS_BLDGS_REPORT" localSheetId="3">#REF!</definedName>
    <definedName name="PSC_TAX_BASIS_BLDGS_REPORT">#REF!</definedName>
    <definedName name="psc_wgs_tax_class_combined_report" localSheetId="3">#REF!</definedName>
    <definedName name="psc_wgs_tax_class_combined_report">#REF!</definedName>
    <definedName name="pslf" localSheetId="1" hidden="1">#REF!</definedName>
    <definedName name="pslf" localSheetId="5" hidden="1">#REF!</definedName>
    <definedName name="pslf" localSheetId="3" hidden="1">#REF!</definedName>
    <definedName name="pslf" localSheetId="29" hidden="1">#REF!</definedName>
    <definedName name="pslf" hidden="1">#REF!</definedName>
    <definedName name="psrfdgl" localSheetId="5" hidden="1">#REF!</definedName>
    <definedName name="psrfdgl" localSheetId="3" hidden="1">#REF!</definedName>
    <definedName name="psrfdgl" localSheetId="29" hidden="1">#REF!</definedName>
    <definedName name="psrfdgl" hidden="1">#REF!</definedName>
    <definedName name="pwe" localSheetId="5" hidden="1">#REF!</definedName>
    <definedName name="pwe" localSheetId="3" hidden="1">#REF!</definedName>
    <definedName name="pwe" localSheetId="29" hidden="1">#REF!</definedName>
    <definedName name="pwe" hidden="1">#REF!</definedName>
    <definedName name="qaw" localSheetId="5" hidden="1">#REF!</definedName>
    <definedName name="qaw" localSheetId="3" hidden="1">#REF!</definedName>
    <definedName name="qaw" localSheetId="29" hidden="1">#REF!</definedName>
    <definedName name="qaw" hidden="1">#REF!</definedName>
    <definedName name="QF1_PG1">#REF!</definedName>
    <definedName name="QF1_PG2">#REF!</definedName>
    <definedName name="QF1_PG3">#REF!</definedName>
    <definedName name="qqa" localSheetId="1" hidden="1">{"ARK_JURIS_FUEL",#N/A,FALSE,"Ark_Fuel&amp;Rev"}</definedName>
    <definedName name="qqa" localSheetId="32" hidden="1">{"ARK_JURIS_FUEL",#N/A,FALSE,"Ark_Fuel&amp;Rev"}</definedName>
    <definedName name="qqa" localSheetId="6" hidden="1">{"ARK_JURIS_FUEL",#N/A,FALSE,"Ark_Fuel&amp;Rev"}</definedName>
    <definedName name="qqa" localSheetId="4" hidden="1">{"ARK_JURIS_FUEL",#N/A,FALSE,"Ark_Fuel&amp;Rev"}</definedName>
    <definedName name="qqa" localSheetId="5" hidden="1">{"ARK_JURIS_FUEL",#N/A,FALSE,"Ark_Fuel&amp;Rev"}</definedName>
    <definedName name="qqa" localSheetId="7" hidden="1">{"ARK_JURIS_FUEL",#N/A,FALSE,"Ark_Fuel&amp;Rev"}</definedName>
    <definedName name="qqa" localSheetId="3" hidden="1">{"ARK_JURIS_FUEL",#N/A,FALSE,"Ark_Fuel&amp;Rev"}</definedName>
    <definedName name="qqa" localSheetId="47" hidden="1">{"ARK_JURIS_FUEL",#N/A,FALSE,"Ark_Fuel&amp;Rev"}</definedName>
    <definedName name="qqa" hidden="1">{"ARK_JURIS_FUEL",#N/A,FALSE,"Ark_Fuel&amp;Rev"}</definedName>
    <definedName name="qtr.a1">#REF!</definedName>
    <definedName name="qtr.a2">#REF!</definedName>
    <definedName name="qtr.a3">#REF!</definedName>
    <definedName name="qtr.a4">#REF!</definedName>
    <definedName name="qtr.b1">#REF!</definedName>
    <definedName name="qtr.b2">#REF!</definedName>
    <definedName name="qtr.b3">#REF!</definedName>
    <definedName name="qtr.b4">#REF!</definedName>
    <definedName name="qtr.c1">#REF!</definedName>
    <definedName name="qtr.c2">#REF!</definedName>
    <definedName name="qtr.c3">#REF!</definedName>
    <definedName name="qtr.c4">#REF!</definedName>
    <definedName name="qtr.d1">#REF!</definedName>
    <definedName name="qtr.d2">#REF!</definedName>
    <definedName name="qtr.d3">#REF!</definedName>
    <definedName name="qtr.d4">#REF!</definedName>
    <definedName name="qtr.e1">#REF!</definedName>
    <definedName name="qtr.e2">#REF!</definedName>
    <definedName name="qtr.e3">#REF!</definedName>
    <definedName name="qtr.e4">#REF!</definedName>
    <definedName name="qtr.f1">#REF!</definedName>
    <definedName name="qtr.f2">#REF!</definedName>
    <definedName name="qtr.f3">#REF!</definedName>
    <definedName name="qtr.f4">#REF!</definedName>
    <definedName name="qtr.g1" localSheetId="6">#REF!</definedName>
    <definedName name="qtr.g1" localSheetId="3">#REF!</definedName>
    <definedName name="qtr.g1">#REF!</definedName>
    <definedName name="qtr.g2" localSheetId="6">#REF!</definedName>
    <definedName name="qtr.g2" localSheetId="3">#REF!</definedName>
    <definedName name="qtr.g2">#REF!</definedName>
    <definedName name="qtr.g3" localSheetId="6">#REF!</definedName>
    <definedName name="qtr.g3">#REF!</definedName>
    <definedName name="qtr.g4" localSheetId="6">#REF!</definedName>
    <definedName name="qtr.g4">#REF!</definedName>
    <definedName name="qtr.h1" localSheetId="6">#REF!</definedName>
    <definedName name="qtr.h1">#REF!</definedName>
    <definedName name="qtr.h2" localSheetId="6">#REF!</definedName>
    <definedName name="qtr.h2">#REF!</definedName>
    <definedName name="qtr.h3" localSheetId="6">#REF!</definedName>
    <definedName name="qtr.h3">#REF!</definedName>
    <definedName name="qtr.h4" localSheetId="6">#REF!</definedName>
    <definedName name="qtr.h4">#REF!</definedName>
    <definedName name="qtr.i1" localSheetId="6">#REF!</definedName>
    <definedName name="qtr.i1">#REF!</definedName>
    <definedName name="qtr.i2" localSheetId="6">#REF!</definedName>
    <definedName name="qtr.i2">#REF!</definedName>
    <definedName name="qtr.i3" localSheetId="6">#REF!</definedName>
    <definedName name="qtr.i3">#REF!</definedName>
    <definedName name="qtr.i4" localSheetId="6">#REF!</definedName>
    <definedName name="qtr.i4">#REF!</definedName>
    <definedName name="qtr.j1" localSheetId="6">#REF!</definedName>
    <definedName name="qtr.j1">#REF!</definedName>
    <definedName name="qtr.j2" localSheetId="6">#REF!</definedName>
    <definedName name="qtr.j2">#REF!</definedName>
    <definedName name="qtr.j3" localSheetId="6">#REF!</definedName>
    <definedName name="qtr.j3">#REF!</definedName>
    <definedName name="qtr.j4" localSheetId="6">#REF!</definedName>
    <definedName name="qtr.j4">#REF!</definedName>
    <definedName name="qwr" localSheetId="1" hidden="1">#REF!</definedName>
    <definedName name="qwr" localSheetId="5" hidden="1">#REF!</definedName>
    <definedName name="qwr" localSheetId="3" hidden="1">#REF!</definedName>
    <definedName name="qwr" localSheetId="29" hidden="1">#REF!</definedName>
    <definedName name="qwr" hidden="1">#REF!</definedName>
    <definedName name="Rankings" localSheetId="6">#REF!</definedName>
    <definedName name="Rankings" localSheetId="3">#REF!</definedName>
    <definedName name="Rankings">#REF!</definedName>
    <definedName name="RATECASE_FILINGS" localSheetId="3">#REF!</definedName>
    <definedName name="RATECASE_FILINGS">#REF!</definedName>
    <definedName name="RATINGS">#REF!</definedName>
    <definedName name="RATIO" localSheetId="3">#REF!</definedName>
    <definedName name="Ratio">#REF!</definedName>
    <definedName name="RATIOTITLE" localSheetId="3">#REF!</definedName>
    <definedName name="RATIOTITLE">#REF!</definedName>
    <definedName name="raw_vline">#REF!</definedName>
    <definedName name="raw_vline_h">#REF!</definedName>
    <definedName name="raw_vline_vh">#REF!</definedName>
    <definedName name="RcmndedCOE" localSheetId="6">#REF!</definedName>
    <definedName name="RcmndedCOE" localSheetId="3">#REF!</definedName>
    <definedName name="RcmndedCOE">#REF!</definedName>
    <definedName name="rcoe" localSheetId="6">#REF!</definedName>
    <definedName name="rcoe" localSheetId="3">#REF!</definedName>
    <definedName name="rcoe">#REF!</definedName>
    <definedName name="RDLU" localSheetId="3">#REF!</definedName>
    <definedName name="RDLU">#REF!</definedName>
    <definedName name="Reconcilement">#REF!</definedName>
    <definedName name="RED_CEDAR_COLUMNS" localSheetId="3">#REF!</definedName>
    <definedName name="RED_CEDAR_COLUMNS">#REF!</definedName>
    <definedName name="RED_CEDAR_REPORT" localSheetId="3">#REF!</definedName>
    <definedName name="RED_CEDAR_REPORT">#REF!</definedName>
    <definedName name="RED_CEDAR_ROWS" localSheetId="3">#REF!</definedName>
    <definedName name="RED_CEDAR_ROWS">#REF!</definedName>
    <definedName name="Reg_Amort" localSheetId="3">#REF!</definedName>
    <definedName name="Reg_Amort">#REF!</definedName>
    <definedName name="regfdgdgre" localSheetId="1" hidden="1">{#N/A,#N/A,FALSE,"Page 1";#N/A,#N/A,FALSE,"Page 2";#N/A,#N/A,FALSE,"Page 3";#N/A,#N/A,FALSE,"Page 4";#N/A,#N/A,FALSE,"Page 5";#N/A,#N/A,FALSE,"Page 6";#N/A,#N/A,FALSE,"Page 7";#N/A,#N/A,FALSE,"Page 8";#N/A,#N/A,FALSE,"Page 9";#N/A,#N/A,FALSE,"PG8WP";#N/A,#N/A,FALSE,"PG9WP"}</definedName>
    <definedName name="regfdgdgre" localSheetId="32" hidden="1">{#N/A,#N/A,FALSE,"Page 1";#N/A,#N/A,FALSE,"Page 2";#N/A,#N/A,FALSE,"Page 3";#N/A,#N/A,FALSE,"Page 4";#N/A,#N/A,FALSE,"Page 5";#N/A,#N/A,FALSE,"Page 6";#N/A,#N/A,FALSE,"Page 7";#N/A,#N/A,FALSE,"Page 8";#N/A,#N/A,FALSE,"Page 9";#N/A,#N/A,FALSE,"PG8WP";#N/A,#N/A,FALSE,"PG9WP"}</definedName>
    <definedName name="regfdgdgre" localSheetId="6" hidden="1">{#N/A,#N/A,FALSE,"Page 1";#N/A,#N/A,FALSE,"Page 2";#N/A,#N/A,FALSE,"Page 3";#N/A,#N/A,FALSE,"Page 4";#N/A,#N/A,FALSE,"Page 5";#N/A,#N/A,FALSE,"Page 6";#N/A,#N/A,FALSE,"Page 7";#N/A,#N/A,FALSE,"Page 8";#N/A,#N/A,FALSE,"Page 9";#N/A,#N/A,FALSE,"PG8WP";#N/A,#N/A,FALSE,"PG9WP"}</definedName>
    <definedName name="regfdgdgre" localSheetId="4" hidden="1">{#N/A,#N/A,FALSE,"Page 1";#N/A,#N/A,FALSE,"Page 2";#N/A,#N/A,FALSE,"Page 3";#N/A,#N/A,FALSE,"Page 4";#N/A,#N/A,FALSE,"Page 5";#N/A,#N/A,FALSE,"Page 6";#N/A,#N/A,FALSE,"Page 7";#N/A,#N/A,FALSE,"Page 8";#N/A,#N/A,FALSE,"Page 9";#N/A,#N/A,FALSE,"PG8WP";#N/A,#N/A,FALSE,"PG9WP"}</definedName>
    <definedName name="regfdgdgre" localSheetId="5" hidden="1">{#N/A,#N/A,FALSE,"Page 1";#N/A,#N/A,FALSE,"Page 2";#N/A,#N/A,FALSE,"Page 3";#N/A,#N/A,FALSE,"Page 4";#N/A,#N/A,FALSE,"Page 5";#N/A,#N/A,FALSE,"Page 6";#N/A,#N/A,FALSE,"Page 7";#N/A,#N/A,FALSE,"Page 8";#N/A,#N/A,FALSE,"Page 9";#N/A,#N/A,FALSE,"PG8WP";#N/A,#N/A,FALSE,"PG9WP"}</definedName>
    <definedName name="regfdgdgre" localSheetId="7" hidden="1">{#N/A,#N/A,FALSE,"Page 1";#N/A,#N/A,FALSE,"Page 2";#N/A,#N/A,FALSE,"Page 3";#N/A,#N/A,FALSE,"Page 4";#N/A,#N/A,FALSE,"Page 5";#N/A,#N/A,FALSE,"Page 6";#N/A,#N/A,FALSE,"Page 7";#N/A,#N/A,FALSE,"Page 8";#N/A,#N/A,FALSE,"Page 9";#N/A,#N/A,FALSE,"PG8WP";#N/A,#N/A,FALSE,"PG9WP"}</definedName>
    <definedName name="regfdgdgre" localSheetId="3" hidden="1">{#N/A,#N/A,FALSE,"Page 1";#N/A,#N/A,FALSE,"Page 2";#N/A,#N/A,FALSE,"Page 3";#N/A,#N/A,FALSE,"Page 4";#N/A,#N/A,FALSE,"Page 5";#N/A,#N/A,FALSE,"Page 6";#N/A,#N/A,FALSE,"Page 7";#N/A,#N/A,FALSE,"Page 8";#N/A,#N/A,FALSE,"Page 9";#N/A,#N/A,FALSE,"PG8WP";#N/A,#N/A,FALSE,"PG9WP"}</definedName>
    <definedName name="regfdgdgre" localSheetId="29" hidden="1">{#N/A,#N/A,FALSE,"Page 1";#N/A,#N/A,FALSE,"Page 2";#N/A,#N/A,FALSE,"Page 3";#N/A,#N/A,FALSE,"Page 4";#N/A,#N/A,FALSE,"Page 5";#N/A,#N/A,FALSE,"Page 6";#N/A,#N/A,FALSE,"Page 7";#N/A,#N/A,FALSE,"Page 8";#N/A,#N/A,FALSE,"Page 9";#N/A,#N/A,FALSE,"PG8WP";#N/A,#N/A,FALSE,"PG9WP"}</definedName>
    <definedName name="regfdgdgre" localSheetId="47" hidden="1">{#N/A,#N/A,FALSE,"Page 1";#N/A,#N/A,FALSE,"Page 2";#N/A,#N/A,FALSE,"Page 3";#N/A,#N/A,FALSE,"Page 4";#N/A,#N/A,FALSE,"Page 5";#N/A,#N/A,FALSE,"Page 6";#N/A,#N/A,FALSE,"Page 7";#N/A,#N/A,FALSE,"Page 8";#N/A,#N/A,FALSE,"Page 9";#N/A,#N/A,FALSE,"PG8WP";#N/A,#N/A,FALSE,"PG9WP"}</definedName>
    <definedName name="regfdgdgre" hidden="1">{#N/A,#N/A,FALSE,"Page 1";#N/A,#N/A,FALSE,"Page 2";#N/A,#N/A,FALSE,"Page 3";#N/A,#N/A,FALSE,"Page 4";#N/A,#N/A,FALSE,"Page 5";#N/A,#N/A,FALSE,"Page 6";#N/A,#N/A,FALSE,"Page 7";#N/A,#N/A,FALSE,"Page 8";#N/A,#N/A,FALSE,"Page 9";#N/A,#N/A,FALSE,"PG8WP";#N/A,#N/A,FALSE,"PG9WP"}</definedName>
    <definedName name="REGULATEDTABLE" localSheetId="3">#REF!</definedName>
    <definedName name="REGULATEDTABLE">#REF!</definedName>
    <definedName name="repeat" localSheetId="1" hidden="1">#REF!</definedName>
    <definedName name="repeat" localSheetId="5" hidden="1">#REF!</definedName>
    <definedName name="repeat" localSheetId="3" hidden="1">#REF!</definedName>
    <definedName name="repeat" localSheetId="29" hidden="1">#REF!</definedName>
    <definedName name="repeat" hidden="1">#REF!</definedName>
    <definedName name="REPORT" localSheetId="3">#REF!</definedName>
    <definedName name="REPORT">#REF!</definedName>
    <definedName name="REPORT_C24" localSheetId="3">#REF!</definedName>
    <definedName name="REPORT_C24">#REF!</definedName>
    <definedName name="Report_Pages" localSheetId="6">#REF!</definedName>
    <definedName name="Report_Pages" localSheetId="3">#REF!</definedName>
    <definedName name="Report_Pages">#REF!</definedName>
    <definedName name="REPORT_PLT_TRFS_BETWEEN_FGROUPS_BY_TAX_CLASS" localSheetId="3">#REF!</definedName>
    <definedName name="REPORT_PLT_TRFS_BETWEEN_FGROUPS_BY_TAX_CLASS">#REF!</definedName>
    <definedName name="reterger" localSheetId="1" hidden="1">{"print4",#N/A,FALSE,"D21CUSTS"}</definedName>
    <definedName name="reterger" localSheetId="32" hidden="1">{"print4",#N/A,FALSE,"D21CUSTS"}</definedName>
    <definedName name="reterger" localSheetId="6" hidden="1">{"print4",#N/A,FALSE,"D21CUSTS"}</definedName>
    <definedName name="reterger" localSheetId="4" hidden="1">{"print4",#N/A,FALSE,"D21CUSTS"}</definedName>
    <definedName name="reterger" localSheetId="5" hidden="1">{"print4",#N/A,FALSE,"D21CUSTS"}</definedName>
    <definedName name="reterger" localSheetId="7" hidden="1">{"print4",#N/A,FALSE,"D21CUSTS"}</definedName>
    <definedName name="reterger" localSheetId="3" hidden="1">{"print4",#N/A,FALSE,"D21CUSTS"}</definedName>
    <definedName name="reterger" localSheetId="29" hidden="1">{"print4",#N/A,FALSE,"D21CUSTS"}</definedName>
    <definedName name="reterger" localSheetId="47" hidden="1">{"print4",#N/A,FALSE,"D21CUSTS"}</definedName>
    <definedName name="reterger" hidden="1">{"print4",#N/A,FALSE,"D21CUSTS"}</definedName>
    <definedName name="retrghrehrh"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2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URN">#REF!</definedName>
    <definedName name="RETURNS">#REF!</definedName>
    <definedName name="revreqrma" localSheetId="6">#REF!</definedName>
    <definedName name="revreqrma" localSheetId="3">#REF!</definedName>
    <definedName name="revreqrma">#REF!</definedName>
    <definedName name="REVREQRMA2" localSheetId="3">#REF!</definedName>
    <definedName name="REVREQRMA2">#REF!</definedName>
    <definedName name="RF_adjustment_1">#REF!</definedName>
    <definedName name="risk_free_lt">#REF!</definedName>
    <definedName name="Risk_Free_Rate" localSheetId="3">#REF!</definedName>
    <definedName name="Risk_Free_R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Input" localSheetId="6" hidden="1">_xll.RiskCellHasTokens(262144+512+524288)</definedName>
    <definedName name="RiskIsInput" localSheetId="29" hidden="1">FALSE</definedName>
    <definedName name="RiskIsInput" hidden="1">_xll.RiskCellHasTokens(262144+512+524288)</definedName>
    <definedName name="RiskIsOptimization" hidden="1">FALSE</definedName>
    <definedName name="RiskIsOutput" localSheetId="6" hidden="1">_xll.RiskCellHasTokens(1024)</definedName>
    <definedName name="RiskIsOutput" localSheetId="29" hidden="1">FALSE</definedName>
    <definedName name="RiskIsOutput" hidden="1">_xll.RiskCellHasTokens(1024)</definedName>
    <definedName name="RiskIsStatistics" localSheetId="6" hidden="1">_xll.RiskCellHasTokens(4096+32768+65536)</definedName>
    <definedName name="RiskIsStatistics" localSheetId="29" hidden="1">FALSE</definedName>
    <definedName name="RiskIsStatistics" hidden="1">_xll.RiskCellHasTokens(4096+32768+65536)</definedName>
    <definedName name="riskmeasures">#REF!</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prem" localSheetId="6">#REF!</definedName>
    <definedName name="riskprem" localSheetId="3">#REF!</definedName>
    <definedName name="riskprem">#REF!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 localSheetId="1" hidden="1">{#N/A,#N/A,FALSE,"SCA";#N/A,#N/A,FALSE,"NCA";#N/A,#N/A,FALSE,"SAZ";#N/A,#N/A,FALSE,"CAZ";#N/A,#N/A,FALSE,"SNV";#N/A,#N/A,FALSE,"NNV";#N/A,#N/A,FALSE,"PP";#N/A,#N/A,FALSE,"SA"}</definedName>
    <definedName name="rk" localSheetId="32" hidden="1">{#N/A,#N/A,FALSE,"SCA";#N/A,#N/A,FALSE,"NCA";#N/A,#N/A,FALSE,"SAZ";#N/A,#N/A,FALSE,"CAZ";#N/A,#N/A,FALSE,"SNV";#N/A,#N/A,FALSE,"NNV";#N/A,#N/A,FALSE,"PP";#N/A,#N/A,FALSE,"SA"}</definedName>
    <definedName name="rk" localSheetId="6" hidden="1">{#N/A,#N/A,FALSE,"SCA";#N/A,#N/A,FALSE,"NCA";#N/A,#N/A,FALSE,"SAZ";#N/A,#N/A,FALSE,"CAZ";#N/A,#N/A,FALSE,"SNV";#N/A,#N/A,FALSE,"NNV";#N/A,#N/A,FALSE,"PP";#N/A,#N/A,FALSE,"SA"}</definedName>
    <definedName name="rk" localSheetId="4" hidden="1">{#N/A,#N/A,FALSE,"SCA";#N/A,#N/A,FALSE,"NCA";#N/A,#N/A,FALSE,"SAZ";#N/A,#N/A,FALSE,"CAZ";#N/A,#N/A,FALSE,"SNV";#N/A,#N/A,FALSE,"NNV";#N/A,#N/A,FALSE,"PP";#N/A,#N/A,FALSE,"SA"}</definedName>
    <definedName name="rk" localSheetId="5" hidden="1">{#N/A,#N/A,FALSE,"SCA";#N/A,#N/A,FALSE,"NCA";#N/A,#N/A,FALSE,"SAZ";#N/A,#N/A,FALSE,"CAZ";#N/A,#N/A,FALSE,"SNV";#N/A,#N/A,FALSE,"NNV";#N/A,#N/A,FALSE,"PP";#N/A,#N/A,FALSE,"SA"}</definedName>
    <definedName name="rk" localSheetId="7" hidden="1">{#N/A,#N/A,FALSE,"SCA";#N/A,#N/A,FALSE,"NCA";#N/A,#N/A,FALSE,"SAZ";#N/A,#N/A,FALSE,"CAZ";#N/A,#N/A,FALSE,"SNV";#N/A,#N/A,FALSE,"NNV";#N/A,#N/A,FALSE,"PP";#N/A,#N/A,FALSE,"SA"}</definedName>
    <definedName name="rk" localSheetId="3" hidden="1">{#N/A,#N/A,FALSE,"SCA";#N/A,#N/A,FALSE,"NCA";#N/A,#N/A,FALSE,"SAZ";#N/A,#N/A,FALSE,"CAZ";#N/A,#N/A,FALSE,"SNV";#N/A,#N/A,FALSE,"NNV";#N/A,#N/A,FALSE,"PP";#N/A,#N/A,FALSE,"SA"}</definedName>
    <definedName name="rk" localSheetId="47" hidden="1">{#N/A,#N/A,FALSE,"SCA";#N/A,#N/A,FALSE,"NCA";#N/A,#N/A,FALSE,"SAZ";#N/A,#N/A,FALSE,"CAZ";#N/A,#N/A,FALSE,"SNV";#N/A,#N/A,FALSE,"NNV";#N/A,#N/A,FALSE,"PP";#N/A,#N/A,FALSE,"SA"}</definedName>
    <definedName name="rk" hidden="1">{#N/A,#N/A,FALSE,"SCA";#N/A,#N/A,FALSE,"NCA";#N/A,#N/A,FALSE,"SAZ";#N/A,#N/A,FALSE,"CAZ";#N/A,#N/A,FALSE,"SNV";#N/A,#N/A,FALSE,"NNV";#N/A,#N/A,FALSE,"PP";#N/A,#N/A,FALSE,"SA"}</definedName>
    <definedName name="RMA3B" localSheetId="6">#REF!</definedName>
    <definedName name="RMA3B" localSheetId="3">#REF!</definedName>
    <definedName name="RMA3B">#REF!</definedName>
    <definedName name="RMA7B" localSheetId="3">#REF!</definedName>
    <definedName name="RMA7B">#REF!</definedName>
    <definedName name="roasens1">#REF!</definedName>
    <definedName name="ROE" localSheetId="3">#REF!</definedName>
    <definedName name="ROE">#REF!</definedName>
    <definedName name="roelst" localSheetId="3">#REF!</definedName>
    <definedName name="roelst">#REF!</definedName>
    <definedName name="roerec" localSheetId="3">#REF!</definedName>
    <definedName name="roerec">#REF!</definedName>
    <definedName name="ROEXP" localSheetId="6">#REF!</definedName>
    <definedName name="ROEXP" localSheetId="3">#REF!</definedName>
    <definedName name="ROEXP">#REF!</definedName>
    <definedName name="ROPLANT" localSheetId="6">#REF!</definedName>
    <definedName name="ROPLANT" localSheetId="3">#REF!</definedName>
    <definedName name="ROPLANT">#REF!</definedName>
    <definedName name="ROR_Rate">#REF!</definedName>
    <definedName name="RORINPUT">#REF!</definedName>
    <definedName name="RoseState">#REF!</definedName>
    <definedName name="ROWS_C24" localSheetId="3">#REF!</definedName>
    <definedName name="ROWS_C24">#REF!</definedName>
    <definedName name="RRR" localSheetId="6">#REF!</definedName>
    <definedName name="RRR" localSheetId="3">#REF!</definedName>
    <definedName name="RRR">#REF!</definedName>
    <definedName name="rrrr" localSheetId="32" hidden="1">{#N/A,#N/A,FALSE,"O&amp;M by processes";#N/A,#N/A,FALSE,"Elec Act vs Bud";#N/A,#N/A,FALSE,"G&amp;A";#N/A,#N/A,FALSE,"BGS";#N/A,#N/A,FALSE,"Res Cost"}</definedName>
    <definedName name="rrrr" localSheetId="6" hidden="1">{#N/A,#N/A,FALSE,"O&amp;M by processes";#N/A,#N/A,FALSE,"Elec Act vs Bud";#N/A,#N/A,FALSE,"G&amp;A";#N/A,#N/A,FALSE,"BGS";#N/A,#N/A,FALSE,"Res Cost"}</definedName>
    <definedName name="rrrr" localSheetId="7" hidden="1">{#N/A,#N/A,FALSE,"O&amp;M by processes";#N/A,#N/A,FALSE,"Elec Act vs Bud";#N/A,#N/A,FALSE,"G&amp;A";#N/A,#N/A,FALSE,"BGS";#N/A,#N/A,FALSE,"Res Cost"}</definedName>
    <definedName name="rrrr" localSheetId="3" hidden="1">{#N/A,#N/A,FALSE,"O&amp;M by processes";#N/A,#N/A,FALSE,"Elec Act vs Bud";#N/A,#N/A,FALSE,"G&amp;A";#N/A,#N/A,FALSE,"BGS";#N/A,#N/A,FALSE,"Res Cost"}</definedName>
    <definedName name="rrrr" localSheetId="29" hidden="1">{#N/A,#N/A,FALSE,"O&amp;M by processes";#N/A,#N/A,FALSE,"Elec Act vs Bud";#N/A,#N/A,FALSE,"G&amp;A";#N/A,#N/A,FALSE,"BGS";#N/A,#N/A,FALSE,"Res Cost"}</definedName>
    <definedName name="rrrr" localSheetId="47" hidden="1">{#N/A,#N/A,FALSE,"O&amp;M by processes";#N/A,#N/A,FALSE,"Elec Act vs Bud";#N/A,#N/A,FALSE,"G&amp;A";#N/A,#N/A,FALSE,"BGS";#N/A,#N/A,FALSE,"Res Cost"}</definedName>
    <definedName name="rrrr" hidden="1">{#N/A,#N/A,FALSE,"O&amp;M by processes";#N/A,#N/A,FALSE,"Elec Act vs Bud";#N/A,#N/A,FALSE,"G&amp;A";#N/A,#N/A,FALSE,"BGS";#N/A,#N/A,FALSE,"Res Cost"}</definedName>
    <definedName name="rtertrte" localSheetId="1" hidden="1">{#N/A,#N/A,FALSE,"Page 1";#N/A,#N/A,FALSE,"Page 2";#N/A,#N/A,FALSE,"Page 3";#N/A,#N/A,FALSE,"Page 4";#N/A,#N/A,FALSE,"Page 5";#N/A,#N/A,FALSE,"Page 6";#N/A,#N/A,FALSE,"Page 7";#N/A,#N/A,FALSE,"Page 8";#N/A,#N/A,FALSE,"Page 9";#N/A,#N/A,FALSE,"PG8WP";#N/A,#N/A,FALSE,"PG9WP"}</definedName>
    <definedName name="rtertrte" localSheetId="32" hidden="1">{#N/A,#N/A,FALSE,"Page 1";#N/A,#N/A,FALSE,"Page 2";#N/A,#N/A,FALSE,"Page 3";#N/A,#N/A,FALSE,"Page 4";#N/A,#N/A,FALSE,"Page 5";#N/A,#N/A,FALSE,"Page 6";#N/A,#N/A,FALSE,"Page 7";#N/A,#N/A,FALSE,"Page 8";#N/A,#N/A,FALSE,"Page 9";#N/A,#N/A,FALSE,"PG8WP";#N/A,#N/A,FALSE,"PG9WP"}</definedName>
    <definedName name="rtertrte" localSheetId="6" hidden="1">{#N/A,#N/A,FALSE,"Page 1";#N/A,#N/A,FALSE,"Page 2";#N/A,#N/A,FALSE,"Page 3";#N/A,#N/A,FALSE,"Page 4";#N/A,#N/A,FALSE,"Page 5";#N/A,#N/A,FALSE,"Page 6";#N/A,#N/A,FALSE,"Page 7";#N/A,#N/A,FALSE,"Page 8";#N/A,#N/A,FALSE,"Page 9";#N/A,#N/A,FALSE,"PG8WP";#N/A,#N/A,FALSE,"PG9WP"}</definedName>
    <definedName name="rtertrte" localSheetId="4" hidden="1">{#N/A,#N/A,FALSE,"Page 1";#N/A,#N/A,FALSE,"Page 2";#N/A,#N/A,FALSE,"Page 3";#N/A,#N/A,FALSE,"Page 4";#N/A,#N/A,FALSE,"Page 5";#N/A,#N/A,FALSE,"Page 6";#N/A,#N/A,FALSE,"Page 7";#N/A,#N/A,FALSE,"Page 8";#N/A,#N/A,FALSE,"Page 9";#N/A,#N/A,FALSE,"PG8WP";#N/A,#N/A,FALSE,"PG9WP"}</definedName>
    <definedName name="rtertrte" localSheetId="5" hidden="1">{#N/A,#N/A,FALSE,"Page 1";#N/A,#N/A,FALSE,"Page 2";#N/A,#N/A,FALSE,"Page 3";#N/A,#N/A,FALSE,"Page 4";#N/A,#N/A,FALSE,"Page 5";#N/A,#N/A,FALSE,"Page 6";#N/A,#N/A,FALSE,"Page 7";#N/A,#N/A,FALSE,"Page 8";#N/A,#N/A,FALSE,"Page 9";#N/A,#N/A,FALSE,"PG8WP";#N/A,#N/A,FALSE,"PG9WP"}</definedName>
    <definedName name="rtertrte" localSheetId="7" hidden="1">{#N/A,#N/A,FALSE,"Page 1";#N/A,#N/A,FALSE,"Page 2";#N/A,#N/A,FALSE,"Page 3";#N/A,#N/A,FALSE,"Page 4";#N/A,#N/A,FALSE,"Page 5";#N/A,#N/A,FALSE,"Page 6";#N/A,#N/A,FALSE,"Page 7";#N/A,#N/A,FALSE,"Page 8";#N/A,#N/A,FALSE,"Page 9";#N/A,#N/A,FALSE,"PG8WP";#N/A,#N/A,FALSE,"PG9WP"}</definedName>
    <definedName name="rtertrte" localSheetId="3" hidden="1">{#N/A,#N/A,FALSE,"Page 1";#N/A,#N/A,FALSE,"Page 2";#N/A,#N/A,FALSE,"Page 3";#N/A,#N/A,FALSE,"Page 4";#N/A,#N/A,FALSE,"Page 5";#N/A,#N/A,FALSE,"Page 6";#N/A,#N/A,FALSE,"Page 7";#N/A,#N/A,FALSE,"Page 8";#N/A,#N/A,FALSE,"Page 9";#N/A,#N/A,FALSE,"PG8WP";#N/A,#N/A,FALSE,"PG9WP"}</definedName>
    <definedName name="rtertrte" localSheetId="29" hidden="1">{#N/A,#N/A,FALSE,"Page 1";#N/A,#N/A,FALSE,"Page 2";#N/A,#N/A,FALSE,"Page 3";#N/A,#N/A,FALSE,"Page 4";#N/A,#N/A,FALSE,"Page 5";#N/A,#N/A,FALSE,"Page 6";#N/A,#N/A,FALSE,"Page 7";#N/A,#N/A,FALSE,"Page 8";#N/A,#N/A,FALSE,"Page 9";#N/A,#N/A,FALSE,"PG8WP";#N/A,#N/A,FALSE,"PG9WP"}</definedName>
    <definedName name="rtertrte" localSheetId="47" hidden="1">{#N/A,#N/A,FALSE,"Page 1";#N/A,#N/A,FALSE,"Page 2";#N/A,#N/A,FALSE,"Page 3";#N/A,#N/A,FALSE,"Page 4";#N/A,#N/A,FALSE,"Page 5";#N/A,#N/A,FALSE,"Page 6";#N/A,#N/A,FALSE,"Page 7";#N/A,#N/A,FALSE,"Page 8";#N/A,#N/A,FALSE,"Page 9";#N/A,#N/A,FALSE,"PG8WP";#N/A,#N/A,FALSE,"PG9WP"}</definedName>
    <definedName name="rtertrte" hidden="1">{#N/A,#N/A,FALSE,"Page 1";#N/A,#N/A,FALSE,"Page 2";#N/A,#N/A,FALSE,"Page 3";#N/A,#N/A,FALSE,"Page 4";#N/A,#N/A,FALSE,"Page 5";#N/A,#N/A,FALSE,"Page 6";#N/A,#N/A,FALSE,"Page 7";#N/A,#N/A,FALSE,"Page 8";#N/A,#N/A,FALSE,"Page 9";#N/A,#N/A,FALSE,"PG8WP";#N/A,#N/A,FALSE,"PG9WP"}</definedName>
    <definedName name="rtetetrete" localSheetId="1" hidden="1">{#N/A,#N/A,FALSE,"FAS109 Summary";#N/A,#N/A,FALSE,"FAS109 OPER 190 ITC";#N/A,#N/A,FALSE,"FAS109 OPER 190 Other";#N/A,#N/A,FALSE,"FAS109 OPER 282";#N/A,#N/A,FALSE,"FAS109 OPER 283";#N/A,#N/A,FALSE,"FAS109 Non OPER 283 ";#N/A,#N/A,FALSE,"J.E.UPLOAD DATA"}</definedName>
    <definedName name="rtetetrete" localSheetId="32" hidden="1">{#N/A,#N/A,FALSE,"FAS109 Summary";#N/A,#N/A,FALSE,"FAS109 OPER 190 ITC";#N/A,#N/A,FALSE,"FAS109 OPER 190 Other";#N/A,#N/A,FALSE,"FAS109 OPER 282";#N/A,#N/A,FALSE,"FAS109 OPER 283";#N/A,#N/A,FALSE,"FAS109 Non OPER 283 ";#N/A,#N/A,FALSE,"J.E.UPLOAD DATA"}</definedName>
    <definedName name="rtetetrete" localSheetId="6" hidden="1">{#N/A,#N/A,FALSE,"FAS109 Summary";#N/A,#N/A,FALSE,"FAS109 OPER 190 ITC";#N/A,#N/A,FALSE,"FAS109 OPER 190 Other";#N/A,#N/A,FALSE,"FAS109 OPER 282";#N/A,#N/A,FALSE,"FAS109 OPER 283";#N/A,#N/A,FALSE,"FAS109 Non OPER 283 ";#N/A,#N/A,FALSE,"J.E.UPLOAD DATA"}</definedName>
    <definedName name="rtetetrete" localSheetId="4" hidden="1">{#N/A,#N/A,FALSE,"FAS109 Summary";#N/A,#N/A,FALSE,"FAS109 OPER 190 ITC";#N/A,#N/A,FALSE,"FAS109 OPER 190 Other";#N/A,#N/A,FALSE,"FAS109 OPER 282";#N/A,#N/A,FALSE,"FAS109 OPER 283";#N/A,#N/A,FALSE,"FAS109 Non OPER 283 ";#N/A,#N/A,FALSE,"J.E.UPLOAD DATA"}</definedName>
    <definedName name="rtetetrete" localSheetId="5" hidden="1">{#N/A,#N/A,FALSE,"FAS109 Summary";#N/A,#N/A,FALSE,"FAS109 OPER 190 ITC";#N/A,#N/A,FALSE,"FAS109 OPER 190 Other";#N/A,#N/A,FALSE,"FAS109 OPER 282";#N/A,#N/A,FALSE,"FAS109 OPER 283";#N/A,#N/A,FALSE,"FAS109 Non OPER 283 ";#N/A,#N/A,FALSE,"J.E.UPLOAD DATA"}</definedName>
    <definedName name="rtetetrete" localSheetId="7" hidden="1">{#N/A,#N/A,FALSE,"FAS109 Summary";#N/A,#N/A,FALSE,"FAS109 OPER 190 ITC";#N/A,#N/A,FALSE,"FAS109 OPER 190 Other";#N/A,#N/A,FALSE,"FAS109 OPER 282";#N/A,#N/A,FALSE,"FAS109 OPER 283";#N/A,#N/A,FALSE,"FAS109 Non OPER 283 ";#N/A,#N/A,FALSE,"J.E.UPLOAD DATA"}</definedName>
    <definedName name="rtetetrete" localSheetId="3" hidden="1">{#N/A,#N/A,FALSE,"FAS109 Summary";#N/A,#N/A,FALSE,"FAS109 OPER 190 ITC";#N/A,#N/A,FALSE,"FAS109 OPER 190 Other";#N/A,#N/A,FALSE,"FAS109 OPER 282";#N/A,#N/A,FALSE,"FAS109 OPER 283";#N/A,#N/A,FALSE,"FAS109 Non OPER 283 ";#N/A,#N/A,FALSE,"J.E.UPLOAD DATA"}</definedName>
    <definedName name="rtetetrete" localSheetId="29" hidden="1">{#N/A,#N/A,FALSE,"FAS109 Summary";#N/A,#N/A,FALSE,"FAS109 OPER 190 ITC";#N/A,#N/A,FALSE,"FAS109 OPER 190 Other";#N/A,#N/A,FALSE,"FAS109 OPER 282";#N/A,#N/A,FALSE,"FAS109 OPER 283";#N/A,#N/A,FALSE,"FAS109 Non OPER 283 ";#N/A,#N/A,FALSE,"J.E.UPLOAD DATA"}</definedName>
    <definedName name="rtetetrete" localSheetId="47" hidden="1">{#N/A,#N/A,FALSE,"FAS109 Summary";#N/A,#N/A,FALSE,"FAS109 OPER 190 ITC";#N/A,#N/A,FALSE,"FAS109 OPER 190 Other";#N/A,#N/A,FALSE,"FAS109 OPER 282";#N/A,#N/A,FALSE,"FAS109 OPER 283";#N/A,#N/A,FALSE,"FAS109 Non OPER 283 ";#N/A,#N/A,FALSE,"J.E.UPLOAD DATA"}</definedName>
    <definedName name="rtetetrete" hidden="1">{#N/A,#N/A,FALSE,"FAS109 Summary";#N/A,#N/A,FALSE,"FAS109 OPER 190 ITC";#N/A,#N/A,FALSE,"FAS109 OPER 190 Other";#N/A,#N/A,FALSE,"FAS109 OPER 282";#N/A,#N/A,FALSE,"FAS109 OPER 283";#N/A,#N/A,FALSE,"FAS109 Non OPER 283 ";#N/A,#N/A,FALSE,"J.E.UPLOAD DATA"}</definedName>
    <definedName name="rtrtrgfgrfgr" localSheetId="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3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6"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5"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3"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29"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4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trr" localSheetId="1" hidden="1">{#N/A,#N/A,FALSE,"SCA";#N/A,#N/A,FALSE,"NCA";#N/A,#N/A,FALSE,"SAZ";#N/A,#N/A,FALSE,"CAZ";#N/A,#N/A,FALSE,"SNV";#N/A,#N/A,FALSE,"NNV";#N/A,#N/A,FALSE,"PP";#N/A,#N/A,FALSE,"SA"}</definedName>
    <definedName name="rtrtrtrr" localSheetId="32" hidden="1">{#N/A,#N/A,FALSE,"SCA";#N/A,#N/A,FALSE,"NCA";#N/A,#N/A,FALSE,"SAZ";#N/A,#N/A,FALSE,"CAZ";#N/A,#N/A,FALSE,"SNV";#N/A,#N/A,FALSE,"NNV";#N/A,#N/A,FALSE,"PP";#N/A,#N/A,FALSE,"SA"}</definedName>
    <definedName name="rtrtrtrr" localSheetId="6" hidden="1">{#N/A,#N/A,FALSE,"SCA";#N/A,#N/A,FALSE,"NCA";#N/A,#N/A,FALSE,"SAZ";#N/A,#N/A,FALSE,"CAZ";#N/A,#N/A,FALSE,"SNV";#N/A,#N/A,FALSE,"NNV";#N/A,#N/A,FALSE,"PP";#N/A,#N/A,FALSE,"SA"}</definedName>
    <definedName name="rtrtrtrr" localSheetId="4" hidden="1">{#N/A,#N/A,FALSE,"SCA";#N/A,#N/A,FALSE,"NCA";#N/A,#N/A,FALSE,"SAZ";#N/A,#N/A,FALSE,"CAZ";#N/A,#N/A,FALSE,"SNV";#N/A,#N/A,FALSE,"NNV";#N/A,#N/A,FALSE,"PP";#N/A,#N/A,FALSE,"SA"}</definedName>
    <definedName name="rtrtrtrr" localSheetId="5" hidden="1">{#N/A,#N/A,FALSE,"SCA";#N/A,#N/A,FALSE,"NCA";#N/A,#N/A,FALSE,"SAZ";#N/A,#N/A,FALSE,"CAZ";#N/A,#N/A,FALSE,"SNV";#N/A,#N/A,FALSE,"NNV";#N/A,#N/A,FALSE,"PP";#N/A,#N/A,FALSE,"SA"}</definedName>
    <definedName name="rtrtrtrr" localSheetId="7" hidden="1">{#N/A,#N/A,FALSE,"SCA";#N/A,#N/A,FALSE,"NCA";#N/A,#N/A,FALSE,"SAZ";#N/A,#N/A,FALSE,"CAZ";#N/A,#N/A,FALSE,"SNV";#N/A,#N/A,FALSE,"NNV";#N/A,#N/A,FALSE,"PP";#N/A,#N/A,FALSE,"SA"}</definedName>
    <definedName name="rtrtrtrr" localSheetId="3" hidden="1">{#N/A,#N/A,FALSE,"SCA";#N/A,#N/A,FALSE,"NCA";#N/A,#N/A,FALSE,"SAZ";#N/A,#N/A,FALSE,"CAZ";#N/A,#N/A,FALSE,"SNV";#N/A,#N/A,FALSE,"NNV";#N/A,#N/A,FALSE,"PP";#N/A,#N/A,FALSE,"SA"}</definedName>
    <definedName name="rtrtrtrr" localSheetId="29" hidden="1">{#N/A,#N/A,FALSE,"SCA";#N/A,#N/A,FALSE,"NCA";#N/A,#N/A,FALSE,"SAZ";#N/A,#N/A,FALSE,"CAZ";#N/A,#N/A,FALSE,"SNV";#N/A,#N/A,FALSE,"NNV";#N/A,#N/A,FALSE,"PP";#N/A,#N/A,FALSE,"SA"}</definedName>
    <definedName name="rtrtrtrr" localSheetId="47" hidden="1">{#N/A,#N/A,FALSE,"SCA";#N/A,#N/A,FALSE,"NCA";#N/A,#N/A,FALSE,"SAZ";#N/A,#N/A,FALSE,"CAZ";#N/A,#N/A,FALSE,"SNV";#N/A,#N/A,FALSE,"NNV";#N/A,#N/A,FALSE,"PP";#N/A,#N/A,FALSE,"SA"}</definedName>
    <definedName name="rtrtrtrr" hidden="1">{#N/A,#N/A,FALSE,"SCA";#N/A,#N/A,FALSE,"NCA";#N/A,#N/A,FALSE,"SAZ";#N/A,#N/A,FALSE,"CAZ";#N/A,#N/A,FALSE,"SNV";#N/A,#N/A,FALSE,"NNV";#N/A,#N/A,FALSE,"PP";#N/A,#N/A,FALSE,"SA"}</definedName>
    <definedName name="rtrtrtrtrrh" localSheetId="1" hidden="1">{#N/A,#N/A,FALSE,"Rev Seg Taxes";#N/A,#N/A,FALSE,"BookRev Seg";#N/A,#N/A,FALSE,"Supp Adj Seg";#N/A,#N/A,FALSE,"outside prov seg taxes"}</definedName>
    <definedName name="rtrtrtrtrrh" localSheetId="32" hidden="1">{#N/A,#N/A,FALSE,"Rev Seg Taxes";#N/A,#N/A,FALSE,"BookRev Seg";#N/A,#N/A,FALSE,"Supp Adj Seg";#N/A,#N/A,FALSE,"outside prov seg taxes"}</definedName>
    <definedName name="rtrtrtrtrrh" localSheetId="6" hidden="1">{#N/A,#N/A,FALSE,"Rev Seg Taxes";#N/A,#N/A,FALSE,"BookRev Seg";#N/A,#N/A,FALSE,"Supp Adj Seg";#N/A,#N/A,FALSE,"outside prov seg taxes"}</definedName>
    <definedName name="rtrtrtrtrrh" localSheetId="4" hidden="1">{#N/A,#N/A,FALSE,"Rev Seg Taxes";#N/A,#N/A,FALSE,"BookRev Seg";#N/A,#N/A,FALSE,"Supp Adj Seg";#N/A,#N/A,FALSE,"outside prov seg taxes"}</definedName>
    <definedName name="rtrtrtrtrrh" localSheetId="5" hidden="1">{#N/A,#N/A,FALSE,"Rev Seg Taxes";#N/A,#N/A,FALSE,"BookRev Seg";#N/A,#N/A,FALSE,"Supp Adj Seg";#N/A,#N/A,FALSE,"outside prov seg taxes"}</definedName>
    <definedName name="rtrtrtrtrrh" localSheetId="7" hidden="1">{#N/A,#N/A,FALSE,"Rev Seg Taxes";#N/A,#N/A,FALSE,"BookRev Seg";#N/A,#N/A,FALSE,"Supp Adj Seg";#N/A,#N/A,FALSE,"outside prov seg taxes"}</definedName>
    <definedName name="rtrtrtrtrrh" localSheetId="3" hidden="1">{#N/A,#N/A,FALSE,"Rev Seg Taxes";#N/A,#N/A,FALSE,"BookRev Seg";#N/A,#N/A,FALSE,"Supp Adj Seg";#N/A,#N/A,FALSE,"outside prov seg taxes"}</definedName>
    <definedName name="rtrtrtrtrrh" localSheetId="29" hidden="1">{#N/A,#N/A,FALSE,"Rev Seg Taxes";#N/A,#N/A,FALSE,"BookRev Seg";#N/A,#N/A,FALSE,"Supp Adj Seg";#N/A,#N/A,FALSE,"outside prov seg taxes"}</definedName>
    <definedName name="rtrtrtrtrrh" localSheetId="47" hidden="1">{#N/A,#N/A,FALSE,"Rev Seg Taxes";#N/A,#N/A,FALSE,"BookRev Seg";#N/A,#N/A,FALSE,"Supp Adj Seg";#N/A,#N/A,FALSE,"outside prov seg taxes"}</definedName>
    <definedName name="rtrtrtrtrrh" hidden="1">{#N/A,#N/A,FALSE,"Rev Seg Taxes";#N/A,#N/A,FALSE,"BookRev Seg";#N/A,#N/A,FALSE,"Supp Adj Seg";#N/A,#N/A,FALSE,"outside prov seg taxes"}</definedName>
    <definedName name="rtyui" localSheetId="1" hidden="1">#REF!</definedName>
    <definedName name="rtyui" localSheetId="5" hidden="1">#REF!</definedName>
    <definedName name="rtyui" localSheetId="3" hidden="1">#REF!</definedName>
    <definedName name="rtyui" localSheetId="29" hidden="1">#REF!</definedName>
    <definedName name="rtyui" hidden="1">#REF!</definedName>
    <definedName name="rtyuiop" localSheetId="1" hidden="1">#REF!</definedName>
    <definedName name="rtyuiop" localSheetId="5" hidden="1">#REF!</definedName>
    <definedName name="rtyuiop" localSheetId="3" hidden="1">#REF!</definedName>
    <definedName name="rtyuiop" localSheetId="29" hidden="1">#REF!</definedName>
    <definedName name="rtyuiop" hidden="1">#REF!</definedName>
    <definedName name="s">#REF!</definedName>
    <definedName name="S_ATITLE" localSheetId="3">#REF!</definedName>
    <definedName name="S_ATITLE">#REF!</definedName>
    <definedName name="s_r" localSheetId="6">#REF!</definedName>
    <definedName name="s_r" localSheetId="3">#REF!</definedName>
    <definedName name="s_r">#REF!</definedName>
    <definedName name="sac" localSheetId="1" hidden="1">#REF!</definedName>
    <definedName name="sac" localSheetId="5" hidden="1">#REF!</definedName>
    <definedName name="sac" localSheetId="3" hidden="1">#REF!</definedName>
    <definedName name="sac" localSheetId="29" hidden="1">#REF!</definedName>
    <definedName name="sac" hidden="1">#REF!</definedName>
    <definedName name="sadf" localSheetId="1" hidden="1">#REF!</definedName>
    <definedName name="sadf" localSheetId="5" hidden="1">#REF!</definedName>
    <definedName name="sadf" localSheetId="3" hidden="1">#REF!</definedName>
    <definedName name="sadf" localSheetId="29" hidden="1">#REF!</definedName>
    <definedName name="sadf" hidden="1">#REF!</definedName>
    <definedName name="sadfdfafdsfasf" hidden="1">#REF!</definedName>
    <definedName name="sadfkj" localSheetId="1" hidden="1">#REF!</definedName>
    <definedName name="sadfkj" localSheetId="5" hidden="1">#REF!</definedName>
    <definedName name="sadfkj" localSheetId="3" hidden="1">#REF!</definedName>
    <definedName name="sadfkj" localSheetId="29" hidden="1">#REF!</definedName>
    <definedName name="sadfkj" hidden="1">#REF!</definedName>
    <definedName name="sample">#REF!</definedName>
    <definedName name="sample_coe_st" localSheetId="3">#REF!</definedName>
    <definedName name="sample_coe_st">#REF!</definedName>
    <definedName name="sample_h">#REF!</definedName>
    <definedName name="sample_name">#REF!</definedName>
    <definedName name="sample_vh">#REF!</definedName>
    <definedName name="SANDA" localSheetId="3">#REF!</definedName>
    <definedName name="SANDA">#REF!</definedName>
    <definedName name="SAP" localSheetId="6">#REF!</definedName>
    <definedName name="SAP" localSheetId="3">#REF!</definedName>
    <definedName name="SAP">#REF!</definedName>
    <definedName name="SAPBEXdnldView" hidden="1">"D3AGMWPPTUYDCJTDZ8WJR9VSG"</definedName>
    <definedName name="SAPBEXrevision" hidden="1">41</definedName>
    <definedName name="SAPBEXsysID" hidden="1">"PBW"</definedName>
    <definedName name="SAPBEXwbID" hidden="1">"3TD2FVG7ME7U056LVECBWI4A2"</definedName>
    <definedName name="scdcfh" localSheetId="6">#REF!</definedName>
    <definedName name="scdcfh" localSheetId="3">#REF!</definedName>
    <definedName name="scdcfh">#REF!</definedName>
    <definedName name="scdcfl" localSheetId="6">#REF!</definedName>
    <definedName name="scdcfl" localSheetId="3">#REF!</definedName>
    <definedName name="scdcfl">#REF!</definedName>
    <definedName name="sch">#REF!</definedName>
    <definedName name="SCH_B1">#REF!</definedName>
    <definedName name="SCH_B3">#REF!</definedName>
    <definedName name="SCH_C2">#REF!</definedName>
    <definedName name="SCH_D2">#REF!</definedName>
    <definedName name="SCH_H2">#REF!</definedName>
    <definedName name="Sched_Pay" localSheetId="6">#REF!</definedName>
    <definedName name="Sched_Pay" localSheetId="3">#REF!</definedName>
    <definedName name="Sched_Pay">#REF!</definedName>
    <definedName name="Scheduled_Extra_Payments" localSheetId="6">#REF!</definedName>
    <definedName name="Scheduled_Extra_Payments" localSheetId="3">#REF!</definedName>
    <definedName name="Scheduled_Extra_Payments">#REF!</definedName>
    <definedName name="Scheduled_Interest_Rate" localSheetId="6">#REF!</definedName>
    <definedName name="Scheduled_Interest_Rate" localSheetId="3">#REF!</definedName>
    <definedName name="Scheduled_Interest_Rate">#REF!</definedName>
    <definedName name="Scheduled_Monthly_Payment" localSheetId="3">#REF!</definedName>
    <definedName name="Scheduled_Monthly_Payment">#REF!</definedName>
    <definedName name="ScheduleNamePg1" localSheetId="3">#REF!</definedName>
    <definedName name="ScheduleNamePg1">#REF!</definedName>
    <definedName name="SCHM_1" localSheetId="3">#REF!</definedName>
    <definedName name="SCHM_1">#REF!</definedName>
    <definedName name="scrap" localSheetId="32"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6"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3"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29"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4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d" localSheetId="1" hidden="1">#REF!</definedName>
    <definedName name="sd" localSheetId="5" hidden="1">#REF!</definedName>
    <definedName name="sd" localSheetId="3" hidden="1">#REF!</definedName>
    <definedName name="sd" localSheetId="29" hidden="1">#REF!</definedName>
    <definedName name="sd" hidden="1">#REF!</definedName>
    <definedName name="sdcfcomph" localSheetId="3">#REF!</definedName>
    <definedName name="sdcfcomph">#REF!</definedName>
    <definedName name="sdcfcompl" localSheetId="3">#REF!</definedName>
    <definedName name="sdcfcompl">#REF!</definedName>
    <definedName name="sdcfcowith" localSheetId="3">#REF!</definedName>
    <definedName name="sdcfcowith">#REF!</definedName>
    <definedName name="sdcfcowitl" localSheetId="3">#REF!</definedName>
    <definedName name="sdcfcowitl">#REF!</definedName>
    <definedName name="sdcfdyh" localSheetId="3">#REF!</definedName>
    <definedName name="sdcfdyh">#REF!</definedName>
    <definedName name="sdcfdyl" localSheetId="3">#REF!</definedName>
    <definedName name="sdcfdyl">#REF!</definedName>
    <definedName name="sdcfh" localSheetId="3">#REF!</definedName>
    <definedName name="sdcfh">#REF!</definedName>
    <definedName name="sdcfl" localSheetId="3">#REF!</definedName>
    <definedName name="sdcfl">#REF!</definedName>
    <definedName name="sdf" localSheetId="5" hidden="1">#REF!</definedName>
    <definedName name="sdf" localSheetId="3" hidden="1">#REF!</definedName>
    <definedName name="sdf" localSheetId="29" hidden="1">#REF!</definedName>
    <definedName name="sdf" hidden="1">#REF!</definedName>
    <definedName name="sdfgfdgdger" localSheetId="1" hidden="1">{#N/A,#N/A,FALSE,"GLDwnLoad"}</definedName>
    <definedName name="sdfgfdgdger" localSheetId="32" hidden="1">{#N/A,#N/A,FALSE,"GLDwnLoad"}</definedName>
    <definedName name="sdfgfdgdger" localSheetId="6" hidden="1">{#N/A,#N/A,FALSE,"GLDwnLoad"}</definedName>
    <definedName name="sdfgfdgdger" localSheetId="4" hidden="1">{#N/A,#N/A,FALSE,"GLDwnLoad"}</definedName>
    <definedName name="sdfgfdgdger" localSheetId="5" hidden="1">{#N/A,#N/A,FALSE,"GLDwnLoad"}</definedName>
    <definedName name="sdfgfdgdger" localSheetId="7" hidden="1">{#N/A,#N/A,FALSE,"GLDwnLoad"}</definedName>
    <definedName name="sdfgfdgdger" localSheetId="3" hidden="1">{#N/A,#N/A,FALSE,"GLDwnLoad"}</definedName>
    <definedName name="sdfgfdgdger" localSheetId="29" hidden="1">{#N/A,#N/A,FALSE,"GLDwnLoad"}</definedName>
    <definedName name="sdfgfdgdger" localSheetId="47" hidden="1">{#N/A,#N/A,FALSE,"GLDwnLoad"}</definedName>
    <definedName name="sdfgfdgdger" hidden="1">{#N/A,#N/A,FALSE,"GLDwnLoad"}</definedName>
    <definedName name="sdfp" localSheetId="1" hidden="1">#REF!</definedName>
    <definedName name="sdfp" localSheetId="5" hidden="1">#REF!</definedName>
    <definedName name="sdfp" localSheetId="3" hidden="1">#REF!</definedName>
    <definedName name="sdfp" localSheetId="29" hidden="1">#REF!</definedName>
    <definedName name="sdfp" hidden="1">#REF!</definedName>
    <definedName name="sdklofj" localSheetId="1" hidden="1">#REF!</definedName>
    <definedName name="sdklofj" localSheetId="5" hidden="1">#REF!</definedName>
    <definedName name="sdklofj" localSheetId="3" hidden="1">#REF!</definedName>
    <definedName name="sdklofj" localSheetId="29" hidden="1">#REF!</definedName>
    <definedName name="sdklofj" hidden="1">#REF!</definedName>
    <definedName name="sdld" localSheetId="5" hidden="1">#REF!</definedName>
    <definedName name="sdld" localSheetId="3" hidden="1">#REF!</definedName>
    <definedName name="sdld" localSheetId="29" hidden="1">#REF!</definedName>
    <definedName name="sdld" hidden="1">#REF!</definedName>
    <definedName name="sdljgfj" localSheetId="5" hidden="1">#REF!</definedName>
    <definedName name="sdljgfj" localSheetId="3" hidden="1">#REF!</definedName>
    <definedName name="sdljgfj" localSheetId="29" hidden="1">#REF!</definedName>
    <definedName name="sdljgfj" hidden="1">#REF!</definedName>
    <definedName name="sdop" localSheetId="5" hidden="1">#REF!</definedName>
    <definedName name="sdop" localSheetId="3" hidden="1">#REF!</definedName>
    <definedName name="sdop" localSheetId="29" hidden="1">#REF!</definedName>
    <definedName name="sdop" hidden="1">#REF!</definedName>
    <definedName name="sdsdl" localSheetId="5" hidden="1">#REF!</definedName>
    <definedName name="sdsdl" localSheetId="3" hidden="1">#REF!</definedName>
    <definedName name="sdsdl" localSheetId="29" hidden="1">#REF!</definedName>
    <definedName name="sdsdl" hidden="1">#REF!</definedName>
    <definedName name="sdv" localSheetId="5" hidden="1">#REF!</definedName>
    <definedName name="sdv" localSheetId="3" hidden="1">#REF!</definedName>
    <definedName name="sdv" localSheetId="29" hidden="1">#REF!</definedName>
    <definedName name="sdv" hidden="1">#REF!</definedName>
    <definedName name="sdyldh" localSheetId="3">#REF!</definedName>
    <definedName name="sdyldh">#REF!</definedName>
    <definedName name="sdyldl" localSheetId="3">#REF!</definedName>
    <definedName name="sdyldl">#REF!</definedName>
    <definedName name="SE_Only" localSheetId="6">#REF!</definedName>
    <definedName name="SE_Only" localSheetId="3">#REF!</definedName>
    <definedName name="SE_Only">#REF!</definedName>
    <definedName name="SEadit" localSheetId="6">#REF!</definedName>
    <definedName name="SEadit" localSheetId="3">#REF!</definedName>
    <definedName name="SEadit">#REF!</definedName>
    <definedName name="SEadv" localSheetId="3">#REF!</definedName>
    <definedName name="SEadv">#REF!</definedName>
    <definedName name="SEC_1341_COLUMNS" localSheetId="3">#REF!</definedName>
    <definedName name="SEC_1341_COLUMNS">#REF!</definedName>
    <definedName name="SEC_1341_REPORT" localSheetId="3">#REF!</definedName>
    <definedName name="SEC_1341_REPORT">#REF!</definedName>
    <definedName name="SEC_1341_ROWS" localSheetId="3">#REF!</definedName>
    <definedName name="SEC_1341_ROWS">#REF!</definedName>
    <definedName name="SEcash" localSheetId="3">#REF!</definedName>
    <definedName name="SEcash">#REF!</definedName>
    <definedName name="SEcwip" localSheetId="3">#REF!</definedName>
    <definedName name="SEcwip">#REF!</definedName>
    <definedName name="SEdep" localSheetId="3">#REF!</definedName>
    <definedName name="SEdep">#REF!</definedName>
    <definedName name="sedf" localSheetId="5" hidden="1">#REF!</definedName>
    <definedName name="sedf" localSheetId="3" hidden="1">#REF!</definedName>
    <definedName name="sedf" localSheetId="29" hidden="1">#REF!</definedName>
    <definedName name="sedf" hidden="1">#REF!</definedName>
    <definedName name="SEmatsup" localSheetId="3">#REF!</definedName>
    <definedName name="SEmatsup">#REF!</definedName>
    <definedName name="SEMO" localSheetId="3">#REF!</definedName>
    <definedName name="SEMO">#REF!</definedName>
    <definedName name="SEMO_Plant" localSheetId="3">#REF!</definedName>
    <definedName name="SEMO_Plant">#REF!</definedName>
    <definedName name="sencount" hidden="1">1</definedName>
    <definedName name="SEplant" localSheetId="3">#REF!</definedName>
    <definedName name="SEplant">#REF!</definedName>
    <definedName name="SEpp" localSheetId="3">#REF!</definedName>
    <definedName name="SEpp">#REF!</definedName>
    <definedName name="SEPTAMT" localSheetId="3">'2.4 OpCo Proxy Cap Str'!AmtTable</definedName>
    <definedName name="SEPTAMT">#REF!</definedName>
    <definedName name="SEPTDT" localSheetId="3">'2.4 OpCo Proxy Cap Str'!DTTable</definedName>
    <definedName name="SEPTDT">#REF!</definedName>
    <definedName name="SEPTEMBERAMT">#N/A</definedName>
    <definedName name="SEPTEMBERDT">#N/A</definedName>
    <definedName name="SEstorg" localSheetId="3">#REF!</definedName>
    <definedName name="SEstorg">#REF!</definedName>
    <definedName name="Set">" "</definedName>
    <definedName name="sevw" localSheetId="1" hidden="1">#REF!</definedName>
    <definedName name="sevw" localSheetId="5" hidden="1">#REF!</definedName>
    <definedName name="sevw" localSheetId="3" hidden="1">#REF!</definedName>
    <definedName name="sevw" localSheetId="29" hidden="1">#REF!</definedName>
    <definedName name="sevw" hidden="1">#REF!</definedName>
    <definedName name="sfdv" localSheetId="1" hidden="1">#REF!</definedName>
    <definedName name="sfdv" localSheetId="5" hidden="1">#REF!</definedName>
    <definedName name="sfdv" localSheetId="3" hidden="1">#REF!</definedName>
    <definedName name="sfdv" localSheetId="29" hidden="1">#REF!</definedName>
    <definedName name="sfdv" hidden="1">#REF!</definedName>
    <definedName name="SHARES" localSheetId="3">#REF!</definedName>
    <definedName name="SHARES">#REF!</definedName>
    <definedName name="sheet"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1_FooterType" hidden="1">"NONE"</definedName>
    <definedName name="Sheet2_FooterType" hidden="1">"NONE"</definedName>
    <definedName name="shit" localSheetId="1" hidden="1">{#N/A,#N/A,TRUE,"1990";#N/A,#N/A,TRUE,"1991";#N/A,#N/A,TRUE,"1992";#N/A,#N/A,TRUE,"1993"}</definedName>
    <definedName name="shit" localSheetId="32" hidden="1">{#N/A,#N/A,TRUE,"1990";#N/A,#N/A,TRUE,"1991";#N/A,#N/A,TRUE,"1992";#N/A,#N/A,TRUE,"1993"}</definedName>
    <definedName name="shit" localSheetId="6" hidden="1">{#N/A,#N/A,TRUE,"1990";#N/A,#N/A,TRUE,"1991";#N/A,#N/A,TRUE,"1992";#N/A,#N/A,TRUE,"1993"}</definedName>
    <definedName name="shit" localSheetId="4" hidden="1">{#N/A,#N/A,TRUE,"1990";#N/A,#N/A,TRUE,"1991";#N/A,#N/A,TRUE,"1992";#N/A,#N/A,TRUE,"1993"}</definedName>
    <definedName name="shit" localSheetId="5" hidden="1">{#N/A,#N/A,TRUE,"1990";#N/A,#N/A,TRUE,"1991";#N/A,#N/A,TRUE,"1992";#N/A,#N/A,TRUE,"1993"}</definedName>
    <definedName name="shit" localSheetId="7" hidden="1">{#N/A,#N/A,TRUE,"1990";#N/A,#N/A,TRUE,"1991";#N/A,#N/A,TRUE,"1992";#N/A,#N/A,TRUE,"1993"}</definedName>
    <definedName name="shit" localSheetId="3" hidden="1">{#N/A,#N/A,TRUE,"1990";#N/A,#N/A,TRUE,"1991";#N/A,#N/A,TRUE,"1992";#N/A,#N/A,TRUE,"1993"}</definedName>
    <definedName name="shit" localSheetId="47" hidden="1">{#N/A,#N/A,TRUE,"1990";#N/A,#N/A,TRUE,"1991";#N/A,#N/A,TRUE,"1992";#N/A,#N/A,TRUE,"1993"}</definedName>
    <definedName name="shit" hidden="1">{#N/A,#N/A,TRUE,"1990";#N/A,#N/A,TRUE,"1991";#N/A,#N/A,TRUE,"1992";#N/A,#N/A,TRUE,"1993"}</definedName>
    <definedName name="shit2" localSheetId="1" hidden="1">{"summary",#N/A,TRUE,"E93ADJ";"detail",#N/A,TRUE,"E93ADJ"}</definedName>
    <definedName name="shit2" localSheetId="32" hidden="1">{"summary",#N/A,TRUE,"E93ADJ";"detail",#N/A,TRUE,"E93ADJ"}</definedName>
    <definedName name="shit2" localSheetId="6" hidden="1">{"summary",#N/A,TRUE,"E93ADJ";"detail",#N/A,TRUE,"E93ADJ"}</definedName>
    <definedName name="shit2" localSheetId="4" hidden="1">{"summary",#N/A,TRUE,"E93ADJ";"detail",#N/A,TRUE,"E93ADJ"}</definedName>
    <definedName name="shit2" localSheetId="5" hidden="1">{"summary",#N/A,TRUE,"E93ADJ";"detail",#N/A,TRUE,"E93ADJ"}</definedName>
    <definedName name="shit2" localSheetId="7" hidden="1">{"summary",#N/A,TRUE,"E93ADJ";"detail",#N/A,TRUE,"E93ADJ"}</definedName>
    <definedName name="shit2" localSheetId="3" hidden="1">{"summary",#N/A,TRUE,"E93ADJ";"detail",#N/A,TRUE,"E93ADJ"}</definedName>
    <definedName name="shit2" localSheetId="47" hidden="1">{"summary",#N/A,TRUE,"E93ADJ";"detail",#N/A,TRUE,"E93ADJ"}</definedName>
    <definedName name="shit2" hidden="1">{"summary",#N/A,TRUE,"E93ADJ";"detail",#N/A,TRUE,"E93ADJ"}</definedName>
    <definedName name="shiva" localSheetId="32" hidden="1">{#N/A,#N/A,FALSE,"O&amp;M by processes";#N/A,#N/A,FALSE,"Elec Act vs Bud";#N/A,#N/A,FALSE,"G&amp;A";#N/A,#N/A,FALSE,"BGS";#N/A,#N/A,FALSE,"Res Cost"}</definedName>
    <definedName name="shiva" localSheetId="6" hidden="1">{#N/A,#N/A,FALSE,"O&amp;M by processes";#N/A,#N/A,FALSE,"Elec Act vs Bud";#N/A,#N/A,FALSE,"G&amp;A";#N/A,#N/A,FALSE,"BGS";#N/A,#N/A,FALSE,"Res Cost"}</definedName>
    <definedName name="shiva" localSheetId="7" hidden="1">{#N/A,#N/A,FALSE,"O&amp;M by processes";#N/A,#N/A,FALSE,"Elec Act vs Bud";#N/A,#N/A,FALSE,"G&amp;A";#N/A,#N/A,FALSE,"BGS";#N/A,#N/A,FALSE,"Res Cost"}</definedName>
    <definedName name="shiva" localSheetId="3" hidden="1">{#N/A,#N/A,FALSE,"O&amp;M by processes";#N/A,#N/A,FALSE,"Elec Act vs Bud";#N/A,#N/A,FALSE,"G&amp;A";#N/A,#N/A,FALSE,"BGS";#N/A,#N/A,FALSE,"Res Cost"}</definedName>
    <definedName name="shiva" localSheetId="29" hidden="1">{#N/A,#N/A,FALSE,"O&amp;M by processes";#N/A,#N/A,FALSE,"Elec Act vs Bud";#N/A,#N/A,FALSE,"G&amp;A";#N/A,#N/A,FALSE,"BGS";#N/A,#N/A,FALSE,"Res Cost"}</definedName>
    <definedName name="shiva" localSheetId="47" hidden="1">{#N/A,#N/A,FALSE,"O&amp;M by processes";#N/A,#N/A,FALSE,"Elec Act vs Bud";#N/A,#N/A,FALSE,"G&amp;A";#N/A,#N/A,FALSE,"BGS";#N/A,#N/A,FALSE,"Res Cost"}</definedName>
    <definedName name="shiva" hidden="1">{#N/A,#N/A,FALSE,"O&amp;M by processes";#N/A,#N/A,FALSE,"Elec Act vs Bud";#N/A,#N/A,FALSE,"G&amp;A";#N/A,#N/A,FALSE,"BGS";#N/A,#N/A,FALSE,"Res Cost"}</definedName>
    <definedName name="SI"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lkd" localSheetId="1" hidden="1">#REF!</definedName>
    <definedName name="slkd" localSheetId="5" hidden="1">#REF!</definedName>
    <definedName name="slkd" localSheetId="3" hidden="1">#REF!</definedName>
    <definedName name="slkd" localSheetId="29" hidden="1">#REF!</definedName>
    <definedName name="slkd" hidden="1">#REF!</definedName>
    <definedName name="SNLLU">#REF!</definedName>
    <definedName name="source" localSheetId="3">#REF!</definedName>
    <definedName name="source">#REF!</definedName>
    <definedName name="SOURCES" localSheetId="6">#REF!</definedName>
    <definedName name="SOURCES" localSheetId="3">#REF!</definedName>
    <definedName name="SOURCES">#REF!</definedName>
    <definedName name="SouthGeorgia">#REF!</definedName>
    <definedName name="sp" localSheetId="3">#REF!</definedName>
    <definedName name="sp">#REF!</definedName>
    <definedName name="SPLookUp">OFFSET(#REF!,0,0,COUNTA(#REF!)-1)</definedName>
    <definedName name="spot">#REF!</definedName>
    <definedName name="spot_date">#REF!</definedName>
    <definedName name="spot_ticker">#REF!</definedName>
    <definedName name="Spread">#REF!</definedName>
    <definedName name="spreadA">OFFSET(#REF!,0,0,#REF!-3,1)</definedName>
    <definedName name="spreadDates">OFFSET(#REF!,0,0,#REF!-3,1)</definedName>
    <definedName name="SpreadsheetBuilder_1" localSheetId="1" hidden="1">#REF!</definedName>
    <definedName name="SpreadsheetBuilder_1" localSheetId="5" hidden="1">#REF!</definedName>
    <definedName name="SpreadsheetBuilder_1" localSheetId="3" hidden="1">#REF!</definedName>
    <definedName name="SpreadsheetBuilder_1" localSheetId="29" hidden="1">#REF!</definedName>
    <definedName name="SpreadsheetBuilder_1" hidden="1">#REF!</definedName>
    <definedName name="SpreadsheetBuilder_10" localSheetId="5" hidden="1">#REF!</definedName>
    <definedName name="SpreadsheetBuilder_10" localSheetId="3" hidden="1">#REF!</definedName>
    <definedName name="SpreadsheetBuilder_10" hidden="1">#REF!</definedName>
    <definedName name="SpreadsheetBuilder_12" localSheetId="5" hidden="1">#REF!</definedName>
    <definedName name="SpreadsheetBuilder_12" localSheetId="3" hidden="1">#REF!</definedName>
    <definedName name="SpreadsheetBuilder_12" hidden="1">#REF!</definedName>
    <definedName name="SpreadsheetBuilder_14" localSheetId="5" hidden="1">#REF!</definedName>
    <definedName name="SpreadsheetBuilder_14" localSheetId="3" hidden="1">#REF!</definedName>
    <definedName name="SpreadsheetBuilder_14" hidden="1">#REF!</definedName>
    <definedName name="SpreadsheetBuilder_15" localSheetId="5" hidden="1">#REF!</definedName>
    <definedName name="SpreadsheetBuilder_15" localSheetId="3" hidden="1">#REF!</definedName>
    <definedName name="SpreadsheetBuilder_15" hidden="1">#REF!</definedName>
    <definedName name="SpreadsheetBuilder_16" localSheetId="5" hidden="1">#REF!</definedName>
    <definedName name="SpreadsheetBuilder_16" localSheetId="3" hidden="1">#REF!</definedName>
    <definedName name="SpreadsheetBuilder_16" hidden="1">#REF!</definedName>
    <definedName name="SpreadsheetBuilder_17" localSheetId="5" hidden="1">#REF!</definedName>
    <definedName name="SpreadsheetBuilder_17" localSheetId="3" hidden="1">#REF!</definedName>
    <definedName name="SpreadsheetBuilder_17" hidden="1">#REF!</definedName>
    <definedName name="SpreadsheetBuilder_18" localSheetId="5" hidden="1">#REF!</definedName>
    <definedName name="SpreadsheetBuilder_18" localSheetId="3" hidden="1">#REF!</definedName>
    <definedName name="SpreadsheetBuilder_18" hidden="1">#REF!</definedName>
    <definedName name="SpreadsheetBuilder_19" localSheetId="5" hidden="1">#REF!</definedName>
    <definedName name="SpreadsheetBuilder_19" localSheetId="3" hidden="1">#REF!</definedName>
    <definedName name="SpreadsheetBuilder_19" hidden="1">#REF!</definedName>
    <definedName name="SpreadsheetBuilder_2" localSheetId="1" hidden="1">#REF!</definedName>
    <definedName name="SpreadsheetBuilder_2" localSheetId="6" hidden="1">#REF!</definedName>
    <definedName name="SpreadsheetBuilder_2" localSheetId="5" hidden="1">#REF!</definedName>
    <definedName name="SpreadsheetBuilder_2" localSheetId="7" hidden="1">#REF!</definedName>
    <definedName name="SpreadsheetBuilder_2" localSheetId="3" hidden="1">#REF!</definedName>
    <definedName name="SpreadsheetBuilder_2" localSheetId="29" hidden="1">#REF!</definedName>
    <definedName name="SpreadsheetBuilder_2" localSheetId="47" hidden="1">#REF!</definedName>
    <definedName name="SpreadsheetBuilder_2" hidden="1">#REF!</definedName>
    <definedName name="SpreadsheetBuilder_20" localSheetId="1" hidden="1">#REF!</definedName>
    <definedName name="SpreadsheetBuilder_20" localSheetId="5" hidden="1">#REF!</definedName>
    <definedName name="SpreadsheetBuilder_20" localSheetId="3" hidden="1">#REF!</definedName>
    <definedName name="SpreadsheetBuilder_20" hidden="1">#REF!</definedName>
    <definedName name="SpreadsheetBuilder_21" localSheetId="5" hidden="1">#REF!</definedName>
    <definedName name="SpreadsheetBuilder_21" localSheetId="3" hidden="1">#REF!</definedName>
    <definedName name="SpreadsheetBuilder_21" hidden="1">#REF!</definedName>
    <definedName name="SpreadsheetBuilder_22" localSheetId="5" hidden="1">#REF!</definedName>
    <definedName name="SpreadsheetBuilder_22" localSheetId="3" hidden="1">#REF!</definedName>
    <definedName name="SpreadsheetBuilder_22" hidden="1">#REF!</definedName>
    <definedName name="SpreadsheetBuilder_23" localSheetId="5" hidden="1">#REF!</definedName>
    <definedName name="SpreadsheetBuilder_23" localSheetId="3" hidden="1">#REF!</definedName>
    <definedName name="SpreadsheetBuilder_23" hidden="1">#REF!</definedName>
    <definedName name="SpreadsheetBuilder_24" localSheetId="5" hidden="1">#REF!</definedName>
    <definedName name="SpreadsheetBuilder_24" localSheetId="3" hidden="1">#REF!</definedName>
    <definedName name="SpreadsheetBuilder_24" hidden="1">#REF!</definedName>
    <definedName name="SpreadsheetBuilder_25" localSheetId="5" hidden="1">#REF!</definedName>
    <definedName name="SpreadsheetBuilder_25" localSheetId="3" hidden="1">#REF!</definedName>
    <definedName name="SpreadsheetBuilder_25" hidden="1">#REF!</definedName>
    <definedName name="SpreadsheetBuilder_27" localSheetId="5" hidden="1">#REF!</definedName>
    <definedName name="SpreadsheetBuilder_27" localSheetId="3" hidden="1">#REF!</definedName>
    <definedName name="SpreadsheetBuilder_27" hidden="1">#REF!</definedName>
    <definedName name="SpreadsheetBuilder_28" localSheetId="5" hidden="1">#REF!</definedName>
    <definedName name="SpreadsheetBuilder_28" localSheetId="3" hidden="1">#REF!</definedName>
    <definedName name="SpreadsheetBuilder_28" hidden="1">#REF!</definedName>
    <definedName name="SpreadsheetBuilder_3" localSheetId="5" hidden="1">#REF!</definedName>
    <definedName name="SpreadsheetBuilder_3" localSheetId="3" hidden="1">#REF!</definedName>
    <definedName name="SpreadsheetBuilder_3" localSheetId="29" hidden="1">#REF!</definedName>
    <definedName name="SpreadsheetBuilder_3" hidden="1">#REF!</definedName>
    <definedName name="SpreadsheetBuilder_4" localSheetId="5" hidden="1">#REF!</definedName>
    <definedName name="SpreadsheetBuilder_4" localSheetId="3" hidden="1">#REF!</definedName>
    <definedName name="SpreadsheetBuilder_4" hidden="1">#REF!</definedName>
    <definedName name="SpreadsheetBuilder_5" localSheetId="5" hidden="1">#REF!</definedName>
    <definedName name="SpreadsheetBuilder_5" localSheetId="3" hidden="1">#REF!</definedName>
    <definedName name="SpreadsheetBuilder_5" hidden="1">#REF!</definedName>
    <definedName name="SpreadsheetBuilder_6" localSheetId="5" hidden="1">#REF!</definedName>
    <definedName name="SpreadsheetBuilder_6" localSheetId="3" hidden="1">#REF!</definedName>
    <definedName name="SpreadsheetBuilder_6" hidden="1">#REF!</definedName>
    <definedName name="SpreadsheetBuilder_7" localSheetId="5" hidden="1">#REF!</definedName>
    <definedName name="SpreadsheetBuilder_7" localSheetId="3" hidden="1">#REF!</definedName>
    <definedName name="SpreadsheetBuilder_7" hidden="1">#REF!</definedName>
    <definedName name="SpreadsheetBuilder_8" localSheetId="5" hidden="1">#REF!</definedName>
    <definedName name="SpreadsheetBuilder_8" localSheetId="3" hidden="1">#REF!</definedName>
    <definedName name="SpreadsheetBuilder_8" hidden="1">#REF!</definedName>
    <definedName name="sps">#REF!</definedName>
    <definedName name="SPWS_WBID">"5C3BEB3C-3631-11D4-B07C-00104BC5D17F"</definedName>
    <definedName name="srg"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3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4"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5"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4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rh" localSheetId="6">#REF!</definedName>
    <definedName name="srrh" localSheetId="3">#REF!</definedName>
    <definedName name="srrh">#REF!</definedName>
    <definedName name="srrl" localSheetId="6">#REF!</definedName>
    <definedName name="srrl" localSheetId="3">#REF!</definedName>
    <definedName name="srrl">#REF!</definedName>
    <definedName name="ssdo" localSheetId="5" hidden="1">#REF!</definedName>
    <definedName name="ssdo" localSheetId="3" hidden="1">#REF!</definedName>
    <definedName name="ssdo" localSheetId="29" hidden="1">#REF!</definedName>
    <definedName name="ssdo" hidden="1">#REF!</definedName>
    <definedName name="SSExp" localSheetId="6">#REF!</definedName>
    <definedName name="SSExp" localSheetId="3">#REF!</definedName>
    <definedName name="SSExp">#REF!</definedName>
    <definedName name="SSPlant" localSheetId="6">#REF!</definedName>
    <definedName name="SSPlant">#REF!</definedName>
    <definedName name="SSS" localSheetId="6">#REF!</definedName>
    <definedName name="SSS" localSheetId="3">#REF!</definedName>
    <definedName name="SSS">#REF!</definedName>
    <definedName name="sssset" localSheetId="1" hidden="1">#REF!</definedName>
    <definedName name="sssset" localSheetId="5" hidden="1">#REF!</definedName>
    <definedName name="sssset" localSheetId="3" hidden="1">#REF!</definedName>
    <definedName name="sssset" localSheetId="29" hidden="1">#REF!</definedName>
    <definedName name="sssset" hidden="1">#REF!</definedName>
    <definedName name="START" localSheetId="3">#REF!</definedName>
    <definedName name="START">#REF!</definedName>
    <definedName name="STATERATE" localSheetId="3">#REF!</definedName>
    <definedName name="STATERATE">#REF!</definedName>
    <definedName name="statsrevised" localSheetId="32" hidden="1">{#N/A,#N/A,FALSE,"O&amp;M by processes";#N/A,#N/A,FALSE,"Elec Act vs Bud";#N/A,#N/A,FALSE,"G&amp;A";#N/A,#N/A,FALSE,"BGS";#N/A,#N/A,FALSE,"Res Cost"}</definedName>
    <definedName name="statsrevised" localSheetId="6" hidden="1">{#N/A,#N/A,FALSE,"O&amp;M by processes";#N/A,#N/A,FALSE,"Elec Act vs Bud";#N/A,#N/A,FALSE,"G&amp;A";#N/A,#N/A,FALSE,"BGS";#N/A,#N/A,FALSE,"Res Cost"}</definedName>
    <definedName name="statsrevised" localSheetId="7" hidden="1">{#N/A,#N/A,FALSE,"O&amp;M by processes";#N/A,#N/A,FALSE,"Elec Act vs Bud";#N/A,#N/A,FALSE,"G&amp;A";#N/A,#N/A,FALSE,"BGS";#N/A,#N/A,FALSE,"Res Cost"}</definedName>
    <definedName name="statsrevised" localSheetId="3" hidden="1">{#N/A,#N/A,FALSE,"O&amp;M by processes";#N/A,#N/A,FALSE,"Elec Act vs Bud";#N/A,#N/A,FALSE,"G&amp;A";#N/A,#N/A,FALSE,"BGS";#N/A,#N/A,FALSE,"Res Cost"}</definedName>
    <definedName name="statsrevised" localSheetId="29" hidden="1">{#N/A,#N/A,FALSE,"O&amp;M by processes";#N/A,#N/A,FALSE,"Elec Act vs Bud";#N/A,#N/A,FALSE,"G&amp;A";#N/A,#N/A,FALSE,"BGS";#N/A,#N/A,FALSE,"Res Cost"}</definedName>
    <definedName name="statsrevised" localSheetId="47" hidden="1">{#N/A,#N/A,FALSE,"O&amp;M by processes";#N/A,#N/A,FALSE,"Elec Act vs Bud";#N/A,#N/A,FALSE,"G&amp;A";#N/A,#N/A,FALSE,"BGS";#N/A,#N/A,FALSE,"Res Cost"}</definedName>
    <definedName name="statsrevised" hidden="1">{#N/A,#N/A,FALSE,"O&amp;M by processes";#N/A,#N/A,FALSE,"Elec Act vs Bud";#N/A,#N/A,FALSE,"G&amp;A";#N/A,#N/A,FALSE,"BGS";#N/A,#N/A,FALSE,"Res Cost"}</definedName>
    <definedName name="STD_Rate">#REF!</definedName>
    <definedName name="Stockprice">#REF!</definedName>
    <definedName name="Sttax" localSheetId="6">#REF!</definedName>
    <definedName name="Sttax" localSheetId="3">#REF!</definedName>
    <definedName name="Sttax">#REF!</definedName>
    <definedName name="Study_Company" localSheetId="3">#REF!</definedName>
    <definedName name="Study_Company">#REF!</definedName>
    <definedName name="study_quarter">#REF!</definedName>
    <definedName name="study_year">#REF!</definedName>
    <definedName name="stuff">#REF!</definedName>
    <definedName name="STWBD_StatToolsBoxPlot_DefaultDataFormat" hidden="1">" 0"</definedName>
    <definedName name="STWBD_StatToolsBoxPlot_HasDefaultInfo" hidden="1">"TRUE"</definedName>
    <definedName name="STWBD_StatToolsBoxPlot_IncludeKey" hidden="1">"FALSE"</definedName>
    <definedName name="STWBD_StatToolsBoxPlot_VariableList" hidden="1">1</definedName>
    <definedName name="STWBD_StatToolsBoxPlot_VariableList_1" hidden="1">"U_x0001_VG27AE830F_x0001_"</definedName>
    <definedName name="STWBD_StatToolsBoxPlot_VarSelectorDefaultDataSet" hidden="1">"DG2C9ED946"</definedName>
    <definedName name="STWBD_StatToolsHistogram_BinMaximum" hidden="1">" 1.01E+300"</definedName>
    <definedName name="STWBD_StatToolsHistogram_BinMinimum" hidden="1">" 1.01E+300"</definedName>
    <definedName name="STWBD_StatToolsHistogram_DefaultDataFormat" hidden="1">" 0"</definedName>
    <definedName name="STWBD_StatToolsHistogram_HasDefaultInfo" hidden="1">"TRUE"</definedName>
    <definedName name="STWBD_StatToolsHistogram_NumBins" hidden="1">"-32767"</definedName>
    <definedName name="STWBD_StatToolsHistogram_VariableList" hidden="1">1</definedName>
    <definedName name="STWBD_StatToolsHistogram_VariableList_1" hidden="1">"U_x0001_VG27AE830F_x0001_"</definedName>
    <definedName name="STWBD_StatToolsHistogram_VarSelectorDefaultDataSet" hidden="1">"DG2C9ED946"</definedName>
    <definedName name="STWBD_StatToolsHistogram_XAxisStyle" hidden="1">" 0"</definedName>
    <definedName name="STWBD_StatToolsHistogram_YAxisStyle" hidden="1">" 0"</definedName>
    <definedName name="STWBD_StatToolsOneVarSummary_Count" hidden="1">"TRUE"</definedName>
    <definedName name="STWBD_StatToolsOneVarSummary_DefaultDataFormat" hidden="1">" 0"</definedName>
    <definedName name="STWBD_StatToolsOneVarSummary_FirstQuartile" hidden="1">"TRUE"</definedName>
    <definedName name="STWBD_StatToolsOneVarSummary_HasDefaultInfo" hidden="1">"TRUE"</definedName>
    <definedName name="STWBD_StatToolsOneVarSummary_InterQuartileRange" hidden="1">"TRUE"</definedName>
    <definedName name="STWBD_StatToolsOneVarSummary_Kurtosis" hidden="1">"TRUE"</definedName>
    <definedName name="STWBD_StatToolsOneVarSummary_Maximum" hidden="1">"TRUE"</definedName>
    <definedName name="STWBD_StatToolsOneVarSummary_Mean" hidden="1">"TRUE"</definedName>
    <definedName name="STWBD_StatToolsOneVarSummary_MeanAbsDeviation" hidden="1">"TRUE"</definedName>
    <definedName name="STWBD_StatToolsOneVarSummary_Median" hidden="1">"TRUE"</definedName>
    <definedName name="STWBD_StatToolsOneVarSummary_Minimum" hidden="1">"TRUE"</definedName>
    <definedName name="STWBD_StatToolsOneVarSummary_OtherPercentiles" hidden="1">"TRUE"</definedName>
    <definedName name="STWBD_StatToolsOneVarSummary_PercentileList" hidden="1">" .01, .025, .05, .1, .2, .8, .9, .95, .975, .99"</definedName>
    <definedName name="STWBD_StatToolsOneVarSummary_Range" hidden="1">"TRUE"</definedName>
    <definedName name="STWBD_StatToolsOneVarSummary_Skewness" hidden="1">"TRUE"</definedName>
    <definedName name="STWBD_StatToolsOneVarSummary_StandardDeviation" hidden="1">"TRUE"</definedName>
    <definedName name="STWBD_StatToolsOneVarSummary_Sum" hidden="1">"TRUE"</definedName>
    <definedName name="STWBD_StatToolsOneVarSummary_ThirdQuartile" hidden="1">"TRUE"</definedName>
    <definedName name="STWBD_StatToolsOneVarSummary_VariableList" hidden="1">1</definedName>
    <definedName name="STWBD_StatToolsOneVarSummary_VariableList_1" hidden="1">"U_x0001_VG27AE830F_x0001_"</definedName>
    <definedName name="STWBD_StatToolsOneVarSummary_Variance" hidden="1">"TRUE"</definedName>
    <definedName name="STWBD_StatToolsOneVarSummary_VarSelectorDefaultDataSet" hidden="1">"DG2C9ED946"</definedName>
    <definedName name="SUMMARY">#REF!</definedName>
    <definedName name="SummaryDownload" comment="'=OFFSET('Monthly Revenue'!$A$5,0,0,COUNTA('Monthly Revenue'!$A:$A),9)">OFFSET(#REF!,0,0,COUNTA(#REF!),43)</definedName>
    <definedName name="support" localSheetId="6">#REF!</definedName>
    <definedName name="support" localSheetId="3">#REF!</definedName>
    <definedName name="support">#REF!</definedName>
    <definedName name="supporti" localSheetId="32" hidden="1">{#N/A,#N/A,FALSE,"O&amp;M by processes";#N/A,#N/A,FALSE,"Elec Act vs Bud";#N/A,#N/A,FALSE,"G&amp;A";#N/A,#N/A,FALSE,"BGS";#N/A,#N/A,FALSE,"Res Cost"}</definedName>
    <definedName name="supporti" localSheetId="6" hidden="1">{#N/A,#N/A,FALSE,"O&amp;M by processes";#N/A,#N/A,FALSE,"Elec Act vs Bud";#N/A,#N/A,FALSE,"G&amp;A";#N/A,#N/A,FALSE,"BGS";#N/A,#N/A,FALSE,"Res Cost"}</definedName>
    <definedName name="supporti" localSheetId="7" hidden="1">{#N/A,#N/A,FALSE,"O&amp;M by processes";#N/A,#N/A,FALSE,"Elec Act vs Bud";#N/A,#N/A,FALSE,"G&amp;A";#N/A,#N/A,FALSE,"BGS";#N/A,#N/A,FALSE,"Res Cost"}</definedName>
    <definedName name="supporti" localSheetId="3" hidden="1">{#N/A,#N/A,FALSE,"O&amp;M by processes";#N/A,#N/A,FALSE,"Elec Act vs Bud";#N/A,#N/A,FALSE,"G&amp;A";#N/A,#N/A,FALSE,"BGS";#N/A,#N/A,FALSE,"Res Cost"}</definedName>
    <definedName name="supporti" localSheetId="29" hidden="1">{#N/A,#N/A,FALSE,"O&amp;M by processes";#N/A,#N/A,FALSE,"Elec Act vs Bud";#N/A,#N/A,FALSE,"G&amp;A";#N/A,#N/A,FALSE,"BGS";#N/A,#N/A,FALSE,"Res Cost"}</definedName>
    <definedName name="supporti" localSheetId="47" hidden="1">{#N/A,#N/A,FALSE,"O&amp;M by processes";#N/A,#N/A,FALSE,"Elec Act vs Bud";#N/A,#N/A,FALSE,"G&amp;A";#N/A,#N/A,FALSE,"BGS";#N/A,#N/A,FALSE,"Res Cost"}</definedName>
    <definedName name="supporti" hidden="1">{#N/A,#N/A,FALSE,"O&amp;M by processes";#N/A,#N/A,FALSE,"Elec Act vs Bud";#N/A,#N/A,FALSE,"G&amp;A";#N/A,#N/A,FALSE,"BGS";#N/A,#N/A,FALSE,"Res Cost"}</definedName>
    <definedName name="sv" localSheetId="1" hidden="1">#REF!</definedName>
    <definedName name="sv" localSheetId="5" hidden="1">#REF!</definedName>
    <definedName name="sv" localSheetId="3" hidden="1">#REF!</definedName>
    <definedName name="sv" localSheetId="29" hidden="1">#REF!</definedName>
    <definedName name="sv" hidden="1">#REF!</definedName>
    <definedName name="svfdv" localSheetId="1" hidden="1">#REF!</definedName>
    <definedName name="svfdv" localSheetId="5" hidden="1">#REF!</definedName>
    <definedName name="svfdv" localSheetId="3" hidden="1">#REF!</definedName>
    <definedName name="svfdv" localSheetId="29" hidden="1">#REF!</definedName>
    <definedName name="svfdv" hidden="1">#REF!</definedName>
    <definedName name="SWadit" localSheetId="3">#REF!</definedName>
    <definedName name="SWadit">#REF!</definedName>
    <definedName name="SWadv" localSheetId="3">#REF!</definedName>
    <definedName name="SWadv">#REF!</definedName>
    <definedName name="swae" localSheetId="5" hidden="1">#REF!</definedName>
    <definedName name="swae" localSheetId="3" hidden="1">#REF!</definedName>
    <definedName name="swae" localSheetId="29" hidden="1">#REF!</definedName>
    <definedName name="swae" hidden="1">#REF!</definedName>
    <definedName name="SWcash" localSheetId="3">#REF!</definedName>
    <definedName name="SWcash">#REF!</definedName>
    <definedName name="SWcwip" localSheetId="3">#REF!</definedName>
    <definedName name="SWcwip">#REF!</definedName>
    <definedName name="SWdep" localSheetId="3">#REF!</definedName>
    <definedName name="SWdep">#REF!</definedName>
    <definedName name="SWmatsup" localSheetId="3">#REF!</definedName>
    <definedName name="SWmatsup">#REF!</definedName>
    <definedName name="SWplant" localSheetId="3">#REF!</definedName>
    <definedName name="SWplant">#REF!</definedName>
    <definedName name="SWpp" localSheetId="3">#REF!</definedName>
    <definedName name="SWpp">#REF!</definedName>
    <definedName name="SWstorg" localSheetId="3">#REF!</definedName>
    <definedName name="SWstorg">#REF!</definedName>
    <definedName name="Swvu.DATABASE." localSheetId="6" hidden="1">#REF!</definedName>
    <definedName name="Swvu.DATABASE." localSheetId="7" hidden="1">#REF!</definedName>
    <definedName name="Swvu.DATABASE." localSheetId="3" hidden="1">#REF!</definedName>
    <definedName name="Swvu.DATABASE." localSheetId="29" hidden="1">#REF!</definedName>
    <definedName name="Swvu.DATABASE." hidden="1">#REF!</definedName>
    <definedName name="Swvu.OP." localSheetId="6" hidden="1">#REF!</definedName>
    <definedName name="Swvu.OP." localSheetId="7" hidden="1">#REF!</definedName>
    <definedName name="Swvu.OP." localSheetId="3" hidden="1">#REF!</definedName>
    <definedName name="Swvu.OP." localSheetId="29" hidden="1">#REF!</definedName>
    <definedName name="Swvu.OP." hidden="1">#REF!</definedName>
    <definedName name="Sysco">#REF!</definedName>
    <definedName name="T" localSheetId="6">#REF!</definedName>
    <definedName name="T" localSheetId="3">#REF!</definedName>
    <definedName name="T">#REF!</definedName>
    <definedName name="t_3" localSheetId="6">#REF!</definedName>
    <definedName name="t_3" localSheetId="3">#REF!</definedName>
    <definedName name="t_3">#REF!</definedName>
    <definedName name="t_4" localSheetId="3">#REF!</definedName>
    <definedName name="t_4">#REF!</definedName>
    <definedName name="TABLE" localSheetId="3">#REF!</definedName>
    <definedName name="TABLE">#REF!</definedName>
    <definedName name="tar10high" localSheetId="6">#REF!</definedName>
    <definedName name="tar10high">#REF!</definedName>
    <definedName name="tar10low" localSheetId="6">#REF!</definedName>
    <definedName name="tar10low">#REF!</definedName>
    <definedName name="tar11high">#REF!</definedName>
    <definedName name="tar11low">#REF!</definedName>
    <definedName name="tar12high">#REF!</definedName>
    <definedName name="tar12low">#REF!</definedName>
    <definedName name="tar13high">#REF!</definedName>
    <definedName name="tar13low">#REF!</definedName>
    <definedName name="tar14high">#REF!</definedName>
    <definedName name="tar14low">#REF!</definedName>
    <definedName name="tar15high">#REF!</definedName>
    <definedName name="tar15low">#REF!</definedName>
    <definedName name="tar16high">#REF!</definedName>
    <definedName name="tar16low">#REF!</definedName>
    <definedName name="tar17high">#REF!</definedName>
    <definedName name="tar17low">#REF!</definedName>
    <definedName name="tar18high">#REF!</definedName>
    <definedName name="tar18low">#REF!</definedName>
    <definedName name="tar19high">#REF!</definedName>
    <definedName name="tar19low">#REF!</definedName>
    <definedName name="tar1high">#REF!</definedName>
    <definedName name="tar1low" localSheetId="6">#REF!</definedName>
    <definedName name="tar1low">#REF!</definedName>
    <definedName name="tar20high">#REF!</definedName>
    <definedName name="tar20low">#REF!</definedName>
    <definedName name="tar2high">#REF!</definedName>
    <definedName name="tar2low" localSheetId="6">#REF!</definedName>
    <definedName name="tar2low">#REF!</definedName>
    <definedName name="tar3high">#REF!</definedName>
    <definedName name="tar3low" localSheetId="6">#REF!</definedName>
    <definedName name="tar3low">#REF!</definedName>
    <definedName name="tar4high">#REF!</definedName>
    <definedName name="tar4low" localSheetId="6">#REF!</definedName>
    <definedName name="tar4low">#REF!</definedName>
    <definedName name="tar5high">#REF!</definedName>
    <definedName name="tar5low" localSheetId="6">#REF!</definedName>
    <definedName name="tar5low">#REF!</definedName>
    <definedName name="tar6high">#REF!</definedName>
    <definedName name="tar6low" localSheetId="6">#REF!</definedName>
    <definedName name="tar6low">#REF!</definedName>
    <definedName name="tar7high">#REF!</definedName>
    <definedName name="tar7low" localSheetId="6">#REF!</definedName>
    <definedName name="tar7low">#REF!</definedName>
    <definedName name="tar8high">#REF!</definedName>
    <definedName name="tar8low" localSheetId="6">#REF!</definedName>
    <definedName name="tar8low">#REF!</definedName>
    <definedName name="tar9high">#REF!</definedName>
    <definedName name="tar9low">#REF!</definedName>
    <definedName name="tax_rate">#REF!</definedName>
    <definedName name="TAX_RETIRE_ANALYSIS2_REPORT" localSheetId="3">#REF!</definedName>
    <definedName name="TAX_RETIRE_ANALYSIS2_REPORT">#REF!</definedName>
    <definedName name="TAX_RETIRE_ANALYSIS2_ROWS" localSheetId="3">#REF!</definedName>
    <definedName name="TAX_RETIRE_ANALYSIS2_ROWS">#REF!</definedName>
    <definedName name="TAXCALC2">#REF!</definedName>
    <definedName name="TAXRATE" localSheetId="3">#REF!</definedName>
    <definedName name="TAXRATE">#REF!</definedName>
    <definedName name="TAXSUMMARY_ROW" localSheetId="3">#REF!</definedName>
    <definedName name="TAXSUMMARY_ROW">#REF!</definedName>
    <definedName name="tbsm01" localSheetId="6">#REF!</definedName>
    <definedName name="tbsm01" localSheetId="3">#REF!</definedName>
    <definedName name="tbsm01">#REF!</definedName>
    <definedName name="tbwn01" localSheetId="3">#REF!</definedName>
    <definedName name="tbwn01">#REF!</definedName>
    <definedName name="tbwn02" localSheetId="3">#REF!</definedName>
    <definedName name="tbwn02">#REF!</definedName>
    <definedName name="TEFRA" localSheetId="1" hidden="1">{"summary",#N/A,TRUE,"E93ADJ";"detail",#N/A,TRUE,"E93ADJ"}</definedName>
    <definedName name="TEFRA" localSheetId="32" hidden="1">{"summary",#N/A,TRUE,"E93ADJ";"detail",#N/A,TRUE,"E93ADJ"}</definedName>
    <definedName name="TEFRA" localSheetId="6" hidden="1">{"summary",#N/A,TRUE,"E93ADJ";"detail",#N/A,TRUE,"E93ADJ"}</definedName>
    <definedName name="TEFRA" localSheetId="4" hidden="1">{"summary",#N/A,TRUE,"E93ADJ";"detail",#N/A,TRUE,"E93ADJ"}</definedName>
    <definedName name="TEFRA" localSheetId="5" hidden="1">{"summary",#N/A,TRUE,"E93ADJ";"detail",#N/A,TRUE,"E93ADJ"}</definedName>
    <definedName name="TEFRA" localSheetId="7" hidden="1">{"summary",#N/A,TRUE,"E93ADJ";"detail",#N/A,TRUE,"E93ADJ"}</definedName>
    <definedName name="TEFRA" localSheetId="3" hidden="1">{"summary",#N/A,TRUE,"E93ADJ";"detail",#N/A,TRUE,"E93ADJ"}</definedName>
    <definedName name="TEFRA" localSheetId="47" hidden="1">{"summary",#N/A,TRUE,"E93ADJ";"detail",#N/A,TRUE,"E93ADJ"}</definedName>
    <definedName name="TEFRA" hidden="1">{"summary",#N/A,TRUE,"E93ADJ";"detail",#N/A,TRUE,"E93ADJ"}</definedName>
    <definedName name="Temp" localSheetId="1" hidden="1">{"ARK_JURIS_FUEL",#N/A,FALSE,"Ark_Fuel&amp;Rev"}</definedName>
    <definedName name="Temp" localSheetId="32" hidden="1">{"ARK_JURIS_FUEL",#N/A,FALSE,"Ark_Fuel&amp;Rev"}</definedName>
    <definedName name="Temp" localSheetId="6" hidden="1">{"ARK_JURIS_FUEL",#N/A,FALSE,"Ark_Fuel&amp;Rev"}</definedName>
    <definedName name="Temp" localSheetId="4" hidden="1">{"ARK_JURIS_FUEL",#N/A,FALSE,"Ark_Fuel&amp;Rev"}</definedName>
    <definedName name="Temp" localSheetId="5" hidden="1">{"ARK_JURIS_FUEL",#N/A,FALSE,"Ark_Fuel&amp;Rev"}</definedName>
    <definedName name="Temp" localSheetId="7" hidden="1">{"ARK_JURIS_FUEL",#N/A,FALSE,"Ark_Fuel&amp;Rev"}</definedName>
    <definedName name="Temp" localSheetId="3" hidden="1">{"ARK_JURIS_FUEL",#N/A,FALSE,"Ark_Fuel&amp;Rev"}</definedName>
    <definedName name="Temp" localSheetId="47" hidden="1">{"ARK_JURIS_FUEL",#N/A,FALSE,"Ark_Fuel&amp;Rev"}</definedName>
    <definedName name="Temp" hidden="1">{"ARK_JURIS_FUEL",#N/A,FALSE,"Ark_Fuel&amp;Rev"}</definedName>
    <definedName name="teset4" localSheetId="3">#REF!</definedName>
    <definedName name="teset4">#REF!</definedName>
    <definedName name="teset6" localSheetId="3">#REF!</definedName>
    <definedName name="teset6">#REF!</definedName>
    <definedName name="test" localSheetId="1" hidden="1">#REF!</definedName>
    <definedName name="test" localSheetId="29" hidden="1">#REF!</definedName>
    <definedName name="test" localSheetId="47" hidden="1">#REF!</definedName>
    <definedName name="test" hidden="1">#REF!</definedName>
    <definedName name="TEST0">#REF!</definedName>
    <definedName name="test1" localSheetId="1" hidden="1">{#N/A,#N/A,TRUE,"Bill Comp - 60";#N/A,#N/A,TRUE,"Bill Comp - 70";#N/A,#N/A,TRUE,"Bill Comp - 71";#N/A,#N/A,TRUE,"Bill Comp- 85"}</definedName>
    <definedName name="test1" localSheetId="32" hidden="1">{#N/A,#N/A,TRUE,"Bill Comp - 60";#N/A,#N/A,TRUE,"Bill Comp - 70";#N/A,#N/A,TRUE,"Bill Comp - 71";#N/A,#N/A,TRUE,"Bill Comp- 85"}</definedName>
    <definedName name="test1" localSheetId="6" hidden="1">{#N/A,#N/A,TRUE,"Bill Comp - 60";#N/A,#N/A,TRUE,"Bill Comp - 70";#N/A,#N/A,TRUE,"Bill Comp - 71";#N/A,#N/A,TRUE,"Bill Comp- 85"}</definedName>
    <definedName name="test1" localSheetId="4" hidden="1">{#N/A,#N/A,TRUE,"Bill Comp - 60";#N/A,#N/A,TRUE,"Bill Comp - 70";#N/A,#N/A,TRUE,"Bill Comp - 71";#N/A,#N/A,TRUE,"Bill Comp- 85"}</definedName>
    <definedName name="test1" localSheetId="5" hidden="1">{#N/A,#N/A,TRUE,"Bill Comp - 60";#N/A,#N/A,TRUE,"Bill Comp - 70";#N/A,#N/A,TRUE,"Bill Comp - 71";#N/A,#N/A,TRUE,"Bill Comp- 85"}</definedName>
    <definedName name="test1" localSheetId="7" hidden="1">{#N/A,#N/A,TRUE,"Bill Comp - 60";#N/A,#N/A,TRUE,"Bill Comp - 70";#N/A,#N/A,TRUE,"Bill Comp - 71";#N/A,#N/A,TRUE,"Bill Comp- 85"}</definedName>
    <definedName name="test1" localSheetId="3" hidden="1">{#N/A,#N/A,TRUE,"Bill Comp - 60";#N/A,#N/A,TRUE,"Bill Comp - 70";#N/A,#N/A,TRUE,"Bill Comp - 71";#N/A,#N/A,TRUE,"Bill Comp- 85"}</definedName>
    <definedName name="test1" localSheetId="47" hidden="1">{#N/A,#N/A,TRUE,"Bill Comp - 60";#N/A,#N/A,TRUE,"Bill Comp - 70";#N/A,#N/A,TRUE,"Bill Comp - 71";#N/A,#N/A,TRUE,"Bill Comp- 85"}</definedName>
    <definedName name="test1" hidden="1">{#N/A,#N/A,TRUE,"Bill Comp - 60";#N/A,#N/A,TRUE,"Bill Comp - 70";#N/A,#N/A,TRUE,"Bill Comp - 71";#N/A,#N/A,TRUE,"Bill Comp- 85"}</definedName>
    <definedName name="test11" localSheetId="1" hidden="1">{#N/A,"Anonymous",FALSE,"30 30k Table";#N/A,#N/A,FALSE,"30 50k Table";#N/A,#N/A,FALSE,"40 100k Table"}</definedName>
    <definedName name="test11" localSheetId="32" hidden="1">{#N/A,"Anonymous",FALSE,"30 30k Table";#N/A,#N/A,FALSE,"30 50k Table";#N/A,#N/A,FALSE,"40 100k Table"}</definedName>
    <definedName name="test11" localSheetId="6" hidden="1">{#N/A,"Anonymous",FALSE,"30 30k Table";#N/A,#N/A,FALSE,"30 50k Table";#N/A,#N/A,FALSE,"40 100k Table"}</definedName>
    <definedName name="test11" localSheetId="4" hidden="1">{#N/A,"Anonymous",FALSE,"30 30k Table";#N/A,#N/A,FALSE,"30 50k Table";#N/A,#N/A,FALSE,"40 100k Table"}</definedName>
    <definedName name="test11" localSheetId="5" hidden="1">{#N/A,"Anonymous",FALSE,"30 30k Table";#N/A,#N/A,FALSE,"30 50k Table";#N/A,#N/A,FALSE,"40 100k Table"}</definedName>
    <definedName name="test11" localSheetId="7" hidden="1">{#N/A,"Anonymous",FALSE,"30 30k Table";#N/A,#N/A,FALSE,"30 50k Table";#N/A,#N/A,FALSE,"40 100k Table"}</definedName>
    <definedName name="test11" localSheetId="3" hidden="1">{#N/A,"Anonymous",FALSE,"30 30k Table";#N/A,#N/A,FALSE,"30 50k Table";#N/A,#N/A,FALSE,"40 100k Table"}</definedName>
    <definedName name="test11" localSheetId="29" hidden="1">{#N/A,"Anonymous",FALSE,"30 30k Table";#N/A,#N/A,FALSE,"30 50k Table";#N/A,#N/A,FALSE,"40 100k Table"}</definedName>
    <definedName name="test11" localSheetId="47" hidden="1">{#N/A,"Anonymous",FALSE,"30 30k Table";#N/A,#N/A,FALSE,"30 50k Table";#N/A,#N/A,FALSE,"40 100k Table"}</definedName>
    <definedName name="test11" hidden="1">{#N/A,"Anonymous",FALSE,"30 30k Table";#N/A,#N/A,FALSE,"30 50k Table";#N/A,#N/A,FALSE,"40 100k Table"}</definedName>
    <definedName name="test2">#REF!</definedName>
    <definedName name="test5" localSheetId="3">#REF!</definedName>
    <definedName name="test5">#REF!</definedName>
    <definedName name="test7" localSheetId="3">#REF!</definedName>
    <definedName name="test7">#REF!</definedName>
    <definedName name="test8" localSheetId="3">#REF!</definedName>
    <definedName name="test8">#REF!</definedName>
    <definedName name="teste2" localSheetId="3">#REF!</definedName>
    <definedName name="teste2">#REF!</definedName>
    <definedName name="teste5" localSheetId="3">#REF!</definedName>
    <definedName name="teste5">#REF!</definedName>
    <definedName name="TESTHKEY">#REF!</definedName>
    <definedName name="testing" localSheetId="1" hidden="1">{#N/A,"Anonymous",FALSE,"30 30k Table";#N/A,#N/A,FALSE,"30 50k Table";#N/A,#N/A,FALSE,"40 100k Table"}</definedName>
    <definedName name="testing" localSheetId="32" hidden="1">{#N/A,"Anonymous",FALSE,"30 30k Table";#N/A,#N/A,FALSE,"30 50k Table";#N/A,#N/A,FALSE,"40 100k Table"}</definedName>
    <definedName name="testing" localSheetId="6" hidden="1">{#N/A,"Anonymous",FALSE,"30 30k Table";#N/A,#N/A,FALSE,"30 50k Table";#N/A,#N/A,FALSE,"40 100k Table"}</definedName>
    <definedName name="testing" localSheetId="4" hidden="1">{#N/A,"Anonymous",FALSE,"30 30k Table";#N/A,#N/A,FALSE,"30 50k Table";#N/A,#N/A,FALSE,"40 100k Table"}</definedName>
    <definedName name="testing" localSheetId="5" hidden="1">{#N/A,"Anonymous",FALSE,"30 30k Table";#N/A,#N/A,FALSE,"30 50k Table";#N/A,#N/A,FALSE,"40 100k Table"}</definedName>
    <definedName name="testing" localSheetId="7" hidden="1">{#N/A,"Anonymous",FALSE,"30 30k Table";#N/A,#N/A,FALSE,"30 50k Table";#N/A,#N/A,FALSE,"40 100k Table"}</definedName>
    <definedName name="testing" localSheetId="3" hidden="1">{#N/A,"Anonymous",FALSE,"30 30k Table";#N/A,#N/A,FALSE,"30 50k Table";#N/A,#N/A,FALSE,"40 100k Table"}</definedName>
    <definedName name="testing" localSheetId="29" hidden="1">{#N/A,"Anonymous",FALSE,"30 30k Table";#N/A,#N/A,FALSE,"30 50k Table";#N/A,#N/A,FALSE,"40 100k Table"}</definedName>
    <definedName name="testing" localSheetId="47" hidden="1">{#N/A,"Anonymous",FALSE,"30 30k Table";#N/A,#N/A,FALSE,"30 50k Table";#N/A,#N/A,FALSE,"40 100k Table"}</definedName>
    <definedName name="testing" hidden="1">{#N/A,"Anonymous",FALSE,"30 30k Table";#N/A,#N/A,FALSE,"30 50k Table";#N/A,#N/A,FALSE,"40 100k Table"}</definedName>
    <definedName name="TESTKEYS">#REF!</definedName>
    <definedName name="TESTPERIOD">#REF!</definedName>
    <definedName name="TestPeriodDate">#REF!</definedName>
    <definedName name="TESTVKEY">#REF!</definedName>
    <definedName name="TESTYEAR">#REF!</definedName>
    <definedName name="testyeardate">#REF!</definedName>
    <definedName name="Therm10A">#REF!,#REF!,#REF!,#REF!</definedName>
    <definedName name="Therm10DA">#REF!,#REF!,#REF!</definedName>
    <definedName name="Therm11A">#REF!,#REF!,#REF!,#REF!</definedName>
    <definedName name="Therm11DA">#REF!,#REF!,#REF!</definedName>
    <definedName name="Therm12A">#REF!,#REF!,#REF!,#REF!</definedName>
    <definedName name="Therm12DA">#REF!,#REF!,#REF!</definedName>
    <definedName name="Therm1A">#REF!,#REF!,#REF!,#REF!</definedName>
    <definedName name="Therm1DA">#REF!,#REF!,#REF!</definedName>
    <definedName name="Therm2A">#REF!,#REF!,#REF!,#REF!</definedName>
    <definedName name="Therm2DA">#REF!,#REF!,#REF!</definedName>
    <definedName name="Therm3A">#REF!,#REF!,#REF!,#REF!</definedName>
    <definedName name="Therm3DA">#REF!,#REF!,#REF!</definedName>
    <definedName name="Therm4A">#REF!,#REF!,#REF!,#REF!</definedName>
    <definedName name="Therm4DA">#REF!,#REF!,#REF!</definedName>
    <definedName name="Therm5A">#REF!,#REF!,#REF!,#REF!</definedName>
    <definedName name="Therm5DA">#REF!,#REF!,#REF!</definedName>
    <definedName name="Therm6A">#REF!,#REF!,#REF!,#REF!</definedName>
    <definedName name="Therm6DA">#REF!,#REF!,#REF!</definedName>
    <definedName name="Therm7A">#REF!,#REF!,#REF!,#REF!</definedName>
    <definedName name="Therm7DA">#REF!,#REF!,#REF!</definedName>
    <definedName name="Therm8A">#REF!,#REF!,#REF!,#REF!</definedName>
    <definedName name="Therm8DA">#REF!,#REF!,#REF!</definedName>
    <definedName name="Therm9A">#REF!,#REF!,#REF!,#REF!</definedName>
    <definedName name="Therm9DA">#REF!,#REF!,#REF!</definedName>
    <definedName name="ThermAprilA">#REF!,#REF!,#REF!,#REF!,#REF!</definedName>
    <definedName name="ThermAprilDA">#REF!,#REF!,#REF!,#REF!</definedName>
    <definedName name="ThermAugA">#REF!,#REF!,#REF!,#REF!,#REF!</definedName>
    <definedName name="ThermAugDA">#REF!,#REF!,#REF!,#REF!</definedName>
    <definedName name="ThermDecA">#REF!,#REF!,#REF!,#REF!,#REF!</definedName>
    <definedName name="ThermDecDA">#REF!,#REF!,#REF!,#REF!</definedName>
    <definedName name="ThermFebA">#REF!,#REF!,#REF!,#REF!,#REF!</definedName>
    <definedName name="ThermFebDA">#REF!,#REF!,#REF!,#REF!</definedName>
    <definedName name="ThermJanA">#REF!,#REF!,#REF!,#REF!,#REF!</definedName>
    <definedName name="ThermJanDA">#REF!,#REF!,#REF!,#REF!</definedName>
    <definedName name="ThermJulyA">#REF!,#REF!,#REF!,#REF!,#REF!</definedName>
    <definedName name="ThermJulyDA">#REF!,#REF!,#REF!,#REF!</definedName>
    <definedName name="ThermJuneA">#REF!,#REF!,#REF!,#REF!,#REF!</definedName>
    <definedName name="ThermJuneDA">#REF!,#REF!,#REF!,#REF!</definedName>
    <definedName name="ThermMarchA">#REF!,#REF!,#REF!,#REF!,#REF!</definedName>
    <definedName name="ThermMarchDA">#REF!,#REF!,#REF!,#REF!</definedName>
    <definedName name="ThermMayA">#REF!,#REF!,#REF!,#REF!,#REF!</definedName>
    <definedName name="ThermMayDa">#REF!,#REF!,#REF!,#REF!</definedName>
    <definedName name="ThermNovA">#REF!,#REF!,#REF!,#REF!,#REF!</definedName>
    <definedName name="ThermNovDA">#REF!,#REF!,#REF!,#REF!</definedName>
    <definedName name="ThermOctA">#REF!,#REF!,#REF!,#REF!,#REF!,#REF!</definedName>
    <definedName name="ThermOctDA">#REF!,#REF!,#REF!,#REF!</definedName>
    <definedName name="ThermSeptA">#REF!,#REF!,#REF!,#REF!,#REF!</definedName>
    <definedName name="ThermSeptDA">#REF!,#REF!,#REF!,#REF!</definedName>
    <definedName name="ThreeYear">#REF!</definedName>
    <definedName name="Ticker">""</definedName>
    <definedName name="TickerLU">#REF!</definedName>
    <definedName name="Tickers">#REF!</definedName>
    <definedName name="TIPS_20yr">OFFSET(#REF!,0,0,#REF!,2)</definedName>
    <definedName name="tot"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adit" localSheetId="6">#REF!</definedName>
    <definedName name="TOTadit" localSheetId="3">#REF!</definedName>
    <definedName name="TOTadit">#REF!</definedName>
    <definedName name="TOTadv" localSheetId="3">#REF!</definedName>
    <definedName name="TOTadv">#REF!</definedName>
    <definedName name="total_cap">#REF!</definedName>
    <definedName name="Total_Interest" localSheetId="6">#REF!</definedName>
    <definedName name="Total_Interest" localSheetId="3">#REF!</definedName>
    <definedName name="Total_Interest">#REF!</definedName>
    <definedName name="Total_Pay" localSheetId="6">#REF!</definedName>
    <definedName name="Total_Pay" localSheetId="3">#REF!</definedName>
    <definedName name="Total_Pay">#REF!</definedName>
    <definedName name="Total_Payment" localSheetId="32">Scheduled_Payment+Extra_Payment</definedName>
    <definedName name="Total_Payment" localSheetId="6">Scheduled_Payment+Extra_Payment</definedName>
    <definedName name="Total_Payment" localSheetId="3">Scheduled_Payment+Extra_Payment</definedName>
    <definedName name="Total_Payment">Scheduled_Payment+Extra_Payment</definedName>
    <definedName name="Total10A">#REF!,#REF!,#REF!,#REF!</definedName>
    <definedName name="Total10DA">#REF!,#REF!,#REF!</definedName>
    <definedName name="Total11DA">#REF!,#REF!,#REF!</definedName>
    <definedName name="Total12A">#REF!,#REF!,#REF!,#REF!</definedName>
    <definedName name="Total12DA">#REF!,#REF!,#REF!</definedName>
    <definedName name="Total1A">#REF!,#REF!,#REF!,#REF!</definedName>
    <definedName name="Total1DA">#REF!,#REF!,#REF!</definedName>
    <definedName name="Total2A">#REF!,#REF!,#REF!,#REF!</definedName>
    <definedName name="Total2DA">#REF!,#REF!,#REF!</definedName>
    <definedName name="Total3A">#REF!,#REF!,#REF!,#REF!</definedName>
    <definedName name="Total3DA">#REF!,#REF!,#REF!</definedName>
    <definedName name="Total4A">#REF!,#REF!,#REF!,#REF!</definedName>
    <definedName name="Total4DA">#REF!,#REF!,#REF!</definedName>
    <definedName name="Total5A">#REF!,#REF!,#REF!,#REF!</definedName>
    <definedName name="Total5DA">#REF!,#REF!,#REF!</definedName>
    <definedName name="Total6A">#REF!,#REF!,#REF!,#REF!</definedName>
    <definedName name="Total6DA">#REF!,#REF!,#REF!</definedName>
    <definedName name="Total7A">#REF!,#REF!,#REF!,#REF!</definedName>
    <definedName name="Total7DA">#REF!,#REF!,#REF!</definedName>
    <definedName name="Total8A">#REF!,#REF!,#REF!,#REF!</definedName>
    <definedName name="Total8DA">#REF!,#REF!,#REF!</definedName>
    <definedName name="Total9A">#REF!,#REF!,#REF!,#REF!</definedName>
    <definedName name="Total9DA">#REF!,#REF!,#REF!</definedName>
    <definedName name="TotalAprilA">#REF!,#REF!,#REF!,#REF!</definedName>
    <definedName name="TotalAprilDA">#REF!,#REF!,#REF!,#REF!</definedName>
    <definedName name="TotalAugA">#REF!,#REF!,#REF!,#REF!</definedName>
    <definedName name="TotalAugDA">#REF!,#REF!,#REF!,#REF!</definedName>
    <definedName name="TotalDecA">#REF!,#REF!,#REF!,#REF!</definedName>
    <definedName name="TotalDecDA">#REF!,#REF!,#REF!,#REF!</definedName>
    <definedName name="TotalFebA">#REF!,#REF!,#REF!,#REF!</definedName>
    <definedName name="TotalFebDA">#REF!,#REF!,#REF!,#REF!</definedName>
    <definedName name="TotalJanA">#REF!,#REF!,#REF!,#REF!,#REF!</definedName>
    <definedName name="TotalJanDA">#REF!,#REF!,#REF!,#REF!</definedName>
    <definedName name="TotalJulyA">#REF!,#REF!,#REF!,#REF!</definedName>
    <definedName name="TotalJulyDA">#REF!,#REF!,#REF!,#REF!</definedName>
    <definedName name="TotalJuneA">#REF!,#REF!,#REF!,#REF!</definedName>
    <definedName name="TotalJuneDA">#REF!,#REF!,#REF!,#REF!</definedName>
    <definedName name="TotalMarchA">#REF!,#REF!,#REF!,#REF!</definedName>
    <definedName name="TotalMarchDA">#REF!,#REF!,#REF!,#REF!</definedName>
    <definedName name="TotalMayA">#REF!,#REF!,#REF!,#REF!</definedName>
    <definedName name="TotalMayDA">#REF!,#REF!,#REF!,#REF!</definedName>
    <definedName name="TotalNovA">#REF!,#REF!,#REF!,#REF!</definedName>
    <definedName name="TotalNovDA">#REF!,#REF!,#REF!,#REF!</definedName>
    <definedName name="TotalOctA">#REF!,#REF!,#REF!,#REF!</definedName>
    <definedName name="TotalOctDA">#REF!,#REF!,#REF!,#REF!</definedName>
    <definedName name="TOTALSEPT">#REF!</definedName>
    <definedName name="TotalSeptA" localSheetId="3">#REF!,#REF!,#REF!,#REF!</definedName>
    <definedName name="TotalSeptA">#REF!,#REF!,#REF!,#REF!</definedName>
    <definedName name="TotalSeptD" localSheetId="3">#REF!</definedName>
    <definedName name="TotalSeptD">#REF!</definedName>
    <definedName name="TotalSeptDA" localSheetId="3">#REF!,#REF!,#REF!,#REF!,#REF!</definedName>
    <definedName name="TotalSeptDA">#REF!,#REF!,#REF!,#REF!,#REF!</definedName>
    <definedName name="TOTcash" localSheetId="6">#REF!</definedName>
    <definedName name="TOTcash" localSheetId="3">#REF!</definedName>
    <definedName name="TOTcash">#REF!</definedName>
    <definedName name="TOTcwip" localSheetId="3">#REF!</definedName>
    <definedName name="TOTcwip">#REF!</definedName>
    <definedName name="TOTdep" localSheetId="3">#REF!</definedName>
    <definedName name="TOTdep">#REF!</definedName>
    <definedName name="TOTmatsup" localSheetId="3">#REF!</definedName>
    <definedName name="TOTmatsup">#REF!</definedName>
    <definedName name="TOTplant" localSheetId="3">#REF!</definedName>
    <definedName name="TOTplant">#REF!</definedName>
    <definedName name="TOTpp" localSheetId="3">#REF!</definedName>
    <definedName name="TOTpp">#REF!</definedName>
    <definedName name="TOTstorg" localSheetId="3">#REF!</definedName>
    <definedName name="TOTstorg">#REF!</definedName>
    <definedName name="TP_Footer_Path" hidden="1">"S:\75886\03WELF\WS\2004 contributions\"</definedName>
    <definedName name="tp_footer_path2" hidden="1">"S:\00270\06ret\othsys\TEAM\12-31-2005 Disclosure (FAS)\"</definedName>
    <definedName name="tp_footer_path3" hidden="1">"S:\00270\06ret\othsys\TEAM\Etown\"</definedName>
    <definedName name="TP_Footer_User" hidden="1">"northc"</definedName>
    <definedName name="tp_footer_user2" hidden="1">"PEREZM"</definedName>
    <definedName name="tp_footer_user3" hidden="1">"DECRISS"</definedName>
    <definedName name="TP_Footer_Version" hidden="1">"v3.00"</definedName>
    <definedName name="tran"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3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4"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5"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4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s" localSheetId="6">#REF!</definedName>
    <definedName name="Trans" localSheetId="3">#REF!</definedName>
    <definedName name="Trans">#REF!</definedName>
    <definedName name="Transfer_of_Tiffany_Assets_Report" localSheetId="3">#REF!</definedName>
    <definedName name="Transfer_of_Tiffany_Assets_Report">#REF!</definedName>
    <definedName name="transfr_vouchr" localSheetId="3">#REF!</definedName>
    <definedName name="transfr_vouchr">#REF!</definedName>
    <definedName name="Treas_20_Yr">OFFSET(#REF!,0,0,#REF!,2)</definedName>
    <definedName name="Treas30Yr">OFFSET(#REF!,0,0,#REF!,2)</definedName>
    <definedName name="trehhjrgjr" localSheetId="1" hidden="1">{"PF",#N/A,FALSE,"Sheet4";"PG",#N/A,FALSE,"Sheet4";"PH",#N/A,FALSE,"Sheet4";"PI",#N/A,FALSE,"Sheet4";"PJ",#N/A,FALSE,"Sheet4"}</definedName>
    <definedName name="trehhjrgjr" localSheetId="32" hidden="1">{"PF",#N/A,FALSE,"Sheet4";"PG",#N/A,FALSE,"Sheet4";"PH",#N/A,FALSE,"Sheet4";"PI",#N/A,FALSE,"Sheet4";"PJ",#N/A,FALSE,"Sheet4"}</definedName>
    <definedName name="trehhjrgjr" localSheetId="6" hidden="1">{"PF",#N/A,FALSE,"Sheet4";"PG",#N/A,FALSE,"Sheet4";"PH",#N/A,FALSE,"Sheet4";"PI",#N/A,FALSE,"Sheet4";"PJ",#N/A,FALSE,"Sheet4"}</definedName>
    <definedName name="trehhjrgjr" localSheetId="4" hidden="1">{"PF",#N/A,FALSE,"Sheet4";"PG",#N/A,FALSE,"Sheet4";"PH",#N/A,FALSE,"Sheet4";"PI",#N/A,FALSE,"Sheet4";"PJ",#N/A,FALSE,"Sheet4"}</definedName>
    <definedName name="trehhjrgjr" localSheetId="5" hidden="1">{"PF",#N/A,FALSE,"Sheet4";"PG",#N/A,FALSE,"Sheet4";"PH",#N/A,FALSE,"Sheet4";"PI",#N/A,FALSE,"Sheet4";"PJ",#N/A,FALSE,"Sheet4"}</definedName>
    <definedName name="trehhjrgjr" localSheetId="7" hidden="1">{"PF",#N/A,FALSE,"Sheet4";"PG",#N/A,FALSE,"Sheet4";"PH",#N/A,FALSE,"Sheet4";"PI",#N/A,FALSE,"Sheet4";"PJ",#N/A,FALSE,"Sheet4"}</definedName>
    <definedName name="trehhjrgjr" localSheetId="3" hidden="1">{"PF",#N/A,FALSE,"Sheet4";"PG",#N/A,FALSE,"Sheet4";"PH",#N/A,FALSE,"Sheet4";"PI",#N/A,FALSE,"Sheet4";"PJ",#N/A,FALSE,"Sheet4"}</definedName>
    <definedName name="trehhjrgjr" localSheetId="29" hidden="1">{"PF",#N/A,FALSE,"Sheet4";"PG",#N/A,FALSE,"Sheet4";"PH",#N/A,FALSE,"Sheet4";"PI",#N/A,FALSE,"Sheet4";"PJ",#N/A,FALSE,"Sheet4"}</definedName>
    <definedName name="trehhjrgjr" localSheetId="47" hidden="1">{"PF",#N/A,FALSE,"Sheet4";"PG",#N/A,FALSE,"Sheet4";"PH",#N/A,FALSE,"Sheet4";"PI",#N/A,FALSE,"Sheet4";"PJ",#N/A,FALSE,"Sheet4"}</definedName>
    <definedName name="trehhjrgjr" hidden="1">{"PF",#N/A,FALSE,"Sheet4";"PG",#N/A,FALSE,"Sheet4";"PH",#N/A,FALSE,"Sheet4";"PI",#N/A,FALSE,"Sheet4";"PJ",#N/A,FALSE,"Sheet4"}</definedName>
    <definedName name="trtrtrtrtrtrt" localSheetId="1" hidden="1">{#N/A,#N/A,FALSE,"OTHERINPUTS";#N/A,#N/A,FALSE,"DITRATEINPUTS";#N/A,#N/A,FALSE,"SUPPLIEDADJINPUT";#N/A,#N/A,FALSE,"BR&amp;SUPADJ."}</definedName>
    <definedName name="trtrtrtrtrtrt" localSheetId="32" hidden="1">{#N/A,#N/A,FALSE,"OTHERINPUTS";#N/A,#N/A,FALSE,"DITRATEINPUTS";#N/A,#N/A,FALSE,"SUPPLIEDADJINPUT";#N/A,#N/A,FALSE,"BR&amp;SUPADJ."}</definedName>
    <definedName name="trtrtrtrtrtrt" localSheetId="6" hidden="1">{#N/A,#N/A,FALSE,"OTHERINPUTS";#N/A,#N/A,FALSE,"DITRATEINPUTS";#N/A,#N/A,FALSE,"SUPPLIEDADJINPUT";#N/A,#N/A,FALSE,"BR&amp;SUPADJ."}</definedName>
    <definedName name="trtrtrtrtrtrt" localSheetId="4" hidden="1">{#N/A,#N/A,FALSE,"OTHERINPUTS";#N/A,#N/A,FALSE,"DITRATEINPUTS";#N/A,#N/A,FALSE,"SUPPLIEDADJINPUT";#N/A,#N/A,FALSE,"BR&amp;SUPADJ."}</definedName>
    <definedName name="trtrtrtrtrtrt" localSheetId="5" hidden="1">{#N/A,#N/A,FALSE,"OTHERINPUTS";#N/A,#N/A,FALSE,"DITRATEINPUTS";#N/A,#N/A,FALSE,"SUPPLIEDADJINPUT";#N/A,#N/A,FALSE,"BR&amp;SUPADJ."}</definedName>
    <definedName name="trtrtrtrtrtrt" localSheetId="7" hidden="1">{#N/A,#N/A,FALSE,"OTHERINPUTS";#N/A,#N/A,FALSE,"DITRATEINPUTS";#N/A,#N/A,FALSE,"SUPPLIEDADJINPUT";#N/A,#N/A,FALSE,"BR&amp;SUPADJ."}</definedName>
    <definedName name="trtrtrtrtrtrt" localSheetId="3" hidden="1">{#N/A,#N/A,FALSE,"OTHERINPUTS";#N/A,#N/A,FALSE,"DITRATEINPUTS";#N/A,#N/A,FALSE,"SUPPLIEDADJINPUT";#N/A,#N/A,FALSE,"BR&amp;SUPADJ."}</definedName>
    <definedName name="trtrtrtrtrtrt" localSheetId="29" hidden="1">{#N/A,#N/A,FALSE,"OTHERINPUTS";#N/A,#N/A,FALSE,"DITRATEINPUTS";#N/A,#N/A,FALSE,"SUPPLIEDADJINPUT";#N/A,#N/A,FALSE,"BR&amp;SUPADJ."}</definedName>
    <definedName name="trtrtrtrtrtrt" localSheetId="47" hidden="1">{#N/A,#N/A,FALSE,"OTHERINPUTS";#N/A,#N/A,FALSE,"DITRATEINPUTS";#N/A,#N/A,FALSE,"SUPPLIEDADJINPUT";#N/A,#N/A,FALSE,"BR&amp;SUPADJ."}</definedName>
    <definedName name="trtrtrtrtrtrt" hidden="1">{#N/A,#N/A,FALSE,"OTHERINPUTS";#N/A,#N/A,FALSE,"DITRATEINPUTS";#N/A,#N/A,FALSE,"SUPPLIEDADJINPUT";#N/A,#N/A,FALSE,"BR&amp;SUPADJ."}</definedName>
    <definedName name="tt" localSheetId="32" hidden="1">{#N/A,#N/A,TRUE,"TAXPROV";#N/A,#N/A,TRUE,"FLOWTHRU";#N/A,#N/A,TRUE,"SCHEDULE M'S";#N/A,#N/A,TRUE,"PLANT M'S";#N/A,#N/A,TRUE,"TAXJE"}</definedName>
    <definedName name="tt" localSheetId="6" hidden="1">{#N/A,#N/A,TRUE,"TAXPROV";#N/A,#N/A,TRUE,"FLOWTHRU";#N/A,#N/A,TRUE,"SCHEDULE M'S";#N/A,#N/A,TRUE,"PLANT M'S";#N/A,#N/A,TRUE,"TAXJE"}</definedName>
    <definedName name="tt" localSheetId="7" hidden="1">{#N/A,#N/A,TRUE,"TAXPROV";#N/A,#N/A,TRUE,"FLOWTHRU";#N/A,#N/A,TRUE,"SCHEDULE M'S";#N/A,#N/A,TRUE,"PLANT M'S";#N/A,#N/A,TRUE,"TAXJE"}</definedName>
    <definedName name="tt" localSheetId="3" hidden="1">{#N/A,#N/A,TRUE,"TAXPROV";#N/A,#N/A,TRUE,"FLOWTHRU";#N/A,#N/A,TRUE,"SCHEDULE M'S";#N/A,#N/A,TRUE,"PLANT M'S";#N/A,#N/A,TRUE,"TAXJE"}</definedName>
    <definedName name="tt" localSheetId="29" hidden="1">{#N/A,#N/A,TRUE,"TAXPROV";#N/A,#N/A,TRUE,"FLOWTHRU";#N/A,#N/A,TRUE,"SCHEDULE M'S";#N/A,#N/A,TRUE,"PLANT M'S";#N/A,#N/A,TRUE,"TAXJE"}</definedName>
    <definedName name="tt" localSheetId="47" hidden="1">{#N/A,#N/A,TRUE,"TAXPROV";#N/A,#N/A,TRUE,"FLOWTHRU";#N/A,#N/A,TRUE,"SCHEDULE M'S";#N/A,#N/A,TRUE,"PLANT M'S";#N/A,#N/A,TRUE,"TAXJE"}</definedName>
    <definedName name="tt" hidden="1">{#N/A,#N/A,TRUE,"TAXPROV";#N/A,#N/A,TRUE,"FLOWTHRU";#N/A,#N/A,TRUE,"SCHEDULE M'S";#N/A,#N/A,TRUE,"PLANT M'S";#N/A,#N/A,TRUE,"TAXJE"}</definedName>
    <definedName name="ttrtrfgf" localSheetId="1" hidden="1">{#N/A,#N/A,FALSE,"GLDwnLoad"}</definedName>
    <definedName name="ttrtrfgf" localSheetId="32" hidden="1">{#N/A,#N/A,FALSE,"GLDwnLoad"}</definedName>
    <definedName name="ttrtrfgf" localSheetId="6" hidden="1">{#N/A,#N/A,FALSE,"GLDwnLoad"}</definedName>
    <definedName name="ttrtrfgf" localSheetId="4" hidden="1">{#N/A,#N/A,FALSE,"GLDwnLoad"}</definedName>
    <definedName name="ttrtrfgf" localSheetId="5" hidden="1">{#N/A,#N/A,FALSE,"GLDwnLoad"}</definedName>
    <definedName name="ttrtrfgf" localSheetId="7" hidden="1">{#N/A,#N/A,FALSE,"GLDwnLoad"}</definedName>
    <definedName name="ttrtrfgf" localSheetId="3" hidden="1">{#N/A,#N/A,FALSE,"GLDwnLoad"}</definedName>
    <definedName name="ttrtrfgf" localSheetId="29" hidden="1">{#N/A,#N/A,FALSE,"GLDwnLoad"}</definedName>
    <definedName name="ttrtrfgf" localSheetId="47" hidden="1">{#N/A,#N/A,FALSE,"GLDwnLoad"}</definedName>
    <definedName name="ttrtrfgf" hidden="1">{#N/A,#N/A,FALSE,"GLDwnLoad"}</definedName>
    <definedName name="tttt" localSheetId="1" hidden="1">#REF!</definedName>
    <definedName name="tttt" localSheetId="5" hidden="1">#REF!</definedName>
    <definedName name="tttt" localSheetId="3" hidden="1">#REF!</definedName>
    <definedName name="tttt" localSheetId="29" hidden="1">#REF!</definedName>
    <definedName name="tttt" hidden="1">#REF!</definedName>
    <definedName name="Turnerabc" localSheetId="1" hidden="1">{#N/A,#N/A,TRUE,"1990";#N/A,#N/A,TRUE,"1991";#N/A,#N/A,TRUE,"1992";#N/A,#N/A,TRUE,"1993"}</definedName>
    <definedName name="Turnerabc" localSheetId="32" hidden="1">{#N/A,#N/A,TRUE,"1990";#N/A,#N/A,TRUE,"1991";#N/A,#N/A,TRUE,"1992";#N/A,#N/A,TRUE,"1993"}</definedName>
    <definedName name="Turnerabc" localSheetId="6" hidden="1">{#N/A,#N/A,TRUE,"1990";#N/A,#N/A,TRUE,"1991";#N/A,#N/A,TRUE,"1992";#N/A,#N/A,TRUE,"1993"}</definedName>
    <definedName name="Turnerabc" localSheetId="4" hidden="1">{#N/A,#N/A,TRUE,"1990";#N/A,#N/A,TRUE,"1991";#N/A,#N/A,TRUE,"1992";#N/A,#N/A,TRUE,"1993"}</definedName>
    <definedName name="Turnerabc" localSheetId="5" hidden="1">{#N/A,#N/A,TRUE,"1990";#N/A,#N/A,TRUE,"1991";#N/A,#N/A,TRUE,"1992";#N/A,#N/A,TRUE,"1993"}</definedName>
    <definedName name="Turnerabc" localSheetId="7" hidden="1">{#N/A,#N/A,TRUE,"1990";#N/A,#N/A,TRUE,"1991";#N/A,#N/A,TRUE,"1992";#N/A,#N/A,TRUE,"1993"}</definedName>
    <definedName name="Turnerabc" localSheetId="3" hidden="1">{#N/A,#N/A,TRUE,"1990";#N/A,#N/A,TRUE,"1991";#N/A,#N/A,TRUE,"1992";#N/A,#N/A,TRUE,"1993"}</definedName>
    <definedName name="Turnerabc" localSheetId="47" hidden="1">{#N/A,#N/A,TRUE,"1990";#N/A,#N/A,TRUE,"1991";#N/A,#N/A,TRUE,"1992";#N/A,#N/A,TRUE,"1993"}</definedName>
    <definedName name="Turnerabc" hidden="1">{#N/A,#N/A,TRUE,"1990";#N/A,#N/A,TRUE,"1991";#N/A,#N/A,TRUE,"1992";#N/A,#N/A,TRUE,"1993"}</definedName>
    <definedName name="Turnerabcd" localSheetId="1" hidden="1">{#N/A,#N/A,TRUE,"1990";#N/A,#N/A,TRUE,"1991";#N/A,#N/A,TRUE,"1992";#N/A,#N/A,TRUE,"1993"}</definedName>
    <definedName name="Turnerabcd" localSheetId="32" hidden="1">{#N/A,#N/A,TRUE,"1990";#N/A,#N/A,TRUE,"1991";#N/A,#N/A,TRUE,"1992";#N/A,#N/A,TRUE,"1993"}</definedName>
    <definedName name="Turnerabcd" localSheetId="6" hidden="1">{#N/A,#N/A,TRUE,"1990";#N/A,#N/A,TRUE,"1991";#N/A,#N/A,TRUE,"1992";#N/A,#N/A,TRUE,"1993"}</definedName>
    <definedName name="Turnerabcd" localSheetId="4" hidden="1">{#N/A,#N/A,TRUE,"1990";#N/A,#N/A,TRUE,"1991";#N/A,#N/A,TRUE,"1992";#N/A,#N/A,TRUE,"1993"}</definedName>
    <definedName name="Turnerabcd" localSheetId="5" hidden="1">{#N/A,#N/A,TRUE,"1990";#N/A,#N/A,TRUE,"1991";#N/A,#N/A,TRUE,"1992";#N/A,#N/A,TRUE,"1993"}</definedName>
    <definedName name="Turnerabcd" localSheetId="7" hidden="1">{#N/A,#N/A,TRUE,"1990";#N/A,#N/A,TRUE,"1991";#N/A,#N/A,TRUE,"1992";#N/A,#N/A,TRUE,"1993"}</definedName>
    <definedName name="Turnerabcd" localSheetId="3" hidden="1">{#N/A,#N/A,TRUE,"1990";#N/A,#N/A,TRUE,"1991";#N/A,#N/A,TRUE,"1992";#N/A,#N/A,TRUE,"1993"}</definedName>
    <definedName name="Turnerabcd" localSheetId="47" hidden="1">{#N/A,#N/A,TRUE,"1990";#N/A,#N/A,TRUE,"1991";#N/A,#N/A,TRUE,"1992";#N/A,#N/A,TRUE,"1993"}</definedName>
    <definedName name="Turnerabcd" hidden="1">{#N/A,#N/A,TRUE,"1990";#N/A,#N/A,TRUE,"1991";#N/A,#N/A,TRUE,"1992";#N/A,#N/A,TRUE,"1993"}</definedName>
    <definedName name="Turnerabcde" localSheetId="1" hidden="1">{"summary",#N/A,TRUE,"E93ADJ";"detail",#N/A,TRUE,"E93ADJ"}</definedName>
    <definedName name="Turnerabcde" localSheetId="32" hidden="1">{"summary",#N/A,TRUE,"E93ADJ";"detail",#N/A,TRUE,"E93ADJ"}</definedName>
    <definedName name="Turnerabcde" localSheetId="6" hidden="1">{"summary",#N/A,TRUE,"E93ADJ";"detail",#N/A,TRUE,"E93ADJ"}</definedName>
    <definedName name="Turnerabcde" localSheetId="4" hidden="1">{"summary",#N/A,TRUE,"E93ADJ";"detail",#N/A,TRUE,"E93ADJ"}</definedName>
    <definedName name="Turnerabcde" localSheetId="5" hidden="1">{"summary",#N/A,TRUE,"E93ADJ";"detail",#N/A,TRUE,"E93ADJ"}</definedName>
    <definedName name="Turnerabcde" localSheetId="7" hidden="1">{"summary",#N/A,TRUE,"E93ADJ";"detail",#N/A,TRUE,"E93ADJ"}</definedName>
    <definedName name="Turnerabcde" localSheetId="3" hidden="1">{"summary",#N/A,TRUE,"E93ADJ";"detail",#N/A,TRUE,"E93ADJ"}</definedName>
    <definedName name="Turnerabcde" localSheetId="47" hidden="1">{"summary",#N/A,TRUE,"E93ADJ";"detail",#N/A,TRUE,"E93ADJ"}</definedName>
    <definedName name="Turnerabcde" hidden="1">{"summary",#N/A,TRUE,"E93ADJ";"detail",#N/A,TRUE,"E93ADJ"}</definedName>
    <definedName name="Turnerabcdef" localSheetId="1" hidden="1">{"summary",#N/A,TRUE,"E93ADJ";"detail",#N/A,TRUE,"E93ADJ"}</definedName>
    <definedName name="Turnerabcdef" localSheetId="32" hidden="1">{"summary",#N/A,TRUE,"E93ADJ";"detail",#N/A,TRUE,"E93ADJ"}</definedName>
    <definedName name="Turnerabcdef" localSheetId="6" hidden="1">{"summary",#N/A,TRUE,"E93ADJ";"detail",#N/A,TRUE,"E93ADJ"}</definedName>
    <definedName name="Turnerabcdef" localSheetId="4" hidden="1">{"summary",#N/A,TRUE,"E93ADJ";"detail",#N/A,TRUE,"E93ADJ"}</definedName>
    <definedName name="Turnerabcdef" localSheetId="5" hidden="1">{"summary",#N/A,TRUE,"E93ADJ";"detail",#N/A,TRUE,"E93ADJ"}</definedName>
    <definedName name="Turnerabcdef" localSheetId="7" hidden="1">{"summary",#N/A,TRUE,"E93ADJ";"detail",#N/A,TRUE,"E93ADJ"}</definedName>
    <definedName name="Turnerabcdef" localSheetId="3" hidden="1">{"summary",#N/A,TRUE,"E93ADJ";"detail",#N/A,TRUE,"E93ADJ"}</definedName>
    <definedName name="Turnerabcdef" localSheetId="47" hidden="1">{"summary",#N/A,TRUE,"E93ADJ";"detail",#N/A,TRUE,"E93ADJ"}</definedName>
    <definedName name="Turnerabcdef" hidden="1">{"summary",#N/A,TRUE,"E93ADJ";"detail",#N/A,TRUE,"E93ADJ"}</definedName>
    <definedName name="Turnerbcd" localSheetId="1" hidden="1">{#N/A,#N/A,TRUE,"1990";#N/A,#N/A,TRUE,"1991";#N/A,#N/A,TRUE,"1992";#N/A,#N/A,TRUE,"1993"}</definedName>
    <definedName name="Turnerbcd" localSheetId="32" hidden="1">{#N/A,#N/A,TRUE,"1990";#N/A,#N/A,TRUE,"1991";#N/A,#N/A,TRUE,"1992";#N/A,#N/A,TRUE,"1993"}</definedName>
    <definedName name="Turnerbcd" localSheetId="6" hidden="1">{#N/A,#N/A,TRUE,"1990";#N/A,#N/A,TRUE,"1991";#N/A,#N/A,TRUE,"1992";#N/A,#N/A,TRUE,"1993"}</definedName>
    <definedName name="Turnerbcd" localSheetId="4" hidden="1">{#N/A,#N/A,TRUE,"1990";#N/A,#N/A,TRUE,"1991";#N/A,#N/A,TRUE,"1992";#N/A,#N/A,TRUE,"1993"}</definedName>
    <definedName name="Turnerbcd" localSheetId="5" hidden="1">{#N/A,#N/A,TRUE,"1990";#N/A,#N/A,TRUE,"1991";#N/A,#N/A,TRUE,"1992";#N/A,#N/A,TRUE,"1993"}</definedName>
    <definedName name="Turnerbcd" localSheetId="7" hidden="1">{#N/A,#N/A,TRUE,"1990";#N/A,#N/A,TRUE,"1991";#N/A,#N/A,TRUE,"1992";#N/A,#N/A,TRUE,"1993"}</definedName>
    <definedName name="Turnerbcd" localSheetId="3" hidden="1">{#N/A,#N/A,TRUE,"1990";#N/A,#N/A,TRUE,"1991";#N/A,#N/A,TRUE,"1992";#N/A,#N/A,TRUE,"1993"}</definedName>
    <definedName name="Turnerbcd" localSheetId="47" hidden="1">{#N/A,#N/A,TRUE,"1990";#N/A,#N/A,TRUE,"1991";#N/A,#N/A,TRUE,"1992";#N/A,#N/A,TRUE,"1993"}</definedName>
    <definedName name="Turnerbcd" hidden="1">{#N/A,#N/A,TRUE,"1990";#N/A,#N/A,TRUE,"1991";#N/A,#N/A,TRUE,"1992";#N/A,#N/A,TRUE,"1993"}</definedName>
    <definedName name="Turnerbcde" localSheetId="1" hidden="1">{"summary",#N/A,TRUE,"E93ADJ";"detail",#N/A,TRUE,"E93ADJ"}</definedName>
    <definedName name="Turnerbcde" localSheetId="32" hidden="1">{"summary",#N/A,TRUE,"E93ADJ";"detail",#N/A,TRUE,"E93ADJ"}</definedName>
    <definedName name="Turnerbcde" localSheetId="6" hidden="1">{"summary",#N/A,TRUE,"E93ADJ";"detail",#N/A,TRUE,"E93ADJ"}</definedName>
    <definedName name="Turnerbcde" localSheetId="4" hidden="1">{"summary",#N/A,TRUE,"E93ADJ";"detail",#N/A,TRUE,"E93ADJ"}</definedName>
    <definedName name="Turnerbcde" localSheetId="5" hidden="1">{"summary",#N/A,TRUE,"E93ADJ";"detail",#N/A,TRUE,"E93ADJ"}</definedName>
    <definedName name="Turnerbcde" localSheetId="7" hidden="1">{"summary",#N/A,TRUE,"E93ADJ";"detail",#N/A,TRUE,"E93ADJ"}</definedName>
    <definedName name="Turnerbcde" localSheetId="3" hidden="1">{"summary",#N/A,TRUE,"E93ADJ";"detail",#N/A,TRUE,"E93ADJ"}</definedName>
    <definedName name="Turnerbcde" localSheetId="47" hidden="1">{"summary",#N/A,TRUE,"E93ADJ";"detail",#N/A,TRUE,"E93ADJ"}</definedName>
    <definedName name="Turnerbcde" hidden="1">{"summary",#N/A,TRUE,"E93ADJ";"detail",#N/A,TRUE,"E93ADJ"}</definedName>
    <definedName name="Turnerdud" localSheetId="1" hidden="1">{#N/A,#N/A,TRUE,"1990";#N/A,#N/A,TRUE,"1991";#N/A,#N/A,TRUE,"1992";#N/A,#N/A,TRUE,"1993"}</definedName>
    <definedName name="Turnerdud" localSheetId="32" hidden="1">{#N/A,#N/A,TRUE,"1990";#N/A,#N/A,TRUE,"1991";#N/A,#N/A,TRUE,"1992";#N/A,#N/A,TRUE,"1993"}</definedName>
    <definedName name="Turnerdud" localSheetId="6" hidden="1">{#N/A,#N/A,TRUE,"1990";#N/A,#N/A,TRUE,"1991";#N/A,#N/A,TRUE,"1992";#N/A,#N/A,TRUE,"1993"}</definedName>
    <definedName name="Turnerdud" localSheetId="4" hidden="1">{#N/A,#N/A,TRUE,"1990";#N/A,#N/A,TRUE,"1991";#N/A,#N/A,TRUE,"1992";#N/A,#N/A,TRUE,"1993"}</definedName>
    <definedName name="Turnerdud" localSheetId="5" hidden="1">{#N/A,#N/A,TRUE,"1990";#N/A,#N/A,TRUE,"1991";#N/A,#N/A,TRUE,"1992";#N/A,#N/A,TRUE,"1993"}</definedName>
    <definedName name="Turnerdud" localSheetId="7" hidden="1">{#N/A,#N/A,TRUE,"1990";#N/A,#N/A,TRUE,"1991";#N/A,#N/A,TRUE,"1992";#N/A,#N/A,TRUE,"1993"}</definedName>
    <definedName name="Turnerdud" localSheetId="3" hidden="1">{#N/A,#N/A,TRUE,"1990";#N/A,#N/A,TRUE,"1991";#N/A,#N/A,TRUE,"1992";#N/A,#N/A,TRUE,"1993"}</definedName>
    <definedName name="Turnerdud" localSheetId="47" hidden="1">{#N/A,#N/A,TRUE,"1990";#N/A,#N/A,TRUE,"1991";#N/A,#N/A,TRUE,"1992";#N/A,#N/A,TRUE,"1993"}</definedName>
    <definedName name="Turnerdud" hidden="1">{#N/A,#N/A,TRUE,"1990";#N/A,#N/A,TRUE,"1991";#N/A,#N/A,TRUE,"1992";#N/A,#N/A,TRUE,"1993"}</definedName>
    <definedName name="Turnershit" localSheetId="1" hidden="1">{#N/A,#N/A,TRUE,"1990";#N/A,#N/A,TRUE,"1991";#N/A,#N/A,TRUE,"1992";#N/A,#N/A,TRUE,"1993"}</definedName>
    <definedName name="Turnershit" localSheetId="32" hidden="1">{#N/A,#N/A,TRUE,"1990";#N/A,#N/A,TRUE,"1991";#N/A,#N/A,TRUE,"1992";#N/A,#N/A,TRUE,"1993"}</definedName>
    <definedName name="Turnershit" localSheetId="6" hidden="1">{#N/A,#N/A,TRUE,"1990";#N/A,#N/A,TRUE,"1991";#N/A,#N/A,TRUE,"1992";#N/A,#N/A,TRUE,"1993"}</definedName>
    <definedName name="Turnershit" localSheetId="4" hidden="1">{#N/A,#N/A,TRUE,"1990";#N/A,#N/A,TRUE,"1991";#N/A,#N/A,TRUE,"1992";#N/A,#N/A,TRUE,"1993"}</definedName>
    <definedName name="Turnershit" localSheetId="5" hidden="1">{#N/A,#N/A,TRUE,"1990";#N/A,#N/A,TRUE,"1991";#N/A,#N/A,TRUE,"1992";#N/A,#N/A,TRUE,"1993"}</definedName>
    <definedName name="Turnershit" localSheetId="7" hidden="1">{#N/A,#N/A,TRUE,"1990";#N/A,#N/A,TRUE,"1991";#N/A,#N/A,TRUE,"1992";#N/A,#N/A,TRUE,"1993"}</definedName>
    <definedName name="Turnershit" localSheetId="3" hidden="1">{#N/A,#N/A,TRUE,"1990";#N/A,#N/A,TRUE,"1991";#N/A,#N/A,TRUE,"1992";#N/A,#N/A,TRUE,"1993"}</definedName>
    <definedName name="Turnershit" localSheetId="47" hidden="1">{#N/A,#N/A,TRUE,"1990";#N/A,#N/A,TRUE,"1991";#N/A,#N/A,TRUE,"1992";#N/A,#N/A,TRUE,"1993"}</definedName>
    <definedName name="Turnershit" hidden="1">{#N/A,#N/A,TRUE,"1990";#N/A,#N/A,TRUE,"1991";#N/A,#N/A,TRUE,"1992";#N/A,#N/A,TRUE,"1993"}</definedName>
    <definedName name="Turnershit2" localSheetId="1" hidden="1">{"summary",#N/A,TRUE,"E93ADJ";"detail",#N/A,TRUE,"E93ADJ"}</definedName>
    <definedName name="Turnershit2" localSheetId="32" hidden="1">{"summary",#N/A,TRUE,"E93ADJ";"detail",#N/A,TRUE,"E93ADJ"}</definedName>
    <definedName name="Turnershit2" localSheetId="6" hidden="1">{"summary",#N/A,TRUE,"E93ADJ";"detail",#N/A,TRUE,"E93ADJ"}</definedName>
    <definedName name="Turnershit2" localSheetId="4" hidden="1">{"summary",#N/A,TRUE,"E93ADJ";"detail",#N/A,TRUE,"E93ADJ"}</definedName>
    <definedName name="Turnershit2" localSheetId="5" hidden="1">{"summary",#N/A,TRUE,"E93ADJ";"detail",#N/A,TRUE,"E93ADJ"}</definedName>
    <definedName name="Turnershit2" localSheetId="7" hidden="1">{"summary",#N/A,TRUE,"E93ADJ";"detail",#N/A,TRUE,"E93ADJ"}</definedName>
    <definedName name="Turnershit2" localSheetId="3" hidden="1">{"summary",#N/A,TRUE,"E93ADJ";"detail",#N/A,TRUE,"E93ADJ"}</definedName>
    <definedName name="Turnershit2" localSheetId="47" hidden="1">{"summary",#N/A,TRUE,"E93ADJ";"detail",#N/A,TRUE,"E93ADJ"}</definedName>
    <definedName name="Turnershit2" hidden="1">{"summary",#N/A,TRUE,"E93ADJ";"detail",#N/A,TRUE,"E93ADJ"}</definedName>
    <definedName name="TurnerTEFRA" localSheetId="1" hidden="1">{"summary",#N/A,TRUE,"E93ADJ";"detail",#N/A,TRUE,"E93ADJ"}</definedName>
    <definedName name="TurnerTEFRA" localSheetId="32" hidden="1">{"summary",#N/A,TRUE,"E93ADJ";"detail",#N/A,TRUE,"E93ADJ"}</definedName>
    <definedName name="TurnerTEFRA" localSheetId="6" hidden="1">{"summary",#N/A,TRUE,"E93ADJ";"detail",#N/A,TRUE,"E93ADJ"}</definedName>
    <definedName name="TurnerTEFRA" localSheetId="4" hidden="1">{"summary",#N/A,TRUE,"E93ADJ";"detail",#N/A,TRUE,"E93ADJ"}</definedName>
    <definedName name="TurnerTEFRA" localSheetId="5" hidden="1">{"summary",#N/A,TRUE,"E93ADJ";"detail",#N/A,TRUE,"E93ADJ"}</definedName>
    <definedName name="TurnerTEFRA" localSheetId="7" hidden="1">{"summary",#N/A,TRUE,"E93ADJ";"detail",#N/A,TRUE,"E93ADJ"}</definedName>
    <definedName name="TurnerTEFRA" localSheetId="3" hidden="1">{"summary",#N/A,TRUE,"E93ADJ";"detail",#N/A,TRUE,"E93ADJ"}</definedName>
    <definedName name="TurnerTEFRA" localSheetId="47" hidden="1">{"summary",#N/A,TRUE,"E93ADJ";"detail",#N/A,TRUE,"E93ADJ"}</definedName>
    <definedName name="TurnerTEFRA" hidden="1">{"summary",#N/A,TRUE,"E93ADJ";"detail",#N/A,TRUE,"E93ADJ"}</definedName>
    <definedName name="Turnerwrn.ALL" localSheetId="1" hidden="1">{#N/A,#N/A,TRUE,"1990";#N/A,#N/A,TRUE,"1991";#N/A,#N/A,TRUE,"1992";#N/A,#N/A,TRUE,"1993"}</definedName>
    <definedName name="Turnerwrn.ALL" localSheetId="32" hidden="1">{#N/A,#N/A,TRUE,"1990";#N/A,#N/A,TRUE,"1991";#N/A,#N/A,TRUE,"1992";#N/A,#N/A,TRUE,"1993"}</definedName>
    <definedName name="Turnerwrn.ALL" localSheetId="6" hidden="1">{#N/A,#N/A,TRUE,"1990";#N/A,#N/A,TRUE,"1991";#N/A,#N/A,TRUE,"1992";#N/A,#N/A,TRUE,"1993"}</definedName>
    <definedName name="Turnerwrn.ALL" localSheetId="4" hidden="1">{#N/A,#N/A,TRUE,"1990";#N/A,#N/A,TRUE,"1991";#N/A,#N/A,TRUE,"1992";#N/A,#N/A,TRUE,"1993"}</definedName>
    <definedName name="Turnerwrn.ALL" localSheetId="5" hidden="1">{#N/A,#N/A,TRUE,"1990";#N/A,#N/A,TRUE,"1991";#N/A,#N/A,TRUE,"1992";#N/A,#N/A,TRUE,"1993"}</definedName>
    <definedName name="Turnerwrn.ALL" localSheetId="7" hidden="1">{#N/A,#N/A,TRUE,"1990";#N/A,#N/A,TRUE,"1991";#N/A,#N/A,TRUE,"1992";#N/A,#N/A,TRUE,"1993"}</definedName>
    <definedName name="Turnerwrn.ALL" localSheetId="3" hidden="1">{#N/A,#N/A,TRUE,"1990";#N/A,#N/A,TRUE,"1991";#N/A,#N/A,TRUE,"1992";#N/A,#N/A,TRUE,"1993"}</definedName>
    <definedName name="Turnerwrn.ALL" localSheetId="47" hidden="1">{#N/A,#N/A,TRUE,"1990";#N/A,#N/A,TRUE,"1991";#N/A,#N/A,TRUE,"1992";#N/A,#N/A,TRUE,"1993"}</definedName>
    <definedName name="Turnerwrn.ALL" hidden="1">{#N/A,#N/A,TRUE,"1990";#N/A,#N/A,TRUE,"1991";#N/A,#N/A,TRUE,"1992";#N/A,#N/A,TRUE,"1993"}</definedName>
    <definedName name="Turnerwrn.PRINT_ALL" localSheetId="1" hidden="1">{"summary",#N/A,TRUE,"E93ADJ";"detail",#N/A,TRUE,"E93ADJ"}</definedName>
    <definedName name="Turnerwrn.PRINT_ALL" localSheetId="32" hidden="1">{"summary",#N/A,TRUE,"E93ADJ";"detail",#N/A,TRUE,"E93ADJ"}</definedName>
    <definedName name="Turnerwrn.PRINT_ALL" localSheetId="6" hidden="1">{"summary",#N/A,TRUE,"E93ADJ";"detail",#N/A,TRUE,"E93ADJ"}</definedName>
    <definedName name="Turnerwrn.PRINT_ALL" localSheetId="4" hidden="1">{"summary",#N/A,TRUE,"E93ADJ";"detail",#N/A,TRUE,"E93ADJ"}</definedName>
    <definedName name="Turnerwrn.PRINT_ALL" localSheetId="5" hidden="1">{"summary",#N/A,TRUE,"E93ADJ";"detail",#N/A,TRUE,"E93ADJ"}</definedName>
    <definedName name="Turnerwrn.PRINT_ALL" localSheetId="7" hidden="1">{"summary",#N/A,TRUE,"E93ADJ";"detail",#N/A,TRUE,"E93ADJ"}</definedName>
    <definedName name="Turnerwrn.PRINT_ALL" localSheetId="3" hidden="1">{"summary",#N/A,TRUE,"E93ADJ";"detail",#N/A,TRUE,"E93ADJ"}</definedName>
    <definedName name="Turnerwrn.PRINT_ALL" localSheetId="47" hidden="1">{"summary",#N/A,TRUE,"E93ADJ";"detail",#N/A,TRUE,"E93ADJ"}</definedName>
    <definedName name="Turnerwrn.PRINT_ALL" hidden="1">{"summary",#N/A,TRUE,"E93ADJ";"detail",#N/A,TRUE,"E93ADJ"}</definedName>
    <definedName name="tw" localSheetId="1" hidden="1">#REF!</definedName>
    <definedName name="tw" localSheetId="5" hidden="1">#REF!</definedName>
    <definedName name="tw" localSheetId="3" hidden="1">#REF!</definedName>
    <definedName name="tw" localSheetId="29" hidden="1">#REF!</definedName>
    <definedName name="tw" hidden="1">#REF!</definedName>
    <definedName name="typbills01" localSheetId="3">#REF!</definedName>
    <definedName name="typbills01">#REF!</definedName>
    <definedName name="U" localSheetId="1" hidden="1">#REF!</definedName>
    <definedName name="U" localSheetId="6" hidden="1">#REF!</definedName>
    <definedName name="U" localSheetId="5" hidden="1">#REF!</definedName>
    <definedName name="U" localSheetId="7" hidden="1">#REF!</definedName>
    <definedName name="U" localSheetId="29" hidden="1">#REF!</definedName>
    <definedName name="U" hidden="1">#REF!</definedName>
    <definedName name="U_A">OFFSET(#REF!,0,0,#REF!-3,1)</definedName>
    <definedName name="U_Aa">OFFSET(#REF!,0,0,#REF!-3,1)</definedName>
    <definedName name="U_Avg">OFFSET(#REF!,0,0,#REF!-3,1)</definedName>
    <definedName name="U_Baa">OFFSET(#REF!,0,0,#REF!-3,1)</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3R100C7" hidden="1">#REF!</definedName>
    <definedName name="UNIFORMANCES13R101C7" hidden="1">#REF!</definedName>
    <definedName name="UNIFORMANCES13R102C7" hidden="1">#REF!</definedName>
    <definedName name="UNIFORMANCES13R103C7" hidden="1">#REF!</definedName>
    <definedName name="UNIFORMANCES13R104C7" hidden="1">#REF!</definedName>
    <definedName name="UNIFORMANCES13R105C7" hidden="1">#REF!</definedName>
    <definedName name="UNIFORMANCES13R106C7" hidden="1">#REF!</definedName>
    <definedName name="UNIFORMANCES13R107C7" hidden="1">#REF!</definedName>
    <definedName name="UNIFORMANCES13R108C7" hidden="1">#REF!</definedName>
    <definedName name="UNIFORMANCES13R109C7" hidden="1">#REF!</definedName>
    <definedName name="UNIFORMANCES13R10C7" hidden="1">#REF!</definedName>
    <definedName name="UNIFORMANCES13R110C7" hidden="1">#REF!</definedName>
    <definedName name="UNIFORMANCES13R111C7" hidden="1">#REF!</definedName>
    <definedName name="UNIFORMANCES13R112C7" hidden="1">#REF!</definedName>
    <definedName name="UNIFORMANCES13R113C7" hidden="1">#REF!</definedName>
    <definedName name="UNIFORMANCES13R114C7" hidden="1">#REF!</definedName>
    <definedName name="UNIFORMANCES13R115C7" hidden="1">#REF!</definedName>
    <definedName name="UNIFORMANCES13R116C7" hidden="1">#REF!</definedName>
    <definedName name="UNIFORMANCES13R117C7" hidden="1">#REF!</definedName>
    <definedName name="UNIFORMANCES13R118C7" hidden="1">#REF!</definedName>
    <definedName name="UNIFORMANCES13R119C7" hidden="1">#REF!</definedName>
    <definedName name="UNIFORMANCES13R11C7" hidden="1">#REF!</definedName>
    <definedName name="UNIFORMANCES13R120C7" hidden="1">#REF!</definedName>
    <definedName name="UNIFORMANCES13R121C7" hidden="1">#REF!</definedName>
    <definedName name="UNIFORMANCES13R122C7" hidden="1">#REF!</definedName>
    <definedName name="UNIFORMANCES13R123C7" hidden="1">#REF!</definedName>
    <definedName name="UNIFORMANCES13R124C7" hidden="1">#REF!</definedName>
    <definedName name="UNIFORMANCES13R125C7" hidden="1">#REF!</definedName>
    <definedName name="UNIFORMANCES13R126C7" hidden="1">#REF!</definedName>
    <definedName name="UNIFORMANCES13R127C7" hidden="1">#REF!</definedName>
    <definedName name="UNIFORMANCES13R128C7" hidden="1">#REF!</definedName>
    <definedName name="UNIFORMANCES13R129C7" hidden="1">#REF!</definedName>
    <definedName name="UNIFORMANCES13R12C7" hidden="1">#REF!</definedName>
    <definedName name="UNIFORMANCES13R130C7" hidden="1">#REF!</definedName>
    <definedName name="UNIFORMANCES13R132C7" hidden="1">#REF!</definedName>
    <definedName name="UNIFORMANCES13R133C7" hidden="1">#REF!</definedName>
    <definedName name="UNIFORMANCES13R134C7" hidden="1">#REF!</definedName>
    <definedName name="UNIFORMANCES13R135C7" hidden="1">#REF!</definedName>
    <definedName name="UNIFORMANCES13R136C7" hidden="1">#REF!</definedName>
    <definedName name="UNIFORMANCES13R137C7" hidden="1">#REF!</definedName>
    <definedName name="UNIFORMANCES13R138C7" hidden="1">#REF!</definedName>
    <definedName name="UNIFORMANCES13R139C7" hidden="1">#REF!</definedName>
    <definedName name="UNIFORMANCES13R13C7" hidden="1">#REF!</definedName>
    <definedName name="UNIFORMANCES13R140C7" hidden="1">#REF!</definedName>
    <definedName name="UNIFORMANCES13R141C7" hidden="1">#REF!</definedName>
    <definedName name="UNIFORMANCES13R142C7" hidden="1">#REF!</definedName>
    <definedName name="UNIFORMANCES13R143C7" hidden="1">#REF!</definedName>
    <definedName name="UNIFORMANCES13R144C7" hidden="1">#REF!</definedName>
    <definedName name="UNIFORMANCES13R145C7" hidden="1">#REF!</definedName>
    <definedName name="UNIFORMANCES13R146C7" hidden="1">#REF!</definedName>
    <definedName name="UNIFORMANCES13R147C7" hidden="1">#REF!</definedName>
    <definedName name="UNIFORMANCES13R148C7" hidden="1">#REF!</definedName>
    <definedName name="UNIFORMANCES13R14C7" hidden="1">#REF!</definedName>
    <definedName name="UNIFORMANCES13R15C7" hidden="1">#REF!</definedName>
    <definedName name="UNIFORMANCES13R16C7" hidden="1">#REF!</definedName>
    <definedName name="UNIFORMANCES13R17C7" hidden="1">#REF!</definedName>
    <definedName name="UNIFORMANCES13R18C7" hidden="1">#REF!</definedName>
    <definedName name="UNIFORMANCES13R19C7" hidden="1">#REF!</definedName>
    <definedName name="UNIFORMANCES13R20C7" hidden="1">#REF!</definedName>
    <definedName name="UNIFORMANCES13R21C7" hidden="1">#REF!</definedName>
    <definedName name="UNIFORMANCES13R22C7" hidden="1">#REF!</definedName>
    <definedName name="UNIFORMANCES13R23C7" hidden="1">#REF!</definedName>
    <definedName name="UNIFORMANCES13R24C7" hidden="1">#REF!</definedName>
    <definedName name="UNIFORMANCES13R25C7" hidden="1">#REF!</definedName>
    <definedName name="UNIFORMANCES13R26C7" hidden="1">#REF!</definedName>
    <definedName name="UNIFORMANCES13R27C7" hidden="1">#REF!</definedName>
    <definedName name="UNIFORMANCES13R28C7" hidden="1">#REF!</definedName>
    <definedName name="UNIFORMANCES13R29C7" hidden="1">#REF!</definedName>
    <definedName name="UNIFORMANCES13R30C7" hidden="1">#REF!</definedName>
    <definedName name="UNIFORMANCES13R31C7" hidden="1">#REF!</definedName>
    <definedName name="UNIFORMANCES13R32C7" hidden="1">#REF!</definedName>
    <definedName name="UNIFORMANCES13R33C7" hidden="1">#REF!</definedName>
    <definedName name="UNIFORMANCES13R34C7" hidden="1">#REF!</definedName>
    <definedName name="UNIFORMANCES13R35C7" hidden="1">#REF!</definedName>
    <definedName name="UNIFORMANCES13R36C7" hidden="1">#REF!</definedName>
    <definedName name="UNIFORMANCES13R37C7" hidden="1">#REF!</definedName>
    <definedName name="UNIFORMANCES13R38C7" hidden="1">#REF!</definedName>
    <definedName name="UNIFORMANCES13R39C7" hidden="1">#REF!</definedName>
    <definedName name="UNIFORMANCES13R40C7" hidden="1">#REF!</definedName>
    <definedName name="UNIFORMANCES13R41C7" hidden="1">#REF!</definedName>
    <definedName name="UNIFORMANCES13R42C7" hidden="1">#REF!</definedName>
    <definedName name="UNIFORMANCES13R43C7" hidden="1">#REF!</definedName>
    <definedName name="UNIFORMANCES13R45C7" hidden="1">#REF!</definedName>
    <definedName name="UNIFORMANCES13R46C7" hidden="1">#REF!</definedName>
    <definedName name="UNIFORMANCES13R47C7" hidden="1">#REF!</definedName>
    <definedName name="UNIFORMANCES13R48C7" hidden="1">#REF!</definedName>
    <definedName name="UNIFORMANCES13R49C7" hidden="1">#REF!</definedName>
    <definedName name="UNIFORMANCES13R4C7" hidden="1">#REF!</definedName>
    <definedName name="UNIFORMANCES13R50C7" hidden="1">#REF!</definedName>
    <definedName name="UNIFORMANCES13R51C7" hidden="1">#REF!</definedName>
    <definedName name="UNIFORMANCES13R52C7" hidden="1">#REF!</definedName>
    <definedName name="UNIFORMANCES13R53C7" hidden="1">#REF!</definedName>
    <definedName name="UNIFORMANCES13R54C7" hidden="1">#REF!</definedName>
    <definedName name="UNIFORMANCES13R55C7" hidden="1">#REF!</definedName>
    <definedName name="UNIFORMANCES13R56C7" hidden="1">#REF!</definedName>
    <definedName name="UNIFORMANCES13R57C7" hidden="1">#REF!</definedName>
    <definedName name="UNIFORMANCES13R58C7" hidden="1">#REF!</definedName>
    <definedName name="UNIFORMANCES13R59C7" hidden="1">#REF!</definedName>
    <definedName name="UNIFORMANCES13R5C7" hidden="1">#REF!</definedName>
    <definedName name="UNIFORMANCES13R60C7" hidden="1">#REF!</definedName>
    <definedName name="UNIFORMANCES13R61C7" hidden="1">#REF!</definedName>
    <definedName name="UNIFORMANCES13R62C7" hidden="1">#REF!</definedName>
    <definedName name="UNIFORMANCES13R63C7" hidden="1">#REF!</definedName>
    <definedName name="UNIFORMANCES13R64C7" hidden="1">#REF!</definedName>
    <definedName name="UNIFORMANCES13R65C7" hidden="1">#REF!</definedName>
    <definedName name="UNIFORMANCES13R66C7" hidden="1">#REF!</definedName>
    <definedName name="UNIFORMANCES13R67C7" hidden="1">#REF!</definedName>
    <definedName name="UNIFORMANCES13R68C7" hidden="1">#REF!</definedName>
    <definedName name="UNIFORMANCES13R69C7" hidden="1">#REF!</definedName>
    <definedName name="UNIFORMANCES13R6C7" hidden="1">#REF!</definedName>
    <definedName name="UNIFORMANCES13R70C7" hidden="1">#REF!</definedName>
    <definedName name="UNIFORMANCES13R71C7" hidden="1">#REF!</definedName>
    <definedName name="UNIFORMANCES13R72C7" hidden="1">#REF!</definedName>
    <definedName name="UNIFORMANCES13R73C7" hidden="1">#REF!</definedName>
    <definedName name="UNIFORMANCES13R74C7" hidden="1">#REF!</definedName>
    <definedName name="UNIFORMANCES13R75C7" hidden="1">#REF!</definedName>
    <definedName name="UNIFORMANCES13R76C7" hidden="1">#REF!</definedName>
    <definedName name="UNIFORMANCES13R77C7" hidden="1">#REF!</definedName>
    <definedName name="UNIFORMANCES13R78C7" hidden="1">#REF!</definedName>
    <definedName name="UNIFORMANCES13R79C7" hidden="1">#REF!</definedName>
    <definedName name="UNIFORMANCES13R7C7" hidden="1">#REF!</definedName>
    <definedName name="UNIFORMANCES13R80C7" hidden="1">#REF!</definedName>
    <definedName name="UNIFORMANCES13R81C7" hidden="1">#REF!</definedName>
    <definedName name="UNIFORMANCES13R82C7" hidden="1">#REF!</definedName>
    <definedName name="UNIFORMANCES13R83C7" hidden="1">#REF!</definedName>
    <definedName name="UNIFORMANCES13R84C7" hidden="1">#REF!</definedName>
    <definedName name="UNIFORMANCES13R85C7" hidden="1">#REF!</definedName>
    <definedName name="UNIFORMANCES13R86C7" hidden="1">#REF!</definedName>
    <definedName name="UNIFORMANCES13R87C7" hidden="1">#REF!</definedName>
    <definedName name="UNIFORMANCES13R88C7" hidden="1">#REF!</definedName>
    <definedName name="UNIFORMANCES13R89C7" hidden="1">#REF!</definedName>
    <definedName name="UNIFORMANCES13R8C7" hidden="1">#REF!</definedName>
    <definedName name="UNIFORMANCES13R91C7" hidden="1">#REF!</definedName>
    <definedName name="UNIFORMANCES13R92C7" hidden="1">#REF!</definedName>
    <definedName name="UNIFORMANCES13R93C7" hidden="1">#REF!</definedName>
    <definedName name="UNIFORMANCES13R94C7" hidden="1">#REF!</definedName>
    <definedName name="UNIFORMANCES13R95C7" hidden="1">#REF!</definedName>
    <definedName name="UNIFORMANCES13R98C7" hidden="1">#REF!</definedName>
    <definedName name="UNIFORMANCES13R99C7" hidden="1">#REF!</definedName>
    <definedName name="UNIFORMANCES13R9C7" hidden="1">#REF!</definedName>
    <definedName name="UNITARY" localSheetId="3">#REF!</definedName>
    <definedName name="UNITARY">#REF!</definedName>
    <definedName name="USGAAP" localSheetId="3">#REF!</definedName>
    <definedName name="USGAAP">#REF!</definedName>
    <definedName name="Utility">#REF!</definedName>
    <definedName name="UTILITY1">#REF!</definedName>
    <definedName name="UTILITY2">#REF!</definedName>
    <definedName name="UTILITY3">#REF!</definedName>
    <definedName name="UTILITY5">#REF!</definedName>
    <definedName name="UTILITY6">#REF!</definedName>
    <definedName name="UTILITY8">#REF!</definedName>
    <definedName name="uu" localSheetId="1" hidden="1">{#N/A,#N/A,FALSE,"SCA";#N/A,#N/A,FALSE,"NCA";#N/A,#N/A,FALSE,"SAZ";#N/A,#N/A,FALSE,"CAZ";#N/A,#N/A,FALSE,"SNV";#N/A,#N/A,FALSE,"NNV";#N/A,#N/A,FALSE,"PP";#N/A,#N/A,FALSE,"SA"}</definedName>
    <definedName name="uu" localSheetId="32" hidden="1">{#N/A,#N/A,FALSE,"SCA";#N/A,#N/A,FALSE,"NCA";#N/A,#N/A,FALSE,"SAZ";#N/A,#N/A,FALSE,"CAZ";#N/A,#N/A,FALSE,"SNV";#N/A,#N/A,FALSE,"NNV";#N/A,#N/A,FALSE,"PP";#N/A,#N/A,FALSE,"SA"}</definedName>
    <definedName name="uu" localSheetId="6" hidden="1">{#N/A,#N/A,FALSE,"SCA";#N/A,#N/A,FALSE,"NCA";#N/A,#N/A,FALSE,"SAZ";#N/A,#N/A,FALSE,"CAZ";#N/A,#N/A,FALSE,"SNV";#N/A,#N/A,FALSE,"NNV";#N/A,#N/A,FALSE,"PP";#N/A,#N/A,FALSE,"SA"}</definedName>
    <definedName name="uu" localSheetId="4" hidden="1">{#N/A,#N/A,FALSE,"SCA";#N/A,#N/A,FALSE,"NCA";#N/A,#N/A,FALSE,"SAZ";#N/A,#N/A,FALSE,"CAZ";#N/A,#N/A,FALSE,"SNV";#N/A,#N/A,FALSE,"NNV";#N/A,#N/A,FALSE,"PP";#N/A,#N/A,FALSE,"SA"}</definedName>
    <definedName name="uu" localSheetId="5" hidden="1">{#N/A,#N/A,FALSE,"SCA";#N/A,#N/A,FALSE,"NCA";#N/A,#N/A,FALSE,"SAZ";#N/A,#N/A,FALSE,"CAZ";#N/A,#N/A,FALSE,"SNV";#N/A,#N/A,FALSE,"NNV";#N/A,#N/A,FALSE,"PP";#N/A,#N/A,FALSE,"SA"}</definedName>
    <definedName name="uu" localSheetId="7" hidden="1">{#N/A,#N/A,FALSE,"SCA";#N/A,#N/A,FALSE,"NCA";#N/A,#N/A,FALSE,"SAZ";#N/A,#N/A,FALSE,"CAZ";#N/A,#N/A,FALSE,"SNV";#N/A,#N/A,FALSE,"NNV";#N/A,#N/A,FALSE,"PP";#N/A,#N/A,FALSE,"SA"}</definedName>
    <definedName name="uu" localSheetId="3" hidden="1">{#N/A,#N/A,FALSE,"SCA";#N/A,#N/A,FALSE,"NCA";#N/A,#N/A,FALSE,"SAZ";#N/A,#N/A,FALSE,"CAZ";#N/A,#N/A,FALSE,"SNV";#N/A,#N/A,FALSE,"NNV";#N/A,#N/A,FALSE,"PP";#N/A,#N/A,FALSE,"SA"}</definedName>
    <definedName name="uu" localSheetId="29" hidden="1">{#N/A,#N/A,FALSE,"SCA";#N/A,#N/A,FALSE,"NCA";#N/A,#N/A,FALSE,"SAZ";#N/A,#N/A,FALSE,"CAZ";#N/A,#N/A,FALSE,"SNV";#N/A,#N/A,FALSE,"NNV";#N/A,#N/A,FALSE,"PP";#N/A,#N/A,FALSE,"SA"}</definedName>
    <definedName name="uu" localSheetId="47" hidden="1">{#N/A,#N/A,FALSE,"SCA";#N/A,#N/A,FALSE,"NCA";#N/A,#N/A,FALSE,"SAZ";#N/A,#N/A,FALSE,"CAZ";#N/A,#N/A,FALSE,"SNV";#N/A,#N/A,FALSE,"NNV";#N/A,#N/A,FALSE,"PP";#N/A,#N/A,FALSE,"SA"}</definedName>
    <definedName name="uu" hidden="1">{#N/A,#N/A,FALSE,"SCA";#N/A,#N/A,FALSE,"NCA";#N/A,#N/A,FALSE,"SAZ";#N/A,#N/A,FALSE,"CAZ";#N/A,#N/A,FALSE,"SNV";#N/A,#N/A,FALSE,"NNV";#N/A,#N/A,FALSE,"PP";#N/A,#N/A,FALSE,"SA"}</definedName>
    <definedName name="uuu"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u" localSheetId="1" hidden="1">{#N/A,#N/A,FALSE,"SCA";#N/A,#N/A,FALSE,"NCA";#N/A,#N/A,FALSE,"SAZ";#N/A,#N/A,FALSE,"CAZ";#N/A,#N/A,FALSE,"SNV";#N/A,#N/A,FALSE,"NNV";#N/A,#N/A,FALSE,"PP";#N/A,#N/A,FALSE,"SA"}</definedName>
    <definedName name="uuuu" localSheetId="32" hidden="1">{#N/A,#N/A,FALSE,"SCA";#N/A,#N/A,FALSE,"NCA";#N/A,#N/A,FALSE,"SAZ";#N/A,#N/A,FALSE,"CAZ";#N/A,#N/A,FALSE,"SNV";#N/A,#N/A,FALSE,"NNV";#N/A,#N/A,FALSE,"PP";#N/A,#N/A,FALSE,"SA"}</definedName>
    <definedName name="uuuu" localSheetId="6" hidden="1">{#N/A,#N/A,FALSE,"SCA";#N/A,#N/A,FALSE,"NCA";#N/A,#N/A,FALSE,"SAZ";#N/A,#N/A,FALSE,"CAZ";#N/A,#N/A,FALSE,"SNV";#N/A,#N/A,FALSE,"NNV";#N/A,#N/A,FALSE,"PP";#N/A,#N/A,FALSE,"SA"}</definedName>
    <definedName name="uuuu" localSheetId="4" hidden="1">{#N/A,#N/A,FALSE,"SCA";#N/A,#N/A,FALSE,"NCA";#N/A,#N/A,FALSE,"SAZ";#N/A,#N/A,FALSE,"CAZ";#N/A,#N/A,FALSE,"SNV";#N/A,#N/A,FALSE,"NNV";#N/A,#N/A,FALSE,"PP";#N/A,#N/A,FALSE,"SA"}</definedName>
    <definedName name="uuuu" localSheetId="5" hidden="1">{#N/A,#N/A,FALSE,"SCA";#N/A,#N/A,FALSE,"NCA";#N/A,#N/A,FALSE,"SAZ";#N/A,#N/A,FALSE,"CAZ";#N/A,#N/A,FALSE,"SNV";#N/A,#N/A,FALSE,"NNV";#N/A,#N/A,FALSE,"PP";#N/A,#N/A,FALSE,"SA"}</definedName>
    <definedName name="uuuu" localSheetId="7" hidden="1">{#N/A,#N/A,FALSE,"SCA";#N/A,#N/A,FALSE,"NCA";#N/A,#N/A,FALSE,"SAZ";#N/A,#N/A,FALSE,"CAZ";#N/A,#N/A,FALSE,"SNV";#N/A,#N/A,FALSE,"NNV";#N/A,#N/A,FALSE,"PP";#N/A,#N/A,FALSE,"SA"}</definedName>
    <definedName name="uuuu" localSheetId="3" hidden="1">{#N/A,#N/A,FALSE,"SCA";#N/A,#N/A,FALSE,"NCA";#N/A,#N/A,FALSE,"SAZ";#N/A,#N/A,FALSE,"CAZ";#N/A,#N/A,FALSE,"SNV";#N/A,#N/A,FALSE,"NNV";#N/A,#N/A,FALSE,"PP";#N/A,#N/A,FALSE,"SA"}</definedName>
    <definedName name="uuuu" localSheetId="29" hidden="1">{#N/A,#N/A,FALSE,"SCA";#N/A,#N/A,FALSE,"NCA";#N/A,#N/A,FALSE,"SAZ";#N/A,#N/A,FALSE,"CAZ";#N/A,#N/A,FALSE,"SNV";#N/A,#N/A,FALSE,"NNV";#N/A,#N/A,FALSE,"PP";#N/A,#N/A,FALSE,"SA"}</definedName>
    <definedName name="uuuu" localSheetId="47" hidden="1">{#N/A,#N/A,FALSE,"SCA";#N/A,#N/A,FALSE,"NCA";#N/A,#N/A,FALSE,"SAZ";#N/A,#N/A,FALSE,"CAZ";#N/A,#N/A,FALSE,"SNV";#N/A,#N/A,FALSE,"NNV";#N/A,#N/A,FALSE,"PP";#N/A,#N/A,FALSE,"SA"}</definedName>
    <definedName name="uuuu" hidden="1">{#N/A,#N/A,FALSE,"SCA";#N/A,#N/A,FALSE,"NCA";#N/A,#N/A,FALSE,"SAZ";#N/A,#N/A,FALSE,"CAZ";#N/A,#N/A,FALSE,"SNV";#N/A,#N/A,FALSE,"NNV";#N/A,#N/A,FALSE,"PP";#N/A,#N/A,FALSE,"SA"}</definedName>
    <definedName name="uuuuu" localSheetId="1" hidden="1">{#N/A,#N/A,FALSE,"Page 1";#N/A,#N/A,FALSE,"Page 2";#N/A,#N/A,FALSE,"Page 3";#N/A,#N/A,FALSE,"Page 4";#N/A,#N/A,FALSE,"Page 5";#N/A,#N/A,FALSE,"Page 6";#N/A,#N/A,FALSE,"Page 7";#N/A,#N/A,FALSE,"Page 8";#N/A,#N/A,FALSE,"Page 9";#N/A,#N/A,FALSE,"PG8WP";#N/A,#N/A,FALSE,"PG9WP"}</definedName>
    <definedName name="uuuuu" localSheetId="32" hidden="1">{#N/A,#N/A,FALSE,"Page 1";#N/A,#N/A,FALSE,"Page 2";#N/A,#N/A,FALSE,"Page 3";#N/A,#N/A,FALSE,"Page 4";#N/A,#N/A,FALSE,"Page 5";#N/A,#N/A,FALSE,"Page 6";#N/A,#N/A,FALSE,"Page 7";#N/A,#N/A,FALSE,"Page 8";#N/A,#N/A,FALSE,"Page 9";#N/A,#N/A,FALSE,"PG8WP";#N/A,#N/A,FALSE,"PG9WP"}</definedName>
    <definedName name="uuuuu" localSheetId="6" hidden="1">{#N/A,#N/A,FALSE,"Page 1";#N/A,#N/A,FALSE,"Page 2";#N/A,#N/A,FALSE,"Page 3";#N/A,#N/A,FALSE,"Page 4";#N/A,#N/A,FALSE,"Page 5";#N/A,#N/A,FALSE,"Page 6";#N/A,#N/A,FALSE,"Page 7";#N/A,#N/A,FALSE,"Page 8";#N/A,#N/A,FALSE,"Page 9";#N/A,#N/A,FALSE,"PG8WP";#N/A,#N/A,FALSE,"PG9WP"}</definedName>
    <definedName name="uuuuu" localSheetId="4" hidden="1">{#N/A,#N/A,FALSE,"Page 1";#N/A,#N/A,FALSE,"Page 2";#N/A,#N/A,FALSE,"Page 3";#N/A,#N/A,FALSE,"Page 4";#N/A,#N/A,FALSE,"Page 5";#N/A,#N/A,FALSE,"Page 6";#N/A,#N/A,FALSE,"Page 7";#N/A,#N/A,FALSE,"Page 8";#N/A,#N/A,FALSE,"Page 9";#N/A,#N/A,FALSE,"PG8WP";#N/A,#N/A,FALSE,"PG9WP"}</definedName>
    <definedName name="uuuuu" localSheetId="5" hidden="1">{#N/A,#N/A,FALSE,"Page 1";#N/A,#N/A,FALSE,"Page 2";#N/A,#N/A,FALSE,"Page 3";#N/A,#N/A,FALSE,"Page 4";#N/A,#N/A,FALSE,"Page 5";#N/A,#N/A,FALSE,"Page 6";#N/A,#N/A,FALSE,"Page 7";#N/A,#N/A,FALSE,"Page 8";#N/A,#N/A,FALSE,"Page 9";#N/A,#N/A,FALSE,"PG8WP";#N/A,#N/A,FALSE,"PG9WP"}</definedName>
    <definedName name="uuuuu" localSheetId="7" hidden="1">{#N/A,#N/A,FALSE,"Page 1";#N/A,#N/A,FALSE,"Page 2";#N/A,#N/A,FALSE,"Page 3";#N/A,#N/A,FALSE,"Page 4";#N/A,#N/A,FALSE,"Page 5";#N/A,#N/A,FALSE,"Page 6";#N/A,#N/A,FALSE,"Page 7";#N/A,#N/A,FALSE,"Page 8";#N/A,#N/A,FALSE,"Page 9";#N/A,#N/A,FALSE,"PG8WP";#N/A,#N/A,FALSE,"PG9WP"}</definedName>
    <definedName name="uuuuu" localSheetId="3" hidden="1">{#N/A,#N/A,FALSE,"Page 1";#N/A,#N/A,FALSE,"Page 2";#N/A,#N/A,FALSE,"Page 3";#N/A,#N/A,FALSE,"Page 4";#N/A,#N/A,FALSE,"Page 5";#N/A,#N/A,FALSE,"Page 6";#N/A,#N/A,FALSE,"Page 7";#N/A,#N/A,FALSE,"Page 8";#N/A,#N/A,FALSE,"Page 9";#N/A,#N/A,FALSE,"PG8WP";#N/A,#N/A,FALSE,"PG9WP"}</definedName>
    <definedName name="uuuuu" localSheetId="29" hidden="1">{#N/A,#N/A,FALSE,"Page 1";#N/A,#N/A,FALSE,"Page 2";#N/A,#N/A,FALSE,"Page 3";#N/A,#N/A,FALSE,"Page 4";#N/A,#N/A,FALSE,"Page 5";#N/A,#N/A,FALSE,"Page 6";#N/A,#N/A,FALSE,"Page 7";#N/A,#N/A,FALSE,"Page 8";#N/A,#N/A,FALSE,"Page 9";#N/A,#N/A,FALSE,"PG8WP";#N/A,#N/A,FALSE,"PG9WP"}</definedName>
    <definedName name="uuuuu" localSheetId="47" hidden="1">{#N/A,#N/A,FALSE,"Page 1";#N/A,#N/A,FALSE,"Page 2";#N/A,#N/A,FALSE,"Page 3";#N/A,#N/A,FALSE,"Page 4";#N/A,#N/A,FALSE,"Page 5";#N/A,#N/A,FALSE,"Page 6";#N/A,#N/A,FALSE,"Page 7";#N/A,#N/A,FALSE,"Page 8";#N/A,#N/A,FALSE,"Page 9";#N/A,#N/A,FALSE,"PG8WP";#N/A,#N/A,FALSE,"PG9WP"}</definedName>
    <definedName name="uuuuu" hidden="1">{#N/A,#N/A,FALSE,"Page 1";#N/A,#N/A,FALSE,"Page 2";#N/A,#N/A,FALSE,"Page 3";#N/A,#N/A,FALSE,"Page 4";#N/A,#N/A,FALSE,"Page 5";#N/A,#N/A,FALSE,"Page 6";#N/A,#N/A,FALSE,"Page 7";#N/A,#N/A,FALSE,"Page 8";#N/A,#N/A,FALSE,"Page 9";#N/A,#N/A,FALSE,"PG8WP";#N/A,#N/A,FALSE,"PG9WP"}</definedName>
    <definedName name="v" localSheetId="1" hidden="1">{"Overall Scorecard",#N/A,FALSE,"Overall Scorecard"}</definedName>
    <definedName name="v" localSheetId="32" hidden="1">{"Overall Scorecard",#N/A,FALSE,"Overall Scorecard"}</definedName>
    <definedName name="v" localSheetId="6" hidden="1">{"Overall Scorecard",#N/A,FALSE,"Overall Scorecard"}</definedName>
    <definedName name="v" localSheetId="4" hidden="1">{"Overall Scorecard",#N/A,FALSE,"Overall Scorecard"}</definedName>
    <definedName name="v" localSheetId="5" hidden="1">{"Overall Scorecard",#N/A,FALSE,"Overall Scorecard"}</definedName>
    <definedName name="v" localSheetId="7" hidden="1">{"Overall Scorecard",#N/A,FALSE,"Overall Scorecard"}</definedName>
    <definedName name="v" localSheetId="3" hidden="1">{"Overall Scorecard",#N/A,FALSE,"Overall Scorecard"}</definedName>
    <definedName name="v" localSheetId="29" hidden="1">{"Overall Scorecard",#N/A,FALSE,"Overall Scorecard"}</definedName>
    <definedName name="v" localSheetId="47" hidden="1">{"Overall Scorecard",#N/A,FALSE,"Overall Scorecard"}</definedName>
    <definedName name="v" hidden="1">{"Overall Scorecard",#N/A,FALSE,"Overall Scorecard"}</definedName>
    <definedName name="valdate">#REF!</definedName>
    <definedName name="valueline" localSheetId="6">#REF!</definedName>
    <definedName name="valueline" localSheetId="3">#REF!</definedName>
    <definedName name="valueline">#REF!</definedName>
    <definedName name="valueline_title">#REF!</definedName>
    <definedName name="Values_Entered" localSheetId="32">IF(Loan_Amount*Interest_Rate*Loan_Years*Loan_Start&gt;0,1,0)</definedName>
    <definedName name="Values_Entered" localSheetId="6">IF(Loan_Amount*Interest_Rate*Loan_Years*Loan_Start&gt;0,1,0)</definedName>
    <definedName name="Values_Entered" localSheetId="3">IF('2.4 OpCo Proxy Cap Str'!Loan_Amount*'2.4 OpCo Proxy Cap Str'!Interest_Rate*'2.4 OpCo Proxy Cap Str'!Loan_Years*'2.4 OpCo Proxy Cap Str'!Loan_Start&gt;0,1,0)</definedName>
    <definedName name="Values_Entered">IF(Loan_Amount*Interest_Rate*Loan_Years*Loan_Start&gt;0,1,0)</definedName>
    <definedName name="VBINCOME" localSheetId="32">#REF!</definedName>
    <definedName name="VBINCOME" localSheetId="3">#REF!</definedName>
    <definedName name="VBINCOME">#REF!</definedName>
    <definedName name="VL_HTML_Control" localSheetId="32" hidden="1">{"'Sheet1'!$A$1:$O$40"}</definedName>
    <definedName name="VL_HTML_Control" localSheetId="6" hidden="1">{"'Sheet1'!$A$1:$O$40"}</definedName>
    <definedName name="VL_HTML_Control" localSheetId="7" hidden="1">{"'Sheet1'!$A$1:$O$40"}</definedName>
    <definedName name="VL_HTML_Control" localSheetId="3" hidden="1">{"'Sheet1'!$A$1:$O$40"}</definedName>
    <definedName name="VL_HTML_Control" localSheetId="47" hidden="1">{"'Sheet1'!$A$1:$O$40"}</definedName>
    <definedName name="VL_HTML_Control" hidden="1">{"'Sheet1'!$A$1:$O$40"}</definedName>
    <definedName name="VL_jhlkqFL" localSheetId="32" hidden="1">{"'Sheet1'!$A$1:$O$40"}</definedName>
    <definedName name="VL_jhlkqFL" localSheetId="6" hidden="1">{"'Sheet1'!$A$1:$O$40"}</definedName>
    <definedName name="VL_jhlkqFL" localSheetId="7" hidden="1">{"'Sheet1'!$A$1:$O$40"}</definedName>
    <definedName name="VL_jhlkqFL" localSheetId="3" hidden="1">{"'Sheet1'!$A$1:$O$40"}</definedName>
    <definedName name="VL_jhlkqFL" localSheetId="47" hidden="1">{"'Sheet1'!$A$1:$O$40"}</definedName>
    <definedName name="VL_jhlkqFL" hidden="1">{"'Sheet1'!$A$1:$O$40"}</definedName>
    <definedName name="VL_Key1" localSheetId="6" hidden="1">#REF!</definedName>
    <definedName name="VL_Key1" localSheetId="7" hidden="1">#REF!</definedName>
    <definedName name="VL_Key1" hidden="1">#REF!</definedName>
    <definedName name="VL_key2" localSheetId="6" hidden="1">#REF!</definedName>
    <definedName name="VL_key2" localSheetId="7" hidden="1">#REF!</definedName>
    <definedName name="VL_key2" localSheetId="3" hidden="1">#REF!</definedName>
    <definedName name="VL_key2" hidden="1">#REF!</definedName>
    <definedName name="VL_Regression_Out" localSheetId="6" hidden="1">#REF!</definedName>
    <definedName name="VL_Regression_Out" localSheetId="7" hidden="1">#REF!</definedName>
    <definedName name="VL_Regression_Out" localSheetId="3" hidden="1">#REF!</definedName>
    <definedName name="VL_Regression_Out" hidden="1">#REF!</definedName>
    <definedName name="VL_Regression_X" localSheetId="3" hidden="1">#REF!</definedName>
    <definedName name="VL_Regression_X" hidden="1">#REF!</definedName>
    <definedName name="VL_Regression_Y" localSheetId="3" hidden="1">#REF!</definedName>
    <definedName name="VL_Regression_Y" hidden="1">#REF!</definedName>
    <definedName name="VL_Sort" localSheetId="3" hidden="1">#REF!</definedName>
    <definedName name="VL_Sort" hidden="1">#REF!</definedName>
    <definedName name="vlapp">#REF!</definedName>
    <definedName name="VLdata">OFFSET(#REF!,0,0,#REF!,20)</definedName>
    <definedName name="vldatabase">#REF!</definedName>
    <definedName name="VLfn2" localSheetId="3">#REF!</definedName>
    <definedName name="VLfn2">#REF!</definedName>
    <definedName name="VLfn7" localSheetId="3">#REF!</definedName>
    <definedName name="VLfn7">#REF!</definedName>
    <definedName name="VLLU">#REF!</definedName>
    <definedName name="w" localSheetId="1" hidden="1">{"Points=O&amp;M per Customer + per Equiv Employee",#N/A,FALSE,"Points";"Points=Operating Ratio + Return on Net Plant",#N/A,FALSE,"Points";"Points=Revenue per Equivalent Employee",#N/A,FALSE,"Points"}</definedName>
    <definedName name="w" localSheetId="32" hidden="1">{"Points=O&amp;M per Customer + per Equiv Employee",#N/A,FALSE,"Points";"Points=Operating Ratio + Return on Net Plant",#N/A,FALSE,"Points";"Points=Revenue per Equivalent Employee",#N/A,FALSE,"Points"}</definedName>
    <definedName name="w" localSheetId="6" hidden="1">{"Points=O&amp;M per Customer + per Equiv Employee",#N/A,FALSE,"Points";"Points=Operating Ratio + Return on Net Plant",#N/A,FALSE,"Points";"Points=Revenue per Equivalent Employee",#N/A,FALSE,"Points"}</definedName>
    <definedName name="w" localSheetId="4" hidden="1">{"Points=O&amp;M per Customer + per Equiv Employee",#N/A,FALSE,"Points";"Points=Operating Ratio + Return on Net Plant",#N/A,FALSE,"Points";"Points=Revenue per Equivalent Employee",#N/A,FALSE,"Points"}</definedName>
    <definedName name="w" localSheetId="5" hidden="1">{"Points=O&amp;M per Customer + per Equiv Employee",#N/A,FALSE,"Points";"Points=Operating Ratio + Return on Net Plant",#N/A,FALSE,"Points";"Points=Revenue per Equivalent Employee",#N/A,FALSE,"Points"}</definedName>
    <definedName name="w" localSheetId="7" hidden="1">{"Points=O&amp;M per Customer + per Equiv Employee",#N/A,FALSE,"Points";"Points=Operating Ratio + Return on Net Plant",#N/A,FALSE,"Points";"Points=Revenue per Equivalent Employee",#N/A,FALSE,"Points"}</definedName>
    <definedName name="w" localSheetId="3" hidden="1">{"Points=O&amp;M per Customer + per Equiv Employee",#N/A,FALSE,"Points";"Points=Operating Ratio + Return on Net Plant",#N/A,FALSE,"Points";"Points=Revenue per Equivalent Employee",#N/A,FALSE,"Points"}</definedName>
    <definedName name="w" localSheetId="29" hidden="1">{"Points=O&amp;M per Customer + per Equiv Employee",#N/A,FALSE,"Points";"Points=Operating Ratio + Return on Net Plant",#N/A,FALSE,"Points";"Points=Revenue per Equivalent Employee",#N/A,FALSE,"Points"}</definedName>
    <definedName name="w" localSheetId="47" hidden="1">{"Points=O&amp;M per Customer + per Equiv Employee",#N/A,FALSE,"Points";"Points=Operating Ratio + Return on Net Plant",#N/A,FALSE,"Points";"Points=Revenue per Equivalent Employee",#N/A,FALSE,"Points"}</definedName>
    <definedName name="w" hidden="1">{"Points=O&amp;M per Customer + per Equiv Employee",#N/A,FALSE,"Points";"Points=Operating Ratio + Return on Net Plant",#N/A,FALSE,"Points";"Points=Revenue per Equivalent Employee",#N/A,FALSE,"Points"}</definedName>
    <definedName name="warn"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st" localSheetId="1" hidden="1">{"Co1statements",#N/A,FALSE,"Cmpy1";"Co2statement",#N/A,FALSE,"Cmpy2";"co1pm",#N/A,FALSE,"Co1PM";"co2PM",#N/A,FALSE,"Co2PM";"value",#N/A,FALSE,"value";"opco",#N/A,FALSE,"NewSparkle";"adjusts",#N/A,FALSE,"Adjustments"}</definedName>
    <definedName name="warnst" localSheetId="32" hidden="1">{"Co1statements",#N/A,FALSE,"Cmpy1";"Co2statement",#N/A,FALSE,"Cmpy2";"co1pm",#N/A,FALSE,"Co1PM";"co2PM",#N/A,FALSE,"Co2PM";"value",#N/A,FALSE,"value";"opco",#N/A,FALSE,"NewSparkle";"adjusts",#N/A,FALSE,"Adjustments"}</definedName>
    <definedName name="warnst" localSheetId="6" hidden="1">{"Co1statements",#N/A,FALSE,"Cmpy1";"Co2statement",#N/A,FALSE,"Cmpy2";"co1pm",#N/A,FALSE,"Co1PM";"co2PM",#N/A,FALSE,"Co2PM";"value",#N/A,FALSE,"value";"opco",#N/A,FALSE,"NewSparkle";"adjusts",#N/A,FALSE,"Adjustments"}</definedName>
    <definedName name="warnst" localSheetId="4" hidden="1">{"Co1statements",#N/A,FALSE,"Cmpy1";"Co2statement",#N/A,FALSE,"Cmpy2";"co1pm",#N/A,FALSE,"Co1PM";"co2PM",#N/A,FALSE,"Co2PM";"value",#N/A,FALSE,"value";"opco",#N/A,FALSE,"NewSparkle";"adjusts",#N/A,FALSE,"Adjustments"}</definedName>
    <definedName name="warnst" localSheetId="5" hidden="1">{"Co1statements",#N/A,FALSE,"Cmpy1";"Co2statement",#N/A,FALSE,"Cmpy2";"co1pm",#N/A,FALSE,"Co1PM";"co2PM",#N/A,FALSE,"Co2PM";"value",#N/A,FALSE,"value";"opco",#N/A,FALSE,"NewSparkle";"adjusts",#N/A,FALSE,"Adjustments"}</definedName>
    <definedName name="warnst" localSheetId="7" hidden="1">{"Co1statements",#N/A,FALSE,"Cmpy1";"Co2statement",#N/A,FALSE,"Cmpy2";"co1pm",#N/A,FALSE,"Co1PM";"co2PM",#N/A,FALSE,"Co2PM";"value",#N/A,FALSE,"value";"opco",#N/A,FALSE,"NewSparkle";"adjusts",#N/A,FALSE,"Adjustments"}</definedName>
    <definedName name="warnst" localSheetId="3" hidden="1">{"Co1statements",#N/A,FALSE,"Cmpy1";"Co2statement",#N/A,FALSE,"Cmpy2";"co1pm",#N/A,FALSE,"Co1PM";"co2PM",#N/A,FALSE,"Co2PM";"value",#N/A,FALSE,"value";"opco",#N/A,FALSE,"NewSparkle";"adjusts",#N/A,FALSE,"Adjustments"}</definedName>
    <definedName name="warnst" localSheetId="29" hidden="1">{"Co1statements",#N/A,FALSE,"Cmpy1";"Co2statement",#N/A,FALSE,"Cmpy2";"co1pm",#N/A,FALSE,"Co1PM";"co2PM",#N/A,FALSE,"Co2PM";"value",#N/A,FALSE,"value";"opco",#N/A,FALSE,"NewSparkle";"adjusts",#N/A,FALSE,"Adjustments"}</definedName>
    <definedName name="warnst" localSheetId="47" hidden="1">{"Co1statements",#N/A,FALSE,"Cmpy1";"Co2statement",#N/A,FALSE,"Cmpy2";"co1pm",#N/A,FALSE,"Co1PM";"co2PM",#N/A,FALSE,"Co2PM";"value",#N/A,FALSE,"value";"opco",#N/A,FALSE,"NewSparkle";"adjusts",#N/A,FALSE,"Adjustments"}</definedName>
    <definedName name="warnst" hidden="1">{"Co1statements",#N/A,FALSE,"Cmpy1";"Co2statement",#N/A,FALSE,"Cmpy2";"co1pm",#N/A,FALSE,"Co1PM";"co2PM",#N/A,FALSE,"Co2PM";"value",#N/A,FALSE,"value";"opco",#N/A,FALSE,"NewSparkle";"adjusts",#N/A,FALSE,"Adjustments"}</definedName>
    <definedName name="WaterU">#REF!</definedName>
    <definedName name="We" localSheetId="6">#REF!</definedName>
    <definedName name="We" localSheetId="3">#REF!</definedName>
    <definedName name="We">#REF!</definedName>
    <definedName name="We_3" localSheetId="3">#REF!</definedName>
    <definedName name="We_3">#REF!</definedName>
    <definedName name="We_4" localSheetId="3">#REF!</definedName>
    <definedName name="We_4">#REF!</definedName>
    <definedName name="WE_RES" localSheetId="3">#REF!</definedName>
    <definedName name="WE_RES">#REF!</definedName>
    <definedName name="weA" localSheetId="3">#REF!</definedName>
    <definedName name="weA">#REF!</definedName>
    <definedName name="weA_3" localSheetId="3">#REF!</definedName>
    <definedName name="weA_3">#REF!</definedName>
    <definedName name="weA_4" localSheetId="3">#REF!</definedName>
    <definedName name="weA_4">#REF!</definedName>
    <definedName name="Weather_Fuel_Cost_Calc">#REF!</definedName>
    <definedName name="WEIGHAVG">#REF!</definedName>
    <definedName name="WEL_DCAS" localSheetId="3">#REF!</definedName>
    <definedName name="WEL_DCAS">#REF!</definedName>
    <definedName name="WEL_DCAS_COLUMNS" localSheetId="3">#REF!</definedName>
    <definedName name="WEL_DCAS_COLUMNS">#REF!</definedName>
    <definedName name="WEL_DCAS_PG1" localSheetId="3">#REF!</definedName>
    <definedName name="WEL_DCAS_PG1">#REF!</definedName>
    <definedName name="WEL_DCAS_PG2" localSheetId="3">#REF!</definedName>
    <definedName name="WEL_DCAS_PG2">#REF!</definedName>
    <definedName name="WEL_DCAS_ROWS" localSheetId="3">#REF!</definedName>
    <definedName name="WEL_DCAS_ROWS">#REF!</definedName>
    <definedName name="WEL_GAINS_LOSSES_REPORT" localSheetId="3">#REF!</definedName>
    <definedName name="WEL_GAINS_LOSSES_REPORT">#REF!</definedName>
    <definedName name="WEL_GAINS_LOSSES_ROWS" localSheetId="3">#REF!</definedName>
    <definedName name="WEL_GAINS_LOSSES_ROWS">#REF!</definedName>
    <definedName name="WEL_HOB_RETIRE_ANAL" localSheetId="3">#REF!</definedName>
    <definedName name="WEL_HOB_RETIRE_ANAL">#REF!</definedName>
    <definedName name="WEL_PPE" localSheetId="3">#REF!</definedName>
    <definedName name="WEL_PPE">#REF!</definedName>
    <definedName name="WEL_RES" localSheetId="3">#REF!</definedName>
    <definedName name="WEL_RES">#REF!</definedName>
    <definedName name="WEL_TRFS_ANALYSIS_COLUMNS" localSheetId="3">#REF!</definedName>
    <definedName name="WEL_TRFS_ANALYSIS_COLUMNS">#REF!</definedName>
    <definedName name="WEL_TRFS_ANALYSIS_REPORT" localSheetId="3">#REF!</definedName>
    <definedName name="WEL_TRFS_ANALYSIS_REPORT">#REF!</definedName>
    <definedName name="WEL_TRFS_ANALYSIS_ROWS" localSheetId="3">#REF!</definedName>
    <definedName name="WEL_TRFS_ANALYSIS_ROWS">#REF!</definedName>
    <definedName name="wepfo" localSheetId="5" hidden="1">#REF!</definedName>
    <definedName name="wepfo" localSheetId="3" hidden="1">#REF!</definedName>
    <definedName name="wepfo" localSheetId="29" hidden="1">#REF!</definedName>
    <definedName name="wepfo" hidden="1">#REF!</definedName>
    <definedName name="WestGas_Supply_Retire" localSheetId="3">#REF!</definedName>
    <definedName name="WestGas_Supply_Retire">#REF!</definedName>
    <definedName name="WestGas_Supply_Transfers" localSheetId="3">#REF!</definedName>
    <definedName name="WestGas_Supply_Transfers">#REF!</definedName>
    <definedName name="WG" localSheetId="6">#REF!</definedName>
    <definedName name="WG" localSheetId="3">#REF!</definedName>
    <definedName name="WG">#REF!</definedName>
    <definedName name="WGasSupply_Retire_Reconcile" localSheetId="3">#REF!</definedName>
    <definedName name="WGasSupply_Retire_Reconcile">#REF!</definedName>
    <definedName name="WGasSupply_Retire_Summary" localSheetId="3">#REF!</definedName>
    <definedName name="WGasSupply_Retire_Summary">#REF!</definedName>
    <definedName name="WGasSupply_Retire_Trfs_Columns" localSheetId="3">#REF!</definedName>
    <definedName name="WGasSupply_Retire_Trfs_Columns">#REF!</definedName>
    <definedName name="WGasSupply_Retire_Trfs_Rows" localSheetId="3">#REF!</definedName>
    <definedName name="WGasSupply_Retire_Trfs_Rows">#REF!</definedName>
    <definedName name="WGG_ASSET_VALUE_SCHI" localSheetId="3">#REF!</definedName>
    <definedName name="WGG_ASSET_VALUE_SCHI">#REF!</definedName>
    <definedName name="WGG_ASSET_VALUE_SCHII_COLUMNS" localSheetId="3">#REF!</definedName>
    <definedName name="WGG_ASSET_VALUE_SCHII_COLUMNS">#REF!</definedName>
    <definedName name="WGG_ASSET_VALUE_SCHII_PG1" localSheetId="3">#REF!</definedName>
    <definedName name="WGG_ASSET_VALUE_SCHII_PG1">#REF!</definedName>
    <definedName name="WGG_ASSET_VALUE_SCHII_PG2" localSheetId="3">#REF!</definedName>
    <definedName name="WGG_ASSET_VALUE_SCHII_PG2">#REF!</definedName>
    <definedName name="WGG_ASSET_VALUE_SCHII_ROWS" localSheetId="3">#REF!</definedName>
    <definedName name="WGG_ASSET_VALUE_SCHII_ROWS">#REF!</definedName>
    <definedName name="WGG_ASSET_VALUE_TRANS1_REPORT" localSheetId="3">#REF!</definedName>
    <definedName name="WGG_ASSET_VALUE_TRANS1_REPORT">#REF!</definedName>
    <definedName name="WGG_DCAS_COLUMNS" localSheetId="3">#REF!</definedName>
    <definedName name="WGG_DCAS_COLUMNS">#REF!</definedName>
    <definedName name="WGG_DCAS_REPORT" localSheetId="3">#REF!</definedName>
    <definedName name="WGG_DCAS_REPORT">#REF!</definedName>
    <definedName name="WGG_DCAS_ROWS" localSheetId="3">#REF!</definedName>
    <definedName name="WGG_DCAS_ROWS">#REF!</definedName>
    <definedName name="WGG_TAX_RETIRE_REPORT" localSheetId="3">#REF!</definedName>
    <definedName name="WGG_TAX_RETIRE_REPORT">#REF!</definedName>
    <definedName name="WGG_TAX_RETIRE_SEP_VINTAGES_REPORT" localSheetId="3">#REF!</definedName>
    <definedName name="WGG_TAX_RETIRE_SEP_VINTAGES_REPORT">#REF!</definedName>
    <definedName name="WGI_DCAS" localSheetId="3">#REF!</definedName>
    <definedName name="WGI_DCAS">#REF!</definedName>
    <definedName name="WGI_RES" localSheetId="3">#REF!</definedName>
    <definedName name="WGI_RES">#REF!</definedName>
    <definedName name="WGS_UNGND_STORAGE" localSheetId="3">#REF!</definedName>
    <definedName name="WGS_UNGND_STORAGE">#REF!</definedName>
    <definedName name="wh" localSheetId="32" hidden="1">{#N/A,#N/A,FALSE,"O&amp;M by processes";#N/A,#N/A,FALSE,"Elec Act vs Bud";#N/A,#N/A,FALSE,"G&amp;A";#N/A,#N/A,FALSE,"BGS";#N/A,#N/A,FALSE,"Res Cost"}</definedName>
    <definedName name="wh" localSheetId="6" hidden="1">{#N/A,#N/A,FALSE,"O&amp;M by processes";#N/A,#N/A,FALSE,"Elec Act vs Bud";#N/A,#N/A,FALSE,"G&amp;A";#N/A,#N/A,FALSE,"BGS";#N/A,#N/A,FALSE,"Res Cost"}</definedName>
    <definedName name="wh" localSheetId="7" hidden="1">{#N/A,#N/A,FALSE,"O&amp;M by processes";#N/A,#N/A,FALSE,"Elec Act vs Bud";#N/A,#N/A,FALSE,"G&amp;A";#N/A,#N/A,FALSE,"BGS";#N/A,#N/A,FALSE,"Res Cost"}</definedName>
    <definedName name="wh" localSheetId="3" hidden="1">{#N/A,#N/A,FALSE,"O&amp;M by processes";#N/A,#N/A,FALSE,"Elec Act vs Bud";#N/A,#N/A,FALSE,"G&amp;A";#N/A,#N/A,FALSE,"BGS";#N/A,#N/A,FALSE,"Res Cost"}</definedName>
    <definedName name="wh" localSheetId="29" hidden="1">{#N/A,#N/A,FALSE,"O&amp;M by processes";#N/A,#N/A,FALSE,"Elec Act vs Bud";#N/A,#N/A,FALSE,"G&amp;A";#N/A,#N/A,FALSE,"BGS";#N/A,#N/A,FALSE,"Res Cost"}</definedName>
    <definedName name="wh" localSheetId="47"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1" localSheetId="1" hidden="1">{"TOT_QTR_TO_PREV",#N/A,FALSE,"Site Sum"}</definedName>
    <definedName name="what1" localSheetId="32" hidden="1">{"TOT_QTR_TO_PREV",#N/A,FALSE,"Site Sum"}</definedName>
    <definedName name="what1" localSheetId="6" hidden="1">{"TOT_QTR_TO_PREV",#N/A,FALSE,"Site Sum"}</definedName>
    <definedName name="what1" localSheetId="4" hidden="1">{"TOT_QTR_TO_PREV",#N/A,FALSE,"Site Sum"}</definedName>
    <definedName name="what1" localSheetId="5" hidden="1">{"TOT_QTR_TO_PREV",#N/A,FALSE,"Site Sum"}</definedName>
    <definedName name="what1" localSheetId="7" hidden="1">{"TOT_QTR_TO_PREV",#N/A,FALSE,"Site Sum"}</definedName>
    <definedName name="what1" localSheetId="3" hidden="1">{"TOT_QTR_TO_PREV",#N/A,FALSE,"Site Sum"}</definedName>
    <definedName name="what1" localSheetId="29" hidden="1">{"TOT_QTR_TO_PREV",#N/A,FALSE,"Site Sum"}</definedName>
    <definedName name="what1" localSheetId="47" hidden="1">{"TOT_QTR_TO_PREV",#N/A,FALSE,"Site Sum"}</definedName>
    <definedName name="what1" hidden="1">{"TOT_QTR_TO_PREV",#N/A,FALSE,"Site Sum"}</definedName>
    <definedName name="what2" localSheetId="1" hidden="1">{"TOT_QTR_TO_PREV",#N/A,FALSE,"Site Sum"}</definedName>
    <definedName name="what2" localSheetId="32" hidden="1">{"TOT_QTR_TO_PREV",#N/A,FALSE,"Site Sum"}</definedName>
    <definedName name="what2" localSheetId="6" hidden="1">{"TOT_QTR_TO_PREV",#N/A,FALSE,"Site Sum"}</definedName>
    <definedName name="what2" localSheetId="4" hidden="1">{"TOT_QTR_TO_PREV",#N/A,FALSE,"Site Sum"}</definedName>
    <definedName name="what2" localSheetId="5" hidden="1">{"TOT_QTR_TO_PREV",#N/A,FALSE,"Site Sum"}</definedName>
    <definedName name="what2" localSheetId="7" hidden="1">{"TOT_QTR_TO_PREV",#N/A,FALSE,"Site Sum"}</definedName>
    <definedName name="what2" localSheetId="3" hidden="1">{"TOT_QTR_TO_PREV",#N/A,FALSE,"Site Sum"}</definedName>
    <definedName name="what2" localSheetId="29" hidden="1">{"TOT_QTR_TO_PREV",#N/A,FALSE,"Site Sum"}</definedName>
    <definedName name="what2" localSheetId="47" hidden="1">{"TOT_QTR_TO_PREV",#N/A,FALSE,"Site Sum"}</definedName>
    <definedName name="what2" hidden="1">{"TOT_QTR_TO_PREV",#N/A,FALSE,"Site Sum"}</definedName>
    <definedName name="Whatwhat" localSheetId="32" hidden="1">{#N/A,#N/A,FALSE,"O&amp;M by processes";#N/A,#N/A,FALSE,"Elec Act vs Bud";#N/A,#N/A,FALSE,"G&amp;A";#N/A,#N/A,FALSE,"BGS";#N/A,#N/A,FALSE,"Res Cost"}</definedName>
    <definedName name="Whatwhat" localSheetId="6" hidden="1">{#N/A,#N/A,FALSE,"O&amp;M by processes";#N/A,#N/A,FALSE,"Elec Act vs Bud";#N/A,#N/A,FALSE,"G&amp;A";#N/A,#N/A,FALSE,"BGS";#N/A,#N/A,FALSE,"Res Cost"}</definedName>
    <definedName name="Whatwhat" localSheetId="7" hidden="1">{#N/A,#N/A,FALSE,"O&amp;M by processes";#N/A,#N/A,FALSE,"Elec Act vs Bud";#N/A,#N/A,FALSE,"G&amp;A";#N/A,#N/A,FALSE,"BGS";#N/A,#N/A,FALSE,"Res Cost"}</definedName>
    <definedName name="Whatwhat" localSheetId="3" hidden="1">{#N/A,#N/A,FALSE,"O&amp;M by processes";#N/A,#N/A,FALSE,"Elec Act vs Bud";#N/A,#N/A,FALSE,"G&amp;A";#N/A,#N/A,FALSE,"BGS";#N/A,#N/A,FALSE,"Res Cost"}</definedName>
    <definedName name="Whatwhat" localSheetId="29" hidden="1">{#N/A,#N/A,FALSE,"O&amp;M by processes";#N/A,#N/A,FALSE,"Elec Act vs Bud";#N/A,#N/A,FALSE,"G&amp;A";#N/A,#N/A,FALSE,"BGS";#N/A,#N/A,FALSE,"Res Cost"}</definedName>
    <definedName name="Whatwhat" localSheetId="47"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32" hidden="1">{#N/A,#N/A,FALSE,"O&amp;M by processes";#N/A,#N/A,FALSE,"Elec Act vs Bud";#N/A,#N/A,FALSE,"G&amp;A";#N/A,#N/A,FALSE,"BGS";#N/A,#N/A,FALSE,"Res Cost"}</definedName>
    <definedName name="who" localSheetId="6" hidden="1">{#N/A,#N/A,FALSE,"O&amp;M by processes";#N/A,#N/A,FALSE,"Elec Act vs Bud";#N/A,#N/A,FALSE,"G&amp;A";#N/A,#N/A,FALSE,"BGS";#N/A,#N/A,FALSE,"Res Cost"}</definedName>
    <definedName name="who" localSheetId="7" hidden="1">{#N/A,#N/A,FALSE,"O&amp;M by processes";#N/A,#N/A,FALSE,"Elec Act vs Bud";#N/A,#N/A,FALSE,"G&amp;A";#N/A,#N/A,FALSE,"BGS";#N/A,#N/A,FALSE,"Res Cost"}</definedName>
    <definedName name="who" localSheetId="3" hidden="1">{#N/A,#N/A,FALSE,"O&amp;M by processes";#N/A,#N/A,FALSE,"Elec Act vs Bud";#N/A,#N/A,FALSE,"G&amp;A";#N/A,#N/A,FALSE,"BGS";#N/A,#N/A,FALSE,"Res Cost"}</definedName>
    <definedName name="who" localSheetId="29" hidden="1">{#N/A,#N/A,FALSE,"O&amp;M by processes";#N/A,#N/A,FALSE,"Elec Act vs Bud";#N/A,#N/A,FALSE,"G&amp;A";#N/A,#N/A,FALSE,"BGS";#N/A,#N/A,FALSE,"Res Cost"}</definedName>
    <definedName name="who" localSheetId="47"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32" hidden="1">{#N/A,#N/A,FALSE,"O&amp;M by processes";#N/A,#N/A,FALSE,"Elec Act vs Bud";#N/A,#N/A,FALSE,"G&amp;A";#N/A,#N/A,FALSE,"BGS";#N/A,#N/A,FALSE,"Res Cost"}</definedName>
    <definedName name="whowho" localSheetId="6" hidden="1">{#N/A,#N/A,FALSE,"O&amp;M by processes";#N/A,#N/A,FALSE,"Elec Act vs Bud";#N/A,#N/A,FALSE,"G&amp;A";#N/A,#N/A,FALSE,"BGS";#N/A,#N/A,FALSE,"Res Cost"}</definedName>
    <definedName name="whowho" localSheetId="7" hidden="1">{#N/A,#N/A,FALSE,"O&amp;M by processes";#N/A,#N/A,FALSE,"Elec Act vs Bud";#N/A,#N/A,FALSE,"G&amp;A";#N/A,#N/A,FALSE,"BGS";#N/A,#N/A,FALSE,"Res Cost"}</definedName>
    <definedName name="whowho" localSheetId="3" hidden="1">{#N/A,#N/A,FALSE,"O&amp;M by processes";#N/A,#N/A,FALSE,"Elec Act vs Bud";#N/A,#N/A,FALSE,"G&amp;A";#N/A,#N/A,FALSE,"BGS";#N/A,#N/A,FALSE,"Res Cost"}</definedName>
    <definedName name="whowho" localSheetId="29" hidden="1">{#N/A,#N/A,FALSE,"O&amp;M by processes";#N/A,#N/A,FALSE,"Elec Act vs Bud";#N/A,#N/A,FALSE,"G&amp;A";#N/A,#N/A,FALSE,"BGS";#N/A,#N/A,FALSE,"Res Cost"}</definedName>
    <definedName name="whowho" localSheetId="47"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32" hidden="1">{#N/A,#N/A,FALSE,"O&amp;M by processes";#N/A,#N/A,FALSE,"Elec Act vs Bud";#N/A,#N/A,FALSE,"G&amp;A";#N/A,#N/A,FALSE,"BGS";#N/A,#N/A,FALSE,"Res Cost"}</definedName>
    <definedName name="whwh" localSheetId="6" hidden="1">{#N/A,#N/A,FALSE,"O&amp;M by processes";#N/A,#N/A,FALSE,"Elec Act vs Bud";#N/A,#N/A,FALSE,"G&amp;A";#N/A,#N/A,FALSE,"BGS";#N/A,#N/A,FALSE,"Res Cost"}</definedName>
    <definedName name="whwh" localSheetId="7" hidden="1">{#N/A,#N/A,FALSE,"O&amp;M by processes";#N/A,#N/A,FALSE,"Elec Act vs Bud";#N/A,#N/A,FALSE,"G&amp;A";#N/A,#N/A,FALSE,"BGS";#N/A,#N/A,FALSE,"Res Cost"}</definedName>
    <definedName name="whwh" localSheetId="3" hidden="1">{#N/A,#N/A,FALSE,"O&amp;M by processes";#N/A,#N/A,FALSE,"Elec Act vs Bud";#N/A,#N/A,FALSE,"G&amp;A";#N/A,#N/A,FALSE,"BGS";#N/A,#N/A,FALSE,"Res Cost"}</definedName>
    <definedName name="whwh" localSheetId="29" hidden="1">{#N/A,#N/A,FALSE,"O&amp;M by processes";#N/A,#N/A,FALSE,"Elec Act vs Bud";#N/A,#N/A,FALSE,"G&amp;A";#N/A,#N/A,FALSE,"BGS";#N/A,#N/A,FALSE,"Res Cost"}</definedName>
    <definedName name="whwh" localSheetId="47" hidden="1">{#N/A,#N/A,FALSE,"O&amp;M by processes";#N/A,#N/A,FALSE,"Elec Act vs Bud";#N/A,#N/A,FALSE,"G&amp;A";#N/A,#N/A,FALSE,"BGS";#N/A,#N/A,FALSE,"Res Cost"}</definedName>
    <definedName name="whwh" hidden="1">{#N/A,#N/A,FALSE,"O&amp;M by processes";#N/A,#N/A,FALSE,"Elec Act vs Bud";#N/A,#N/A,FALSE,"G&amp;A";#N/A,#N/A,FALSE,"BGS";#N/A,#N/A,FALSE,"Res Cost"}</definedName>
    <definedName name="willdo" localSheetId="1" hidden="1">#REF!</definedName>
    <definedName name="willdo" localSheetId="5" hidden="1">#REF!</definedName>
    <definedName name="willdo" localSheetId="3" hidden="1">#REF!</definedName>
    <definedName name="willdo" localSheetId="29" hidden="1">#REF!</definedName>
    <definedName name="willdo" hidden="1">#REF!</definedName>
    <definedName name="work">#REF!</definedName>
    <definedName name="WP" localSheetId="6">#REF!</definedName>
    <definedName name="WP" localSheetId="3">#REF!</definedName>
    <definedName name="WP">#REF!</definedName>
    <definedName name="WP_2_3" localSheetId="3">#REF!</definedName>
    <definedName name="WP_2_3">#REF!</definedName>
    <definedName name="WP_3_1" localSheetId="3">#REF!</definedName>
    <definedName name="WP_3_1">#REF!</definedName>
    <definedName name="WP_6_1" localSheetId="3">#REF!</definedName>
    <definedName name="WP_6_1">#REF!</definedName>
    <definedName name="WP_6_1_1" localSheetId="3">#REF!</definedName>
    <definedName name="WP_6_1_1">#REF!</definedName>
    <definedName name="WP_6_2" localSheetId="3">#REF!</definedName>
    <definedName name="WP_6_2">#REF!</definedName>
    <definedName name="WP_6_2_1" localSheetId="3">#REF!</definedName>
    <definedName name="WP_6_2_1">#REF!</definedName>
    <definedName name="WP_6_3" localSheetId="3">#REF!</definedName>
    <definedName name="WP_6_3">#REF!</definedName>
    <definedName name="WP_6_3_1" localSheetId="3">#REF!</definedName>
    <definedName name="WP_6_3_1">#REF!</definedName>
    <definedName name="WP_7_3" localSheetId="3">#REF!</definedName>
    <definedName name="WP_7_3">#REF!</definedName>
    <definedName name="WP_7_6" localSheetId="3">#REF!</definedName>
    <definedName name="WP_7_6">#REF!</definedName>
    <definedName name="WP_9_1" localSheetId="3">#REF!</definedName>
    <definedName name="WP_9_1">#REF!</definedName>
    <definedName name="WP_B9a">#REF!</definedName>
    <definedName name="WP_B9b" localSheetId="6">#REF!</definedName>
    <definedName name="WP_B9b" localSheetId="3">#REF!</definedName>
    <definedName name="WP_B9b">#REF!</definedName>
    <definedName name="WP_G6">#REF!</definedName>
    <definedName name="wrn" localSheetId="32" hidden="1">{#N/A,#N/A,FALSE,"O&amp;M by processes";#N/A,#N/A,FALSE,"Elec Act vs Bud";#N/A,#N/A,FALSE,"G&amp;A";#N/A,#N/A,FALSE,"BGS";#N/A,#N/A,FALSE,"Res Cost"}</definedName>
    <definedName name="wrn" localSheetId="6" hidden="1">{#N/A,#N/A,FALSE,"O&amp;M by processes";#N/A,#N/A,FALSE,"Elec Act vs Bud";#N/A,#N/A,FALSE,"G&amp;A";#N/A,#N/A,FALSE,"BGS";#N/A,#N/A,FALSE,"Res Cost"}</definedName>
    <definedName name="wrn" localSheetId="7" hidden="1">{#N/A,#N/A,FALSE,"O&amp;M by processes";#N/A,#N/A,FALSE,"Elec Act vs Bud";#N/A,#N/A,FALSE,"G&amp;A";#N/A,#N/A,FALSE,"BGS";#N/A,#N/A,FALSE,"Res Cost"}</definedName>
    <definedName name="wrn" localSheetId="3" hidden="1">{#N/A,#N/A,FALSE,"O&amp;M by processes";#N/A,#N/A,FALSE,"Elec Act vs Bud";#N/A,#N/A,FALSE,"G&amp;A";#N/A,#N/A,FALSE,"BGS";#N/A,#N/A,FALSE,"Res Cost"}</definedName>
    <definedName name="wrn" localSheetId="29" hidden="1">{#N/A,#N/A,FALSE,"O&amp;M by processes";#N/A,#N/A,FALSE,"Elec Act vs Bud";#N/A,#N/A,FALSE,"G&amp;A";#N/A,#N/A,FALSE,"BGS";#N/A,#N/A,FALSE,"Res Cost"}</definedName>
    <definedName name="wrn" localSheetId="47" hidden="1">{#N/A,#N/A,FALSE,"O&amp;M by processes";#N/A,#N/A,FALSE,"Elec Act vs Bud";#N/A,#N/A,FALSE,"G&amp;A";#N/A,#N/A,FALSE,"BGS";#N/A,#N/A,FALSE,"Res Cost"}</definedName>
    <definedName name="wrn" hidden="1">{#N/A,#N/A,FALSE,"O&amp;M by processes";#N/A,#N/A,FALSE,"Elec Act vs Bud";#N/A,#N/A,FALSE,"G&amp;A";#N/A,#N/A,FALSE,"BGS";#N/A,#N/A,FALSE,"Res Cost"}</definedName>
    <definedName name="wrn.04._.PM._.Rpt._.Draft." localSheetId="32"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6"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7"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3"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47"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Targets." localSheetId="32" hidden="1">{#N/A,#N/A,FALSE,"04 Target Calc.";#N/A,#N/A,FALSE,"03 Projection Calc"}</definedName>
    <definedName name="wrn.04._.Targets." localSheetId="6" hidden="1">{#N/A,#N/A,FALSE,"04 Target Calc.";#N/A,#N/A,FALSE,"03 Projection Calc"}</definedName>
    <definedName name="wrn.04._.Targets." localSheetId="7" hidden="1">{#N/A,#N/A,FALSE,"04 Target Calc.";#N/A,#N/A,FALSE,"03 Projection Calc"}</definedName>
    <definedName name="wrn.04._.Targets." localSheetId="3" hidden="1">{#N/A,#N/A,FALSE,"04 Target Calc.";#N/A,#N/A,FALSE,"03 Projection Calc"}</definedName>
    <definedName name="wrn.04._.Targets." localSheetId="47" hidden="1">{#N/A,#N/A,FALSE,"04 Target Calc.";#N/A,#N/A,FALSE,"03 Projection Calc"}</definedName>
    <definedName name="wrn.04._.Targets." hidden="1">{#N/A,#N/A,FALSE,"04 Target Calc.";#N/A,#N/A,FALSE,"03 Projection Calc"}</definedName>
    <definedName name="wrn.722." localSheetId="32" hidden="1">{#N/A,#N/A,FALSE,"CURRENT"}</definedName>
    <definedName name="wrn.722." localSheetId="6" hidden="1">{#N/A,#N/A,FALSE,"CURRENT"}</definedName>
    <definedName name="wrn.722." localSheetId="7" hidden="1">{#N/A,#N/A,FALSE,"CURRENT"}</definedName>
    <definedName name="wrn.722." localSheetId="3" hidden="1">{#N/A,#N/A,FALSE,"CURRENT"}</definedName>
    <definedName name="wrn.722." localSheetId="29" hidden="1">{#N/A,#N/A,FALSE,"CURRENT"}</definedName>
    <definedName name="wrn.722." localSheetId="47" hidden="1">{#N/A,#N/A,FALSE,"CURRENT"}</definedName>
    <definedName name="wrn.722." hidden="1">{#N/A,#N/A,FALSE,"CURRENT"}</definedName>
    <definedName name="wrn.ACC._.PROV." localSheetId="1" hidden="1">{"JURIS_ACC_PROV",#N/A,FALSE,"COSTSTUDY";"OKCLS_ACC_PROV",#N/A,FALSE,"COSTSTUDY"}</definedName>
    <definedName name="wrn.ACC._.PROV." localSheetId="32" hidden="1">{"JURIS_ACC_PROV",#N/A,FALSE,"COSTSTUDY";"OKCLS_ACC_PROV",#N/A,FALSE,"COSTSTUDY"}</definedName>
    <definedName name="wrn.ACC._.PROV." localSheetId="6" hidden="1">{"JURIS_ACC_PROV",#N/A,FALSE,"COSTSTUDY";"OKCLS_ACC_PROV",#N/A,FALSE,"COSTSTUDY"}</definedName>
    <definedName name="wrn.ACC._.PROV." localSheetId="4" hidden="1">{"JURIS_ACC_PROV",#N/A,FALSE,"COSTSTUDY";"OKCLS_ACC_PROV",#N/A,FALSE,"COSTSTUDY"}</definedName>
    <definedName name="wrn.ACC._.PROV." localSheetId="5" hidden="1">{"JURIS_ACC_PROV",#N/A,FALSE,"COSTSTUDY";"OKCLS_ACC_PROV",#N/A,FALSE,"COSTSTUDY"}</definedName>
    <definedName name="wrn.ACC._.PROV." localSheetId="7" hidden="1">{"JURIS_ACC_PROV",#N/A,FALSE,"COSTSTUDY";"OKCLS_ACC_PROV",#N/A,FALSE,"COSTSTUDY"}</definedName>
    <definedName name="wrn.ACC._.PROV." localSheetId="3" hidden="1">{"JURIS_ACC_PROV",#N/A,FALSE,"COSTSTUDY";"OKCLS_ACC_PROV",#N/A,FALSE,"COSTSTUDY"}</definedName>
    <definedName name="wrn.ACC._.PROV." localSheetId="29" hidden="1">{"JURIS_ACC_PROV",#N/A,FALSE,"COSTSTUDY";"OKCLS_ACC_PROV",#N/A,FALSE,"COSTSTUDY"}</definedName>
    <definedName name="wrn.ACC._.PROV." localSheetId="47" hidden="1">{"JURIS_ACC_PROV",#N/A,FALSE,"COSTSTUDY";"OKCLS_ACC_PROV",#N/A,FALSE,"COSTSTUDY"}</definedName>
    <definedName name="wrn.ACC._.PROV." hidden="1">{"JURIS_ACC_PROV",#N/A,FALSE,"COSTSTUDY";"OKCLS_ACC_PROV",#N/A,FALSE,"COSTSTUDY"}</definedName>
    <definedName name="wrn.AFUDC." localSheetId="1" hidden="1">{#N/A,#N/A,FALSE,"COMPAPER";#N/A,#N/A,FALSE,"AFUDC";#N/A,#N/A,FALSE,"JE"}</definedName>
    <definedName name="wrn.AFUDC." localSheetId="32" hidden="1">{#N/A,#N/A,FALSE,"COMPAPER";#N/A,#N/A,FALSE,"AFUDC";#N/A,#N/A,FALSE,"JE"}</definedName>
    <definedName name="wrn.AFUDC." localSheetId="6" hidden="1">{#N/A,#N/A,FALSE,"COMPAPER";#N/A,#N/A,FALSE,"AFUDC";#N/A,#N/A,FALSE,"JE"}</definedName>
    <definedName name="wrn.AFUDC." localSheetId="4" hidden="1">{#N/A,#N/A,FALSE,"COMPAPER";#N/A,#N/A,FALSE,"AFUDC";#N/A,#N/A,FALSE,"JE"}</definedName>
    <definedName name="wrn.AFUDC." localSheetId="5" hidden="1">{#N/A,#N/A,FALSE,"COMPAPER";#N/A,#N/A,FALSE,"AFUDC";#N/A,#N/A,FALSE,"JE"}</definedName>
    <definedName name="wrn.AFUDC." localSheetId="7" hidden="1">{#N/A,#N/A,FALSE,"COMPAPER";#N/A,#N/A,FALSE,"AFUDC";#N/A,#N/A,FALSE,"JE"}</definedName>
    <definedName name="wrn.AFUDC." localSheetId="3" hidden="1">{#N/A,#N/A,FALSE,"COMPAPER";#N/A,#N/A,FALSE,"AFUDC";#N/A,#N/A,FALSE,"JE"}</definedName>
    <definedName name="wrn.AFUDC." localSheetId="47" hidden="1">{#N/A,#N/A,FALSE,"COMPAPER";#N/A,#N/A,FALSE,"AFUDC";#N/A,#N/A,FALSE,"JE"}</definedName>
    <definedName name="wrn.AFUDC." hidden="1">{#N/A,#N/A,FALSE,"COMPAPER";#N/A,#N/A,FALSE,"AFUDC";#N/A,#N/A,FALSE,"JE"}</definedName>
    <definedName name="wrn.agexpense." localSheetId="1" hidden="1">{"pb",#N/A,FALSE,"Sheet3";"pd",#N/A,FALSE,"Sheet3";"pe",#N/A,FALSE,"Sheet3"}</definedName>
    <definedName name="wrn.agexpense." localSheetId="32" hidden="1">{"pb",#N/A,FALSE,"Sheet3";"pd",#N/A,FALSE,"Sheet3";"pe",#N/A,FALSE,"Sheet3"}</definedName>
    <definedName name="wrn.agexpense." localSheetId="6" hidden="1">{"pb",#N/A,FALSE,"Sheet3";"pd",#N/A,FALSE,"Sheet3";"pe",#N/A,FALSE,"Sheet3"}</definedName>
    <definedName name="wrn.agexpense." localSheetId="4" hidden="1">{"pb",#N/A,FALSE,"Sheet3";"pd",#N/A,FALSE,"Sheet3";"pe",#N/A,FALSE,"Sheet3"}</definedName>
    <definedName name="wrn.agexpense." localSheetId="5" hidden="1">{"pb",#N/A,FALSE,"Sheet3";"pd",#N/A,FALSE,"Sheet3";"pe",#N/A,FALSE,"Sheet3"}</definedName>
    <definedName name="wrn.agexpense." localSheetId="7" hidden="1">{"pb",#N/A,FALSE,"Sheet3";"pd",#N/A,FALSE,"Sheet3";"pe",#N/A,FALSE,"Sheet3"}</definedName>
    <definedName name="wrn.agexpense." localSheetId="3" hidden="1">{"pb",#N/A,FALSE,"Sheet3";"pd",#N/A,FALSE,"Sheet3";"pe",#N/A,FALSE,"Sheet3"}</definedName>
    <definedName name="wrn.agexpense." localSheetId="47" hidden="1">{"pb",#N/A,FALSE,"Sheet3";"pd",#N/A,FALSE,"Sheet3";"pe",#N/A,FALSE,"Sheet3"}</definedName>
    <definedName name="wrn.agexpense." hidden="1">{"pb",#N/A,FALSE,"Sheet3";"pd",#N/A,FALSE,"Sheet3";"pe",#N/A,FALSE,"Sheet3"}</definedName>
    <definedName name="wrn.Aging._.and._.Trend._.Analysis." localSheetId="32"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32" hidden="1">{"AGT",#N/A,FALSE,"Revenue"}</definedName>
    <definedName name="wrn.AGT." localSheetId="6" hidden="1">{"AGT",#N/A,FALSE,"Revenue"}</definedName>
    <definedName name="wrn.AGT." localSheetId="7" hidden="1">{"AGT",#N/A,FALSE,"Revenue"}</definedName>
    <definedName name="wrn.AGT." localSheetId="3" hidden="1">{"AGT",#N/A,FALSE,"Revenue"}</definedName>
    <definedName name="wrn.AGT." localSheetId="29" hidden="1">{"AGT",#N/A,FALSE,"Revenue"}</definedName>
    <definedName name="wrn.AGT." localSheetId="47" hidden="1">{"AGT",#N/A,FALSE,"Revenue"}</definedName>
    <definedName name="wrn.AGT." hidden="1">{"AGT",#N/A,FALSE,"Revenue"}</definedName>
    <definedName name="wrn.ALL." localSheetId="1" hidden="1">{#N/A,#N/A,TRUE,"1990";#N/A,#N/A,TRUE,"1991";#N/A,#N/A,TRUE,"1992";#N/A,#N/A,TRUE,"1993"}</definedName>
    <definedName name="wrn.ALL." localSheetId="32" hidden="1">{#N/A,#N/A,TRUE,"1990";#N/A,#N/A,TRUE,"1991";#N/A,#N/A,TRUE,"1992";#N/A,#N/A,TRUE,"1993"}</definedName>
    <definedName name="wrn.ALL." localSheetId="6" hidden="1">{#N/A,#N/A,TRUE,"1990";#N/A,#N/A,TRUE,"1991";#N/A,#N/A,TRUE,"1992";#N/A,#N/A,TRUE,"1993"}</definedName>
    <definedName name="wrn.ALL." localSheetId="4" hidden="1">{#N/A,#N/A,TRUE,"1990";#N/A,#N/A,TRUE,"1991";#N/A,#N/A,TRUE,"1992";#N/A,#N/A,TRUE,"1993"}</definedName>
    <definedName name="wrn.ALL." localSheetId="5" hidden="1">{#N/A,#N/A,TRUE,"1990";#N/A,#N/A,TRUE,"1991";#N/A,#N/A,TRUE,"1992";#N/A,#N/A,TRUE,"1993"}</definedName>
    <definedName name="wrn.ALL." localSheetId="7" hidden="1">{#N/A,#N/A,TRUE,"1990";#N/A,#N/A,TRUE,"1991";#N/A,#N/A,TRUE,"1992";#N/A,#N/A,TRUE,"1993"}</definedName>
    <definedName name="wrn.ALL." localSheetId="3" hidden="1">{#N/A,#N/A,TRUE,"1990";#N/A,#N/A,TRUE,"1991";#N/A,#N/A,TRUE,"1992";#N/A,#N/A,TRUE,"1993"}</definedName>
    <definedName name="wrn.ALL." localSheetId="47" hidden="1">{#N/A,#N/A,TRUE,"1990";#N/A,#N/A,TRUE,"1991";#N/A,#N/A,TRUE,"1992";#N/A,#N/A,TRUE,"1993"}</definedName>
    <definedName name="wrn.ALL." hidden="1">{#N/A,#N/A,TRUE,"1990";#N/A,#N/A,TRUE,"1991";#N/A,#N/A,TRUE,"1992";#N/A,#N/A,TRUE,"1993"}</definedName>
    <definedName name="wrn.All._.Pages."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heets." localSheetId="1" hidden="1">{"IncSt",#N/A,FALSE,"IS";"BalSht",#N/A,FALSE,"BS";"IntCash",#N/A,FALSE,"Int. Cash";"Stats",#N/A,FALSE,"Stats"}</definedName>
    <definedName name="wrn.All._.Sheets." localSheetId="32" hidden="1">{"IncSt",#N/A,FALSE,"IS";"BalSht",#N/A,FALSE,"BS";"IntCash",#N/A,FALSE,"Int. Cash";"Stats",#N/A,FALSE,"Stats"}</definedName>
    <definedName name="wrn.All._.Sheets." localSheetId="6" hidden="1">{"IncSt",#N/A,FALSE,"IS";"BalSht",#N/A,FALSE,"BS";"IntCash",#N/A,FALSE,"Int. Cash";"Stats",#N/A,FALSE,"Stats"}</definedName>
    <definedName name="wrn.All._.Sheets." localSheetId="4" hidden="1">{"IncSt",#N/A,FALSE,"IS";"BalSht",#N/A,FALSE,"BS";"IntCash",#N/A,FALSE,"Int. Cash";"Stats",#N/A,FALSE,"Stats"}</definedName>
    <definedName name="wrn.All._.Sheets." localSheetId="5" hidden="1">{"IncSt",#N/A,FALSE,"IS";"BalSht",#N/A,FALSE,"BS";"IntCash",#N/A,FALSE,"Int. Cash";"Stats",#N/A,FALSE,"Stats"}</definedName>
    <definedName name="wrn.All._.Sheets." localSheetId="7" hidden="1">{"IncSt",#N/A,FALSE,"IS";"BalSht",#N/A,FALSE,"BS";"IntCash",#N/A,FALSE,"Int. Cash";"Stats",#N/A,FALSE,"Stats"}</definedName>
    <definedName name="wrn.All._.Sheets." localSheetId="3" hidden="1">{"IncSt",#N/A,FALSE,"IS";"BalSht",#N/A,FALSE,"BS";"IntCash",#N/A,FALSE,"Int. Cash";"Stats",#N/A,FALSE,"Stats"}</definedName>
    <definedName name="wrn.All._.Sheets." localSheetId="47" hidden="1">{"IncSt",#N/A,FALSE,"IS";"BalSht",#N/A,FALSE,"BS";"IntCash",#N/A,FALSE,"Int. Cash";"Stats",#N/A,FALSE,"Stats"}</definedName>
    <definedName name="wrn.All._.Sheets." hidden="1">{"IncSt",#N/A,FALSE,"IS";"BalSht",#N/A,FALSE,"BS";"IntCash",#N/A,FALSE,"Int. Cash";"Stats",#N/A,FALSE,"Stats"}</definedName>
    <definedName name="wrn.ALL_REPORTS." localSheetId="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3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6"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4"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5"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3"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2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4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Rjs." localSheetId="1" hidden="1">{#N/A,#N/A,FALSE,"SCA";#N/A,#N/A,FALSE,"NCA";#N/A,#N/A,FALSE,"SAZ";#N/A,#N/A,FALSE,"CAZ";#N/A,#N/A,FALSE,"SNV";#N/A,#N/A,FALSE,"NNV";#N/A,#N/A,FALSE,"PP";#N/A,#N/A,FALSE,"SA"}</definedName>
    <definedName name="wrn.AllRjs." localSheetId="32" hidden="1">{#N/A,#N/A,FALSE,"SCA";#N/A,#N/A,FALSE,"NCA";#N/A,#N/A,FALSE,"SAZ";#N/A,#N/A,FALSE,"CAZ";#N/A,#N/A,FALSE,"SNV";#N/A,#N/A,FALSE,"NNV";#N/A,#N/A,FALSE,"PP";#N/A,#N/A,FALSE,"SA"}</definedName>
    <definedName name="wrn.AllRjs." localSheetId="6" hidden="1">{#N/A,#N/A,FALSE,"SCA";#N/A,#N/A,FALSE,"NCA";#N/A,#N/A,FALSE,"SAZ";#N/A,#N/A,FALSE,"CAZ";#N/A,#N/A,FALSE,"SNV";#N/A,#N/A,FALSE,"NNV";#N/A,#N/A,FALSE,"PP";#N/A,#N/A,FALSE,"SA"}</definedName>
    <definedName name="wrn.AllRjs." localSheetId="4" hidden="1">{#N/A,#N/A,FALSE,"SCA";#N/A,#N/A,FALSE,"NCA";#N/A,#N/A,FALSE,"SAZ";#N/A,#N/A,FALSE,"CAZ";#N/A,#N/A,FALSE,"SNV";#N/A,#N/A,FALSE,"NNV";#N/A,#N/A,FALSE,"PP";#N/A,#N/A,FALSE,"SA"}</definedName>
    <definedName name="wrn.AllRjs." localSheetId="5" hidden="1">{#N/A,#N/A,FALSE,"SCA";#N/A,#N/A,FALSE,"NCA";#N/A,#N/A,FALSE,"SAZ";#N/A,#N/A,FALSE,"CAZ";#N/A,#N/A,FALSE,"SNV";#N/A,#N/A,FALSE,"NNV";#N/A,#N/A,FALSE,"PP";#N/A,#N/A,FALSE,"SA"}</definedName>
    <definedName name="wrn.AllRjs." localSheetId="7" hidden="1">{#N/A,#N/A,FALSE,"SCA";#N/A,#N/A,FALSE,"NCA";#N/A,#N/A,FALSE,"SAZ";#N/A,#N/A,FALSE,"CAZ";#N/A,#N/A,FALSE,"SNV";#N/A,#N/A,FALSE,"NNV";#N/A,#N/A,FALSE,"PP";#N/A,#N/A,FALSE,"SA"}</definedName>
    <definedName name="wrn.AllRjs." localSheetId="3" hidden="1">{#N/A,#N/A,FALSE,"SCA";#N/A,#N/A,FALSE,"NCA";#N/A,#N/A,FALSE,"SAZ";#N/A,#N/A,FALSE,"CAZ";#N/A,#N/A,FALSE,"SNV";#N/A,#N/A,FALSE,"NNV";#N/A,#N/A,FALSE,"PP";#N/A,#N/A,FALSE,"SA"}</definedName>
    <definedName name="wrn.AllRjs." localSheetId="47" hidden="1">{#N/A,#N/A,FALSE,"SCA";#N/A,#N/A,FALSE,"NCA";#N/A,#N/A,FALSE,"SAZ";#N/A,#N/A,FALSE,"CAZ";#N/A,#N/A,FALSE,"SNV";#N/A,#N/A,FALSE,"NNV";#N/A,#N/A,FALSE,"PP";#N/A,#N/A,FALSE,"SA"}</definedName>
    <definedName name="wrn.AllRjs." hidden="1">{#N/A,#N/A,FALSE,"SCA";#N/A,#N/A,FALSE,"NCA";#N/A,#N/A,FALSE,"SAZ";#N/A,#N/A,FALSE,"CAZ";#N/A,#N/A,FALSE,"SNV";#N/A,#N/A,FALSE,"NNV";#N/A,#N/A,FALSE,"PP";#N/A,#N/A,FALSE,"SA"}</definedName>
    <definedName name="wrn.alrjs." localSheetId="1" hidden="1">{#N/A,#N/A,FALSE,"SCA";#N/A,#N/A,FALSE,"NCA";#N/A,#N/A,FALSE,"SAZ";#N/A,#N/A,FALSE,"CAZ";#N/A,#N/A,FALSE,"SNV";#N/A,#N/A,FALSE,"NNV";#N/A,#N/A,FALSE,"PP";#N/A,#N/A,FALSE,"SA"}</definedName>
    <definedName name="wrn.alrjs." localSheetId="32" hidden="1">{#N/A,#N/A,FALSE,"SCA";#N/A,#N/A,FALSE,"NCA";#N/A,#N/A,FALSE,"SAZ";#N/A,#N/A,FALSE,"CAZ";#N/A,#N/A,FALSE,"SNV";#N/A,#N/A,FALSE,"NNV";#N/A,#N/A,FALSE,"PP";#N/A,#N/A,FALSE,"SA"}</definedName>
    <definedName name="wrn.alrjs." localSheetId="6" hidden="1">{#N/A,#N/A,FALSE,"SCA";#N/A,#N/A,FALSE,"NCA";#N/A,#N/A,FALSE,"SAZ";#N/A,#N/A,FALSE,"CAZ";#N/A,#N/A,FALSE,"SNV";#N/A,#N/A,FALSE,"NNV";#N/A,#N/A,FALSE,"PP";#N/A,#N/A,FALSE,"SA"}</definedName>
    <definedName name="wrn.alrjs." localSheetId="4" hidden="1">{#N/A,#N/A,FALSE,"SCA";#N/A,#N/A,FALSE,"NCA";#N/A,#N/A,FALSE,"SAZ";#N/A,#N/A,FALSE,"CAZ";#N/A,#N/A,FALSE,"SNV";#N/A,#N/A,FALSE,"NNV";#N/A,#N/A,FALSE,"PP";#N/A,#N/A,FALSE,"SA"}</definedName>
    <definedName name="wrn.alrjs." localSheetId="5" hidden="1">{#N/A,#N/A,FALSE,"SCA";#N/A,#N/A,FALSE,"NCA";#N/A,#N/A,FALSE,"SAZ";#N/A,#N/A,FALSE,"CAZ";#N/A,#N/A,FALSE,"SNV";#N/A,#N/A,FALSE,"NNV";#N/A,#N/A,FALSE,"PP";#N/A,#N/A,FALSE,"SA"}</definedName>
    <definedName name="wrn.alrjs." localSheetId="7" hidden="1">{#N/A,#N/A,FALSE,"SCA";#N/A,#N/A,FALSE,"NCA";#N/A,#N/A,FALSE,"SAZ";#N/A,#N/A,FALSE,"CAZ";#N/A,#N/A,FALSE,"SNV";#N/A,#N/A,FALSE,"NNV";#N/A,#N/A,FALSE,"PP";#N/A,#N/A,FALSE,"SA"}</definedName>
    <definedName name="wrn.alrjs." localSheetId="3" hidden="1">{#N/A,#N/A,FALSE,"SCA";#N/A,#N/A,FALSE,"NCA";#N/A,#N/A,FALSE,"SAZ";#N/A,#N/A,FALSE,"CAZ";#N/A,#N/A,FALSE,"SNV";#N/A,#N/A,FALSE,"NNV";#N/A,#N/A,FALSE,"PP";#N/A,#N/A,FALSE,"SA"}</definedName>
    <definedName name="wrn.alrjs." localSheetId="47" hidden="1">{#N/A,#N/A,FALSE,"SCA";#N/A,#N/A,FALSE,"NCA";#N/A,#N/A,FALSE,"SAZ";#N/A,#N/A,FALSE,"CAZ";#N/A,#N/A,FALSE,"SNV";#N/A,#N/A,FALSE,"NNV";#N/A,#N/A,FALSE,"PP";#N/A,#N/A,FALSE,"SA"}</definedName>
    <definedName name="wrn.alrjs." hidden="1">{#N/A,#N/A,FALSE,"SCA";#N/A,#N/A,FALSE,"NCA";#N/A,#N/A,FALSE,"SAZ";#N/A,#N/A,FALSE,"CAZ";#N/A,#N/A,FALSE,"SNV";#N/A,#N/A,FALSE,"NNV";#N/A,#N/A,FALSE,"PP";#N/A,#N/A,FALSE,"SA"}</definedName>
    <definedName name="wrn.ARK._.JURIS._.FAC._.CALC." localSheetId="1" hidden="1">{"ARK_JURIS_FAC",#N/A,FALSE,"Ark_Fuel&amp;Rev"}</definedName>
    <definedName name="wrn.ARK._.JURIS._.FAC._.CALC." localSheetId="32" hidden="1">{"ARK_JURIS_FAC",#N/A,FALSE,"Ark_Fuel&amp;Rev"}</definedName>
    <definedName name="wrn.ARK._.JURIS._.FAC._.CALC." localSheetId="6" hidden="1">{"ARK_JURIS_FAC",#N/A,FALSE,"Ark_Fuel&amp;Rev"}</definedName>
    <definedName name="wrn.ARK._.JURIS._.FAC._.CALC." localSheetId="4" hidden="1">{"ARK_JURIS_FAC",#N/A,FALSE,"Ark_Fuel&amp;Rev"}</definedName>
    <definedName name="wrn.ARK._.JURIS._.FAC._.CALC." localSheetId="5" hidden="1">{"ARK_JURIS_FAC",#N/A,FALSE,"Ark_Fuel&amp;Rev"}</definedName>
    <definedName name="wrn.ARK._.JURIS._.FAC._.CALC." localSheetId="7" hidden="1">{"ARK_JURIS_FAC",#N/A,FALSE,"Ark_Fuel&amp;Rev"}</definedName>
    <definedName name="wrn.ARK._.JURIS._.FAC._.CALC." localSheetId="3" hidden="1">{"ARK_JURIS_FAC",#N/A,FALSE,"Ark_Fuel&amp;Rev"}</definedName>
    <definedName name="wrn.ARK._.JURIS._.FAC._.CALC." localSheetId="47" hidden="1">{"ARK_JURIS_FAC",#N/A,FALSE,"Ark_Fuel&amp;Rev"}</definedName>
    <definedName name="wrn.ARK._.JURIS._.FAC._.CALC." hidden="1">{"ARK_JURIS_FAC",#N/A,FALSE,"Ark_Fuel&amp;Rev"}</definedName>
    <definedName name="wrn.ARK._.JURIS._.FUEL._.COST." localSheetId="1" hidden="1">{"ARK_JURIS_FUEL",#N/A,FALSE,"Ark_Fuel&amp;Rev"}</definedName>
    <definedName name="wrn.ARK._.JURIS._.FUEL._.COST." localSheetId="32" hidden="1">{"ARK_JURIS_FUEL",#N/A,FALSE,"Ark_Fuel&amp;Rev"}</definedName>
    <definedName name="wrn.ARK._.JURIS._.FUEL._.COST." localSheetId="6" hidden="1">{"ARK_JURIS_FUEL",#N/A,FALSE,"Ark_Fuel&amp;Rev"}</definedName>
    <definedName name="wrn.ARK._.JURIS._.FUEL._.COST." localSheetId="4" hidden="1">{"ARK_JURIS_FUEL",#N/A,FALSE,"Ark_Fuel&amp;Rev"}</definedName>
    <definedName name="wrn.ARK._.JURIS._.FUEL._.COST." localSheetId="5" hidden="1">{"ARK_JURIS_FUEL",#N/A,FALSE,"Ark_Fuel&amp;Rev"}</definedName>
    <definedName name="wrn.ARK._.JURIS._.FUEL._.COST." localSheetId="7" hidden="1">{"ARK_JURIS_FUEL",#N/A,FALSE,"Ark_Fuel&amp;Rev"}</definedName>
    <definedName name="wrn.ARK._.JURIS._.FUEL._.COST." localSheetId="3" hidden="1">{"ARK_JURIS_FUEL",#N/A,FALSE,"Ark_Fuel&amp;Rev"}</definedName>
    <definedName name="wrn.ARK._.JURIS._.FUEL._.COST." localSheetId="47" hidden="1">{"ARK_JURIS_FUEL",#N/A,FALSE,"Ark_Fuel&amp;Rev"}</definedName>
    <definedName name="wrn.ARK._.JURIS._.FUEL._.COST." hidden="1">{"ARK_JURIS_FUEL",#N/A,FALSE,"Ark_Fuel&amp;Rev"}</definedName>
    <definedName name="wrn.ATOKA._.FAC._.CALC." localSheetId="1" hidden="1">{"ATOKA_FAC",#N/A,FALSE,"Atoka"}</definedName>
    <definedName name="wrn.ATOKA._.FAC._.CALC." localSheetId="32" hidden="1">{"ATOKA_FAC",#N/A,FALSE,"Atoka"}</definedName>
    <definedName name="wrn.ATOKA._.FAC._.CALC." localSheetId="6" hidden="1">{"ATOKA_FAC",#N/A,FALSE,"Atoka"}</definedName>
    <definedName name="wrn.ATOKA._.FAC._.CALC." localSheetId="4" hidden="1">{"ATOKA_FAC",#N/A,FALSE,"Atoka"}</definedName>
    <definedName name="wrn.ATOKA._.FAC._.CALC." localSheetId="5" hidden="1">{"ATOKA_FAC",#N/A,FALSE,"Atoka"}</definedName>
    <definedName name="wrn.ATOKA._.FAC._.CALC." localSheetId="7" hidden="1">{"ATOKA_FAC",#N/A,FALSE,"Atoka"}</definedName>
    <definedName name="wrn.ATOKA._.FAC._.CALC." localSheetId="3" hidden="1">{"ATOKA_FAC",#N/A,FALSE,"Atoka"}</definedName>
    <definedName name="wrn.ATOKA._.FAC._.CALC." localSheetId="47" hidden="1">{"ATOKA_FAC",#N/A,FALSE,"Atoka"}</definedName>
    <definedName name="wrn.ATOKA._.FAC._.CALC." hidden="1">{"ATOKA_FAC",#N/A,FALSE,"Atoka"}</definedName>
    <definedName name="wrn.August._.1._.2003._.Rate._.Change." localSheetId="32"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4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Filing." localSheetId="32" hidden="1">{"2002 Scedule A Revenue Proof",#N/A,FALSE,"Schedule A";"2002 Rate Detail",#N/A,FALSE,"Schedule B";"2002 Light Rates Page 1",#N/A,FALSE,"Schedule B";"2002 Light Rates Page 2",#N/A,FALSE,"Schedule B";"Schedule C",#N/A,FALSE,"Schedule C"}</definedName>
    <definedName name="wrn.August._.1._.Filing." localSheetId="6" hidden="1">{"2002 Scedule A Revenue Proof",#N/A,FALSE,"Schedule A";"2002 Rate Detail",#N/A,FALSE,"Schedule B";"2002 Light Rates Page 1",#N/A,FALSE,"Schedule B";"2002 Light Rates Page 2",#N/A,FALSE,"Schedule B";"Schedule C",#N/A,FALSE,"Schedule C"}</definedName>
    <definedName name="wrn.August._.1._.Filing." localSheetId="7" hidden="1">{"2002 Scedule A Revenue Proof",#N/A,FALSE,"Schedule A";"2002 Rate Detail",#N/A,FALSE,"Schedule B";"2002 Light Rates Page 1",#N/A,FALSE,"Schedule B";"2002 Light Rates Page 2",#N/A,FALSE,"Schedule B";"Schedule C",#N/A,FALSE,"Schedule C"}</definedName>
    <definedName name="wrn.August._.1._.Filing." localSheetId="3" hidden="1">{"2002 Scedule A Revenue Proof",#N/A,FALSE,"Schedule A";"2002 Rate Detail",#N/A,FALSE,"Schedule B";"2002 Light Rates Page 1",#N/A,FALSE,"Schedule B";"2002 Light Rates Page 2",#N/A,FALSE,"Schedule B";"Schedule C",#N/A,FALSE,"Schedule C"}</definedName>
    <definedName name="wrn.August._.1._.Filing." localSheetId="29" hidden="1">{"2002 Scedule A Revenue Proof",#N/A,FALSE,"Schedule A";"2002 Rate Detail",#N/A,FALSE,"Schedule B";"2002 Light Rates Page 1",#N/A,FALSE,"Schedule B";"2002 Light Rates Page 2",#N/A,FALSE,"Schedule B";"Schedule C",#N/A,FALSE,"Schedule C"}</definedName>
    <definedName name="wrn.August._.1._.Filing." localSheetId="47" hidden="1">{"2002 Scedule A Revenue Proof",#N/A,FALSE,"Schedule A";"2002 Rate Detail",#N/A,FALSE,"Schedule B";"2002 Light Rates Page 1",#N/A,FALSE,"Schedule B";"2002 Light Rates Page 2",#N/A,FALSE,"Schedule B";"Schedule C",#N/A,FALSE,"Schedule C"}</definedName>
    <definedName name="wrn.August._.1._.Filing." hidden="1">{"2002 Scedule A Revenue Proof",#N/A,FALSE,"Schedule A";"2002 Rate Detail",#N/A,FALSE,"Schedule B";"2002 Light Rates Page 1",#N/A,FALSE,"Schedule B";"2002 Light Rates Page 2",#N/A,FALSE,"Schedule B";"Schedule C",#N/A,FALSE,"Schedule C"}</definedName>
    <definedName name="wrn.Basic." localSheetId="32" hidden="1">{#N/A,#N/A,FALSE,"O&amp;M by processes";#N/A,#N/A,FALSE,"Elec Act vs Bud";#N/A,#N/A,FALSE,"G&amp;A";#N/A,#N/A,FALSE,"BGS";#N/A,#N/A,FALSE,"Res Cost"}</definedName>
    <definedName name="wrn.Basic." localSheetId="6" hidden="1">{#N/A,#N/A,FALSE,"O&amp;M by processes";#N/A,#N/A,FALSE,"Elec Act vs Bud";#N/A,#N/A,FALSE,"G&amp;A";#N/A,#N/A,FALSE,"BGS";#N/A,#N/A,FALSE,"Res Cost"}</definedName>
    <definedName name="wrn.Basic." localSheetId="7" hidden="1">{#N/A,#N/A,FALSE,"O&amp;M by processes";#N/A,#N/A,FALSE,"Elec Act vs Bud";#N/A,#N/A,FALSE,"G&amp;A";#N/A,#N/A,FALSE,"BGS";#N/A,#N/A,FALSE,"Res Cost"}</definedName>
    <definedName name="wrn.Basic." localSheetId="3" hidden="1">{#N/A,#N/A,FALSE,"O&amp;M by processes";#N/A,#N/A,FALSE,"Elec Act vs Bud";#N/A,#N/A,FALSE,"G&amp;A";#N/A,#N/A,FALSE,"BGS";#N/A,#N/A,FALSE,"Res Cost"}</definedName>
    <definedName name="wrn.Basic." localSheetId="29" hidden="1">{#N/A,#N/A,FALSE,"O&amp;M by processes";#N/A,#N/A,FALSE,"Elec Act vs Bud";#N/A,#N/A,FALSE,"G&amp;A";#N/A,#N/A,FALSE,"BGS";#N/A,#N/A,FALSE,"Res Cost"}</definedName>
    <definedName name="wrn.Basic." localSheetId="47" hidden="1">{#N/A,#N/A,FALSE,"O&amp;M by processes";#N/A,#N/A,FALSE,"Elec Act vs Bud";#N/A,#N/A,FALSE,"G&amp;A";#N/A,#N/A,FALSE,"BGS";#N/A,#N/A,FALSE,"Res Cost"}</definedName>
    <definedName name="wrn.Basic." hidden="1">{#N/A,#N/A,FALSE,"O&amp;M by processes";#N/A,#N/A,FALSE,"Elec Act vs Bud";#N/A,#N/A,FALSE,"G&amp;A";#N/A,#N/A,FALSE,"BGS";#N/A,#N/A,FALSE,"Res Cost"}</definedName>
    <definedName name="wrn.Benefits." localSheetId="1" hidden="1">{"Benefits Summary",#N/A,FALSE,"Benefits Info without WC Amount";"Medical and Dental Costs",#N/A,FALSE,"Benefits Info without WC Amount";"Workers' Compensation",#N/A,FALSE,"Benefits Info without WC Amount"}</definedName>
    <definedName name="wrn.Benefits." localSheetId="32" hidden="1">{"Benefits Summary",#N/A,FALSE,"Benefits Info without WC Amount";"Medical and Dental Costs",#N/A,FALSE,"Benefits Info without WC Amount";"Workers' Compensation",#N/A,FALSE,"Benefits Info without WC Amount"}</definedName>
    <definedName name="wrn.Benefits." localSheetId="6" hidden="1">{"Benefits Summary",#N/A,FALSE,"Benefits Info without WC Amount";"Medical and Dental Costs",#N/A,FALSE,"Benefits Info without WC Amount";"Workers' Compensation",#N/A,FALSE,"Benefits Info without WC Amount"}</definedName>
    <definedName name="wrn.Benefits." localSheetId="4" hidden="1">{"Benefits Summary",#N/A,FALSE,"Benefits Info without WC Amount";"Medical and Dental Costs",#N/A,FALSE,"Benefits Info without WC Amount";"Workers' Compensation",#N/A,FALSE,"Benefits Info without WC Amount"}</definedName>
    <definedName name="wrn.Benefits." localSheetId="5" hidden="1">{"Benefits Summary",#N/A,FALSE,"Benefits Info without WC Amount";"Medical and Dental Costs",#N/A,FALSE,"Benefits Info without WC Amount";"Workers' Compensation",#N/A,FALSE,"Benefits Info without WC Amount"}</definedName>
    <definedName name="wrn.Benefits." localSheetId="7" hidden="1">{"Benefits Summary",#N/A,FALSE,"Benefits Info without WC Amount";"Medical and Dental Costs",#N/A,FALSE,"Benefits Info without WC Amount";"Workers' Compensation",#N/A,FALSE,"Benefits Info without WC Amount"}</definedName>
    <definedName name="wrn.Benefits." localSheetId="3" hidden="1">{"Benefits Summary",#N/A,FALSE,"Benefits Info without WC Amount";"Medical and Dental Costs",#N/A,FALSE,"Benefits Info without WC Amount";"Workers' Compensation",#N/A,FALSE,"Benefits Info without WC Amount"}</definedName>
    <definedName name="wrn.Benefits." localSheetId="47"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Bill._.Comparisons." localSheetId="1" hidden="1">{#N/A,#N/A,TRUE,"Bill Comp - 60";#N/A,#N/A,TRUE,"Bill Comp - 70";#N/A,#N/A,TRUE,"Bill Comp - 71";#N/A,#N/A,TRUE,"Bill Comp- 85"}</definedName>
    <definedName name="wrn.Bill._.Comparisons." localSheetId="32" hidden="1">{#N/A,#N/A,TRUE,"Bill Comp - 60";#N/A,#N/A,TRUE,"Bill Comp - 70";#N/A,#N/A,TRUE,"Bill Comp - 71";#N/A,#N/A,TRUE,"Bill Comp- 85"}</definedName>
    <definedName name="wrn.Bill._.Comparisons." localSheetId="6" hidden="1">{#N/A,#N/A,TRUE,"Bill Comp - 60";#N/A,#N/A,TRUE,"Bill Comp - 70";#N/A,#N/A,TRUE,"Bill Comp - 71";#N/A,#N/A,TRUE,"Bill Comp- 85"}</definedName>
    <definedName name="wrn.Bill._.Comparisons." localSheetId="4" hidden="1">{#N/A,#N/A,TRUE,"Bill Comp - 60";#N/A,#N/A,TRUE,"Bill Comp - 70";#N/A,#N/A,TRUE,"Bill Comp - 71";#N/A,#N/A,TRUE,"Bill Comp- 85"}</definedName>
    <definedName name="wrn.Bill._.Comparisons." localSheetId="5" hidden="1">{#N/A,#N/A,TRUE,"Bill Comp - 60";#N/A,#N/A,TRUE,"Bill Comp - 70";#N/A,#N/A,TRUE,"Bill Comp - 71";#N/A,#N/A,TRUE,"Bill Comp- 85"}</definedName>
    <definedName name="wrn.Bill._.Comparisons." localSheetId="7" hidden="1">{#N/A,#N/A,TRUE,"Bill Comp - 60";#N/A,#N/A,TRUE,"Bill Comp - 70";#N/A,#N/A,TRUE,"Bill Comp - 71";#N/A,#N/A,TRUE,"Bill Comp- 85"}</definedName>
    <definedName name="wrn.Bill._.Comparisons." localSheetId="3" hidden="1">{#N/A,#N/A,TRUE,"Bill Comp - 60";#N/A,#N/A,TRUE,"Bill Comp - 70";#N/A,#N/A,TRUE,"Bill Comp - 71";#N/A,#N/A,TRUE,"Bill Comp- 85"}</definedName>
    <definedName name="wrn.Bill._.Comparisons." localSheetId="47" hidden="1">{#N/A,#N/A,TRUE,"Bill Comp - 60";#N/A,#N/A,TRUE,"Bill Comp - 70";#N/A,#N/A,TRUE,"Bill Comp - 71";#N/A,#N/A,TRUE,"Bill Comp- 85"}</definedName>
    <definedName name="wrn.Bill._.Comparisons." hidden="1">{#N/A,#N/A,TRUE,"Bill Comp - 60";#N/A,#N/A,TRUE,"Bill Comp - 70";#N/A,#N/A,TRUE,"Bill Comp - 71";#N/A,#N/A,TRUE,"Bill Comp- 85"}</definedName>
    <definedName name="wrn.BOD._.QTR." localSheetId="32"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6"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7"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3"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47"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udget._.Exhibits." localSheetId="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3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6"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5"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2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4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CAPACITY._.ALLOC._.SUMMARY." localSheetId="1" hidden="1">{"CAP_ALLOC_SUMMARY",#N/A,FALSE,"Alloc Summary"}</definedName>
    <definedName name="wrn.CAPACITY._.ALLOC._.SUMMARY." localSheetId="32" hidden="1">{"CAP_ALLOC_SUMMARY",#N/A,FALSE,"Alloc Summary"}</definedName>
    <definedName name="wrn.CAPACITY._.ALLOC._.SUMMARY." localSheetId="6" hidden="1">{"CAP_ALLOC_SUMMARY",#N/A,FALSE,"Alloc Summary"}</definedName>
    <definedName name="wrn.CAPACITY._.ALLOC._.SUMMARY." localSheetId="4" hidden="1">{"CAP_ALLOC_SUMMARY",#N/A,FALSE,"Alloc Summary"}</definedName>
    <definedName name="wrn.CAPACITY._.ALLOC._.SUMMARY." localSheetId="5" hidden="1">{"CAP_ALLOC_SUMMARY",#N/A,FALSE,"Alloc Summary"}</definedName>
    <definedName name="wrn.CAPACITY._.ALLOC._.SUMMARY." localSheetId="7" hidden="1">{"CAP_ALLOC_SUMMARY",#N/A,FALSE,"Alloc Summary"}</definedName>
    <definedName name="wrn.CAPACITY._.ALLOC._.SUMMARY." localSheetId="3" hidden="1">{"CAP_ALLOC_SUMMARY",#N/A,FALSE,"Alloc Summary"}</definedName>
    <definedName name="wrn.CAPACITY._.ALLOC._.SUMMARY." localSheetId="29" hidden="1">{"CAP_ALLOC_SUMMARY",#N/A,FALSE,"Alloc Summary"}</definedName>
    <definedName name="wrn.CAPACITY._.ALLOC._.SUMMARY." localSheetId="47" hidden="1">{"CAP_ALLOC_SUMMARY",#N/A,FALSE,"Alloc Summary"}</definedName>
    <definedName name="wrn.CAPACITY._.ALLOC._.SUMMARY." hidden="1">{"CAP_ALLOC_SUMMARY",#N/A,FALSE,"Alloc Summary"}</definedName>
    <definedName name="wrn.ChartSet." localSheetId="32" hidden="1">{#N/A,#N/A,FALSE,"Elec Deliv";#N/A,#N/A,FALSE,"Atlantic Pie";#N/A,#N/A,FALSE,"Bay Pie";#N/A,#N/A,FALSE,"New Castle Pie";#N/A,#N/A,FALSE,"Transmission Pie"}</definedName>
    <definedName name="wrn.ChartSet." localSheetId="6" hidden="1">{#N/A,#N/A,FALSE,"Elec Deliv";#N/A,#N/A,FALSE,"Atlantic Pie";#N/A,#N/A,FALSE,"Bay Pie";#N/A,#N/A,FALSE,"New Castle Pie";#N/A,#N/A,FALSE,"Transmission Pie"}</definedName>
    <definedName name="wrn.ChartSet." localSheetId="7" hidden="1">{#N/A,#N/A,FALSE,"Elec Deliv";#N/A,#N/A,FALSE,"Atlantic Pie";#N/A,#N/A,FALSE,"Bay Pie";#N/A,#N/A,FALSE,"New Castle Pie";#N/A,#N/A,FALSE,"Transmission Pie"}</definedName>
    <definedName name="wrn.ChartSet." localSheetId="3" hidden="1">{#N/A,#N/A,FALSE,"Elec Deliv";#N/A,#N/A,FALSE,"Atlantic Pie";#N/A,#N/A,FALSE,"Bay Pie";#N/A,#N/A,FALSE,"New Castle Pie";#N/A,#N/A,FALSE,"Transmission Pie"}</definedName>
    <definedName name="wrn.ChartSet." localSheetId="29" hidden="1">{#N/A,#N/A,FALSE,"Elec Deliv";#N/A,#N/A,FALSE,"Atlantic Pie";#N/A,#N/A,FALSE,"Bay Pie";#N/A,#N/A,FALSE,"New Castle Pie";#N/A,#N/A,FALSE,"Transmission Pie"}</definedName>
    <definedName name="wrn.ChartSet." localSheetId="47"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LP._.SEG._.INPUTS." localSheetId="1" hidden="1">{#N/A,#N/A,FALSE,"Rev Seg Taxes";#N/A,#N/A,FALSE,"BookRev Seg";#N/A,#N/A,FALSE,"Supp Adj Seg";#N/A,#N/A,FALSE,"outside prov seg taxes"}</definedName>
    <definedName name="wrn.CLP._.SEG._.INPUTS." localSheetId="32" hidden="1">{#N/A,#N/A,FALSE,"Rev Seg Taxes";#N/A,#N/A,FALSE,"BookRev Seg";#N/A,#N/A,FALSE,"Supp Adj Seg";#N/A,#N/A,FALSE,"outside prov seg taxes"}</definedName>
    <definedName name="wrn.CLP._.SEG._.INPUTS." localSheetId="6" hidden="1">{#N/A,#N/A,FALSE,"Rev Seg Taxes";#N/A,#N/A,FALSE,"BookRev Seg";#N/A,#N/A,FALSE,"Supp Adj Seg";#N/A,#N/A,FALSE,"outside prov seg taxes"}</definedName>
    <definedName name="wrn.CLP._.SEG._.INPUTS." localSheetId="4" hidden="1">{#N/A,#N/A,FALSE,"Rev Seg Taxes";#N/A,#N/A,FALSE,"BookRev Seg";#N/A,#N/A,FALSE,"Supp Adj Seg";#N/A,#N/A,FALSE,"outside prov seg taxes"}</definedName>
    <definedName name="wrn.CLP._.SEG._.INPUTS." localSheetId="5" hidden="1">{#N/A,#N/A,FALSE,"Rev Seg Taxes";#N/A,#N/A,FALSE,"BookRev Seg";#N/A,#N/A,FALSE,"Supp Adj Seg";#N/A,#N/A,FALSE,"outside prov seg taxes"}</definedName>
    <definedName name="wrn.CLP._.SEG._.INPUTS." localSheetId="7" hidden="1">{#N/A,#N/A,FALSE,"Rev Seg Taxes";#N/A,#N/A,FALSE,"BookRev Seg";#N/A,#N/A,FALSE,"Supp Adj Seg";#N/A,#N/A,FALSE,"outside prov seg taxes"}</definedName>
    <definedName name="wrn.CLP._.SEG._.INPUTS." localSheetId="3" hidden="1">{#N/A,#N/A,FALSE,"Rev Seg Taxes";#N/A,#N/A,FALSE,"BookRev Seg";#N/A,#N/A,FALSE,"Supp Adj Seg";#N/A,#N/A,FALSE,"outside prov seg taxes"}</definedName>
    <definedName name="wrn.CLP._.SEG._.INPUTS." localSheetId="47" hidden="1">{#N/A,#N/A,FALSE,"Rev Seg Taxes";#N/A,#N/A,FALSE,"BookRev Seg";#N/A,#N/A,FALSE,"Supp Adj Seg";#N/A,#N/A,FALSE,"outside prov seg taxes"}</definedName>
    <definedName name="wrn.CLP._.SEG._.INPUTS." hidden="1">{#N/A,#N/A,FALSE,"Rev Seg Taxes";#N/A,#N/A,FALSE,"BookRev Seg";#N/A,#N/A,FALSE,"Supp Adj Seg";#N/A,#N/A,FALSE,"outside prov seg taxes"}</definedName>
    <definedName name="wrn.CLP._.SEG._.PROV." localSheetId="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3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6"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5"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3"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4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GL." localSheetId="1" hidden="1">{#N/A,#N/A,FALSE,"GLDwnLoad"}</definedName>
    <definedName name="wrn.CLP_GL." localSheetId="32" hidden="1">{#N/A,#N/A,FALSE,"GLDwnLoad"}</definedName>
    <definedName name="wrn.CLP_GL." localSheetId="6" hidden="1">{#N/A,#N/A,FALSE,"GLDwnLoad"}</definedName>
    <definedName name="wrn.CLP_GL." localSheetId="4" hidden="1">{#N/A,#N/A,FALSE,"GLDwnLoad"}</definedName>
    <definedName name="wrn.CLP_GL." localSheetId="5" hidden="1">{#N/A,#N/A,FALSE,"GLDwnLoad"}</definedName>
    <definedName name="wrn.CLP_GL." localSheetId="7" hidden="1">{#N/A,#N/A,FALSE,"GLDwnLoad"}</definedName>
    <definedName name="wrn.CLP_GL." localSheetId="3" hidden="1">{#N/A,#N/A,FALSE,"GLDwnLoad"}</definedName>
    <definedName name="wrn.CLP_GL." localSheetId="47" hidden="1">{#N/A,#N/A,FALSE,"GLDwnLoad"}</definedName>
    <definedName name="wrn.CLP_GL." hidden="1">{#N/A,#N/A,FALSE,"GLDwnLoad"}</definedName>
    <definedName name="wrn.CLP_INPUTS." localSheetId="1" hidden="1">{#N/A,#N/A,FALSE,"OTHERINPUTS";#N/A,#N/A,FALSE,"DITRATEINPUTS";#N/A,#N/A,FALSE,"SUPPLIEDADJINPUT";#N/A,#N/A,FALSE,"BR&amp;SUPADJ."}</definedName>
    <definedName name="wrn.CLP_INPUTS." localSheetId="32" hidden="1">{#N/A,#N/A,FALSE,"OTHERINPUTS";#N/A,#N/A,FALSE,"DITRATEINPUTS";#N/A,#N/A,FALSE,"SUPPLIEDADJINPUT";#N/A,#N/A,FALSE,"BR&amp;SUPADJ."}</definedName>
    <definedName name="wrn.CLP_INPUTS." localSheetId="6" hidden="1">{#N/A,#N/A,FALSE,"OTHERINPUTS";#N/A,#N/A,FALSE,"DITRATEINPUTS";#N/A,#N/A,FALSE,"SUPPLIEDADJINPUT";#N/A,#N/A,FALSE,"BR&amp;SUPADJ."}</definedName>
    <definedName name="wrn.CLP_INPUTS." localSheetId="4" hidden="1">{#N/A,#N/A,FALSE,"OTHERINPUTS";#N/A,#N/A,FALSE,"DITRATEINPUTS";#N/A,#N/A,FALSE,"SUPPLIEDADJINPUT";#N/A,#N/A,FALSE,"BR&amp;SUPADJ."}</definedName>
    <definedName name="wrn.CLP_INPUTS." localSheetId="5" hidden="1">{#N/A,#N/A,FALSE,"OTHERINPUTS";#N/A,#N/A,FALSE,"DITRATEINPUTS";#N/A,#N/A,FALSE,"SUPPLIEDADJINPUT";#N/A,#N/A,FALSE,"BR&amp;SUPADJ."}</definedName>
    <definedName name="wrn.CLP_INPUTS." localSheetId="7" hidden="1">{#N/A,#N/A,FALSE,"OTHERINPUTS";#N/A,#N/A,FALSE,"DITRATEINPUTS";#N/A,#N/A,FALSE,"SUPPLIEDADJINPUT";#N/A,#N/A,FALSE,"BR&amp;SUPADJ."}</definedName>
    <definedName name="wrn.CLP_INPUTS." localSheetId="3" hidden="1">{#N/A,#N/A,FALSE,"OTHERINPUTS";#N/A,#N/A,FALSE,"DITRATEINPUTS";#N/A,#N/A,FALSE,"SUPPLIEDADJINPUT";#N/A,#N/A,FALSE,"BR&amp;SUPADJ."}</definedName>
    <definedName name="wrn.CLP_INPUTS." localSheetId="47" hidden="1">{#N/A,#N/A,FALSE,"OTHERINPUTS";#N/A,#N/A,FALSE,"DITRATEINPUTS";#N/A,#N/A,FALSE,"SUPPLIEDADJINPUT";#N/A,#N/A,FALSE,"BR&amp;SUPADJ."}</definedName>
    <definedName name="wrn.CLP_INPUTS." hidden="1">{#N/A,#N/A,FALSE,"OTHERINPUTS";#N/A,#N/A,FALSE,"DITRATEINPUTS";#N/A,#N/A,FALSE,"SUPPLIEDADJINPUT";#N/A,#N/A,FALSE,"BR&amp;SUPADJ."}</definedName>
    <definedName name="wrn.CLP_PROV." localSheetId="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3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6"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4"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5"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3"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4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onfig._.and._.Calcs." localSheetId="32" hidden="1">{#N/A,#N/A,FALSE,"Configuration";#N/A,#N/A,FALSE,"Summary of Transaction";#N/A,#N/A,FALSE,"Calculations"}</definedName>
    <definedName name="wrn.Config._.and._.Calcs." localSheetId="6" hidden="1">{#N/A,#N/A,FALSE,"Configuration";#N/A,#N/A,FALSE,"Summary of Transaction";#N/A,#N/A,FALSE,"Calculations"}</definedName>
    <definedName name="wrn.Config._.and._.Calcs." localSheetId="7" hidden="1">{#N/A,#N/A,FALSE,"Configuration";#N/A,#N/A,FALSE,"Summary of Transaction";#N/A,#N/A,FALSE,"Calculations"}</definedName>
    <definedName name="wrn.Config._.and._.Calcs." localSheetId="3" hidden="1">{#N/A,#N/A,FALSE,"Configuration";#N/A,#N/A,FALSE,"Summary of Transaction";#N/A,#N/A,FALSE,"Calculations"}</definedName>
    <definedName name="wrn.Config._.and._.Calcs." localSheetId="47" hidden="1">{#N/A,#N/A,FALSE,"Configuration";#N/A,#N/A,FALSE,"Summary of Transaction";#N/A,#N/A,FALSE,"Calculations"}</definedName>
    <definedName name="wrn.Config._.and._.Calcs." hidden="1">{#N/A,#N/A,FALSE,"Configuration";#N/A,#N/A,FALSE,"Summary of Transaction";#N/A,#N/A,FALSE,"Calculations"}</definedName>
    <definedName name="wrn.CONOCO._.FAC." localSheetId="1" hidden="1">{"CONOCO_FAC",#N/A,FALSE,"Conoco FAC"}</definedName>
    <definedName name="wrn.CONOCO._.FAC." localSheetId="32" hidden="1">{"CONOCO_FAC",#N/A,FALSE,"Conoco FAC"}</definedName>
    <definedName name="wrn.CONOCO._.FAC." localSheetId="6" hidden="1">{"CONOCO_FAC",#N/A,FALSE,"Conoco FAC"}</definedName>
    <definedName name="wrn.CONOCO._.FAC." localSheetId="4" hidden="1">{"CONOCO_FAC",#N/A,FALSE,"Conoco FAC"}</definedName>
    <definedName name="wrn.CONOCO._.FAC." localSheetId="5" hidden="1">{"CONOCO_FAC",#N/A,FALSE,"Conoco FAC"}</definedName>
    <definedName name="wrn.CONOCO._.FAC." localSheetId="7" hidden="1">{"CONOCO_FAC",#N/A,FALSE,"Conoco FAC"}</definedName>
    <definedName name="wrn.CONOCO._.FAC." localSheetId="3" hidden="1">{"CONOCO_FAC",#N/A,FALSE,"Conoco FAC"}</definedName>
    <definedName name="wrn.CONOCO._.FAC." localSheetId="47" hidden="1">{"CONOCO_FAC",#N/A,FALSE,"Conoco FAC"}</definedName>
    <definedName name="wrn.CONOCO._.FAC." hidden="1">{"CONOCO_FAC",#N/A,FALSE,"Conoco FAC"}</definedName>
    <definedName name="wrn.CONSOL_UWNJ_UWNY." localSheetId="1" hidden="1">{"CONSOL_UWNJ_ISV",#N/A,FALSE,"Sheet1";"CONSOL_UWNJ_SAV",#N/A,FALSE,"Sheet1";"CONSOL_UWNJ_BSV",#N/A,FALSE,"Sheet1";"CONSOL_UWNJ_SFDV",#N/A,FALSE,"Sheet1"}</definedName>
    <definedName name="wrn.CONSOL_UWNJ_UWNY." localSheetId="32" hidden="1">{"CONSOL_UWNJ_ISV",#N/A,FALSE,"Sheet1";"CONSOL_UWNJ_SAV",#N/A,FALSE,"Sheet1";"CONSOL_UWNJ_BSV",#N/A,FALSE,"Sheet1";"CONSOL_UWNJ_SFDV",#N/A,FALSE,"Sheet1"}</definedName>
    <definedName name="wrn.CONSOL_UWNJ_UWNY." localSheetId="6" hidden="1">{"CONSOL_UWNJ_ISV",#N/A,FALSE,"Sheet1";"CONSOL_UWNJ_SAV",#N/A,FALSE,"Sheet1";"CONSOL_UWNJ_BSV",#N/A,FALSE,"Sheet1";"CONSOL_UWNJ_SFDV",#N/A,FALSE,"Sheet1"}</definedName>
    <definedName name="wrn.CONSOL_UWNJ_UWNY." localSheetId="4" hidden="1">{"CONSOL_UWNJ_ISV",#N/A,FALSE,"Sheet1";"CONSOL_UWNJ_SAV",#N/A,FALSE,"Sheet1";"CONSOL_UWNJ_BSV",#N/A,FALSE,"Sheet1";"CONSOL_UWNJ_SFDV",#N/A,FALSE,"Sheet1"}</definedName>
    <definedName name="wrn.CONSOL_UWNJ_UWNY." localSheetId="5" hidden="1">{"CONSOL_UWNJ_ISV",#N/A,FALSE,"Sheet1";"CONSOL_UWNJ_SAV",#N/A,FALSE,"Sheet1";"CONSOL_UWNJ_BSV",#N/A,FALSE,"Sheet1";"CONSOL_UWNJ_SFDV",#N/A,FALSE,"Sheet1"}</definedName>
    <definedName name="wrn.CONSOL_UWNJ_UWNY." localSheetId="7" hidden="1">{"CONSOL_UWNJ_ISV",#N/A,FALSE,"Sheet1";"CONSOL_UWNJ_SAV",#N/A,FALSE,"Sheet1";"CONSOL_UWNJ_BSV",#N/A,FALSE,"Sheet1";"CONSOL_UWNJ_SFDV",#N/A,FALSE,"Sheet1"}</definedName>
    <definedName name="wrn.CONSOL_UWNJ_UWNY." localSheetId="3" hidden="1">{"CONSOL_UWNJ_ISV",#N/A,FALSE,"Sheet1";"CONSOL_UWNJ_SAV",#N/A,FALSE,"Sheet1";"CONSOL_UWNJ_BSV",#N/A,FALSE,"Sheet1";"CONSOL_UWNJ_SFDV",#N/A,FALSE,"Sheet1"}</definedName>
    <definedName name="wrn.CONSOL_UWNJ_UWNY." localSheetId="29" hidden="1">{"CONSOL_UWNJ_ISV",#N/A,FALSE,"Sheet1";"CONSOL_UWNJ_SAV",#N/A,FALSE,"Sheet1";"CONSOL_UWNJ_BSV",#N/A,FALSE,"Sheet1";"CONSOL_UWNJ_SFDV",#N/A,FALSE,"Sheet1"}</definedName>
    <definedName name="wrn.CONSOL_UWNJ_UWNY." localSheetId="47" hidden="1">{"CONSOL_UWNJ_ISV",#N/A,FALSE,"Sheet1";"CONSOL_UWNJ_SAV",#N/A,FALSE,"Sheet1";"CONSOL_UWNJ_BSV",#N/A,FALSE,"Sheet1";"CONSOL_UWNJ_SFDV",#N/A,FALSE,"Sheet1"}</definedName>
    <definedName name="wrn.CONSOL_UWNJ_UWNY." hidden="1">{"CONSOL_UWNJ_ISV",#N/A,FALSE,"Sheet1";"CONSOL_UWNJ_SAV",#N/A,FALSE,"Sheet1";"CONSOL_UWNJ_BSV",#N/A,FALSE,"Sheet1";"CONSOL_UWNJ_SFDV",#N/A,FALSE,"Sheet1"}</definedName>
    <definedName name="wrn.CONSOL_WO." localSheetId="1" hidden="1">{"CONSOL_WO_ISV",#N/A,FALSE,"Sheet1";"CONSOL_WO_SAV",#N/A,FALSE,"Sheet1";"CONSOL_WO_BSV",#N/A,FALSE,"Sheet1";"CONSOL_WO_SFDV",#N/A,FALSE,"Sheet1"}</definedName>
    <definedName name="wrn.CONSOL_WO." localSheetId="32" hidden="1">{"CONSOL_WO_ISV",#N/A,FALSE,"Sheet1";"CONSOL_WO_SAV",#N/A,FALSE,"Sheet1";"CONSOL_WO_BSV",#N/A,FALSE,"Sheet1";"CONSOL_WO_SFDV",#N/A,FALSE,"Sheet1"}</definedName>
    <definedName name="wrn.CONSOL_WO." localSheetId="6" hidden="1">{"CONSOL_WO_ISV",#N/A,FALSE,"Sheet1";"CONSOL_WO_SAV",#N/A,FALSE,"Sheet1";"CONSOL_WO_BSV",#N/A,FALSE,"Sheet1";"CONSOL_WO_SFDV",#N/A,FALSE,"Sheet1"}</definedName>
    <definedName name="wrn.CONSOL_WO." localSheetId="4" hidden="1">{"CONSOL_WO_ISV",#N/A,FALSE,"Sheet1";"CONSOL_WO_SAV",#N/A,FALSE,"Sheet1";"CONSOL_WO_BSV",#N/A,FALSE,"Sheet1";"CONSOL_WO_SFDV",#N/A,FALSE,"Sheet1"}</definedName>
    <definedName name="wrn.CONSOL_WO." localSheetId="5" hidden="1">{"CONSOL_WO_ISV",#N/A,FALSE,"Sheet1";"CONSOL_WO_SAV",#N/A,FALSE,"Sheet1";"CONSOL_WO_BSV",#N/A,FALSE,"Sheet1";"CONSOL_WO_SFDV",#N/A,FALSE,"Sheet1"}</definedName>
    <definedName name="wrn.CONSOL_WO." localSheetId="7" hidden="1">{"CONSOL_WO_ISV",#N/A,FALSE,"Sheet1";"CONSOL_WO_SAV",#N/A,FALSE,"Sheet1";"CONSOL_WO_BSV",#N/A,FALSE,"Sheet1";"CONSOL_WO_SFDV",#N/A,FALSE,"Sheet1"}</definedName>
    <definedName name="wrn.CONSOL_WO." localSheetId="3" hidden="1">{"CONSOL_WO_ISV",#N/A,FALSE,"Sheet1";"CONSOL_WO_SAV",#N/A,FALSE,"Sheet1";"CONSOL_WO_BSV",#N/A,FALSE,"Sheet1";"CONSOL_WO_SFDV",#N/A,FALSE,"Sheet1"}</definedName>
    <definedName name="wrn.CONSOL_WO." localSheetId="29" hidden="1">{"CONSOL_WO_ISV",#N/A,FALSE,"Sheet1";"CONSOL_WO_SAV",#N/A,FALSE,"Sheet1";"CONSOL_WO_BSV",#N/A,FALSE,"Sheet1";"CONSOL_WO_SFDV",#N/A,FALSE,"Sheet1"}</definedName>
    <definedName name="wrn.CONSOL_WO." localSheetId="47" hidden="1">{"CONSOL_WO_ISV",#N/A,FALSE,"Sheet1";"CONSOL_WO_SAV",#N/A,FALSE,"Sheet1";"CONSOL_WO_BSV",#N/A,FALSE,"Sheet1";"CONSOL_WO_SFDV",#N/A,FALSE,"Sheet1"}</definedName>
    <definedName name="wrn.CONSOL_WO." hidden="1">{"CONSOL_WO_ISV",#N/A,FALSE,"Sheet1";"CONSOL_WO_SAV",#N/A,FALSE,"Sheet1";"CONSOL_WO_BSV",#N/A,FALSE,"Sheet1";"CONSOL_WO_SFDV",#N/A,FALSE,"Sheet1"}</definedName>
    <definedName name="wrn.CUST._.REV._.ALLOC._.INPUT." localSheetId="1" hidden="1">{"SECTK_JURIS_CUSTREV",#N/A,FALSE,"COSTSTUDY";"SECTK_OKCLS_CUSTREV",#N/A,FALSE,"COSTSTUDY"}</definedName>
    <definedName name="wrn.CUST._.REV._.ALLOC._.INPUT." localSheetId="32" hidden="1">{"SECTK_JURIS_CUSTREV",#N/A,FALSE,"COSTSTUDY";"SECTK_OKCLS_CUSTREV",#N/A,FALSE,"COSTSTUDY"}</definedName>
    <definedName name="wrn.CUST._.REV._.ALLOC._.INPUT." localSheetId="6" hidden="1">{"SECTK_JURIS_CUSTREV",#N/A,FALSE,"COSTSTUDY";"SECTK_OKCLS_CUSTREV",#N/A,FALSE,"COSTSTUDY"}</definedName>
    <definedName name="wrn.CUST._.REV._.ALLOC._.INPUT." localSheetId="4" hidden="1">{"SECTK_JURIS_CUSTREV",#N/A,FALSE,"COSTSTUDY";"SECTK_OKCLS_CUSTREV",#N/A,FALSE,"COSTSTUDY"}</definedName>
    <definedName name="wrn.CUST._.REV._.ALLOC._.INPUT." localSheetId="5" hidden="1">{"SECTK_JURIS_CUSTREV",#N/A,FALSE,"COSTSTUDY";"SECTK_OKCLS_CUSTREV",#N/A,FALSE,"COSTSTUDY"}</definedName>
    <definedName name="wrn.CUST._.REV._.ALLOC._.INPUT." localSheetId="7" hidden="1">{"SECTK_JURIS_CUSTREV",#N/A,FALSE,"COSTSTUDY";"SECTK_OKCLS_CUSTREV",#N/A,FALSE,"COSTSTUDY"}</definedName>
    <definedName name="wrn.CUST._.REV._.ALLOC._.INPUT." localSheetId="3" hidden="1">{"SECTK_JURIS_CUSTREV",#N/A,FALSE,"COSTSTUDY";"SECTK_OKCLS_CUSTREV",#N/A,FALSE,"COSTSTUDY"}</definedName>
    <definedName name="wrn.CUST._.REV._.ALLOC._.INPUT." localSheetId="29" hidden="1">{"SECTK_JURIS_CUSTREV",#N/A,FALSE,"COSTSTUDY";"SECTK_OKCLS_CUSTREV",#N/A,FALSE,"COSTSTUDY"}</definedName>
    <definedName name="wrn.CUST._.REV._.ALLOC._.INPUT." localSheetId="47" hidden="1">{"SECTK_JURIS_CUSTREV",#N/A,FALSE,"COSTSTUDY";"SECTK_OKCLS_CUSTREV",#N/A,FALSE,"COSTSTUDY"}</definedName>
    <definedName name="wrn.CUST._.REV._.ALLOC._.INPUT." hidden="1">{"SECTK_JURIS_CUSTREV",#N/A,FALSE,"COSTSTUDY";"SECTK_OKCLS_CUSTREV",#N/A,FALSE,"COSTSTUDY"}</definedName>
    <definedName name="wrn.CUSTOMER._.ALLOC._.RATIOS." localSheetId="1" hidden="1">{"JURIS_CUST_ALLOC_RATIOS",#N/A,FALSE,"COSTSTUDY";"OKCLS_CUST_ALLOC_RATIOS",#N/A,FALSE,"COSTSTUDY"}</definedName>
    <definedName name="wrn.CUSTOMER._.ALLOC._.RATIOS." localSheetId="32" hidden="1">{"JURIS_CUST_ALLOC_RATIOS",#N/A,FALSE,"COSTSTUDY";"OKCLS_CUST_ALLOC_RATIOS",#N/A,FALSE,"COSTSTUDY"}</definedName>
    <definedName name="wrn.CUSTOMER._.ALLOC._.RATIOS." localSheetId="6" hidden="1">{"JURIS_CUST_ALLOC_RATIOS",#N/A,FALSE,"COSTSTUDY";"OKCLS_CUST_ALLOC_RATIOS",#N/A,FALSE,"COSTSTUDY"}</definedName>
    <definedName name="wrn.CUSTOMER._.ALLOC._.RATIOS." localSheetId="4" hidden="1">{"JURIS_CUST_ALLOC_RATIOS",#N/A,FALSE,"COSTSTUDY";"OKCLS_CUST_ALLOC_RATIOS",#N/A,FALSE,"COSTSTUDY"}</definedName>
    <definedName name="wrn.CUSTOMER._.ALLOC._.RATIOS." localSheetId="5" hidden="1">{"JURIS_CUST_ALLOC_RATIOS",#N/A,FALSE,"COSTSTUDY";"OKCLS_CUST_ALLOC_RATIOS",#N/A,FALSE,"COSTSTUDY"}</definedName>
    <definedName name="wrn.CUSTOMER._.ALLOC._.RATIOS." localSheetId="7" hidden="1">{"JURIS_CUST_ALLOC_RATIOS",#N/A,FALSE,"COSTSTUDY";"OKCLS_CUST_ALLOC_RATIOS",#N/A,FALSE,"COSTSTUDY"}</definedName>
    <definedName name="wrn.CUSTOMER._.ALLOC._.RATIOS." localSheetId="3" hidden="1">{"JURIS_CUST_ALLOC_RATIOS",#N/A,FALSE,"COSTSTUDY";"OKCLS_CUST_ALLOC_RATIOS",#N/A,FALSE,"COSTSTUDY"}</definedName>
    <definedName name="wrn.CUSTOMER._.ALLOC._.RATIOS." localSheetId="29" hidden="1">{"JURIS_CUST_ALLOC_RATIOS",#N/A,FALSE,"COSTSTUDY";"OKCLS_CUST_ALLOC_RATIOS",#N/A,FALSE,"COSTSTUDY"}</definedName>
    <definedName name="wrn.CUSTOMER._.ALLOC._.RATIOS." localSheetId="47" hidden="1">{"JURIS_CUST_ALLOC_RATIOS",#N/A,FALSE,"COSTSTUDY";"OKCLS_CUST_ALLOC_RATIOS",#N/A,FALSE,"COSTSTUDY"}</definedName>
    <definedName name="wrn.CUSTOMER._.ALLOC._.RATIOS." hidden="1">{"JURIS_CUST_ALLOC_RATIOS",#N/A,FALSE,"COSTSTUDY";"OKCLS_CUST_ALLOC_RATIOS",#N/A,FALSE,"COSTSTUDY"}</definedName>
    <definedName name="wrn.CY_GL." localSheetId="1" hidden="1">{#N/A,#N/A,FALSE,"GLDwnLoad"}</definedName>
    <definedName name="wrn.CY_GL." localSheetId="32" hidden="1">{#N/A,#N/A,FALSE,"GLDwnLoad"}</definedName>
    <definedName name="wrn.CY_GL." localSheetId="6" hidden="1">{#N/A,#N/A,FALSE,"GLDwnLoad"}</definedName>
    <definedName name="wrn.CY_GL." localSheetId="4" hidden="1">{#N/A,#N/A,FALSE,"GLDwnLoad"}</definedName>
    <definedName name="wrn.CY_GL." localSheetId="5" hidden="1">{#N/A,#N/A,FALSE,"GLDwnLoad"}</definedName>
    <definedName name="wrn.CY_GL." localSheetId="7" hidden="1">{#N/A,#N/A,FALSE,"GLDwnLoad"}</definedName>
    <definedName name="wrn.CY_GL." localSheetId="3" hidden="1">{#N/A,#N/A,FALSE,"GLDwnLoad"}</definedName>
    <definedName name="wrn.CY_GL." localSheetId="47" hidden="1">{#N/A,#N/A,FALSE,"GLDwnLoad"}</definedName>
    <definedName name="wrn.CY_GL." hidden="1">{#N/A,#N/A,FALSE,"GLDwnLoad"}</definedName>
    <definedName name="wrn.CY_INPUTS." localSheetId="1" hidden="1">{#N/A,#N/A,FALSE,"OTHERINPUTS";#N/A,#N/A,FALSE,"DITRATEINPUTS";#N/A,#N/A,FALSE,"SUPPLIEDADJINPUT";#N/A,#N/A,FALSE,"TIMINGDIFFINPUTS";#N/A,#N/A,FALSE,"COSSINPUT";#N/A,#N/A,FALSE,"BR&amp;SUPADJ."}</definedName>
    <definedName name="wrn.CY_INPUTS." localSheetId="32" hidden="1">{#N/A,#N/A,FALSE,"OTHERINPUTS";#N/A,#N/A,FALSE,"DITRATEINPUTS";#N/A,#N/A,FALSE,"SUPPLIEDADJINPUT";#N/A,#N/A,FALSE,"TIMINGDIFFINPUTS";#N/A,#N/A,FALSE,"COSSINPUT";#N/A,#N/A,FALSE,"BR&amp;SUPADJ."}</definedName>
    <definedName name="wrn.CY_INPUTS." localSheetId="6" hidden="1">{#N/A,#N/A,FALSE,"OTHERINPUTS";#N/A,#N/A,FALSE,"DITRATEINPUTS";#N/A,#N/A,FALSE,"SUPPLIEDADJINPUT";#N/A,#N/A,FALSE,"TIMINGDIFFINPUTS";#N/A,#N/A,FALSE,"COSSINPUT";#N/A,#N/A,FALSE,"BR&amp;SUPADJ."}</definedName>
    <definedName name="wrn.CY_INPUTS." localSheetId="4" hidden="1">{#N/A,#N/A,FALSE,"OTHERINPUTS";#N/A,#N/A,FALSE,"DITRATEINPUTS";#N/A,#N/A,FALSE,"SUPPLIEDADJINPUT";#N/A,#N/A,FALSE,"TIMINGDIFFINPUTS";#N/A,#N/A,FALSE,"COSSINPUT";#N/A,#N/A,FALSE,"BR&amp;SUPADJ."}</definedName>
    <definedName name="wrn.CY_INPUTS." localSheetId="5" hidden="1">{#N/A,#N/A,FALSE,"OTHERINPUTS";#N/A,#N/A,FALSE,"DITRATEINPUTS";#N/A,#N/A,FALSE,"SUPPLIEDADJINPUT";#N/A,#N/A,FALSE,"TIMINGDIFFINPUTS";#N/A,#N/A,FALSE,"COSSINPUT";#N/A,#N/A,FALSE,"BR&amp;SUPADJ."}</definedName>
    <definedName name="wrn.CY_INPUTS." localSheetId="7" hidden="1">{#N/A,#N/A,FALSE,"OTHERINPUTS";#N/A,#N/A,FALSE,"DITRATEINPUTS";#N/A,#N/A,FALSE,"SUPPLIEDADJINPUT";#N/A,#N/A,FALSE,"TIMINGDIFFINPUTS";#N/A,#N/A,FALSE,"COSSINPUT";#N/A,#N/A,FALSE,"BR&amp;SUPADJ."}</definedName>
    <definedName name="wrn.CY_INPUTS." localSheetId="3" hidden="1">{#N/A,#N/A,FALSE,"OTHERINPUTS";#N/A,#N/A,FALSE,"DITRATEINPUTS";#N/A,#N/A,FALSE,"SUPPLIEDADJINPUT";#N/A,#N/A,FALSE,"TIMINGDIFFINPUTS";#N/A,#N/A,FALSE,"COSSINPUT";#N/A,#N/A,FALSE,"BR&amp;SUPADJ."}</definedName>
    <definedName name="wrn.CY_INPUTS." localSheetId="47" hidden="1">{#N/A,#N/A,FALSE,"OTHERINPUTS";#N/A,#N/A,FALSE,"DITRATEINPUTS";#N/A,#N/A,FALSE,"SUPPLIEDADJINPUT";#N/A,#N/A,FALSE,"TIMINGDIFFINPUTS";#N/A,#N/A,FALSE,"COSSINPUT";#N/A,#N/A,FALSE,"BR&amp;SUPADJ."}</definedName>
    <definedName name="wrn.CY_INPUTS." hidden="1">{#N/A,#N/A,FALSE,"OTHERINPUTS";#N/A,#N/A,FALSE,"DITRATEINPUTS";#N/A,#N/A,FALSE,"SUPPLIEDADJINPUT";#N/A,#N/A,FALSE,"TIMINGDIFFINPUTS";#N/A,#N/A,FALSE,"COSSINPUT";#N/A,#N/A,FALSE,"BR&amp;SUPADJ."}</definedName>
    <definedName name="wrn.CY_PROV."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3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6"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5"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3"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4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FAS109." localSheetId="1" hidden="1">{#N/A,#N/A,FALSE,"FAS109 Summary";#N/A,#N/A,FALSE,"FAS109 OPER 190 ITC";#N/A,#N/A,FALSE,"FAS109 OPER 190 Other";#N/A,#N/A,FALSE,"FAS109 OPER 282";#N/A,#N/A,FALSE,"FAS109 OPER 283";#N/A,#N/A,FALSE,"FAS109 Non OPER 283 ";#N/A,#N/A,FALSE,"J.E.UPLOAD DATA"}</definedName>
    <definedName name="wrn.CYFAS109." localSheetId="32" hidden="1">{#N/A,#N/A,FALSE,"FAS109 Summary";#N/A,#N/A,FALSE,"FAS109 OPER 190 ITC";#N/A,#N/A,FALSE,"FAS109 OPER 190 Other";#N/A,#N/A,FALSE,"FAS109 OPER 282";#N/A,#N/A,FALSE,"FAS109 OPER 283";#N/A,#N/A,FALSE,"FAS109 Non OPER 283 ";#N/A,#N/A,FALSE,"J.E.UPLOAD DATA"}</definedName>
    <definedName name="wrn.CYFAS109." localSheetId="6" hidden="1">{#N/A,#N/A,FALSE,"FAS109 Summary";#N/A,#N/A,FALSE,"FAS109 OPER 190 ITC";#N/A,#N/A,FALSE,"FAS109 OPER 190 Other";#N/A,#N/A,FALSE,"FAS109 OPER 282";#N/A,#N/A,FALSE,"FAS109 OPER 283";#N/A,#N/A,FALSE,"FAS109 Non OPER 283 ";#N/A,#N/A,FALSE,"J.E.UPLOAD DATA"}</definedName>
    <definedName name="wrn.CYFAS109." localSheetId="4" hidden="1">{#N/A,#N/A,FALSE,"FAS109 Summary";#N/A,#N/A,FALSE,"FAS109 OPER 190 ITC";#N/A,#N/A,FALSE,"FAS109 OPER 190 Other";#N/A,#N/A,FALSE,"FAS109 OPER 282";#N/A,#N/A,FALSE,"FAS109 OPER 283";#N/A,#N/A,FALSE,"FAS109 Non OPER 283 ";#N/A,#N/A,FALSE,"J.E.UPLOAD DATA"}</definedName>
    <definedName name="wrn.CYFAS109." localSheetId="5" hidden="1">{#N/A,#N/A,FALSE,"FAS109 Summary";#N/A,#N/A,FALSE,"FAS109 OPER 190 ITC";#N/A,#N/A,FALSE,"FAS109 OPER 190 Other";#N/A,#N/A,FALSE,"FAS109 OPER 282";#N/A,#N/A,FALSE,"FAS109 OPER 283";#N/A,#N/A,FALSE,"FAS109 Non OPER 283 ";#N/A,#N/A,FALSE,"J.E.UPLOAD DATA"}</definedName>
    <definedName name="wrn.CYFAS109." localSheetId="7" hidden="1">{#N/A,#N/A,FALSE,"FAS109 Summary";#N/A,#N/A,FALSE,"FAS109 OPER 190 ITC";#N/A,#N/A,FALSE,"FAS109 OPER 190 Other";#N/A,#N/A,FALSE,"FAS109 OPER 282";#N/A,#N/A,FALSE,"FAS109 OPER 283";#N/A,#N/A,FALSE,"FAS109 Non OPER 283 ";#N/A,#N/A,FALSE,"J.E.UPLOAD DATA"}</definedName>
    <definedName name="wrn.CYFAS109." localSheetId="3" hidden="1">{#N/A,#N/A,FALSE,"FAS109 Summary";#N/A,#N/A,FALSE,"FAS109 OPER 190 ITC";#N/A,#N/A,FALSE,"FAS109 OPER 190 Other";#N/A,#N/A,FALSE,"FAS109 OPER 282";#N/A,#N/A,FALSE,"FAS109 OPER 283";#N/A,#N/A,FALSE,"FAS109 Non OPER 283 ";#N/A,#N/A,FALSE,"J.E.UPLOAD DATA"}</definedName>
    <definedName name="wrn.CYFAS109." localSheetId="47" hidden="1">{#N/A,#N/A,FALSE,"FAS109 Summary";#N/A,#N/A,FALSE,"FAS109 OPER 190 ITC";#N/A,#N/A,FALSE,"FAS109 OPER 190 Other";#N/A,#N/A,FALSE,"FAS109 OPER 282";#N/A,#N/A,FALSE,"FAS109 OPER 283";#N/A,#N/A,FALSE,"FAS109 Non OPER 283 ";#N/A,#N/A,FALSE,"J.E.UPLOAD DATA"}</definedName>
    <definedName name="wrn.CYFAS109." hidden="1">{#N/A,#N/A,FALSE,"FAS109 Summary";#N/A,#N/A,FALSE,"FAS109 OPER 190 ITC";#N/A,#N/A,FALSE,"FAS109 OPER 190 Other";#N/A,#N/A,FALSE,"FAS109 OPER 282";#N/A,#N/A,FALSE,"FAS109 OPER 283";#N/A,#N/A,FALSE,"FAS109 Non OPER 283 ";#N/A,#N/A,FALSE,"J.E.UPLOAD DATA"}</definedName>
    <definedName name="wrn.Data._.dump." localSheetId="32" hidden="1">{"Input Data",#N/A,FALSE,"Input";"Income and Cash Flow",#N/A,FALSE,"Calculations"}</definedName>
    <definedName name="wrn.Data._.dump." localSheetId="6" hidden="1">{"Input Data",#N/A,FALSE,"Input";"Income and Cash Flow",#N/A,FALSE,"Calculations"}</definedName>
    <definedName name="wrn.Data._.dump." localSheetId="7" hidden="1">{"Input Data",#N/A,FALSE,"Input";"Income and Cash Flow",#N/A,FALSE,"Calculations"}</definedName>
    <definedName name="wrn.Data._.dump." localSheetId="3" hidden="1">{"Input Data",#N/A,FALSE,"Input";"Income and Cash Flow",#N/A,FALSE,"Calculations"}</definedName>
    <definedName name="wrn.Data._.dump." localSheetId="29" hidden="1">{"Input Data",#N/A,FALSE,"Input";"Income and Cash Flow",#N/A,FALSE,"Calculations"}</definedName>
    <definedName name="wrn.Data._.dump." localSheetId="47" hidden="1">{"Input Data",#N/A,FALSE,"Input";"Income and Cash Flow",#N/A,FALSE,"Calculations"}</definedName>
    <definedName name="wrn.Data._.dump." hidden="1">{"Input Data",#N/A,FALSE,"Input";"Income and Cash Flow",#N/A,FALSE,"Calculations"}</definedName>
    <definedName name="wrn.Deferral._.Forecast." localSheetId="32" hidden="1">{"Summary Deferral Forecast",#N/A,FALSE,"Deferral Forecast";"BGS Deferral Forecast",#N/A,FALSE,"BGS Deferral";"NNC Deferral Forecast",#N/A,FALSE,"NNC Deferral";"MTCDeferralForecast",#N/A,FALSE,"MTC Deferral";"SBC Deferral Forecast",#N/A,FALSE,"SBC Deferral"}</definedName>
    <definedName name="wrn.Deferral._.Forecast." localSheetId="6" hidden="1">{"Summary Deferral Forecast",#N/A,FALSE,"Deferral Forecast";"BGS Deferral Forecast",#N/A,FALSE,"BGS Deferral";"NNC Deferral Forecast",#N/A,FALSE,"NNC Deferral";"MTCDeferralForecast",#N/A,FALSE,"MTC Deferral";"SBC Deferral Forecast",#N/A,FALSE,"SBC Deferral"}</definedName>
    <definedName name="wrn.Deferral._.Forecast." localSheetId="7" hidden="1">{"Summary Deferral Forecast",#N/A,FALSE,"Deferral Forecast";"BGS Deferral Forecast",#N/A,FALSE,"BGS Deferral";"NNC Deferral Forecast",#N/A,FALSE,"NNC Deferral";"MTCDeferralForecast",#N/A,FALSE,"MTC Deferral";"SBC Deferral Forecast",#N/A,FALSE,"SBC Deferral"}</definedName>
    <definedName name="wrn.Deferral._.Forecast." localSheetId="3" hidden="1">{"Summary Deferral Forecast",#N/A,FALSE,"Deferral Forecast";"BGS Deferral Forecast",#N/A,FALSE,"BGS Deferral";"NNC Deferral Forecast",#N/A,FALSE,"NNC Deferral";"MTCDeferralForecast",#N/A,FALSE,"MTC Deferral";"SBC Deferral Forecast",#N/A,FALSE,"SBC Deferral"}</definedName>
    <definedName name="wrn.Deferral._.Forecast." localSheetId="29" hidden="1">{"Summary Deferral Forecast",#N/A,FALSE,"Deferral Forecast";"BGS Deferral Forecast",#N/A,FALSE,"BGS Deferral";"NNC Deferral Forecast",#N/A,FALSE,"NNC Deferral";"MTCDeferralForecast",#N/A,FALSE,"MTC Deferral";"SBC Deferral Forecast",#N/A,FALSE,"SBC Deferral"}</definedName>
    <definedName name="wrn.Deferral._.Forecast." localSheetId="47"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MAND._.ENERGY._.RATIOS." localSheetId="1" hidden="1">{"JURIS_DMDENRGY_RATIOS",#N/A,FALSE,"COSTSTUDY";"OKCLS_DMDENRGY_RATIOS",#N/A,FALSE,"COSTSTUDY"}</definedName>
    <definedName name="wrn.DEMAND._.ENERGY._.RATIOS." localSheetId="32" hidden="1">{"JURIS_DMDENRGY_RATIOS",#N/A,FALSE,"COSTSTUDY";"OKCLS_DMDENRGY_RATIOS",#N/A,FALSE,"COSTSTUDY"}</definedName>
    <definedName name="wrn.DEMAND._.ENERGY._.RATIOS." localSheetId="6" hidden="1">{"JURIS_DMDENRGY_RATIOS",#N/A,FALSE,"COSTSTUDY";"OKCLS_DMDENRGY_RATIOS",#N/A,FALSE,"COSTSTUDY"}</definedName>
    <definedName name="wrn.DEMAND._.ENERGY._.RATIOS." localSheetId="4" hidden="1">{"JURIS_DMDENRGY_RATIOS",#N/A,FALSE,"COSTSTUDY";"OKCLS_DMDENRGY_RATIOS",#N/A,FALSE,"COSTSTUDY"}</definedName>
    <definedName name="wrn.DEMAND._.ENERGY._.RATIOS." localSheetId="5" hidden="1">{"JURIS_DMDENRGY_RATIOS",#N/A,FALSE,"COSTSTUDY";"OKCLS_DMDENRGY_RATIOS",#N/A,FALSE,"COSTSTUDY"}</definedName>
    <definedName name="wrn.DEMAND._.ENERGY._.RATIOS." localSheetId="7" hidden="1">{"JURIS_DMDENRGY_RATIOS",#N/A,FALSE,"COSTSTUDY";"OKCLS_DMDENRGY_RATIOS",#N/A,FALSE,"COSTSTUDY"}</definedName>
    <definedName name="wrn.DEMAND._.ENERGY._.RATIOS." localSheetId="3" hidden="1">{"JURIS_DMDENRGY_RATIOS",#N/A,FALSE,"COSTSTUDY";"OKCLS_DMDENRGY_RATIOS",#N/A,FALSE,"COSTSTUDY"}</definedName>
    <definedName name="wrn.DEMAND._.ENERGY._.RATIOS." localSheetId="29" hidden="1">{"JURIS_DMDENRGY_RATIOS",#N/A,FALSE,"COSTSTUDY";"OKCLS_DMDENRGY_RATIOS",#N/A,FALSE,"COSTSTUDY"}</definedName>
    <definedName name="wrn.DEMAND._.ENERGY._.RATIOS." localSheetId="47" hidden="1">{"JURIS_DMDENRGY_RATIOS",#N/A,FALSE,"COSTSTUDY";"OKCLS_DMDENRGY_RATIOS",#N/A,FALSE,"COSTSTUDY"}</definedName>
    <definedName name="wrn.DEMAND._.ENERGY._.RATIOS." hidden="1">{"JURIS_DMDENRGY_RATIOS",#N/A,FALSE,"COSTSTUDY";"OKCLS_DMDENRGY_RATIOS",#N/A,FALSE,"COSTSTUDY"}</definedName>
    <definedName name="wrn.DEPRECIATION._.EXPENSE." localSheetId="1" hidden="1">{"JURIS_DEPR_EXP",#N/A,FALSE,"COSTSTUDY";"OKCLS_DEPR_EXP",#N/A,FALSE,"COSTSTUDY"}</definedName>
    <definedName name="wrn.DEPRECIATION._.EXPENSE." localSheetId="32" hidden="1">{"JURIS_DEPR_EXP",#N/A,FALSE,"COSTSTUDY";"OKCLS_DEPR_EXP",#N/A,FALSE,"COSTSTUDY"}</definedName>
    <definedName name="wrn.DEPRECIATION._.EXPENSE." localSheetId="6" hidden="1">{"JURIS_DEPR_EXP",#N/A,FALSE,"COSTSTUDY";"OKCLS_DEPR_EXP",#N/A,FALSE,"COSTSTUDY"}</definedName>
    <definedName name="wrn.DEPRECIATION._.EXPENSE." localSheetId="4" hidden="1">{"JURIS_DEPR_EXP",#N/A,FALSE,"COSTSTUDY";"OKCLS_DEPR_EXP",#N/A,FALSE,"COSTSTUDY"}</definedName>
    <definedName name="wrn.DEPRECIATION._.EXPENSE." localSheetId="5" hidden="1">{"JURIS_DEPR_EXP",#N/A,FALSE,"COSTSTUDY";"OKCLS_DEPR_EXP",#N/A,FALSE,"COSTSTUDY"}</definedName>
    <definedName name="wrn.DEPRECIATION._.EXPENSE." localSheetId="7" hidden="1">{"JURIS_DEPR_EXP",#N/A,FALSE,"COSTSTUDY";"OKCLS_DEPR_EXP",#N/A,FALSE,"COSTSTUDY"}</definedName>
    <definedName name="wrn.DEPRECIATION._.EXPENSE." localSheetId="3" hidden="1">{"JURIS_DEPR_EXP",#N/A,FALSE,"COSTSTUDY";"OKCLS_DEPR_EXP",#N/A,FALSE,"COSTSTUDY"}</definedName>
    <definedName name="wrn.DEPRECIATION._.EXPENSE." localSheetId="29" hidden="1">{"JURIS_DEPR_EXP",#N/A,FALSE,"COSTSTUDY";"OKCLS_DEPR_EXP",#N/A,FALSE,"COSTSTUDY"}</definedName>
    <definedName name="wrn.DEPRECIATION._.EXPENSE." localSheetId="47" hidden="1">{"JURIS_DEPR_EXP",#N/A,FALSE,"COSTSTUDY";"OKCLS_DEPR_EXP",#N/A,FALSE,"COSTSTUDY"}</definedName>
    <definedName name="wrn.DEPRECIATION._.EXPENSE." hidden="1">{"JURIS_DEPR_EXP",#N/A,FALSE,"COSTSTUDY";"OKCLS_DEPR_EXP",#N/A,FALSE,"COSTSTUDY"}</definedName>
    <definedName name="wrn.Description_._.Assumption." localSheetId="1" hidden="1">{"Assumption-Description",#N/A,FALSE,"Assumptions"}</definedName>
    <definedName name="wrn.Description_._.Assumption." localSheetId="32" hidden="1">{"Assumption-Description",#N/A,FALSE,"Assumptions"}</definedName>
    <definedName name="wrn.Description_._.Assumption." localSheetId="6" hidden="1">{"Assumption-Description",#N/A,FALSE,"Assumptions"}</definedName>
    <definedName name="wrn.Description_._.Assumption." localSheetId="4" hidden="1">{"Assumption-Description",#N/A,FALSE,"Assumptions"}</definedName>
    <definedName name="wrn.Description_._.Assumption." localSheetId="5" hidden="1">{"Assumption-Description",#N/A,FALSE,"Assumptions"}</definedName>
    <definedName name="wrn.Description_._.Assumption." localSheetId="7" hidden="1">{"Assumption-Description",#N/A,FALSE,"Assumptions"}</definedName>
    <definedName name="wrn.Description_._.Assumption." localSheetId="3" hidden="1">{"Assumption-Description",#N/A,FALSE,"Assumptions"}</definedName>
    <definedName name="wrn.Description_._.Assumption." localSheetId="29" hidden="1">{"Assumption-Description",#N/A,FALSE,"Assumptions"}</definedName>
    <definedName name="wrn.Description_._.Assumption." localSheetId="47" hidden="1">{"Assumption-Description",#N/A,FALSE,"Assumptions"}</definedName>
    <definedName name="wrn.Description_._.Assumption." hidden="1">{"Assumption-Description",#N/A,FALSE,"Assumptions"}</definedName>
    <definedName name="wrn.Detail." localSheetId="1" hidden="1">{"Print_Detail",#N/A,FALSE,"Redemption_Maturity Extract"}</definedName>
    <definedName name="wrn.Detail." localSheetId="32" hidden="1">{"Print_Detail",#N/A,FALSE,"Redemption_Maturity Extract"}</definedName>
    <definedName name="wrn.Detail." localSheetId="6" hidden="1">{"Print_Detail",#N/A,FALSE,"Redemption_Maturity Extract"}</definedName>
    <definedName name="wrn.Detail." localSheetId="4" hidden="1">{"Print_Detail",#N/A,FALSE,"Redemption_Maturity Extract"}</definedName>
    <definedName name="wrn.Detail." localSheetId="5" hidden="1">{"Print_Detail",#N/A,FALSE,"Redemption_Maturity Extract"}</definedName>
    <definedName name="wrn.Detail." localSheetId="7" hidden="1">{"Print_Detail",#N/A,FALSE,"Redemption_Maturity Extract"}</definedName>
    <definedName name="wrn.Detail." localSheetId="3" hidden="1">{"Print_Detail",#N/A,FALSE,"Redemption_Maturity Extract"}</definedName>
    <definedName name="wrn.Detail." localSheetId="47" hidden="1">{"Print_Detail",#N/A,FALSE,"Redemption_Maturity Extract"}</definedName>
    <definedName name="wrn.Detail." hidden="1">{"Print_Detail",#N/A,FALSE,"Redemption_Maturity Extract"}</definedName>
    <definedName name="wrn.DEVLP._.LABOR._.ALLOC." localSheetId="1" hidden="1">{"JURIS_LAB_ALOC_DEVLP",#N/A,FALSE,"COSTSTUDY";"OKCLS_LAB_ALOC_DEVLP",#N/A,FALSE,"COSTSTUDY"}</definedName>
    <definedName name="wrn.DEVLP._.LABOR._.ALLOC." localSheetId="32" hidden="1">{"JURIS_LAB_ALOC_DEVLP",#N/A,FALSE,"COSTSTUDY";"OKCLS_LAB_ALOC_DEVLP",#N/A,FALSE,"COSTSTUDY"}</definedName>
    <definedName name="wrn.DEVLP._.LABOR._.ALLOC." localSheetId="6" hidden="1">{"JURIS_LAB_ALOC_DEVLP",#N/A,FALSE,"COSTSTUDY";"OKCLS_LAB_ALOC_DEVLP",#N/A,FALSE,"COSTSTUDY"}</definedName>
    <definedName name="wrn.DEVLP._.LABOR._.ALLOC." localSheetId="4" hidden="1">{"JURIS_LAB_ALOC_DEVLP",#N/A,FALSE,"COSTSTUDY";"OKCLS_LAB_ALOC_DEVLP",#N/A,FALSE,"COSTSTUDY"}</definedName>
    <definedName name="wrn.DEVLP._.LABOR._.ALLOC." localSheetId="5" hidden="1">{"JURIS_LAB_ALOC_DEVLP",#N/A,FALSE,"COSTSTUDY";"OKCLS_LAB_ALOC_DEVLP",#N/A,FALSE,"COSTSTUDY"}</definedName>
    <definedName name="wrn.DEVLP._.LABOR._.ALLOC." localSheetId="7" hidden="1">{"JURIS_LAB_ALOC_DEVLP",#N/A,FALSE,"COSTSTUDY";"OKCLS_LAB_ALOC_DEVLP",#N/A,FALSE,"COSTSTUDY"}</definedName>
    <definedName name="wrn.DEVLP._.LABOR._.ALLOC." localSheetId="3" hidden="1">{"JURIS_LAB_ALOC_DEVLP",#N/A,FALSE,"COSTSTUDY";"OKCLS_LAB_ALOC_DEVLP",#N/A,FALSE,"COSTSTUDY"}</definedName>
    <definedName name="wrn.DEVLP._.LABOR._.ALLOC." localSheetId="29" hidden="1">{"JURIS_LAB_ALOC_DEVLP",#N/A,FALSE,"COSTSTUDY";"OKCLS_LAB_ALOC_DEVLP",#N/A,FALSE,"COSTSTUDY"}</definedName>
    <definedName name="wrn.DEVLP._.LABOR._.ALLOC." localSheetId="47" hidden="1">{"JURIS_LAB_ALOC_DEVLP",#N/A,FALSE,"COSTSTUDY";"OKCLS_LAB_ALOC_DEVLP",#N/A,FALSE,"COSTSTUDY"}</definedName>
    <definedName name="wrn.DEVLP._.LABOR._.ALLOC." hidden="1">{"JURIS_LAB_ALOC_DEVLP",#N/A,FALSE,"COSTSTUDY";"OKCLS_LAB_ALOC_DEVLP",#N/A,FALSE,"COSTSTUDY"}</definedName>
    <definedName name="wrn.Diane._.s._.Version." localSheetId="1" hidden="1">{"Full",#N/A,FALSE,"Sec MTN B Summary"}</definedName>
    <definedName name="wrn.Diane._.s._.Version." localSheetId="32" hidden="1">{"Full",#N/A,FALSE,"Sec MTN B Summary"}</definedName>
    <definedName name="wrn.Diane._.s._.Version." localSheetId="6" hidden="1">{"Full",#N/A,FALSE,"Sec MTN B Summary"}</definedName>
    <definedName name="wrn.Diane._.s._.Version." localSheetId="4" hidden="1">{"Full",#N/A,FALSE,"Sec MTN B Summary"}</definedName>
    <definedName name="wrn.Diane._.s._.Version." localSheetId="5" hidden="1">{"Full",#N/A,FALSE,"Sec MTN B Summary"}</definedName>
    <definedName name="wrn.Diane._.s._.Version." localSheetId="7" hidden="1">{"Full",#N/A,FALSE,"Sec MTN B Summary"}</definedName>
    <definedName name="wrn.Diane._.s._.Version." localSheetId="3" hidden="1">{"Full",#N/A,FALSE,"Sec MTN B Summary"}</definedName>
    <definedName name="wrn.Diane._.s._.Version." localSheetId="47" hidden="1">{"Full",#N/A,FALSE,"Sec MTN B Summary"}</definedName>
    <definedName name="wrn.Diane._.s._.Version." hidden="1">{"Full",#N/A,FALSE,"Sec MTN B Summary"}</definedName>
    <definedName name="wrn.Distribution._.Version." localSheetId="1" hidden="1">{"RedPrem_InitRed View",#N/A,FALSE,"Sec MTN B Summary"}</definedName>
    <definedName name="wrn.Distribution._.Version." localSheetId="32" hidden="1">{"RedPrem_InitRed View",#N/A,FALSE,"Sec MTN B Summary"}</definedName>
    <definedName name="wrn.Distribution._.Version." localSheetId="6" hidden="1">{"RedPrem_InitRed View",#N/A,FALSE,"Sec MTN B Summary"}</definedName>
    <definedName name="wrn.Distribution._.Version." localSheetId="4" hidden="1">{"RedPrem_InitRed View",#N/A,FALSE,"Sec MTN B Summary"}</definedName>
    <definedName name="wrn.Distribution._.Version." localSheetId="5" hidden="1">{"RedPrem_InitRed View",#N/A,FALSE,"Sec MTN B Summary"}</definedName>
    <definedName name="wrn.Distribution._.Version." localSheetId="7" hidden="1">{"RedPrem_InitRed View",#N/A,FALSE,"Sec MTN B Summary"}</definedName>
    <definedName name="wrn.Distribution._.Version." localSheetId="3" hidden="1">{"RedPrem_InitRed View",#N/A,FALSE,"Sec MTN B Summary"}</definedName>
    <definedName name="wrn.Distribution._.Version." localSheetId="47" hidden="1">{"RedPrem_InitRed View",#N/A,FALSE,"Sec MTN B Summary"}</definedName>
    <definedName name="wrn.Distribution._.Version." hidden="1">{"RedPrem_InitRed View",#N/A,FALSE,"Sec MTN B Summary"}</definedName>
    <definedName name="wrn.DMD._.ENERGY._.ALLOC._.INPUT." localSheetId="1" hidden="1">{"JURIS_DMDENRGY_AL_INPUT",#N/A,FALSE,"COSTSTUDY";"OKCLS_DMDENRGY_AL_INPUT",#N/A,FALSE,"COSTSTUDY"}</definedName>
    <definedName name="wrn.DMD._.ENERGY._.ALLOC._.INPUT." localSheetId="32" hidden="1">{"JURIS_DMDENRGY_AL_INPUT",#N/A,FALSE,"COSTSTUDY";"OKCLS_DMDENRGY_AL_INPUT",#N/A,FALSE,"COSTSTUDY"}</definedName>
    <definedName name="wrn.DMD._.ENERGY._.ALLOC._.INPUT." localSheetId="6" hidden="1">{"JURIS_DMDENRGY_AL_INPUT",#N/A,FALSE,"COSTSTUDY";"OKCLS_DMDENRGY_AL_INPUT",#N/A,FALSE,"COSTSTUDY"}</definedName>
    <definedName name="wrn.DMD._.ENERGY._.ALLOC._.INPUT." localSheetId="4" hidden="1">{"JURIS_DMDENRGY_AL_INPUT",#N/A,FALSE,"COSTSTUDY";"OKCLS_DMDENRGY_AL_INPUT",#N/A,FALSE,"COSTSTUDY"}</definedName>
    <definedName name="wrn.DMD._.ENERGY._.ALLOC._.INPUT." localSheetId="5" hidden="1">{"JURIS_DMDENRGY_AL_INPUT",#N/A,FALSE,"COSTSTUDY";"OKCLS_DMDENRGY_AL_INPUT",#N/A,FALSE,"COSTSTUDY"}</definedName>
    <definedName name="wrn.DMD._.ENERGY._.ALLOC._.INPUT." localSheetId="7" hidden="1">{"JURIS_DMDENRGY_AL_INPUT",#N/A,FALSE,"COSTSTUDY";"OKCLS_DMDENRGY_AL_INPUT",#N/A,FALSE,"COSTSTUDY"}</definedName>
    <definedName name="wrn.DMD._.ENERGY._.ALLOC._.INPUT." localSheetId="3" hidden="1">{"JURIS_DMDENRGY_AL_INPUT",#N/A,FALSE,"COSTSTUDY";"OKCLS_DMDENRGY_AL_INPUT",#N/A,FALSE,"COSTSTUDY"}</definedName>
    <definedName name="wrn.DMD._.ENERGY._.ALLOC._.INPUT." localSheetId="29" hidden="1">{"JURIS_DMDENRGY_AL_INPUT",#N/A,FALSE,"COSTSTUDY";"OKCLS_DMDENRGY_AL_INPUT",#N/A,FALSE,"COSTSTUDY"}</definedName>
    <definedName name="wrn.DMD._.ENERGY._.ALLOC._.INPUT." localSheetId="47" hidden="1">{"JURIS_DMDENRGY_AL_INPUT",#N/A,FALSE,"COSTSTUDY";"OKCLS_DMDENRGY_AL_INPUT",#N/A,FALSE,"COSTSTUDY"}</definedName>
    <definedName name="wrn.DMD._.ENERGY._.ALLOC._.INPUT." hidden="1">{"JURIS_DMDENRGY_AL_INPUT",#N/A,FALSE,"COSTSTUDY";"OKCLS_DMDENRGY_AL_INPUT",#N/A,FALSE,"COSTSTUDY"}</definedName>
    <definedName name="wrn.Earnings._.Model." localSheetId="3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LIM_CWO." localSheetId="1" hidden="1">{"ELIM_CWO_ISV",#N/A,FALSE,"Sheet1";"ELIM_CWO_SAV",#N/A,FALSE,"Sheet1";"ELIM_CWO_BSV",#N/A,FALSE,"Sheet1";"ELIM_CWO_SFDV",#N/A,FALSE,"Sheet1"}</definedName>
    <definedName name="wrn.ELIM_CWO." localSheetId="32" hidden="1">{"ELIM_CWO_ISV",#N/A,FALSE,"Sheet1";"ELIM_CWO_SAV",#N/A,FALSE,"Sheet1";"ELIM_CWO_BSV",#N/A,FALSE,"Sheet1";"ELIM_CWO_SFDV",#N/A,FALSE,"Sheet1"}</definedName>
    <definedName name="wrn.ELIM_CWO." localSheetId="6" hidden="1">{"ELIM_CWO_ISV",#N/A,FALSE,"Sheet1";"ELIM_CWO_SAV",#N/A,FALSE,"Sheet1";"ELIM_CWO_BSV",#N/A,FALSE,"Sheet1";"ELIM_CWO_SFDV",#N/A,FALSE,"Sheet1"}</definedName>
    <definedName name="wrn.ELIM_CWO." localSheetId="4" hidden="1">{"ELIM_CWO_ISV",#N/A,FALSE,"Sheet1";"ELIM_CWO_SAV",#N/A,FALSE,"Sheet1";"ELIM_CWO_BSV",#N/A,FALSE,"Sheet1";"ELIM_CWO_SFDV",#N/A,FALSE,"Sheet1"}</definedName>
    <definedName name="wrn.ELIM_CWO." localSheetId="5" hidden="1">{"ELIM_CWO_ISV",#N/A,FALSE,"Sheet1";"ELIM_CWO_SAV",#N/A,FALSE,"Sheet1";"ELIM_CWO_BSV",#N/A,FALSE,"Sheet1";"ELIM_CWO_SFDV",#N/A,FALSE,"Sheet1"}</definedName>
    <definedName name="wrn.ELIM_CWO." localSheetId="7" hidden="1">{"ELIM_CWO_ISV",#N/A,FALSE,"Sheet1";"ELIM_CWO_SAV",#N/A,FALSE,"Sheet1";"ELIM_CWO_BSV",#N/A,FALSE,"Sheet1";"ELIM_CWO_SFDV",#N/A,FALSE,"Sheet1"}</definedName>
    <definedName name="wrn.ELIM_CWO." localSheetId="3" hidden="1">{"ELIM_CWO_ISV",#N/A,FALSE,"Sheet1";"ELIM_CWO_SAV",#N/A,FALSE,"Sheet1";"ELIM_CWO_BSV",#N/A,FALSE,"Sheet1";"ELIM_CWO_SFDV",#N/A,FALSE,"Sheet1"}</definedName>
    <definedName name="wrn.ELIM_CWO." localSheetId="29" hidden="1">{"ELIM_CWO_ISV",#N/A,FALSE,"Sheet1";"ELIM_CWO_SAV",#N/A,FALSE,"Sheet1";"ELIM_CWO_BSV",#N/A,FALSE,"Sheet1";"ELIM_CWO_SFDV",#N/A,FALSE,"Sheet1"}</definedName>
    <definedName name="wrn.ELIM_CWO." localSheetId="47" hidden="1">{"ELIM_CWO_ISV",#N/A,FALSE,"Sheet1";"ELIM_CWO_SAV",#N/A,FALSE,"Sheet1";"ELIM_CWO_BSV",#N/A,FALSE,"Sheet1";"ELIM_CWO_SFDV",#N/A,FALSE,"Sheet1"}</definedName>
    <definedName name="wrn.ELIM_CWO." hidden="1">{"ELIM_CWO_ISV",#N/A,FALSE,"Sheet1";"ELIM_CWO_SAV",#N/A,FALSE,"Sheet1";"ELIM_CWO_BSV",#N/A,FALSE,"Sheet1";"ELIM_CWO_SFDV",#N/A,FALSE,"Sheet1"}</definedName>
    <definedName name="wrn.ELIM_UWNJ_UWNY." localSheetId="1" hidden="1">{"ELIM_UWNJ_UWNY_ISV",#N/A,FALSE,"Sheet1";"ELIM_UWNJ_UWNY_SAV",#N/A,FALSE,"Sheet1";"ELIM_UWNJ_UWNY_BSV",#N/A,FALSE,"Sheet1";"ELIM_UWNJ_UWNY_SFDV",#N/A,FALSE,"Sheet1"}</definedName>
    <definedName name="wrn.ELIM_UWNJ_UWNY." localSheetId="32" hidden="1">{"ELIM_UWNJ_UWNY_ISV",#N/A,FALSE,"Sheet1";"ELIM_UWNJ_UWNY_SAV",#N/A,FALSE,"Sheet1";"ELIM_UWNJ_UWNY_BSV",#N/A,FALSE,"Sheet1";"ELIM_UWNJ_UWNY_SFDV",#N/A,FALSE,"Sheet1"}</definedName>
    <definedName name="wrn.ELIM_UWNJ_UWNY." localSheetId="6" hidden="1">{"ELIM_UWNJ_UWNY_ISV",#N/A,FALSE,"Sheet1";"ELIM_UWNJ_UWNY_SAV",#N/A,FALSE,"Sheet1";"ELIM_UWNJ_UWNY_BSV",#N/A,FALSE,"Sheet1";"ELIM_UWNJ_UWNY_SFDV",#N/A,FALSE,"Sheet1"}</definedName>
    <definedName name="wrn.ELIM_UWNJ_UWNY." localSheetId="4" hidden="1">{"ELIM_UWNJ_UWNY_ISV",#N/A,FALSE,"Sheet1";"ELIM_UWNJ_UWNY_SAV",#N/A,FALSE,"Sheet1";"ELIM_UWNJ_UWNY_BSV",#N/A,FALSE,"Sheet1";"ELIM_UWNJ_UWNY_SFDV",#N/A,FALSE,"Sheet1"}</definedName>
    <definedName name="wrn.ELIM_UWNJ_UWNY." localSheetId="5" hidden="1">{"ELIM_UWNJ_UWNY_ISV",#N/A,FALSE,"Sheet1";"ELIM_UWNJ_UWNY_SAV",#N/A,FALSE,"Sheet1";"ELIM_UWNJ_UWNY_BSV",#N/A,FALSE,"Sheet1";"ELIM_UWNJ_UWNY_SFDV",#N/A,FALSE,"Sheet1"}</definedName>
    <definedName name="wrn.ELIM_UWNJ_UWNY." localSheetId="7" hidden="1">{"ELIM_UWNJ_UWNY_ISV",#N/A,FALSE,"Sheet1";"ELIM_UWNJ_UWNY_SAV",#N/A,FALSE,"Sheet1";"ELIM_UWNJ_UWNY_BSV",#N/A,FALSE,"Sheet1";"ELIM_UWNJ_UWNY_SFDV",#N/A,FALSE,"Sheet1"}</definedName>
    <definedName name="wrn.ELIM_UWNJ_UWNY." localSheetId="3" hidden="1">{"ELIM_UWNJ_UWNY_ISV",#N/A,FALSE,"Sheet1";"ELIM_UWNJ_UWNY_SAV",#N/A,FALSE,"Sheet1";"ELIM_UWNJ_UWNY_BSV",#N/A,FALSE,"Sheet1";"ELIM_UWNJ_UWNY_SFDV",#N/A,FALSE,"Sheet1"}</definedName>
    <definedName name="wrn.ELIM_UWNJ_UWNY." localSheetId="29" hidden="1">{"ELIM_UWNJ_UWNY_ISV",#N/A,FALSE,"Sheet1";"ELIM_UWNJ_UWNY_SAV",#N/A,FALSE,"Sheet1";"ELIM_UWNJ_UWNY_BSV",#N/A,FALSE,"Sheet1";"ELIM_UWNJ_UWNY_SFDV",#N/A,FALSE,"Sheet1"}</definedName>
    <definedName name="wrn.ELIM_UWNJ_UWNY." localSheetId="47" hidden="1">{"ELIM_UWNJ_UWNY_ISV",#N/A,FALSE,"Sheet1";"ELIM_UWNJ_UWNY_SAV",#N/A,FALSE,"Sheet1";"ELIM_UWNJ_UWNY_BSV",#N/A,FALSE,"Sheet1";"ELIM_UWNJ_UWNY_SFDV",#N/A,FALSE,"Sheet1"}</definedName>
    <definedName name="wrn.ELIM_UWNJ_UWNY." hidden="1">{"ELIM_UWNJ_UWNY_ISV",#N/A,FALSE,"Sheet1";"ELIM_UWNJ_UWNY_SAV",#N/A,FALSE,"Sheet1";"ELIM_UWNJ_UWNY_BSV",#N/A,FALSE,"Sheet1";"ELIM_UWNJ_UWNY_SFDV",#N/A,FALSE,"Sheet1"}</definedName>
    <definedName name="wrn.Exhibits._.Clean." localSheetId="32" hidden="1">{"Exhibit 1",#N/A,FALSE,"MCMANEUS EXH 1";"Exhibit 5",#N/A,FALSE,"MCMANEUS EXH 5";"Exhibit 6",#N/A,FALSE,"MCMANEUS EXH 6";"Exhibit 7",#N/A,FALSE,"MCMANEUS EXH 7";"Exhibit 8",#N/A,FALSE,"MCMANEUS EXH 8";"Exhibit 9",#N/A,FALSE,"MCMANEUS EXH 9"}</definedName>
    <definedName name="wrn.Exhibits._.Clean." localSheetId="6" hidden="1">{"Exhibit 1",#N/A,FALSE,"MCMANEUS EXH 1";"Exhibit 5",#N/A,FALSE,"MCMANEUS EXH 5";"Exhibit 6",#N/A,FALSE,"MCMANEUS EXH 6";"Exhibit 7",#N/A,FALSE,"MCMANEUS EXH 7";"Exhibit 8",#N/A,FALSE,"MCMANEUS EXH 8";"Exhibit 9",#N/A,FALSE,"MCMANEUS EXH 9"}</definedName>
    <definedName name="wrn.Exhibits._.Clean." localSheetId="7" hidden="1">{"Exhibit 1",#N/A,FALSE,"MCMANEUS EXH 1";"Exhibit 5",#N/A,FALSE,"MCMANEUS EXH 5";"Exhibit 6",#N/A,FALSE,"MCMANEUS EXH 6";"Exhibit 7",#N/A,FALSE,"MCMANEUS EXH 7";"Exhibit 8",#N/A,FALSE,"MCMANEUS EXH 8";"Exhibit 9",#N/A,FALSE,"MCMANEUS EXH 9"}</definedName>
    <definedName name="wrn.Exhibits._.Clean." localSheetId="3" hidden="1">{"Exhibit 1",#N/A,FALSE,"MCMANEUS EXH 1";"Exhibit 5",#N/A,FALSE,"MCMANEUS EXH 5";"Exhibit 6",#N/A,FALSE,"MCMANEUS EXH 6";"Exhibit 7",#N/A,FALSE,"MCMANEUS EXH 7";"Exhibit 8",#N/A,FALSE,"MCMANEUS EXH 8";"Exhibit 9",#N/A,FALSE,"MCMANEUS EXH 9"}</definedName>
    <definedName name="wrn.Exhibits._.Clean." localSheetId="47" hidden="1">{"Exhibit 1",#N/A,FALSE,"MCMANEUS EXH 1";"Exhibit 5",#N/A,FALSE,"MCMANEUS EXH 5";"Exhibit 6",#N/A,FALSE,"MCMANEUS EXH 6";"Exhibit 7",#N/A,FALSE,"MCMANEUS EXH 7";"Exhibit 8",#N/A,FALSE,"MCMANEUS EXH 8";"Exhibit 9",#N/A,FALSE,"MCMANEUS EXH 9"}</definedName>
    <definedName name="wrn.Exhibits._.Clean." hidden="1">{"Exhibit 1",#N/A,FALSE,"MCMANEUS EXH 1";"Exhibit 5",#N/A,FALSE,"MCMANEUS EXH 5";"Exhibit 6",#N/A,FALSE,"MCMANEUS EXH 6";"Exhibit 7",#N/A,FALSE,"MCMANEUS EXH 7";"Exhibit 8",#N/A,FALSE,"MCMANEUS EXH 8";"Exhibit 9",#N/A,FALSE,"MCMANEUS EXH 9"}</definedName>
    <definedName name="wrn.FAC._.SUMMARY." localSheetId="1" hidden="1">{"FAC_SUMMARY",#N/A,FALSE,"Summaries"}</definedName>
    <definedName name="wrn.FAC._.SUMMARY." localSheetId="32" hidden="1">{"FAC_SUMMARY",#N/A,FALSE,"Summaries"}</definedName>
    <definedName name="wrn.FAC._.SUMMARY." localSheetId="6" hidden="1">{"FAC_SUMMARY",#N/A,FALSE,"Summaries"}</definedName>
    <definedName name="wrn.FAC._.SUMMARY." localSheetId="4" hidden="1">{"FAC_SUMMARY",#N/A,FALSE,"Summaries"}</definedName>
    <definedName name="wrn.FAC._.SUMMARY." localSheetId="5" hidden="1">{"FAC_SUMMARY",#N/A,FALSE,"Summaries"}</definedName>
    <definedName name="wrn.FAC._.SUMMARY." localSheetId="7" hidden="1">{"FAC_SUMMARY",#N/A,FALSE,"Summaries"}</definedName>
    <definedName name="wrn.FAC._.SUMMARY." localSheetId="3" hidden="1">{"FAC_SUMMARY",#N/A,FALSE,"Summaries"}</definedName>
    <definedName name="wrn.FAC._.SUMMARY." localSheetId="47" hidden="1">{"FAC_SUMMARY",#N/A,FALSE,"Summaries"}</definedName>
    <definedName name="wrn.FAC._.SUMMARY." hidden="1">{"FAC_SUMMARY",#N/A,FALSE,"Summaries"}</definedName>
    <definedName name="wrn.FAS109." localSheetId="1"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32"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6"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4"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5"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7"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3"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29"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47"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eb._.Senior._.Staff." localSheetId="32"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6"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3"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4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RC._.FAC._.CALC." localSheetId="1" hidden="1">{"FERC_FAC",#N/A,FALSE,"FERC_Fuel&amp;Rev"}</definedName>
    <definedName name="wrn.FERC._.FAC._.CALC." localSheetId="32" hidden="1">{"FERC_FAC",#N/A,FALSE,"FERC_Fuel&amp;Rev"}</definedName>
    <definedName name="wrn.FERC._.FAC._.CALC." localSheetId="6" hidden="1">{"FERC_FAC",#N/A,FALSE,"FERC_Fuel&amp;Rev"}</definedName>
    <definedName name="wrn.FERC._.FAC._.CALC." localSheetId="4" hidden="1">{"FERC_FAC",#N/A,FALSE,"FERC_Fuel&amp;Rev"}</definedName>
    <definedName name="wrn.FERC._.FAC._.CALC." localSheetId="5" hidden="1">{"FERC_FAC",#N/A,FALSE,"FERC_Fuel&amp;Rev"}</definedName>
    <definedName name="wrn.FERC._.FAC._.CALC." localSheetId="7" hidden="1">{"FERC_FAC",#N/A,FALSE,"FERC_Fuel&amp;Rev"}</definedName>
    <definedName name="wrn.FERC._.FAC._.CALC." localSheetId="3" hidden="1">{"FERC_FAC",#N/A,FALSE,"FERC_Fuel&amp;Rev"}</definedName>
    <definedName name="wrn.FERC._.FAC._.CALC." localSheetId="47" hidden="1">{"FERC_FAC",#N/A,FALSE,"FERC_Fuel&amp;Rev"}</definedName>
    <definedName name="wrn.FERC._.FAC._.CALC." hidden="1">{"FERC_FAC",#N/A,FALSE,"FERC_Fuel&amp;Rev"}</definedName>
    <definedName name="wrn.FERC._.WEATHER._.and._.JURIS._.FUEL." localSheetId="1" hidden="1">{"FERC_WEATHER_AND_FUEL",#N/A,FALSE,"FERC_Fuel&amp;Rev"}</definedName>
    <definedName name="wrn.FERC._.WEATHER._.and._.JURIS._.FUEL." localSheetId="32" hidden="1">{"FERC_WEATHER_AND_FUEL",#N/A,FALSE,"FERC_Fuel&amp;Rev"}</definedName>
    <definedName name="wrn.FERC._.WEATHER._.and._.JURIS._.FUEL." localSheetId="6" hidden="1">{"FERC_WEATHER_AND_FUEL",#N/A,FALSE,"FERC_Fuel&amp;Rev"}</definedName>
    <definedName name="wrn.FERC._.WEATHER._.and._.JURIS._.FUEL." localSheetId="4" hidden="1">{"FERC_WEATHER_AND_FUEL",#N/A,FALSE,"FERC_Fuel&amp;Rev"}</definedName>
    <definedName name="wrn.FERC._.WEATHER._.and._.JURIS._.FUEL." localSheetId="5" hidden="1">{"FERC_WEATHER_AND_FUEL",#N/A,FALSE,"FERC_Fuel&amp;Rev"}</definedName>
    <definedName name="wrn.FERC._.WEATHER._.and._.JURIS._.FUEL." localSheetId="7" hidden="1">{"FERC_WEATHER_AND_FUEL",#N/A,FALSE,"FERC_Fuel&amp;Rev"}</definedName>
    <definedName name="wrn.FERC._.WEATHER._.and._.JURIS._.FUEL." localSheetId="3" hidden="1">{"FERC_WEATHER_AND_FUEL",#N/A,FALSE,"FERC_Fuel&amp;Rev"}</definedName>
    <definedName name="wrn.FERC._.WEATHER._.and._.JURIS._.FUEL." localSheetId="47" hidden="1">{"FERC_WEATHER_AND_FUEL",#N/A,FALSE,"FERC_Fuel&amp;Rev"}</definedName>
    <definedName name="wrn.FERC._.WEATHER._.and._.JURIS._.FUEL." hidden="1">{"FERC_WEATHER_AND_FUEL",#N/A,FALSE,"FERC_Fuel&amp;Rev"}</definedName>
    <definedName name="wrn.Filing." localSheetId="32"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4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_.Update." localSheetId="32"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6"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3"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29"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4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n_Book." localSheetId="1"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32"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6"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4"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5"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7"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3"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29"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47"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or._.filling._.out._.assessments." localSheetId="32" hidden="1">{"Print Empty Template",#N/A,FALSE,"Input"}</definedName>
    <definedName name="wrn.For._.filling._.out._.assessments." localSheetId="6" hidden="1">{"Print Empty Template",#N/A,FALSE,"Input"}</definedName>
    <definedName name="wrn.For._.filling._.out._.assessments." localSheetId="7" hidden="1">{"Print Empty Template",#N/A,FALSE,"Input"}</definedName>
    <definedName name="wrn.For._.filling._.out._.assessments." localSheetId="3" hidden="1">{"Print Empty Template",#N/A,FALSE,"Input"}</definedName>
    <definedName name="wrn.For._.filling._.out._.assessments." localSheetId="29" hidden="1">{"Print Empty Template",#N/A,FALSE,"Input"}</definedName>
    <definedName name="wrn.For._.filling._.out._.assessments." localSheetId="47" hidden="1">{"Print Empty Template",#N/A,FALSE,"Input"}</definedName>
    <definedName name="wrn.For._.filling._.out._.assessments." hidden="1">{"Print Empty Template",#N/A,FALSE,"Input"}</definedName>
    <definedName name="wrn.Fuel._.Cycle." localSheetId="32" hidden="1">{#N/A,#N/A,FALSE,"AltFuel"}</definedName>
    <definedName name="wrn.Fuel._.Cycle." localSheetId="6" hidden="1">{#N/A,#N/A,FALSE,"AltFuel"}</definedName>
    <definedName name="wrn.Fuel._.Cycle." localSheetId="7" hidden="1">{#N/A,#N/A,FALSE,"AltFuel"}</definedName>
    <definedName name="wrn.Fuel._.Cycle." localSheetId="3" hidden="1">{#N/A,#N/A,FALSE,"AltFuel"}</definedName>
    <definedName name="wrn.Fuel._.Cycle." localSheetId="47" hidden="1">{#N/A,#N/A,FALSE,"AltFuel"}</definedName>
    <definedName name="wrn.Fuel._.Cycle." hidden="1">{#N/A,#N/A,FALSE,"AltFuel"}</definedName>
    <definedName name="wrn.go." localSheetId="1" hidden="1">{"wp_h4.2",#N/A,FALSE,"WP_H4.2";"wp_h4.3",#N/A,FALSE,"WP_H4.3"}</definedName>
    <definedName name="wrn.go." localSheetId="32" hidden="1">{"wp_h4.2",#N/A,FALSE,"WP_H4.2";"wp_h4.3",#N/A,FALSE,"WP_H4.3"}</definedName>
    <definedName name="wrn.go." localSheetId="6" hidden="1">{"wp_h4.2",#N/A,FALSE,"WP_H4.2";"wp_h4.3",#N/A,FALSE,"WP_H4.3"}</definedName>
    <definedName name="wrn.go." localSheetId="4" hidden="1">{"wp_h4.2",#N/A,FALSE,"WP_H4.2";"wp_h4.3",#N/A,FALSE,"WP_H4.3"}</definedName>
    <definedName name="wrn.go." localSheetId="5" hidden="1">{"wp_h4.2",#N/A,FALSE,"WP_H4.2";"wp_h4.3",#N/A,FALSE,"WP_H4.3"}</definedName>
    <definedName name="wrn.go." localSheetId="7" hidden="1">{"wp_h4.2",#N/A,FALSE,"WP_H4.2";"wp_h4.3",#N/A,FALSE,"WP_H4.3"}</definedName>
    <definedName name="wrn.go." localSheetId="3" hidden="1">{"wp_h4.2",#N/A,FALSE,"WP_H4.2";"wp_h4.3",#N/A,FALSE,"WP_H4.3"}</definedName>
    <definedName name="wrn.go." localSheetId="47" hidden="1">{"wp_h4.2",#N/A,FALSE,"WP_H4.2";"wp_h4.3",#N/A,FALSE,"WP_H4.3"}</definedName>
    <definedName name="wrn.go." hidden="1">{"wp_h4.2",#N/A,FALSE,"WP_H4.2";"wp_h4.3",#N/A,FALSE,"WP_H4.3"}</definedName>
    <definedName name="wrn.Graph._.SBU._.by._.Year._.1997_2000." localSheetId="1" hidden="1">{"Graph SBU by Year 1997_2000",#N/A,FALSE,"Strategic Business Lines"}</definedName>
    <definedName name="wrn.Graph._.SBU._.by._.Year._.1997_2000." localSheetId="32" hidden="1">{"Graph SBU by Year 1997_2000",#N/A,FALSE,"Strategic Business Lines"}</definedName>
    <definedName name="wrn.Graph._.SBU._.by._.Year._.1997_2000." localSheetId="6" hidden="1">{"Graph SBU by Year 1997_2000",#N/A,FALSE,"Strategic Business Lines"}</definedName>
    <definedName name="wrn.Graph._.SBU._.by._.Year._.1997_2000." localSheetId="4" hidden="1">{"Graph SBU by Year 1997_2000",#N/A,FALSE,"Strategic Business Lines"}</definedName>
    <definedName name="wrn.Graph._.SBU._.by._.Year._.1997_2000." localSheetId="5" hidden="1">{"Graph SBU by Year 1997_2000",#N/A,FALSE,"Strategic Business Lines"}</definedName>
    <definedName name="wrn.Graph._.SBU._.by._.Year._.1997_2000." localSheetId="7" hidden="1">{"Graph SBU by Year 1997_2000",#N/A,FALSE,"Strategic Business Lines"}</definedName>
    <definedName name="wrn.Graph._.SBU._.by._.Year._.1997_2000." localSheetId="3" hidden="1">{"Graph SBU by Year 1997_2000",#N/A,FALSE,"Strategic Business Lines"}</definedName>
    <definedName name="wrn.Graph._.SBU._.by._.Year._.1997_2000." localSheetId="29" hidden="1">{"Graph SBU by Year 1997_2000",#N/A,FALSE,"Strategic Business Lines"}</definedName>
    <definedName name="wrn.Graph._.SBU._.by._.Year._.1997_2000." localSheetId="47" hidden="1">{"Graph SBU by Year 1997_2000",#N/A,FALSE,"Strategic Business Lines"}</definedName>
    <definedName name="wrn.Graph._.SBU._.by._.Year._.1997_2000." hidden="1">{"Graph SBU by Year 1997_2000",#N/A,FALSE,"Strategic Business Lines"}</definedName>
    <definedName name="wrn.Graph._.SBU._.Contribution._.1997_2000." localSheetId="1" hidden="1">{"Graph_SBU_Contirbution 1991_2000",#N/A,FALSE,"Strategic Business Lines"}</definedName>
    <definedName name="wrn.Graph._.SBU._.Contribution._.1997_2000." localSheetId="32" hidden="1">{"Graph_SBU_Contirbution 1991_2000",#N/A,FALSE,"Strategic Business Lines"}</definedName>
    <definedName name="wrn.Graph._.SBU._.Contribution._.1997_2000." localSheetId="6" hidden="1">{"Graph_SBU_Contirbution 1991_2000",#N/A,FALSE,"Strategic Business Lines"}</definedName>
    <definedName name="wrn.Graph._.SBU._.Contribution._.1997_2000." localSheetId="4" hidden="1">{"Graph_SBU_Contirbution 1991_2000",#N/A,FALSE,"Strategic Business Lines"}</definedName>
    <definedName name="wrn.Graph._.SBU._.Contribution._.1997_2000." localSheetId="5" hidden="1">{"Graph_SBU_Contirbution 1991_2000",#N/A,FALSE,"Strategic Business Lines"}</definedName>
    <definedName name="wrn.Graph._.SBU._.Contribution._.1997_2000." localSheetId="7" hidden="1">{"Graph_SBU_Contirbution 1991_2000",#N/A,FALSE,"Strategic Business Lines"}</definedName>
    <definedName name="wrn.Graph._.SBU._.Contribution._.1997_2000." localSheetId="3" hidden="1">{"Graph_SBU_Contirbution 1991_2000",#N/A,FALSE,"Strategic Business Lines"}</definedName>
    <definedName name="wrn.Graph._.SBU._.Contribution._.1997_2000." localSheetId="29" hidden="1">{"Graph_SBU_Contirbution 1991_2000",#N/A,FALSE,"Strategic Business Lines"}</definedName>
    <definedName name="wrn.Graph._.SBU._.Contribution._.1997_2000." localSheetId="47" hidden="1">{"Graph_SBU_Contirbution 1991_2000",#N/A,FALSE,"Strategic Business Lines"}</definedName>
    <definedName name="wrn.Graph._.SBU._.Contribution._.1997_2000." hidden="1">{"Graph_SBU_Contirbution 1991_2000",#N/A,FALSE,"Strategic Business Lines"}</definedName>
    <definedName name="wrn.handout." localSheetId="32" hidden="1">{"quarterly",#N/A,FALSE,"Income Statement";#N/A,#N/A,FALSE,"print segment";#N/A,#N/A,FALSE,"Balance Sheet";#N/A,#N/A,FALSE,"Annl Inc";#N/A,#N/A,FALSE,"Cash Flow"}</definedName>
    <definedName name="wrn.handout." localSheetId="6" hidden="1">{"quarterly",#N/A,FALSE,"Income Statement";#N/A,#N/A,FALSE,"print segment";#N/A,#N/A,FALSE,"Balance Sheet";#N/A,#N/A,FALSE,"Annl Inc";#N/A,#N/A,FALSE,"Cash Flow"}</definedName>
    <definedName name="wrn.handout." localSheetId="7" hidden="1">{"quarterly",#N/A,FALSE,"Income Statement";#N/A,#N/A,FALSE,"print segment";#N/A,#N/A,FALSE,"Balance Sheet";#N/A,#N/A,FALSE,"Annl Inc";#N/A,#N/A,FALSE,"Cash Flow"}</definedName>
    <definedName name="wrn.handout." localSheetId="3" hidden="1">{"quarterly",#N/A,FALSE,"Income Statement";#N/A,#N/A,FALSE,"print segment";#N/A,#N/A,FALSE,"Balance Sheet";#N/A,#N/A,FALSE,"Annl Inc";#N/A,#N/A,FALSE,"Cash Flow"}</definedName>
    <definedName name="wrn.handout." localSheetId="47" hidden="1">{"quarterly",#N/A,FALSE,"Income Statement";#N/A,#N/A,FALSE,"print segment";#N/A,#N/A,FALSE,"Balance Sheet";#N/A,#N/A,FALSE,"Annl Inc";#N/A,#N/A,FALSE,"Cash Flow"}</definedName>
    <definedName name="wrn.handout." hidden="1">{"quarterly",#N/A,FALSE,"Income Statement";#N/A,#N/A,FALSE,"print segment";#N/A,#N/A,FALSE,"Balance Sheet";#N/A,#N/A,FALSE,"Annl Inc";#N/A,#N/A,FALSE,"Cash Flow"}</definedName>
    <definedName name="wrn.HLP._.Detail." localSheetId="32" hidden="1">{"2002 - 2006 Detail Income Statement",#N/A,FALSE,"TUB Income Statement wo DW";"BGS Deferral",#N/A,FALSE,"BGS Deferral";"NNC Deferral",#N/A,FALSE,"NNC Deferral";"MTC Deferral",#N/A,FALSE,"MTC Deferral";#N/A,#N/A,FALSE,"Schedule D"}</definedName>
    <definedName name="wrn.HLP._.Detail." localSheetId="6" hidden="1">{"2002 - 2006 Detail Income Statement",#N/A,FALSE,"TUB Income Statement wo DW";"BGS Deferral",#N/A,FALSE,"BGS Deferral";"NNC Deferral",#N/A,FALSE,"NNC Deferral";"MTC Deferral",#N/A,FALSE,"MTC Deferral";#N/A,#N/A,FALSE,"Schedule D"}</definedName>
    <definedName name="wrn.HLP._.Detail." localSheetId="7" hidden="1">{"2002 - 2006 Detail Income Statement",#N/A,FALSE,"TUB Income Statement wo DW";"BGS Deferral",#N/A,FALSE,"BGS Deferral";"NNC Deferral",#N/A,FALSE,"NNC Deferral";"MTC Deferral",#N/A,FALSE,"MTC Deferral";#N/A,#N/A,FALSE,"Schedule D"}</definedName>
    <definedName name="wrn.HLP._.Detail." localSheetId="3" hidden="1">{"2002 - 2006 Detail Income Statement",#N/A,FALSE,"TUB Income Statement wo DW";"BGS Deferral",#N/A,FALSE,"BGS Deferral";"NNC Deferral",#N/A,FALSE,"NNC Deferral";"MTC Deferral",#N/A,FALSE,"MTC Deferral";#N/A,#N/A,FALSE,"Schedule D"}</definedName>
    <definedName name="wrn.HLP._.Detail." localSheetId="29" hidden="1">{"2002 - 2006 Detail Income Statement",#N/A,FALSE,"TUB Income Statement wo DW";"BGS Deferral",#N/A,FALSE,"BGS Deferral";"NNC Deferral",#N/A,FALSE,"NNC Deferral";"MTC Deferral",#N/A,FALSE,"MTC Deferral";#N/A,#N/A,FALSE,"Schedule D"}</definedName>
    <definedName name="wrn.HLP._.Detail." localSheetId="47"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HWP_GL." localSheetId="1" hidden="1">{#N/A,#N/A,FALSE,"GLDwnLoad"}</definedName>
    <definedName name="wrn.HWP_GL." localSheetId="32" hidden="1">{#N/A,#N/A,FALSE,"GLDwnLoad"}</definedName>
    <definedName name="wrn.HWP_GL." localSheetId="6" hidden="1">{#N/A,#N/A,FALSE,"GLDwnLoad"}</definedName>
    <definedName name="wrn.HWP_GL." localSheetId="4" hidden="1">{#N/A,#N/A,FALSE,"GLDwnLoad"}</definedName>
    <definedName name="wrn.HWP_GL." localSheetId="5" hidden="1">{#N/A,#N/A,FALSE,"GLDwnLoad"}</definedName>
    <definedName name="wrn.HWP_GL." localSheetId="7" hidden="1">{#N/A,#N/A,FALSE,"GLDwnLoad"}</definedName>
    <definedName name="wrn.HWP_GL." localSheetId="3" hidden="1">{#N/A,#N/A,FALSE,"GLDwnLoad"}</definedName>
    <definedName name="wrn.HWP_GL." localSheetId="47" hidden="1">{#N/A,#N/A,FALSE,"GLDwnLoad"}</definedName>
    <definedName name="wrn.HWP_GL." hidden="1">{#N/A,#N/A,FALSE,"GLDwnLoad"}</definedName>
    <definedName name="wrn.HWP_INPUTS." localSheetId="1" hidden="1">{#N/A,#N/A,FALSE,"OTHERINPUTS";#N/A,#N/A,FALSE,"SUPPLIEDADJINPUT";#N/A,#N/A,FALSE,"BR&amp;SUPADJ."}</definedName>
    <definedName name="wrn.HWP_INPUTS." localSheetId="32" hidden="1">{#N/A,#N/A,FALSE,"OTHERINPUTS";#N/A,#N/A,FALSE,"SUPPLIEDADJINPUT";#N/A,#N/A,FALSE,"BR&amp;SUPADJ."}</definedName>
    <definedName name="wrn.HWP_INPUTS." localSheetId="6" hidden="1">{#N/A,#N/A,FALSE,"OTHERINPUTS";#N/A,#N/A,FALSE,"SUPPLIEDADJINPUT";#N/A,#N/A,FALSE,"BR&amp;SUPADJ."}</definedName>
    <definedName name="wrn.HWP_INPUTS." localSheetId="4" hidden="1">{#N/A,#N/A,FALSE,"OTHERINPUTS";#N/A,#N/A,FALSE,"SUPPLIEDADJINPUT";#N/A,#N/A,FALSE,"BR&amp;SUPADJ."}</definedName>
    <definedName name="wrn.HWP_INPUTS." localSheetId="5" hidden="1">{#N/A,#N/A,FALSE,"OTHERINPUTS";#N/A,#N/A,FALSE,"SUPPLIEDADJINPUT";#N/A,#N/A,FALSE,"BR&amp;SUPADJ."}</definedName>
    <definedName name="wrn.HWP_INPUTS." localSheetId="7" hidden="1">{#N/A,#N/A,FALSE,"OTHERINPUTS";#N/A,#N/A,FALSE,"SUPPLIEDADJINPUT";#N/A,#N/A,FALSE,"BR&amp;SUPADJ."}</definedName>
    <definedName name="wrn.HWP_INPUTS." localSheetId="3" hidden="1">{#N/A,#N/A,FALSE,"OTHERINPUTS";#N/A,#N/A,FALSE,"SUPPLIEDADJINPUT";#N/A,#N/A,FALSE,"BR&amp;SUPADJ."}</definedName>
    <definedName name="wrn.HWP_INPUTS." localSheetId="47" hidden="1">{#N/A,#N/A,FALSE,"OTHERINPUTS";#N/A,#N/A,FALSE,"SUPPLIEDADJINPUT";#N/A,#N/A,FALSE,"BR&amp;SUPADJ."}</definedName>
    <definedName name="wrn.HWP_INPUTS." hidden="1">{#N/A,#N/A,FALSE,"OTHERINPUTS";#N/A,#N/A,FALSE,"SUPPLIEDADJINPUT";#N/A,#N/A,FALSE,"BR&amp;SUPADJ."}</definedName>
    <definedName name="wrn.HWP_PROV." localSheetId="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3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6"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4"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5"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3"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4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INCOME._.TAX._.CALCULATION." localSheetId="1" hidden="1">{"JURIS_INC_TAX_CALC",#N/A,FALSE,"COSTSTUDY";"OKCLS_INC_TAX_CALC",#N/A,FALSE,"COSTSTUDY"}</definedName>
    <definedName name="wrn.INCOME._.TAX._.CALCULATION." localSheetId="32" hidden="1">{"JURIS_INC_TAX_CALC",#N/A,FALSE,"COSTSTUDY";"OKCLS_INC_TAX_CALC",#N/A,FALSE,"COSTSTUDY"}</definedName>
    <definedName name="wrn.INCOME._.TAX._.CALCULATION." localSheetId="6" hidden="1">{"JURIS_INC_TAX_CALC",#N/A,FALSE,"COSTSTUDY";"OKCLS_INC_TAX_CALC",#N/A,FALSE,"COSTSTUDY"}</definedName>
    <definedName name="wrn.INCOME._.TAX._.CALCULATION." localSheetId="4" hidden="1">{"JURIS_INC_TAX_CALC",#N/A,FALSE,"COSTSTUDY";"OKCLS_INC_TAX_CALC",#N/A,FALSE,"COSTSTUDY"}</definedName>
    <definedName name="wrn.INCOME._.TAX._.CALCULATION." localSheetId="5" hidden="1">{"JURIS_INC_TAX_CALC",#N/A,FALSE,"COSTSTUDY";"OKCLS_INC_TAX_CALC",#N/A,FALSE,"COSTSTUDY"}</definedName>
    <definedName name="wrn.INCOME._.TAX._.CALCULATION." localSheetId="7" hidden="1">{"JURIS_INC_TAX_CALC",#N/A,FALSE,"COSTSTUDY";"OKCLS_INC_TAX_CALC",#N/A,FALSE,"COSTSTUDY"}</definedName>
    <definedName name="wrn.INCOME._.TAX._.CALCULATION." localSheetId="3" hidden="1">{"JURIS_INC_TAX_CALC",#N/A,FALSE,"COSTSTUDY";"OKCLS_INC_TAX_CALC",#N/A,FALSE,"COSTSTUDY"}</definedName>
    <definedName name="wrn.INCOME._.TAX._.CALCULATION." localSheetId="29" hidden="1">{"JURIS_INC_TAX_CALC",#N/A,FALSE,"COSTSTUDY";"OKCLS_INC_TAX_CALC",#N/A,FALSE,"COSTSTUDY"}</definedName>
    <definedName name="wrn.INCOME._.TAX._.CALCULATION." localSheetId="47" hidden="1">{"JURIS_INC_TAX_CALC",#N/A,FALSE,"COSTSTUDY";"OKCLS_INC_TAX_CALC",#N/A,FALSE,"COSTSTUDY"}</definedName>
    <definedName name="wrn.INCOME._.TAX._.CALCULATION." hidden="1">{"JURIS_INC_TAX_CALC",#N/A,FALSE,"COSTSTUDY";"OKCLS_INC_TAX_CALC",#N/A,FALSE,"COSTSTUDY"}</definedName>
    <definedName name="wrn.IncStatement._.15._.years." localSheetId="32" hidden="1">{#N/A,#N/A,FALSE,"FinStateUS"}</definedName>
    <definedName name="wrn.IncStatement._.15._.years." localSheetId="6" hidden="1">{#N/A,#N/A,FALSE,"FinStateUS"}</definedName>
    <definedName name="wrn.IncStatement._.15._.years." localSheetId="7" hidden="1">{#N/A,#N/A,FALSE,"FinStateUS"}</definedName>
    <definedName name="wrn.IncStatement._.15._.years." localSheetId="3" hidden="1">{#N/A,#N/A,FALSE,"FinStateUS"}</definedName>
    <definedName name="wrn.IncStatement._.15._.years." localSheetId="47" hidden="1">{#N/A,#N/A,FALSE,"FinStateUS"}</definedName>
    <definedName name="wrn.IncStatement._.15._.years." hidden="1">{#N/A,#N/A,FALSE,"FinStateUS"}</definedName>
    <definedName name="wrn.IncStatement._.6._.years." localSheetId="32" hidden="1">{"IncStatement 6 years",#N/A,FALSE,"FinStateUS"}</definedName>
    <definedName name="wrn.IncStatement._.6._.years." localSheetId="6" hidden="1">{"IncStatement 6 years",#N/A,FALSE,"FinStateUS"}</definedName>
    <definedName name="wrn.IncStatement._.6._.years." localSheetId="7" hidden="1">{"IncStatement 6 years",#N/A,FALSE,"FinStateUS"}</definedName>
    <definedName name="wrn.IncStatement._.6._.years." localSheetId="3" hidden="1">{"IncStatement 6 years",#N/A,FALSE,"FinStateUS"}</definedName>
    <definedName name="wrn.IncStatement._.6._.years." localSheetId="47" hidden="1">{"IncStatement 6 years",#N/A,FALSE,"FinStateUS"}</definedName>
    <definedName name="wrn.IncStatement._.6._.years." hidden="1">{"IncStatement 6 years",#N/A,FALSE,"FinStateUS"}</definedName>
    <definedName name="wrn.Initial." localSheetId="1" hidden="1">{#N/A,"Anonymous",FALSE,"30 30k Table";#N/A,#N/A,FALSE,"30 50k Table";#N/A,#N/A,FALSE,"40 100k Table"}</definedName>
    <definedName name="wrn.Initial." localSheetId="32" hidden="1">{#N/A,"Anonymous",FALSE,"30 30k Table";#N/A,#N/A,FALSE,"30 50k Table";#N/A,#N/A,FALSE,"40 100k Table"}</definedName>
    <definedName name="wrn.Initial." localSheetId="6" hidden="1">{#N/A,"Anonymous",FALSE,"30 30k Table";#N/A,#N/A,FALSE,"30 50k Table";#N/A,#N/A,FALSE,"40 100k Table"}</definedName>
    <definedName name="wrn.Initial." localSheetId="4" hidden="1">{#N/A,"Anonymous",FALSE,"30 30k Table";#N/A,#N/A,FALSE,"30 50k Table";#N/A,#N/A,FALSE,"40 100k Table"}</definedName>
    <definedName name="wrn.Initial." localSheetId="5" hidden="1">{#N/A,"Anonymous",FALSE,"30 30k Table";#N/A,#N/A,FALSE,"30 50k Table";#N/A,#N/A,FALSE,"40 100k Table"}</definedName>
    <definedName name="wrn.Initial." localSheetId="7" hidden="1">{#N/A,"Anonymous",FALSE,"30 30k Table";#N/A,#N/A,FALSE,"30 50k Table";#N/A,#N/A,FALSE,"40 100k Table"}</definedName>
    <definedName name="wrn.Initial." localSheetId="3" hidden="1">{#N/A,"Anonymous",FALSE,"30 30k Table";#N/A,#N/A,FALSE,"30 50k Table";#N/A,#N/A,FALSE,"40 100k Table"}</definedName>
    <definedName name="wrn.Initial." localSheetId="29" hidden="1">{#N/A,"Anonymous",FALSE,"30 30k Table";#N/A,#N/A,FALSE,"30 50k Table";#N/A,#N/A,FALSE,"40 100k Table"}</definedName>
    <definedName name="wrn.Initial." localSheetId="47" hidden="1">{#N/A,"Anonymous",FALSE,"30 30k Table";#N/A,#N/A,FALSE,"30 50k Table";#N/A,#N/A,FALSE,"40 100k Table"}</definedName>
    <definedName name="wrn.Initial." hidden="1">{#N/A,"Anonymous",FALSE,"30 30k Table";#N/A,#N/A,FALSE,"30 50k Table";#N/A,#N/A,FALSE,"40 100k Table"}</definedName>
    <definedName name="wrn.INTERNAL._.ALLOC._.INPUT." localSheetId="1" hidden="1">{"JURIS_INT_ALOC_AMTS",#N/A,FALSE,"COSTSTUDY";"OKCLS_INT_ALOC_AMTS",#N/A,FALSE,"COSTSTUDY"}</definedName>
    <definedName name="wrn.INTERNAL._.ALLOC._.INPUT." localSheetId="32" hidden="1">{"JURIS_INT_ALOC_AMTS",#N/A,FALSE,"COSTSTUDY";"OKCLS_INT_ALOC_AMTS",#N/A,FALSE,"COSTSTUDY"}</definedName>
    <definedName name="wrn.INTERNAL._.ALLOC._.INPUT." localSheetId="6" hidden="1">{"JURIS_INT_ALOC_AMTS",#N/A,FALSE,"COSTSTUDY";"OKCLS_INT_ALOC_AMTS",#N/A,FALSE,"COSTSTUDY"}</definedName>
    <definedName name="wrn.INTERNAL._.ALLOC._.INPUT." localSheetId="4" hidden="1">{"JURIS_INT_ALOC_AMTS",#N/A,FALSE,"COSTSTUDY";"OKCLS_INT_ALOC_AMTS",#N/A,FALSE,"COSTSTUDY"}</definedName>
    <definedName name="wrn.INTERNAL._.ALLOC._.INPUT." localSheetId="5" hidden="1">{"JURIS_INT_ALOC_AMTS",#N/A,FALSE,"COSTSTUDY";"OKCLS_INT_ALOC_AMTS",#N/A,FALSE,"COSTSTUDY"}</definedName>
    <definedName name="wrn.INTERNAL._.ALLOC._.INPUT." localSheetId="7" hidden="1">{"JURIS_INT_ALOC_AMTS",#N/A,FALSE,"COSTSTUDY";"OKCLS_INT_ALOC_AMTS",#N/A,FALSE,"COSTSTUDY"}</definedName>
    <definedName name="wrn.INTERNAL._.ALLOC._.INPUT." localSheetId="3" hidden="1">{"JURIS_INT_ALOC_AMTS",#N/A,FALSE,"COSTSTUDY";"OKCLS_INT_ALOC_AMTS",#N/A,FALSE,"COSTSTUDY"}</definedName>
    <definedName name="wrn.INTERNAL._.ALLOC._.INPUT." localSheetId="29" hidden="1">{"JURIS_INT_ALOC_AMTS",#N/A,FALSE,"COSTSTUDY";"OKCLS_INT_ALOC_AMTS",#N/A,FALSE,"COSTSTUDY"}</definedName>
    <definedName name="wrn.INTERNAL._.ALLOC._.INPUT." localSheetId="47" hidden="1">{"JURIS_INT_ALOC_AMTS",#N/A,FALSE,"COSTSTUDY";"OKCLS_INT_ALOC_AMTS",#N/A,FALSE,"COSTSTUDY"}</definedName>
    <definedName name="wrn.INTERNAL._.ALLOC._.INPUT." hidden="1">{"JURIS_INT_ALOC_AMTS",#N/A,FALSE,"COSTSTUDY";"OKCLS_INT_ALOC_AMTS",#N/A,FALSE,"COSTSTUDY"}</definedName>
    <definedName name="wrn.INTERNAL._.ALLOC._.RATIOS." localSheetId="1" hidden="1">{"JURIS_INTAL_RATIOS",#N/A,FALSE,"COSTSTUDY";"OKCLS_INTAL_RATIOS",#N/A,FALSE,"COSTSTUDY"}</definedName>
    <definedName name="wrn.INTERNAL._.ALLOC._.RATIOS." localSheetId="32" hidden="1">{"JURIS_INTAL_RATIOS",#N/A,FALSE,"COSTSTUDY";"OKCLS_INTAL_RATIOS",#N/A,FALSE,"COSTSTUDY"}</definedName>
    <definedName name="wrn.INTERNAL._.ALLOC._.RATIOS." localSheetId="6" hidden="1">{"JURIS_INTAL_RATIOS",#N/A,FALSE,"COSTSTUDY";"OKCLS_INTAL_RATIOS",#N/A,FALSE,"COSTSTUDY"}</definedName>
    <definedName name="wrn.INTERNAL._.ALLOC._.RATIOS." localSheetId="4" hidden="1">{"JURIS_INTAL_RATIOS",#N/A,FALSE,"COSTSTUDY";"OKCLS_INTAL_RATIOS",#N/A,FALSE,"COSTSTUDY"}</definedName>
    <definedName name="wrn.INTERNAL._.ALLOC._.RATIOS." localSheetId="5" hidden="1">{"JURIS_INTAL_RATIOS",#N/A,FALSE,"COSTSTUDY";"OKCLS_INTAL_RATIOS",#N/A,FALSE,"COSTSTUDY"}</definedName>
    <definedName name="wrn.INTERNAL._.ALLOC._.RATIOS." localSheetId="7" hidden="1">{"JURIS_INTAL_RATIOS",#N/A,FALSE,"COSTSTUDY";"OKCLS_INTAL_RATIOS",#N/A,FALSE,"COSTSTUDY"}</definedName>
    <definedName name="wrn.INTERNAL._.ALLOC._.RATIOS." localSheetId="3" hidden="1">{"JURIS_INTAL_RATIOS",#N/A,FALSE,"COSTSTUDY";"OKCLS_INTAL_RATIOS",#N/A,FALSE,"COSTSTUDY"}</definedName>
    <definedName name="wrn.INTERNAL._.ALLOC._.RATIOS." localSheetId="29" hidden="1">{"JURIS_INTAL_RATIOS",#N/A,FALSE,"COSTSTUDY";"OKCLS_INTAL_RATIOS",#N/A,FALSE,"COSTSTUDY"}</definedName>
    <definedName name="wrn.INTERNAL._.ALLOC._.RATIOS." localSheetId="47" hidden="1">{"JURIS_INTAL_RATIOS",#N/A,FALSE,"COSTSTUDY";"OKCLS_INTAL_RATIOS",#N/A,FALSE,"COSTSTUDY"}</definedName>
    <definedName name="wrn.INTERNAL._.ALLOC._.RATIOS." hidden="1">{"JURIS_INTAL_RATIOS",#N/A,FALSE,"COSTSTUDY";"OKCLS_INTAL_RATIOS",#N/A,FALSE,"COSTSTUDY"}</definedName>
    <definedName name="wrn.InterSystem." localSheetId="32" hidden="1">{"Purchases",#N/A,TRUE,"Sheet1";"Sales",#N/A,TRUE,"Sheet1"}</definedName>
    <definedName name="wrn.InterSystem." localSheetId="6" hidden="1">{"Purchases",#N/A,TRUE,"Sheet1";"Sales",#N/A,TRUE,"Sheet1"}</definedName>
    <definedName name="wrn.InterSystem." localSheetId="7" hidden="1">{"Purchases",#N/A,TRUE,"Sheet1";"Sales",#N/A,TRUE,"Sheet1"}</definedName>
    <definedName name="wrn.InterSystem." localSheetId="3" hidden="1">{"Purchases",#N/A,TRUE,"Sheet1";"Sales",#N/A,TRUE,"Sheet1"}</definedName>
    <definedName name="wrn.InterSystem." localSheetId="47" hidden="1">{"Purchases",#N/A,TRUE,"Sheet1";"Sales",#N/A,TRUE,"Sheet1"}</definedName>
    <definedName name="wrn.InterSystem." hidden="1">{"Purchases",#N/A,TRUE,"Sheet1";"Sales",#N/A,TRUE,"Sheet1"}</definedName>
    <definedName name="wrn.market._.share." localSheetId="32"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6"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7"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3"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47"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FR."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3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4"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5"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4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MFRENT." localSheetId="1" hidden="1">{#N/A,#N/A,FALSE,"Page 1";#N/A,#N/A,FALSE,"Page 2";#N/A,#N/A,FALSE,"Page 3";#N/A,#N/A,FALSE,"Page 4";#N/A,#N/A,FALSE,"Page 5";#N/A,#N/A,FALSE,"Page 6";#N/A,#N/A,FALSE,"Page 7";#N/A,#N/A,FALSE,"Page 8";#N/A,#N/A,FALSE,"Page 9";#N/A,#N/A,FALSE,"PG8WP";#N/A,#N/A,FALSE,"PG9WP"}</definedName>
    <definedName name="wrn.MMFRENT." localSheetId="32" hidden="1">{#N/A,#N/A,FALSE,"Page 1";#N/A,#N/A,FALSE,"Page 2";#N/A,#N/A,FALSE,"Page 3";#N/A,#N/A,FALSE,"Page 4";#N/A,#N/A,FALSE,"Page 5";#N/A,#N/A,FALSE,"Page 6";#N/A,#N/A,FALSE,"Page 7";#N/A,#N/A,FALSE,"Page 8";#N/A,#N/A,FALSE,"Page 9";#N/A,#N/A,FALSE,"PG8WP";#N/A,#N/A,FALSE,"PG9WP"}</definedName>
    <definedName name="wrn.MMFRENT." localSheetId="6" hidden="1">{#N/A,#N/A,FALSE,"Page 1";#N/A,#N/A,FALSE,"Page 2";#N/A,#N/A,FALSE,"Page 3";#N/A,#N/A,FALSE,"Page 4";#N/A,#N/A,FALSE,"Page 5";#N/A,#N/A,FALSE,"Page 6";#N/A,#N/A,FALSE,"Page 7";#N/A,#N/A,FALSE,"Page 8";#N/A,#N/A,FALSE,"Page 9";#N/A,#N/A,FALSE,"PG8WP";#N/A,#N/A,FALSE,"PG9WP"}</definedName>
    <definedName name="wrn.MMFRENT." localSheetId="4" hidden="1">{#N/A,#N/A,FALSE,"Page 1";#N/A,#N/A,FALSE,"Page 2";#N/A,#N/A,FALSE,"Page 3";#N/A,#N/A,FALSE,"Page 4";#N/A,#N/A,FALSE,"Page 5";#N/A,#N/A,FALSE,"Page 6";#N/A,#N/A,FALSE,"Page 7";#N/A,#N/A,FALSE,"Page 8";#N/A,#N/A,FALSE,"Page 9";#N/A,#N/A,FALSE,"PG8WP";#N/A,#N/A,FALSE,"PG9WP"}</definedName>
    <definedName name="wrn.MMFRENT." localSheetId="5" hidden="1">{#N/A,#N/A,FALSE,"Page 1";#N/A,#N/A,FALSE,"Page 2";#N/A,#N/A,FALSE,"Page 3";#N/A,#N/A,FALSE,"Page 4";#N/A,#N/A,FALSE,"Page 5";#N/A,#N/A,FALSE,"Page 6";#N/A,#N/A,FALSE,"Page 7";#N/A,#N/A,FALSE,"Page 8";#N/A,#N/A,FALSE,"Page 9";#N/A,#N/A,FALSE,"PG8WP";#N/A,#N/A,FALSE,"PG9WP"}</definedName>
    <definedName name="wrn.MMFRENT." localSheetId="7" hidden="1">{#N/A,#N/A,FALSE,"Page 1";#N/A,#N/A,FALSE,"Page 2";#N/A,#N/A,FALSE,"Page 3";#N/A,#N/A,FALSE,"Page 4";#N/A,#N/A,FALSE,"Page 5";#N/A,#N/A,FALSE,"Page 6";#N/A,#N/A,FALSE,"Page 7";#N/A,#N/A,FALSE,"Page 8";#N/A,#N/A,FALSE,"Page 9";#N/A,#N/A,FALSE,"PG8WP";#N/A,#N/A,FALSE,"PG9WP"}</definedName>
    <definedName name="wrn.MMFRENT." localSheetId="3" hidden="1">{#N/A,#N/A,FALSE,"Page 1";#N/A,#N/A,FALSE,"Page 2";#N/A,#N/A,FALSE,"Page 3";#N/A,#N/A,FALSE,"Page 4";#N/A,#N/A,FALSE,"Page 5";#N/A,#N/A,FALSE,"Page 6";#N/A,#N/A,FALSE,"Page 7";#N/A,#N/A,FALSE,"Page 8";#N/A,#N/A,FALSE,"Page 9";#N/A,#N/A,FALSE,"PG8WP";#N/A,#N/A,FALSE,"PG9WP"}</definedName>
    <definedName name="wrn.MMFRENT." localSheetId="47" hidden="1">{#N/A,#N/A,FALSE,"Page 1";#N/A,#N/A,FALSE,"Page 2";#N/A,#N/A,FALSE,"Page 3";#N/A,#N/A,FALSE,"Page 4";#N/A,#N/A,FALSE,"Page 5";#N/A,#N/A,FALSE,"Page 6";#N/A,#N/A,FALSE,"Page 7";#N/A,#N/A,FALSE,"Page 8";#N/A,#N/A,FALSE,"Page 9";#N/A,#N/A,FALSE,"PG8WP";#N/A,#N/A,FALSE,"PG9WP"}</definedName>
    <definedName name="wrn.MMFRENT." hidden="1">{#N/A,#N/A,FALSE,"Page 1";#N/A,#N/A,FALSE,"Page 2";#N/A,#N/A,FALSE,"Page 3";#N/A,#N/A,FALSE,"Page 4";#N/A,#N/A,FALSE,"Page 5";#N/A,#N/A,FALSE,"Page 6";#N/A,#N/A,FALSE,"Page 7";#N/A,#N/A,FALSE,"Page 8";#N/A,#N/A,FALSE,"Page 9";#N/A,#N/A,FALSE,"PG8WP";#N/A,#N/A,FALSE,"PG9WP"}</definedName>
    <definedName name="wrn.mmfrent2" localSheetId="1" hidden="1">{#N/A,#N/A,FALSE,"Page 1";#N/A,#N/A,FALSE,"Page 2";#N/A,#N/A,FALSE,"Page 3";#N/A,#N/A,FALSE,"Page 4";#N/A,#N/A,FALSE,"Page 5";#N/A,#N/A,FALSE,"Page 6";#N/A,#N/A,FALSE,"Page 7";#N/A,#N/A,FALSE,"Page 8";#N/A,#N/A,FALSE,"Page 9";#N/A,#N/A,FALSE,"PG8WP";#N/A,#N/A,FALSE,"PG9WP"}</definedName>
    <definedName name="wrn.mmfrent2" localSheetId="32" hidden="1">{#N/A,#N/A,FALSE,"Page 1";#N/A,#N/A,FALSE,"Page 2";#N/A,#N/A,FALSE,"Page 3";#N/A,#N/A,FALSE,"Page 4";#N/A,#N/A,FALSE,"Page 5";#N/A,#N/A,FALSE,"Page 6";#N/A,#N/A,FALSE,"Page 7";#N/A,#N/A,FALSE,"Page 8";#N/A,#N/A,FALSE,"Page 9";#N/A,#N/A,FALSE,"PG8WP";#N/A,#N/A,FALSE,"PG9WP"}</definedName>
    <definedName name="wrn.mmfrent2" localSheetId="6" hidden="1">{#N/A,#N/A,FALSE,"Page 1";#N/A,#N/A,FALSE,"Page 2";#N/A,#N/A,FALSE,"Page 3";#N/A,#N/A,FALSE,"Page 4";#N/A,#N/A,FALSE,"Page 5";#N/A,#N/A,FALSE,"Page 6";#N/A,#N/A,FALSE,"Page 7";#N/A,#N/A,FALSE,"Page 8";#N/A,#N/A,FALSE,"Page 9";#N/A,#N/A,FALSE,"PG8WP";#N/A,#N/A,FALSE,"PG9WP"}</definedName>
    <definedName name="wrn.mmfrent2" localSheetId="4" hidden="1">{#N/A,#N/A,FALSE,"Page 1";#N/A,#N/A,FALSE,"Page 2";#N/A,#N/A,FALSE,"Page 3";#N/A,#N/A,FALSE,"Page 4";#N/A,#N/A,FALSE,"Page 5";#N/A,#N/A,FALSE,"Page 6";#N/A,#N/A,FALSE,"Page 7";#N/A,#N/A,FALSE,"Page 8";#N/A,#N/A,FALSE,"Page 9";#N/A,#N/A,FALSE,"PG8WP";#N/A,#N/A,FALSE,"PG9WP"}</definedName>
    <definedName name="wrn.mmfrent2" localSheetId="5" hidden="1">{#N/A,#N/A,FALSE,"Page 1";#N/A,#N/A,FALSE,"Page 2";#N/A,#N/A,FALSE,"Page 3";#N/A,#N/A,FALSE,"Page 4";#N/A,#N/A,FALSE,"Page 5";#N/A,#N/A,FALSE,"Page 6";#N/A,#N/A,FALSE,"Page 7";#N/A,#N/A,FALSE,"Page 8";#N/A,#N/A,FALSE,"Page 9";#N/A,#N/A,FALSE,"PG8WP";#N/A,#N/A,FALSE,"PG9WP"}</definedName>
    <definedName name="wrn.mmfrent2" localSheetId="7" hidden="1">{#N/A,#N/A,FALSE,"Page 1";#N/A,#N/A,FALSE,"Page 2";#N/A,#N/A,FALSE,"Page 3";#N/A,#N/A,FALSE,"Page 4";#N/A,#N/A,FALSE,"Page 5";#N/A,#N/A,FALSE,"Page 6";#N/A,#N/A,FALSE,"Page 7";#N/A,#N/A,FALSE,"Page 8";#N/A,#N/A,FALSE,"Page 9";#N/A,#N/A,FALSE,"PG8WP";#N/A,#N/A,FALSE,"PG9WP"}</definedName>
    <definedName name="wrn.mmfrent2" localSheetId="3" hidden="1">{#N/A,#N/A,FALSE,"Page 1";#N/A,#N/A,FALSE,"Page 2";#N/A,#N/A,FALSE,"Page 3";#N/A,#N/A,FALSE,"Page 4";#N/A,#N/A,FALSE,"Page 5";#N/A,#N/A,FALSE,"Page 6";#N/A,#N/A,FALSE,"Page 7";#N/A,#N/A,FALSE,"Page 8";#N/A,#N/A,FALSE,"Page 9";#N/A,#N/A,FALSE,"PG8WP";#N/A,#N/A,FALSE,"PG9WP"}</definedName>
    <definedName name="wrn.mmfrent2" localSheetId="47" hidden="1">{#N/A,#N/A,FALSE,"Page 1";#N/A,#N/A,FALSE,"Page 2";#N/A,#N/A,FALSE,"Page 3";#N/A,#N/A,FALSE,"Page 4";#N/A,#N/A,FALSE,"Page 5";#N/A,#N/A,FALSE,"Page 6";#N/A,#N/A,FALSE,"Page 7";#N/A,#N/A,FALSE,"Page 8";#N/A,#N/A,FALSE,"Page 9";#N/A,#N/A,FALSE,"PG8WP";#N/A,#N/A,FALSE,"PG9WP"}</definedName>
    <definedName name="wrn.mmfrent2" hidden="1">{#N/A,#N/A,FALSE,"Page 1";#N/A,#N/A,FALSE,"Page 2";#N/A,#N/A,FALSE,"Page 3";#N/A,#N/A,FALSE,"Page 4";#N/A,#N/A,FALSE,"Page 5";#N/A,#N/A,FALSE,"Page 6";#N/A,#N/A,FALSE,"Page 7";#N/A,#N/A,FALSE,"Page 8";#N/A,#N/A,FALSE,"Page 9";#N/A,#N/A,FALSE,"PG8WP";#N/A,#N/A,FALSE,"PG9WP"}</definedName>
    <definedName name="wrn.ND._.Schedules._.Clean." localSheetId="32"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6"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7"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3"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47"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OK._.FUEL._.COMPARISON." localSheetId="1" hidden="1">{"OK_FUEL_COMPARISON",#N/A,FALSE,"Ok_Fuel&amp;Rev"}</definedName>
    <definedName name="wrn.OK._.FUEL._.COMPARISON." localSheetId="32" hidden="1">{"OK_FUEL_COMPARISON",#N/A,FALSE,"Ok_Fuel&amp;Rev"}</definedName>
    <definedName name="wrn.OK._.FUEL._.COMPARISON." localSheetId="6" hidden="1">{"OK_FUEL_COMPARISON",#N/A,FALSE,"Ok_Fuel&amp;Rev"}</definedName>
    <definedName name="wrn.OK._.FUEL._.COMPARISON." localSheetId="4" hidden="1">{"OK_FUEL_COMPARISON",#N/A,FALSE,"Ok_Fuel&amp;Rev"}</definedName>
    <definedName name="wrn.OK._.FUEL._.COMPARISON." localSheetId="5" hidden="1">{"OK_FUEL_COMPARISON",#N/A,FALSE,"Ok_Fuel&amp;Rev"}</definedName>
    <definedName name="wrn.OK._.FUEL._.COMPARISON." localSheetId="7" hidden="1">{"OK_FUEL_COMPARISON",#N/A,FALSE,"Ok_Fuel&amp;Rev"}</definedName>
    <definedName name="wrn.OK._.FUEL._.COMPARISON." localSheetId="3" hidden="1">{"OK_FUEL_COMPARISON",#N/A,FALSE,"Ok_Fuel&amp;Rev"}</definedName>
    <definedName name="wrn.OK._.FUEL._.COMPARISON." localSheetId="47" hidden="1">{"OK_FUEL_COMPARISON",#N/A,FALSE,"Ok_Fuel&amp;Rev"}</definedName>
    <definedName name="wrn.OK._.FUEL._.COMPARISON." hidden="1">{"OK_FUEL_COMPARISON",#N/A,FALSE,"Ok_Fuel&amp;Rev"}</definedName>
    <definedName name="wrn.OK._.JURIS._.FAC._.CALCULATION." localSheetId="1" hidden="1">{"OK_JURIS_FAC",#N/A,FALSE,"Ok_Fuel&amp;Rev"}</definedName>
    <definedName name="wrn.OK._.JURIS._.FAC._.CALCULATION." localSheetId="32" hidden="1">{"OK_JURIS_FAC",#N/A,FALSE,"Ok_Fuel&amp;Rev"}</definedName>
    <definedName name="wrn.OK._.JURIS._.FAC._.CALCULATION." localSheetId="6" hidden="1">{"OK_JURIS_FAC",#N/A,FALSE,"Ok_Fuel&amp;Rev"}</definedName>
    <definedName name="wrn.OK._.JURIS._.FAC._.CALCULATION." localSheetId="4" hidden="1">{"OK_JURIS_FAC",#N/A,FALSE,"Ok_Fuel&amp;Rev"}</definedName>
    <definedName name="wrn.OK._.JURIS._.FAC._.CALCULATION." localSheetId="5" hidden="1">{"OK_JURIS_FAC",#N/A,FALSE,"Ok_Fuel&amp;Rev"}</definedName>
    <definedName name="wrn.OK._.JURIS._.FAC._.CALCULATION." localSheetId="7" hidden="1">{"OK_JURIS_FAC",#N/A,FALSE,"Ok_Fuel&amp;Rev"}</definedName>
    <definedName name="wrn.OK._.JURIS._.FAC._.CALCULATION." localSheetId="3" hidden="1">{"OK_JURIS_FAC",#N/A,FALSE,"Ok_Fuel&amp;Rev"}</definedName>
    <definedName name="wrn.OK._.JURIS._.FAC._.CALCULATION." localSheetId="47" hidden="1">{"OK_JURIS_FAC",#N/A,FALSE,"Ok_Fuel&amp;Rev"}</definedName>
    <definedName name="wrn.OK._.JURIS._.FAC._.CALCULATION." hidden="1">{"OK_JURIS_FAC",#N/A,FALSE,"Ok_Fuel&amp;Rev"}</definedName>
    <definedName name="wrn.OK._.JURIS._.FUEL._.COST." localSheetId="1" hidden="1">{"OK_JURIS_FUEL",#N/A,FALSE,"Ok_Fuel&amp;Rev"}</definedName>
    <definedName name="wrn.OK._.JURIS._.FUEL._.COST." localSheetId="32" hidden="1">{"OK_JURIS_FUEL",#N/A,FALSE,"Ok_Fuel&amp;Rev"}</definedName>
    <definedName name="wrn.OK._.JURIS._.FUEL._.COST." localSheetId="6" hidden="1">{"OK_JURIS_FUEL",#N/A,FALSE,"Ok_Fuel&amp;Rev"}</definedName>
    <definedName name="wrn.OK._.JURIS._.FUEL._.COST." localSheetId="4" hidden="1">{"OK_JURIS_FUEL",#N/A,FALSE,"Ok_Fuel&amp;Rev"}</definedName>
    <definedName name="wrn.OK._.JURIS._.FUEL._.COST." localSheetId="5" hidden="1">{"OK_JURIS_FUEL",#N/A,FALSE,"Ok_Fuel&amp;Rev"}</definedName>
    <definedName name="wrn.OK._.JURIS._.FUEL._.COST." localSheetId="7" hidden="1">{"OK_JURIS_FUEL",#N/A,FALSE,"Ok_Fuel&amp;Rev"}</definedName>
    <definedName name="wrn.OK._.JURIS._.FUEL._.COST." localSheetId="3" hidden="1">{"OK_JURIS_FUEL",#N/A,FALSE,"Ok_Fuel&amp;Rev"}</definedName>
    <definedName name="wrn.OK._.JURIS._.FUEL._.COST." localSheetId="47" hidden="1">{"OK_JURIS_FUEL",#N/A,FALSE,"Ok_Fuel&amp;Rev"}</definedName>
    <definedName name="wrn.OK._.JURIS._.FUEL._.COST." hidden="1">{"OK_JURIS_FUEL",#N/A,FALSE,"Ok_Fuel&amp;Rev"}</definedName>
    <definedName name="wrn.OKLA._.PRO._.FORMA._.FUEL." localSheetId="1" hidden="1">{"OK_PRO_FORMA_FUEL",#N/A,FALSE,"Ok_Fuel&amp;Rev"}</definedName>
    <definedName name="wrn.OKLA._.PRO._.FORMA._.FUEL." localSheetId="32" hidden="1">{"OK_PRO_FORMA_FUEL",#N/A,FALSE,"Ok_Fuel&amp;Rev"}</definedName>
    <definedName name="wrn.OKLA._.PRO._.FORMA._.FUEL." localSheetId="6" hidden="1">{"OK_PRO_FORMA_FUEL",#N/A,FALSE,"Ok_Fuel&amp;Rev"}</definedName>
    <definedName name="wrn.OKLA._.PRO._.FORMA._.FUEL." localSheetId="4" hidden="1">{"OK_PRO_FORMA_FUEL",#N/A,FALSE,"Ok_Fuel&amp;Rev"}</definedName>
    <definedName name="wrn.OKLA._.PRO._.FORMA._.FUEL." localSheetId="5" hidden="1">{"OK_PRO_FORMA_FUEL",#N/A,FALSE,"Ok_Fuel&amp;Rev"}</definedName>
    <definedName name="wrn.OKLA._.PRO._.FORMA._.FUEL." localSheetId="7" hidden="1">{"OK_PRO_FORMA_FUEL",#N/A,FALSE,"Ok_Fuel&amp;Rev"}</definedName>
    <definedName name="wrn.OKLA._.PRO._.FORMA._.FUEL." localSheetId="3" hidden="1">{"OK_PRO_FORMA_FUEL",#N/A,FALSE,"Ok_Fuel&amp;Rev"}</definedName>
    <definedName name="wrn.OKLA._.PRO._.FORMA._.FUEL." localSheetId="47" hidden="1">{"OK_PRO_FORMA_FUEL",#N/A,FALSE,"Ok_Fuel&amp;Rev"}</definedName>
    <definedName name="wrn.OKLA._.PRO._.FORMA._.FUEL." hidden="1">{"OK_PRO_FORMA_FUEL",#N/A,FALSE,"Ok_Fuel&amp;Rev"}</definedName>
    <definedName name="wrn.OM._.EXPENSES." localSheetId="1" hidden="1">{"JURIS_OM_EXP",#N/A,FALSE,"COSTSTUDY";"OKCLS_OM_EXP",#N/A,FALSE,"COSTSTUDY"}</definedName>
    <definedName name="wrn.OM._.EXPENSES." localSheetId="32" hidden="1">{"JURIS_OM_EXP",#N/A,FALSE,"COSTSTUDY";"OKCLS_OM_EXP",#N/A,FALSE,"COSTSTUDY"}</definedName>
    <definedName name="wrn.OM._.EXPENSES." localSheetId="6" hidden="1">{"JURIS_OM_EXP",#N/A,FALSE,"COSTSTUDY";"OKCLS_OM_EXP",#N/A,FALSE,"COSTSTUDY"}</definedName>
    <definedName name="wrn.OM._.EXPENSES." localSheetId="4" hidden="1">{"JURIS_OM_EXP",#N/A,FALSE,"COSTSTUDY";"OKCLS_OM_EXP",#N/A,FALSE,"COSTSTUDY"}</definedName>
    <definedName name="wrn.OM._.EXPENSES." localSheetId="5" hidden="1">{"JURIS_OM_EXP",#N/A,FALSE,"COSTSTUDY";"OKCLS_OM_EXP",#N/A,FALSE,"COSTSTUDY"}</definedName>
    <definedName name="wrn.OM._.EXPENSES." localSheetId="7" hidden="1">{"JURIS_OM_EXP",#N/A,FALSE,"COSTSTUDY";"OKCLS_OM_EXP",#N/A,FALSE,"COSTSTUDY"}</definedName>
    <definedName name="wrn.OM._.EXPENSES." localSheetId="3" hidden="1">{"JURIS_OM_EXP",#N/A,FALSE,"COSTSTUDY";"OKCLS_OM_EXP",#N/A,FALSE,"COSTSTUDY"}</definedName>
    <definedName name="wrn.OM._.EXPENSES." localSheetId="29" hidden="1">{"JURIS_OM_EXP",#N/A,FALSE,"COSTSTUDY";"OKCLS_OM_EXP",#N/A,FALSE,"COSTSTUDY"}</definedName>
    <definedName name="wrn.OM._.EXPENSES." localSheetId="47" hidden="1">{"JURIS_OM_EXP",#N/A,FALSE,"COSTSTUDY";"OKCLS_OM_EXP",#N/A,FALSE,"COSTSTUDY"}</definedName>
    <definedName name="wrn.OM._.EXPENSES." hidden="1">{"JURIS_OM_EXP",#N/A,FALSE,"COSTSTUDY";"OKCLS_OM_EXP",#N/A,FALSE,"COSTSTUDY"}</definedName>
    <definedName name="wrn.OMEXPENSE." localSheetId="1" hidden="1">{"PF",#N/A,FALSE,"Sheet4";"PG",#N/A,FALSE,"Sheet4";"PH",#N/A,FALSE,"Sheet4";"PI",#N/A,FALSE,"Sheet4";"PJ",#N/A,FALSE,"Sheet4"}</definedName>
    <definedName name="wrn.OMEXPENSE." localSheetId="32" hidden="1">{"PF",#N/A,FALSE,"Sheet4";"PG",#N/A,FALSE,"Sheet4";"PH",#N/A,FALSE,"Sheet4";"PI",#N/A,FALSE,"Sheet4";"PJ",#N/A,FALSE,"Sheet4"}</definedName>
    <definedName name="wrn.OMEXPENSE." localSheetId="6" hidden="1">{"PF",#N/A,FALSE,"Sheet4";"PG",#N/A,FALSE,"Sheet4";"PH",#N/A,FALSE,"Sheet4";"PI",#N/A,FALSE,"Sheet4";"PJ",#N/A,FALSE,"Sheet4"}</definedName>
    <definedName name="wrn.OMEXPENSE." localSheetId="4" hidden="1">{"PF",#N/A,FALSE,"Sheet4";"PG",#N/A,FALSE,"Sheet4";"PH",#N/A,FALSE,"Sheet4";"PI",#N/A,FALSE,"Sheet4";"PJ",#N/A,FALSE,"Sheet4"}</definedName>
    <definedName name="wrn.OMEXPENSE." localSheetId="5" hidden="1">{"PF",#N/A,FALSE,"Sheet4";"PG",#N/A,FALSE,"Sheet4";"PH",#N/A,FALSE,"Sheet4";"PI",#N/A,FALSE,"Sheet4";"PJ",#N/A,FALSE,"Sheet4"}</definedName>
    <definedName name="wrn.OMEXPENSE." localSheetId="7" hidden="1">{"PF",#N/A,FALSE,"Sheet4";"PG",#N/A,FALSE,"Sheet4";"PH",#N/A,FALSE,"Sheet4";"PI",#N/A,FALSE,"Sheet4";"PJ",#N/A,FALSE,"Sheet4"}</definedName>
    <definedName name="wrn.OMEXPENSE." localSheetId="3" hidden="1">{"PF",#N/A,FALSE,"Sheet4";"PG",#N/A,FALSE,"Sheet4";"PH",#N/A,FALSE,"Sheet4";"PI",#N/A,FALSE,"Sheet4";"PJ",#N/A,FALSE,"Sheet4"}</definedName>
    <definedName name="wrn.OMEXPENSE." localSheetId="47" hidden="1">{"PF",#N/A,FALSE,"Sheet4";"PG",#N/A,FALSE,"Sheet4";"PH",#N/A,FALSE,"Sheet4";"PI",#N/A,FALSE,"Sheet4";"PJ",#N/A,FALSE,"Sheet4"}</definedName>
    <definedName name="wrn.OMEXPENSE." hidden="1">{"PF",#N/A,FALSE,"Sheet4";"PG",#N/A,FALSE,"Sheet4";"PH",#N/A,FALSE,"Sheet4";"PI",#N/A,FALSE,"Sheet4";"PJ",#N/A,FALSE,"Sheet4"}</definedName>
    <definedName name="wrn.OMPA._.FAC." localSheetId="1" hidden="1">{"OMPA_FAC",#N/A,FALSE,"OMPA FAC"}</definedName>
    <definedName name="wrn.OMPA._.FAC." localSheetId="32" hidden="1">{"OMPA_FAC",#N/A,FALSE,"OMPA FAC"}</definedName>
    <definedName name="wrn.OMPA._.FAC." localSheetId="6" hidden="1">{"OMPA_FAC",#N/A,FALSE,"OMPA FAC"}</definedName>
    <definedName name="wrn.OMPA._.FAC." localSheetId="4" hidden="1">{"OMPA_FAC",#N/A,FALSE,"OMPA FAC"}</definedName>
    <definedName name="wrn.OMPA._.FAC." localSheetId="5" hidden="1">{"OMPA_FAC",#N/A,FALSE,"OMPA FAC"}</definedName>
    <definedName name="wrn.OMPA._.FAC." localSheetId="7" hidden="1">{"OMPA_FAC",#N/A,FALSE,"OMPA FAC"}</definedName>
    <definedName name="wrn.OMPA._.FAC." localSheetId="3" hidden="1">{"OMPA_FAC",#N/A,FALSE,"OMPA FAC"}</definedName>
    <definedName name="wrn.OMPA._.FAC." localSheetId="47" hidden="1">{"OMPA_FAC",#N/A,FALSE,"OMPA FAC"}</definedName>
    <definedName name="wrn.OMPA._.FAC." hidden="1">{"OMPA_FAC",#N/A,FALSE,"OMPA FAC"}</definedName>
    <definedName name="wrn.one." localSheetId="32" hidden="1">{"page1",#N/A,FALSE,"A";"page2",#N/A,FALSE,"A"}</definedName>
    <definedName name="wrn.one." localSheetId="6" hidden="1">{"page1",#N/A,FALSE,"A";"page2",#N/A,FALSE,"A"}</definedName>
    <definedName name="wrn.one." localSheetId="7" hidden="1">{"page1",#N/A,FALSE,"A";"page2",#N/A,FALSE,"A"}</definedName>
    <definedName name="wrn.one." localSheetId="3" hidden="1">{"page1",#N/A,FALSE,"A";"page2",#N/A,FALSE,"A"}</definedName>
    <definedName name="wrn.one." localSheetId="47" hidden="1">{"page1",#N/A,FALSE,"A";"page2",#N/A,FALSE,"A"}</definedName>
    <definedName name="wrn.one." hidden="1">{"page1",#N/A,FALSE,"A";"page2",#N/A,FALSE,"A"}</definedName>
    <definedName name="wrn.OTHER._.DATA." localSheetId="1" hidden="1">{"OTHER_DATA",#N/A,FALSE,"Ok_Fuel&amp;Rev"}</definedName>
    <definedName name="wrn.OTHER._.DATA." localSheetId="32" hidden="1">{"OTHER_DATA",#N/A,FALSE,"Ok_Fuel&amp;Rev"}</definedName>
    <definedName name="wrn.OTHER._.DATA." localSheetId="6" hidden="1">{"OTHER_DATA",#N/A,FALSE,"Ok_Fuel&amp;Rev"}</definedName>
    <definedName name="wrn.OTHER._.DATA." localSheetId="4" hidden="1">{"OTHER_DATA",#N/A,FALSE,"Ok_Fuel&amp;Rev"}</definedName>
    <definedName name="wrn.OTHER._.DATA." localSheetId="5" hidden="1">{"OTHER_DATA",#N/A,FALSE,"Ok_Fuel&amp;Rev"}</definedName>
    <definedName name="wrn.OTHER._.DATA." localSheetId="7" hidden="1">{"OTHER_DATA",#N/A,FALSE,"Ok_Fuel&amp;Rev"}</definedName>
    <definedName name="wrn.OTHER._.DATA." localSheetId="3" hidden="1">{"OTHER_DATA",#N/A,FALSE,"Ok_Fuel&amp;Rev"}</definedName>
    <definedName name="wrn.OTHER._.DATA." localSheetId="47" hidden="1">{"OTHER_DATA",#N/A,FALSE,"Ok_Fuel&amp;Rev"}</definedName>
    <definedName name="wrn.OTHER._.DATA." hidden="1">{"OTHER_DATA",#N/A,FALSE,"Ok_Fuel&amp;Rev"}</definedName>
    <definedName name="wrn.Overall_Scorecard." localSheetId="1" hidden="1">{"Overall Scorecard",#N/A,FALSE,"Overall Scorecard"}</definedName>
    <definedName name="wrn.Overall_Scorecard." localSheetId="32" hidden="1">{"Overall Scorecard",#N/A,FALSE,"Overall Scorecard"}</definedName>
    <definedName name="wrn.Overall_Scorecard." localSheetId="6" hidden="1">{"Overall Scorecard",#N/A,FALSE,"Overall Scorecard"}</definedName>
    <definedName name="wrn.Overall_Scorecard." localSheetId="4" hidden="1">{"Overall Scorecard",#N/A,FALSE,"Overall Scorecard"}</definedName>
    <definedName name="wrn.Overall_Scorecard." localSheetId="5" hidden="1">{"Overall Scorecard",#N/A,FALSE,"Overall Scorecard"}</definedName>
    <definedName name="wrn.Overall_Scorecard." localSheetId="7" hidden="1">{"Overall Scorecard",#N/A,FALSE,"Overall Scorecard"}</definedName>
    <definedName name="wrn.Overall_Scorecard." localSheetId="3" hidden="1">{"Overall Scorecard",#N/A,FALSE,"Overall Scorecard"}</definedName>
    <definedName name="wrn.Overall_Scorecard." localSheetId="29" hidden="1">{"Overall Scorecard",#N/A,FALSE,"Overall Scorecard"}</definedName>
    <definedName name="wrn.Overall_Scorecard." localSheetId="47" hidden="1">{"Overall Scorecard",#N/A,FALSE,"Overall Scorecard"}</definedName>
    <definedName name="wrn.Overall_Scorecard." hidden="1">{"Overall Scorecard",#N/A,FALSE,"Overall Scorecard"}</definedName>
    <definedName name="wrn.Percent_of_Change." localSheetId="1" hidden="1">{"% of Change=O&amp;M per Customer+Equiv Employee",#N/A,FALSE,"% Change";"% o Change=OR + Rev per Equivalent Employee",#N/A,FALSE,"% Change"}</definedName>
    <definedName name="wrn.Percent_of_Change." localSheetId="32" hidden="1">{"% of Change=O&amp;M per Customer+Equiv Employee",#N/A,FALSE,"% Change";"% o Change=OR + Rev per Equivalent Employee",#N/A,FALSE,"% Change"}</definedName>
    <definedName name="wrn.Percent_of_Change." localSheetId="6" hidden="1">{"% of Change=O&amp;M per Customer+Equiv Employee",#N/A,FALSE,"% Change";"% o Change=OR + Rev per Equivalent Employee",#N/A,FALSE,"% Change"}</definedName>
    <definedName name="wrn.Percent_of_Change." localSheetId="4" hidden="1">{"% of Change=O&amp;M per Customer+Equiv Employee",#N/A,FALSE,"% Change";"% o Change=OR + Rev per Equivalent Employee",#N/A,FALSE,"% Change"}</definedName>
    <definedName name="wrn.Percent_of_Change." localSheetId="5" hidden="1">{"% of Change=O&amp;M per Customer+Equiv Employee",#N/A,FALSE,"% Change";"% o Change=OR + Rev per Equivalent Employee",#N/A,FALSE,"% Change"}</definedName>
    <definedName name="wrn.Percent_of_Change." localSheetId="7" hidden="1">{"% of Change=O&amp;M per Customer+Equiv Employee",#N/A,FALSE,"% Change";"% o Change=OR + Rev per Equivalent Employee",#N/A,FALSE,"% Change"}</definedName>
    <definedName name="wrn.Percent_of_Change." localSheetId="3" hidden="1">{"% of Change=O&amp;M per Customer+Equiv Employee",#N/A,FALSE,"% Change";"% o Change=OR + Rev per Equivalent Employee",#N/A,FALSE,"% Change"}</definedName>
    <definedName name="wrn.Percent_of_Change." localSheetId="29" hidden="1">{"% of Change=O&amp;M per Customer+Equiv Employee",#N/A,FALSE,"% Change";"% o Change=OR + Rev per Equivalent Employee",#N/A,FALSE,"% Change"}</definedName>
    <definedName name="wrn.Percent_of_Change." localSheetId="47" hidden="1">{"% of Change=O&amp;M per Customer+Equiv Employee",#N/A,FALSE,"% Change";"% o Change=OR + Rev per Equivalent Employee",#N/A,FALSE,"% Change"}</definedName>
    <definedName name="wrn.Percent_of_Change." hidden="1">{"% of Change=O&amp;M per Customer+Equiv Employee",#N/A,FALSE,"% Change";"% o Change=OR + Rev per Equivalent Employee",#N/A,FALSE,"% Change"}</definedName>
    <definedName name="wrn.Percent_of_Goal." localSheetId="1" hidden="1">{"% of Goals=O&amp;M per Customer + Equiv Employee",#N/A,FALSE,"% of Goal";"% of Goals=Operating Ration + Return on Net Plnt",#N/A,FALSE,"% of Goal";"% of Goals=Revenue per Equivalent Employee",#N/A,FALSE,"% of Goal"}</definedName>
    <definedName name="wrn.Percent_of_Goal." localSheetId="32" hidden="1">{"% of Goals=O&amp;M per Customer + Equiv Employee",#N/A,FALSE,"% of Goal";"% of Goals=Operating Ration + Return on Net Plnt",#N/A,FALSE,"% of Goal";"% of Goals=Revenue per Equivalent Employee",#N/A,FALSE,"% of Goal"}</definedName>
    <definedName name="wrn.Percent_of_Goal." localSheetId="6" hidden="1">{"% of Goals=O&amp;M per Customer + Equiv Employee",#N/A,FALSE,"% of Goal";"% of Goals=Operating Ration + Return on Net Plnt",#N/A,FALSE,"% of Goal";"% of Goals=Revenue per Equivalent Employee",#N/A,FALSE,"% of Goal"}</definedName>
    <definedName name="wrn.Percent_of_Goal." localSheetId="4" hidden="1">{"% of Goals=O&amp;M per Customer + Equiv Employee",#N/A,FALSE,"% of Goal";"% of Goals=Operating Ration + Return on Net Plnt",#N/A,FALSE,"% of Goal";"% of Goals=Revenue per Equivalent Employee",#N/A,FALSE,"% of Goal"}</definedName>
    <definedName name="wrn.Percent_of_Goal." localSheetId="5" hidden="1">{"% of Goals=O&amp;M per Customer + Equiv Employee",#N/A,FALSE,"% of Goal";"% of Goals=Operating Ration + Return on Net Plnt",#N/A,FALSE,"% of Goal";"% of Goals=Revenue per Equivalent Employee",#N/A,FALSE,"% of Goal"}</definedName>
    <definedName name="wrn.Percent_of_Goal." localSheetId="7" hidden="1">{"% of Goals=O&amp;M per Customer + Equiv Employee",#N/A,FALSE,"% of Goal";"% of Goals=Operating Ration + Return on Net Plnt",#N/A,FALSE,"% of Goal";"% of Goals=Revenue per Equivalent Employee",#N/A,FALSE,"% of Goal"}</definedName>
    <definedName name="wrn.Percent_of_Goal." localSheetId="3" hidden="1">{"% of Goals=O&amp;M per Customer + Equiv Employee",#N/A,FALSE,"% of Goal";"% of Goals=Operating Ration + Return on Net Plnt",#N/A,FALSE,"% of Goal";"% of Goals=Revenue per Equivalent Employee",#N/A,FALSE,"% of Goal"}</definedName>
    <definedName name="wrn.Percent_of_Goal." localSheetId="29" hidden="1">{"% of Goals=O&amp;M per Customer + Equiv Employee",#N/A,FALSE,"% of Goal";"% of Goals=Operating Ration + Return on Net Plnt",#N/A,FALSE,"% of Goal";"% of Goals=Revenue per Equivalent Employee",#N/A,FALSE,"% of Goal"}</definedName>
    <definedName name="wrn.Percent_of_Goal." localSheetId="47" hidden="1">{"% of Goals=O&amp;M per Customer + Equiv Employee",#N/A,FALSE,"% of Goal";"% of Goals=Operating Ration + Return on Net Plnt",#N/A,FALSE,"% of Goal";"% of Goals=Revenue per Equivalent Employee",#N/A,FALSE,"% of Goal"}</definedName>
    <definedName name="wrn.Percent_of_Goal." hidden="1">{"% of Goals=O&amp;M per Customer + Equiv Employee",#N/A,FALSE,"% of Goal";"% of Goals=Operating Ration + Return on Net Plnt",#N/A,FALSE,"% of Goal";"% of Goals=Revenue per Equivalent Employee",#N/A,FALSE,"% of Goal"}</definedName>
    <definedName name="wrn.Percentage." localSheetId="1" hidden="1">{"Summary",#N/A,FALSE,"Options "}</definedName>
    <definedName name="wrn.Percentage." localSheetId="32" hidden="1">{"Summary",#N/A,FALSE,"Options "}</definedName>
    <definedName name="wrn.Percentage." localSheetId="6" hidden="1">{"Summary",#N/A,FALSE,"Options "}</definedName>
    <definedName name="wrn.Percentage." localSheetId="4" hidden="1">{"Summary",#N/A,FALSE,"Options "}</definedName>
    <definedName name="wrn.Percentage." localSheetId="5" hidden="1">{"Summary",#N/A,FALSE,"Options "}</definedName>
    <definedName name="wrn.Percentage." localSheetId="7" hidden="1">{"Summary",#N/A,FALSE,"Options "}</definedName>
    <definedName name="wrn.Percentage." localSheetId="3" hidden="1">{"Summary",#N/A,FALSE,"Options "}</definedName>
    <definedName name="wrn.Percentage." localSheetId="29" hidden="1">{"Summary",#N/A,FALSE,"Options "}</definedName>
    <definedName name="wrn.Percentage." localSheetId="47" hidden="1">{"Summary",#N/A,FALSE,"Options "}</definedName>
    <definedName name="wrn.Percentage." hidden="1">{"Summary",#N/A,FALSE,"Options "}</definedName>
    <definedName name="wrn.Pivot1." localSheetId="1" hidden="1">{"Pivot1",#N/A,FALSE,"Redemption_Maturity Extract"}</definedName>
    <definedName name="wrn.Pivot1." localSheetId="32" hidden="1">{"Pivot1",#N/A,FALSE,"Redemption_Maturity Extract"}</definedName>
    <definedName name="wrn.Pivot1." localSheetId="6" hidden="1">{"Pivot1",#N/A,FALSE,"Redemption_Maturity Extract"}</definedName>
    <definedName name="wrn.Pivot1." localSheetId="4" hidden="1">{"Pivot1",#N/A,FALSE,"Redemption_Maturity Extract"}</definedName>
    <definedName name="wrn.Pivot1." localSheetId="5" hidden="1">{"Pivot1",#N/A,FALSE,"Redemption_Maturity Extract"}</definedName>
    <definedName name="wrn.Pivot1." localSheetId="7" hidden="1">{"Pivot1",#N/A,FALSE,"Redemption_Maturity Extract"}</definedName>
    <definedName name="wrn.Pivot1." localSheetId="3" hidden="1">{"Pivot1",#N/A,FALSE,"Redemption_Maturity Extract"}</definedName>
    <definedName name="wrn.Pivot1." localSheetId="47" hidden="1">{"Pivot1",#N/A,FALSE,"Redemption_Maturity Extract"}</definedName>
    <definedName name="wrn.Pivot1." hidden="1">{"Pivot1",#N/A,FALSE,"Redemption_Maturity Extract"}</definedName>
    <definedName name="wrn.Pivot2." localSheetId="1" hidden="1">{"Pivot2",#N/A,FALSE,"Redemption_Maturity Extract"}</definedName>
    <definedName name="wrn.Pivot2." localSheetId="32" hidden="1">{"Pivot2",#N/A,FALSE,"Redemption_Maturity Extract"}</definedName>
    <definedName name="wrn.Pivot2." localSheetId="6" hidden="1">{"Pivot2",#N/A,FALSE,"Redemption_Maturity Extract"}</definedName>
    <definedName name="wrn.Pivot2." localSheetId="4" hidden="1">{"Pivot2",#N/A,FALSE,"Redemption_Maturity Extract"}</definedName>
    <definedName name="wrn.Pivot2." localSheetId="5" hidden="1">{"Pivot2",#N/A,FALSE,"Redemption_Maturity Extract"}</definedName>
    <definedName name="wrn.Pivot2." localSheetId="7" hidden="1">{"Pivot2",#N/A,FALSE,"Redemption_Maturity Extract"}</definedName>
    <definedName name="wrn.Pivot2." localSheetId="3" hidden="1">{"Pivot2",#N/A,FALSE,"Redemption_Maturity Extract"}</definedName>
    <definedName name="wrn.Pivot2." localSheetId="47" hidden="1">{"Pivot2",#N/A,FALSE,"Redemption_Maturity Extract"}</definedName>
    <definedName name="wrn.Pivot2." hidden="1">{"Pivot2",#N/A,FALSE,"Redemption_Maturity Extract"}</definedName>
    <definedName name="wrn.PLANT._.IN._.SERVICE." localSheetId="1" hidden="1">{"JURIS_PLT_IN_SERV",#N/A,FALSE,"COSTSTUDY";"OKCLS_PLT_IN_SERV",#N/A,FALSE,"COSTSTUDY"}</definedName>
    <definedName name="wrn.PLANT._.IN._.SERVICE." localSheetId="32" hidden="1">{"JURIS_PLT_IN_SERV",#N/A,FALSE,"COSTSTUDY";"OKCLS_PLT_IN_SERV",#N/A,FALSE,"COSTSTUDY"}</definedName>
    <definedName name="wrn.PLANT._.IN._.SERVICE." localSheetId="6" hidden="1">{"JURIS_PLT_IN_SERV",#N/A,FALSE,"COSTSTUDY";"OKCLS_PLT_IN_SERV",#N/A,FALSE,"COSTSTUDY"}</definedName>
    <definedName name="wrn.PLANT._.IN._.SERVICE." localSheetId="4" hidden="1">{"JURIS_PLT_IN_SERV",#N/A,FALSE,"COSTSTUDY";"OKCLS_PLT_IN_SERV",#N/A,FALSE,"COSTSTUDY"}</definedName>
    <definedName name="wrn.PLANT._.IN._.SERVICE." localSheetId="5" hidden="1">{"JURIS_PLT_IN_SERV",#N/A,FALSE,"COSTSTUDY";"OKCLS_PLT_IN_SERV",#N/A,FALSE,"COSTSTUDY"}</definedName>
    <definedName name="wrn.PLANT._.IN._.SERVICE." localSheetId="7" hidden="1">{"JURIS_PLT_IN_SERV",#N/A,FALSE,"COSTSTUDY";"OKCLS_PLT_IN_SERV",#N/A,FALSE,"COSTSTUDY"}</definedName>
    <definedName name="wrn.PLANT._.IN._.SERVICE." localSheetId="3" hidden="1">{"JURIS_PLT_IN_SERV",#N/A,FALSE,"COSTSTUDY";"OKCLS_PLT_IN_SERV",#N/A,FALSE,"COSTSTUDY"}</definedName>
    <definedName name="wrn.PLANT._.IN._.SERVICE." localSheetId="29" hidden="1">{"JURIS_PLT_IN_SERV",#N/A,FALSE,"COSTSTUDY";"OKCLS_PLT_IN_SERV",#N/A,FALSE,"COSTSTUDY"}</definedName>
    <definedName name="wrn.PLANT._.IN._.SERVICE." localSheetId="47" hidden="1">{"JURIS_PLT_IN_SERV",#N/A,FALSE,"COSTSTUDY";"OKCLS_PLT_IN_SERV",#N/A,FALSE,"COSTSTUDY"}</definedName>
    <definedName name="wrn.PLANT._.IN._.SERVICE." hidden="1">{"JURIS_PLT_IN_SERV",#N/A,FALSE,"COSTSTUDY";"OKCLS_PLT_IN_SERV",#N/A,FALSE,"COSTSTUDY"}</definedName>
    <definedName name="wrn.Points_Achieved." localSheetId="1" hidden="1">{"Points=O&amp;M per Customer + per Equiv Employee",#N/A,FALSE,"Points";"Points=Operating Ratio + Return on Net Plant",#N/A,FALSE,"Points";"Points=Revenue per Equivalent Employee",#N/A,FALSE,"Points"}</definedName>
    <definedName name="wrn.Points_Achieved." localSheetId="32" hidden="1">{"Points=O&amp;M per Customer + per Equiv Employee",#N/A,FALSE,"Points";"Points=Operating Ratio + Return on Net Plant",#N/A,FALSE,"Points";"Points=Revenue per Equivalent Employee",#N/A,FALSE,"Points"}</definedName>
    <definedName name="wrn.Points_Achieved." localSheetId="6" hidden="1">{"Points=O&amp;M per Customer + per Equiv Employee",#N/A,FALSE,"Points";"Points=Operating Ratio + Return on Net Plant",#N/A,FALSE,"Points";"Points=Revenue per Equivalent Employee",#N/A,FALSE,"Points"}</definedName>
    <definedName name="wrn.Points_Achieved." localSheetId="4" hidden="1">{"Points=O&amp;M per Customer + per Equiv Employee",#N/A,FALSE,"Points";"Points=Operating Ratio + Return on Net Plant",#N/A,FALSE,"Points";"Points=Revenue per Equivalent Employee",#N/A,FALSE,"Points"}</definedName>
    <definedName name="wrn.Points_Achieved." localSheetId="5" hidden="1">{"Points=O&amp;M per Customer + per Equiv Employee",#N/A,FALSE,"Points";"Points=Operating Ratio + Return on Net Plant",#N/A,FALSE,"Points";"Points=Revenue per Equivalent Employee",#N/A,FALSE,"Points"}</definedName>
    <definedName name="wrn.Points_Achieved." localSheetId="7" hidden="1">{"Points=O&amp;M per Customer + per Equiv Employee",#N/A,FALSE,"Points";"Points=Operating Ratio + Return on Net Plant",#N/A,FALSE,"Points";"Points=Revenue per Equivalent Employee",#N/A,FALSE,"Points"}</definedName>
    <definedName name="wrn.Points_Achieved." localSheetId="3" hidden="1">{"Points=O&amp;M per Customer + per Equiv Employee",#N/A,FALSE,"Points";"Points=Operating Ratio + Return on Net Plant",#N/A,FALSE,"Points";"Points=Revenue per Equivalent Employee",#N/A,FALSE,"Points"}</definedName>
    <definedName name="wrn.Points_Achieved." localSheetId="29" hidden="1">{"Points=O&amp;M per Customer + per Equiv Employee",#N/A,FALSE,"Points";"Points=Operating Ratio + Return on Net Plant",#N/A,FALSE,"Points";"Points=Revenue per Equivalent Employee",#N/A,FALSE,"Points"}</definedName>
    <definedName name="wrn.Points_Achieved." localSheetId="47" hidden="1">{"Points=O&amp;M per Customer + per Equiv Employee",#N/A,FALSE,"Points";"Points=Operating Ratio + Return on Net Plant",#N/A,FALSE,"Points";"Points=Revenue per Equivalent Employee",#N/A,FALSE,"Points"}</definedName>
    <definedName name="wrn.Points_Achieved." hidden="1">{"Points=O&amp;M per Customer + per Equiv Employee",#N/A,FALSE,"Points";"Points=Operating Ratio + Return on Net Plant",#N/A,FALSE,"Points";"Points=Revenue per Equivalent Employee",#N/A,FALSE,"Points"}</definedName>
    <definedName name="wrn.PPJOURNAL._.ENTRY." localSheetId="32" hidden="1">{"PPDEFERREDBAL",#N/A,FALSE,"PRIOR PERIOD ADJMT";#N/A,#N/A,FALSE,"PRIOR PERIOD ADJMT";"PPJOURNALENTRY",#N/A,FALSE,"PRIOR PERIOD ADJMT"}</definedName>
    <definedName name="wrn.PPJOURNAL._.ENTRY." localSheetId="6" hidden="1">{"PPDEFERREDBAL",#N/A,FALSE,"PRIOR PERIOD ADJMT";#N/A,#N/A,FALSE,"PRIOR PERIOD ADJMT";"PPJOURNALENTRY",#N/A,FALSE,"PRIOR PERIOD ADJMT"}</definedName>
    <definedName name="wrn.PPJOURNAL._.ENTRY." localSheetId="7" hidden="1">{"PPDEFERREDBAL",#N/A,FALSE,"PRIOR PERIOD ADJMT";#N/A,#N/A,FALSE,"PRIOR PERIOD ADJMT";"PPJOURNALENTRY",#N/A,FALSE,"PRIOR PERIOD ADJMT"}</definedName>
    <definedName name="wrn.PPJOURNAL._.ENTRY." localSheetId="3" hidden="1">{"PPDEFERREDBAL",#N/A,FALSE,"PRIOR PERIOD ADJMT";#N/A,#N/A,FALSE,"PRIOR PERIOD ADJMT";"PPJOURNALENTRY",#N/A,FALSE,"PRIOR PERIOD ADJMT"}</definedName>
    <definedName name="wrn.PPJOURNAL._.ENTRY." localSheetId="29" hidden="1">{"PPDEFERREDBAL",#N/A,FALSE,"PRIOR PERIOD ADJMT";#N/A,#N/A,FALSE,"PRIOR PERIOD ADJMT";"PPJOURNALENTRY",#N/A,FALSE,"PRIOR PERIOD ADJMT"}</definedName>
    <definedName name="wrn.PPJOURNAL._.ENTRY." localSheetId="47" hidden="1">{"PPDEFERREDBAL",#N/A,FALSE,"PRIOR PERIOD ADJMT";#N/A,#N/A,FALSE,"PRIOR PERIOD ADJMT";"PPJOURNALENTRY",#N/A,FALSE,"PRIOR PERIOD ADJMT"}</definedName>
    <definedName name="wrn.PPJOURNAL._.ENTRY." hidden="1">{"PPDEFERREDBAL",#N/A,FALSE,"PRIOR PERIOD ADJMT";#N/A,#N/A,FALSE,"PRIOR PERIOD ADJMT";"PPJOURNALENTRY",#N/A,FALSE,"PRIOR PERIOD ADJMT"}</definedName>
    <definedName name="wrn.print." localSheetId="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3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4"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5"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4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_ALL." localSheetId="1" hidden="1">{"summary",#N/A,TRUE,"E93ADJ";"detail",#N/A,TRUE,"E93ADJ"}</definedName>
    <definedName name="wrn.PRINT_ALL." localSheetId="32" hidden="1">{"summary",#N/A,TRUE,"E93ADJ";"detail",#N/A,TRUE,"E93ADJ"}</definedName>
    <definedName name="wrn.PRINT_ALL." localSheetId="6" hidden="1">{"summary",#N/A,TRUE,"E93ADJ";"detail",#N/A,TRUE,"E93ADJ"}</definedName>
    <definedName name="wrn.PRINT_ALL." localSheetId="4" hidden="1">{"summary",#N/A,TRUE,"E93ADJ";"detail",#N/A,TRUE,"E93ADJ"}</definedName>
    <definedName name="wrn.PRINT_ALL." localSheetId="5" hidden="1">{"summary",#N/A,TRUE,"E93ADJ";"detail",#N/A,TRUE,"E93ADJ"}</definedName>
    <definedName name="wrn.PRINT_ALL." localSheetId="7" hidden="1">{"summary",#N/A,TRUE,"E93ADJ";"detail",#N/A,TRUE,"E93ADJ"}</definedName>
    <definedName name="wrn.PRINT_ALL." localSheetId="3" hidden="1">{"summary",#N/A,TRUE,"E93ADJ";"detail",#N/A,TRUE,"E93ADJ"}</definedName>
    <definedName name="wrn.PRINT_ALL." localSheetId="47" hidden="1">{"summary",#N/A,TRUE,"E93ADJ";"detail",#N/A,TRUE,"E93ADJ"}</definedName>
    <definedName name="wrn.PRINT_ALL." hidden="1">{"summary",#N/A,TRUE,"E93ADJ";"detail",#N/A,TRUE,"E93ADJ"}</definedName>
    <definedName name="wrn.printall." localSheetId="32" hidden="1">{#N/A,#N/A,FALSE,"PREFDIV";#N/A,#N/A,FALSE,"STINT";#N/A,#N/A,FALSE,"LTINT";#N/A,#N/A,FALSE,"BTL";#N/A,#N/A,FALSE,"AFC";#N/A,#N/A,FALSE,"OTHNET";#N/A,#N/A,FALSE,"ATL"}</definedName>
    <definedName name="wrn.printall." localSheetId="6" hidden="1">{#N/A,#N/A,FALSE,"PREFDIV";#N/A,#N/A,FALSE,"STINT";#N/A,#N/A,FALSE,"LTINT";#N/A,#N/A,FALSE,"BTL";#N/A,#N/A,FALSE,"AFC";#N/A,#N/A,FALSE,"OTHNET";#N/A,#N/A,FALSE,"ATL"}</definedName>
    <definedName name="wrn.printall." localSheetId="7" hidden="1">{#N/A,#N/A,FALSE,"PREFDIV";#N/A,#N/A,FALSE,"STINT";#N/A,#N/A,FALSE,"LTINT";#N/A,#N/A,FALSE,"BTL";#N/A,#N/A,FALSE,"AFC";#N/A,#N/A,FALSE,"OTHNET";#N/A,#N/A,FALSE,"ATL"}</definedName>
    <definedName name="wrn.printall." localSheetId="3" hidden="1">{#N/A,#N/A,FALSE,"PREFDIV";#N/A,#N/A,FALSE,"STINT";#N/A,#N/A,FALSE,"LTINT";#N/A,#N/A,FALSE,"BTL";#N/A,#N/A,FALSE,"AFC";#N/A,#N/A,FALSE,"OTHNET";#N/A,#N/A,FALSE,"ATL"}</definedName>
    <definedName name="wrn.printall." localSheetId="47" hidden="1">{#N/A,#N/A,FALSE,"PREFDIV";#N/A,#N/A,FALSE,"STINT";#N/A,#N/A,FALSE,"LTINT";#N/A,#N/A,FALSE,"BTL";#N/A,#N/A,FALSE,"AFC";#N/A,#N/A,FALSE,"OTHNET";#N/A,#N/A,FALSE,"ATL"}</definedName>
    <definedName name="wrn.printall." hidden="1">{#N/A,#N/A,FALSE,"PREFDIV";#N/A,#N/A,FALSE,"STINT";#N/A,#N/A,FALSE,"LTINT";#N/A,#N/A,FALSE,"BTL";#N/A,#N/A,FALSE,"AFC";#N/A,#N/A,FALSE,"OTHNET";#N/A,#N/A,FALSE,"ATL"}</definedName>
    <definedName name="wrn.PrintExhibits." localSheetId="32" hidden="1">{"EXHSPortrait1",#N/A,FALSE,"EXHIBITS";"EXHSLandscape",#N/A,FALSE,"EXHIBITS";"EXHSPortrait2",#N/A,FALSE,"EXHIBITS";"EXHSPortrait3",#N/A,FALSE,"EXHIBITS";"EXHSPortrait4",#N/A,FALSE,"EXHIBITS"}</definedName>
    <definedName name="wrn.PrintExhibits." localSheetId="6" hidden="1">{"EXHSPortrait1",#N/A,FALSE,"EXHIBITS";"EXHSLandscape",#N/A,FALSE,"EXHIBITS";"EXHSPortrait2",#N/A,FALSE,"EXHIBITS";"EXHSPortrait3",#N/A,FALSE,"EXHIBITS";"EXHSPortrait4",#N/A,FALSE,"EXHIBITS"}</definedName>
    <definedName name="wrn.PrintExhibits." localSheetId="7" hidden="1">{"EXHSPortrait1",#N/A,FALSE,"EXHIBITS";"EXHSLandscape",#N/A,FALSE,"EXHIBITS";"EXHSPortrait2",#N/A,FALSE,"EXHIBITS";"EXHSPortrait3",#N/A,FALSE,"EXHIBITS";"EXHSPortrait4",#N/A,FALSE,"EXHIBITS"}</definedName>
    <definedName name="wrn.PrintExhibits." localSheetId="3" hidden="1">{"EXHSPortrait1",#N/A,FALSE,"EXHIBITS";"EXHSLandscape",#N/A,FALSE,"EXHIBITS";"EXHSPortrait2",#N/A,FALSE,"EXHIBITS";"EXHSPortrait3",#N/A,FALSE,"EXHIBITS";"EXHSPortrait4",#N/A,FALSE,"EXHIBITS"}</definedName>
    <definedName name="wrn.PrintExhibits." localSheetId="47" hidden="1">{"EXHSPortrait1",#N/A,FALSE,"EXHIBITS";"EXHSLandscape",#N/A,FALSE,"EXHIBITS";"EXHSPortrait2",#N/A,FALSE,"EXHIBITS";"EXHSPortrait3",#N/A,FALSE,"EXHIBITS";"EXHSPortrait4",#N/A,FALSE,"EXHIBITS"}</definedName>
    <definedName name="wrn.PrintExhibits." hidden="1">{"EXHSPortrait1",#N/A,FALSE,"EXHIBITS";"EXHSLandscape",#N/A,FALSE,"EXHIBITS";"EXHSPortrait2",#N/A,FALSE,"EXHIBITS";"EXHSPortrait3",#N/A,FALSE,"EXHIBITS";"EXHSPortrait4",#N/A,FALSE,"EXHIBITS"}</definedName>
    <definedName name="wrn.printtable1." localSheetId="1" hidden="1">{"print1",#N/A,FALSE,"D21CUSTS"}</definedName>
    <definedName name="wrn.printtable1." localSheetId="32" hidden="1">{"print1",#N/A,FALSE,"D21CUSTS"}</definedName>
    <definedName name="wrn.printtable1." localSheetId="6" hidden="1">{"print1",#N/A,FALSE,"D21CUSTS"}</definedName>
    <definedName name="wrn.printtable1." localSheetId="4" hidden="1">{"print1",#N/A,FALSE,"D21CUSTS"}</definedName>
    <definedName name="wrn.printtable1." localSheetId="5" hidden="1">{"print1",#N/A,FALSE,"D21CUSTS"}</definedName>
    <definedName name="wrn.printtable1." localSheetId="7" hidden="1">{"print1",#N/A,FALSE,"D21CUSTS"}</definedName>
    <definedName name="wrn.printtable1." localSheetId="3" hidden="1">{"print1",#N/A,FALSE,"D21CUSTS"}</definedName>
    <definedName name="wrn.printtable1." localSheetId="47" hidden="1">{"print1",#N/A,FALSE,"D21CUSTS"}</definedName>
    <definedName name="wrn.printtable1." hidden="1">{"print1",#N/A,FALSE,"D21CUSTS"}</definedName>
    <definedName name="wrn.printtable2." localSheetId="1" hidden="1">{"print2",#N/A,FALSE,"D21CUSTS"}</definedName>
    <definedName name="wrn.printtable2." localSheetId="32" hidden="1">{"print2",#N/A,FALSE,"D21CUSTS"}</definedName>
    <definedName name="wrn.printtable2." localSheetId="6" hidden="1">{"print2",#N/A,FALSE,"D21CUSTS"}</definedName>
    <definedName name="wrn.printtable2." localSheetId="4" hidden="1">{"print2",#N/A,FALSE,"D21CUSTS"}</definedName>
    <definedName name="wrn.printtable2." localSheetId="5" hidden="1">{"print2",#N/A,FALSE,"D21CUSTS"}</definedName>
    <definedName name="wrn.printtable2." localSheetId="7" hidden="1">{"print2",#N/A,FALSE,"D21CUSTS"}</definedName>
    <definedName name="wrn.printtable2." localSheetId="3" hidden="1">{"print2",#N/A,FALSE,"D21CUSTS"}</definedName>
    <definedName name="wrn.printtable2." localSheetId="47" hidden="1">{"print2",#N/A,FALSE,"D21CUSTS"}</definedName>
    <definedName name="wrn.printtable2." hidden="1">{"print2",#N/A,FALSE,"D21CUSTS"}</definedName>
    <definedName name="wrn.printtable3." localSheetId="1" hidden="1">{"print3",#N/A,FALSE,"D21CUSTS"}</definedName>
    <definedName name="wrn.printtable3." localSheetId="32" hidden="1">{"print3",#N/A,FALSE,"D21CUSTS"}</definedName>
    <definedName name="wrn.printtable3." localSheetId="6" hidden="1">{"print3",#N/A,FALSE,"D21CUSTS"}</definedName>
    <definedName name="wrn.printtable3." localSheetId="4" hidden="1">{"print3",#N/A,FALSE,"D21CUSTS"}</definedName>
    <definedName name="wrn.printtable3." localSheetId="5" hidden="1">{"print3",#N/A,FALSE,"D21CUSTS"}</definedName>
    <definedName name="wrn.printtable3." localSheetId="7" hidden="1">{"print3",#N/A,FALSE,"D21CUSTS"}</definedName>
    <definedName name="wrn.printtable3." localSheetId="3" hidden="1">{"print3",#N/A,FALSE,"D21CUSTS"}</definedName>
    <definedName name="wrn.printtable3." localSheetId="47" hidden="1">{"print3",#N/A,FALSE,"D21CUSTS"}</definedName>
    <definedName name="wrn.printtable3." hidden="1">{"print3",#N/A,FALSE,"D21CUSTS"}</definedName>
    <definedName name="wrn.printtable4." localSheetId="1" hidden="1">{"print4",#N/A,FALSE,"D21CUSTS"}</definedName>
    <definedName name="wrn.printtable4." localSheetId="32" hidden="1">{"print4",#N/A,FALSE,"D21CUSTS"}</definedName>
    <definedName name="wrn.printtable4." localSheetId="6" hidden="1">{"print4",#N/A,FALSE,"D21CUSTS"}</definedName>
    <definedName name="wrn.printtable4." localSheetId="4" hidden="1">{"print4",#N/A,FALSE,"D21CUSTS"}</definedName>
    <definedName name="wrn.printtable4." localSheetId="5" hidden="1">{"print4",#N/A,FALSE,"D21CUSTS"}</definedName>
    <definedName name="wrn.printtable4." localSheetId="7" hidden="1">{"print4",#N/A,FALSE,"D21CUSTS"}</definedName>
    <definedName name="wrn.printtable4." localSheetId="3" hidden="1">{"print4",#N/A,FALSE,"D21CUSTS"}</definedName>
    <definedName name="wrn.printtable4." localSheetId="47" hidden="1">{"print4",#N/A,FALSE,"D21CUSTS"}</definedName>
    <definedName name="wrn.printtable4." hidden="1">{"print4",#N/A,FALSE,"D21CUSTS"}</definedName>
    <definedName name="wrn.PRIOR._.PERIOD._.ADJMT." localSheetId="32" hidden="1">{#N/A,#N/A,FALSE,"PRIOR PERIOD ADJMT"}</definedName>
    <definedName name="wrn.PRIOR._.PERIOD._.ADJMT." localSheetId="6" hidden="1">{#N/A,#N/A,FALSE,"PRIOR PERIOD ADJMT"}</definedName>
    <definedName name="wrn.PRIOR._.PERIOD._.ADJMT." localSheetId="7" hidden="1">{#N/A,#N/A,FALSE,"PRIOR PERIOD ADJMT"}</definedName>
    <definedName name="wrn.PRIOR._.PERIOD._.ADJMT." localSheetId="3" hidden="1">{#N/A,#N/A,FALSE,"PRIOR PERIOD ADJMT"}</definedName>
    <definedName name="wrn.PRIOR._.PERIOD._.ADJMT." localSheetId="29" hidden="1">{#N/A,#N/A,FALSE,"PRIOR PERIOD ADJMT"}</definedName>
    <definedName name="wrn.PRIOR._.PERIOD._.ADJMT." localSheetId="47" hidden="1">{#N/A,#N/A,FALSE,"PRIOR PERIOD ADJMT"}</definedName>
    <definedName name="wrn.PRIOR._.PERIOD._.ADJMT." hidden="1">{#N/A,#N/A,FALSE,"PRIOR PERIOD ADJMT"}</definedName>
    <definedName name="wrn.Productivity_Ratios." localSheetId="1"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32"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6"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4"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5"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7"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3"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29"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47"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Targets." localSheetId="1" hidden="1">{"PT=O&amp;M per Cust + Equiv Employee + OR",#N/A,FALSE,"1999 Targets";"PT=Return on Net Plant &amp; Rev per Customere",#N/A,FALSE,"1999 Targets"}</definedName>
    <definedName name="wrn.Productivity_Targets." localSheetId="32" hidden="1">{"PT=O&amp;M per Cust + Equiv Employee + OR",#N/A,FALSE,"1999 Targets";"PT=Return on Net Plant &amp; Rev per Customere",#N/A,FALSE,"1999 Targets"}</definedName>
    <definedName name="wrn.Productivity_Targets." localSheetId="6" hidden="1">{"PT=O&amp;M per Cust + Equiv Employee + OR",#N/A,FALSE,"1999 Targets";"PT=Return on Net Plant &amp; Rev per Customere",#N/A,FALSE,"1999 Targets"}</definedName>
    <definedName name="wrn.Productivity_Targets." localSheetId="4" hidden="1">{"PT=O&amp;M per Cust + Equiv Employee + OR",#N/A,FALSE,"1999 Targets";"PT=Return on Net Plant &amp; Rev per Customere",#N/A,FALSE,"1999 Targets"}</definedName>
    <definedName name="wrn.Productivity_Targets." localSheetId="5" hidden="1">{"PT=O&amp;M per Cust + Equiv Employee + OR",#N/A,FALSE,"1999 Targets";"PT=Return on Net Plant &amp; Rev per Customere",#N/A,FALSE,"1999 Targets"}</definedName>
    <definedName name="wrn.Productivity_Targets." localSheetId="7" hidden="1">{"PT=O&amp;M per Cust + Equiv Employee + OR",#N/A,FALSE,"1999 Targets";"PT=Return on Net Plant &amp; Rev per Customere",#N/A,FALSE,"1999 Targets"}</definedName>
    <definedName name="wrn.Productivity_Targets." localSheetId="3" hidden="1">{"PT=O&amp;M per Cust + Equiv Employee + OR",#N/A,FALSE,"1999 Targets";"PT=Return on Net Plant &amp; Rev per Customere",#N/A,FALSE,"1999 Targets"}</definedName>
    <definedName name="wrn.Productivity_Targets." localSheetId="29" hidden="1">{"PT=O&amp;M per Cust + Equiv Employee + OR",#N/A,FALSE,"1999 Targets";"PT=Return on Net Plant &amp; Rev per Customere",#N/A,FALSE,"1999 Targets"}</definedName>
    <definedName name="wrn.Productivity_Targets." localSheetId="47" hidden="1">{"PT=O&amp;M per Cust + Equiv Employee + OR",#N/A,FALSE,"1999 Targets";"PT=Return on Net Plant &amp; Rev per Customere",#N/A,FALSE,"1999 Targets"}</definedName>
    <definedName name="wrn.Productivity_Targets." hidden="1">{"PT=O&amp;M per Cust + Equiv Employee + OR",#N/A,FALSE,"1999 Targets";"PT=Return on Net Plant &amp; Rev per Customere",#N/A,FALSE,"1999 Targets"}</definedName>
    <definedName name="wrn.Proforma." localSheetId="1" hidden="1">{#N/A,#N/A,TRUE,"SLDE";#N/A,#N/A,TRUE,"Concession Summary"}</definedName>
    <definedName name="wrn.Proforma." localSheetId="32" hidden="1">{#N/A,#N/A,TRUE,"SLDE";#N/A,#N/A,TRUE,"Concession Summary"}</definedName>
    <definedName name="wrn.Proforma." localSheetId="6" hidden="1">{#N/A,#N/A,TRUE,"SLDE";#N/A,#N/A,TRUE,"Concession Summary"}</definedName>
    <definedName name="wrn.Proforma." localSheetId="4" hidden="1">{#N/A,#N/A,TRUE,"SLDE";#N/A,#N/A,TRUE,"Concession Summary"}</definedName>
    <definedName name="wrn.Proforma." localSheetId="5" hidden="1">{#N/A,#N/A,TRUE,"SLDE";#N/A,#N/A,TRUE,"Concession Summary"}</definedName>
    <definedName name="wrn.Proforma." localSheetId="7" hidden="1">{#N/A,#N/A,TRUE,"SLDE";#N/A,#N/A,TRUE,"Concession Summary"}</definedName>
    <definedName name="wrn.Proforma." localSheetId="3" hidden="1">{#N/A,#N/A,TRUE,"SLDE";#N/A,#N/A,TRUE,"Concession Summary"}</definedName>
    <definedName name="wrn.Proforma." localSheetId="29" hidden="1">{#N/A,#N/A,TRUE,"SLDE";#N/A,#N/A,TRUE,"Concession Summary"}</definedName>
    <definedName name="wrn.Proforma." localSheetId="47" hidden="1">{#N/A,#N/A,TRUE,"SLDE";#N/A,#N/A,TRUE,"Concession Summary"}</definedName>
    <definedName name="wrn.Proforma." hidden="1">{#N/A,#N/A,TRUE,"SLDE";#N/A,#N/A,TRUE,"Concession Summary"}</definedName>
    <definedName name="wrn.Projected._.Def._.Adjustments."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iency." localSheetId="1" hidden="1">{"caz2",#N/A,FALSE,"Central Arizona 2";"saz2",#N/A,FALSE,"Southern Arizona 2";"snv2",#N/A,FALSE,"Southern Nevada 2";"nnv2",#N/A,FALSE,"Northern Nevada 2";"sca2",#N/A,FALSE,"Southern California 2";"nca2",#N/A,FALSE,"Northern California 2";"pai2",#N/A,FALSE,"Paiute 2"}</definedName>
    <definedName name="wrn.Projected._.Defiency." localSheetId="32" hidden="1">{"caz2",#N/A,FALSE,"Central Arizona 2";"saz2",#N/A,FALSE,"Southern Arizona 2";"snv2",#N/A,FALSE,"Southern Nevada 2";"nnv2",#N/A,FALSE,"Northern Nevada 2";"sca2",#N/A,FALSE,"Southern California 2";"nca2",#N/A,FALSE,"Northern California 2";"pai2",#N/A,FALSE,"Paiute 2"}</definedName>
    <definedName name="wrn.Projected._.Defiency." localSheetId="6" hidden="1">{"caz2",#N/A,FALSE,"Central Arizona 2";"saz2",#N/A,FALSE,"Southern Arizona 2";"snv2",#N/A,FALSE,"Southern Nevada 2";"nnv2",#N/A,FALSE,"Northern Nevada 2";"sca2",#N/A,FALSE,"Southern California 2";"nca2",#N/A,FALSE,"Northern California 2";"pai2",#N/A,FALSE,"Paiute 2"}</definedName>
    <definedName name="wrn.Projected._.Defiency." localSheetId="4" hidden="1">{"caz2",#N/A,FALSE,"Central Arizona 2";"saz2",#N/A,FALSE,"Southern Arizona 2";"snv2",#N/A,FALSE,"Southern Nevada 2";"nnv2",#N/A,FALSE,"Northern Nevada 2";"sca2",#N/A,FALSE,"Southern California 2";"nca2",#N/A,FALSE,"Northern California 2";"pai2",#N/A,FALSE,"Paiute 2"}</definedName>
    <definedName name="wrn.Projected._.Defiency." localSheetId="5" hidden="1">{"caz2",#N/A,FALSE,"Central Arizona 2";"saz2",#N/A,FALSE,"Southern Arizona 2";"snv2",#N/A,FALSE,"Southern Nevada 2";"nnv2",#N/A,FALSE,"Northern Nevada 2";"sca2",#N/A,FALSE,"Southern California 2";"nca2",#N/A,FALSE,"Northern California 2";"pai2",#N/A,FALSE,"Paiute 2"}</definedName>
    <definedName name="wrn.Projected._.Defiency." localSheetId="7" hidden="1">{"caz2",#N/A,FALSE,"Central Arizona 2";"saz2",#N/A,FALSE,"Southern Arizona 2";"snv2",#N/A,FALSE,"Southern Nevada 2";"nnv2",#N/A,FALSE,"Northern Nevada 2";"sca2",#N/A,FALSE,"Southern California 2";"nca2",#N/A,FALSE,"Northern California 2";"pai2",#N/A,FALSE,"Paiute 2"}</definedName>
    <definedName name="wrn.Projected._.Defiency." localSheetId="3" hidden="1">{"caz2",#N/A,FALSE,"Central Arizona 2";"saz2",#N/A,FALSE,"Southern Arizona 2";"snv2",#N/A,FALSE,"Southern Nevada 2";"nnv2",#N/A,FALSE,"Northern Nevada 2";"sca2",#N/A,FALSE,"Southern California 2";"nca2",#N/A,FALSE,"Northern California 2";"pai2",#N/A,FALSE,"Paiute 2"}</definedName>
    <definedName name="wrn.Projected._.Defiency." localSheetId="47" hidden="1">{"caz2",#N/A,FALSE,"Central Arizona 2";"saz2",#N/A,FALSE,"Southern Arizona 2";"snv2",#N/A,FALSE,"Southern Nevada 2";"nnv2",#N/A,FALSE,"Northern Nevada 2";"sca2",#N/A,FALSE,"Southern California 2";"nca2",#N/A,FALSE,"Northern California 2";"pai2",#N/A,FALSE,"Paiute 2"}</definedName>
    <definedName name="wrn.Projected._.Defiency." hidden="1">{"caz2",#N/A,FALSE,"Central Arizona 2";"saz2",#N/A,FALSE,"Southern Arizona 2";"snv2",#N/A,FALSE,"Southern Nevada 2";"nnv2",#N/A,FALSE,"Northern Nevada 2";"sca2",#N/A,FALSE,"Southern California 2";"nca2",#N/A,FALSE,"Northern California 2";"pai2",#N/A,FALSE,"Paiute 2"}</definedName>
    <definedName name="wrn.PSNH_GL." localSheetId="1" hidden="1">{#N/A,#N/A,FALSE,"GLDwnLoad"}</definedName>
    <definedName name="wrn.PSNH_GL." localSheetId="32" hidden="1">{#N/A,#N/A,FALSE,"GLDwnLoad"}</definedName>
    <definedName name="wrn.PSNH_GL." localSheetId="6" hidden="1">{#N/A,#N/A,FALSE,"GLDwnLoad"}</definedName>
    <definedName name="wrn.PSNH_GL." localSheetId="4" hidden="1">{#N/A,#N/A,FALSE,"GLDwnLoad"}</definedName>
    <definedName name="wrn.PSNH_GL." localSheetId="5" hidden="1">{#N/A,#N/A,FALSE,"GLDwnLoad"}</definedName>
    <definedName name="wrn.PSNH_GL." localSheetId="7" hidden="1">{#N/A,#N/A,FALSE,"GLDwnLoad"}</definedName>
    <definedName name="wrn.PSNH_GL." localSheetId="3" hidden="1">{#N/A,#N/A,FALSE,"GLDwnLoad"}</definedName>
    <definedName name="wrn.PSNH_GL." localSheetId="47" hidden="1">{#N/A,#N/A,FALSE,"GLDwnLoad"}</definedName>
    <definedName name="wrn.PSNH_GL." hidden="1">{#N/A,#N/A,FALSE,"GLDwnLoad"}</definedName>
    <definedName name="wrn.PSNH_INPUTS." localSheetId="1" hidden="1">{#N/A,#N/A,FALSE,"OTHERINPUTS";#N/A,#N/A,FALSE,"DITRATEINPUTS";#N/A,#N/A,FALSE,"SUPPLIEDADJINPUT";#N/A,#N/A,FALSE,"TIMINGDIFFINPUTS";#N/A,#N/A,FALSE,"BR&amp;SUPADJ."}</definedName>
    <definedName name="wrn.PSNH_INPUTS." localSheetId="32" hidden="1">{#N/A,#N/A,FALSE,"OTHERINPUTS";#N/A,#N/A,FALSE,"DITRATEINPUTS";#N/A,#N/A,FALSE,"SUPPLIEDADJINPUT";#N/A,#N/A,FALSE,"TIMINGDIFFINPUTS";#N/A,#N/A,FALSE,"BR&amp;SUPADJ."}</definedName>
    <definedName name="wrn.PSNH_INPUTS." localSheetId="6" hidden="1">{#N/A,#N/A,FALSE,"OTHERINPUTS";#N/A,#N/A,FALSE,"DITRATEINPUTS";#N/A,#N/A,FALSE,"SUPPLIEDADJINPUT";#N/A,#N/A,FALSE,"TIMINGDIFFINPUTS";#N/A,#N/A,FALSE,"BR&amp;SUPADJ."}</definedName>
    <definedName name="wrn.PSNH_INPUTS." localSheetId="4" hidden="1">{#N/A,#N/A,FALSE,"OTHERINPUTS";#N/A,#N/A,FALSE,"DITRATEINPUTS";#N/A,#N/A,FALSE,"SUPPLIEDADJINPUT";#N/A,#N/A,FALSE,"TIMINGDIFFINPUTS";#N/A,#N/A,FALSE,"BR&amp;SUPADJ."}</definedName>
    <definedName name="wrn.PSNH_INPUTS." localSheetId="5" hidden="1">{#N/A,#N/A,FALSE,"OTHERINPUTS";#N/A,#N/A,FALSE,"DITRATEINPUTS";#N/A,#N/A,FALSE,"SUPPLIEDADJINPUT";#N/A,#N/A,FALSE,"TIMINGDIFFINPUTS";#N/A,#N/A,FALSE,"BR&amp;SUPADJ."}</definedName>
    <definedName name="wrn.PSNH_INPUTS." localSheetId="7" hidden="1">{#N/A,#N/A,FALSE,"OTHERINPUTS";#N/A,#N/A,FALSE,"DITRATEINPUTS";#N/A,#N/A,FALSE,"SUPPLIEDADJINPUT";#N/A,#N/A,FALSE,"TIMINGDIFFINPUTS";#N/A,#N/A,FALSE,"BR&amp;SUPADJ."}</definedName>
    <definedName name="wrn.PSNH_INPUTS." localSheetId="3" hidden="1">{#N/A,#N/A,FALSE,"OTHERINPUTS";#N/A,#N/A,FALSE,"DITRATEINPUTS";#N/A,#N/A,FALSE,"SUPPLIEDADJINPUT";#N/A,#N/A,FALSE,"TIMINGDIFFINPUTS";#N/A,#N/A,FALSE,"BR&amp;SUPADJ."}</definedName>
    <definedName name="wrn.PSNH_INPUTS." localSheetId="47" hidden="1">{#N/A,#N/A,FALSE,"OTHERINPUTS";#N/A,#N/A,FALSE,"DITRATEINPUTS";#N/A,#N/A,FALSE,"SUPPLIEDADJINPUT";#N/A,#N/A,FALSE,"TIMINGDIFFINPUTS";#N/A,#N/A,FALSE,"BR&amp;SUPADJ."}</definedName>
    <definedName name="wrn.PSNH_INPUTS." hidden="1">{#N/A,#N/A,FALSE,"OTHERINPUTS";#N/A,#N/A,FALSE,"DITRATEINPUTS";#N/A,#N/A,FALSE,"SUPPLIEDADJINPUT";#N/A,#N/A,FALSE,"TIMINGDIFFINPUTS";#N/A,#N/A,FALSE,"BR&amp;SUPADJ."}</definedName>
    <definedName name="wrn.PSNH_PROV." localSheetId="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3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6"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4"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5"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3"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4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QTR._.AUDIT." localSheetId="32"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6"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7"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3"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47" hidden="1">{#N/A,#N/A,FALSE,"Cover";#N/A,#N/A,FALSE,"VECTREN IS";#N/A,#N/A,FALSE,"VUHI MARGIN VARIANCE";#N/A,#N/A,FALSE,"VUHI ELEC MARGIN VARIANCE";#N/A,#N/A,FALSE,"VECTREN EPS";#N/A,#N/A,FALSE,"ENTERPRISES ERNGS";#N/A,#N/A,FALSE,"CORP- OTHER";#N/A,#N/A,FALSE,"VECTREN PROJ EPS ";#N/A,#N/A,FALSE,"OTHER ISSUES";#N/A,#N/A,FALSE,"D&amp;T Summary"}</definedName>
    <definedName name="wrn.QTR._.AUDIT." hidden="1">{#N/A,#N/A,FALSE,"Cover";#N/A,#N/A,FALSE,"VECTREN IS";#N/A,#N/A,FALSE,"VUHI MARGIN VARIANCE";#N/A,#N/A,FALSE,"VUHI ELEC MARGIN VARIANCE";#N/A,#N/A,FALSE,"VECTREN EPS";#N/A,#N/A,FALSE,"ENTERPRISES ERNGS";#N/A,#N/A,FALSE,"CORP- OTHER";#N/A,#N/A,FALSE,"VECTREN PROJ EPS ";#N/A,#N/A,FALSE,"OTHER ISSUES";#N/A,#N/A,FALSE,"D&amp;T Summary"}</definedName>
    <definedName name="wrn.Quarterly._.report." localSheetId="1" hidden="1">{#N/A,#N/A,TRUE,"1 (2)";#N/A,#N/A,TRUE,"2";#N/A,#N/A,TRUE,"3"}</definedName>
    <definedName name="wrn.Quarterly._.report." localSheetId="32" hidden="1">{#N/A,#N/A,TRUE,"1 (2)";#N/A,#N/A,TRUE,"2";#N/A,#N/A,TRUE,"3"}</definedName>
    <definedName name="wrn.Quarterly._.report." localSheetId="6" hidden="1">{#N/A,#N/A,TRUE,"1 (2)";#N/A,#N/A,TRUE,"2";#N/A,#N/A,TRUE,"3"}</definedName>
    <definedName name="wrn.Quarterly._.report." localSheetId="4" hidden="1">{#N/A,#N/A,TRUE,"1 (2)";#N/A,#N/A,TRUE,"2";#N/A,#N/A,TRUE,"3"}</definedName>
    <definedName name="wrn.Quarterly._.report." localSheetId="5" hidden="1">{#N/A,#N/A,TRUE,"1 (2)";#N/A,#N/A,TRUE,"2";#N/A,#N/A,TRUE,"3"}</definedName>
    <definedName name="wrn.Quarterly._.report." localSheetId="7" hidden="1">{#N/A,#N/A,TRUE,"1 (2)";#N/A,#N/A,TRUE,"2";#N/A,#N/A,TRUE,"3"}</definedName>
    <definedName name="wrn.Quarterly._.report." localSheetId="3" hidden="1">{#N/A,#N/A,TRUE,"1 (2)";#N/A,#N/A,TRUE,"2";#N/A,#N/A,TRUE,"3"}</definedName>
    <definedName name="wrn.Quarterly._.report." localSheetId="29" hidden="1">{#N/A,#N/A,TRUE,"1 (2)";#N/A,#N/A,TRUE,"2";#N/A,#N/A,TRUE,"3"}</definedName>
    <definedName name="wrn.Quarterly._.report." localSheetId="47" hidden="1">{#N/A,#N/A,TRUE,"1 (2)";#N/A,#N/A,TRUE,"2";#N/A,#N/A,TRUE,"3"}</definedName>
    <definedName name="wrn.Quarterly._.report." hidden="1">{#N/A,#N/A,TRUE,"1 (2)";#N/A,#N/A,TRUE,"2";#N/A,#N/A,TRUE,"3"}</definedName>
    <definedName name="wrn.Rate._.Design." localSheetId="1"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32"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6"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4"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5"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7"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3"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47"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BASE._.ADJUSTMENTS." localSheetId="1" hidden="1">{"JURIS_RB_ADJS",#N/A,FALSE,"COSTSTUDY";"OKCLS_RB_ADJS",#N/A,FALSE,"COSTSTUDY"}</definedName>
    <definedName name="wrn.RATEBASE._.ADJUSTMENTS." localSheetId="32" hidden="1">{"JURIS_RB_ADJS",#N/A,FALSE,"COSTSTUDY";"OKCLS_RB_ADJS",#N/A,FALSE,"COSTSTUDY"}</definedName>
    <definedName name="wrn.RATEBASE._.ADJUSTMENTS." localSheetId="6" hidden="1">{"JURIS_RB_ADJS",#N/A,FALSE,"COSTSTUDY";"OKCLS_RB_ADJS",#N/A,FALSE,"COSTSTUDY"}</definedName>
    <definedName name="wrn.RATEBASE._.ADJUSTMENTS." localSheetId="4" hidden="1">{"JURIS_RB_ADJS",#N/A,FALSE,"COSTSTUDY";"OKCLS_RB_ADJS",#N/A,FALSE,"COSTSTUDY"}</definedName>
    <definedName name="wrn.RATEBASE._.ADJUSTMENTS." localSheetId="5" hidden="1">{"JURIS_RB_ADJS",#N/A,FALSE,"COSTSTUDY";"OKCLS_RB_ADJS",#N/A,FALSE,"COSTSTUDY"}</definedName>
    <definedName name="wrn.RATEBASE._.ADJUSTMENTS." localSheetId="7" hidden="1">{"JURIS_RB_ADJS",#N/A,FALSE,"COSTSTUDY";"OKCLS_RB_ADJS",#N/A,FALSE,"COSTSTUDY"}</definedName>
    <definedName name="wrn.RATEBASE._.ADJUSTMENTS." localSheetId="3" hidden="1">{"JURIS_RB_ADJS",#N/A,FALSE,"COSTSTUDY";"OKCLS_RB_ADJS",#N/A,FALSE,"COSTSTUDY"}</definedName>
    <definedName name="wrn.RATEBASE._.ADJUSTMENTS." localSheetId="29" hidden="1">{"JURIS_RB_ADJS",#N/A,FALSE,"COSTSTUDY";"OKCLS_RB_ADJS",#N/A,FALSE,"COSTSTUDY"}</definedName>
    <definedName name="wrn.RATEBASE._.ADJUSTMENTS." localSheetId="47" hidden="1">{"JURIS_RB_ADJS",#N/A,FALSE,"COSTSTUDY";"OKCLS_RB_ADJS",#N/A,FALSE,"COSTSTUDY"}</definedName>
    <definedName name="wrn.RATEBASE._.ADJUSTMENTS." hidden="1">{"JURIS_RB_ADJS",#N/A,FALSE,"COSTSTUDY";"OKCLS_RB_ADJS",#N/A,FALSE,"COSTSTUDY"}</definedName>
    <definedName name="wrn.Report." localSheetId="1" hidden="1">{#N/A,#N/A,TRUE,"Summary";#N/A,#N/A,TRUE,"Ratios LDE";#N/A,#N/A,TRUE,"Ratios";#N/A,#N/A,TRUE,"Financial Statements"}</definedName>
    <definedName name="wrn.Report." localSheetId="32" hidden="1">{#N/A,#N/A,TRUE,"Summary";#N/A,#N/A,TRUE,"Ratios LDE";#N/A,#N/A,TRUE,"Ratios";#N/A,#N/A,TRUE,"Financial Statements"}</definedName>
    <definedName name="wrn.Report." localSheetId="6" hidden="1">{#N/A,#N/A,TRUE,"Summary";#N/A,#N/A,TRUE,"Ratios LDE";#N/A,#N/A,TRUE,"Ratios";#N/A,#N/A,TRUE,"Financial Statements"}</definedName>
    <definedName name="wrn.Report." localSheetId="4" hidden="1">{#N/A,#N/A,TRUE,"Summary";#N/A,#N/A,TRUE,"Ratios LDE";#N/A,#N/A,TRUE,"Ratios";#N/A,#N/A,TRUE,"Financial Statements"}</definedName>
    <definedName name="wrn.Report." localSheetId="5" hidden="1">{#N/A,#N/A,TRUE,"Summary";#N/A,#N/A,TRUE,"Ratios LDE";#N/A,#N/A,TRUE,"Ratios";#N/A,#N/A,TRUE,"Financial Statements"}</definedName>
    <definedName name="wrn.Report." localSheetId="7" hidden="1">{#N/A,#N/A,TRUE,"Summary";#N/A,#N/A,TRUE,"Ratios LDE";#N/A,#N/A,TRUE,"Ratios";#N/A,#N/A,TRUE,"Financial Statements"}</definedName>
    <definedName name="wrn.Report." localSheetId="3" hidden="1">{#N/A,#N/A,TRUE,"Summary";#N/A,#N/A,TRUE,"Ratios LDE";#N/A,#N/A,TRUE,"Ratios";#N/A,#N/A,TRUE,"Financial Statements"}</definedName>
    <definedName name="wrn.Report." localSheetId="29" hidden="1">{#N/A,#N/A,TRUE,"Summary";#N/A,#N/A,TRUE,"Ratios LDE";#N/A,#N/A,TRUE,"Ratios";#N/A,#N/A,TRUE,"Financial Statements"}</definedName>
    <definedName name="wrn.Report." localSheetId="47" hidden="1">{#N/A,#N/A,TRUE,"Summary";#N/A,#N/A,TRUE,"Ratios LDE";#N/A,#N/A,TRUE,"Ratios";#N/A,#N/A,TRUE,"Financial Statements"}</definedName>
    <definedName name="wrn.Report." hidden="1">{#N/A,#N/A,TRUE,"Summary";#N/A,#N/A,TRUE,"Ratios LDE";#N/A,#N/A,TRUE,"Ratios";#N/A,#N/A,TRUE,"Financial Statements"}</definedName>
    <definedName name="wrn.Report1." localSheetId="32" hidden="1">{#N/A,#N/A,TRUE,"TOC";#N/A,#N/A,TRUE,"Assum";#N/A,#N/A,TRUE,"Op-BS";#N/A,#N/A,TRUE,"IS";#N/A,#N/A,TRUE,"BSCF";#N/A,#N/A,TRUE,"Ratios";#N/A,#N/A,TRUE,"Sens";#N/A,#N/A,TRUE,"Holmes_IS";#N/A,#N/A,TRUE,"Holmes_BSCF";#N/A,#N/A,TRUE,"Holmes_Rat";#N/A,#N/A,TRUE,"Hound_IS";#N/A,#N/A,TRUE,"Hound_BSCF";#N/A,#N/A,TRUE,"Hound_Rat";#N/A,#N/A,TRUE,"Hound_DCF1"}</definedName>
    <definedName name="wrn.Report1." localSheetId="6" hidden="1">{#N/A,#N/A,TRUE,"TOC";#N/A,#N/A,TRUE,"Assum";#N/A,#N/A,TRUE,"Op-BS";#N/A,#N/A,TRUE,"IS";#N/A,#N/A,TRUE,"BSCF";#N/A,#N/A,TRUE,"Ratios";#N/A,#N/A,TRUE,"Sens";#N/A,#N/A,TRUE,"Holmes_IS";#N/A,#N/A,TRUE,"Holmes_BSCF";#N/A,#N/A,TRUE,"Holmes_Rat";#N/A,#N/A,TRUE,"Hound_IS";#N/A,#N/A,TRUE,"Hound_BSCF";#N/A,#N/A,TRUE,"Hound_Rat";#N/A,#N/A,TRUE,"Hound_DCF1"}</definedName>
    <definedName name="wrn.Report1." localSheetId="7" hidden="1">{#N/A,#N/A,TRUE,"TOC";#N/A,#N/A,TRUE,"Assum";#N/A,#N/A,TRUE,"Op-BS";#N/A,#N/A,TRUE,"IS";#N/A,#N/A,TRUE,"BSCF";#N/A,#N/A,TRUE,"Ratios";#N/A,#N/A,TRUE,"Sens";#N/A,#N/A,TRUE,"Holmes_IS";#N/A,#N/A,TRUE,"Holmes_BSCF";#N/A,#N/A,TRUE,"Holmes_Rat";#N/A,#N/A,TRUE,"Hound_IS";#N/A,#N/A,TRUE,"Hound_BSCF";#N/A,#N/A,TRUE,"Hound_Rat";#N/A,#N/A,TRUE,"Hound_DCF1"}</definedName>
    <definedName name="wrn.Report1." localSheetId="3" hidden="1">{#N/A,#N/A,TRUE,"TOC";#N/A,#N/A,TRUE,"Assum";#N/A,#N/A,TRUE,"Op-BS";#N/A,#N/A,TRUE,"IS";#N/A,#N/A,TRUE,"BSCF";#N/A,#N/A,TRUE,"Ratios";#N/A,#N/A,TRUE,"Sens";#N/A,#N/A,TRUE,"Holmes_IS";#N/A,#N/A,TRUE,"Holmes_BSCF";#N/A,#N/A,TRUE,"Holmes_Rat";#N/A,#N/A,TRUE,"Hound_IS";#N/A,#N/A,TRUE,"Hound_BSCF";#N/A,#N/A,TRUE,"Hound_Rat";#N/A,#N/A,TRUE,"Hound_DCF1"}</definedName>
    <definedName name="wrn.Report1." localSheetId="47" hidden="1">{#N/A,#N/A,TRUE,"TOC";#N/A,#N/A,TRUE,"Assum";#N/A,#N/A,TRUE,"Op-BS";#N/A,#N/A,TRUE,"IS";#N/A,#N/A,TRUE,"BSCF";#N/A,#N/A,TRUE,"Ratios";#N/A,#N/A,TRUE,"Sens";#N/A,#N/A,TRUE,"Holmes_IS";#N/A,#N/A,TRUE,"Holmes_BSCF";#N/A,#N/A,TRUE,"Holmes_Rat";#N/A,#N/A,TRUE,"Hound_IS";#N/A,#N/A,TRUE,"Hound_BSCF";#N/A,#N/A,TRUE,"Hound_Rat";#N/A,#N/A,TRUE,"Hound_DCF1"}</definedName>
    <definedName name="wrn.Report1." hidden="1">{#N/A,#N/A,TRUE,"TOC";#N/A,#N/A,TRUE,"Assum";#N/A,#N/A,TRUE,"Op-BS";#N/A,#N/A,TRUE,"IS";#N/A,#N/A,TRUE,"BSCF";#N/A,#N/A,TRUE,"Ratios";#N/A,#N/A,TRUE,"Sens";#N/A,#N/A,TRUE,"Holmes_IS";#N/A,#N/A,TRUE,"Holmes_BSCF";#N/A,#N/A,TRUE,"Holmes_Rat";#N/A,#N/A,TRUE,"Hound_IS";#N/A,#N/A,TRUE,"Hound_BSCF";#N/A,#N/A,TRUE,"Hound_Rat";#N/A,#N/A,TRUE,"Hound_DCF1"}</definedName>
    <definedName name="wrn.Revenue._.Analysis." localSheetId="32"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4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OR_MEMO." localSheetId="1" hidden="1">{#N/A,#N/A,FALSE,"RORMEMO";#N/A,#N/A,FALSE,"RORSUMMARY";#N/A,#N/A,FALSE,"RORDETAIL"}</definedName>
    <definedName name="wrn.ROR_MEMO." localSheetId="32" hidden="1">{#N/A,#N/A,FALSE,"RORMEMO";#N/A,#N/A,FALSE,"RORSUMMARY";#N/A,#N/A,FALSE,"RORDETAIL"}</definedName>
    <definedName name="wrn.ROR_MEMO." localSheetId="6" hidden="1">{#N/A,#N/A,FALSE,"RORMEMO";#N/A,#N/A,FALSE,"RORSUMMARY";#N/A,#N/A,FALSE,"RORDETAIL"}</definedName>
    <definedName name="wrn.ROR_MEMO." localSheetId="4" hidden="1">{#N/A,#N/A,FALSE,"RORMEMO";#N/A,#N/A,FALSE,"RORSUMMARY";#N/A,#N/A,FALSE,"RORDETAIL"}</definedName>
    <definedName name="wrn.ROR_MEMO." localSheetId="5" hidden="1">{#N/A,#N/A,FALSE,"RORMEMO";#N/A,#N/A,FALSE,"RORSUMMARY";#N/A,#N/A,FALSE,"RORDETAIL"}</definedName>
    <definedName name="wrn.ROR_MEMO." localSheetId="7" hidden="1">{#N/A,#N/A,FALSE,"RORMEMO";#N/A,#N/A,FALSE,"RORSUMMARY";#N/A,#N/A,FALSE,"RORDETAIL"}</definedName>
    <definedName name="wrn.ROR_MEMO." localSheetId="3" hidden="1">{#N/A,#N/A,FALSE,"RORMEMO";#N/A,#N/A,FALSE,"RORSUMMARY";#N/A,#N/A,FALSE,"RORDETAIL"}</definedName>
    <definedName name="wrn.ROR_MEMO." localSheetId="47" hidden="1">{#N/A,#N/A,FALSE,"RORMEMO";#N/A,#N/A,FALSE,"RORSUMMARY";#N/A,#N/A,FALSE,"RORDETAIL"}</definedName>
    <definedName name="wrn.ROR_MEMO." hidden="1">{#N/A,#N/A,FALSE,"RORMEMO";#N/A,#N/A,FALSE,"RORSUMMARY";#N/A,#N/A,FALSE,"RORDETAIL"}</definedName>
    <definedName name="wrn.Schedule._.2c." localSheetId="32" hidden="1">{"Schedule 2c",#N/A,FALSE,"SCHEDULE2c"}</definedName>
    <definedName name="wrn.Schedule._.2c." localSheetId="6" hidden="1">{"Schedule 2c",#N/A,FALSE,"SCHEDULE2c"}</definedName>
    <definedName name="wrn.Schedule._.2c." localSheetId="7" hidden="1">{"Schedule 2c",#N/A,FALSE,"SCHEDULE2c"}</definedName>
    <definedName name="wrn.Schedule._.2c." localSheetId="3" hidden="1">{"Schedule 2c",#N/A,FALSE,"SCHEDULE2c"}</definedName>
    <definedName name="wrn.Schedule._.2c." localSheetId="47" hidden="1">{"Schedule 2c",#N/A,FALSE,"SCHEDULE2c"}</definedName>
    <definedName name="wrn.Schedule._.2c." hidden="1">{"Schedule 2c",#N/A,FALSE,"SCHEDULE2c"}</definedName>
    <definedName name="wrn.SCHEDULE_K_1." localSheetId="1" hidden="1">{"SCHK1",#N/A,FALSE,"FILING REPORTS"}</definedName>
    <definedName name="wrn.SCHEDULE_K_1." localSheetId="32" hidden="1">{"SCHK1",#N/A,FALSE,"FILING REPORTS"}</definedName>
    <definedName name="wrn.SCHEDULE_K_1." localSheetId="6" hidden="1">{"SCHK1",#N/A,FALSE,"FILING REPORTS"}</definedName>
    <definedName name="wrn.SCHEDULE_K_1." localSheetId="4" hidden="1">{"SCHK1",#N/A,FALSE,"FILING REPORTS"}</definedName>
    <definedName name="wrn.SCHEDULE_K_1." localSheetId="5" hidden="1">{"SCHK1",#N/A,FALSE,"FILING REPORTS"}</definedName>
    <definedName name="wrn.SCHEDULE_K_1." localSheetId="7" hidden="1">{"SCHK1",#N/A,FALSE,"FILING REPORTS"}</definedName>
    <definedName name="wrn.SCHEDULE_K_1." localSheetId="3" hidden="1">{"SCHK1",#N/A,FALSE,"FILING REPORTS"}</definedName>
    <definedName name="wrn.SCHEDULE_K_1." localSheetId="29" hidden="1">{"SCHK1",#N/A,FALSE,"FILING REPORTS"}</definedName>
    <definedName name="wrn.SCHEDULE_K_1." localSheetId="47" hidden="1">{"SCHK1",#N/A,FALSE,"FILING REPORTS"}</definedName>
    <definedName name="wrn.SCHEDULE_K_1." hidden="1">{"SCHK1",#N/A,FALSE,"FILING REPORTS"}</definedName>
    <definedName name="wrn.SECTLREPORTS." localSheetId="1" hidden="1">{"SCHL",#N/A,FALSE,"FILING REPORTS";"SCHL1",#N/A,FALSE,"COSTSTUDY";"SCHL2",#N/A,FALSE,"COSTSTUDY";"SCHL3",#N/A,FALSE,"COSTSTUDY";"SCHL4",#N/A,FALSE,"COSTSTUDY";"SCHL5",#N/A,FALSE,"COSTSTUDY";"SCHL6",#N/A,FALSE,"COSTSTUDY";"SCHL7",#N/A,FALSE,"COSTSTUDY";"SCHL8",#N/A,FALSE,"COSTSTUDY"}</definedName>
    <definedName name="wrn.SECTLREPORTS." localSheetId="32" hidden="1">{"SCHL",#N/A,FALSE,"FILING REPORTS";"SCHL1",#N/A,FALSE,"COSTSTUDY";"SCHL2",#N/A,FALSE,"COSTSTUDY";"SCHL3",#N/A,FALSE,"COSTSTUDY";"SCHL4",#N/A,FALSE,"COSTSTUDY";"SCHL5",#N/A,FALSE,"COSTSTUDY";"SCHL6",#N/A,FALSE,"COSTSTUDY";"SCHL7",#N/A,FALSE,"COSTSTUDY";"SCHL8",#N/A,FALSE,"COSTSTUDY"}</definedName>
    <definedName name="wrn.SECTLREPORTS." localSheetId="6" hidden="1">{"SCHL",#N/A,FALSE,"FILING REPORTS";"SCHL1",#N/A,FALSE,"COSTSTUDY";"SCHL2",#N/A,FALSE,"COSTSTUDY";"SCHL3",#N/A,FALSE,"COSTSTUDY";"SCHL4",#N/A,FALSE,"COSTSTUDY";"SCHL5",#N/A,FALSE,"COSTSTUDY";"SCHL6",#N/A,FALSE,"COSTSTUDY";"SCHL7",#N/A,FALSE,"COSTSTUDY";"SCHL8",#N/A,FALSE,"COSTSTUDY"}</definedName>
    <definedName name="wrn.SECTLREPORTS." localSheetId="4" hidden="1">{"SCHL",#N/A,FALSE,"FILING REPORTS";"SCHL1",#N/A,FALSE,"COSTSTUDY";"SCHL2",#N/A,FALSE,"COSTSTUDY";"SCHL3",#N/A,FALSE,"COSTSTUDY";"SCHL4",#N/A,FALSE,"COSTSTUDY";"SCHL5",#N/A,FALSE,"COSTSTUDY";"SCHL6",#N/A,FALSE,"COSTSTUDY";"SCHL7",#N/A,FALSE,"COSTSTUDY";"SCHL8",#N/A,FALSE,"COSTSTUDY"}</definedName>
    <definedName name="wrn.SECTLREPORTS." localSheetId="5" hidden="1">{"SCHL",#N/A,FALSE,"FILING REPORTS";"SCHL1",#N/A,FALSE,"COSTSTUDY";"SCHL2",#N/A,FALSE,"COSTSTUDY";"SCHL3",#N/A,FALSE,"COSTSTUDY";"SCHL4",#N/A,FALSE,"COSTSTUDY";"SCHL5",#N/A,FALSE,"COSTSTUDY";"SCHL6",#N/A,FALSE,"COSTSTUDY";"SCHL7",#N/A,FALSE,"COSTSTUDY";"SCHL8",#N/A,FALSE,"COSTSTUDY"}</definedName>
    <definedName name="wrn.SECTLREPORTS." localSheetId="7" hidden="1">{"SCHL",#N/A,FALSE,"FILING REPORTS";"SCHL1",#N/A,FALSE,"COSTSTUDY";"SCHL2",#N/A,FALSE,"COSTSTUDY";"SCHL3",#N/A,FALSE,"COSTSTUDY";"SCHL4",#N/A,FALSE,"COSTSTUDY";"SCHL5",#N/A,FALSE,"COSTSTUDY";"SCHL6",#N/A,FALSE,"COSTSTUDY";"SCHL7",#N/A,FALSE,"COSTSTUDY";"SCHL8",#N/A,FALSE,"COSTSTUDY"}</definedName>
    <definedName name="wrn.SECTLREPORTS." localSheetId="3" hidden="1">{"SCHL",#N/A,FALSE,"FILING REPORTS";"SCHL1",#N/A,FALSE,"COSTSTUDY";"SCHL2",#N/A,FALSE,"COSTSTUDY";"SCHL3",#N/A,FALSE,"COSTSTUDY";"SCHL4",#N/A,FALSE,"COSTSTUDY";"SCHL5",#N/A,FALSE,"COSTSTUDY";"SCHL6",#N/A,FALSE,"COSTSTUDY";"SCHL7",#N/A,FALSE,"COSTSTUDY";"SCHL8",#N/A,FALSE,"COSTSTUDY"}</definedName>
    <definedName name="wrn.SECTLREPORTS." localSheetId="29" hidden="1">{"SCHL",#N/A,FALSE,"FILING REPORTS";"SCHL1",#N/A,FALSE,"COSTSTUDY";"SCHL2",#N/A,FALSE,"COSTSTUDY";"SCHL3",#N/A,FALSE,"COSTSTUDY";"SCHL4",#N/A,FALSE,"COSTSTUDY";"SCHL5",#N/A,FALSE,"COSTSTUDY";"SCHL6",#N/A,FALSE,"COSTSTUDY";"SCHL7",#N/A,FALSE,"COSTSTUDY";"SCHL8",#N/A,FALSE,"COSTSTUDY"}</definedName>
    <definedName name="wrn.SECTLREPORTS." localSheetId="47" hidden="1">{"SCHL",#N/A,FALSE,"FILING REPORTS";"SCHL1",#N/A,FALSE,"COSTSTUDY";"SCHL2",#N/A,FALSE,"COSTSTUDY";"SCHL3",#N/A,FALSE,"COSTSTUDY";"SCHL4",#N/A,FALSE,"COSTSTUDY";"SCHL5",#N/A,FALSE,"COSTSTUDY";"SCHL6",#N/A,FALSE,"COSTSTUDY";"SCHL7",#N/A,FALSE,"COSTSTUDY";"SCHL8",#N/A,FALSE,"COSTSTUDY"}</definedName>
    <definedName name="wrn.SECTLREPORTS." hidden="1">{"SCHL",#N/A,FALSE,"FILING REPORTS";"SCHL1",#N/A,FALSE,"COSTSTUDY";"SCHL2",#N/A,FALSE,"COSTSTUDY";"SCHL3",#N/A,FALSE,"COSTSTUDY";"SCHL4",#N/A,FALSE,"COSTSTUDY";"SCHL5",#N/A,FALSE,"COSTSTUDY";"SCHL6",#N/A,FALSE,"COSTSTUDY";"SCHL7",#N/A,FALSE,"COSTSTUDY";"SCHL8",#N/A,FALSE,"COSTSTUDY"}</definedName>
    <definedName name="wrn.SELECT_GL." localSheetId="1" hidden="1">{#N/A,#N/A,FALSE,"GLDwnLoad"}</definedName>
    <definedName name="wrn.SELECT_GL." localSheetId="32" hidden="1">{#N/A,#N/A,FALSE,"GLDwnLoad"}</definedName>
    <definedName name="wrn.SELECT_GL." localSheetId="6" hidden="1">{#N/A,#N/A,FALSE,"GLDwnLoad"}</definedName>
    <definedName name="wrn.SELECT_GL." localSheetId="4" hidden="1">{#N/A,#N/A,FALSE,"GLDwnLoad"}</definedName>
    <definedName name="wrn.SELECT_GL." localSheetId="5" hidden="1">{#N/A,#N/A,FALSE,"GLDwnLoad"}</definedName>
    <definedName name="wrn.SELECT_GL." localSheetId="7" hidden="1">{#N/A,#N/A,FALSE,"GLDwnLoad"}</definedName>
    <definedName name="wrn.SELECT_GL." localSheetId="3" hidden="1">{#N/A,#N/A,FALSE,"GLDwnLoad"}</definedName>
    <definedName name="wrn.SELECT_GL." localSheetId="47" hidden="1">{#N/A,#N/A,FALSE,"GLDwnLoad"}</definedName>
    <definedName name="wrn.SELECT_GL." hidden="1">{#N/A,#N/A,FALSE,"GLDwnLoad"}</definedName>
    <definedName name="wrn.SELECT_INPUTS." localSheetId="1" hidden="1">{#N/A,#N/A,FALSE,"OTHERINPUTS";#N/A,#N/A,FALSE,"SUPPLIEDADJINPUT";#N/A,#N/A,FALSE,"BR&amp;SUPADJ."}</definedName>
    <definedName name="wrn.SELECT_INPUTS." localSheetId="32" hidden="1">{#N/A,#N/A,FALSE,"OTHERINPUTS";#N/A,#N/A,FALSE,"SUPPLIEDADJINPUT";#N/A,#N/A,FALSE,"BR&amp;SUPADJ."}</definedName>
    <definedName name="wrn.SELECT_INPUTS." localSheetId="6" hidden="1">{#N/A,#N/A,FALSE,"OTHERINPUTS";#N/A,#N/A,FALSE,"SUPPLIEDADJINPUT";#N/A,#N/A,FALSE,"BR&amp;SUPADJ."}</definedName>
    <definedName name="wrn.SELECT_INPUTS." localSheetId="4" hidden="1">{#N/A,#N/A,FALSE,"OTHERINPUTS";#N/A,#N/A,FALSE,"SUPPLIEDADJINPUT";#N/A,#N/A,FALSE,"BR&amp;SUPADJ."}</definedName>
    <definedName name="wrn.SELECT_INPUTS." localSheetId="5" hidden="1">{#N/A,#N/A,FALSE,"OTHERINPUTS";#N/A,#N/A,FALSE,"SUPPLIEDADJINPUT";#N/A,#N/A,FALSE,"BR&amp;SUPADJ."}</definedName>
    <definedName name="wrn.SELECT_INPUTS." localSheetId="7" hidden="1">{#N/A,#N/A,FALSE,"OTHERINPUTS";#N/A,#N/A,FALSE,"SUPPLIEDADJINPUT";#N/A,#N/A,FALSE,"BR&amp;SUPADJ."}</definedName>
    <definedName name="wrn.SELECT_INPUTS." localSheetId="3" hidden="1">{#N/A,#N/A,FALSE,"OTHERINPUTS";#N/A,#N/A,FALSE,"SUPPLIEDADJINPUT";#N/A,#N/A,FALSE,"BR&amp;SUPADJ."}</definedName>
    <definedName name="wrn.SELECT_INPUTS." localSheetId="47" hidden="1">{#N/A,#N/A,FALSE,"OTHERINPUTS";#N/A,#N/A,FALSE,"SUPPLIEDADJINPUT";#N/A,#N/A,FALSE,"BR&amp;SUPADJ."}</definedName>
    <definedName name="wrn.SELECT_INPUTS." hidden="1">{#N/A,#N/A,FALSE,"OTHERINPUTS";#N/A,#N/A,FALSE,"SUPPLIEDADJINPUT";#N/A,#N/A,FALSE,"BR&amp;SUPADJ."}</definedName>
    <definedName name="wrn.SELECT_PROV." localSheetId="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3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6"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4"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3"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4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nior._.Staff." localSheetId="3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6"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3"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4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ttlement._.Analysis." localSheetId="32" hidden="1">{"Assumptions",#N/A,FALSE,"Assumptions";"2003 - 2007 Summary",#N/A,FALSE,"Income Statement";"Summary Deferral Forecast",#N/A,FALSE,"Deferral Forecast"}</definedName>
    <definedName name="wrn.Settlement._.Analysis." localSheetId="6" hidden="1">{"Assumptions",#N/A,FALSE,"Assumptions";"2003 - 2007 Summary",#N/A,FALSE,"Income Statement";"Summary Deferral Forecast",#N/A,FALSE,"Deferral Forecast"}</definedName>
    <definedName name="wrn.Settlement._.Analysis." localSheetId="7" hidden="1">{"Assumptions",#N/A,FALSE,"Assumptions";"2003 - 2007 Summary",#N/A,FALSE,"Income Statement";"Summary Deferral Forecast",#N/A,FALSE,"Deferral Forecast"}</definedName>
    <definedName name="wrn.Settlement._.Analysis." localSheetId="3" hidden="1">{"Assumptions",#N/A,FALSE,"Assumptions";"2003 - 2007 Summary",#N/A,FALSE,"Income Statement";"Summary Deferral Forecast",#N/A,FALSE,"Deferral Forecast"}</definedName>
    <definedName name="wrn.Settlement._.Analysis." localSheetId="29" hidden="1">{"Assumptions",#N/A,FALSE,"Assumptions";"2003 - 2007 Summary",#N/A,FALSE,"Income Statement";"Summary Deferral Forecast",#N/A,FALSE,"Deferral Forecast"}</definedName>
    <definedName name="wrn.Settlement._.Analysis." localSheetId="47" hidden="1">{"Assumptions",#N/A,FALSE,"Assumptions";"2003 - 2007 Summary",#N/A,FALSE,"Income Statement";"Summary Deferral Forecast",#N/A,FALSE,"Deferral Forecast"}</definedName>
    <definedName name="wrn.Settlement._.Analysis." hidden="1">{"Assumptions",#N/A,FALSE,"Assumptions";"2003 - 2007 Summary",#N/A,FALSE,"Income Statement";"Summary Deferral Forecast",#N/A,FALSE,"Deferral Forecast"}</definedName>
    <definedName name="wrn.SPA._.FAC." localSheetId="1" hidden="1">{"SPA_FAC",#N/A,FALSE,"OMPA SPA FAC"}</definedName>
    <definedName name="wrn.SPA._.FAC." localSheetId="32" hidden="1">{"SPA_FAC",#N/A,FALSE,"OMPA SPA FAC"}</definedName>
    <definedName name="wrn.SPA._.FAC." localSheetId="6" hidden="1">{"SPA_FAC",#N/A,FALSE,"OMPA SPA FAC"}</definedName>
    <definedName name="wrn.SPA._.FAC." localSheetId="4" hidden="1">{"SPA_FAC",#N/A,FALSE,"OMPA SPA FAC"}</definedName>
    <definedName name="wrn.SPA._.FAC." localSheetId="5" hidden="1">{"SPA_FAC",#N/A,FALSE,"OMPA SPA FAC"}</definedName>
    <definedName name="wrn.SPA._.FAC." localSheetId="7" hidden="1">{"SPA_FAC",#N/A,FALSE,"OMPA SPA FAC"}</definedName>
    <definedName name="wrn.SPA._.FAC." localSheetId="3" hidden="1">{"SPA_FAC",#N/A,FALSE,"OMPA SPA FAC"}</definedName>
    <definedName name="wrn.SPA._.FAC." localSheetId="47" hidden="1">{"SPA_FAC",#N/A,FALSE,"OMPA SPA FAC"}</definedName>
    <definedName name="wrn.SPA._.FAC." hidden="1">{"SPA_FAC",#N/A,FALSE,"OMPA SPA FAC"}</definedName>
    <definedName name="wrn.SPA._.Invoice." localSheetId="1"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32"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6"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4"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5"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7"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3"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29"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47"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tatements." localSheetId="1" hidden="1">{"Co1statements",#N/A,FALSE,"Cmpy1";"Co2statement",#N/A,FALSE,"Cmpy2";"co1pm",#N/A,FALSE,"Co1PM";"co2PM",#N/A,FALSE,"Co2PM";"value",#N/A,FALSE,"value";"opco",#N/A,FALSE,"NewSparkle";"adjusts",#N/A,FALSE,"Adjustments"}</definedName>
    <definedName name="wrn.Statements." localSheetId="32" hidden="1">{"Co1statements",#N/A,FALSE,"Cmpy1";"Co2statement",#N/A,FALSE,"Cmpy2";"co1pm",#N/A,FALSE,"Co1PM";"co2PM",#N/A,FALSE,"Co2PM";"value",#N/A,FALSE,"value";"opco",#N/A,FALSE,"NewSparkle";"adjusts",#N/A,FALSE,"Adjustments"}</definedName>
    <definedName name="wrn.Statements." localSheetId="6" hidden="1">{"Co1statements",#N/A,FALSE,"Cmpy1";"Co2statement",#N/A,FALSE,"Cmpy2";"co1pm",#N/A,FALSE,"Co1PM";"co2PM",#N/A,FALSE,"Co2PM";"value",#N/A,FALSE,"value";"opco",#N/A,FALSE,"NewSparkle";"adjusts",#N/A,FALSE,"Adjustments"}</definedName>
    <definedName name="wrn.Statements." localSheetId="4" hidden="1">{"Co1statements",#N/A,FALSE,"Cmpy1";"Co2statement",#N/A,FALSE,"Cmpy2";"co1pm",#N/A,FALSE,"Co1PM";"co2PM",#N/A,FALSE,"Co2PM";"value",#N/A,FALSE,"value";"opco",#N/A,FALSE,"NewSparkle";"adjusts",#N/A,FALSE,"Adjustments"}</definedName>
    <definedName name="wrn.Statements." localSheetId="5" hidden="1">{"Co1statements",#N/A,FALSE,"Cmpy1";"Co2statement",#N/A,FALSE,"Cmpy2";"co1pm",#N/A,FALSE,"Co1PM";"co2PM",#N/A,FALSE,"Co2PM";"value",#N/A,FALSE,"value";"opco",#N/A,FALSE,"NewSparkle";"adjusts",#N/A,FALSE,"Adjustments"}</definedName>
    <definedName name="wrn.Statements." localSheetId="7" hidden="1">{"Co1statements",#N/A,FALSE,"Cmpy1";"Co2statement",#N/A,FALSE,"Cmpy2";"co1pm",#N/A,FALSE,"Co1PM";"co2PM",#N/A,FALSE,"Co2PM";"value",#N/A,FALSE,"value";"opco",#N/A,FALSE,"NewSparkle";"adjusts",#N/A,FALSE,"Adjustments"}</definedName>
    <definedName name="wrn.Statements." localSheetId="3" hidden="1">{"Co1statements",#N/A,FALSE,"Cmpy1";"Co2statement",#N/A,FALSE,"Cmpy2";"co1pm",#N/A,FALSE,"Co1PM";"co2PM",#N/A,FALSE,"Co2PM";"value",#N/A,FALSE,"value";"opco",#N/A,FALSE,"NewSparkle";"adjusts",#N/A,FALSE,"Adjustments"}</definedName>
    <definedName name="wrn.Statements." localSheetId="29" hidden="1">{"Co1statements",#N/A,FALSE,"Cmpy1";"Co2statement",#N/A,FALSE,"Cmpy2";"co1pm",#N/A,FALSE,"Co1PM";"co2PM",#N/A,FALSE,"Co2PM";"value",#N/A,FALSE,"value";"opco",#N/A,FALSE,"NewSparkle";"adjusts",#N/A,FALSE,"Adjustments"}</definedName>
    <definedName name="wrn.Statements." localSheetId="47"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ETSON." localSheetId="3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6"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3"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4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UMMARY." localSheetId="1" hidden="1">{"OKCLS_SUMMARY",#N/A,FALSE,"INTERNAL REPORTS";"JURIS_SUMMARY",#N/A,FALSE,"INTERNAL REPORTS"}</definedName>
    <definedName name="wrn.SUMMARY." localSheetId="32" hidden="1">{"OKCLS_SUMMARY",#N/A,FALSE,"INTERNAL REPORTS";"JURIS_SUMMARY",#N/A,FALSE,"INTERNAL REPORTS"}</definedName>
    <definedName name="wrn.SUMMARY." localSheetId="6" hidden="1">{"OKCLS_SUMMARY",#N/A,FALSE,"INTERNAL REPORTS";"JURIS_SUMMARY",#N/A,FALSE,"INTERNAL REPORTS"}</definedName>
    <definedName name="wrn.SUMMARY." localSheetId="4" hidden="1">{"OKCLS_SUMMARY",#N/A,FALSE,"INTERNAL REPORTS";"JURIS_SUMMARY",#N/A,FALSE,"INTERNAL REPORTS"}</definedName>
    <definedName name="wrn.SUMMARY." localSheetId="5" hidden="1">{"OKCLS_SUMMARY",#N/A,FALSE,"INTERNAL REPORTS";"JURIS_SUMMARY",#N/A,FALSE,"INTERNAL REPORTS"}</definedName>
    <definedName name="wrn.SUMMARY." localSheetId="7" hidden="1">{"OKCLS_SUMMARY",#N/A,FALSE,"INTERNAL REPORTS";"JURIS_SUMMARY",#N/A,FALSE,"INTERNAL REPORTS"}</definedName>
    <definedName name="wrn.SUMMARY." localSheetId="3" hidden="1">{"OKCLS_SUMMARY",#N/A,FALSE,"INTERNAL REPORTS";"JURIS_SUMMARY",#N/A,FALSE,"INTERNAL REPORTS"}</definedName>
    <definedName name="wrn.SUMMARY." localSheetId="29" hidden="1">{"OKCLS_SUMMARY",#N/A,FALSE,"INTERNAL REPORTS";"JURIS_SUMMARY",#N/A,FALSE,"INTERNAL REPORTS"}</definedName>
    <definedName name="wrn.SUMMARY." localSheetId="47" hidden="1">{"OKCLS_SUMMARY",#N/A,FALSE,"INTERNAL REPORTS";"JURIS_SUMMARY",#N/A,FALSE,"INTERNAL REPORTS"}</definedName>
    <definedName name="wrn.SUMMARY." hidden="1">{"OKCLS_SUMMARY",#N/A,FALSE,"INTERNAL REPORTS";"JURIS_SUMMARY",#N/A,FALSE,"INTERNAL REPORTS"}</definedName>
    <definedName name="wrn.Summary_GL." localSheetId="1" hidden="1">{#N/A,#N/A,FALSE,"GLDwnLoad"}</definedName>
    <definedName name="wrn.Summary_GL." localSheetId="32" hidden="1">{#N/A,#N/A,FALSE,"GLDwnLoad"}</definedName>
    <definedName name="wrn.Summary_GL." localSheetId="6" hidden="1">{#N/A,#N/A,FALSE,"GLDwnLoad"}</definedName>
    <definedName name="wrn.Summary_GL." localSheetId="4" hidden="1">{#N/A,#N/A,FALSE,"GLDwnLoad"}</definedName>
    <definedName name="wrn.Summary_GL." localSheetId="5" hidden="1">{#N/A,#N/A,FALSE,"GLDwnLoad"}</definedName>
    <definedName name="wrn.Summary_GL." localSheetId="7" hidden="1">{#N/A,#N/A,FALSE,"GLDwnLoad"}</definedName>
    <definedName name="wrn.Summary_GL." localSheetId="3" hidden="1">{#N/A,#N/A,FALSE,"GLDwnLoad"}</definedName>
    <definedName name="wrn.Summary_GL." localSheetId="47" hidden="1">{#N/A,#N/A,FALSE,"GLDwnLoad"}</definedName>
    <definedName name="wrn.Summary_GL." hidden="1">{#N/A,#N/A,FALSE,"GLDwnLoad"}</definedName>
    <definedName name="wrn.SUP."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3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4"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5"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4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3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4"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5"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4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port_Net_Plant." localSheetId="1" hidden="1">{"Support Net Plant=Net Utility Plant",#N/A,FALSE,"Net Plant"}</definedName>
    <definedName name="wrn.Support_Net_Plant." localSheetId="32" hidden="1">{"Support Net Plant=Net Utility Plant",#N/A,FALSE,"Net Plant"}</definedName>
    <definedName name="wrn.Support_Net_Plant." localSheetId="6" hidden="1">{"Support Net Plant=Net Utility Plant",#N/A,FALSE,"Net Plant"}</definedName>
    <definedName name="wrn.Support_Net_Plant." localSheetId="4" hidden="1">{"Support Net Plant=Net Utility Plant",#N/A,FALSE,"Net Plant"}</definedName>
    <definedName name="wrn.Support_Net_Plant." localSheetId="5" hidden="1">{"Support Net Plant=Net Utility Plant",#N/A,FALSE,"Net Plant"}</definedName>
    <definedName name="wrn.Support_Net_Plant." localSheetId="7" hidden="1">{"Support Net Plant=Net Utility Plant",#N/A,FALSE,"Net Plant"}</definedName>
    <definedName name="wrn.Support_Net_Plant." localSheetId="3" hidden="1">{"Support Net Plant=Net Utility Plant",#N/A,FALSE,"Net Plant"}</definedName>
    <definedName name="wrn.Support_Net_Plant." localSheetId="29" hidden="1">{"Support Net Plant=Net Utility Plant",#N/A,FALSE,"Net Plant"}</definedName>
    <definedName name="wrn.Support_Net_Plant." localSheetId="47" hidden="1">{"Support Net Plant=Net Utility Plant",#N/A,FALSE,"Net Plant"}</definedName>
    <definedName name="wrn.Support_Net_Plant." hidden="1">{"Support Net Plant=Net Utility Plant",#N/A,FALSE,"Net Plant"}</definedName>
    <definedName name="wrn.Support_O_M_Cust_Emp." localSheetId="1"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32"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6"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4"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5"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7"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3"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29"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47"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Rev_Op_Inc." localSheetId="1" hidden="1">{"Support/Rev Op Inc=Total revenue + OIBT",#N/A,FALSE,"Rev-Op Inc"}</definedName>
    <definedName name="wrn.Support_Rev_Op_Inc." localSheetId="32" hidden="1">{"Support/Rev Op Inc=Total revenue + OIBT",#N/A,FALSE,"Rev-Op Inc"}</definedName>
    <definedName name="wrn.Support_Rev_Op_Inc." localSheetId="6" hidden="1">{"Support/Rev Op Inc=Total revenue + OIBT",#N/A,FALSE,"Rev-Op Inc"}</definedName>
    <definedName name="wrn.Support_Rev_Op_Inc." localSheetId="4" hidden="1">{"Support/Rev Op Inc=Total revenue + OIBT",#N/A,FALSE,"Rev-Op Inc"}</definedName>
    <definedName name="wrn.Support_Rev_Op_Inc." localSheetId="5" hidden="1">{"Support/Rev Op Inc=Total revenue + OIBT",#N/A,FALSE,"Rev-Op Inc"}</definedName>
    <definedName name="wrn.Support_Rev_Op_Inc." localSheetId="7" hidden="1">{"Support/Rev Op Inc=Total revenue + OIBT",#N/A,FALSE,"Rev-Op Inc"}</definedName>
    <definedName name="wrn.Support_Rev_Op_Inc." localSheetId="3" hidden="1">{"Support/Rev Op Inc=Total revenue + OIBT",#N/A,FALSE,"Rev-Op Inc"}</definedName>
    <definedName name="wrn.Support_Rev_Op_Inc." localSheetId="29" hidden="1">{"Support/Rev Op Inc=Total revenue + OIBT",#N/A,FALSE,"Rev-Op Inc"}</definedName>
    <definedName name="wrn.Support_Rev_Op_Inc." localSheetId="47" hidden="1">{"Support/Rev Op Inc=Total revenue + OIBT",#N/A,FALSE,"Rev-Op Inc"}</definedName>
    <definedName name="wrn.Support_Rev_Op_Inc." hidden="1">{"Support/Rev Op Inc=Total revenue + OIBT",#N/A,FALSE,"Rev-Op Inc"}</definedName>
    <definedName name="wrn.Supporting._.Calculations." localSheetId="32" hidden="1">{#N/A,#N/A,FALSE,"Work performed";#N/A,#N/A,FALSE,"Resources"}</definedName>
    <definedName name="wrn.Supporting._.Calculations." localSheetId="6" hidden="1">{#N/A,#N/A,FALSE,"Work performed";#N/A,#N/A,FALSE,"Resources"}</definedName>
    <definedName name="wrn.Supporting._.Calculations." localSheetId="7" hidden="1">{#N/A,#N/A,FALSE,"Work performed";#N/A,#N/A,FALSE,"Resources"}</definedName>
    <definedName name="wrn.Supporting._.Calculations." localSheetId="3" hidden="1">{#N/A,#N/A,FALSE,"Work performed";#N/A,#N/A,FALSE,"Resources"}</definedName>
    <definedName name="wrn.Supporting._.Calculations." localSheetId="29" hidden="1">{#N/A,#N/A,FALSE,"Work performed";#N/A,#N/A,FALSE,"Resources"}</definedName>
    <definedName name="wrn.Supporting._.Calculations." localSheetId="47" hidden="1">{#N/A,#N/A,FALSE,"Work performed";#N/A,#N/A,FALSE,"Resources"}</definedName>
    <definedName name="wrn.Supporting._.Calculations." hidden="1">{#N/A,#N/A,FALSE,"Work performed";#N/A,#N/A,FALSE,"Resources"}</definedName>
    <definedName name="wrn.Table._.SBU._.1996_2002." localSheetId="1" hidden="1">{"SBU Numbers 1996_2002",#N/A,FALSE,"Strategic Business Lines"}</definedName>
    <definedName name="wrn.Table._.SBU._.1996_2002." localSheetId="32" hidden="1">{"SBU Numbers 1996_2002",#N/A,FALSE,"Strategic Business Lines"}</definedName>
    <definedName name="wrn.Table._.SBU._.1996_2002." localSheetId="6" hidden="1">{"SBU Numbers 1996_2002",#N/A,FALSE,"Strategic Business Lines"}</definedName>
    <definedName name="wrn.Table._.SBU._.1996_2002." localSheetId="4" hidden="1">{"SBU Numbers 1996_2002",#N/A,FALSE,"Strategic Business Lines"}</definedName>
    <definedName name="wrn.Table._.SBU._.1996_2002." localSheetId="5" hidden="1">{"SBU Numbers 1996_2002",#N/A,FALSE,"Strategic Business Lines"}</definedName>
    <definedName name="wrn.Table._.SBU._.1996_2002." localSheetId="7" hidden="1">{"SBU Numbers 1996_2002",#N/A,FALSE,"Strategic Business Lines"}</definedName>
    <definedName name="wrn.Table._.SBU._.1996_2002." localSheetId="3" hidden="1">{"SBU Numbers 1996_2002",#N/A,FALSE,"Strategic Business Lines"}</definedName>
    <definedName name="wrn.Table._.SBU._.1996_2002." localSheetId="29" hidden="1">{"SBU Numbers 1996_2002",#N/A,FALSE,"Strategic Business Lines"}</definedName>
    <definedName name="wrn.Table._.SBU._.1996_2002." localSheetId="47" hidden="1">{"SBU Numbers 1996_2002",#N/A,FALSE,"Strategic Business Lines"}</definedName>
    <definedName name="wrn.Table._.SBU._.1996_2002." hidden="1">{"SBU Numbers 1996_2002",#N/A,FALSE,"Strategic Business Lines"}</definedName>
    <definedName name="wrn.tables." localSheetId="1" hidden="1">{"print1",#N/A,FALSE,"D21CUSTS";"print2",#N/A,FALSE,"D21CUSTS";"print3",#N/A,FALSE,"D21CUSTS";"print4",#N/A,FALSE,"D21CUSTS"}</definedName>
    <definedName name="wrn.tables." localSheetId="32" hidden="1">{"print1",#N/A,FALSE,"D21CUSTS";"print2",#N/A,FALSE,"D21CUSTS";"print3",#N/A,FALSE,"D21CUSTS";"print4",#N/A,FALSE,"D21CUSTS"}</definedName>
    <definedName name="wrn.tables." localSheetId="6" hidden="1">{"print1",#N/A,FALSE,"D21CUSTS";"print2",#N/A,FALSE,"D21CUSTS";"print3",#N/A,FALSE,"D21CUSTS";"print4",#N/A,FALSE,"D21CUSTS"}</definedName>
    <definedName name="wrn.tables." localSheetId="4" hidden="1">{"print1",#N/A,FALSE,"D21CUSTS";"print2",#N/A,FALSE,"D21CUSTS";"print3",#N/A,FALSE,"D21CUSTS";"print4",#N/A,FALSE,"D21CUSTS"}</definedName>
    <definedName name="wrn.tables." localSheetId="5" hidden="1">{"print1",#N/A,FALSE,"D21CUSTS";"print2",#N/A,FALSE,"D21CUSTS";"print3",#N/A,FALSE,"D21CUSTS";"print4",#N/A,FALSE,"D21CUSTS"}</definedName>
    <definedName name="wrn.tables." localSheetId="7" hidden="1">{"print1",#N/A,FALSE,"D21CUSTS";"print2",#N/A,FALSE,"D21CUSTS";"print3",#N/A,FALSE,"D21CUSTS";"print4",#N/A,FALSE,"D21CUSTS"}</definedName>
    <definedName name="wrn.tables." localSheetId="3" hidden="1">{"print1",#N/A,FALSE,"D21CUSTS";"print2",#N/A,FALSE,"D21CUSTS";"print3",#N/A,FALSE,"D21CUSTS";"print4",#N/A,FALSE,"D21CUSTS"}</definedName>
    <definedName name="wrn.tables." localSheetId="47" hidden="1">{"print1",#N/A,FALSE,"D21CUSTS";"print2",#N/A,FALSE,"D21CUSTS";"print3",#N/A,FALSE,"D21CUSTS";"print4",#N/A,FALSE,"D21CUSTS"}</definedName>
    <definedName name="wrn.tables." hidden="1">{"print1",#N/A,FALSE,"D21CUSTS";"print2",#N/A,FALSE,"D21CUSTS";"print3",#N/A,FALSE,"D21CUSTS";"print4",#N/A,FALSE,"D21CUSTS"}</definedName>
    <definedName name="wrn.Tax._.Accrual." localSheetId="32" hidden="1">{#N/A,#N/A,TRUE,"TAXPROV";#N/A,#N/A,TRUE,"FLOWTHRU";#N/A,#N/A,TRUE,"SCHEDULE M'S";#N/A,#N/A,TRUE,"PLANT M'S";#N/A,#N/A,TRUE,"TAXJE"}</definedName>
    <definedName name="wrn.Tax._.Accrual." localSheetId="6" hidden="1">{#N/A,#N/A,TRUE,"TAXPROV";#N/A,#N/A,TRUE,"FLOWTHRU";#N/A,#N/A,TRUE,"SCHEDULE M'S";#N/A,#N/A,TRUE,"PLANT M'S";#N/A,#N/A,TRUE,"TAXJE"}</definedName>
    <definedName name="wrn.Tax._.Accrual." localSheetId="7" hidden="1">{#N/A,#N/A,TRUE,"TAXPROV";#N/A,#N/A,TRUE,"FLOWTHRU";#N/A,#N/A,TRUE,"SCHEDULE M'S";#N/A,#N/A,TRUE,"PLANT M'S";#N/A,#N/A,TRUE,"TAXJE"}</definedName>
    <definedName name="wrn.Tax._.Accrual." localSheetId="3" hidden="1">{#N/A,#N/A,TRUE,"TAXPROV";#N/A,#N/A,TRUE,"FLOWTHRU";#N/A,#N/A,TRUE,"SCHEDULE M'S";#N/A,#N/A,TRUE,"PLANT M'S";#N/A,#N/A,TRUE,"TAXJE"}</definedName>
    <definedName name="wrn.Tax._.Accrual." localSheetId="29" hidden="1">{#N/A,#N/A,TRUE,"TAXPROV";#N/A,#N/A,TRUE,"FLOWTHRU";#N/A,#N/A,TRUE,"SCHEDULE M'S";#N/A,#N/A,TRUE,"PLANT M'S";#N/A,#N/A,TRUE,"TAXJE"}</definedName>
    <definedName name="wrn.Tax._.Accrual." localSheetId="47" hidden="1">{#N/A,#N/A,TRUE,"TAXPROV";#N/A,#N/A,TRUE,"FLOWTHRU";#N/A,#N/A,TRUE,"SCHEDULE M'S";#N/A,#N/A,TRUE,"PLANT M'S";#N/A,#N/A,TRUE,"TAXJE"}</definedName>
    <definedName name="wrn.Tax._.Accrual." hidden="1">{#N/A,#N/A,TRUE,"TAXPROV";#N/A,#N/A,TRUE,"FLOWTHRU";#N/A,#N/A,TRUE,"SCHEDULE M'S";#N/A,#N/A,TRUE,"PLANT M'S";#N/A,#N/A,TRUE,"TAXJE"}</definedName>
    <definedName name="wrn.TAXES._.OTHER." localSheetId="1" hidden="1">{"JURIS_TAXES_OTHER",#N/A,FALSE,"COSTSTUDY";"OKCLS_TAXES_OTHER",#N/A,FALSE,"COSTSTUDY"}</definedName>
    <definedName name="wrn.TAXES._.OTHER." localSheetId="32" hidden="1">{"JURIS_TAXES_OTHER",#N/A,FALSE,"COSTSTUDY";"OKCLS_TAXES_OTHER",#N/A,FALSE,"COSTSTUDY"}</definedName>
    <definedName name="wrn.TAXES._.OTHER." localSheetId="6" hidden="1">{"JURIS_TAXES_OTHER",#N/A,FALSE,"COSTSTUDY";"OKCLS_TAXES_OTHER",#N/A,FALSE,"COSTSTUDY"}</definedName>
    <definedName name="wrn.TAXES._.OTHER." localSheetId="4" hidden="1">{"JURIS_TAXES_OTHER",#N/A,FALSE,"COSTSTUDY";"OKCLS_TAXES_OTHER",#N/A,FALSE,"COSTSTUDY"}</definedName>
    <definedName name="wrn.TAXES._.OTHER." localSheetId="5" hidden="1">{"JURIS_TAXES_OTHER",#N/A,FALSE,"COSTSTUDY";"OKCLS_TAXES_OTHER",#N/A,FALSE,"COSTSTUDY"}</definedName>
    <definedName name="wrn.TAXES._.OTHER." localSheetId="7" hidden="1">{"JURIS_TAXES_OTHER",#N/A,FALSE,"COSTSTUDY";"OKCLS_TAXES_OTHER",#N/A,FALSE,"COSTSTUDY"}</definedName>
    <definedName name="wrn.TAXES._.OTHER." localSheetId="3" hidden="1">{"JURIS_TAXES_OTHER",#N/A,FALSE,"COSTSTUDY";"OKCLS_TAXES_OTHER",#N/A,FALSE,"COSTSTUDY"}</definedName>
    <definedName name="wrn.TAXES._.OTHER." localSheetId="29" hidden="1">{"JURIS_TAXES_OTHER",#N/A,FALSE,"COSTSTUDY";"OKCLS_TAXES_OTHER",#N/A,FALSE,"COSTSTUDY"}</definedName>
    <definedName name="wrn.TAXES._.OTHER." localSheetId="47" hidden="1">{"JURIS_TAXES_OTHER",#N/A,FALSE,"COSTSTUDY";"OKCLS_TAXES_OTHER",#N/A,FALSE,"COSTSTUDY"}</definedName>
    <definedName name="wrn.TAXES._.OTHER." hidden="1">{"JURIS_TAXES_OTHER",#N/A,FALSE,"COSTSTUDY";"OKCLS_TAXES_OTHER",#N/A,FALSE,"COSTSTUDY"}</definedName>
    <definedName name="wrn.TBC._.Update." localSheetId="32" hidden="1">{#N/A,#N/A,FALSE,"TABLE I";#N/A,#N/A,FALSE,"TBC Development";#N/A,#N/A,FALSE,"MTC -Tax Development";#N/A,#N/A,FALSE,"MTC - Tax descriptions";#N/A,#N/A,FALSE,"MTC -Tax True Up"}</definedName>
    <definedName name="wrn.TBC._.Update." localSheetId="6" hidden="1">{#N/A,#N/A,FALSE,"TABLE I";#N/A,#N/A,FALSE,"TBC Development";#N/A,#N/A,FALSE,"MTC -Tax Development";#N/A,#N/A,FALSE,"MTC - Tax descriptions";#N/A,#N/A,FALSE,"MTC -Tax True Up"}</definedName>
    <definedName name="wrn.TBC._.Update." localSheetId="7" hidden="1">{#N/A,#N/A,FALSE,"TABLE I";#N/A,#N/A,FALSE,"TBC Development";#N/A,#N/A,FALSE,"MTC -Tax Development";#N/A,#N/A,FALSE,"MTC - Tax descriptions";#N/A,#N/A,FALSE,"MTC -Tax True Up"}</definedName>
    <definedName name="wrn.TBC._.Update." localSheetId="3" hidden="1">{#N/A,#N/A,FALSE,"TABLE I";#N/A,#N/A,FALSE,"TBC Development";#N/A,#N/A,FALSE,"MTC -Tax Development";#N/A,#N/A,FALSE,"MTC - Tax descriptions";#N/A,#N/A,FALSE,"MTC -Tax True Up"}</definedName>
    <definedName name="wrn.TBC._.Update." localSheetId="29" hidden="1">{#N/A,#N/A,FALSE,"TABLE I";#N/A,#N/A,FALSE,"TBC Development";#N/A,#N/A,FALSE,"MTC -Tax Development";#N/A,#N/A,FALSE,"MTC - Tax descriptions";#N/A,#N/A,FALSE,"MTC -Tax True Up"}</definedName>
    <definedName name="wrn.TBC._.Update." localSheetId="47" hidden="1">{#N/A,#N/A,FALSE,"TABLE I";#N/A,#N/A,FALSE,"TBC Development";#N/A,#N/A,FALSE,"MTC -Tax Development";#N/A,#N/A,FALSE,"MTC - Tax descriptions";#N/A,#N/A,FALSE,"MTC -Tax True Up"}</definedName>
    <definedName name="wrn.TBC._.Update." hidden="1">{#N/A,#N/A,FALSE,"TABLE I";#N/A,#N/A,FALSE,"TBC Development";#N/A,#N/A,FALSE,"MTC -Tax Development";#N/A,#N/A,FALSE,"MTC - Tax descriptions";#N/A,#N/A,FALSE,"MTC -Tax True Up"}</definedName>
    <definedName name="wrn.TESTS." localSheetId="32" hidden="1">{"PAGE_1",#N/A,FALSE,"MONTH"}</definedName>
    <definedName name="wrn.TESTS." localSheetId="6" hidden="1">{"PAGE_1",#N/A,FALSE,"MONTH"}</definedName>
    <definedName name="wrn.TESTS." localSheetId="7" hidden="1">{"PAGE_1",#N/A,FALSE,"MONTH"}</definedName>
    <definedName name="wrn.TESTS." localSheetId="3" hidden="1">{"PAGE_1",#N/A,FALSE,"MONTH"}</definedName>
    <definedName name="wrn.TESTS." localSheetId="47" hidden="1">{"PAGE_1",#N/A,FALSE,"MONTH"}</definedName>
    <definedName name="wrn.TESTS." hidden="1">{"PAGE_1",#N/A,FALSE,"MONTH"}</definedName>
    <definedName name="wrn.Total._.Report." localSheetId="1" hidden="1">{"Fuel by Type",#N/A,FALSE,"00whfuel";"Fuel by Account",#N/A,FALSE,"00whfuel";"NTEC",#N/A,FALSE,"00whfuel";"Hope",#N/A,FALSE,"00whfuel";"Net Energy Load",#N/A,FALSE,"00whfuel";"Purchased Power",#N/A,FALSE,"00whfuel"}</definedName>
    <definedName name="wrn.Total._.Report." localSheetId="32" hidden="1">{"Fuel by Type",#N/A,FALSE,"00whfuel";"Fuel by Account",#N/A,FALSE,"00whfuel";"NTEC",#N/A,FALSE,"00whfuel";"Hope",#N/A,FALSE,"00whfuel";"Net Energy Load",#N/A,FALSE,"00whfuel";"Purchased Power",#N/A,FALSE,"00whfuel"}</definedName>
    <definedName name="wrn.Total._.Report." localSheetId="6" hidden="1">{"Fuel by Type",#N/A,FALSE,"00whfuel";"Fuel by Account",#N/A,FALSE,"00whfuel";"NTEC",#N/A,FALSE,"00whfuel";"Hope",#N/A,FALSE,"00whfuel";"Net Energy Load",#N/A,FALSE,"00whfuel";"Purchased Power",#N/A,FALSE,"00whfuel"}</definedName>
    <definedName name="wrn.Total._.Report." localSheetId="4" hidden="1">{"Fuel by Type",#N/A,FALSE,"00whfuel";"Fuel by Account",#N/A,FALSE,"00whfuel";"NTEC",#N/A,FALSE,"00whfuel";"Hope",#N/A,FALSE,"00whfuel";"Net Energy Load",#N/A,FALSE,"00whfuel";"Purchased Power",#N/A,FALSE,"00whfuel"}</definedName>
    <definedName name="wrn.Total._.Report." localSheetId="5" hidden="1">{"Fuel by Type",#N/A,FALSE,"00whfuel";"Fuel by Account",#N/A,FALSE,"00whfuel";"NTEC",#N/A,FALSE,"00whfuel";"Hope",#N/A,FALSE,"00whfuel";"Net Energy Load",#N/A,FALSE,"00whfuel";"Purchased Power",#N/A,FALSE,"00whfuel"}</definedName>
    <definedName name="wrn.Total._.Report." localSheetId="7" hidden="1">{"Fuel by Type",#N/A,FALSE,"00whfuel";"Fuel by Account",#N/A,FALSE,"00whfuel";"NTEC",#N/A,FALSE,"00whfuel";"Hope",#N/A,FALSE,"00whfuel";"Net Energy Load",#N/A,FALSE,"00whfuel";"Purchased Power",#N/A,FALSE,"00whfuel"}</definedName>
    <definedName name="wrn.Total._.Report." localSheetId="3" hidden="1">{"Fuel by Type",#N/A,FALSE,"00whfuel";"Fuel by Account",#N/A,FALSE,"00whfuel";"NTEC",#N/A,FALSE,"00whfuel";"Hope",#N/A,FALSE,"00whfuel";"Net Energy Load",#N/A,FALSE,"00whfuel";"Purchased Power",#N/A,FALSE,"00whfuel"}</definedName>
    <definedName name="wrn.Total._.Report." localSheetId="47" hidden="1">{"Fuel by Type",#N/A,FALSE,"00whfuel";"Fuel by Account",#N/A,FALSE,"00whfuel";"NTEC",#N/A,FALSE,"00whfuel";"Hope",#N/A,FALSE,"00whfuel";"Net Energy Load",#N/A,FALSE,"00whfuel";"Purchased Power",#N/A,FALSE,"00whfuel"}</definedName>
    <definedName name="wrn.Total._.Report." hidden="1">{"Fuel by Type",#N/A,FALSE,"00whfuel";"Fuel by Account",#N/A,FALSE,"00whfuel";"NTEC",#N/A,FALSE,"00whfuel";"Hope",#N/A,FALSE,"00whfuel";"Net Energy Load",#N/A,FALSE,"00whfuel";"Purchased Power",#N/A,FALSE,"00whfuel"}</definedName>
    <definedName name="wrn.UWMAC." localSheetId="1" hidden="1">{"UWMACISV",#N/A,FALSE,"Sheet1";"UWMACSAV",#N/A,FALSE,"Sheet1";"UWMACBSV",#N/A,FALSE,"Sheet1";"UWMACSFDV",#N/A,FALSE,"Sheet1"}</definedName>
    <definedName name="wrn.UWMAC." localSheetId="32" hidden="1">{"UWMACISV",#N/A,FALSE,"Sheet1";"UWMACSAV",#N/A,FALSE,"Sheet1";"UWMACBSV",#N/A,FALSE,"Sheet1";"UWMACSFDV",#N/A,FALSE,"Sheet1"}</definedName>
    <definedName name="wrn.UWMAC." localSheetId="6" hidden="1">{"UWMACISV",#N/A,FALSE,"Sheet1";"UWMACSAV",#N/A,FALSE,"Sheet1";"UWMACBSV",#N/A,FALSE,"Sheet1";"UWMACSFDV",#N/A,FALSE,"Sheet1"}</definedName>
    <definedName name="wrn.UWMAC." localSheetId="4" hidden="1">{"UWMACISV",#N/A,FALSE,"Sheet1";"UWMACSAV",#N/A,FALSE,"Sheet1";"UWMACBSV",#N/A,FALSE,"Sheet1";"UWMACSFDV",#N/A,FALSE,"Sheet1"}</definedName>
    <definedName name="wrn.UWMAC." localSheetId="5" hidden="1">{"UWMACISV",#N/A,FALSE,"Sheet1";"UWMACSAV",#N/A,FALSE,"Sheet1";"UWMACBSV",#N/A,FALSE,"Sheet1";"UWMACSFDV",#N/A,FALSE,"Sheet1"}</definedName>
    <definedName name="wrn.UWMAC." localSheetId="7" hidden="1">{"UWMACISV",#N/A,FALSE,"Sheet1";"UWMACSAV",#N/A,FALSE,"Sheet1";"UWMACBSV",#N/A,FALSE,"Sheet1";"UWMACSFDV",#N/A,FALSE,"Sheet1"}</definedName>
    <definedName name="wrn.UWMAC." localSheetId="3" hidden="1">{"UWMACISV",#N/A,FALSE,"Sheet1";"UWMACSAV",#N/A,FALSE,"Sheet1";"UWMACBSV",#N/A,FALSE,"Sheet1";"UWMACSFDV",#N/A,FALSE,"Sheet1"}</definedName>
    <definedName name="wrn.UWMAC." localSheetId="29" hidden="1">{"UWMACISV",#N/A,FALSE,"Sheet1";"UWMACSAV",#N/A,FALSE,"Sheet1";"UWMACBSV",#N/A,FALSE,"Sheet1";"UWMACSFDV",#N/A,FALSE,"Sheet1"}</definedName>
    <definedName name="wrn.UWMAC." localSheetId="47" hidden="1">{"UWMACISV",#N/A,FALSE,"Sheet1";"UWMACSAV",#N/A,FALSE,"Sheet1";"UWMACBSV",#N/A,FALSE,"Sheet1";"UWMACSFDV",#N/A,FALSE,"Sheet1"}</definedName>
    <definedName name="wrn.UWMAC." hidden="1">{"UWMACISV",#N/A,FALSE,"Sheet1";"UWMACSAV",#N/A,FALSE,"Sheet1";"UWMACBSV",#N/A,FALSE,"Sheet1";"UWMACSFDV",#N/A,FALSE,"Sheet1"}</definedName>
    <definedName name="wrn.UWNJ." localSheetId="1" hidden="1">{"UWNJISV",#N/A,FALSE,"Sheet1";"UWNJSAV",#N/A,FALSE,"Sheet1";"UWNJBSV",#N/A,FALSE,"Sheet1";"UWNJSFDV",#N/A,FALSE,"Sheet1"}</definedName>
    <definedName name="wrn.UWNJ." localSheetId="32" hidden="1">{"UWNJISV",#N/A,FALSE,"Sheet1";"UWNJSAV",#N/A,FALSE,"Sheet1";"UWNJBSV",#N/A,FALSE,"Sheet1";"UWNJSFDV",#N/A,FALSE,"Sheet1"}</definedName>
    <definedName name="wrn.UWNJ." localSheetId="6" hidden="1">{"UWNJISV",#N/A,FALSE,"Sheet1";"UWNJSAV",#N/A,FALSE,"Sheet1";"UWNJBSV",#N/A,FALSE,"Sheet1";"UWNJSFDV",#N/A,FALSE,"Sheet1"}</definedName>
    <definedName name="wrn.UWNJ." localSheetId="4" hidden="1">{"UWNJISV",#N/A,FALSE,"Sheet1";"UWNJSAV",#N/A,FALSE,"Sheet1";"UWNJBSV",#N/A,FALSE,"Sheet1";"UWNJSFDV",#N/A,FALSE,"Sheet1"}</definedName>
    <definedName name="wrn.UWNJ." localSheetId="5" hidden="1">{"UWNJISV",#N/A,FALSE,"Sheet1";"UWNJSAV",#N/A,FALSE,"Sheet1";"UWNJBSV",#N/A,FALSE,"Sheet1";"UWNJSFDV",#N/A,FALSE,"Sheet1"}</definedName>
    <definedName name="wrn.UWNJ." localSheetId="7" hidden="1">{"UWNJISV",#N/A,FALSE,"Sheet1";"UWNJSAV",#N/A,FALSE,"Sheet1";"UWNJBSV",#N/A,FALSE,"Sheet1";"UWNJSFDV",#N/A,FALSE,"Sheet1"}</definedName>
    <definedName name="wrn.UWNJ." localSheetId="3" hidden="1">{"UWNJISV",#N/A,FALSE,"Sheet1";"UWNJSAV",#N/A,FALSE,"Sheet1";"UWNJBSV",#N/A,FALSE,"Sheet1";"UWNJSFDV",#N/A,FALSE,"Sheet1"}</definedName>
    <definedName name="wrn.UWNJ." localSheetId="29" hidden="1">{"UWNJISV",#N/A,FALSE,"Sheet1";"UWNJSAV",#N/A,FALSE,"Sheet1";"UWNJBSV",#N/A,FALSE,"Sheet1";"UWNJSFDV",#N/A,FALSE,"Sheet1"}</definedName>
    <definedName name="wrn.UWNJ." localSheetId="47" hidden="1">{"UWNJISV",#N/A,FALSE,"Sheet1";"UWNJSAV",#N/A,FALSE,"Sheet1";"UWNJBSV",#N/A,FALSE,"Sheet1";"UWNJSFDV",#N/A,FALSE,"Sheet1"}</definedName>
    <definedName name="wrn.UWNJ." hidden="1">{"UWNJISV",#N/A,FALSE,"Sheet1";"UWNJSAV",#N/A,FALSE,"Sheet1";"UWNJBSV",#N/A,FALSE,"Sheet1";"UWNJSFDV",#N/A,FALSE,"Sheet1"}</definedName>
    <definedName name="wrn.UWNY." localSheetId="1" hidden="1">{"UWNYISV",#N/A,FALSE,"Sheet1";"UWNYSAV",#N/A,FALSE,"Sheet1";"UWNYBSV",#N/A,FALSE,"Sheet1";"UWNYSFDV",#N/A,FALSE,"Sheet1"}</definedName>
    <definedName name="wrn.UWNY." localSheetId="32" hidden="1">{"UWNYISV",#N/A,FALSE,"Sheet1";"UWNYSAV",#N/A,FALSE,"Sheet1";"UWNYBSV",#N/A,FALSE,"Sheet1";"UWNYSFDV",#N/A,FALSE,"Sheet1"}</definedName>
    <definedName name="wrn.UWNY." localSheetId="6" hidden="1">{"UWNYISV",#N/A,FALSE,"Sheet1";"UWNYSAV",#N/A,FALSE,"Sheet1";"UWNYBSV",#N/A,FALSE,"Sheet1";"UWNYSFDV",#N/A,FALSE,"Sheet1"}</definedName>
    <definedName name="wrn.UWNY." localSheetId="4" hidden="1">{"UWNYISV",#N/A,FALSE,"Sheet1";"UWNYSAV",#N/A,FALSE,"Sheet1";"UWNYBSV",#N/A,FALSE,"Sheet1";"UWNYSFDV",#N/A,FALSE,"Sheet1"}</definedName>
    <definedName name="wrn.UWNY." localSheetId="5" hidden="1">{"UWNYISV",#N/A,FALSE,"Sheet1";"UWNYSAV",#N/A,FALSE,"Sheet1";"UWNYBSV",#N/A,FALSE,"Sheet1";"UWNYSFDV",#N/A,FALSE,"Sheet1"}</definedName>
    <definedName name="wrn.UWNY." localSheetId="7" hidden="1">{"UWNYISV",#N/A,FALSE,"Sheet1";"UWNYSAV",#N/A,FALSE,"Sheet1";"UWNYBSV",#N/A,FALSE,"Sheet1";"UWNYSFDV",#N/A,FALSE,"Sheet1"}</definedName>
    <definedName name="wrn.UWNY." localSheetId="3" hidden="1">{"UWNYISV",#N/A,FALSE,"Sheet1";"UWNYSAV",#N/A,FALSE,"Sheet1";"UWNYBSV",#N/A,FALSE,"Sheet1";"UWNYSFDV",#N/A,FALSE,"Sheet1"}</definedName>
    <definedName name="wrn.UWNY." localSheetId="29" hidden="1">{"UWNYISV",#N/A,FALSE,"Sheet1";"UWNYSAV",#N/A,FALSE,"Sheet1";"UWNYBSV",#N/A,FALSE,"Sheet1";"UWNYSFDV",#N/A,FALSE,"Sheet1"}</definedName>
    <definedName name="wrn.UWNY." localSheetId="47" hidden="1">{"UWNYISV",#N/A,FALSE,"Sheet1";"UWNYSAV",#N/A,FALSE,"Sheet1";"UWNYBSV",#N/A,FALSE,"Sheet1";"UWNYSFDV",#N/A,FALSE,"Sheet1"}</definedName>
    <definedName name="wrn.UWNY." hidden="1">{"UWNYISV",#N/A,FALSE,"Sheet1";"UWNYSAV",#N/A,FALSE,"Sheet1";"UWNYBSV",#N/A,FALSE,"Sheet1";"UWNYSFDV",#N/A,FALSE,"Sheet1"}</definedName>
    <definedName name="wrn.UWW." localSheetId="1" hidden="1">{"UWWISV",#N/A,FALSE,"Sheet1";"UWWSAV",#N/A,FALSE,"Sheet1";"UWWBSV",#N/A,FALSE,"Sheet1";"UWWSFDV",#N/A,FALSE,"Sheet1"}</definedName>
    <definedName name="wrn.UWW." localSheetId="32" hidden="1">{"UWWISV",#N/A,FALSE,"Sheet1";"UWWSAV",#N/A,FALSE,"Sheet1";"UWWBSV",#N/A,FALSE,"Sheet1";"UWWSFDV",#N/A,FALSE,"Sheet1"}</definedName>
    <definedName name="wrn.UWW." localSheetId="6" hidden="1">{"UWWISV",#N/A,FALSE,"Sheet1";"UWWSAV",#N/A,FALSE,"Sheet1";"UWWBSV",#N/A,FALSE,"Sheet1";"UWWSFDV",#N/A,FALSE,"Sheet1"}</definedName>
    <definedName name="wrn.UWW." localSheetId="4" hidden="1">{"UWWISV",#N/A,FALSE,"Sheet1";"UWWSAV",#N/A,FALSE,"Sheet1";"UWWBSV",#N/A,FALSE,"Sheet1";"UWWSFDV",#N/A,FALSE,"Sheet1"}</definedName>
    <definedName name="wrn.UWW." localSheetId="5" hidden="1">{"UWWISV",#N/A,FALSE,"Sheet1";"UWWSAV",#N/A,FALSE,"Sheet1";"UWWBSV",#N/A,FALSE,"Sheet1";"UWWSFDV",#N/A,FALSE,"Sheet1"}</definedName>
    <definedName name="wrn.UWW." localSheetId="7" hidden="1">{"UWWISV",#N/A,FALSE,"Sheet1";"UWWSAV",#N/A,FALSE,"Sheet1";"UWWBSV",#N/A,FALSE,"Sheet1";"UWWSFDV",#N/A,FALSE,"Sheet1"}</definedName>
    <definedName name="wrn.UWW." localSheetId="3" hidden="1">{"UWWISV",#N/A,FALSE,"Sheet1";"UWWSAV",#N/A,FALSE,"Sheet1";"UWWBSV",#N/A,FALSE,"Sheet1";"UWWSFDV",#N/A,FALSE,"Sheet1"}</definedName>
    <definedName name="wrn.UWW." localSheetId="29" hidden="1">{"UWWISV",#N/A,FALSE,"Sheet1";"UWWSAV",#N/A,FALSE,"Sheet1";"UWWBSV",#N/A,FALSE,"Sheet1";"UWWSFDV",#N/A,FALSE,"Sheet1"}</definedName>
    <definedName name="wrn.UWW." localSheetId="47" hidden="1">{"UWWISV",#N/A,FALSE,"Sheet1";"UWWSAV",#N/A,FALSE,"Sheet1";"UWWBSV",#N/A,FALSE,"Sheet1";"UWWSFDV",#N/A,FALSE,"Sheet1"}</definedName>
    <definedName name="wrn.UWW." hidden="1">{"UWWISV",#N/A,FALSE,"Sheet1";"UWWSAV",#N/A,FALSE,"Sheet1";"UWWBSV",#N/A,FALSE,"Sheet1";"UWWSFDV",#N/A,FALSE,"Sheet1"}</definedName>
    <definedName name="wrn.WEATHER._.AND._.YR._.END._.CUST._.ADJ." localSheetId="1" hidden="1">{"WEATHER_CUSTOMERS",#N/A,FALSE,"Ok_Fuel&amp;Rev"}</definedName>
    <definedName name="wrn.WEATHER._.AND._.YR._.END._.CUST._.ADJ." localSheetId="32" hidden="1">{"WEATHER_CUSTOMERS",#N/A,FALSE,"Ok_Fuel&amp;Rev"}</definedName>
    <definedName name="wrn.WEATHER._.AND._.YR._.END._.CUST._.ADJ." localSheetId="6" hidden="1">{"WEATHER_CUSTOMERS",#N/A,FALSE,"Ok_Fuel&amp;Rev"}</definedName>
    <definedName name="wrn.WEATHER._.AND._.YR._.END._.CUST._.ADJ." localSheetId="4" hidden="1">{"WEATHER_CUSTOMERS",#N/A,FALSE,"Ok_Fuel&amp;Rev"}</definedName>
    <definedName name="wrn.WEATHER._.AND._.YR._.END._.CUST._.ADJ." localSheetId="5" hidden="1">{"WEATHER_CUSTOMERS",#N/A,FALSE,"Ok_Fuel&amp;Rev"}</definedName>
    <definedName name="wrn.WEATHER._.AND._.YR._.END._.CUST._.ADJ." localSheetId="7" hidden="1">{"WEATHER_CUSTOMERS",#N/A,FALSE,"Ok_Fuel&amp;Rev"}</definedName>
    <definedName name="wrn.WEATHER._.AND._.YR._.END._.CUST._.ADJ." localSheetId="3" hidden="1">{"WEATHER_CUSTOMERS",#N/A,FALSE,"Ok_Fuel&amp;Rev"}</definedName>
    <definedName name="wrn.WEATHER._.AND._.YR._.END._.CUST._.ADJ." localSheetId="47" hidden="1">{"WEATHER_CUSTOMERS",#N/A,FALSE,"Ok_Fuel&amp;Rev"}</definedName>
    <definedName name="wrn.WEATHER._.AND._.YR._.END._.CUST._.ADJ." hidden="1">{"WEATHER_CUSTOMERS",#N/A,FALSE,"Ok_Fuel&amp;Rev"}</definedName>
    <definedName name="wrn.Wkp._.Capital._.Structure." localSheetId="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6"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5"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9"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4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1" hidden="1">{"Wkp ComEquity",#N/A,FALSE,"Cap Struct WPs"}</definedName>
    <definedName name="wrn.Wkp._.ComEquity." localSheetId="32" hidden="1">{"Wkp ComEquity",#N/A,FALSE,"Cap Struct WPs"}</definedName>
    <definedName name="wrn.Wkp._.ComEquity." localSheetId="6" hidden="1">{"Wkp ComEquity",#N/A,FALSE,"Cap Struct WPs"}</definedName>
    <definedName name="wrn.Wkp._.ComEquity." localSheetId="4" hidden="1">{"Wkp ComEquity",#N/A,FALSE,"Cap Struct WPs"}</definedName>
    <definedName name="wrn.Wkp._.ComEquity." localSheetId="5" hidden="1">{"Wkp ComEquity",#N/A,FALSE,"Cap Struct WPs"}</definedName>
    <definedName name="wrn.Wkp._.ComEquity." localSheetId="7" hidden="1">{"Wkp ComEquity",#N/A,FALSE,"Cap Struct WPs"}</definedName>
    <definedName name="wrn.Wkp._.ComEquity." localSheetId="3" hidden="1">{"Wkp ComEquity",#N/A,FALSE,"Cap Struct WPs"}</definedName>
    <definedName name="wrn.Wkp._.ComEquity." localSheetId="29" hidden="1">{"Wkp ComEquity",#N/A,FALSE,"Cap Struct WPs"}</definedName>
    <definedName name="wrn.Wkp._.ComEquity." localSheetId="47" hidden="1">{"Wkp ComEquity",#N/A,FALSE,"Cap Struct WPs"}</definedName>
    <definedName name="wrn.Wkp._.ComEquity." hidden="1">{"Wkp ComEquity",#N/A,FALSE,"Cap Struct WPs"}</definedName>
    <definedName name="wrn.Wkp._.JDITC." localSheetId="1" hidden="1">{"Wkp JDITC",#N/A,FALSE,"Cap Struct WPs"}</definedName>
    <definedName name="wrn.Wkp._.JDITC." localSheetId="32" hidden="1">{"Wkp JDITC",#N/A,FALSE,"Cap Struct WPs"}</definedName>
    <definedName name="wrn.Wkp._.JDITC." localSheetId="6" hidden="1">{"Wkp JDITC",#N/A,FALSE,"Cap Struct WPs"}</definedName>
    <definedName name="wrn.Wkp._.JDITC." localSheetId="4" hidden="1">{"Wkp JDITC",#N/A,FALSE,"Cap Struct WPs"}</definedName>
    <definedName name="wrn.Wkp._.JDITC." localSheetId="5" hidden="1">{"Wkp JDITC",#N/A,FALSE,"Cap Struct WPs"}</definedName>
    <definedName name="wrn.Wkp._.JDITC." localSheetId="7" hidden="1">{"Wkp JDITC",#N/A,FALSE,"Cap Struct WPs"}</definedName>
    <definedName name="wrn.Wkp._.JDITC." localSheetId="3" hidden="1">{"Wkp JDITC",#N/A,FALSE,"Cap Struct WPs"}</definedName>
    <definedName name="wrn.Wkp._.JDITC." localSheetId="29" hidden="1">{"Wkp JDITC",#N/A,FALSE,"Cap Struct WPs"}</definedName>
    <definedName name="wrn.Wkp._.JDITC." localSheetId="47" hidden="1">{"Wkp JDITC",#N/A,FALSE,"Cap Struct WPs"}</definedName>
    <definedName name="wrn.Wkp._.JDITC." hidden="1">{"Wkp JDITC",#N/A,FALSE,"Cap Struct WPs"}</definedName>
    <definedName name="wrn.Wkp._.LTerm._.Debt." localSheetId="1" hidden="1">{"Wkp LTerm Debt",#N/A,FALSE,"Cap Struct WPs"}</definedName>
    <definedName name="wrn.Wkp._.LTerm._.Debt." localSheetId="32" hidden="1">{"Wkp LTerm Debt",#N/A,FALSE,"Cap Struct WPs"}</definedName>
    <definedName name="wrn.Wkp._.LTerm._.Debt." localSheetId="6" hidden="1">{"Wkp LTerm Debt",#N/A,FALSE,"Cap Struct WPs"}</definedName>
    <definedName name="wrn.Wkp._.LTerm._.Debt." localSheetId="4" hidden="1">{"Wkp LTerm Debt",#N/A,FALSE,"Cap Struct WPs"}</definedName>
    <definedName name="wrn.Wkp._.LTerm._.Debt." localSheetId="5" hidden="1">{"Wkp LTerm Debt",#N/A,FALSE,"Cap Struct WPs"}</definedName>
    <definedName name="wrn.Wkp._.LTerm._.Debt." localSheetId="7" hidden="1">{"Wkp LTerm Debt",#N/A,FALSE,"Cap Struct WPs"}</definedName>
    <definedName name="wrn.Wkp._.LTerm._.Debt." localSheetId="3" hidden="1">{"Wkp LTerm Debt",#N/A,FALSE,"Cap Struct WPs"}</definedName>
    <definedName name="wrn.Wkp._.LTerm._.Debt." localSheetId="29" hidden="1">{"Wkp LTerm Debt",#N/A,FALSE,"Cap Struct WPs"}</definedName>
    <definedName name="wrn.Wkp._.LTerm._.Debt." localSheetId="47" hidden="1">{"Wkp LTerm Debt",#N/A,FALSE,"Cap Struct WPs"}</definedName>
    <definedName name="wrn.Wkp._.LTerm._.Debt." hidden="1">{"Wkp LTerm Debt",#N/A,FALSE,"Cap Struct WPs"}</definedName>
    <definedName name="wrn.Wkp._.LTerm._.Debt._.13Mo._.Avg." localSheetId="1" hidden="1">{"Wkp LTerm Debt 13MoAvg",#N/A,FALSE,"Cap Struct WPs"}</definedName>
    <definedName name="wrn.Wkp._.LTerm._.Debt._.13Mo._.Avg." localSheetId="32" hidden="1">{"Wkp LTerm Debt 13MoAvg",#N/A,FALSE,"Cap Struct WPs"}</definedName>
    <definedName name="wrn.Wkp._.LTerm._.Debt._.13Mo._.Avg." localSheetId="6" hidden="1">{"Wkp LTerm Debt 13MoAvg",#N/A,FALSE,"Cap Struct WPs"}</definedName>
    <definedName name="wrn.Wkp._.LTerm._.Debt._.13Mo._.Avg." localSheetId="4" hidden="1">{"Wkp LTerm Debt 13MoAvg",#N/A,FALSE,"Cap Struct WPs"}</definedName>
    <definedName name="wrn.Wkp._.LTerm._.Debt._.13Mo._.Avg." localSheetId="5" hidden="1">{"Wkp LTerm Debt 13MoAvg",#N/A,FALSE,"Cap Struct WPs"}</definedName>
    <definedName name="wrn.Wkp._.LTerm._.Debt._.13Mo._.Avg." localSheetId="7" hidden="1">{"Wkp LTerm Debt 13MoAvg",#N/A,FALSE,"Cap Struct WPs"}</definedName>
    <definedName name="wrn.Wkp._.LTerm._.Debt._.13Mo._.Avg." localSheetId="3" hidden="1">{"Wkp LTerm Debt 13MoAvg",#N/A,FALSE,"Cap Struct WPs"}</definedName>
    <definedName name="wrn.Wkp._.LTerm._.Debt._.13Mo._.Avg." localSheetId="29" hidden="1">{"Wkp LTerm Debt 13MoAvg",#N/A,FALSE,"Cap Struct WPs"}</definedName>
    <definedName name="wrn.Wkp._.LTerm._.Debt._.13Mo._.Avg." localSheetId="47" hidden="1">{"Wkp LTerm Debt 13MoAvg",#N/A,FALSE,"Cap Struct WPs"}</definedName>
    <definedName name="wrn.Wkp._.LTerm._.Debt._.13Mo._.Avg." hidden="1">{"Wkp LTerm Debt 13MoAvg",#N/A,FALSE,"Cap Struct WPs"}</definedName>
    <definedName name="wrn.Wkp._.LTerm._.Debt._.Amort." localSheetId="1" hidden="1">{"Wkp Lterm Debt Amort",#N/A,FALSE,"Cap Struct WPs"}</definedName>
    <definedName name="wrn.Wkp._.LTerm._.Debt._.Amort." localSheetId="32" hidden="1">{"Wkp Lterm Debt Amort",#N/A,FALSE,"Cap Struct WPs"}</definedName>
    <definedName name="wrn.Wkp._.LTerm._.Debt._.Amort." localSheetId="6" hidden="1">{"Wkp Lterm Debt Amort",#N/A,FALSE,"Cap Struct WPs"}</definedName>
    <definedName name="wrn.Wkp._.LTerm._.Debt._.Amort." localSheetId="4" hidden="1">{"Wkp Lterm Debt Amort",#N/A,FALSE,"Cap Struct WPs"}</definedName>
    <definedName name="wrn.Wkp._.LTerm._.Debt._.Amort." localSheetId="5" hidden="1">{"Wkp Lterm Debt Amort",#N/A,FALSE,"Cap Struct WPs"}</definedName>
    <definedName name="wrn.Wkp._.LTerm._.Debt._.Amort." localSheetId="7" hidden="1">{"Wkp Lterm Debt Amort",#N/A,FALSE,"Cap Struct WPs"}</definedName>
    <definedName name="wrn.Wkp._.LTerm._.Debt._.Amort." localSheetId="3" hidden="1">{"Wkp Lterm Debt Amort",#N/A,FALSE,"Cap Struct WPs"}</definedName>
    <definedName name="wrn.Wkp._.LTerm._.Debt._.Amort." localSheetId="29" hidden="1">{"Wkp Lterm Debt Amort",#N/A,FALSE,"Cap Struct WPs"}</definedName>
    <definedName name="wrn.Wkp._.LTerm._.Debt._.Amort." localSheetId="47" hidden="1">{"Wkp Lterm Debt Amort",#N/A,FALSE,"Cap Struct WPs"}</definedName>
    <definedName name="wrn.Wkp._.LTerm._.Debt._.Amort." hidden="1">{"Wkp Lterm Debt Amort",#N/A,FALSE,"Cap Struct WPs"}</definedName>
    <definedName name="wrn.Wkp._.LTerm._.Debt._.Int." localSheetId="1" hidden="1">{"Wkp LTerm Debt Int",#N/A,FALSE,"Cap Struct WPs"}</definedName>
    <definedName name="wrn.Wkp._.LTerm._.Debt._.Int." localSheetId="32" hidden="1">{"Wkp LTerm Debt Int",#N/A,FALSE,"Cap Struct WPs"}</definedName>
    <definedName name="wrn.Wkp._.LTerm._.Debt._.Int." localSheetId="6" hidden="1">{"Wkp LTerm Debt Int",#N/A,FALSE,"Cap Struct WPs"}</definedName>
    <definedName name="wrn.Wkp._.LTerm._.Debt._.Int." localSheetId="4" hidden="1">{"Wkp LTerm Debt Int",#N/A,FALSE,"Cap Struct WPs"}</definedName>
    <definedName name="wrn.Wkp._.LTerm._.Debt._.Int." localSheetId="5" hidden="1">{"Wkp LTerm Debt Int",#N/A,FALSE,"Cap Struct WPs"}</definedName>
    <definedName name="wrn.Wkp._.LTerm._.Debt._.Int." localSheetId="7" hidden="1">{"Wkp LTerm Debt Int",#N/A,FALSE,"Cap Struct WPs"}</definedName>
    <definedName name="wrn.Wkp._.LTerm._.Debt._.Int." localSheetId="3" hidden="1">{"Wkp LTerm Debt Int",#N/A,FALSE,"Cap Struct WPs"}</definedName>
    <definedName name="wrn.Wkp._.LTerm._.Debt._.Int." localSheetId="29" hidden="1">{"Wkp LTerm Debt Int",#N/A,FALSE,"Cap Struct WPs"}</definedName>
    <definedName name="wrn.Wkp._.LTerm._.Debt._.Int." localSheetId="47" hidden="1">{"Wkp LTerm Debt Int",#N/A,FALSE,"Cap Struct WPs"}</definedName>
    <definedName name="wrn.Wkp._.LTerm._.Debt._.Int." hidden="1">{"Wkp LTerm Debt Int",#N/A,FALSE,"Cap Struct WPs"}</definedName>
    <definedName name="wrn.Wkp._.PreStock." localSheetId="1" hidden="1">{"Wkp PreStock",#N/A,FALSE,"Cap Struct WPs"}</definedName>
    <definedName name="wrn.Wkp._.PreStock." localSheetId="32" hidden="1">{"Wkp PreStock",#N/A,FALSE,"Cap Struct WPs"}</definedName>
    <definedName name="wrn.Wkp._.PreStock." localSheetId="6" hidden="1">{"Wkp PreStock",#N/A,FALSE,"Cap Struct WPs"}</definedName>
    <definedName name="wrn.Wkp._.PreStock." localSheetId="4" hidden="1">{"Wkp PreStock",#N/A,FALSE,"Cap Struct WPs"}</definedName>
    <definedName name="wrn.Wkp._.PreStock." localSheetId="5" hidden="1">{"Wkp PreStock",#N/A,FALSE,"Cap Struct WPs"}</definedName>
    <definedName name="wrn.Wkp._.PreStock." localSheetId="7" hidden="1">{"Wkp PreStock",#N/A,FALSE,"Cap Struct WPs"}</definedName>
    <definedName name="wrn.Wkp._.PreStock." localSheetId="3" hidden="1">{"Wkp PreStock",#N/A,FALSE,"Cap Struct WPs"}</definedName>
    <definedName name="wrn.Wkp._.PreStock." localSheetId="29" hidden="1">{"Wkp PreStock",#N/A,FALSE,"Cap Struct WPs"}</definedName>
    <definedName name="wrn.Wkp._.PreStock." localSheetId="47" hidden="1">{"Wkp PreStock",#N/A,FALSE,"Cap Struct WPs"}</definedName>
    <definedName name="wrn.Wkp._.PreStock." hidden="1">{"Wkp PreStock",#N/A,FALSE,"Cap Struct WPs"}</definedName>
    <definedName name="wrn.Wkp._.PreStock._.13MoAvg." localSheetId="1" hidden="1">{"Wkp PreStock 13MoAvg",#N/A,FALSE,"Cap Struct WPs"}</definedName>
    <definedName name="wrn.Wkp._.PreStock._.13MoAvg." localSheetId="32" hidden="1">{"Wkp PreStock 13MoAvg",#N/A,FALSE,"Cap Struct WPs"}</definedName>
    <definedName name="wrn.Wkp._.PreStock._.13MoAvg." localSheetId="6" hidden="1">{"Wkp PreStock 13MoAvg",#N/A,FALSE,"Cap Struct WPs"}</definedName>
    <definedName name="wrn.Wkp._.PreStock._.13MoAvg." localSheetId="4" hidden="1">{"Wkp PreStock 13MoAvg",#N/A,FALSE,"Cap Struct WPs"}</definedName>
    <definedName name="wrn.Wkp._.PreStock._.13MoAvg." localSheetId="5" hidden="1">{"Wkp PreStock 13MoAvg",#N/A,FALSE,"Cap Struct WPs"}</definedName>
    <definedName name="wrn.Wkp._.PreStock._.13MoAvg." localSheetId="7" hidden="1">{"Wkp PreStock 13MoAvg",#N/A,FALSE,"Cap Struct WPs"}</definedName>
    <definedName name="wrn.Wkp._.PreStock._.13MoAvg." localSheetId="3" hidden="1">{"Wkp PreStock 13MoAvg",#N/A,FALSE,"Cap Struct WPs"}</definedName>
    <definedName name="wrn.Wkp._.PreStock._.13MoAvg." localSheetId="29" hidden="1">{"Wkp PreStock 13MoAvg",#N/A,FALSE,"Cap Struct WPs"}</definedName>
    <definedName name="wrn.Wkp._.PreStock._.13MoAvg." localSheetId="47" hidden="1">{"Wkp PreStock 13MoAvg",#N/A,FALSE,"Cap Struct WPs"}</definedName>
    <definedName name="wrn.Wkp._.PreStock._.13MoAvg." hidden="1">{"Wkp PreStock 13MoAvg",#N/A,FALSE,"Cap Struct WPs"}</definedName>
    <definedName name="wrn.Wkp._.PreStock._.Amort." localSheetId="1" hidden="1">{"Wkp PreStock Amort",#N/A,FALSE,"Cap Struct WPs"}</definedName>
    <definedName name="wrn.Wkp._.PreStock._.Amort." localSheetId="32" hidden="1">{"Wkp PreStock Amort",#N/A,FALSE,"Cap Struct WPs"}</definedName>
    <definedName name="wrn.Wkp._.PreStock._.Amort." localSheetId="6" hidden="1">{"Wkp PreStock Amort",#N/A,FALSE,"Cap Struct WPs"}</definedName>
    <definedName name="wrn.Wkp._.PreStock._.Amort." localSheetId="4" hidden="1">{"Wkp PreStock Amort",#N/A,FALSE,"Cap Struct WPs"}</definedName>
    <definedName name="wrn.Wkp._.PreStock._.Amort." localSheetId="5" hidden="1">{"Wkp PreStock Amort",#N/A,FALSE,"Cap Struct WPs"}</definedName>
    <definedName name="wrn.Wkp._.PreStock._.Amort." localSheetId="7" hidden="1">{"Wkp PreStock Amort",#N/A,FALSE,"Cap Struct WPs"}</definedName>
    <definedName name="wrn.Wkp._.PreStock._.Amort." localSheetId="3" hidden="1">{"Wkp PreStock Amort",#N/A,FALSE,"Cap Struct WPs"}</definedName>
    <definedName name="wrn.Wkp._.PreStock._.Amort." localSheetId="29" hidden="1">{"Wkp PreStock Amort",#N/A,FALSE,"Cap Struct WPs"}</definedName>
    <definedName name="wrn.Wkp._.PreStock._.Amort." localSheetId="47" hidden="1">{"Wkp PreStock Amort",#N/A,FALSE,"Cap Struct WPs"}</definedName>
    <definedName name="wrn.Wkp._.PreStock._.Amort." hidden="1">{"Wkp PreStock Amort",#N/A,FALSE,"Cap Struct WPs"}</definedName>
    <definedName name="wrn.Wkp._.PreStock._.Dividend." localSheetId="1" hidden="1">{"Wkp PreStock Dividend",#N/A,FALSE,"Cap Struct WPs"}</definedName>
    <definedName name="wrn.Wkp._.PreStock._.Dividend." localSheetId="32" hidden="1">{"Wkp PreStock Dividend",#N/A,FALSE,"Cap Struct WPs"}</definedName>
    <definedName name="wrn.Wkp._.PreStock._.Dividend." localSheetId="6" hidden="1">{"Wkp PreStock Dividend",#N/A,FALSE,"Cap Struct WPs"}</definedName>
    <definedName name="wrn.Wkp._.PreStock._.Dividend." localSheetId="4" hidden="1">{"Wkp PreStock Dividend",#N/A,FALSE,"Cap Struct WPs"}</definedName>
    <definedName name="wrn.Wkp._.PreStock._.Dividend." localSheetId="5" hidden="1">{"Wkp PreStock Dividend",#N/A,FALSE,"Cap Struct WPs"}</definedName>
    <definedName name="wrn.Wkp._.PreStock._.Dividend." localSheetId="7" hidden="1">{"Wkp PreStock Dividend",#N/A,FALSE,"Cap Struct WPs"}</definedName>
    <definedName name="wrn.Wkp._.PreStock._.Dividend." localSheetId="3" hidden="1">{"Wkp PreStock Dividend",#N/A,FALSE,"Cap Struct WPs"}</definedName>
    <definedName name="wrn.Wkp._.PreStock._.Dividend." localSheetId="29" hidden="1">{"Wkp PreStock Dividend",#N/A,FALSE,"Cap Struct WPs"}</definedName>
    <definedName name="wrn.Wkp._.PreStock._.Dividend." localSheetId="47" hidden="1">{"Wkp PreStock Dividend",#N/A,FALSE,"Cap Struct WPs"}</definedName>
    <definedName name="wrn.Wkp._.PreStock._.Dividend." hidden="1">{"Wkp PreStock Dividend",#N/A,FALSE,"Cap Struct WPs"}</definedName>
    <definedName name="wrn.Wkp._.STerm._.Debt." localSheetId="1" hidden="1">{"Wkp STerm Debt",#N/A,FALSE,"Cap Struct WPs"}</definedName>
    <definedName name="wrn.Wkp._.STerm._.Debt." localSheetId="32" hidden="1">{"Wkp STerm Debt",#N/A,FALSE,"Cap Struct WPs"}</definedName>
    <definedName name="wrn.Wkp._.STerm._.Debt." localSheetId="6" hidden="1">{"Wkp STerm Debt",#N/A,FALSE,"Cap Struct WPs"}</definedName>
    <definedName name="wrn.Wkp._.STerm._.Debt." localSheetId="4" hidden="1">{"Wkp STerm Debt",#N/A,FALSE,"Cap Struct WPs"}</definedName>
    <definedName name="wrn.Wkp._.STerm._.Debt." localSheetId="5" hidden="1">{"Wkp STerm Debt",#N/A,FALSE,"Cap Struct WPs"}</definedName>
    <definedName name="wrn.Wkp._.STerm._.Debt." localSheetId="7" hidden="1">{"Wkp STerm Debt",#N/A,FALSE,"Cap Struct WPs"}</definedName>
    <definedName name="wrn.Wkp._.STerm._.Debt." localSheetId="3" hidden="1">{"Wkp STerm Debt",#N/A,FALSE,"Cap Struct WPs"}</definedName>
    <definedName name="wrn.Wkp._.STerm._.Debt." localSheetId="29" hidden="1">{"Wkp STerm Debt",#N/A,FALSE,"Cap Struct WPs"}</definedName>
    <definedName name="wrn.Wkp._.STerm._.Debt." localSheetId="47" hidden="1">{"Wkp STerm Debt",#N/A,FALSE,"Cap Struct WPs"}</definedName>
    <definedName name="wrn.Wkp._.STerm._.Debt." hidden="1">{"Wkp STerm Debt",#N/A,FALSE,"Cap Struct WPs"}</definedName>
    <definedName name="wrn.Wkp._.Unamort._.Debt._.Exp." localSheetId="1" hidden="1">{"Wkp Unamort Debt Exp",#N/A,FALSE,"Cap Struct WPs"}</definedName>
    <definedName name="wrn.Wkp._.Unamort._.Debt._.Exp." localSheetId="32" hidden="1">{"Wkp Unamort Debt Exp",#N/A,FALSE,"Cap Struct WPs"}</definedName>
    <definedName name="wrn.Wkp._.Unamort._.Debt._.Exp." localSheetId="6" hidden="1">{"Wkp Unamort Debt Exp",#N/A,FALSE,"Cap Struct WPs"}</definedName>
    <definedName name="wrn.Wkp._.Unamort._.Debt._.Exp." localSheetId="4" hidden="1">{"Wkp Unamort Debt Exp",#N/A,FALSE,"Cap Struct WPs"}</definedName>
    <definedName name="wrn.Wkp._.Unamort._.Debt._.Exp." localSheetId="5" hidden="1">{"Wkp Unamort Debt Exp",#N/A,FALSE,"Cap Struct WPs"}</definedName>
    <definedName name="wrn.Wkp._.Unamort._.Debt._.Exp." localSheetId="7" hidden="1">{"Wkp Unamort Debt Exp",#N/A,FALSE,"Cap Struct WPs"}</definedName>
    <definedName name="wrn.Wkp._.Unamort._.Debt._.Exp." localSheetId="3" hidden="1">{"Wkp Unamort Debt Exp",#N/A,FALSE,"Cap Struct WPs"}</definedName>
    <definedName name="wrn.Wkp._.Unamort._.Debt._.Exp." localSheetId="29" hidden="1">{"Wkp Unamort Debt Exp",#N/A,FALSE,"Cap Struct WPs"}</definedName>
    <definedName name="wrn.Wkp._.Unamort._.Debt._.Exp." localSheetId="47" hidden="1">{"Wkp Unamort Debt Exp",#N/A,FALSE,"Cap Struct WPs"}</definedName>
    <definedName name="wrn.Wkp._.Unamort._.Debt._.Exp." hidden="1">{"Wkp Unamort Debt Exp",#N/A,FALSE,"Cap Struct WPs"}</definedName>
    <definedName name="wrn.Wkp._.Unamort._.PreStock._.Exp." localSheetId="1" hidden="1">{"Wkp Unamort PreStock Exp",#N/A,FALSE,"Cap Struct WPs"}</definedName>
    <definedName name="wrn.Wkp._.Unamort._.PreStock._.Exp." localSheetId="32" hidden="1">{"Wkp Unamort PreStock Exp",#N/A,FALSE,"Cap Struct WPs"}</definedName>
    <definedName name="wrn.Wkp._.Unamort._.PreStock._.Exp." localSheetId="6" hidden="1">{"Wkp Unamort PreStock Exp",#N/A,FALSE,"Cap Struct WPs"}</definedName>
    <definedName name="wrn.Wkp._.Unamort._.PreStock._.Exp." localSheetId="4" hidden="1">{"Wkp Unamort PreStock Exp",#N/A,FALSE,"Cap Struct WPs"}</definedName>
    <definedName name="wrn.Wkp._.Unamort._.PreStock._.Exp." localSheetId="5" hidden="1">{"Wkp Unamort PreStock Exp",#N/A,FALSE,"Cap Struct WPs"}</definedName>
    <definedName name="wrn.Wkp._.Unamort._.PreStock._.Exp." localSheetId="7" hidden="1">{"Wkp Unamort PreStock Exp",#N/A,FALSE,"Cap Struct WPs"}</definedName>
    <definedName name="wrn.Wkp._.Unamort._.PreStock._.Exp." localSheetId="3" hidden="1">{"Wkp Unamort PreStock Exp",#N/A,FALSE,"Cap Struct WPs"}</definedName>
    <definedName name="wrn.Wkp._.Unamort._.PreStock._.Exp." localSheetId="29" hidden="1">{"Wkp Unamort PreStock Exp",#N/A,FALSE,"Cap Struct WPs"}</definedName>
    <definedName name="wrn.Wkp._.Unamort._.PreStock._.Exp." localSheetId="47" hidden="1">{"Wkp Unamort PreStock Exp",#N/A,FALSE,"Cap Struct WPs"}</definedName>
    <definedName name="wrn.Wkp._.Unamort._.PreStock._.Exp." hidden="1">{"Wkp Unamort PreStock Exp",#N/A,FALSE,"Cap Struct WPs"}</definedName>
    <definedName name="wrn.WMECO_GL." localSheetId="1" hidden="1">{#N/A,#N/A,FALSE,"GLDwnLoad"}</definedName>
    <definedName name="wrn.WMECO_GL." localSheetId="32" hidden="1">{#N/A,#N/A,FALSE,"GLDwnLoad"}</definedName>
    <definedName name="wrn.WMECO_GL." localSheetId="6" hidden="1">{#N/A,#N/A,FALSE,"GLDwnLoad"}</definedName>
    <definedName name="wrn.WMECO_GL." localSheetId="4" hidden="1">{#N/A,#N/A,FALSE,"GLDwnLoad"}</definedName>
    <definedName name="wrn.WMECO_GL." localSheetId="5" hidden="1">{#N/A,#N/A,FALSE,"GLDwnLoad"}</definedName>
    <definedName name="wrn.WMECO_GL." localSheetId="7" hidden="1">{#N/A,#N/A,FALSE,"GLDwnLoad"}</definedName>
    <definedName name="wrn.WMECO_GL." localSheetId="3" hidden="1">{#N/A,#N/A,FALSE,"GLDwnLoad"}</definedName>
    <definedName name="wrn.WMECO_GL." localSheetId="47" hidden="1">{#N/A,#N/A,FALSE,"GLDwnLoad"}</definedName>
    <definedName name="wrn.WMECO_GL." hidden="1">{#N/A,#N/A,FALSE,"GLDwnLoad"}</definedName>
    <definedName name="wrn.WMECO_INPUTS." localSheetId="1" hidden="1">{#N/A,#N/A,FALSE,"OTHERINPUTS";#N/A,#N/A,FALSE,"DITRATEINPUTS";#N/A,#N/A,FALSE,"SUPPLIEDADJINPUT";#N/A,#N/A,FALSE,"TIMINGDIFFINPUTS";#N/A,#N/A,FALSE,"BR&amp;SUPADJ."}</definedName>
    <definedName name="wrn.WMECO_INPUTS." localSheetId="32" hidden="1">{#N/A,#N/A,FALSE,"OTHERINPUTS";#N/A,#N/A,FALSE,"DITRATEINPUTS";#N/A,#N/A,FALSE,"SUPPLIEDADJINPUT";#N/A,#N/A,FALSE,"TIMINGDIFFINPUTS";#N/A,#N/A,FALSE,"BR&amp;SUPADJ."}</definedName>
    <definedName name="wrn.WMECO_INPUTS." localSheetId="6" hidden="1">{#N/A,#N/A,FALSE,"OTHERINPUTS";#N/A,#N/A,FALSE,"DITRATEINPUTS";#N/A,#N/A,FALSE,"SUPPLIEDADJINPUT";#N/A,#N/A,FALSE,"TIMINGDIFFINPUTS";#N/A,#N/A,FALSE,"BR&amp;SUPADJ."}</definedName>
    <definedName name="wrn.WMECO_INPUTS." localSheetId="4" hidden="1">{#N/A,#N/A,FALSE,"OTHERINPUTS";#N/A,#N/A,FALSE,"DITRATEINPUTS";#N/A,#N/A,FALSE,"SUPPLIEDADJINPUT";#N/A,#N/A,FALSE,"TIMINGDIFFINPUTS";#N/A,#N/A,FALSE,"BR&amp;SUPADJ."}</definedName>
    <definedName name="wrn.WMECO_INPUTS." localSheetId="5" hidden="1">{#N/A,#N/A,FALSE,"OTHERINPUTS";#N/A,#N/A,FALSE,"DITRATEINPUTS";#N/A,#N/A,FALSE,"SUPPLIEDADJINPUT";#N/A,#N/A,FALSE,"TIMINGDIFFINPUTS";#N/A,#N/A,FALSE,"BR&amp;SUPADJ."}</definedName>
    <definedName name="wrn.WMECO_INPUTS." localSheetId="7" hidden="1">{#N/A,#N/A,FALSE,"OTHERINPUTS";#N/A,#N/A,FALSE,"DITRATEINPUTS";#N/A,#N/A,FALSE,"SUPPLIEDADJINPUT";#N/A,#N/A,FALSE,"TIMINGDIFFINPUTS";#N/A,#N/A,FALSE,"BR&amp;SUPADJ."}</definedName>
    <definedName name="wrn.WMECO_INPUTS." localSheetId="3" hidden="1">{#N/A,#N/A,FALSE,"OTHERINPUTS";#N/A,#N/A,FALSE,"DITRATEINPUTS";#N/A,#N/A,FALSE,"SUPPLIEDADJINPUT";#N/A,#N/A,FALSE,"TIMINGDIFFINPUTS";#N/A,#N/A,FALSE,"BR&amp;SUPADJ."}</definedName>
    <definedName name="wrn.WMECO_INPUTS." localSheetId="47" hidden="1">{#N/A,#N/A,FALSE,"OTHERINPUTS";#N/A,#N/A,FALSE,"DITRATEINPUTS";#N/A,#N/A,FALSE,"SUPPLIEDADJINPUT";#N/A,#N/A,FALSE,"TIMINGDIFFINPUTS";#N/A,#N/A,FALSE,"BR&amp;SUPADJ."}</definedName>
    <definedName name="wrn.WMECO_INPUTS." hidden="1">{#N/A,#N/A,FALSE,"OTHERINPUTS";#N/A,#N/A,FALSE,"DITRATEINPUTS";#N/A,#N/A,FALSE,"SUPPLIEDADJINPUT";#N/A,#N/A,FALSE,"TIMINGDIFFINPUTS";#N/A,#N/A,FALSE,"BR&amp;SUPADJ."}</definedName>
    <definedName name="wrn.WMECO_PROV." localSheetId="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3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6"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4"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3"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4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orkfile." localSheetId="32"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6"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7"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3"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47"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_.All." localSheetId="32"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6"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7"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3"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47"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1.printal." localSheetId="32" hidden="1">{#N/A,#N/A,FALSE,"PREFDIV";#N/A,#N/A,FALSE,"STINT";#N/A,#N/A,FALSE,"LTINT";#N/A,#N/A,FALSE,"BTL";#N/A,#N/A,FALSE,"AFC";#N/A,#N/A,FALSE,"OTHNET";#N/A,#N/A,FALSE,"ATL"}</definedName>
    <definedName name="wrn1.printal." localSheetId="6" hidden="1">{#N/A,#N/A,FALSE,"PREFDIV";#N/A,#N/A,FALSE,"STINT";#N/A,#N/A,FALSE,"LTINT";#N/A,#N/A,FALSE,"BTL";#N/A,#N/A,FALSE,"AFC";#N/A,#N/A,FALSE,"OTHNET";#N/A,#N/A,FALSE,"ATL"}</definedName>
    <definedName name="wrn1.printal." localSheetId="7" hidden="1">{#N/A,#N/A,FALSE,"PREFDIV";#N/A,#N/A,FALSE,"STINT";#N/A,#N/A,FALSE,"LTINT";#N/A,#N/A,FALSE,"BTL";#N/A,#N/A,FALSE,"AFC";#N/A,#N/A,FALSE,"OTHNET";#N/A,#N/A,FALSE,"ATL"}</definedName>
    <definedName name="wrn1.printal." localSheetId="3" hidden="1">{#N/A,#N/A,FALSE,"PREFDIV";#N/A,#N/A,FALSE,"STINT";#N/A,#N/A,FALSE,"LTINT";#N/A,#N/A,FALSE,"BTL";#N/A,#N/A,FALSE,"AFC";#N/A,#N/A,FALSE,"OTHNET";#N/A,#N/A,FALSE,"ATL"}</definedName>
    <definedName name="wrn1.printal." localSheetId="47" hidden="1">{#N/A,#N/A,FALSE,"PREFDIV";#N/A,#N/A,FALSE,"STINT";#N/A,#N/A,FALSE,"LTINT";#N/A,#N/A,FALSE,"BTL";#N/A,#N/A,FALSE,"AFC";#N/A,#N/A,FALSE,"OTHNET";#N/A,#N/A,FALSE,"ATL"}</definedName>
    <definedName name="wrn1.printal." hidden="1">{#N/A,#N/A,FALSE,"PREFDIV";#N/A,#N/A,FALSE,"STINT";#N/A,#N/A,FALSE,"LTINT";#N/A,#N/A,FALSE,"BTL";#N/A,#N/A,FALSE,"AFC";#N/A,#N/A,FALSE,"OTHNET";#N/A,#N/A,FALSE,"ATL"}</definedName>
    <definedName name="wvu.DATABASE." localSheetId="32"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6"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7"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3"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9"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47"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OP." localSheetId="32"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6"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7"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3"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9"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47"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WP1." localSheetId="32" hidden="1">{TRUE,TRUE,-1.25,-15.5,484.5,279.75,FALSE,FALSE,TRUE,TRUE,0,3,#N/A,1,#N/A,6.54545454545454,15.55,1,FALSE,FALSE,3,TRUE,1,FALSE,100,"Swvu.WP1.","ACwvu.WP1.",1,FALSE,FALSE,0.25,0.25,0.25,0.25,1,"","&amp;L&amp;D &amp;T NBW&amp;C&amp;P&amp;R&amp;F",FALSE,FALSE,FALSE,FALSE,1,100,#N/A,#N/A,FALSE,FALSE,#N/A,#N/A,FALSE,FALSE}</definedName>
    <definedName name="wvu.WP1." localSheetId="6" hidden="1">{TRUE,TRUE,-1.25,-15.5,484.5,279.75,FALSE,FALSE,TRUE,TRUE,0,3,#N/A,1,#N/A,6.54545454545454,15.55,1,FALSE,FALSE,3,TRUE,1,FALSE,100,"Swvu.WP1.","ACwvu.WP1.",1,FALSE,FALSE,0.25,0.25,0.25,0.25,1,"","&amp;L&amp;D &amp;T NBW&amp;C&amp;P&amp;R&amp;F",FALSE,FALSE,FALSE,FALSE,1,100,#N/A,#N/A,FALSE,FALSE,#N/A,#N/A,FALSE,FALSE}</definedName>
    <definedName name="wvu.WP1." localSheetId="7" hidden="1">{TRUE,TRUE,-1.25,-15.5,484.5,279.75,FALSE,FALSE,TRUE,TRUE,0,3,#N/A,1,#N/A,6.54545454545454,15.55,1,FALSE,FALSE,3,TRUE,1,FALSE,100,"Swvu.WP1.","ACwvu.WP1.",1,FALSE,FALSE,0.25,0.25,0.25,0.25,1,"","&amp;L&amp;D &amp;T NBW&amp;C&amp;P&amp;R&amp;F",FALSE,FALSE,FALSE,FALSE,1,100,#N/A,#N/A,FALSE,FALSE,#N/A,#N/A,FALSE,FALSE}</definedName>
    <definedName name="wvu.WP1." localSheetId="3" hidden="1">{TRUE,TRUE,-1.25,-15.5,484.5,279.75,FALSE,FALSE,TRUE,TRUE,0,3,#N/A,1,#N/A,6.54545454545454,15.55,1,FALSE,FALSE,3,TRUE,1,FALSE,100,"Swvu.WP1.","ACwvu.WP1.",1,FALSE,FALSE,0.25,0.25,0.25,0.25,1,"","&amp;L&amp;D &amp;T NBW&amp;C&amp;P&amp;R&amp;F",FALSE,FALSE,FALSE,FALSE,1,100,#N/A,#N/A,FALSE,FALSE,#N/A,#N/A,FALSE,FALSE}</definedName>
    <definedName name="wvu.WP1." localSheetId="29" hidden="1">{TRUE,TRUE,-1.25,-15.5,484.5,279.75,FALSE,FALSE,TRUE,TRUE,0,3,#N/A,1,#N/A,6.54545454545454,15.55,1,FALSE,FALSE,3,TRUE,1,FALSE,100,"Swvu.WP1.","ACwvu.WP1.",1,FALSE,FALSE,0.25,0.25,0.25,0.25,1,"","&amp;L&amp;D &amp;T NBW&amp;C&amp;P&amp;R&amp;F",FALSE,FALSE,FALSE,FALSE,1,100,#N/A,#N/A,FALSE,FALSE,#N/A,#N/A,FALSE,FALSE}</definedName>
    <definedName name="wvu.WP1." localSheetId="47" hidden="1">{TRUE,TRUE,-1.25,-15.5,484.5,279.75,FALSE,FALSE,TRUE,TRUE,0,3,#N/A,1,#N/A,6.54545454545454,15.55,1,FALSE,FALSE,3,TRUE,1,FALSE,100,"Swvu.WP1.","ACwvu.WP1.",1,FALSE,FALSE,0.25,0.25,0.25,0.25,1,"","&amp;L&amp;D &amp;T NBW&amp;C&amp;P&amp;R&amp;F",FALSE,FALSE,FALSE,FALSE,1,100,#N/A,#N/A,FALSE,FALSE,#N/A,#N/A,FALSE,FALSE}</definedName>
    <definedName name="wvu.WP1." hidden="1">{TRUE,TRUE,-1.25,-15.5,484.5,279.75,FALSE,FALSE,TRUE,TRUE,0,3,#N/A,1,#N/A,6.54545454545454,15.55,1,FALSE,FALSE,3,TRUE,1,FALSE,100,"Swvu.WP1.","ACwvu.WP1.",1,FALSE,FALSE,0.25,0.25,0.25,0.25,1,"","&amp;L&amp;D &amp;T NBW&amp;C&amp;P&amp;R&amp;F",FALSE,FALSE,FALSE,FALSE,1,100,#N/A,#N/A,FALSE,FALSE,#N/A,#N/A,FALSE,FALSE}</definedName>
    <definedName name="www" localSheetId="3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6"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4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X" localSheetId="1" hidden="1">#REF!</definedName>
    <definedName name="X" localSheetId="5" hidden="1">#REF!</definedName>
    <definedName name="X" localSheetId="3" hidden="1">#REF!</definedName>
    <definedName name="X" localSheetId="29" hidden="1">#REF!</definedName>
    <definedName name="X" hidden="1">#REF!</definedName>
    <definedName name="xx" localSheetId="32" hidden="1">{#N/A,#N/A,TRUE,"TAXPROV";#N/A,#N/A,TRUE,"FLOWTHRU";#N/A,#N/A,TRUE,"SCHEDULE M'S";#N/A,#N/A,TRUE,"PLANT M'S";#N/A,#N/A,TRUE,"TAXJE"}</definedName>
    <definedName name="xx" localSheetId="6" hidden="1">{#N/A,#N/A,TRUE,"TAXPROV";#N/A,#N/A,TRUE,"FLOWTHRU";#N/A,#N/A,TRUE,"SCHEDULE M'S";#N/A,#N/A,TRUE,"PLANT M'S";#N/A,#N/A,TRUE,"TAXJE"}</definedName>
    <definedName name="xx" localSheetId="7" hidden="1">{#N/A,#N/A,TRUE,"TAXPROV";#N/A,#N/A,TRUE,"FLOWTHRU";#N/A,#N/A,TRUE,"SCHEDULE M'S";#N/A,#N/A,TRUE,"PLANT M'S";#N/A,#N/A,TRUE,"TAXJE"}</definedName>
    <definedName name="xx" localSheetId="3" hidden="1">{#N/A,#N/A,TRUE,"TAXPROV";#N/A,#N/A,TRUE,"FLOWTHRU";#N/A,#N/A,TRUE,"SCHEDULE M'S";#N/A,#N/A,TRUE,"PLANT M'S";#N/A,#N/A,TRUE,"TAXJE"}</definedName>
    <definedName name="xx" localSheetId="29" hidden="1">{#N/A,#N/A,TRUE,"TAXPROV";#N/A,#N/A,TRUE,"FLOWTHRU";#N/A,#N/A,TRUE,"SCHEDULE M'S";#N/A,#N/A,TRUE,"PLANT M'S";#N/A,#N/A,TRUE,"TAXJE"}</definedName>
    <definedName name="xx" localSheetId="47" hidden="1">{#N/A,#N/A,TRUE,"TAXPROV";#N/A,#N/A,TRUE,"FLOWTHRU";#N/A,#N/A,TRUE,"SCHEDULE M'S";#N/A,#N/A,TRUE,"PLANT M'S";#N/A,#N/A,TRUE,"TAXJE"}</definedName>
    <definedName name="xx" hidden="1">{#N/A,#N/A,TRUE,"TAXPROV";#N/A,#N/A,TRUE,"FLOWTHRU";#N/A,#N/A,TRUE,"SCHEDULE M'S";#N/A,#N/A,TRUE,"PLANT M'S";#N/A,#N/A,TRUE,"TAXJE"}</definedName>
    <definedName name="xxx" localSheetId="1" hidden="1">{#N/A,#N/A,FALSE,"GLDwnLoad"}</definedName>
    <definedName name="xxx" localSheetId="32" hidden="1">{#N/A,#N/A,FALSE,"GLDwnLoad"}</definedName>
    <definedName name="xxx" localSheetId="6" hidden="1">{#N/A,#N/A,FALSE,"GLDwnLoad"}</definedName>
    <definedName name="xxx" localSheetId="4" hidden="1">{#N/A,#N/A,FALSE,"GLDwnLoad"}</definedName>
    <definedName name="xxx" localSheetId="5" hidden="1">{#N/A,#N/A,FALSE,"GLDwnLoad"}</definedName>
    <definedName name="xxx" localSheetId="7" hidden="1">{#N/A,#N/A,FALSE,"GLDwnLoad"}</definedName>
    <definedName name="xxx" localSheetId="3" hidden="1">{#N/A,#N/A,FALSE,"GLDwnLoad"}</definedName>
    <definedName name="xxx" localSheetId="47" hidden="1">{#N/A,#N/A,FALSE,"GLDwnLoad"}</definedName>
    <definedName name="xxx" hidden="1">{#N/A,#N/A,FALSE,"GLDwnLoad"}</definedName>
    <definedName name="xxxx" localSheetId="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3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6"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5"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2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4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3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6"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4"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5"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3"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2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4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Y" localSheetId="1" hidden="1">#REF!</definedName>
    <definedName name="Y" localSheetId="5" hidden="1">#REF!</definedName>
    <definedName name="Y" localSheetId="3" hidden="1">#REF!</definedName>
    <definedName name="Y" localSheetId="29" hidden="1">#REF!</definedName>
    <definedName name="Y" hidden="1">#REF!</definedName>
    <definedName name="Year" localSheetId="3">#REF!</definedName>
    <definedName name="Year">#REF!</definedName>
    <definedName name="Year_End_Customer_Adjustment">#REF!</definedName>
    <definedName name="yeardateprior1">#REF!</definedName>
    <definedName name="yeardateprior2">#REF!</definedName>
    <definedName name="yearend" localSheetId="3">#REF!</definedName>
    <definedName name="yearend">#REF!</definedName>
    <definedName name="yes" localSheetId="1" hidden="1">#REF!</definedName>
    <definedName name="yes" localSheetId="5" hidden="1">#REF!</definedName>
    <definedName name="yes" localSheetId="3" hidden="1">#REF!</definedName>
    <definedName name="yes" localSheetId="29" hidden="1">#REF!</definedName>
    <definedName name="yes" hidden="1">#REF!</definedName>
    <definedName name="yesindeed" localSheetId="1" hidden="1">#REF!</definedName>
    <definedName name="yesindeed" localSheetId="5" hidden="1">#REF!</definedName>
    <definedName name="yesindeed" localSheetId="3" hidden="1">#REF!</definedName>
    <definedName name="yesindeed" localSheetId="29" hidden="1">#REF!</definedName>
    <definedName name="yesindeed" hidden="1">#REF!</definedName>
    <definedName name="yesir" localSheetId="5" hidden="1">#REF!</definedName>
    <definedName name="yesir" localSheetId="3" hidden="1">#REF!</definedName>
    <definedName name="yesir" localSheetId="29" hidden="1">#REF!</definedName>
    <definedName name="yesir" hidden="1">#REF!</definedName>
    <definedName name="Yield" localSheetId="3">#REF!</definedName>
    <definedName name="Yield">#REF!</definedName>
    <definedName name="YIELDS" localSheetId="3">#REF!</definedName>
    <definedName name="YIELDS">#REF!</definedName>
    <definedName name="YTDAMT" localSheetId="3">'2.4 OpCo Proxy Cap Str'!AmtTable</definedName>
    <definedName name="YTDAMT">#REF!</definedName>
    <definedName name="YTDDT" localSheetId="3">'2.4 OpCo Proxy Cap Str'!DTTable</definedName>
    <definedName name="YTDDT">#REF!</definedName>
    <definedName name="YTDREPORT" localSheetId="6">#REF!</definedName>
    <definedName name="YTDREPORT">#REF!</definedName>
    <definedName name="yyy" localSheetId="1" hidden="1">{"caz2",#N/A,FALSE,"Central Arizona 2";"saz2",#N/A,FALSE,"Southern Arizona 2";"snv2",#N/A,FALSE,"Southern Nevada 2";"nnv2",#N/A,FALSE,"Northern Nevada 2";"sca2",#N/A,FALSE,"Southern California 2";"nca2",#N/A,FALSE,"Northern California 2";"pai2",#N/A,FALSE,"Paiute 2"}</definedName>
    <definedName name="yyy" localSheetId="32" hidden="1">{"caz2",#N/A,FALSE,"Central Arizona 2";"saz2",#N/A,FALSE,"Southern Arizona 2";"snv2",#N/A,FALSE,"Southern Nevada 2";"nnv2",#N/A,FALSE,"Northern Nevada 2";"sca2",#N/A,FALSE,"Southern California 2";"nca2",#N/A,FALSE,"Northern California 2";"pai2",#N/A,FALSE,"Paiute 2"}</definedName>
    <definedName name="yyy" localSheetId="6" hidden="1">{"caz2",#N/A,FALSE,"Central Arizona 2";"saz2",#N/A,FALSE,"Southern Arizona 2";"snv2",#N/A,FALSE,"Southern Nevada 2";"nnv2",#N/A,FALSE,"Northern Nevada 2";"sca2",#N/A,FALSE,"Southern California 2";"nca2",#N/A,FALSE,"Northern California 2";"pai2",#N/A,FALSE,"Paiute 2"}</definedName>
    <definedName name="yyy" localSheetId="4" hidden="1">{"caz2",#N/A,FALSE,"Central Arizona 2";"saz2",#N/A,FALSE,"Southern Arizona 2";"snv2",#N/A,FALSE,"Southern Nevada 2";"nnv2",#N/A,FALSE,"Northern Nevada 2";"sca2",#N/A,FALSE,"Southern California 2";"nca2",#N/A,FALSE,"Northern California 2";"pai2",#N/A,FALSE,"Paiute 2"}</definedName>
    <definedName name="yyy" localSheetId="5" hidden="1">{"caz2",#N/A,FALSE,"Central Arizona 2";"saz2",#N/A,FALSE,"Southern Arizona 2";"snv2",#N/A,FALSE,"Southern Nevada 2";"nnv2",#N/A,FALSE,"Northern Nevada 2";"sca2",#N/A,FALSE,"Southern California 2";"nca2",#N/A,FALSE,"Northern California 2";"pai2",#N/A,FALSE,"Paiute 2"}</definedName>
    <definedName name="yyy" localSheetId="7" hidden="1">{"caz2",#N/A,FALSE,"Central Arizona 2";"saz2",#N/A,FALSE,"Southern Arizona 2";"snv2",#N/A,FALSE,"Southern Nevada 2";"nnv2",#N/A,FALSE,"Northern Nevada 2";"sca2",#N/A,FALSE,"Southern California 2";"nca2",#N/A,FALSE,"Northern California 2";"pai2",#N/A,FALSE,"Paiute 2"}</definedName>
    <definedName name="yyy" localSheetId="3" hidden="1">{"caz2",#N/A,FALSE,"Central Arizona 2";"saz2",#N/A,FALSE,"Southern Arizona 2";"snv2",#N/A,FALSE,"Southern Nevada 2";"nnv2",#N/A,FALSE,"Northern Nevada 2";"sca2",#N/A,FALSE,"Southern California 2";"nca2",#N/A,FALSE,"Northern California 2";"pai2",#N/A,FALSE,"Paiute 2"}</definedName>
    <definedName name="yyy" localSheetId="29" hidden="1">{"caz2",#N/A,FALSE,"Central Arizona 2";"saz2",#N/A,FALSE,"Southern Arizona 2";"snv2",#N/A,FALSE,"Southern Nevada 2";"nnv2",#N/A,FALSE,"Northern Nevada 2";"sca2",#N/A,FALSE,"Southern California 2";"nca2",#N/A,FALSE,"Northern California 2";"pai2",#N/A,FALSE,"Paiute 2"}</definedName>
    <definedName name="yyy" localSheetId="47" hidden="1">{"caz2",#N/A,FALSE,"Central Arizona 2";"saz2",#N/A,FALSE,"Southern Arizona 2";"snv2",#N/A,FALSE,"Southern Nevada 2";"nnv2",#N/A,FALSE,"Northern Nevada 2";"sca2",#N/A,FALSE,"Southern California 2";"nca2",#N/A,FALSE,"Northern California 2";"pai2",#N/A,FALSE,"Paiute 2"}</definedName>
    <definedName name="yyy" hidden="1">{"caz2",#N/A,FALSE,"Central Arizona 2";"saz2",#N/A,FALSE,"Southern Arizona 2";"snv2",#N/A,FALSE,"Southern Nevada 2";"nnv2",#N/A,FALSE,"Northern Nevada 2";"sca2",#N/A,FALSE,"Southern California 2";"nca2",#N/A,FALSE,"Northern California 2";"pai2",#N/A,FALSE,"Paiute 2"}</definedName>
    <definedName name="yyyy"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3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5"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3"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4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yy" localSheetId="1" hidden="1">#REF!</definedName>
    <definedName name="yyyyyy" localSheetId="5" hidden="1">#REF!</definedName>
    <definedName name="yyyyyy" localSheetId="3" hidden="1">#REF!</definedName>
    <definedName name="yyyyyy" localSheetId="29" hidden="1">#REF!</definedName>
    <definedName name="yyyyyy" hidden="1">#REF!</definedName>
    <definedName name="yyyyyyyy" localSheetId="1" hidden="1">{#N/A,#N/A,FALSE,"SCA";#N/A,#N/A,FALSE,"NCA";#N/A,#N/A,FALSE,"SAZ";#N/A,#N/A,FALSE,"CAZ";#N/A,#N/A,FALSE,"SNV";#N/A,#N/A,FALSE,"NNV";#N/A,#N/A,FALSE,"PP";#N/A,#N/A,FALSE,"SA"}</definedName>
    <definedName name="yyyyyyyy" localSheetId="32" hidden="1">{#N/A,#N/A,FALSE,"SCA";#N/A,#N/A,FALSE,"NCA";#N/A,#N/A,FALSE,"SAZ";#N/A,#N/A,FALSE,"CAZ";#N/A,#N/A,FALSE,"SNV";#N/A,#N/A,FALSE,"NNV";#N/A,#N/A,FALSE,"PP";#N/A,#N/A,FALSE,"SA"}</definedName>
    <definedName name="yyyyyyyy" localSheetId="6" hidden="1">{#N/A,#N/A,FALSE,"SCA";#N/A,#N/A,FALSE,"NCA";#N/A,#N/A,FALSE,"SAZ";#N/A,#N/A,FALSE,"CAZ";#N/A,#N/A,FALSE,"SNV";#N/A,#N/A,FALSE,"NNV";#N/A,#N/A,FALSE,"PP";#N/A,#N/A,FALSE,"SA"}</definedName>
    <definedName name="yyyyyyyy" localSheetId="4" hidden="1">{#N/A,#N/A,FALSE,"SCA";#N/A,#N/A,FALSE,"NCA";#N/A,#N/A,FALSE,"SAZ";#N/A,#N/A,FALSE,"CAZ";#N/A,#N/A,FALSE,"SNV";#N/A,#N/A,FALSE,"NNV";#N/A,#N/A,FALSE,"PP";#N/A,#N/A,FALSE,"SA"}</definedName>
    <definedName name="yyyyyyyy" localSheetId="5" hidden="1">{#N/A,#N/A,FALSE,"SCA";#N/A,#N/A,FALSE,"NCA";#N/A,#N/A,FALSE,"SAZ";#N/A,#N/A,FALSE,"CAZ";#N/A,#N/A,FALSE,"SNV";#N/A,#N/A,FALSE,"NNV";#N/A,#N/A,FALSE,"PP";#N/A,#N/A,FALSE,"SA"}</definedName>
    <definedName name="yyyyyyyy" localSheetId="7" hidden="1">{#N/A,#N/A,FALSE,"SCA";#N/A,#N/A,FALSE,"NCA";#N/A,#N/A,FALSE,"SAZ";#N/A,#N/A,FALSE,"CAZ";#N/A,#N/A,FALSE,"SNV";#N/A,#N/A,FALSE,"NNV";#N/A,#N/A,FALSE,"PP";#N/A,#N/A,FALSE,"SA"}</definedName>
    <definedName name="yyyyyyyy" localSheetId="3" hidden="1">{#N/A,#N/A,FALSE,"SCA";#N/A,#N/A,FALSE,"NCA";#N/A,#N/A,FALSE,"SAZ";#N/A,#N/A,FALSE,"CAZ";#N/A,#N/A,FALSE,"SNV";#N/A,#N/A,FALSE,"NNV";#N/A,#N/A,FALSE,"PP";#N/A,#N/A,FALSE,"SA"}</definedName>
    <definedName name="yyyyyyyy" localSheetId="29" hidden="1">{#N/A,#N/A,FALSE,"SCA";#N/A,#N/A,FALSE,"NCA";#N/A,#N/A,FALSE,"SAZ";#N/A,#N/A,FALSE,"CAZ";#N/A,#N/A,FALSE,"SNV";#N/A,#N/A,FALSE,"NNV";#N/A,#N/A,FALSE,"PP";#N/A,#N/A,FALSE,"SA"}</definedName>
    <definedName name="yyyyyyyy" localSheetId="47" hidden="1">{#N/A,#N/A,FALSE,"SCA";#N/A,#N/A,FALSE,"NCA";#N/A,#N/A,FALSE,"SAZ";#N/A,#N/A,FALSE,"CAZ";#N/A,#N/A,FALSE,"SNV";#N/A,#N/A,FALSE,"NNV";#N/A,#N/A,FALSE,"PP";#N/A,#N/A,FALSE,"SA"}</definedName>
    <definedName name="yyyyyyyy" hidden="1">{#N/A,#N/A,FALSE,"SCA";#N/A,#N/A,FALSE,"NCA";#N/A,#N/A,FALSE,"SAZ";#N/A,#N/A,FALSE,"CAZ";#N/A,#N/A,FALSE,"SNV";#N/A,#N/A,FALSE,"NNV";#N/A,#N/A,FALSE,"PP";#N/A,#N/A,FALSE,"SA"}</definedName>
    <definedName name="Z" localSheetId="1" hidden="1">#REF!</definedName>
    <definedName name="Z" localSheetId="5" hidden="1">#REF!</definedName>
    <definedName name="Z" localSheetId="3" hidden="1">#REF!</definedName>
    <definedName name="Z" localSheetId="29" hidden="1">#REF!</definedName>
    <definedName name="Z" hidden="1">#REF!</definedName>
    <definedName name="Z_055ABE5A_5E06_11D2_8EED_0008C7BCAF29_.wvu.PrintArea" localSheetId="3" hidden="1">#REF!</definedName>
    <definedName name="Z_055ABE5A_5E06_11D2_8EED_0008C7BCAF29_.wvu.PrintArea" hidden="1">#REF!</definedName>
    <definedName name="Z_055ABE5A_5E06_11D2_8EED_0008C7BCAF29_.wvu.PrintTitles" localSheetId="3" hidden="1">#REF!</definedName>
    <definedName name="Z_055ABE5A_5E06_11D2_8EED_0008C7BCAF29_.wvu.PrintTitles" hidden="1">#REF!</definedName>
    <definedName name="Z_055ABE69_5E06_11D2_8EED_0008C7BCAF29_.wvu.PrintArea" localSheetId="3" hidden="1">#REF!</definedName>
    <definedName name="Z_055ABE69_5E06_11D2_8EED_0008C7BCAF29_.wvu.PrintArea" hidden="1">#REF!</definedName>
    <definedName name="Z_055ABE69_5E06_11D2_8EED_0008C7BCAF29_.wvu.PrintTitles" localSheetId="3" hidden="1">#REF!</definedName>
    <definedName name="Z_055ABE69_5E06_11D2_8EED_0008C7BCAF29_.wvu.PrintTitles" hidden="1">#REF!</definedName>
    <definedName name="Z_055ABE76_5E06_11D2_8EED_0008C7BCAF29_.wvu.PrintArea" localSheetId="3" hidden="1">#REF!</definedName>
    <definedName name="Z_055ABE76_5E06_11D2_8EED_0008C7BCAF29_.wvu.PrintArea" hidden="1">#REF!</definedName>
    <definedName name="Z_055ABE76_5E06_11D2_8EED_0008C7BCAF29_.wvu.PrintTitles" localSheetId="6" hidden="1">#REF!,#REF!</definedName>
    <definedName name="Z_055ABE76_5E06_11D2_8EED_0008C7BCAF29_.wvu.PrintTitles" localSheetId="7" hidden="1">#REF!,#REF!</definedName>
    <definedName name="Z_055ABE76_5E06_11D2_8EED_0008C7BCAF29_.wvu.PrintTitles" localSheetId="3" hidden="1">#REF!,#REF!</definedName>
    <definedName name="Z_055ABE76_5E06_11D2_8EED_0008C7BCAF29_.wvu.PrintTitles" localSheetId="29" hidden="1">#REF!,#REF!</definedName>
    <definedName name="Z_055ABE76_5E06_11D2_8EED_0008C7BCAF29_.wvu.PrintTitles" hidden="1">#REF!,#REF!</definedName>
    <definedName name="Z_055ABE84_5E06_11D2_8EED_0008C7BCAF29_.wvu.PrintArea" localSheetId="6" hidden="1">#REF!</definedName>
    <definedName name="Z_055ABE84_5E06_11D2_8EED_0008C7BCAF29_.wvu.PrintArea" localSheetId="7" hidden="1">#REF!</definedName>
    <definedName name="Z_055ABE84_5E06_11D2_8EED_0008C7BCAF29_.wvu.PrintArea" localSheetId="3" hidden="1">#REF!</definedName>
    <definedName name="Z_055ABE84_5E06_11D2_8EED_0008C7BCAF29_.wvu.PrintArea" localSheetId="29" hidden="1">#REF!</definedName>
    <definedName name="Z_055ABE84_5E06_11D2_8EED_0008C7BCAF29_.wvu.PrintArea" hidden="1">#REF!</definedName>
    <definedName name="Z_055ABE84_5E06_11D2_8EED_0008C7BCAF29_.wvu.PrintTitles" localSheetId="6" hidden="1">#REF!</definedName>
    <definedName name="Z_055ABE84_5E06_11D2_8EED_0008C7BCAF29_.wvu.PrintTitles" localSheetId="7" hidden="1">#REF!</definedName>
    <definedName name="Z_055ABE84_5E06_11D2_8EED_0008C7BCAF29_.wvu.PrintTitles" localSheetId="3" hidden="1">#REF!</definedName>
    <definedName name="Z_055ABE84_5E06_11D2_8EED_0008C7BCAF29_.wvu.PrintTitles" localSheetId="29" hidden="1">#REF!</definedName>
    <definedName name="Z_055ABE84_5E06_11D2_8EED_0008C7BCAF29_.wvu.PrintTitles" hidden="1">#REF!</definedName>
    <definedName name="Z_055ABE93_5E06_11D2_8EED_0008C7BCAF29_.wvu.PrintArea" localSheetId="6" hidden="1">#REF!</definedName>
    <definedName name="Z_055ABE93_5E06_11D2_8EED_0008C7BCAF29_.wvu.PrintArea" localSheetId="7" hidden="1">#REF!</definedName>
    <definedName name="Z_055ABE93_5E06_11D2_8EED_0008C7BCAF29_.wvu.PrintArea" localSheetId="3" hidden="1">#REF!</definedName>
    <definedName name="Z_055ABE93_5E06_11D2_8EED_0008C7BCAF29_.wvu.PrintArea" localSheetId="29" hidden="1">#REF!</definedName>
    <definedName name="Z_055ABE93_5E06_11D2_8EED_0008C7BCAF29_.wvu.PrintArea" hidden="1">#REF!</definedName>
    <definedName name="Z_055ABE93_5E06_11D2_8EED_0008C7BCAF29_.wvu.PrintTitles" localSheetId="3" hidden="1">#REF!</definedName>
    <definedName name="Z_055ABE93_5E06_11D2_8EED_0008C7BCAF29_.wvu.PrintTitles" hidden="1">#REF!</definedName>
    <definedName name="Z_055ABEA0_5E06_11D2_8EED_0008C7BCAF29_.wvu.PrintArea" localSheetId="3" hidden="1">#REF!</definedName>
    <definedName name="Z_055ABEA0_5E06_11D2_8EED_0008C7BCAF29_.wvu.PrintArea" hidden="1">#REF!</definedName>
    <definedName name="Z_055ABEA0_5E06_11D2_8EED_0008C7BCAF29_.wvu.PrintTitles" localSheetId="6" hidden="1">#REF!,#REF!</definedName>
    <definedName name="Z_055ABEA0_5E06_11D2_8EED_0008C7BCAF29_.wvu.PrintTitles" localSheetId="7" hidden="1">#REF!,#REF!</definedName>
    <definedName name="Z_055ABEA0_5E06_11D2_8EED_0008C7BCAF29_.wvu.PrintTitles" localSheetId="3" hidden="1">#REF!,#REF!</definedName>
    <definedName name="Z_055ABEA0_5E06_11D2_8EED_0008C7BCAF29_.wvu.PrintTitles" localSheetId="29" hidden="1">#REF!,#REF!</definedName>
    <definedName name="Z_055ABEA0_5E06_11D2_8EED_0008C7BCAF29_.wvu.PrintTitles" hidden="1">#REF!,#REF!</definedName>
    <definedName name="Z_05DE23E1_1046_11D2_8E70_0008C77C0743_.wvu.PrintArea" localSheetId="6" hidden="1">#REF!</definedName>
    <definedName name="Z_05DE23E1_1046_11D2_8E70_0008C77C0743_.wvu.PrintArea" localSheetId="7" hidden="1">#REF!</definedName>
    <definedName name="Z_05DE23E1_1046_11D2_8E70_0008C77C0743_.wvu.PrintArea" localSheetId="3" hidden="1">#REF!</definedName>
    <definedName name="Z_05DE23E1_1046_11D2_8E70_0008C77C0743_.wvu.PrintArea" localSheetId="29" hidden="1">#REF!</definedName>
    <definedName name="Z_05DE23E1_1046_11D2_8E70_0008C77C0743_.wvu.PrintArea" hidden="1">#REF!</definedName>
    <definedName name="Z_05DE23E1_1046_11D2_8E70_0008C77C0743_.wvu.PrintTitles" localSheetId="6" hidden="1">#REF!,#REF!</definedName>
    <definedName name="Z_05DE23E1_1046_11D2_8E70_0008C77C0743_.wvu.PrintTitles" localSheetId="7" hidden="1">#REF!,#REF!</definedName>
    <definedName name="Z_05DE23E1_1046_11D2_8E70_0008C77C0743_.wvu.PrintTitles" localSheetId="3" hidden="1">#REF!,#REF!</definedName>
    <definedName name="Z_05DE23E1_1046_11D2_8E70_0008C77C0743_.wvu.PrintTitles" localSheetId="29" hidden="1">#REF!,#REF!</definedName>
    <definedName name="Z_05DE23E1_1046_11D2_8E70_0008C77C0743_.wvu.PrintTitles" hidden="1">#REF!,#REF!</definedName>
    <definedName name="Z_05DE23E4_1046_11D2_8E70_0008C77C0743_.wvu.PrintArea" localSheetId="6" hidden="1">#REF!</definedName>
    <definedName name="Z_05DE23E4_1046_11D2_8E70_0008C77C0743_.wvu.PrintArea" localSheetId="7" hidden="1">#REF!</definedName>
    <definedName name="Z_05DE23E4_1046_11D2_8E70_0008C77C0743_.wvu.PrintArea" localSheetId="3" hidden="1">#REF!</definedName>
    <definedName name="Z_05DE23E4_1046_11D2_8E70_0008C77C0743_.wvu.PrintArea" localSheetId="29" hidden="1">#REF!</definedName>
    <definedName name="Z_05DE23E4_1046_11D2_8E70_0008C77C0743_.wvu.PrintArea" hidden="1">#REF!</definedName>
    <definedName name="Z_05DE23E4_1046_11D2_8E70_0008C77C0743_.wvu.PrintTitles" localSheetId="6" hidden="1">#REF!</definedName>
    <definedName name="Z_05DE23E4_1046_11D2_8E70_0008C77C0743_.wvu.PrintTitles" localSheetId="7" hidden="1">#REF!</definedName>
    <definedName name="Z_05DE23E4_1046_11D2_8E70_0008C77C0743_.wvu.PrintTitles" localSheetId="3" hidden="1">#REF!</definedName>
    <definedName name="Z_05DE23E4_1046_11D2_8E70_0008C77C0743_.wvu.PrintTitles" localSheetId="29" hidden="1">#REF!</definedName>
    <definedName name="Z_05DE23E4_1046_11D2_8E70_0008C77C0743_.wvu.PrintTitles" hidden="1">#REF!</definedName>
    <definedName name="Z_05DE23E9_1046_11D2_8E70_0008C77C0743_.wvu.PrintArea" localSheetId="6" hidden="1">#REF!</definedName>
    <definedName name="Z_05DE23E9_1046_11D2_8E70_0008C77C0743_.wvu.PrintArea" localSheetId="7" hidden="1">#REF!</definedName>
    <definedName name="Z_05DE23E9_1046_11D2_8E70_0008C77C0743_.wvu.PrintArea" localSheetId="3" hidden="1">#REF!</definedName>
    <definedName name="Z_05DE23E9_1046_11D2_8E70_0008C77C0743_.wvu.PrintArea" localSheetId="29" hidden="1">#REF!</definedName>
    <definedName name="Z_05DE23E9_1046_11D2_8E70_0008C77C0743_.wvu.PrintArea" hidden="1">#REF!</definedName>
    <definedName name="Z_05DE23E9_1046_11D2_8E70_0008C77C0743_.wvu.PrintTitles" localSheetId="6" hidden="1">#REF!,#REF!</definedName>
    <definedName name="Z_05DE23E9_1046_11D2_8E70_0008C77C0743_.wvu.PrintTitles" localSheetId="7" hidden="1">#REF!,#REF!</definedName>
    <definedName name="Z_05DE23E9_1046_11D2_8E70_0008C77C0743_.wvu.PrintTitles" localSheetId="3" hidden="1">#REF!,#REF!</definedName>
    <definedName name="Z_05DE23E9_1046_11D2_8E70_0008C77C0743_.wvu.PrintTitles" localSheetId="29" hidden="1">#REF!,#REF!</definedName>
    <definedName name="Z_05DE23E9_1046_11D2_8E70_0008C77C0743_.wvu.PrintTitles" hidden="1">#REF!,#REF!</definedName>
    <definedName name="Z_05DE23EB_1046_11D2_8E70_0008C77C0743_.wvu.PrintArea" localSheetId="6" hidden="1">#REF!</definedName>
    <definedName name="Z_05DE23EB_1046_11D2_8E70_0008C77C0743_.wvu.PrintArea" localSheetId="7" hidden="1">#REF!</definedName>
    <definedName name="Z_05DE23EB_1046_11D2_8E70_0008C77C0743_.wvu.PrintArea" localSheetId="3" hidden="1">#REF!</definedName>
    <definedName name="Z_05DE23EB_1046_11D2_8E70_0008C77C0743_.wvu.PrintArea" localSheetId="29" hidden="1">#REF!</definedName>
    <definedName name="Z_05DE23EB_1046_11D2_8E70_0008C77C0743_.wvu.PrintArea" hidden="1">#REF!</definedName>
    <definedName name="Z_05DE23EB_1046_11D2_8E70_0008C77C0743_.wvu.PrintTitles" localSheetId="6" hidden="1">#REF!,#REF!</definedName>
    <definedName name="Z_05DE23EB_1046_11D2_8E70_0008C77C0743_.wvu.PrintTitles" localSheetId="7" hidden="1">#REF!,#REF!</definedName>
    <definedName name="Z_05DE23EB_1046_11D2_8E70_0008C77C0743_.wvu.PrintTitles" localSheetId="3" hidden="1">#REF!,#REF!</definedName>
    <definedName name="Z_05DE23EB_1046_11D2_8E70_0008C77C0743_.wvu.PrintTitles" localSheetId="29" hidden="1">#REF!,#REF!</definedName>
    <definedName name="Z_05DE23EB_1046_11D2_8E70_0008C77C0743_.wvu.PrintTitles" hidden="1">#REF!,#REF!</definedName>
    <definedName name="Z_05DE23EE_1046_11D2_8E70_0008C77C0743_.wvu.PrintArea" localSheetId="6" hidden="1">#REF!</definedName>
    <definedName name="Z_05DE23EE_1046_11D2_8E70_0008C77C0743_.wvu.PrintArea" localSheetId="7" hidden="1">#REF!</definedName>
    <definedName name="Z_05DE23EE_1046_11D2_8E70_0008C77C0743_.wvu.PrintArea" localSheetId="3" hidden="1">#REF!</definedName>
    <definedName name="Z_05DE23EE_1046_11D2_8E70_0008C77C0743_.wvu.PrintArea" localSheetId="29" hidden="1">#REF!</definedName>
    <definedName name="Z_05DE23EE_1046_11D2_8E70_0008C77C0743_.wvu.PrintArea" hidden="1">#REF!</definedName>
    <definedName name="Z_05DE23EE_1046_11D2_8E70_0008C77C0743_.wvu.PrintTitles" localSheetId="6" hidden="1">#REF!</definedName>
    <definedName name="Z_05DE23EE_1046_11D2_8E70_0008C77C0743_.wvu.PrintTitles" localSheetId="7" hidden="1">#REF!</definedName>
    <definedName name="Z_05DE23EE_1046_11D2_8E70_0008C77C0743_.wvu.PrintTitles" localSheetId="3" hidden="1">#REF!</definedName>
    <definedName name="Z_05DE23EE_1046_11D2_8E70_0008C77C0743_.wvu.PrintTitles" localSheetId="29" hidden="1">#REF!</definedName>
    <definedName name="Z_05DE23EE_1046_11D2_8E70_0008C77C0743_.wvu.PrintTitles" hidden="1">#REF!</definedName>
    <definedName name="Z_05DE23F3_1046_11D2_8E70_0008C77C0743_.wvu.PrintArea" localSheetId="6" hidden="1">#REF!</definedName>
    <definedName name="Z_05DE23F3_1046_11D2_8E70_0008C77C0743_.wvu.PrintArea" localSheetId="7" hidden="1">#REF!</definedName>
    <definedName name="Z_05DE23F3_1046_11D2_8E70_0008C77C0743_.wvu.PrintArea" localSheetId="3" hidden="1">#REF!</definedName>
    <definedName name="Z_05DE23F3_1046_11D2_8E70_0008C77C0743_.wvu.PrintArea" localSheetId="29" hidden="1">#REF!</definedName>
    <definedName name="Z_05DE23F3_1046_11D2_8E70_0008C77C0743_.wvu.PrintArea" hidden="1">#REF!</definedName>
    <definedName name="Z_05DE23F3_1046_11D2_8E70_0008C77C0743_.wvu.PrintTitles" localSheetId="6" hidden="1">#REF!,#REF!</definedName>
    <definedName name="Z_05DE23F3_1046_11D2_8E70_0008C77C0743_.wvu.PrintTitles" localSheetId="7" hidden="1">#REF!,#REF!</definedName>
    <definedName name="Z_05DE23F3_1046_11D2_8E70_0008C77C0743_.wvu.PrintTitles" localSheetId="3" hidden="1">#REF!,#REF!</definedName>
    <definedName name="Z_05DE23F3_1046_11D2_8E70_0008C77C0743_.wvu.PrintTitles" localSheetId="29" hidden="1">#REF!,#REF!</definedName>
    <definedName name="Z_05DE23F3_1046_11D2_8E70_0008C77C0743_.wvu.PrintTitles" hidden="1">#REF!,#REF!</definedName>
    <definedName name="Z_05DE23F6_1046_11D2_8E70_0008C77C0743_.wvu.PrintArea" localSheetId="6" hidden="1">#REF!</definedName>
    <definedName name="Z_05DE23F6_1046_11D2_8E70_0008C77C0743_.wvu.PrintArea" localSheetId="7" hidden="1">#REF!</definedName>
    <definedName name="Z_05DE23F6_1046_11D2_8E70_0008C77C0743_.wvu.PrintArea" localSheetId="3" hidden="1">#REF!</definedName>
    <definedName name="Z_05DE23F6_1046_11D2_8E70_0008C77C0743_.wvu.PrintArea" localSheetId="29" hidden="1">#REF!</definedName>
    <definedName name="Z_05DE23F6_1046_11D2_8E70_0008C77C0743_.wvu.PrintArea" hidden="1">#REF!</definedName>
    <definedName name="Z_05DE23F6_1046_11D2_8E70_0008C77C0743_.wvu.PrintTitles" localSheetId="6" hidden="1">#REF!,#REF!</definedName>
    <definedName name="Z_05DE23F6_1046_11D2_8E70_0008C77C0743_.wvu.PrintTitles" localSheetId="7" hidden="1">#REF!,#REF!</definedName>
    <definedName name="Z_05DE23F6_1046_11D2_8E70_0008C77C0743_.wvu.PrintTitles" localSheetId="3" hidden="1">#REF!,#REF!</definedName>
    <definedName name="Z_05DE23F6_1046_11D2_8E70_0008C77C0743_.wvu.PrintTitles" localSheetId="29" hidden="1">#REF!,#REF!</definedName>
    <definedName name="Z_05DE23F6_1046_11D2_8E70_0008C77C0743_.wvu.PrintTitles" hidden="1">#REF!,#REF!</definedName>
    <definedName name="Z_0CE6A482_5DEF_11D2_8EC3_0008C77C0743_.wvu.PrintArea" localSheetId="6" hidden="1">#REF!</definedName>
    <definedName name="Z_0CE6A482_5DEF_11D2_8EC3_0008C77C0743_.wvu.PrintArea" localSheetId="7" hidden="1">#REF!</definedName>
    <definedName name="Z_0CE6A482_5DEF_11D2_8EC3_0008C77C0743_.wvu.PrintArea" localSheetId="3" hidden="1">#REF!</definedName>
    <definedName name="Z_0CE6A482_5DEF_11D2_8EC3_0008C77C0743_.wvu.PrintArea" localSheetId="29" hidden="1">#REF!</definedName>
    <definedName name="Z_0CE6A482_5DEF_11D2_8EC3_0008C77C0743_.wvu.PrintArea" hidden="1">#REF!</definedName>
    <definedName name="Z_0CE6A482_5DEF_11D2_8EC3_0008C77C0743_.wvu.PrintTitles" localSheetId="6" hidden="1">#REF!</definedName>
    <definedName name="Z_0CE6A482_5DEF_11D2_8EC3_0008C77C0743_.wvu.PrintTitles" localSheetId="7" hidden="1">#REF!</definedName>
    <definedName name="Z_0CE6A482_5DEF_11D2_8EC3_0008C77C0743_.wvu.PrintTitles" localSheetId="3" hidden="1">#REF!</definedName>
    <definedName name="Z_0CE6A482_5DEF_11D2_8EC3_0008C77C0743_.wvu.PrintTitles" localSheetId="29" hidden="1">#REF!</definedName>
    <definedName name="Z_0CE6A482_5DEF_11D2_8EC3_0008C77C0743_.wvu.PrintTitles" hidden="1">#REF!</definedName>
    <definedName name="Z_0CE6A491_5DEF_11D2_8EC3_0008C77C0743_.wvu.PrintArea" localSheetId="6" hidden="1">#REF!</definedName>
    <definedName name="Z_0CE6A491_5DEF_11D2_8EC3_0008C77C0743_.wvu.PrintArea" localSheetId="7" hidden="1">#REF!</definedName>
    <definedName name="Z_0CE6A491_5DEF_11D2_8EC3_0008C77C0743_.wvu.PrintArea" localSheetId="3" hidden="1">#REF!</definedName>
    <definedName name="Z_0CE6A491_5DEF_11D2_8EC3_0008C77C0743_.wvu.PrintArea" localSheetId="29" hidden="1">#REF!</definedName>
    <definedName name="Z_0CE6A491_5DEF_11D2_8EC3_0008C77C0743_.wvu.PrintArea" hidden="1">#REF!</definedName>
    <definedName name="Z_0CE6A491_5DEF_11D2_8EC3_0008C77C0743_.wvu.PrintTitles" localSheetId="3" hidden="1">#REF!</definedName>
    <definedName name="Z_0CE6A491_5DEF_11D2_8EC3_0008C77C0743_.wvu.PrintTitles" hidden="1">#REF!</definedName>
    <definedName name="Z_0CE6A49E_5DEF_11D2_8EC3_0008C77C0743_.wvu.PrintArea" localSheetId="3" hidden="1">#REF!</definedName>
    <definedName name="Z_0CE6A49E_5DEF_11D2_8EC3_0008C77C0743_.wvu.PrintArea" hidden="1">#REF!</definedName>
    <definedName name="Z_0CE6A49E_5DEF_11D2_8EC3_0008C77C0743_.wvu.PrintTitles" localSheetId="6" hidden="1">#REF!,#REF!</definedName>
    <definedName name="Z_0CE6A49E_5DEF_11D2_8EC3_0008C77C0743_.wvu.PrintTitles" localSheetId="7" hidden="1">#REF!,#REF!</definedName>
    <definedName name="Z_0CE6A49E_5DEF_11D2_8EC3_0008C77C0743_.wvu.PrintTitles" localSheetId="3" hidden="1">#REF!,#REF!</definedName>
    <definedName name="Z_0CE6A49E_5DEF_11D2_8EC3_0008C77C0743_.wvu.PrintTitles" localSheetId="29" hidden="1">#REF!,#REF!</definedName>
    <definedName name="Z_0CE6A49E_5DEF_11D2_8EC3_0008C77C0743_.wvu.PrintTitles" hidden="1">#REF!,#REF!</definedName>
    <definedName name="Z_0CE6A4AB_5DEF_11D2_8EC3_0008C77C0743_.wvu.PrintArea" localSheetId="6" hidden="1">#REF!</definedName>
    <definedName name="Z_0CE6A4AB_5DEF_11D2_8EC3_0008C77C0743_.wvu.PrintArea" localSheetId="7" hidden="1">#REF!</definedName>
    <definedName name="Z_0CE6A4AB_5DEF_11D2_8EC3_0008C77C0743_.wvu.PrintArea" localSheetId="3" hidden="1">#REF!</definedName>
    <definedName name="Z_0CE6A4AB_5DEF_11D2_8EC3_0008C77C0743_.wvu.PrintArea" localSheetId="29" hidden="1">#REF!</definedName>
    <definedName name="Z_0CE6A4AB_5DEF_11D2_8EC3_0008C77C0743_.wvu.PrintArea" hidden="1">#REF!</definedName>
    <definedName name="Z_0CE6A4AB_5DEF_11D2_8EC3_0008C77C0743_.wvu.PrintTitles" localSheetId="6" hidden="1">#REF!</definedName>
    <definedName name="Z_0CE6A4AB_5DEF_11D2_8EC3_0008C77C0743_.wvu.PrintTitles" localSheetId="7" hidden="1">#REF!</definedName>
    <definedName name="Z_0CE6A4AB_5DEF_11D2_8EC3_0008C77C0743_.wvu.PrintTitles" localSheetId="3" hidden="1">#REF!</definedName>
    <definedName name="Z_0CE6A4AB_5DEF_11D2_8EC3_0008C77C0743_.wvu.PrintTitles" localSheetId="29" hidden="1">#REF!</definedName>
    <definedName name="Z_0CE6A4AB_5DEF_11D2_8EC3_0008C77C0743_.wvu.PrintTitles" hidden="1">#REF!</definedName>
    <definedName name="Z_0CE6A4BA_5DEF_11D2_8EC3_0008C77C0743_.wvu.PrintArea" localSheetId="6" hidden="1">#REF!</definedName>
    <definedName name="Z_0CE6A4BA_5DEF_11D2_8EC3_0008C77C0743_.wvu.PrintArea" localSheetId="7" hidden="1">#REF!</definedName>
    <definedName name="Z_0CE6A4BA_5DEF_11D2_8EC3_0008C77C0743_.wvu.PrintArea" localSheetId="3" hidden="1">#REF!</definedName>
    <definedName name="Z_0CE6A4BA_5DEF_11D2_8EC3_0008C77C0743_.wvu.PrintArea" localSheetId="29" hidden="1">#REF!</definedName>
    <definedName name="Z_0CE6A4BA_5DEF_11D2_8EC3_0008C77C0743_.wvu.PrintArea" hidden="1">#REF!</definedName>
    <definedName name="Z_0CE6A4BA_5DEF_11D2_8EC3_0008C77C0743_.wvu.PrintTitles" localSheetId="3" hidden="1">#REF!</definedName>
    <definedName name="Z_0CE6A4BA_5DEF_11D2_8EC3_0008C77C0743_.wvu.PrintTitles" hidden="1">#REF!</definedName>
    <definedName name="Z_0CE6A4C7_5DEF_11D2_8EC3_0008C77C0743_.wvu.PrintArea" localSheetId="3" hidden="1">#REF!</definedName>
    <definedName name="Z_0CE6A4C7_5DEF_11D2_8EC3_0008C77C0743_.wvu.PrintArea" hidden="1">#REF!</definedName>
    <definedName name="Z_0CE6A4C7_5DEF_11D2_8EC3_0008C77C0743_.wvu.PrintTitles" localSheetId="6" hidden="1">#REF!,#REF!</definedName>
    <definedName name="Z_0CE6A4C7_5DEF_11D2_8EC3_0008C77C0743_.wvu.PrintTitles" localSheetId="7" hidden="1">#REF!,#REF!</definedName>
    <definedName name="Z_0CE6A4C7_5DEF_11D2_8EC3_0008C77C0743_.wvu.PrintTitles" localSheetId="3" hidden="1">#REF!,#REF!</definedName>
    <definedName name="Z_0CE6A4C7_5DEF_11D2_8EC3_0008C77C0743_.wvu.PrintTitles" localSheetId="29" hidden="1">#REF!,#REF!</definedName>
    <definedName name="Z_0CE6A4C7_5DEF_11D2_8EC3_0008C77C0743_.wvu.PrintTitles" hidden="1">#REF!,#REF!</definedName>
    <definedName name="Z_0CE6A4D4_5DEF_11D2_8EC3_0008C77C0743_.wvu.PrintArea" localSheetId="6" hidden="1">#REF!</definedName>
    <definedName name="Z_0CE6A4D4_5DEF_11D2_8EC3_0008C77C0743_.wvu.PrintArea" localSheetId="7" hidden="1">#REF!</definedName>
    <definedName name="Z_0CE6A4D4_5DEF_11D2_8EC3_0008C77C0743_.wvu.PrintArea" localSheetId="3" hidden="1">#REF!</definedName>
    <definedName name="Z_0CE6A4D4_5DEF_11D2_8EC3_0008C77C0743_.wvu.PrintArea" localSheetId="29" hidden="1">#REF!</definedName>
    <definedName name="Z_0CE6A4D4_5DEF_11D2_8EC3_0008C77C0743_.wvu.PrintArea" hidden="1">#REF!</definedName>
    <definedName name="Z_0CE6A4D4_5DEF_11D2_8EC3_0008C77C0743_.wvu.PrintTitles" localSheetId="6" hidden="1">#REF!</definedName>
    <definedName name="Z_0CE6A4D4_5DEF_11D2_8EC3_0008C77C0743_.wvu.PrintTitles" localSheetId="7" hidden="1">#REF!</definedName>
    <definedName name="Z_0CE6A4D4_5DEF_11D2_8EC3_0008C77C0743_.wvu.PrintTitles" localSheetId="3" hidden="1">#REF!</definedName>
    <definedName name="Z_0CE6A4D4_5DEF_11D2_8EC3_0008C77C0743_.wvu.PrintTitles" localSheetId="29" hidden="1">#REF!</definedName>
    <definedName name="Z_0CE6A4D4_5DEF_11D2_8EC3_0008C77C0743_.wvu.PrintTitles" hidden="1">#REF!</definedName>
    <definedName name="Z_0CE6A4E3_5DEF_11D2_8EC3_0008C77C0743_.wvu.PrintArea" localSheetId="6" hidden="1">#REF!</definedName>
    <definedName name="Z_0CE6A4E3_5DEF_11D2_8EC3_0008C77C0743_.wvu.PrintArea" localSheetId="7" hidden="1">#REF!</definedName>
    <definedName name="Z_0CE6A4E3_5DEF_11D2_8EC3_0008C77C0743_.wvu.PrintArea" localSheetId="3" hidden="1">#REF!</definedName>
    <definedName name="Z_0CE6A4E3_5DEF_11D2_8EC3_0008C77C0743_.wvu.PrintArea" localSheetId="29" hidden="1">#REF!</definedName>
    <definedName name="Z_0CE6A4E3_5DEF_11D2_8EC3_0008C77C0743_.wvu.PrintArea" hidden="1">#REF!</definedName>
    <definedName name="Z_0CE6A4E3_5DEF_11D2_8EC3_0008C77C0743_.wvu.PrintTitles" localSheetId="3" hidden="1">#REF!</definedName>
    <definedName name="Z_0CE6A4E3_5DEF_11D2_8EC3_0008C77C0743_.wvu.PrintTitles" hidden="1">#REF!</definedName>
    <definedName name="Z_0CE6A4F0_5DEF_11D2_8EC3_0008C77C0743_.wvu.PrintArea" localSheetId="3" hidden="1">#REF!</definedName>
    <definedName name="Z_0CE6A4F0_5DEF_11D2_8EC3_0008C77C0743_.wvu.PrintArea" hidden="1">#REF!</definedName>
    <definedName name="Z_0CE6A4F0_5DEF_11D2_8EC3_0008C77C0743_.wvu.PrintTitles" localSheetId="6" hidden="1">#REF!,#REF!</definedName>
    <definedName name="Z_0CE6A4F0_5DEF_11D2_8EC3_0008C77C0743_.wvu.PrintTitles" localSheetId="7" hidden="1">#REF!,#REF!</definedName>
    <definedName name="Z_0CE6A4F0_5DEF_11D2_8EC3_0008C77C0743_.wvu.PrintTitles" localSheetId="3" hidden="1">#REF!,#REF!</definedName>
    <definedName name="Z_0CE6A4F0_5DEF_11D2_8EC3_0008C77C0743_.wvu.PrintTitles" localSheetId="29" hidden="1">#REF!,#REF!</definedName>
    <definedName name="Z_0CE6A4F0_5DEF_11D2_8EC3_0008C77C0743_.wvu.PrintTitles" hidden="1">#REF!,#REF!</definedName>
    <definedName name="Z_0CE6A4FD_5DEF_11D2_8EC3_0008C77C0743_.wvu.PrintArea" localSheetId="6" hidden="1">#REF!</definedName>
    <definedName name="Z_0CE6A4FD_5DEF_11D2_8EC3_0008C77C0743_.wvu.PrintArea" localSheetId="7" hidden="1">#REF!</definedName>
    <definedName name="Z_0CE6A4FD_5DEF_11D2_8EC3_0008C77C0743_.wvu.PrintArea" localSheetId="3" hidden="1">#REF!</definedName>
    <definedName name="Z_0CE6A4FD_5DEF_11D2_8EC3_0008C77C0743_.wvu.PrintArea" localSheetId="29" hidden="1">#REF!</definedName>
    <definedName name="Z_0CE6A4FD_5DEF_11D2_8EC3_0008C77C0743_.wvu.PrintArea" hidden="1">#REF!</definedName>
    <definedName name="Z_0CE6A4FD_5DEF_11D2_8EC3_0008C77C0743_.wvu.PrintTitles" localSheetId="6" hidden="1">#REF!</definedName>
    <definedName name="Z_0CE6A4FD_5DEF_11D2_8EC3_0008C77C0743_.wvu.PrintTitles" localSheetId="7" hidden="1">#REF!</definedName>
    <definedName name="Z_0CE6A4FD_5DEF_11D2_8EC3_0008C77C0743_.wvu.PrintTitles" localSheetId="3" hidden="1">#REF!</definedName>
    <definedName name="Z_0CE6A4FD_5DEF_11D2_8EC3_0008C77C0743_.wvu.PrintTitles" localSheetId="29" hidden="1">#REF!</definedName>
    <definedName name="Z_0CE6A4FD_5DEF_11D2_8EC3_0008C77C0743_.wvu.PrintTitles" hidden="1">#REF!</definedName>
    <definedName name="Z_0CE6A50C_5DEF_11D2_8EC3_0008C77C0743_.wvu.PrintArea" localSheetId="6" hidden="1">#REF!</definedName>
    <definedName name="Z_0CE6A50C_5DEF_11D2_8EC3_0008C77C0743_.wvu.PrintArea" localSheetId="7" hidden="1">#REF!</definedName>
    <definedName name="Z_0CE6A50C_5DEF_11D2_8EC3_0008C77C0743_.wvu.PrintArea" localSheetId="3" hidden="1">#REF!</definedName>
    <definedName name="Z_0CE6A50C_5DEF_11D2_8EC3_0008C77C0743_.wvu.PrintArea" localSheetId="29" hidden="1">#REF!</definedName>
    <definedName name="Z_0CE6A50C_5DEF_11D2_8EC3_0008C77C0743_.wvu.PrintArea" hidden="1">#REF!</definedName>
    <definedName name="Z_0CE6A50C_5DEF_11D2_8EC3_0008C77C0743_.wvu.PrintTitles" localSheetId="3" hidden="1">#REF!</definedName>
    <definedName name="Z_0CE6A50C_5DEF_11D2_8EC3_0008C77C0743_.wvu.PrintTitles" hidden="1">#REF!</definedName>
    <definedName name="Z_0CE6A519_5DEF_11D2_8EC3_0008C77C0743_.wvu.PrintArea" localSheetId="3" hidden="1">#REF!</definedName>
    <definedName name="Z_0CE6A519_5DEF_11D2_8EC3_0008C77C0743_.wvu.PrintArea" hidden="1">#REF!</definedName>
    <definedName name="Z_0CE6A519_5DEF_11D2_8EC3_0008C77C0743_.wvu.PrintTitles" localSheetId="6" hidden="1">#REF!,#REF!</definedName>
    <definedName name="Z_0CE6A519_5DEF_11D2_8EC3_0008C77C0743_.wvu.PrintTitles" localSheetId="7" hidden="1">#REF!,#REF!</definedName>
    <definedName name="Z_0CE6A519_5DEF_11D2_8EC3_0008C77C0743_.wvu.PrintTitles" localSheetId="3" hidden="1">#REF!,#REF!</definedName>
    <definedName name="Z_0CE6A519_5DEF_11D2_8EC3_0008C77C0743_.wvu.PrintTitles" localSheetId="29" hidden="1">#REF!,#REF!</definedName>
    <definedName name="Z_0CE6A519_5DEF_11D2_8EC3_0008C77C0743_.wvu.PrintTitles" hidden="1">#REF!,#REF!</definedName>
    <definedName name="Z_0E8DEF60_5D61_11D2_8EEB_0008C7BCAF29_.wvu.PrintArea" localSheetId="6" hidden="1">#REF!</definedName>
    <definedName name="Z_0E8DEF60_5D61_11D2_8EEB_0008C7BCAF29_.wvu.PrintArea" localSheetId="7" hidden="1">#REF!</definedName>
    <definedName name="Z_0E8DEF60_5D61_11D2_8EEB_0008C7BCAF29_.wvu.PrintArea" localSheetId="3" hidden="1">#REF!</definedName>
    <definedName name="Z_0E8DEF60_5D61_11D2_8EEB_0008C7BCAF29_.wvu.PrintArea" localSheetId="29" hidden="1">#REF!</definedName>
    <definedName name="Z_0E8DEF60_5D61_11D2_8EEB_0008C7BCAF29_.wvu.PrintArea" hidden="1">#REF!</definedName>
    <definedName name="Z_0E8DEF60_5D61_11D2_8EEB_0008C7BCAF29_.wvu.PrintTitles" localSheetId="6" hidden="1">#REF!,#REF!</definedName>
    <definedName name="Z_0E8DEF60_5D61_11D2_8EEB_0008C7BCAF29_.wvu.PrintTitles" localSheetId="7" hidden="1">#REF!,#REF!</definedName>
    <definedName name="Z_0E8DEF60_5D61_11D2_8EEB_0008C7BCAF29_.wvu.PrintTitles" localSheetId="3" hidden="1">#REF!,#REF!</definedName>
    <definedName name="Z_0E8DEF60_5D61_11D2_8EEB_0008C7BCAF29_.wvu.PrintTitles" localSheetId="29" hidden="1">#REF!,#REF!</definedName>
    <definedName name="Z_0E8DEF60_5D61_11D2_8EEB_0008C7BCAF29_.wvu.PrintTitles" hidden="1">#REF!,#REF!</definedName>
    <definedName name="Z_0E8DEF63_5D61_11D2_8EEB_0008C7BCAF29_.wvu.PrintArea" localSheetId="6" hidden="1">#REF!</definedName>
    <definedName name="Z_0E8DEF63_5D61_11D2_8EEB_0008C7BCAF29_.wvu.PrintArea" localSheetId="7" hidden="1">#REF!</definedName>
    <definedName name="Z_0E8DEF63_5D61_11D2_8EEB_0008C7BCAF29_.wvu.PrintArea" localSheetId="3" hidden="1">#REF!</definedName>
    <definedName name="Z_0E8DEF63_5D61_11D2_8EEB_0008C7BCAF29_.wvu.PrintArea" localSheetId="29" hidden="1">#REF!</definedName>
    <definedName name="Z_0E8DEF63_5D61_11D2_8EEB_0008C7BCAF29_.wvu.PrintArea" hidden="1">#REF!</definedName>
    <definedName name="Z_0E8DEF63_5D61_11D2_8EEB_0008C7BCAF29_.wvu.PrintTitles" localSheetId="6" hidden="1">#REF!</definedName>
    <definedName name="Z_0E8DEF63_5D61_11D2_8EEB_0008C7BCAF29_.wvu.PrintTitles" localSheetId="7" hidden="1">#REF!</definedName>
    <definedName name="Z_0E8DEF63_5D61_11D2_8EEB_0008C7BCAF29_.wvu.PrintTitles" localSheetId="3" hidden="1">#REF!</definedName>
    <definedName name="Z_0E8DEF63_5D61_11D2_8EEB_0008C7BCAF29_.wvu.PrintTitles" localSheetId="29" hidden="1">#REF!</definedName>
    <definedName name="Z_0E8DEF63_5D61_11D2_8EEB_0008C7BCAF29_.wvu.PrintTitles" hidden="1">#REF!</definedName>
    <definedName name="Z_0E8DEF68_5D61_11D2_8EEB_0008C7BCAF29_.wvu.PrintArea" localSheetId="6" hidden="1">#REF!</definedName>
    <definedName name="Z_0E8DEF68_5D61_11D2_8EEB_0008C7BCAF29_.wvu.PrintArea" localSheetId="7" hidden="1">#REF!</definedName>
    <definedName name="Z_0E8DEF68_5D61_11D2_8EEB_0008C7BCAF29_.wvu.PrintArea" localSheetId="3" hidden="1">#REF!</definedName>
    <definedName name="Z_0E8DEF68_5D61_11D2_8EEB_0008C7BCAF29_.wvu.PrintArea" localSheetId="29" hidden="1">#REF!</definedName>
    <definedName name="Z_0E8DEF68_5D61_11D2_8EEB_0008C7BCAF29_.wvu.PrintArea" hidden="1">#REF!</definedName>
    <definedName name="Z_0E8DEF68_5D61_11D2_8EEB_0008C7BCAF29_.wvu.PrintTitles" localSheetId="6" hidden="1">#REF!,#REF!</definedName>
    <definedName name="Z_0E8DEF68_5D61_11D2_8EEB_0008C7BCAF29_.wvu.PrintTitles" localSheetId="7" hidden="1">#REF!,#REF!</definedName>
    <definedName name="Z_0E8DEF68_5D61_11D2_8EEB_0008C7BCAF29_.wvu.PrintTitles" localSheetId="3" hidden="1">#REF!,#REF!</definedName>
    <definedName name="Z_0E8DEF68_5D61_11D2_8EEB_0008C7BCAF29_.wvu.PrintTitles" localSheetId="29" hidden="1">#REF!,#REF!</definedName>
    <definedName name="Z_0E8DEF68_5D61_11D2_8EEB_0008C7BCAF29_.wvu.PrintTitles" hidden="1">#REF!,#REF!</definedName>
    <definedName name="Z_0E8DEF6A_5D61_11D2_8EEB_0008C7BCAF29_.wvu.PrintArea" localSheetId="6" hidden="1">#REF!</definedName>
    <definedName name="Z_0E8DEF6A_5D61_11D2_8EEB_0008C7BCAF29_.wvu.PrintArea" localSheetId="7" hidden="1">#REF!</definedName>
    <definedName name="Z_0E8DEF6A_5D61_11D2_8EEB_0008C7BCAF29_.wvu.PrintArea" localSheetId="3" hidden="1">#REF!</definedName>
    <definedName name="Z_0E8DEF6A_5D61_11D2_8EEB_0008C7BCAF29_.wvu.PrintArea" localSheetId="29" hidden="1">#REF!</definedName>
    <definedName name="Z_0E8DEF6A_5D61_11D2_8EEB_0008C7BCAF29_.wvu.PrintArea" hidden="1">#REF!</definedName>
    <definedName name="Z_0E8DEF6A_5D61_11D2_8EEB_0008C7BCAF29_.wvu.PrintTitles" localSheetId="6" hidden="1">#REF!,#REF!</definedName>
    <definedName name="Z_0E8DEF6A_5D61_11D2_8EEB_0008C7BCAF29_.wvu.PrintTitles" localSheetId="7" hidden="1">#REF!,#REF!</definedName>
    <definedName name="Z_0E8DEF6A_5D61_11D2_8EEB_0008C7BCAF29_.wvu.PrintTitles" localSheetId="3" hidden="1">#REF!,#REF!</definedName>
    <definedName name="Z_0E8DEF6A_5D61_11D2_8EEB_0008C7BCAF29_.wvu.PrintTitles" localSheetId="29" hidden="1">#REF!,#REF!</definedName>
    <definedName name="Z_0E8DEF6A_5D61_11D2_8EEB_0008C7BCAF29_.wvu.PrintTitles" hidden="1">#REF!,#REF!</definedName>
    <definedName name="Z_0E8DEF6D_5D61_11D2_8EEB_0008C7BCAF29_.wvu.PrintArea" localSheetId="6" hidden="1">#REF!</definedName>
    <definedName name="Z_0E8DEF6D_5D61_11D2_8EEB_0008C7BCAF29_.wvu.PrintArea" localSheetId="7" hidden="1">#REF!</definedName>
    <definedName name="Z_0E8DEF6D_5D61_11D2_8EEB_0008C7BCAF29_.wvu.PrintArea" localSheetId="3" hidden="1">#REF!</definedName>
    <definedName name="Z_0E8DEF6D_5D61_11D2_8EEB_0008C7BCAF29_.wvu.PrintArea" localSheetId="29" hidden="1">#REF!</definedName>
    <definedName name="Z_0E8DEF6D_5D61_11D2_8EEB_0008C7BCAF29_.wvu.PrintArea" hidden="1">#REF!</definedName>
    <definedName name="Z_0E8DEF6D_5D61_11D2_8EEB_0008C7BCAF29_.wvu.PrintTitles" localSheetId="6" hidden="1">#REF!</definedName>
    <definedName name="Z_0E8DEF6D_5D61_11D2_8EEB_0008C7BCAF29_.wvu.PrintTitles" localSheetId="7" hidden="1">#REF!</definedName>
    <definedName name="Z_0E8DEF6D_5D61_11D2_8EEB_0008C7BCAF29_.wvu.PrintTitles" localSheetId="3" hidden="1">#REF!</definedName>
    <definedName name="Z_0E8DEF6D_5D61_11D2_8EEB_0008C7BCAF29_.wvu.PrintTitles" localSheetId="29" hidden="1">#REF!</definedName>
    <definedName name="Z_0E8DEF6D_5D61_11D2_8EEB_0008C7BCAF29_.wvu.PrintTitles" hidden="1">#REF!</definedName>
    <definedName name="Z_0E8DEF72_5D61_11D2_8EEB_0008C7BCAF29_.wvu.PrintArea" localSheetId="6" hidden="1">#REF!</definedName>
    <definedName name="Z_0E8DEF72_5D61_11D2_8EEB_0008C7BCAF29_.wvu.PrintArea" localSheetId="7" hidden="1">#REF!</definedName>
    <definedName name="Z_0E8DEF72_5D61_11D2_8EEB_0008C7BCAF29_.wvu.PrintArea" localSheetId="3" hidden="1">#REF!</definedName>
    <definedName name="Z_0E8DEF72_5D61_11D2_8EEB_0008C7BCAF29_.wvu.PrintArea" localSheetId="29" hidden="1">#REF!</definedName>
    <definedName name="Z_0E8DEF72_5D61_11D2_8EEB_0008C7BCAF29_.wvu.PrintArea" hidden="1">#REF!</definedName>
    <definedName name="Z_0E8DEF72_5D61_11D2_8EEB_0008C7BCAF29_.wvu.PrintTitles" localSheetId="6" hidden="1">#REF!,#REF!</definedName>
    <definedName name="Z_0E8DEF72_5D61_11D2_8EEB_0008C7BCAF29_.wvu.PrintTitles" localSheetId="7" hidden="1">#REF!,#REF!</definedName>
    <definedName name="Z_0E8DEF72_5D61_11D2_8EEB_0008C7BCAF29_.wvu.PrintTitles" localSheetId="3" hidden="1">#REF!,#REF!</definedName>
    <definedName name="Z_0E8DEF72_5D61_11D2_8EEB_0008C7BCAF29_.wvu.PrintTitles" localSheetId="29" hidden="1">#REF!,#REF!</definedName>
    <definedName name="Z_0E8DEF72_5D61_11D2_8EEB_0008C7BCAF29_.wvu.PrintTitles" hidden="1">#REF!,#REF!</definedName>
    <definedName name="Z_0E8DEF75_5D61_11D2_8EEB_0008C7BCAF29_.wvu.PrintArea" localSheetId="6" hidden="1">#REF!</definedName>
    <definedName name="Z_0E8DEF75_5D61_11D2_8EEB_0008C7BCAF29_.wvu.PrintArea" localSheetId="7" hidden="1">#REF!</definedName>
    <definedName name="Z_0E8DEF75_5D61_11D2_8EEB_0008C7BCAF29_.wvu.PrintArea" localSheetId="3" hidden="1">#REF!</definedName>
    <definedName name="Z_0E8DEF75_5D61_11D2_8EEB_0008C7BCAF29_.wvu.PrintArea" localSheetId="29" hidden="1">#REF!</definedName>
    <definedName name="Z_0E8DEF75_5D61_11D2_8EEB_0008C7BCAF29_.wvu.PrintArea" hidden="1">#REF!</definedName>
    <definedName name="Z_0E8DEF75_5D61_11D2_8EEB_0008C7BCAF29_.wvu.PrintTitles" localSheetId="6" hidden="1">#REF!,#REF!</definedName>
    <definedName name="Z_0E8DEF75_5D61_11D2_8EEB_0008C7BCAF29_.wvu.PrintTitles" localSheetId="7" hidden="1">#REF!,#REF!</definedName>
    <definedName name="Z_0E8DEF75_5D61_11D2_8EEB_0008C7BCAF29_.wvu.PrintTitles" localSheetId="3" hidden="1">#REF!,#REF!</definedName>
    <definedName name="Z_0E8DEF75_5D61_11D2_8EEB_0008C7BCAF29_.wvu.PrintTitles" localSheetId="29" hidden="1">#REF!,#REF!</definedName>
    <definedName name="Z_0E8DEF75_5D61_11D2_8EEB_0008C7BCAF29_.wvu.PrintTitles" hidden="1">#REF!,#REF!</definedName>
    <definedName name="Z_179EFDC8_A1B1_11D3_8FA9_0008C7809E09_.wvu.PrintArea" localSheetId="6" hidden="1">#REF!</definedName>
    <definedName name="Z_179EFDC8_A1B1_11D3_8FA9_0008C7809E09_.wvu.PrintArea" localSheetId="7" hidden="1">#REF!</definedName>
    <definedName name="Z_179EFDC8_A1B1_11D3_8FA9_0008C7809E09_.wvu.PrintArea" localSheetId="3" hidden="1">#REF!</definedName>
    <definedName name="Z_179EFDC8_A1B1_11D3_8FA9_0008C7809E09_.wvu.PrintArea" localSheetId="29" hidden="1">#REF!</definedName>
    <definedName name="Z_179EFDC8_A1B1_11D3_8FA9_0008C7809E09_.wvu.PrintArea" hidden="1">#REF!</definedName>
    <definedName name="Z_179EFDC8_A1B1_11D3_8FA9_0008C7809E09_.wvu.PrintTitles" localSheetId="6" hidden="1">#REF!,#REF!</definedName>
    <definedName name="Z_179EFDC8_A1B1_11D3_8FA9_0008C7809E09_.wvu.PrintTitles" localSheetId="7" hidden="1">#REF!,#REF!</definedName>
    <definedName name="Z_179EFDC8_A1B1_11D3_8FA9_0008C7809E09_.wvu.PrintTitles" localSheetId="3" hidden="1">#REF!,#REF!</definedName>
    <definedName name="Z_179EFDC8_A1B1_11D3_8FA9_0008C7809E09_.wvu.PrintTitles" localSheetId="29" hidden="1">#REF!,#REF!</definedName>
    <definedName name="Z_179EFDC8_A1B1_11D3_8FA9_0008C7809E09_.wvu.PrintTitles" hidden="1">#REF!,#REF!</definedName>
    <definedName name="Z_179EFDC9_A1B1_11D3_8FA9_0008C7809E09_.wvu.PrintArea" localSheetId="6" hidden="1">#REF!</definedName>
    <definedName name="Z_179EFDC9_A1B1_11D3_8FA9_0008C7809E09_.wvu.PrintArea" localSheetId="7" hidden="1">#REF!</definedName>
    <definedName name="Z_179EFDC9_A1B1_11D3_8FA9_0008C7809E09_.wvu.PrintArea" localSheetId="3" hidden="1">#REF!</definedName>
    <definedName name="Z_179EFDC9_A1B1_11D3_8FA9_0008C7809E09_.wvu.PrintArea" localSheetId="29" hidden="1">#REF!</definedName>
    <definedName name="Z_179EFDC9_A1B1_11D3_8FA9_0008C7809E09_.wvu.PrintArea" hidden="1">#REF!</definedName>
    <definedName name="Z_179EFDC9_A1B1_11D3_8FA9_0008C7809E09_.wvu.PrintTitles" localSheetId="6" hidden="1">#REF!,#REF!</definedName>
    <definedName name="Z_179EFDC9_A1B1_11D3_8FA9_0008C7809E09_.wvu.PrintTitles" localSheetId="7" hidden="1">#REF!,#REF!</definedName>
    <definedName name="Z_179EFDC9_A1B1_11D3_8FA9_0008C7809E09_.wvu.PrintTitles" localSheetId="3" hidden="1">#REF!,#REF!</definedName>
    <definedName name="Z_179EFDC9_A1B1_11D3_8FA9_0008C7809E09_.wvu.PrintTitles" localSheetId="29" hidden="1">#REF!,#REF!</definedName>
    <definedName name="Z_179EFDC9_A1B1_11D3_8FA9_0008C7809E09_.wvu.PrintTitles" hidden="1">#REF!,#REF!</definedName>
    <definedName name="Z_179EFDCA_A1B1_11D3_8FA9_0008C7809E09_.wvu.PrintArea" localSheetId="6" hidden="1">#REF!</definedName>
    <definedName name="Z_179EFDCA_A1B1_11D3_8FA9_0008C7809E09_.wvu.PrintArea" localSheetId="7" hidden="1">#REF!</definedName>
    <definedName name="Z_179EFDCA_A1B1_11D3_8FA9_0008C7809E09_.wvu.PrintArea" localSheetId="3" hidden="1">#REF!</definedName>
    <definedName name="Z_179EFDCA_A1B1_11D3_8FA9_0008C7809E09_.wvu.PrintArea" localSheetId="29" hidden="1">#REF!</definedName>
    <definedName name="Z_179EFDCA_A1B1_11D3_8FA9_0008C7809E09_.wvu.PrintArea" hidden="1">#REF!</definedName>
    <definedName name="Z_179EFDCA_A1B1_11D3_8FA9_0008C7809E09_.wvu.PrintTitles" localSheetId="6" hidden="1">#REF!,#REF!</definedName>
    <definedName name="Z_179EFDCA_A1B1_11D3_8FA9_0008C7809E09_.wvu.PrintTitles" localSheetId="7" hidden="1">#REF!,#REF!</definedName>
    <definedName name="Z_179EFDCA_A1B1_11D3_8FA9_0008C7809E09_.wvu.PrintTitles" localSheetId="3" hidden="1">#REF!,#REF!</definedName>
    <definedName name="Z_179EFDCA_A1B1_11D3_8FA9_0008C7809E09_.wvu.PrintTitles" localSheetId="29" hidden="1">#REF!,#REF!</definedName>
    <definedName name="Z_179EFDCA_A1B1_11D3_8FA9_0008C7809E09_.wvu.PrintTitles" hidden="1">#REF!,#REF!</definedName>
    <definedName name="Z_179EFDCB_A1B1_11D3_8FA9_0008C7809E09_.wvu.PrintArea" localSheetId="6" hidden="1">#REF!</definedName>
    <definedName name="Z_179EFDCB_A1B1_11D3_8FA9_0008C7809E09_.wvu.PrintArea" localSheetId="7" hidden="1">#REF!</definedName>
    <definedName name="Z_179EFDCB_A1B1_11D3_8FA9_0008C7809E09_.wvu.PrintArea" localSheetId="3" hidden="1">#REF!</definedName>
    <definedName name="Z_179EFDCB_A1B1_11D3_8FA9_0008C7809E09_.wvu.PrintArea" localSheetId="29" hidden="1">#REF!</definedName>
    <definedName name="Z_179EFDCB_A1B1_11D3_8FA9_0008C7809E09_.wvu.PrintArea" hidden="1">#REF!</definedName>
    <definedName name="Z_179EFDCB_A1B1_11D3_8FA9_0008C7809E09_.wvu.PrintTitles" localSheetId="6" hidden="1">#REF!,#REF!</definedName>
    <definedName name="Z_179EFDCB_A1B1_11D3_8FA9_0008C7809E09_.wvu.PrintTitles" localSheetId="7" hidden="1">#REF!,#REF!</definedName>
    <definedName name="Z_179EFDCB_A1B1_11D3_8FA9_0008C7809E09_.wvu.PrintTitles" localSheetId="3" hidden="1">#REF!,#REF!</definedName>
    <definedName name="Z_179EFDCB_A1B1_11D3_8FA9_0008C7809E09_.wvu.PrintTitles" localSheetId="29" hidden="1">#REF!,#REF!</definedName>
    <definedName name="Z_179EFDCB_A1B1_11D3_8FA9_0008C7809E09_.wvu.PrintTitles" hidden="1">#REF!,#REF!</definedName>
    <definedName name="Z_179EFDCC_A1B1_11D3_8FA9_0008C7809E09_.wvu.PrintArea" localSheetId="6" hidden="1">#REF!</definedName>
    <definedName name="Z_179EFDCC_A1B1_11D3_8FA9_0008C7809E09_.wvu.PrintArea" localSheetId="7" hidden="1">#REF!</definedName>
    <definedName name="Z_179EFDCC_A1B1_11D3_8FA9_0008C7809E09_.wvu.PrintArea" localSheetId="3" hidden="1">#REF!</definedName>
    <definedName name="Z_179EFDCC_A1B1_11D3_8FA9_0008C7809E09_.wvu.PrintArea" localSheetId="29" hidden="1">#REF!</definedName>
    <definedName name="Z_179EFDCC_A1B1_11D3_8FA9_0008C7809E09_.wvu.PrintArea" hidden="1">#REF!</definedName>
    <definedName name="Z_179EFDCC_A1B1_11D3_8FA9_0008C7809E09_.wvu.PrintTitles" localSheetId="6" hidden="1">#REF!,#REF!</definedName>
    <definedName name="Z_179EFDCC_A1B1_11D3_8FA9_0008C7809E09_.wvu.PrintTitles" localSheetId="7" hidden="1">#REF!,#REF!</definedName>
    <definedName name="Z_179EFDCC_A1B1_11D3_8FA9_0008C7809E09_.wvu.PrintTitles" localSheetId="3" hidden="1">#REF!,#REF!</definedName>
    <definedName name="Z_179EFDCC_A1B1_11D3_8FA9_0008C7809E09_.wvu.PrintTitles" localSheetId="29" hidden="1">#REF!,#REF!</definedName>
    <definedName name="Z_179EFDCC_A1B1_11D3_8FA9_0008C7809E09_.wvu.PrintTitles" hidden="1">#REF!,#REF!</definedName>
    <definedName name="Z_179EFDCD_A1B1_11D3_8FA9_0008C7809E09_.wvu.PrintArea" localSheetId="6" hidden="1">#REF!</definedName>
    <definedName name="Z_179EFDCD_A1B1_11D3_8FA9_0008C7809E09_.wvu.PrintArea" localSheetId="7" hidden="1">#REF!</definedName>
    <definedName name="Z_179EFDCD_A1B1_11D3_8FA9_0008C7809E09_.wvu.PrintArea" localSheetId="3" hidden="1">#REF!</definedName>
    <definedName name="Z_179EFDCD_A1B1_11D3_8FA9_0008C7809E09_.wvu.PrintArea" localSheetId="29" hidden="1">#REF!</definedName>
    <definedName name="Z_179EFDCD_A1B1_11D3_8FA9_0008C7809E09_.wvu.PrintArea" hidden="1">#REF!</definedName>
    <definedName name="Z_179EFDCD_A1B1_11D3_8FA9_0008C7809E09_.wvu.PrintTitles" localSheetId="6" hidden="1">#REF!,#REF!</definedName>
    <definedName name="Z_179EFDCD_A1B1_11D3_8FA9_0008C7809E09_.wvu.PrintTitles" localSheetId="7" hidden="1">#REF!,#REF!</definedName>
    <definedName name="Z_179EFDCD_A1B1_11D3_8FA9_0008C7809E09_.wvu.PrintTitles" localSheetId="3" hidden="1">#REF!,#REF!</definedName>
    <definedName name="Z_179EFDCD_A1B1_11D3_8FA9_0008C7809E09_.wvu.PrintTitles" localSheetId="29" hidden="1">#REF!,#REF!</definedName>
    <definedName name="Z_179EFDCD_A1B1_11D3_8FA9_0008C7809E09_.wvu.PrintTitles" hidden="1">#REF!,#REF!</definedName>
    <definedName name="Z_179EFDCE_A1B1_11D3_8FA9_0008C7809E09_.wvu.PrintArea" localSheetId="6" hidden="1">#REF!</definedName>
    <definedName name="Z_179EFDCE_A1B1_11D3_8FA9_0008C7809E09_.wvu.PrintArea" localSheetId="7" hidden="1">#REF!</definedName>
    <definedName name="Z_179EFDCE_A1B1_11D3_8FA9_0008C7809E09_.wvu.PrintArea" localSheetId="3" hidden="1">#REF!</definedName>
    <definedName name="Z_179EFDCE_A1B1_11D3_8FA9_0008C7809E09_.wvu.PrintArea" localSheetId="29" hidden="1">#REF!</definedName>
    <definedName name="Z_179EFDCE_A1B1_11D3_8FA9_0008C7809E09_.wvu.PrintArea" hidden="1">#REF!</definedName>
    <definedName name="Z_179EFDCE_A1B1_11D3_8FA9_0008C7809E09_.wvu.PrintTitles" localSheetId="6" hidden="1">#REF!,#REF!</definedName>
    <definedName name="Z_179EFDCE_A1B1_11D3_8FA9_0008C7809E09_.wvu.PrintTitles" localSheetId="7" hidden="1">#REF!,#REF!</definedName>
    <definedName name="Z_179EFDCE_A1B1_11D3_8FA9_0008C7809E09_.wvu.PrintTitles" localSheetId="3" hidden="1">#REF!,#REF!</definedName>
    <definedName name="Z_179EFDCE_A1B1_11D3_8FA9_0008C7809E09_.wvu.PrintTitles" localSheetId="29" hidden="1">#REF!,#REF!</definedName>
    <definedName name="Z_179EFDCE_A1B1_11D3_8FA9_0008C7809E09_.wvu.PrintTitles" hidden="1">#REF!,#REF!</definedName>
    <definedName name="Z_179EFDCF_A1B1_11D3_8FA9_0008C7809E09_.wvu.PrintArea" localSheetId="6" hidden="1">#REF!</definedName>
    <definedName name="Z_179EFDCF_A1B1_11D3_8FA9_0008C7809E09_.wvu.PrintArea" localSheetId="7" hidden="1">#REF!</definedName>
    <definedName name="Z_179EFDCF_A1B1_11D3_8FA9_0008C7809E09_.wvu.PrintArea" localSheetId="3" hidden="1">#REF!</definedName>
    <definedName name="Z_179EFDCF_A1B1_11D3_8FA9_0008C7809E09_.wvu.PrintArea" localSheetId="29" hidden="1">#REF!</definedName>
    <definedName name="Z_179EFDCF_A1B1_11D3_8FA9_0008C7809E09_.wvu.PrintArea" hidden="1">#REF!</definedName>
    <definedName name="Z_179EFDCF_A1B1_11D3_8FA9_0008C7809E09_.wvu.PrintTitles" localSheetId="6" hidden="1">#REF!,#REF!</definedName>
    <definedName name="Z_179EFDCF_A1B1_11D3_8FA9_0008C7809E09_.wvu.PrintTitles" localSheetId="7" hidden="1">#REF!,#REF!</definedName>
    <definedName name="Z_179EFDCF_A1B1_11D3_8FA9_0008C7809E09_.wvu.PrintTitles" localSheetId="3" hidden="1">#REF!,#REF!</definedName>
    <definedName name="Z_179EFDCF_A1B1_11D3_8FA9_0008C7809E09_.wvu.PrintTitles" localSheetId="29" hidden="1">#REF!,#REF!</definedName>
    <definedName name="Z_179EFDCF_A1B1_11D3_8FA9_0008C7809E09_.wvu.PrintTitles" hidden="1">#REF!,#REF!</definedName>
    <definedName name="Z_179EFDD0_A1B1_11D3_8FA9_0008C7809E09_.wvu.PrintArea" localSheetId="6" hidden="1">#REF!</definedName>
    <definedName name="Z_179EFDD0_A1B1_11D3_8FA9_0008C7809E09_.wvu.PrintArea" localSheetId="7" hidden="1">#REF!</definedName>
    <definedName name="Z_179EFDD0_A1B1_11D3_8FA9_0008C7809E09_.wvu.PrintArea" localSheetId="3" hidden="1">#REF!</definedName>
    <definedName name="Z_179EFDD0_A1B1_11D3_8FA9_0008C7809E09_.wvu.PrintArea" localSheetId="29" hidden="1">#REF!</definedName>
    <definedName name="Z_179EFDD0_A1B1_11D3_8FA9_0008C7809E09_.wvu.PrintArea" hidden="1">#REF!</definedName>
    <definedName name="Z_179EFDD0_A1B1_11D3_8FA9_0008C7809E09_.wvu.PrintTitles" localSheetId="6" hidden="1">#REF!,#REF!</definedName>
    <definedName name="Z_179EFDD0_A1B1_11D3_8FA9_0008C7809E09_.wvu.PrintTitles" localSheetId="7" hidden="1">#REF!,#REF!</definedName>
    <definedName name="Z_179EFDD0_A1B1_11D3_8FA9_0008C7809E09_.wvu.PrintTitles" localSheetId="3" hidden="1">#REF!,#REF!</definedName>
    <definedName name="Z_179EFDD0_A1B1_11D3_8FA9_0008C7809E09_.wvu.PrintTitles" localSheetId="29" hidden="1">#REF!,#REF!</definedName>
    <definedName name="Z_179EFDD0_A1B1_11D3_8FA9_0008C7809E09_.wvu.PrintTitles" hidden="1">#REF!,#REF!</definedName>
    <definedName name="Z_179EFDD1_A1B1_11D3_8FA9_0008C7809E09_.wvu.PrintArea" localSheetId="6" hidden="1">#REF!</definedName>
    <definedName name="Z_179EFDD1_A1B1_11D3_8FA9_0008C7809E09_.wvu.PrintArea" localSheetId="7" hidden="1">#REF!</definedName>
    <definedName name="Z_179EFDD1_A1B1_11D3_8FA9_0008C7809E09_.wvu.PrintArea" localSheetId="3" hidden="1">#REF!</definedName>
    <definedName name="Z_179EFDD1_A1B1_11D3_8FA9_0008C7809E09_.wvu.PrintArea" localSheetId="29" hidden="1">#REF!</definedName>
    <definedName name="Z_179EFDD1_A1B1_11D3_8FA9_0008C7809E09_.wvu.PrintArea" hidden="1">#REF!</definedName>
    <definedName name="Z_179EFDD1_A1B1_11D3_8FA9_0008C7809E09_.wvu.PrintTitles" localSheetId="6" hidden="1">#REF!,#REF!</definedName>
    <definedName name="Z_179EFDD1_A1B1_11D3_8FA9_0008C7809E09_.wvu.PrintTitles" localSheetId="7" hidden="1">#REF!,#REF!</definedName>
    <definedName name="Z_179EFDD1_A1B1_11D3_8FA9_0008C7809E09_.wvu.PrintTitles" localSheetId="3" hidden="1">#REF!,#REF!</definedName>
    <definedName name="Z_179EFDD1_A1B1_11D3_8FA9_0008C7809E09_.wvu.PrintTitles" localSheetId="29" hidden="1">#REF!,#REF!</definedName>
    <definedName name="Z_179EFDD1_A1B1_11D3_8FA9_0008C7809E09_.wvu.PrintTitles" hidden="1">#REF!,#REF!</definedName>
    <definedName name="Z_179EFDD2_A1B1_11D3_8FA9_0008C7809E09_.wvu.PrintArea" localSheetId="6" hidden="1">#REF!</definedName>
    <definedName name="Z_179EFDD2_A1B1_11D3_8FA9_0008C7809E09_.wvu.PrintArea" localSheetId="7" hidden="1">#REF!</definedName>
    <definedName name="Z_179EFDD2_A1B1_11D3_8FA9_0008C7809E09_.wvu.PrintArea" localSheetId="3" hidden="1">#REF!</definedName>
    <definedName name="Z_179EFDD2_A1B1_11D3_8FA9_0008C7809E09_.wvu.PrintArea" localSheetId="29" hidden="1">#REF!</definedName>
    <definedName name="Z_179EFDD2_A1B1_11D3_8FA9_0008C7809E09_.wvu.PrintArea" hidden="1">#REF!</definedName>
    <definedName name="Z_179EFDD2_A1B1_11D3_8FA9_0008C7809E09_.wvu.PrintTitles" localSheetId="6" hidden="1">#REF!,#REF!</definedName>
    <definedName name="Z_179EFDD2_A1B1_11D3_8FA9_0008C7809E09_.wvu.PrintTitles" localSheetId="7" hidden="1">#REF!,#REF!</definedName>
    <definedName name="Z_179EFDD2_A1B1_11D3_8FA9_0008C7809E09_.wvu.PrintTitles" localSheetId="3" hidden="1">#REF!,#REF!</definedName>
    <definedName name="Z_179EFDD2_A1B1_11D3_8FA9_0008C7809E09_.wvu.PrintTitles" localSheetId="29" hidden="1">#REF!,#REF!</definedName>
    <definedName name="Z_179EFDD2_A1B1_11D3_8FA9_0008C7809E09_.wvu.PrintTitles" hidden="1">#REF!,#REF!</definedName>
    <definedName name="Z_179EFDD3_A1B1_11D3_8FA9_0008C7809E09_.wvu.PrintArea" localSheetId="6" hidden="1">#REF!</definedName>
    <definedName name="Z_179EFDD3_A1B1_11D3_8FA9_0008C7809E09_.wvu.PrintArea" localSheetId="7" hidden="1">#REF!</definedName>
    <definedName name="Z_179EFDD3_A1B1_11D3_8FA9_0008C7809E09_.wvu.PrintArea" localSheetId="3" hidden="1">#REF!</definedName>
    <definedName name="Z_179EFDD3_A1B1_11D3_8FA9_0008C7809E09_.wvu.PrintArea" localSheetId="29" hidden="1">#REF!</definedName>
    <definedName name="Z_179EFDD3_A1B1_11D3_8FA9_0008C7809E09_.wvu.PrintArea" hidden="1">#REF!</definedName>
    <definedName name="Z_179EFDD3_A1B1_11D3_8FA9_0008C7809E09_.wvu.PrintTitles" localSheetId="6" hidden="1">#REF!,#REF!</definedName>
    <definedName name="Z_179EFDD3_A1B1_11D3_8FA9_0008C7809E09_.wvu.PrintTitles" localSheetId="7" hidden="1">#REF!,#REF!</definedName>
    <definedName name="Z_179EFDD3_A1B1_11D3_8FA9_0008C7809E09_.wvu.PrintTitles" localSheetId="3" hidden="1">#REF!,#REF!</definedName>
    <definedName name="Z_179EFDD3_A1B1_11D3_8FA9_0008C7809E09_.wvu.PrintTitles" localSheetId="29" hidden="1">#REF!,#REF!</definedName>
    <definedName name="Z_179EFDD3_A1B1_11D3_8FA9_0008C7809E09_.wvu.PrintTitles" hidden="1">#REF!,#REF!</definedName>
    <definedName name="Z_179EFDD4_A1B1_11D3_8FA9_0008C7809E09_.wvu.PrintArea" localSheetId="6" hidden="1">#REF!</definedName>
    <definedName name="Z_179EFDD4_A1B1_11D3_8FA9_0008C7809E09_.wvu.PrintArea" localSheetId="7" hidden="1">#REF!</definedName>
    <definedName name="Z_179EFDD4_A1B1_11D3_8FA9_0008C7809E09_.wvu.PrintArea" localSheetId="3" hidden="1">#REF!</definedName>
    <definedName name="Z_179EFDD4_A1B1_11D3_8FA9_0008C7809E09_.wvu.PrintArea" localSheetId="29" hidden="1">#REF!</definedName>
    <definedName name="Z_179EFDD4_A1B1_11D3_8FA9_0008C7809E09_.wvu.PrintArea" hidden="1">#REF!</definedName>
    <definedName name="Z_179EFDD4_A1B1_11D3_8FA9_0008C7809E09_.wvu.PrintTitles" localSheetId="6" hidden="1">#REF!,#REF!</definedName>
    <definedName name="Z_179EFDD4_A1B1_11D3_8FA9_0008C7809E09_.wvu.PrintTitles" localSheetId="7" hidden="1">#REF!,#REF!</definedName>
    <definedName name="Z_179EFDD4_A1B1_11D3_8FA9_0008C7809E09_.wvu.PrintTitles" localSheetId="3" hidden="1">#REF!,#REF!</definedName>
    <definedName name="Z_179EFDD4_A1B1_11D3_8FA9_0008C7809E09_.wvu.PrintTitles" localSheetId="29" hidden="1">#REF!,#REF!</definedName>
    <definedName name="Z_179EFDD4_A1B1_11D3_8FA9_0008C7809E09_.wvu.PrintTitles" hidden="1">#REF!,#REF!</definedName>
    <definedName name="Z_179EFDD5_A1B1_11D3_8FA9_0008C7809E09_.wvu.PrintArea" localSheetId="6" hidden="1">#REF!</definedName>
    <definedName name="Z_179EFDD5_A1B1_11D3_8FA9_0008C7809E09_.wvu.PrintArea" localSheetId="7" hidden="1">#REF!</definedName>
    <definedName name="Z_179EFDD5_A1B1_11D3_8FA9_0008C7809E09_.wvu.PrintArea" localSheetId="3" hidden="1">#REF!</definedName>
    <definedName name="Z_179EFDD5_A1B1_11D3_8FA9_0008C7809E09_.wvu.PrintArea" localSheetId="29" hidden="1">#REF!</definedName>
    <definedName name="Z_179EFDD5_A1B1_11D3_8FA9_0008C7809E09_.wvu.PrintArea" hidden="1">#REF!</definedName>
    <definedName name="Z_179EFDD5_A1B1_11D3_8FA9_0008C7809E09_.wvu.PrintTitles" localSheetId="6" hidden="1">#REF!,#REF!</definedName>
    <definedName name="Z_179EFDD5_A1B1_11D3_8FA9_0008C7809E09_.wvu.PrintTitles" localSheetId="7" hidden="1">#REF!,#REF!</definedName>
    <definedName name="Z_179EFDD5_A1B1_11D3_8FA9_0008C7809E09_.wvu.PrintTitles" localSheetId="3" hidden="1">#REF!,#REF!</definedName>
    <definedName name="Z_179EFDD5_A1B1_11D3_8FA9_0008C7809E09_.wvu.PrintTitles" localSheetId="29" hidden="1">#REF!,#REF!</definedName>
    <definedName name="Z_179EFDD5_A1B1_11D3_8FA9_0008C7809E09_.wvu.PrintTitles" hidden="1">#REF!,#REF!</definedName>
    <definedName name="Z_179EFDD6_A1B1_11D3_8FA9_0008C7809E09_.wvu.PrintArea" localSheetId="6" hidden="1">#REF!</definedName>
    <definedName name="Z_179EFDD6_A1B1_11D3_8FA9_0008C7809E09_.wvu.PrintArea" localSheetId="7" hidden="1">#REF!</definedName>
    <definedName name="Z_179EFDD6_A1B1_11D3_8FA9_0008C7809E09_.wvu.PrintArea" localSheetId="3" hidden="1">#REF!</definedName>
    <definedName name="Z_179EFDD6_A1B1_11D3_8FA9_0008C7809E09_.wvu.PrintArea" localSheetId="29" hidden="1">#REF!</definedName>
    <definedName name="Z_179EFDD6_A1B1_11D3_8FA9_0008C7809E09_.wvu.PrintArea" hidden="1">#REF!</definedName>
    <definedName name="Z_179EFDD6_A1B1_11D3_8FA9_0008C7809E09_.wvu.PrintTitles" localSheetId="6" hidden="1">#REF!,#REF!</definedName>
    <definedName name="Z_179EFDD6_A1B1_11D3_8FA9_0008C7809E09_.wvu.PrintTitles" localSheetId="7" hidden="1">#REF!,#REF!</definedName>
    <definedName name="Z_179EFDD6_A1B1_11D3_8FA9_0008C7809E09_.wvu.PrintTitles" localSheetId="3" hidden="1">#REF!,#REF!</definedName>
    <definedName name="Z_179EFDD6_A1B1_11D3_8FA9_0008C7809E09_.wvu.PrintTitles" localSheetId="29" hidden="1">#REF!,#REF!</definedName>
    <definedName name="Z_179EFDD6_A1B1_11D3_8FA9_0008C7809E09_.wvu.PrintTitles" hidden="1">#REF!,#REF!</definedName>
    <definedName name="Z_179EFDD7_A1B1_11D3_8FA9_0008C7809E09_.wvu.PrintArea" localSheetId="6" hidden="1">#REF!</definedName>
    <definedName name="Z_179EFDD7_A1B1_11D3_8FA9_0008C7809E09_.wvu.PrintArea" localSheetId="7" hidden="1">#REF!</definedName>
    <definedName name="Z_179EFDD7_A1B1_11D3_8FA9_0008C7809E09_.wvu.PrintArea" localSheetId="3" hidden="1">#REF!</definedName>
    <definedName name="Z_179EFDD7_A1B1_11D3_8FA9_0008C7809E09_.wvu.PrintArea" localSheetId="29" hidden="1">#REF!</definedName>
    <definedName name="Z_179EFDD7_A1B1_11D3_8FA9_0008C7809E09_.wvu.PrintArea" hidden="1">#REF!</definedName>
    <definedName name="Z_179EFDD7_A1B1_11D3_8FA9_0008C7809E09_.wvu.PrintTitles" localSheetId="6" hidden="1">#REF!,#REF!</definedName>
    <definedName name="Z_179EFDD7_A1B1_11D3_8FA9_0008C7809E09_.wvu.PrintTitles" localSheetId="7" hidden="1">#REF!,#REF!</definedName>
    <definedName name="Z_179EFDD7_A1B1_11D3_8FA9_0008C7809E09_.wvu.PrintTitles" localSheetId="3" hidden="1">#REF!,#REF!</definedName>
    <definedName name="Z_179EFDD7_A1B1_11D3_8FA9_0008C7809E09_.wvu.PrintTitles" localSheetId="29" hidden="1">#REF!,#REF!</definedName>
    <definedName name="Z_179EFDD7_A1B1_11D3_8FA9_0008C7809E09_.wvu.PrintTitles" hidden="1">#REF!,#REF!</definedName>
    <definedName name="Z_179EFDD8_A1B1_11D3_8FA9_0008C7809E09_.wvu.PrintArea" localSheetId="6" hidden="1">#REF!</definedName>
    <definedName name="Z_179EFDD8_A1B1_11D3_8FA9_0008C7809E09_.wvu.PrintArea" localSheetId="7" hidden="1">#REF!</definedName>
    <definedName name="Z_179EFDD8_A1B1_11D3_8FA9_0008C7809E09_.wvu.PrintArea" localSheetId="3" hidden="1">#REF!</definedName>
    <definedName name="Z_179EFDD8_A1B1_11D3_8FA9_0008C7809E09_.wvu.PrintArea" localSheetId="29" hidden="1">#REF!</definedName>
    <definedName name="Z_179EFDD8_A1B1_11D3_8FA9_0008C7809E09_.wvu.PrintArea" hidden="1">#REF!</definedName>
    <definedName name="Z_179EFDD8_A1B1_11D3_8FA9_0008C7809E09_.wvu.PrintTitles" localSheetId="6" hidden="1">#REF!,#REF!</definedName>
    <definedName name="Z_179EFDD8_A1B1_11D3_8FA9_0008C7809E09_.wvu.PrintTitles" localSheetId="7" hidden="1">#REF!,#REF!</definedName>
    <definedName name="Z_179EFDD8_A1B1_11D3_8FA9_0008C7809E09_.wvu.PrintTitles" localSheetId="3" hidden="1">#REF!,#REF!</definedName>
    <definedName name="Z_179EFDD8_A1B1_11D3_8FA9_0008C7809E09_.wvu.PrintTitles" localSheetId="29" hidden="1">#REF!,#REF!</definedName>
    <definedName name="Z_179EFDD8_A1B1_11D3_8FA9_0008C7809E09_.wvu.PrintTitles" hidden="1">#REF!,#REF!</definedName>
    <definedName name="Z_179EFDD9_A1B1_11D3_8FA9_0008C7809E09_.wvu.PrintArea" localSheetId="6" hidden="1">#REF!</definedName>
    <definedName name="Z_179EFDD9_A1B1_11D3_8FA9_0008C7809E09_.wvu.PrintArea" localSheetId="7" hidden="1">#REF!</definedName>
    <definedName name="Z_179EFDD9_A1B1_11D3_8FA9_0008C7809E09_.wvu.PrintArea" localSheetId="3" hidden="1">#REF!</definedName>
    <definedName name="Z_179EFDD9_A1B1_11D3_8FA9_0008C7809E09_.wvu.PrintArea" localSheetId="29" hidden="1">#REF!</definedName>
    <definedName name="Z_179EFDD9_A1B1_11D3_8FA9_0008C7809E09_.wvu.PrintArea" hidden="1">#REF!</definedName>
    <definedName name="Z_179EFDD9_A1B1_11D3_8FA9_0008C7809E09_.wvu.PrintTitles" localSheetId="6" hidden="1">#REF!,#REF!</definedName>
    <definedName name="Z_179EFDD9_A1B1_11D3_8FA9_0008C7809E09_.wvu.PrintTitles" localSheetId="7" hidden="1">#REF!,#REF!</definedName>
    <definedName name="Z_179EFDD9_A1B1_11D3_8FA9_0008C7809E09_.wvu.PrintTitles" localSheetId="3" hidden="1">#REF!,#REF!</definedName>
    <definedName name="Z_179EFDD9_A1B1_11D3_8FA9_0008C7809E09_.wvu.PrintTitles" localSheetId="29" hidden="1">#REF!,#REF!</definedName>
    <definedName name="Z_179EFDD9_A1B1_11D3_8FA9_0008C7809E09_.wvu.PrintTitles" hidden="1">#REF!,#REF!</definedName>
    <definedName name="Z_179EFDDA_A1B1_11D3_8FA9_0008C7809E09_.wvu.PrintArea" localSheetId="6" hidden="1">#REF!</definedName>
    <definedName name="Z_179EFDDA_A1B1_11D3_8FA9_0008C7809E09_.wvu.PrintArea" localSheetId="7" hidden="1">#REF!</definedName>
    <definedName name="Z_179EFDDA_A1B1_11D3_8FA9_0008C7809E09_.wvu.PrintArea" localSheetId="3" hidden="1">#REF!</definedName>
    <definedName name="Z_179EFDDA_A1B1_11D3_8FA9_0008C7809E09_.wvu.PrintArea" localSheetId="29" hidden="1">#REF!</definedName>
    <definedName name="Z_179EFDDA_A1B1_11D3_8FA9_0008C7809E09_.wvu.PrintArea" hidden="1">#REF!</definedName>
    <definedName name="Z_179EFDDA_A1B1_11D3_8FA9_0008C7809E09_.wvu.PrintTitles" localSheetId="6" hidden="1">#REF!,#REF!</definedName>
    <definedName name="Z_179EFDDA_A1B1_11D3_8FA9_0008C7809E09_.wvu.PrintTitles" localSheetId="7" hidden="1">#REF!,#REF!</definedName>
    <definedName name="Z_179EFDDA_A1B1_11D3_8FA9_0008C7809E09_.wvu.PrintTitles" localSheetId="3" hidden="1">#REF!,#REF!</definedName>
    <definedName name="Z_179EFDDA_A1B1_11D3_8FA9_0008C7809E09_.wvu.PrintTitles" localSheetId="29" hidden="1">#REF!,#REF!</definedName>
    <definedName name="Z_179EFDDA_A1B1_11D3_8FA9_0008C7809E09_.wvu.PrintTitles" hidden="1">#REF!,#REF!</definedName>
    <definedName name="Z_179EFDDB_A1B1_11D3_8FA9_0008C7809E09_.wvu.PrintArea" localSheetId="6" hidden="1">#REF!</definedName>
    <definedName name="Z_179EFDDB_A1B1_11D3_8FA9_0008C7809E09_.wvu.PrintArea" localSheetId="7" hidden="1">#REF!</definedName>
    <definedName name="Z_179EFDDB_A1B1_11D3_8FA9_0008C7809E09_.wvu.PrintArea" localSheetId="3" hidden="1">#REF!</definedName>
    <definedName name="Z_179EFDDB_A1B1_11D3_8FA9_0008C7809E09_.wvu.PrintArea" localSheetId="29" hidden="1">#REF!</definedName>
    <definedName name="Z_179EFDDB_A1B1_11D3_8FA9_0008C7809E09_.wvu.PrintArea" hidden="1">#REF!</definedName>
    <definedName name="Z_179EFDDB_A1B1_11D3_8FA9_0008C7809E09_.wvu.PrintTitles" localSheetId="6" hidden="1">#REF!,#REF!</definedName>
    <definedName name="Z_179EFDDB_A1B1_11D3_8FA9_0008C7809E09_.wvu.PrintTitles" localSheetId="7" hidden="1">#REF!,#REF!</definedName>
    <definedName name="Z_179EFDDB_A1B1_11D3_8FA9_0008C7809E09_.wvu.PrintTitles" localSheetId="3" hidden="1">#REF!,#REF!</definedName>
    <definedName name="Z_179EFDDB_A1B1_11D3_8FA9_0008C7809E09_.wvu.PrintTitles" localSheetId="29" hidden="1">#REF!,#REF!</definedName>
    <definedName name="Z_179EFDDB_A1B1_11D3_8FA9_0008C7809E09_.wvu.PrintTitles" hidden="1">#REF!,#REF!</definedName>
    <definedName name="Z_179EFDDC_A1B1_11D3_8FA9_0008C7809E09_.wvu.PrintArea" localSheetId="6" hidden="1">#REF!</definedName>
    <definedName name="Z_179EFDDC_A1B1_11D3_8FA9_0008C7809E09_.wvu.PrintArea" localSheetId="7" hidden="1">#REF!</definedName>
    <definedName name="Z_179EFDDC_A1B1_11D3_8FA9_0008C7809E09_.wvu.PrintArea" localSheetId="3" hidden="1">#REF!</definedName>
    <definedName name="Z_179EFDDC_A1B1_11D3_8FA9_0008C7809E09_.wvu.PrintArea" localSheetId="29" hidden="1">#REF!</definedName>
    <definedName name="Z_179EFDDC_A1B1_11D3_8FA9_0008C7809E09_.wvu.PrintArea" hidden="1">#REF!</definedName>
    <definedName name="Z_179EFDDC_A1B1_11D3_8FA9_0008C7809E09_.wvu.PrintTitles" localSheetId="6" hidden="1">#REF!,#REF!</definedName>
    <definedName name="Z_179EFDDC_A1B1_11D3_8FA9_0008C7809E09_.wvu.PrintTitles" localSheetId="7" hidden="1">#REF!,#REF!</definedName>
    <definedName name="Z_179EFDDC_A1B1_11D3_8FA9_0008C7809E09_.wvu.PrintTitles" localSheetId="3" hidden="1">#REF!,#REF!</definedName>
    <definedName name="Z_179EFDDC_A1B1_11D3_8FA9_0008C7809E09_.wvu.PrintTitles" localSheetId="29" hidden="1">#REF!,#REF!</definedName>
    <definedName name="Z_179EFDDC_A1B1_11D3_8FA9_0008C7809E09_.wvu.PrintTitles" hidden="1">#REF!,#REF!</definedName>
    <definedName name="Z_179EFDDD_A1B1_11D3_8FA9_0008C7809E09_.wvu.PrintArea" localSheetId="6" hidden="1">#REF!</definedName>
    <definedName name="Z_179EFDDD_A1B1_11D3_8FA9_0008C7809E09_.wvu.PrintArea" localSheetId="7" hidden="1">#REF!</definedName>
    <definedName name="Z_179EFDDD_A1B1_11D3_8FA9_0008C7809E09_.wvu.PrintArea" localSheetId="3" hidden="1">#REF!</definedName>
    <definedName name="Z_179EFDDD_A1B1_11D3_8FA9_0008C7809E09_.wvu.PrintArea" localSheetId="29" hidden="1">#REF!</definedName>
    <definedName name="Z_179EFDDD_A1B1_11D3_8FA9_0008C7809E09_.wvu.PrintArea" hidden="1">#REF!</definedName>
    <definedName name="Z_179EFDDD_A1B1_11D3_8FA9_0008C7809E09_.wvu.PrintTitles" localSheetId="6" hidden="1">#REF!,#REF!</definedName>
    <definedName name="Z_179EFDDD_A1B1_11D3_8FA9_0008C7809E09_.wvu.PrintTitles" localSheetId="7" hidden="1">#REF!,#REF!</definedName>
    <definedName name="Z_179EFDDD_A1B1_11D3_8FA9_0008C7809E09_.wvu.PrintTitles" localSheetId="3" hidden="1">#REF!,#REF!</definedName>
    <definedName name="Z_179EFDDD_A1B1_11D3_8FA9_0008C7809E09_.wvu.PrintTitles" localSheetId="29" hidden="1">#REF!,#REF!</definedName>
    <definedName name="Z_179EFDDD_A1B1_11D3_8FA9_0008C7809E09_.wvu.PrintTitles" hidden="1">#REF!,#REF!</definedName>
    <definedName name="Z_179EFDDE_A1B1_11D3_8FA9_0008C7809E09_.wvu.PrintArea" localSheetId="6" hidden="1">#REF!</definedName>
    <definedName name="Z_179EFDDE_A1B1_11D3_8FA9_0008C7809E09_.wvu.PrintArea" localSheetId="7" hidden="1">#REF!</definedName>
    <definedName name="Z_179EFDDE_A1B1_11D3_8FA9_0008C7809E09_.wvu.PrintArea" localSheetId="3" hidden="1">#REF!</definedName>
    <definedName name="Z_179EFDDE_A1B1_11D3_8FA9_0008C7809E09_.wvu.PrintArea" localSheetId="29" hidden="1">#REF!</definedName>
    <definedName name="Z_179EFDDE_A1B1_11D3_8FA9_0008C7809E09_.wvu.PrintArea" hidden="1">#REF!</definedName>
    <definedName name="Z_179EFDDE_A1B1_11D3_8FA9_0008C7809E09_.wvu.PrintTitles" localSheetId="6" hidden="1">#REF!,#REF!</definedName>
    <definedName name="Z_179EFDDE_A1B1_11D3_8FA9_0008C7809E09_.wvu.PrintTitles" localSheetId="7" hidden="1">#REF!,#REF!</definedName>
    <definedName name="Z_179EFDDE_A1B1_11D3_8FA9_0008C7809E09_.wvu.PrintTitles" localSheetId="3" hidden="1">#REF!,#REF!</definedName>
    <definedName name="Z_179EFDDE_A1B1_11D3_8FA9_0008C7809E09_.wvu.PrintTitles" localSheetId="29" hidden="1">#REF!,#REF!</definedName>
    <definedName name="Z_179EFDDE_A1B1_11D3_8FA9_0008C7809E09_.wvu.PrintTitles" hidden="1">#REF!,#REF!</definedName>
    <definedName name="Z_179EFDDF_A1B1_11D3_8FA9_0008C7809E09_.wvu.PrintArea" localSheetId="6" hidden="1">#REF!</definedName>
    <definedName name="Z_179EFDDF_A1B1_11D3_8FA9_0008C7809E09_.wvu.PrintArea" localSheetId="7" hidden="1">#REF!</definedName>
    <definedName name="Z_179EFDDF_A1B1_11D3_8FA9_0008C7809E09_.wvu.PrintArea" localSheetId="3" hidden="1">#REF!</definedName>
    <definedName name="Z_179EFDDF_A1B1_11D3_8FA9_0008C7809E09_.wvu.PrintArea" localSheetId="29" hidden="1">#REF!</definedName>
    <definedName name="Z_179EFDDF_A1B1_11D3_8FA9_0008C7809E09_.wvu.PrintArea" hidden="1">#REF!</definedName>
    <definedName name="Z_179EFDDF_A1B1_11D3_8FA9_0008C7809E09_.wvu.PrintTitles" localSheetId="6" hidden="1">#REF!,#REF!</definedName>
    <definedName name="Z_179EFDDF_A1B1_11D3_8FA9_0008C7809E09_.wvu.PrintTitles" localSheetId="7" hidden="1">#REF!,#REF!</definedName>
    <definedName name="Z_179EFDDF_A1B1_11D3_8FA9_0008C7809E09_.wvu.PrintTitles" localSheetId="3" hidden="1">#REF!,#REF!</definedName>
    <definedName name="Z_179EFDDF_A1B1_11D3_8FA9_0008C7809E09_.wvu.PrintTitles" localSheetId="29" hidden="1">#REF!,#REF!</definedName>
    <definedName name="Z_179EFDDF_A1B1_11D3_8FA9_0008C7809E09_.wvu.PrintTitles" hidden="1">#REF!,#REF!</definedName>
    <definedName name="Z_179EFDE0_A1B1_11D3_8FA9_0008C7809E09_.wvu.PrintArea" localSheetId="6" hidden="1">#REF!</definedName>
    <definedName name="Z_179EFDE0_A1B1_11D3_8FA9_0008C7809E09_.wvu.PrintArea" localSheetId="7" hidden="1">#REF!</definedName>
    <definedName name="Z_179EFDE0_A1B1_11D3_8FA9_0008C7809E09_.wvu.PrintArea" localSheetId="3" hidden="1">#REF!</definedName>
    <definedName name="Z_179EFDE0_A1B1_11D3_8FA9_0008C7809E09_.wvu.PrintArea" localSheetId="29" hidden="1">#REF!</definedName>
    <definedName name="Z_179EFDE0_A1B1_11D3_8FA9_0008C7809E09_.wvu.PrintArea" hidden="1">#REF!</definedName>
    <definedName name="Z_179EFDE0_A1B1_11D3_8FA9_0008C7809E09_.wvu.PrintTitles" localSheetId="6" hidden="1">#REF!,#REF!</definedName>
    <definedName name="Z_179EFDE0_A1B1_11D3_8FA9_0008C7809E09_.wvu.PrintTitles" localSheetId="7" hidden="1">#REF!,#REF!</definedName>
    <definedName name="Z_179EFDE0_A1B1_11D3_8FA9_0008C7809E09_.wvu.PrintTitles" localSheetId="3" hidden="1">#REF!,#REF!</definedName>
    <definedName name="Z_179EFDE0_A1B1_11D3_8FA9_0008C7809E09_.wvu.PrintTitles" localSheetId="29" hidden="1">#REF!,#REF!</definedName>
    <definedName name="Z_179EFDE0_A1B1_11D3_8FA9_0008C7809E09_.wvu.PrintTitles" hidden="1">#REF!,#REF!</definedName>
    <definedName name="Z_179EFDE1_A1B1_11D3_8FA9_0008C7809E09_.wvu.PrintArea" localSheetId="6" hidden="1">#REF!</definedName>
    <definedName name="Z_179EFDE1_A1B1_11D3_8FA9_0008C7809E09_.wvu.PrintArea" localSheetId="7" hidden="1">#REF!</definedName>
    <definedName name="Z_179EFDE1_A1B1_11D3_8FA9_0008C7809E09_.wvu.PrintArea" localSheetId="3" hidden="1">#REF!</definedName>
    <definedName name="Z_179EFDE1_A1B1_11D3_8FA9_0008C7809E09_.wvu.PrintArea" localSheetId="29" hidden="1">#REF!</definedName>
    <definedName name="Z_179EFDE1_A1B1_11D3_8FA9_0008C7809E09_.wvu.PrintArea" hidden="1">#REF!</definedName>
    <definedName name="Z_179EFDE1_A1B1_11D3_8FA9_0008C7809E09_.wvu.PrintTitles" localSheetId="6" hidden="1">#REF!,#REF!</definedName>
    <definedName name="Z_179EFDE1_A1B1_11D3_8FA9_0008C7809E09_.wvu.PrintTitles" localSheetId="7" hidden="1">#REF!,#REF!</definedName>
    <definedName name="Z_179EFDE1_A1B1_11D3_8FA9_0008C7809E09_.wvu.PrintTitles" localSheetId="3" hidden="1">#REF!,#REF!</definedName>
    <definedName name="Z_179EFDE1_A1B1_11D3_8FA9_0008C7809E09_.wvu.PrintTitles" localSheetId="29" hidden="1">#REF!,#REF!</definedName>
    <definedName name="Z_179EFDE1_A1B1_11D3_8FA9_0008C7809E09_.wvu.PrintTitles" hidden="1">#REF!,#REF!</definedName>
    <definedName name="Z_179EFDE2_A1B1_11D3_8FA9_0008C7809E09_.wvu.PrintArea" localSheetId="6" hidden="1">#REF!</definedName>
    <definedName name="Z_179EFDE2_A1B1_11D3_8FA9_0008C7809E09_.wvu.PrintArea" localSheetId="7" hidden="1">#REF!</definedName>
    <definedName name="Z_179EFDE2_A1B1_11D3_8FA9_0008C7809E09_.wvu.PrintArea" localSheetId="3" hidden="1">#REF!</definedName>
    <definedName name="Z_179EFDE2_A1B1_11D3_8FA9_0008C7809E09_.wvu.PrintArea" localSheetId="29" hidden="1">#REF!</definedName>
    <definedName name="Z_179EFDE2_A1B1_11D3_8FA9_0008C7809E09_.wvu.PrintArea" hidden="1">#REF!</definedName>
    <definedName name="Z_179EFDE2_A1B1_11D3_8FA9_0008C7809E09_.wvu.PrintTitles" localSheetId="6" hidden="1">#REF!,#REF!</definedName>
    <definedName name="Z_179EFDE2_A1B1_11D3_8FA9_0008C7809E09_.wvu.PrintTitles" localSheetId="7" hidden="1">#REF!,#REF!</definedName>
    <definedName name="Z_179EFDE2_A1B1_11D3_8FA9_0008C7809E09_.wvu.PrintTitles" localSheetId="3" hidden="1">#REF!,#REF!</definedName>
    <definedName name="Z_179EFDE2_A1B1_11D3_8FA9_0008C7809E09_.wvu.PrintTitles" localSheetId="29" hidden="1">#REF!,#REF!</definedName>
    <definedName name="Z_179EFDE2_A1B1_11D3_8FA9_0008C7809E09_.wvu.PrintTitles" hidden="1">#REF!,#REF!</definedName>
    <definedName name="Z_179EFDE3_A1B1_11D3_8FA9_0008C7809E09_.wvu.PrintArea" localSheetId="6" hidden="1">#REF!</definedName>
    <definedName name="Z_179EFDE3_A1B1_11D3_8FA9_0008C7809E09_.wvu.PrintArea" localSheetId="7" hidden="1">#REF!</definedName>
    <definedName name="Z_179EFDE3_A1B1_11D3_8FA9_0008C7809E09_.wvu.PrintArea" localSheetId="3" hidden="1">#REF!</definedName>
    <definedName name="Z_179EFDE3_A1B1_11D3_8FA9_0008C7809E09_.wvu.PrintArea" localSheetId="29" hidden="1">#REF!</definedName>
    <definedName name="Z_179EFDE3_A1B1_11D3_8FA9_0008C7809E09_.wvu.PrintArea" hidden="1">#REF!</definedName>
    <definedName name="Z_179EFDE3_A1B1_11D3_8FA9_0008C7809E09_.wvu.PrintTitles" localSheetId="6" hidden="1">#REF!,#REF!</definedName>
    <definedName name="Z_179EFDE3_A1B1_11D3_8FA9_0008C7809E09_.wvu.PrintTitles" localSheetId="7" hidden="1">#REF!,#REF!</definedName>
    <definedName name="Z_179EFDE3_A1B1_11D3_8FA9_0008C7809E09_.wvu.PrintTitles" localSheetId="3" hidden="1">#REF!,#REF!</definedName>
    <definedName name="Z_179EFDE3_A1B1_11D3_8FA9_0008C7809E09_.wvu.PrintTitles" localSheetId="29" hidden="1">#REF!,#REF!</definedName>
    <definedName name="Z_179EFDE3_A1B1_11D3_8FA9_0008C7809E09_.wvu.PrintTitles" hidden="1">#REF!,#REF!</definedName>
    <definedName name="Z_179EFDE4_A1B1_11D3_8FA9_0008C7809E09_.wvu.PrintArea" localSheetId="6" hidden="1">#REF!</definedName>
    <definedName name="Z_179EFDE4_A1B1_11D3_8FA9_0008C7809E09_.wvu.PrintArea" localSheetId="7" hidden="1">#REF!</definedName>
    <definedName name="Z_179EFDE4_A1B1_11D3_8FA9_0008C7809E09_.wvu.PrintArea" localSheetId="3" hidden="1">#REF!</definedName>
    <definedName name="Z_179EFDE4_A1B1_11D3_8FA9_0008C7809E09_.wvu.PrintArea" localSheetId="29" hidden="1">#REF!</definedName>
    <definedName name="Z_179EFDE4_A1B1_11D3_8FA9_0008C7809E09_.wvu.PrintArea" hidden="1">#REF!</definedName>
    <definedName name="Z_179EFDE4_A1B1_11D3_8FA9_0008C7809E09_.wvu.PrintTitles" localSheetId="6" hidden="1">#REF!,#REF!</definedName>
    <definedName name="Z_179EFDE4_A1B1_11D3_8FA9_0008C7809E09_.wvu.PrintTitles" localSheetId="7" hidden="1">#REF!,#REF!</definedName>
    <definedName name="Z_179EFDE4_A1B1_11D3_8FA9_0008C7809E09_.wvu.PrintTitles" localSheetId="3" hidden="1">#REF!,#REF!</definedName>
    <definedName name="Z_179EFDE4_A1B1_11D3_8FA9_0008C7809E09_.wvu.PrintTitles" localSheetId="29" hidden="1">#REF!,#REF!</definedName>
    <definedName name="Z_179EFDE4_A1B1_11D3_8FA9_0008C7809E09_.wvu.PrintTitles" hidden="1">#REF!,#REF!</definedName>
    <definedName name="Z_179EFDE5_A1B1_11D3_8FA9_0008C7809E09_.wvu.PrintArea" localSheetId="6" hidden="1">#REF!</definedName>
    <definedName name="Z_179EFDE5_A1B1_11D3_8FA9_0008C7809E09_.wvu.PrintArea" localSheetId="7" hidden="1">#REF!</definedName>
    <definedName name="Z_179EFDE5_A1B1_11D3_8FA9_0008C7809E09_.wvu.PrintArea" localSheetId="3" hidden="1">#REF!</definedName>
    <definedName name="Z_179EFDE5_A1B1_11D3_8FA9_0008C7809E09_.wvu.PrintArea" localSheetId="29" hidden="1">#REF!</definedName>
    <definedName name="Z_179EFDE5_A1B1_11D3_8FA9_0008C7809E09_.wvu.PrintArea" hidden="1">#REF!</definedName>
    <definedName name="Z_179EFDE5_A1B1_11D3_8FA9_0008C7809E09_.wvu.PrintTitles" localSheetId="6" hidden="1">#REF!,#REF!</definedName>
    <definedName name="Z_179EFDE5_A1B1_11D3_8FA9_0008C7809E09_.wvu.PrintTitles" localSheetId="7" hidden="1">#REF!,#REF!</definedName>
    <definedName name="Z_179EFDE5_A1B1_11D3_8FA9_0008C7809E09_.wvu.PrintTitles" localSheetId="3" hidden="1">#REF!,#REF!</definedName>
    <definedName name="Z_179EFDE5_A1B1_11D3_8FA9_0008C7809E09_.wvu.PrintTitles" localSheetId="29" hidden="1">#REF!,#REF!</definedName>
    <definedName name="Z_179EFDE5_A1B1_11D3_8FA9_0008C7809E09_.wvu.PrintTitles" hidden="1">#REF!,#REF!</definedName>
    <definedName name="Z_179EFDE6_A1B1_11D3_8FA9_0008C7809E09_.wvu.PrintArea" localSheetId="6" hidden="1">#REF!</definedName>
    <definedName name="Z_179EFDE6_A1B1_11D3_8FA9_0008C7809E09_.wvu.PrintArea" localSheetId="7" hidden="1">#REF!</definedName>
    <definedName name="Z_179EFDE6_A1B1_11D3_8FA9_0008C7809E09_.wvu.PrintArea" localSheetId="3" hidden="1">#REF!</definedName>
    <definedName name="Z_179EFDE6_A1B1_11D3_8FA9_0008C7809E09_.wvu.PrintArea" localSheetId="29" hidden="1">#REF!</definedName>
    <definedName name="Z_179EFDE6_A1B1_11D3_8FA9_0008C7809E09_.wvu.PrintArea" hidden="1">#REF!</definedName>
    <definedName name="Z_179EFDE6_A1B1_11D3_8FA9_0008C7809E09_.wvu.PrintTitles" localSheetId="6" hidden="1">#REF!</definedName>
    <definedName name="Z_179EFDE6_A1B1_11D3_8FA9_0008C7809E09_.wvu.PrintTitles" localSheetId="7" hidden="1">#REF!</definedName>
    <definedName name="Z_179EFDE6_A1B1_11D3_8FA9_0008C7809E09_.wvu.PrintTitles" localSheetId="3" hidden="1">#REF!</definedName>
    <definedName name="Z_179EFDE6_A1B1_11D3_8FA9_0008C7809E09_.wvu.PrintTitles" localSheetId="29" hidden="1">#REF!</definedName>
    <definedName name="Z_179EFDE6_A1B1_11D3_8FA9_0008C7809E09_.wvu.PrintTitles" hidden="1">#REF!</definedName>
    <definedName name="Z_179EFDE7_A1B1_11D3_8FA9_0008C7809E09_.wvu.PrintArea" localSheetId="6" hidden="1">#REF!</definedName>
    <definedName name="Z_179EFDE7_A1B1_11D3_8FA9_0008C7809E09_.wvu.PrintArea" localSheetId="7" hidden="1">#REF!</definedName>
    <definedName name="Z_179EFDE7_A1B1_11D3_8FA9_0008C7809E09_.wvu.PrintArea" localSheetId="3" hidden="1">#REF!</definedName>
    <definedName name="Z_179EFDE7_A1B1_11D3_8FA9_0008C7809E09_.wvu.PrintArea" localSheetId="29" hidden="1">#REF!</definedName>
    <definedName name="Z_179EFDE7_A1B1_11D3_8FA9_0008C7809E09_.wvu.PrintArea" hidden="1">#REF!</definedName>
    <definedName name="Z_179EFDE7_A1B1_11D3_8FA9_0008C7809E09_.wvu.PrintTitles" localSheetId="3" hidden="1">#REF!</definedName>
    <definedName name="Z_179EFDE7_A1B1_11D3_8FA9_0008C7809E09_.wvu.PrintTitles" hidden="1">#REF!</definedName>
    <definedName name="Z_179EFDE8_A1B1_11D3_8FA9_0008C7809E09_.wvu.PrintArea" localSheetId="3" hidden="1">#REF!</definedName>
    <definedName name="Z_179EFDE8_A1B1_11D3_8FA9_0008C7809E09_.wvu.PrintArea" hidden="1">#REF!</definedName>
    <definedName name="Z_179EFDE8_A1B1_11D3_8FA9_0008C7809E09_.wvu.PrintTitles" localSheetId="3" hidden="1">#REF!</definedName>
    <definedName name="Z_179EFDE8_A1B1_11D3_8FA9_0008C7809E09_.wvu.PrintTitles" hidden="1">#REF!</definedName>
    <definedName name="Z_179EFDE9_A1B1_11D3_8FA9_0008C7809E09_.wvu.PrintArea" localSheetId="3" hidden="1">#REF!</definedName>
    <definedName name="Z_179EFDE9_A1B1_11D3_8FA9_0008C7809E09_.wvu.PrintArea" hidden="1">#REF!</definedName>
    <definedName name="Z_179EFDE9_A1B1_11D3_8FA9_0008C7809E09_.wvu.PrintTitles" localSheetId="3" hidden="1">#REF!</definedName>
    <definedName name="Z_179EFDE9_A1B1_11D3_8FA9_0008C7809E09_.wvu.PrintTitles" hidden="1">#REF!</definedName>
    <definedName name="Z_179EFDEA_A1B1_11D3_8FA9_0008C7809E09_.wvu.PrintArea" localSheetId="3" hidden="1">#REF!</definedName>
    <definedName name="Z_179EFDEA_A1B1_11D3_8FA9_0008C7809E09_.wvu.PrintArea" hidden="1">#REF!</definedName>
    <definedName name="Z_179EFDEA_A1B1_11D3_8FA9_0008C7809E09_.wvu.PrintTitles" localSheetId="3" hidden="1">#REF!</definedName>
    <definedName name="Z_179EFDEA_A1B1_11D3_8FA9_0008C7809E09_.wvu.PrintTitles" hidden="1">#REF!</definedName>
    <definedName name="Z_179EFDEB_A1B1_11D3_8FA9_0008C7809E09_.wvu.PrintArea" localSheetId="3" hidden="1">#REF!</definedName>
    <definedName name="Z_179EFDEB_A1B1_11D3_8FA9_0008C7809E09_.wvu.PrintArea" hidden="1">#REF!</definedName>
    <definedName name="Z_179EFDEB_A1B1_11D3_8FA9_0008C7809E09_.wvu.PrintTitles" localSheetId="3" hidden="1">#REF!</definedName>
    <definedName name="Z_179EFDEB_A1B1_11D3_8FA9_0008C7809E09_.wvu.PrintTitles" hidden="1">#REF!</definedName>
    <definedName name="Z_179EFDEC_A1B1_11D3_8FA9_0008C7809E09_.wvu.PrintArea" localSheetId="3" hidden="1">#REF!</definedName>
    <definedName name="Z_179EFDEC_A1B1_11D3_8FA9_0008C7809E09_.wvu.PrintArea" hidden="1">#REF!</definedName>
    <definedName name="Z_179EFDEC_A1B1_11D3_8FA9_0008C7809E09_.wvu.PrintTitles" localSheetId="3" hidden="1">#REF!</definedName>
    <definedName name="Z_179EFDEC_A1B1_11D3_8FA9_0008C7809E09_.wvu.PrintTitles" hidden="1">#REF!</definedName>
    <definedName name="Z_179EFDED_A1B1_11D3_8FA9_0008C7809E09_.wvu.PrintArea" localSheetId="3" hidden="1">#REF!</definedName>
    <definedName name="Z_179EFDED_A1B1_11D3_8FA9_0008C7809E09_.wvu.PrintArea" hidden="1">#REF!</definedName>
    <definedName name="Z_179EFDED_A1B1_11D3_8FA9_0008C7809E09_.wvu.PrintTitles" localSheetId="3" hidden="1">#REF!</definedName>
    <definedName name="Z_179EFDED_A1B1_11D3_8FA9_0008C7809E09_.wvu.PrintTitles" hidden="1">#REF!</definedName>
    <definedName name="Z_179EFDEE_A1B1_11D3_8FA9_0008C7809E09_.wvu.PrintArea" localSheetId="3" hidden="1">#REF!</definedName>
    <definedName name="Z_179EFDEE_A1B1_11D3_8FA9_0008C7809E09_.wvu.PrintArea" hidden="1">#REF!</definedName>
    <definedName name="Z_179EFDEE_A1B1_11D3_8FA9_0008C7809E09_.wvu.PrintTitles" localSheetId="3" hidden="1">#REF!</definedName>
    <definedName name="Z_179EFDEE_A1B1_11D3_8FA9_0008C7809E09_.wvu.PrintTitles" hidden="1">#REF!</definedName>
    <definedName name="Z_179EFDEF_A1B1_11D3_8FA9_0008C7809E09_.wvu.PrintArea" localSheetId="3" hidden="1">#REF!</definedName>
    <definedName name="Z_179EFDEF_A1B1_11D3_8FA9_0008C7809E09_.wvu.PrintArea" hidden="1">#REF!</definedName>
    <definedName name="Z_179EFDEF_A1B1_11D3_8FA9_0008C7809E09_.wvu.PrintTitles" localSheetId="3" hidden="1">#REF!</definedName>
    <definedName name="Z_179EFDEF_A1B1_11D3_8FA9_0008C7809E09_.wvu.PrintTitles" hidden="1">#REF!</definedName>
    <definedName name="Z_179EFDF0_A1B1_11D3_8FA9_0008C7809E09_.wvu.PrintArea" localSheetId="3" hidden="1">#REF!</definedName>
    <definedName name="Z_179EFDF0_A1B1_11D3_8FA9_0008C7809E09_.wvu.PrintArea" hidden="1">#REF!</definedName>
    <definedName name="Z_179EFDF0_A1B1_11D3_8FA9_0008C7809E09_.wvu.PrintTitles" localSheetId="3" hidden="1">#REF!</definedName>
    <definedName name="Z_179EFDF0_A1B1_11D3_8FA9_0008C7809E09_.wvu.PrintTitles" hidden="1">#REF!</definedName>
    <definedName name="Z_179EFDF1_A1B1_11D3_8FA9_0008C7809E09_.wvu.PrintArea" localSheetId="3" hidden="1">#REF!</definedName>
    <definedName name="Z_179EFDF1_A1B1_11D3_8FA9_0008C7809E09_.wvu.PrintArea" hidden="1">#REF!</definedName>
    <definedName name="Z_179EFDF1_A1B1_11D3_8FA9_0008C7809E09_.wvu.PrintTitles" localSheetId="3" hidden="1">#REF!</definedName>
    <definedName name="Z_179EFDF1_A1B1_11D3_8FA9_0008C7809E09_.wvu.PrintTitles" hidden="1">#REF!</definedName>
    <definedName name="Z_179EFDF2_A1B1_11D3_8FA9_0008C7809E09_.wvu.PrintArea" localSheetId="3" hidden="1">#REF!</definedName>
    <definedName name="Z_179EFDF2_A1B1_11D3_8FA9_0008C7809E09_.wvu.PrintArea" hidden="1">#REF!</definedName>
    <definedName name="Z_179EFDF2_A1B1_11D3_8FA9_0008C7809E09_.wvu.PrintTitles" localSheetId="3" hidden="1">#REF!</definedName>
    <definedName name="Z_179EFDF2_A1B1_11D3_8FA9_0008C7809E09_.wvu.PrintTitles" hidden="1">#REF!</definedName>
    <definedName name="Z_179EFDF3_A1B1_11D3_8FA9_0008C7809E09_.wvu.PrintArea" localSheetId="3" hidden="1">#REF!</definedName>
    <definedName name="Z_179EFDF3_A1B1_11D3_8FA9_0008C7809E09_.wvu.PrintArea" hidden="1">#REF!</definedName>
    <definedName name="Z_179EFDF3_A1B1_11D3_8FA9_0008C7809E09_.wvu.PrintTitles" localSheetId="6" hidden="1">#REF!,#REF!</definedName>
    <definedName name="Z_179EFDF3_A1B1_11D3_8FA9_0008C7809E09_.wvu.PrintTitles" localSheetId="7" hidden="1">#REF!,#REF!</definedName>
    <definedName name="Z_179EFDF3_A1B1_11D3_8FA9_0008C7809E09_.wvu.PrintTitles" localSheetId="3" hidden="1">#REF!,#REF!</definedName>
    <definedName name="Z_179EFDF3_A1B1_11D3_8FA9_0008C7809E09_.wvu.PrintTitles" localSheetId="29" hidden="1">#REF!,#REF!</definedName>
    <definedName name="Z_179EFDF3_A1B1_11D3_8FA9_0008C7809E09_.wvu.PrintTitles" hidden="1">#REF!,#REF!</definedName>
    <definedName name="Z_179EFDF4_A1B1_11D3_8FA9_0008C7809E09_.wvu.PrintArea" localSheetId="6" hidden="1">#REF!</definedName>
    <definedName name="Z_179EFDF4_A1B1_11D3_8FA9_0008C7809E09_.wvu.PrintArea" localSheetId="7" hidden="1">#REF!</definedName>
    <definedName name="Z_179EFDF4_A1B1_11D3_8FA9_0008C7809E09_.wvu.PrintArea" localSheetId="3" hidden="1">#REF!</definedName>
    <definedName name="Z_179EFDF4_A1B1_11D3_8FA9_0008C7809E09_.wvu.PrintArea" localSheetId="29" hidden="1">#REF!</definedName>
    <definedName name="Z_179EFDF4_A1B1_11D3_8FA9_0008C7809E09_.wvu.PrintArea" hidden="1">#REF!</definedName>
    <definedName name="Z_179EFDF4_A1B1_11D3_8FA9_0008C7809E09_.wvu.PrintTitles" localSheetId="6" hidden="1">#REF!,#REF!</definedName>
    <definedName name="Z_179EFDF4_A1B1_11D3_8FA9_0008C7809E09_.wvu.PrintTitles" localSheetId="7" hidden="1">#REF!,#REF!</definedName>
    <definedName name="Z_179EFDF4_A1B1_11D3_8FA9_0008C7809E09_.wvu.PrintTitles" localSheetId="3" hidden="1">#REF!,#REF!</definedName>
    <definedName name="Z_179EFDF4_A1B1_11D3_8FA9_0008C7809E09_.wvu.PrintTitles" localSheetId="29" hidden="1">#REF!,#REF!</definedName>
    <definedName name="Z_179EFDF4_A1B1_11D3_8FA9_0008C7809E09_.wvu.PrintTitles" hidden="1">#REF!,#REF!</definedName>
    <definedName name="Z_179EFDF5_A1B1_11D3_8FA9_0008C7809E09_.wvu.PrintArea" localSheetId="6" hidden="1">#REF!</definedName>
    <definedName name="Z_179EFDF5_A1B1_11D3_8FA9_0008C7809E09_.wvu.PrintArea" localSheetId="7" hidden="1">#REF!</definedName>
    <definedName name="Z_179EFDF5_A1B1_11D3_8FA9_0008C7809E09_.wvu.PrintArea" localSheetId="3" hidden="1">#REF!</definedName>
    <definedName name="Z_179EFDF5_A1B1_11D3_8FA9_0008C7809E09_.wvu.PrintArea" localSheetId="29" hidden="1">#REF!</definedName>
    <definedName name="Z_179EFDF5_A1B1_11D3_8FA9_0008C7809E09_.wvu.PrintArea" hidden="1">#REF!</definedName>
    <definedName name="Z_179EFDF5_A1B1_11D3_8FA9_0008C7809E09_.wvu.PrintTitles" localSheetId="6" hidden="1">#REF!,#REF!</definedName>
    <definedName name="Z_179EFDF5_A1B1_11D3_8FA9_0008C7809E09_.wvu.PrintTitles" localSheetId="7" hidden="1">#REF!,#REF!</definedName>
    <definedName name="Z_179EFDF5_A1B1_11D3_8FA9_0008C7809E09_.wvu.PrintTitles" localSheetId="3" hidden="1">#REF!,#REF!</definedName>
    <definedName name="Z_179EFDF5_A1B1_11D3_8FA9_0008C7809E09_.wvu.PrintTitles" localSheetId="29" hidden="1">#REF!,#REF!</definedName>
    <definedName name="Z_179EFDF5_A1B1_11D3_8FA9_0008C7809E09_.wvu.PrintTitles" hidden="1">#REF!,#REF!</definedName>
    <definedName name="Z_179EFDF6_A1B1_11D3_8FA9_0008C7809E09_.wvu.PrintArea" localSheetId="6" hidden="1">#REF!</definedName>
    <definedName name="Z_179EFDF6_A1B1_11D3_8FA9_0008C7809E09_.wvu.PrintArea" localSheetId="7" hidden="1">#REF!</definedName>
    <definedName name="Z_179EFDF6_A1B1_11D3_8FA9_0008C7809E09_.wvu.PrintArea" localSheetId="3" hidden="1">#REF!</definedName>
    <definedName name="Z_179EFDF6_A1B1_11D3_8FA9_0008C7809E09_.wvu.PrintArea" localSheetId="29" hidden="1">#REF!</definedName>
    <definedName name="Z_179EFDF6_A1B1_11D3_8FA9_0008C7809E09_.wvu.PrintArea" hidden="1">#REF!</definedName>
    <definedName name="Z_179EFDF6_A1B1_11D3_8FA9_0008C7809E09_.wvu.PrintTitles" localSheetId="6" hidden="1">#REF!,#REF!</definedName>
    <definedName name="Z_179EFDF6_A1B1_11D3_8FA9_0008C7809E09_.wvu.PrintTitles" localSheetId="7" hidden="1">#REF!,#REF!</definedName>
    <definedName name="Z_179EFDF6_A1B1_11D3_8FA9_0008C7809E09_.wvu.PrintTitles" localSheetId="3" hidden="1">#REF!,#REF!</definedName>
    <definedName name="Z_179EFDF6_A1B1_11D3_8FA9_0008C7809E09_.wvu.PrintTitles" localSheetId="29" hidden="1">#REF!,#REF!</definedName>
    <definedName name="Z_179EFDF6_A1B1_11D3_8FA9_0008C7809E09_.wvu.PrintTitles" hidden="1">#REF!,#REF!</definedName>
    <definedName name="Z_179EFDF7_A1B1_11D3_8FA9_0008C7809E09_.wvu.PrintArea" localSheetId="6" hidden="1">#REF!</definedName>
    <definedName name="Z_179EFDF7_A1B1_11D3_8FA9_0008C7809E09_.wvu.PrintArea" localSheetId="7" hidden="1">#REF!</definedName>
    <definedName name="Z_179EFDF7_A1B1_11D3_8FA9_0008C7809E09_.wvu.PrintArea" localSheetId="3" hidden="1">#REF!</definedName>
    <definedName name="Z_179EFDF7_A1B1_11D3_8FA9_0008C7809E09_.wvu.PrintArea" localSheetId="29" hidden="1">#REF!</definedName>
    <definedName name="Z_179EFDF7_A1B1_11D3_8FA9_0008C7809E09_.wvu.PrintArea" hidden="1">#REF!</definedName>
    <definedName name="Z_179EFDF7_A1B1_11D3_8FA9_0008C7809E09_.wvu.PrintTitles" localSheetId="6" hidden="1">#REF!,#REF!</definedName>
    <definedName name="Z_179EFDF7_A1B1_11D3_8FA9_0008C7809E09_.wvu.PrintTitles" localSheetId="7" hidden="1">#REF!,#REF!</definedName>
    <definedName name="Z_179EFDF7_A1B1_11D3_8FA9_0008C7809E09_.wvu.PrintTitles" localSheetId="3" hidden="1">#REF!,#REF!</definedName>
    <definedName name="Z_179EFDF7_A1B1_11D3_8FA9_0008C7809E09_.wvu.PrintTitles" localSheetId="29" hidden="1">#REF!,#REF!</definedName>
    <definedName name="Z_179EFDF7_A1B1_11D3_8FA9_0008C7809E09_.wvu.PrintTitles" hidden="1">#REF!,#REF!</definedName>
    <definedName name="Z_179EFDF8_A1B1_11D3_8FA9_0008C7809E09_.wvu.PrintArea" localSheetId="6" hidden="1">#REF!</definedName>
    <definedName name="Z_179EFDF8_A1B1_11D3_8FA9_0008C7809E09_.wvu.PrintArea" localSheetId="7" hidden="1">#REF!</definedName>
    <definedName name="Z_179EFDF8_A1B1_11D3_8FA9_0008C7809E09_.wvu.PrintArea" localSheetId="3" hidden="1">#REF!</definedName>
    <definedName name="Z_179EFDF8_A1B1_11D3_8FA9_0008C7809E09_.wvu.PrintArea" localSheetId="29" hidden="1">#REF!</definedName>
    <definedName name="Z_179EFDF8_A1B1_11D3_8FA9_0008C7809E09_.wvu.PrintArea" hidden="1">#REF!</definedName>
    <definedName name="Z_179EFDF8_A1B1_11D3_8FA9_0008C7809E09_.wvu.PrintTitles" localSheetId="6" hidden="1">#REF!,#REF!</definedName>
    <definedName name="Z_179EFDF8_A1B1_11D3_8FA9_0008C7809E09_.wvu.PrintTitles" localSheetId="7" hidden="1">#REF!,#REF!</definedName>
    <definedName name="Z_179EFDF8_A1B1_11D3_8FA9_0008C7809E09_.wvu.PrintTitles" localSheetId="3" hidden="1">#REF!,#REF!</definedName>
    <definedName name="Z_179EFDF8_A1B1_11D3_8FA9_0008C7809E09_.wvu.PrintTitles" localSheetId="29" hidden="1">#REF!,#REF!</definedName>
    <definedName name="Z_179EFDF8_A1B1_11D3_8FA9_0008C7809E09_.wvu.PrintTitles" hidden="1">#REF!,#REF!</definedName>
    <definedName name="Z_179EFDF9_A1B1_11D3_8FA9_0008C7809E09_.wvu.PrintArea" localSheetId="6" hidden="1">#REF!</definedName>
    <definedName name="Z_179EFDF9_A1B1_11D3_8FA9_0008C7809E09_.wvu.PrintArea" localSheetId="7" hidden="1">#REF!</definedName>
    <definedName name="Z_179EFDF9_A1B1_11D3_8FA9_0008C7809E09_.wvu.PrintArea" localSheetId="3" hidden="1">#REF!</definedName>
    <definedName name="Z_179EFDF9_A1B1_11D3_8FA9_0008C7809E09_.wvu.PrintArea" localSheetId="29" hidden="1">#REF!</definedName>
    <definedName name="Z_179EFDF9_A1B1_11D3_8FA9_0008C7809E09_.wvu.PrintArea" hidden="1">#REF!</definedName>
    <definedName name="Z_179EFDF9_A1B1_11D3_8FA9_0008C7809E09_.wvu.PrintTitles" localSheetId="6" hidden="1">#REF!,#REF!</definedName>
    <definedName name="Z_179EFDF9_A1B1_11D3_8FA9_0008C7809E09_.wvu.PrintTitles" localSheetId="7" hidden="1">#REF!,#REF!</definedName>
    <definedName name="Z_179EFDF9_A1B1_11D3_8FA9_0008C7809E09_.wvu.PrintTitles" localSheetId="3" hidden="1">#REF!,#REF!</definedName>
    <definedName name="Z_179EFDF9_A1B1_11D3_8FA9_0008C7809E09_.wvu.PrintTitles" localSheetId="29" hidden="1">#REF!,#REF!</definedName>
    <definedName name="Z_179EFDF9_A1B1_11D3_8FA9_0008C7809E09_.wvu.PrintTitles" hidden="1">#REF!,#REF!</definedName>
    <definedName name="Z_179EFDFA_A1B1_11D3_8FA9_0008C7809E09_.wvu.PrintArea" localSheetId="6" hidden="1">#REF!</definedName>
    <definedName name="Z_179EFDFA_A1B1_11D3_8FA9_0008C7809E09_.wvu.PrintArea" localSheetId="7" hidden="1">#REF!</definedName>
    <definedName name="Z_179EFDFA_A1B1_11D3_8FA9_0008C7809E09_.wvu.PrintArea" localSheetId="3" hidden="1">#REF!</definedName>
    <definedName name="Z_179EFDFA_A1B1_11D3_8FA9_0008C7809E09_.wvu.PrintArea" localSheetId="29" hidden="1">#REF!</definedName>
    <definedName name="Z_179EFDFA_A1B1_11D3_8FA9_0008C7809E09_.wvu.PrintArea" hidden="1">#REF!</definedName>
    <definedName name="Z_179EFDFA_A1B1_11D3_8FA9_0008C7809E09_.wvu.PrintTitles" localSheetId="6" hidden="1">#REF!,#REF!</definedName>
    <definedName name="Z_179EFDFA_A1B1_11D3_8FA9_0008C7809E09_.wvu.PrintTitles" localSheetId="7" hidden="1">#REF!,#REF!</definedName>
    <definedName name="Z_179EFDFA_A1B1_11D3_8FA9_0008C7809E09_.wvu.PrintTitles" localSheetId="3" hidden="1">#REF!,#REF!</definedName>
    <definedName name="Z_179EFDFA_A1B1_11D3_8FA9_0008C7809E09_.wvu.PrintTitles" localSheetId="29" hidden="1">#REF!,#REF!</definedName>
    <definedName name="Z_179EFDFA_A1B1_11D3_8FA9_0008C7809E09_.wvu.PrintTitles" hidden="1">#REF!,#REF!</definedName>
    <definedName name="Z_179EFDFB_A1B1_11D3_8FA9_0008C7809E09_.wvu.PrintArea" localSheetId="6" hidden="1">#REF!</definedName>
    <definedName name="Z_179EFDFB_A1B1_11D3_8FA9_0008C7809E09_.wvu.PrintArea" localSheetId="7" hidden="1">#REF!</definedName>
    <definedName name="Z_179EFDFB_A1B1_11D3_8FA9_0008C7809E09_.wvu.PrintArea" localSheetId="3" hidden="1">#REF!</definedName>
    <definedName name="Z_179EFDFB_A1B1_11D3_8FA9_0008C7809E09_.wvu.PrintArea" localSheetId="29" hidden="1">#REF!</definedName>
    <definedName name="Z_179EFDFB_A1B1_11D3_8FA9_0008C7809E09_.wvu.PrintArea" hidden="1">#REF!</definedName>
    <definedName name="Z_179EFDFB_A1B1_11D3_8FA9_0008C7809E09_.wvu.PrintTitles" localSheetId="6" hidden="1">#REF!,#REF!</definedName>
    <definedName name="Z_179EFDFB_A1B1_11D3_8FA9_0008C7809E09_.wvu.PrintTitles" localSheetId="7" hidden="1">#REF!,#REF!</definedName>
    <definedName name="Z_179EFDFB_A1B1_11D3_8FA9_0008C7809E09_.wvu.PrintTitles" localSheetId="3" hidden="1">#REF!,#REF!</definedName>
    <definedName name="Z_179EFDFB_A1B1_11D3_8FA9_0008C7809E09_.wvu.PrintTitles" localSheetId="29" hidden="1">#REF!,#REF!</definedName>
    <definedName name="Z_179EFDFB_A1B1_11D3_8FA9_0008C7809E09_.wvu.PrintTitles" hidden="1">#REF!,#REF!</definedName>
    <definedName name="Z_179EFDFC_A1B1_11D3_8FA9_0008C7809E09_.wvu.PrintArea" localSheetId="6" hidden="1">#REF!</definedName>
    <definedName name="Z_179EFDFC_A1B1_11D3_8FA9_0008C7809E09_.wvu.PrintArea" localSheetId="7" hidden="1">#REF!</definedName>
    <definedName name="Z_179EFDFC_A1B1_11D3_8FA9_0008C7809E09_.wvu.PrintArea" localSheetId="3" hidden="1">#REF!</definedName>
    <definedName name="Z_179EFDFC_A1B1_11D3_8FA9_0008C7809E09_.wvu.PrintArea" localSheetId="29" hidden="1">#REF!</definedName>
    <definedName name="Z_179EFDFC_A1B1_11D3_8FA9_0008C7809E09_.wvu.PrintArea" hidden="1">#REF!</definedName>
    <definedName name="Z_179EFDFC_A1B1_11D3_8FA9_0008C7809E09_.wvu.PrintTitles" localSheetId="6" hidden="1">#REF!,#REF!</definedName>
    <definedName name="Z_179EFDFC_A1B1_11D3_8FA9_0008C7809E09_.wvu.PrintTitles" localSheetId="7" hidden="1">#REF!,#REF!</definedName>
    <definedName name="Z_179EFDFC_A1B1_11D3_8FA9_0008C7809E09_.wvu.PrintTitles" localSheetId="3" hidden="1">#REF!,#REF!</definedName>
    <definedName name="Z_179EFDFC_A1B1_11D3_8FA9_0008C7809E09_.wvu.PrintTitles" localSheetId="29" hidden="1">#REF!,#REF!</definedName>
    <definedName name="Z_179EFDFC_A1B1_11D3_8FA9_0008C7809E09_.wvu.PrintTitles" hidden="1">#REF!,#REF!</definedName>
    <definedName name="Z_179EFDFD_A1B1_11D3_8FA9_0008C7809E09_.wvu.PrintArea" localSheetId="6" hidden="1">#REF!</definedName>
    <definedName name="Z_179EFDFD_A1B1_11D3_8FA9_0008C7809E09_.wvu.PrintArea" localSheetId="7" hidden="1">#REF!</definedName>
    <definedName name="Z_179EFDFD_A1B1_11D3_8FA9_0008C7809E09_.wvu.PrintArea" localSheetId="3" hidden="1">#REF!</definedName>
    <definedName name="Z_179EFDFD_A1B1_11D3_8FA9_0008C7809E09_.wvu.PrintArea" localSheetId="29" hidden="1">#REF!</definedName>
    <definedName name="Z_179EFDFD_A1B1_11D3_8FA9_0008C7809E09_.wvu.PrintArea" hidden="1">#REF!</definedName>
    <definedName name="Z_179EFDFD_A1B1_11D3_8FA9_0008C7809E09_.wvu.PrintTitles" localSheetId="6" hidden="1">#REF!,#REF!</definedName>
    <definedName name="Z_179EFDFD_A1B1_11D3_8FA9_0008C7809E09_.wvu.PrintTitles" localSheetId="7" hidden="1">#REF!,#REF!</definedName>
    <definedName name="Z_179EFDFD_A1B1_11D3_8FA9_0008C7809E09_.wvu.PrintTitles" localSheetId="3" hidden="1">#REF!,#REF!</definedName>
    <definedName name="Z_179EFDFD_A1B1_11D3_8FA9_0008C7809E09_.wvu.PrintTitles" localSheetId="29" hidden="1">#REF!,#REF!</definedName>
    <definedName name="Z_179EFDFD_A1B1_11D3_8FA9_0008C7809E09_.wvu.PrintTitles" hidden="1">#REF!,#REF!</definedName>
    <definedName name="Z_179EFDFE_A1B1_11D3_8FA9_0008C7809E09_.wvu.PrintArea" localSheetId="6" hidden="1">#REF!</definedName>
    <definedName name="Z_179EFDFE_A1B1_11D3_8FA9_0008C7809E09_.wvu.PrintArea" localSheetId="7" hidden="1">#REF!</definedName>
    <definedName name="Z_179EFDFE_A1B1_11D3_8FA9_0008C7809E09_.wvu.PrintArea" localSheetId="3" hidden="1">#REF!</definedName>
    <definedName name="Z_179EFDFE_A1B1_11D3_8FA9_0008C7809E09_.wvu.PrintArea" localSheetId="29" hidden="1">#REF!</definedName>
    <definedName name="Z_179EFDFE_A1B1_11D3_8FA9_0008C7809E09_.wvu.PrintArea" hidden="1">#REF!</definedName>
    <definedName name="Z_179EFDFE_A1B1_11D3_8FA9_0008C7809E09_.wvu.PrintTitles" localSheetId="6" hidden="1">#REF!,#REF!</definedName>
    <definedName name="Z_179EFDFE_A1B1_11D3_8FA9_0008C7809E09_.wvu.PrintTitles" localSheetId="7" hidden="1">#REF!,#REF!</definedName>
    <definedName name="Z_179EFDFE_A1B1_11D3_8FA9_0008C7809E09_.wvu.PrintTitles" localSheetId="3" hidden="1">#REF!,#REF!</definedName>
    <definedName name="Z_179EFDFE_A1B1_11D3_8FA9_0008C7809E09_.wvu.PrintTitles" localSheetId="29" hidden="1">#REF!,#REF!</definedName>
    <definedName name="Z_179EFDFE_A1B1_11D3_8FA9_0008C7809E09_.wvu.PrintTitles" hidden="1">#REF!,#REF!</definedName>
    <definedName name="Z_179EFDFF_A1B1_11D3_8FA9_0008C7809E09_.wvu.PrintArea" localSheetId="6" hidden="1">#REF!</definedName>
    <definedName name="Z_179EFDFF_A1B1_11D3_8FA9_0008C7809E09_.wvu.PrintArea" localSheetId="7" hidden="1">#REF!</definedName>
    <definedName name="Z_179EFDFF_A1B1_11D3_8FA9_0008C7809E09_.wvu.PrintArea" localSheetId="3" hidden="1">#REF!</definedName>
    <definedName name="Z_179EFDFF_A1B1_11D3_8FA9_0008C7809E09_.wvu.PrintArea" localSheetId="29" hidden="1">#REF!</definedName>
    <definedName name="Z_179EFDFF_A1B1_11D3_8FA9_0008C7809E09_.wvu.PrintArea" hidden="1">#REF!</definedName>
    <definedName name="Z_179EFDFF_A1B1_11D3_8FA9_0008C7809E09_.wvu.PrintTitles" localSheetId="6" hidden="1">#REF!,#REF!</definedName>
    <definedName name="Z_179EFDFF_A1B1_11D3_8FA9_0008C7809E09_.wvu.PrintTitles" localSheetId="7" hidden="1">#REF!,#REF!</definedName>
    <definedName name="Z_179EFDFF_A1B1_11D3_8FA9_0008C7809E09_.wvu.PrintTitles" localSheetId="3" hidden="1">#REF!,#REF!</definedName>
    <definedName name="Z_179EFDFF_A1B1_11D3_8FA9_0008C7809E09_.wvu.PrintTitles" localSheetId="29" hidden="1">#REF!,#REF!</definedName>
    <definedName name="Z_179EFDFF_A1B1_11D3_8FA9_0008C7809E09_.wvu.PrintTitles" hidden="1">#REF!,#REF!</definedName>
    <definedName name="Z_179EFE00_A1B1_11D3_8FA9_0008C7809E09_.wvu.PrintArea" localSheetId="6" hidden="1">#REF!</definedName>
    <definedName name="Z_179EFE00_A1B1_11D3_8FA9_0008C7809E09_.wvu.PrintArea" localSheetId="7" hidden="1">#REF!</definedName>
    <definedName name="Z_179EFE00_A1B1_11D3_8FA9_0008C7809E09_.wvu.PrintArea" localSheetId="3" hidden="1">#REF!</definedName>
    <definedName name="Z_179EFE00_A1B1_11D3_8FA9_0008C7809E09_.wvu.PrintArea" localSheetId="29" hidden="1">#REF!</definedName>
    <definedName name="Z_179EFE00_A1B1_11D3_8FA9_0008C7809E09_.wvu.PrintArea" hidden="1">#REF!</definedName>
    <definedName name="Z_179EFE00_A1B1_11D3_8FA9_0008C7809E09_.wvu.PrintTitles" localSheetId="6" hidden="1">#REF!,#REF!</definedName>
    <definedName name="Z_179EFE00_A1B1_11D3_8FA9_0008C7809E09_.wvu.PrintTitles" localSheetId="7" hidden="1">#REF!,#REF!</definedName>
    <definedName name="Z_179EFE00_A1B1_11D3_8FA9_0008C7809E09_.wvu.PrintTitles" localSheetId="3" hidden="1">#REF!,#REF!</definedName>
    <definedName name="Z_179EFE00_A1B1_11D3_8FA9_0008C7809E09_.wvu.PrintTitles" localSheetId="29" hidden="1">#REF!,#REF!</definedName>
    <definedName name="Z_179EFE00_A1B1_11D3_8FA9_0008C7809E09_.wvu.PrintTitles" hidden="1">#REF!,#REF!</definedName>
    <definedName name="Z_179EFE01_A1B1_11D3_8FA9_0008C7809E09_.wvu.PrintArea" localSheetId="6" hidden="1">#REF!</definedName>
    <definedName name="Z_179EFE01_A1B1_11D3_8FA9_0008C7809E09_.wvu.PrintArea" localSheetId="7" hidden="1">#REF!</definedName>
    <definedName name="Z_179EFE01_A1B1_11D3_8FA9_0008C7809E09_.wvu.PrintArea" localSheetId="3" hidden="1">#REF!</definedName>
    <definedName name="Z_179EFE01_A1B1_11D3_8FA9_0008C7809E09_.wvu.PrintArea" localSheetId="29" hidden="1">#REF!</definedName>
    <definedName name="Z_179EFE01_A1B1_11D3_8FA9_0008C7809E09_.wvu.PrintArea" hidden="1">#REF!</definedName>
    <definedName name="Z_179EFE01_A1B1_11D3_8FA9_0008C7809E09_.wvu.PrintTitles" localSheetId="6" hidden="1">#REF!,#REF!</definedName>
    <definedName name="Z_179EFE01_A1B1_11D3_8FA9_0008C7809E09_.wvu.PrintTitles" localSheetId="7" hidden="1">#REF!,#REF!</definedName>
    <definedName name="Z_179EFE01_A1B1_11D3_8FA9_0008C7809E09_.wvu.PrintTitles" localSheetId="3" hidden="1">#REF!,#REF!</definedName>
    <definedName name="Z_179EFE01_A1B1_11D3_8FA9_0008C7809E09_.wvu.PrintTitles" localSheetId="29" hidden="1">#REF!,#REF!</definedName>
    <definedName name="Z_179EFE01_A1B1_11D3_8FA9_0008C7809E09_.wvu.PrintTitles" hidden="1">#REF!,#REF!</definedName>
    <definedName name="Z_179EFE02_A1B1_11D3_8FA9_0008C7809E09_.wvu.PrintArea" localSheetId="6" hidden="1">#REF!</definedName>
    <definedName name="Z_179EFE02_A1B1_11D3_8FA9_0008C7809E09_.wvu.PrintArea" localSheetId="7" hidden="1">#REF!</definedName>
    <definedName name="Z_179EFE02_A1B1_11D3_8FA9_0008C7809E09_.wvu.PrintArea" localSheetId="3" hidden="1">#REF!</definedName>
    <definedName name="Z_179EFE02_A1B1_11D3_8FA9_0008C7809E09_.wvu.PrintArea" localSheetId="29" hidden="1">#REF!</definedName>
    <definedName name="Z_179EFE02_A1B1_11D3_8FA9_0008C7809E09_.wvu.PrintArea" hidden="1">#REF!</definedName>
    <definedName name="Z_179EFE02_A1B1_11D3_8FA9_0008C7809E09_.wvu.PrintTitles" localSheetId="6" hidden="1">#REF!,#REF!</definedName>
    <definedName name="Z_179EFE02_A1B1_11D3_8FA9_0008C7809E09_.wvu.PrintTitles" localSheetId="7" hidden="1">#REF!,#REF!</definedName>
    <definedName name="Z_179EFE02_A1B1_11D3_8FA9_0008C7809E09_.wvu.PrintTitles" localSheetId="3" hidden="1">#REF!,#REF!</definedName>
    <definedName name="Z_179EFE02_A1B1_11D3_8FA9_0008C7809E09_.wvu.PrintTitles" localSheetId="29" hidden="1">#REF!,#REF!</definedName>
    <definedName name="Z_179EFE02_A1B1_11D3_8FA9_0008C7809E09_.wvu.PrintTitles" hidden="1">#REF!,#REF!</definedName>
    <definedName name="Z_179EFE03_A1B1_11D3_8FA9_0008C7809E09_.wvu.PrintArea" localSheetId="6" hidden="1">#REF!</definedName>
    <definedName name="Z_179EFE03_A1B1_11D3_8FA9_0008C7809E09_.wvu.PrintArea" localSheetId="7" hidden="1">#REF!</definedName>
    <definedName name="Z_179EFE03_A1B1_11D3_8FA9_0008C7809E09_.wvu.PrintArea" localSheetId="3" hidden="1">#REF!</definedName>
    <definedName name="Z_179EFE03_A1B1_11D3_8FA9_0008C7809E09_.wvu.PrintArea" localSheetId="29" hidden="1">#REF!</definedName>
    <definedName name="Z_179EFE03_A1B1_11D3_8FA9_0008C7809E09_.wvu.PrintArea" hidden="1">#REF!</definedName>
    <definedName name="Z_179EFE03_A1B1_11D3_8FA9_0008C7809E09_.wvu.PrintTitles" localSheetId="6" hidden="1">#REF!,#REF!</definedName>
    <definedName name="Z_179EFE03_A1B1_11D3_8FA9_0008C7809E09_.wvu.PrintTitles" localSheetId="7" hidden="1">#REF!,#REF!</definedName>
    <definedName name="Z_179EFE03_A1B1_11D3_8FA9_0008C7809E09_.wvu.PrintTitles" localSheetId="3" hidden="1">#REF!,#REF!</definedName>
    <definedName name="Z_179EFE03_A1B1_11D3_8FA9_0008C7809E09_.wvu.PrintTitles" localSheetId="29" hidden="1">#REF!,#REF!</definedName>
    <definedName name="Z_179EFE03_A1B1_11D3_8FA9_0008C7809E09_.wvu.PrintTitles" hidden="1">#REF!,#REF!</definedName>
    <definedName name="Z_179EFE04_A1B1_11D3_8FA9_0008C7809E09_.wvu.PrintArea" localSheetId="6" hidden="1">#REF!</definedName>
    <definedName name="Z_179EFE04_A1B1_11D3_8FA9_0008C7809E09_.wvu.PrintArea" localSheetId="7" hidden="1">#REF!</definedName>
    <definedName name="Z_179EFE04_A1B1_11D3_8FA9_0008C7809E09_.wvu.PrintArea" localSheetId="3" hidden="1">#REF!</definedName>
    <definedName name="Z_179EFE04_A1B1_11D3_8FA9_0008C7809E09_.wvu.PrintArea" localSheetId="29" hidden="1">#REF!</definedName>
    <definedName name="Z_179EFE04_A1B1_11D3_8FA9_0008C7809E09_.wvu.PrintArea" hidden="1">#REF!</definedName>
    <definedName name="Z_179EFE04_A1B1_11D3_8FA9_0008C7809E09_.wvu.PrintTitles" localSheetId="6" hidden="1">#REF!,#REF!</definedName>
    <definedName name="Z_179EFE04_A1B1_11D3_8FA9_0008C7809E09_.wvu.PrintTitles" localSheetId="7" hidden="1">#REF!,#REF!</definedName>
    <definedName name="Z_179EFE04_A1B1_11D3_8FA9_0008C7809E09_.wvu.PrintTitles" localSheetId="3" hidden="1">#REF!,#REF!</definedName>
    <definedName name="Z_179EFE04_A1B1_11D3_8FA9_0008C7809E09_.wvu.PrintTitles" localSheetId="29" hidden="1">#REF!,#REF!</definedName>
    <definedName name="Z_179EFE04_A1B1_11D3_8FA9_0008C7809E09_.wvu.PrintTitles" hidden="1">#REF!,#REF!</definedName>
    <definedName name="Z_179EFE05_A1B1_11D3_8FA9_0008C7809E09_.wvu.PrintArea" localSheetId="6" hidden="1">#REF!</definedName>
    <definedName name="Z_179EFE05_A1B1_11D3_8FA9_0008C7809E09_.wvu.PrintArea" localSheetId="7" hidden="1">#REF!</definedName>
    <definedName name="Z_179EFE05_A1B1_11D3_8FA9_0008C7809E09_.wvu.PrintArea" localSheetId="3" hidden="1">#REF!</definedName>
    <definedName name="Z_179EFE05_A1B1_11D3_8FA9_0008C7809E09_.wvu.PrintArea" localSheetId="29" hidden="1">#REF!</definedName>
    <definedName name="Z_179EFE05_A1B1_11D3_8FA9_0008C7809E09_.wvu.PrintArea" hidden="1">#REF!</definedName>
    <definedName name="Z_179EFE05_A1B1_11D3_8FA9_0008C7809E09_.wvu.PrintTitles" localSheetId="6" hidden="1">#REF!,#REF!</definedName>
    <definedName name="Z_179EFE05_A1B1_11D3_8FA9_0008C7809E09_.wvu.PrintTitles" localSheetId="7" hidden="1">#REF!,#REF!</definedName>
    <definedName name="Z_179EFE05_A1B1_11D3_8FA9_0008C7809E09_.wvu.PrintTitles" localSheetId="3" hidden="1">#REF!,#REF!</definedName>
    <definedName name="Z_179EFE05_A1B1_11D3_8FA9_0008C7809E09_.wvu.PrintTitles" localSheetId="29" hidden="1">#REF!,#REF!</definedName>
    <definedName name="Z_179EFE05_A1B1_11D3_8FA9_0008C7809E09_.wvu.PrintTitles" hidden="1">#REF!,#REF!</definedName>
    <definedName name="Z_179EFE06_A1B1_11D3_8FA9_0008C7809E09_.wvu.PrintArea" localSheetId="6" hidden="1">#REF!</definedName>
    <definedName name="Z_179EFE06_A1B1_11D3_8FA9_0008C7809E09_.wvu.PrintArea" localSheetId="7" hidden="1">#REF!</definedName>
    <definedName name="Z_179EFE06_A1B1_11D3_8FA9_0008C7809E09_.wvu.PrintArea" localSheetId="3" hidden="1">#REF!</definedName>
    <definedName name="Z_179EFE06_A1B1_11D3_8FA9_0008C7809E09_.wvu.PrintArea" localSheetId="29" hidden="1">#REF!</definedName>
    <definedName name="Z_179EFE06_A1B1_11D3_8FA9_0008C7809E09_.wvu.PrintArea" hidden="1">#REF!</definedName>
    <definedName name="Z_179EFE06_A1B1_11D3_8FA9_0008C7809E09_.wvu.PrintTitles" localSheetId="6" hidden="1">#REF!,#REF!</definedName>
    <definedName name="Z_179EFE06_A1B1_11D3_8FA9_0008C7809E09_.wvu.PrintTitles" localSheetId="7" hidden="1">#REF!,#REF!</definedName>
    <definedName name="Z_179EFE06_A1B1_11D3_8FA9_0008C7809E09_.wvu.PrintTitles" localSheetId="3" hidden="1">#REF!,#REF!</definedName>
    <definedName name="Z_179EFE06_A1B1_11D3_8FA9_0008C7809E09_.wvu.PrintTitles" localSheetId="29" hidden="1">#REF!,#REF!</definedName>
    <definedName name="Z_179EFE06_A1B1_11D3_8FA9_0008C7809E09_.wvu.PrintTitles" hidden="1">#REF!,#REF!</definedName>
    <definedName name="Z_179EFE07_A1B1_11D3_8FA9_0008C7809E09_.wvu.PrintArea" localSheetId="6" hidden="1">#REF!</definedName>
    <definedName name="Z_179EFE07_A1B1_11D3_8FA9_0008C7809E09_.wvu.PrintArea" localSheetId="7" hidden="1">#REF!</definedName>
    <definedName name="Z_179EFE07_A1B1_11D3_8FA9_0008C7809E09_.wvu.PrintArea" localSheetId="3" hidden="1">#REF!</definedName>
    <definedName name="Z_179EFE07_A1B1_11D3_8FA9_0008C7809E09_.wvu.PrintArea" localSheetId="29" hidden="1">#REF!</definedName>
    <definedName name="Z_179EFE07_A1B1_11D3_8FA9_0008C7809E09_.wvu.PrintArea" hidden="1">#REF!</definedName>
    <definedName name="Z_179EFE07_A1B1_11D3_8FA9_0008C7809E09_.wvu.PrintTitles" localSheetId="6" hidden="1">#REF!,#REF!</definedName>
    <definedName name="Z_179EFE07_A1B1_11D3_8FA9_0008C7809E09_.wvu.PrintTitles" localSheetId="7" hidden="1">#REF!,#REF!</definedName>
    <definedName name="Z_179EFE07_A1B1_11D3_8FA9_0008C7809E09_.wvu.PrintTitles" localSheetId="3" hidden="1">#REF!,#REF!</definedName>
    <definedName name="Z_179EFE07_A1B1_11D3_8FA9_0008C7809E09_.wvu.PrintTitles" localSheetId="29" hidden="1">#REF!,#REF!</definedName>
    <definedName name="Z_179EFE07_A1B1_11D3_8FA9_0008C7809E09_.wvu.PrintTitles" hidden="1">#REF!,#REF!</definedName>
    <definedName name="Z_179EFE08_A1B1_11D3_8FA9_0008C7809E09_.wvu.PrintArea" localSheetId="6" hidden="1">#REF!</definedName>
    <definedName name="Z_179EFE08_A1B1_11D3_8FA9_0008C7809E09_.wvu.PrintArea" localSheetId="7" hidden="1">#REF!</definedName>
    <definedName name="Z_179EFE08_A1B1_11D3_8FA9_0008C7809E09_.wvu.PrintArea" localSheetId="3" hidden="1">#REF!</definedName>
    <definedName name="Z_179EFE08_A1B1_11D3_8FA9_0008C7809E09_.wvu.PrintArea" localSheetId="29" hidden="1">#REF!</definedName>
    <definedName name="Z_179EFE08_A1B1_11D3_8FA9_0008C7809E09_.wvu.PrintArea" hidden="1">#REF!</definedName>
    <definedName name="Z_179EFE08_A1B1_11D3_8FA9_0008C7809E09_.wvu.PrintTitles" localSheetId="6" hidden="1">#REF!,#REF!</definedName>
    <definedName name="Z_179EFE08_A1B1_11D3_8FA9_0008C7809E09_.wvu.PrintTitles" localSheetId="7" hidden="1">#REF!,#REF!</definedName>
    <definedName name="Z_179EFE08_A1B1_11D3_8FA9_0008C7809E09_.wvu.PrintTitles" localSheetId="3" hidden="1">#REF!,#REF!</definedName>
    <definedName name="Z_179EFE08_A1B1_11D3_8FA9_0008C7809E09_.wvu.PrintTitles" localSheetId="29" hidden="1">#REF!,#REF!</definedName>
    <definedName name="Z_179EFE08_A1B1_11D3_8FA9_0008C7809E09_.wvu.PrintTitles" hidden="1">#REF!,#REF!</definedName>
    <definedName name="Z_179EFE09_A1B1_11D3_8FA9_0008C7809E09_.wvu.PrintArea" localSheetId="6" hidden="1">#REF!</definedName>
    <definedName name="Z_179EFE09_A1B1_11D3_8FA9_0008C7809E09_.wvu.PrintArea" localSheetId="7" hidden="1">#REF!</definedName>
    <definedName name="Z_179EFE09_A1B1_11D3_8FA9_0008C7809E09_.wvu.PrintArea" localSheetId="3" hidden="1">#REF!</definedName>
    <definedName name="Z_179EFE09_A1B1_11D3_8FA9_0008C7809E09_.wvu.PrintArea" localSheetId="29" hidden="1">#REF!</definedName>
    <definedName name="Z_179EFE09_A1B1_11D3_8FA9_0008C7809E09_.wvu.PrintArea" hidden="1">#REF!</definedName>
    <definedName name="Z_179EFE09_A1B1_11D3_8FA9_0008C7809E09_.wvu.PrintTitles" localSheetId="6" hidden="1">#REF!,#REF!</definedName>
    <definedName name="Z_179EFE09_A1B1_11D3_8FA9_0008C7809E09_.wvu.PrintTitles" localSheetId="7" hidden="1">#REF!,#REF!</definedName>
    <definedName name="Z_179EFE09_A1B1_11D3_8FA9_0008C7809E09_.wvu.PrintTitles" localSheetId="3" hidden="1">#REF!,#REF!</definedName>
    <definedName name="Z_179EFE09_A1B1_11D3_8FA9_0008C7809E09_.wvu.PrintTitles" localSheetId="29" hidden="1">#REF!,#REF!</definedName>
    <definedName name="Z_179EFE09_A1B1_11D3_8FA9_0008C7809E09_.wvu.PrintTitles" hidden="1">#REF!,#REF!</definedName>
    <definedName name="Z_179EFE0A_A1B1_11D3_8FA9_0008C7809E09_.wvu.PrintArea" localSheetId="6" hidden="1">#REF!</definedName>
    <definedName name="Z_179EFE0A_A1B1_11D3_8FA9_0008C7809E09_.wvu.PrintArea" localSheetId="7" hidden="1">#REF!</definedName>
    <definedName name="Z_179EFE0A_A1B1_11D3_8FA9_0008C7809E09_.wvu.PrintArea" localSheetId="3" hidden="1">#REF!</definedName>
    <definedName name="Z_179EFE0A_A1B1_11D3_8FA9_0008C7809E09_.wvu.PrintArea" localSheetId="29" hidden="1">#REF!</definedName>
    <definedName name="Z_179EFE0A_A1B1_11D3_8FA9_0008C7809E09_.wvu.PrintArea" hidden="1">#REF!</definedName>
    <definedName name="Z_179EFE0A_A1B1_11D3_8FA9_0008C7809E09_.wvu.PrintTitles" localSheetId="6" hidden="1">#REF!,#REF!</definedName>
    <definedName name="Z_179EFE0A_A1B1_11D3_8FA9_0008C7809E09_.wvu.PrintTitles" localSheetId="7" hidden="1">#REF!,#REF!</definedName>
    <definedName name="Z_179EFE0A_A1B1_11D3_8FA9_0008C7809E09_.wvu.PrintTitles" localSheetId="3" hidden="1">#REF!,#REF!</definedName>
    <definedName name="Z_179EFE0A_A1B1_11D3_8FA9_0008C7809E09_.wvu.PrintTitles" localSheetId="29" hidden="1">#REF!,#REF!</definedName>
    <definedName name="Z_179EFE0A_A1B1_11D3_8FA9_0008C7809E09_.wvu.PrintTitles" hidden="1">#REF!,#REF!</definedName>
    <definedName name="Z_179EFE0B_A1B1_11D3_8FA9_0008C7809E09_.wvu.PrintArea" localSheetId="6" hidden="1">#REF!</definedName>
    <definedName name="Z_179EFE0B_A1B1_11D3_8FA9_0008C7809E09_.wvu.PrintArea" localSheetId="7" hidden="1">#REF!</definedName>
    <definedName name="Z_179EFE0B_A1B1_11D3_8FA9_0008C7809E09_.wvu.PrintArea" localSheetId="3" hidden="1">#REF!</definedName>
    <definedName name="Z_179EFE0B_A1B1_11D3_8FA9_0008C7809E09_.wvu.PrintArea" localSheetId="29" hidden="1">#REF!</definedName>
    <definedName name="Z_179EFE0B_A1B1_11D3_8FA9_0008C7809E09_.wvu.PrintArea" hidden="1">#REF!</definedName>
    <definedName name="Z_179EFE0B_A1B1_11D3_8FA9_0008C7809E09_.wvu.PrintTitles" localSheetId="6" hidden="1">#REF!,#REF!</definedName>
    <definedName name="Z_179EFE0B_A1B1_11D3_8FA9_0008C7809E09_.wvu.PrintTitles" localSheetId="7" hidden="1">#REF!,#REF!</definedName>
    <definedName name="Z_179EFE0B_A1B1_11D3_8FA9_0008C7809E09_.wvu.PrintTitles" localSheetId="3" hidden="1">#REF!,#REF!</definedName>
    <definedName name="Z_179EFE0B_A1B1_11D3_8FA9_0008C7809E09_.wvu.PrintTitles" localSheetId="29" hidden="1">#REF!,#REF!</definedName>
    <definedName name="Z_179EFE0B_A1B1_11D3_8FA9_0008C7809E09_.wvu.PrintTitles" hidden="1">#REF!,#REF!</definedName>
    <definedName name="Z_179EFE0C_A1B1_11D3_8FA9_0008C7809E09_.wvu.PrintArea" localSheetId="6" hidden="1">#REF!</definedName>
    <definedName name="Z_179EFE0C_A1B1_11D3_8FA9_0008C7809E09_.wvu.PrintArea" localSheetId="7" hidden="1">#REF!</definedName>
    <definedName name="Z_179EFE0C_A1B1_11D3_8FA9_0008C7809E09_.wvu.PrintArea" localSheetId="3" hidden="1">#REF!</definedName>
    <definedName name="Z_179EFE0C_A1B1_11D3_8FA9_0008C7809E09_.wvu.PrintArea" localSheetId="29" hidden="1">#REF!</definedName>
    <definedName name="Z_179EFE0C_A1B1_11D3_8FA9_0008C7809E09_.wvu.PrintArea" hidden="1">#REF!</definedName>
    <definedName name="Z_179EFE0C_A1B1_11D3_8FA9_0008C7809E09_.wvu.PrintTitles" localSheetId="6" hidden="1">#REF!,#REF!</definedName>
    <definedName name="Z_179EFE0C_A1B1_11D3_8FA9_0008C7809E09_.wvu.PrintTitles" localSheetId="7" hidden="1">#REF!,#REF!</definedName>
    <definedName name="Z_179EFE0C_A1B1_11D3_8FA9_0008C7809E09_.wvu.PrintTitles" localSheetId="3" hidden="1">#REF!,#REF!</definedName>
    <definedName name="Z_179EFE0C_A1B1_11D3_8FA9_0008C7809E09_.wvu.PrintTitles" localSheetId="29" hidden="1">#REF!,#REF!</definedName>
    <definedName name="Z_179EFE0C_A1B1_11D3_8FA9_0008C7809E09_.wvu.PrintTitles" hidden="1">#REF!,#REF!</definedName>
    <definedName name="Z_179EFE0D_A1B1_11D3_8FA9_0008C7809E09_.wvu.PrintArea" localSheetId="6" hidden="1">#REF!</definedName>
    <definedName name="Z_179EFE0D_A1B1_11D3_8FA9_0008C7809E09_.wvu.PrintArea" localSheetId="7" hidden="1">#REF!</definedName>
    <definedName name="Z_179EFE0D_A1B1_11D3_8FA9_0008C7809E09_.wvu.PrintArea" localSheetId="3" hidden="1">#REF!</definedName>
    <definedName name="Z_179EFE0D_A1B1_11D3_8FA9_0008C7809E09_.wvu.PrintArea" localSheetId="29" hidden="1">#REF!</definedName>
    <definedName name="Z_179EFE0D_A1B1_11D3_8FA9_0008C7809E09_.wvu.PrintArea" hidden="1">#REF!</definedName>
    <definedName name="Z_179EFE0D_A1B1_11D3_8FA9_0008C7809E09_.wvu.PrintTitles" localSheetId="6" hidden="1">#REF!,#REF!</definedName>
    <definedName name="Z_179EFE0D_A1B1_11D3_8FA9_0008C7809E09_.wvu.PrintTitles" localSheetId="7" hidden="1">#REF!,#REF!</definedName>
    <definedName name="Z_179EFE0D_A1B1_11D3_8FA9_0008C7809E09_.wvu.PrintTitles" localSheetId="3" hidden="1">#REF!,#REF!</definedName>
    <definedName name="Z_179EFE0D_A1B1_11D3_8FA9_0008C7809E09_.wvu.PrintTitles" localSheetId="29" hidden="1">#REF!,#REF!</definedName>
    <definedName name="Z_179EFE0D_A1B1_11D3_8FA9_0008C7809E09_.wvu.PrintTitles" hidden="1">#REF!,#REF!</definedName>
    <definedName name="Z_179EFE0E_A1B1_11D3_8FA9_0008C7809E09_.wvu.PrintArea" localSheetId="6" hidden="1">#REF!</definedName>
    <definedName name="Z_179EFE0E_A1B1_11D3_8FA9_0008C7809E09_.wvu.PrintArea" localSheetId="7" hidden="1">#REF!</definedName>
    <definedName name="Z_179EFE0E_A1B1_11D3_8FA9_0008C7809E09_.wvu.PrintArea" localSheetId="3" hidden="1">#REF!</definedName>
    <definedName name="Z_179EFE0E_A1B1_11D3_8FA9_0008C7809E09_.wvu.PrintArea" localSheetId="29" hidden="1">#REF!</definedName>
    <definedName name="Z_179EFE0E_A1B1_11D3_8FA9_0008C7809E09_.wvu.PrintArea" hidden="1">#REF!</definedName>
    <definedName name="Z_179EFE0E_A1B1_11D3_8FA9_0008C7809E09_.wvu.PrintTitles" localSheetId="6" hidden="1">#REF!,#REF!</definedName>
    <definedName name="Z_179EFE0E_A1B1_11D3_8FA9_0008C7809E09_.wvu.PrintTitles" localSheetId="7" hidden="1">#REF!,#REF!</definedName>
    <definedName name="Z_179EFE0E_A1B1_11D3_8FA9_0008C7809E09_.wvu.PrintTitles" localSheetId="3" hidden="1">#REF!,#REF!</definedName>
    <definedName name="Z_179EFE0E_A1B1_11D3_8FA9_0008C7809E09_.wvu.PrintTitles" localSheetId="29" hidden="1">#REF!,#REF!</definedName>
    <definedName name="Z_179EFE0E_A1B1_11D3_8FA9_0008C7809E09_.wvu.PrintTitles" hidden="1">#REF!,#REF!</definedName>
    <definedName name="Z_179EFE0F_A1B1_11D3_8FA9_0008C7809E09_.wvu.PrintArea" localSheetId="6" hidden="1">#REF!</definedName>
    <definedName name="Z_179EFE0F_A1B1_11D3_8FA9_0008C7809E09_.wvu.PrintArea" localSheetId="7" hidden="1">#REF!</definedName>
    <definedName name="Z_179EFE0F_A1B1_11D3_8FA9_0008C7809E09_.wvu.PrintArea" localSheetId="3" hidden="1">#REF!</definedName>
    <definedName name="Z_179EFE0F_A1B1_11D3_8FA9_0008C7809E09_.wvu.PrintArea" localSheetId="29" hidden="1">#REF!</definedName>
    <definedName name="Z_179EFE0F_A1B1_11D3_8FA9_0008C7809E09_.wvu.PrintArea" hidden="1">#REF!</definedName>
    <definedName name="Z_179EFE0F_A1B1_11D3_8FA9_0008C7809E09_.wvu.PrintTitles" localSheetId="6" hidden="1">#REF!,#REF!</definedName>
    <definedName name="Z_179EFE0F_A1B1_11D3_8FA9_0008C7809E09_.wvu.PrintTitles" localSheetId="7" hidden="1">#REF!,#REF!</definedName>
    <definedName name="Z_179EFE0F_A1B1_11D3_8FA9_0008C7809E09_.wvu.PrintTitles" localSheetId="3" hidden="1">#REF!,#REF!</definedName>
    <definedName name="Z_179EFE0F_A1B1_11D3_8FA9_0008C7809E09_.wvu.PrintTitles" localSheetId="29" hidden="1">#REF!,#REF!</definedName>
    <definedName name="Z_179EFE0F_A1B1_11D3_8FA9_0008C7809E09_.wvu.PrintTitles" hidden="1">#REF!,#REF!</definedName>
    <definedName name="Z_179EFE10_A1B1_11D3_8FA9_0008C7809E09_.wvu.PrintArea" localSheetId="6" hidden="1">#REF!</definedName>
    <definedName name="Z_179EFE10_A1B1_11D3_8FA9_0008C7809E09_.wvu.PrintArea" localSheetId="7" hidden="1">#REF!</definedName>
    <definedName name="Z_179EFE10_A1B1_11D3_8FA9_0008C7809E09_.wvu.PrintArea" localSheetId="3" hidden="1">#REF!</definedName>
    <definedName name="Z_179EFE10_A1B1_11D3_8FA9_0008C7809E09_.wvu.PrintArea" localSheetId="29" hidden="1">#REF!</definedName>
    <definedName name="Z_179EFE10_A1B1_11D3_8FA9_0008C7809E09_.wvu.PrintArea" hidden="1">#REF!</definedName>
    <definedName name="Z_179EFE10_A1B1_11D3_8FA9_0008C7809E09_.wvu.PrintTitles" localSheetId="6" hidden="1">#REF!,#REF!</definedName>
    <definedName name="Z_179EFE10_A1B1_11D3_8FA9_0008C7809E09_.wvu.PrintTitles" localSheetId="7" hidden="1">#REF!,#REF!</definedName>
    <definedName name="Z_179EFE10_A1B1_11D3_8FA9_0008C7809E09_.wvu.PrintTitles" localSheetId="3" hidden="1">#REF!,#REF!</definedName>
    <definedName name="Z_179EFE10_A1B1_11D3_8FA9_0008C7809E09_.wvu.PrintTitles" localSheetId="29" hidden="1">#REF!,#REF!</definedName>
    <definedName name="Z_179EFE10_A1B1_11D3_8FA9_0008C7809E09_.wvu.PrintTitles" hidden="1">#REF!,#REF!</definedName>
    <definedName name="Z_179EFE11_A1B1_11D3_8FA9_0008C7809E09_.wvu.PrintArea" localSheetId="6" hidden="1">#REF!</definedName>
    <definedName name="Z_179EFE11_A1B1_11D3_8FA9_0008C7809E09_.wvu.PrintArea" localSheetId="7" hidden="1">#REF!</definedName>
    <definedName name="Z_179EFE11_A1B1_11D3_8FA9_0008C7809E09_.wvu.PrintArea" localSheetId="3" hidden="1">#REF!</definedName>
    <definedName name="Z_179EFE11_A1B1_11D3_8FA9_0008C7809E09_.wvu.PrintArea" localSheetId="29" hidden="1">#REF!</definedName>
    <definedName name="Z_179EFE11_A1B1_11D3_8FA9_0008C7809E09_.wvu.PrintArea" hidden="1">#REF!</definedName>
    <definedName name="Z_179EFE11_A1B1_11D3_8FA9_0008C7809E09_.wvu.PrintTitles" localSheetId="6" hidden="1">#REF!,#REF!</definedName>
    <definedName name="Z_179EFE11_A1B1_11D3_8FA9_0008C7809E09_.wvu.PrintTitles" localSheetId="7" hidden="1">#REF!,#REF!</definedName>
    <definedName name="Z_179EFE11_A1B1_11D3_8FA9_0008C7809E09_.wvu.PrintTitles" localSheetId="3" hidden="1">#REF!,#REF!</definedName>
    <definedName name="Z_179EFE11_A1B1_11D3_8FA9_0008C7809E09_.wvu.PrintTitles" localSheetId="29" hidden="1">#REF!,#REF!</definedName>
    <definedName name="Z_179EFE11_A1B1_11D3_8FA9_0008C7809E09_.wvu.PrintTitles" hidden="1">#REF!,#REF!</definedName>
    <definedName name="Z_179EFE12_A1B1_11D3_8FA9_0008C7809E09_.wvu.PrintArea" localSheetId="6" hidden="1">#REF!</definedName>
    <definedName name="Z_179EFE12_A1B1_11D3_8FA9_0008C7809E09_.wvu.PrintArea" localSheetId="7" hidden="1">#REF!</definedName>
    <definedName name="Z_179EFE12_A1B1_11D3_8FA9_0008C7809E09_.wvu.PrintArea" localSheetId="3" hidden="1">#REF!</definedName>
    <definedName name="Z_179EFE12_A1B1_11D3_8FA9_0008C7809E09_.wvu.PrintArea" localSheetId="29" hidden="1">#REF!</definedName>
    <definedName name="Z_179EFE12_A1B1_11D3_8FA9_0008C7809E09_.wvu.PrintArea" hidden="1">#REF!</definedName>
    <definedName name="Z_179EFE12_A1B1_11D3_8FA9_0008C7809E09_.wvu.PrintTitles" localSheetId="6" hidden="1">#REF!,#REF!</definedName>
    <definedName name="Z_179EFE12_A1B1_11D3_8FA9_0008C7809E09_.wvu.PrintTitles" localSheetId="7" hidden="1">#REF!,#REF!</definedName>
    <definedName name="Z_179EFE12_A1B1_11D3_8FA9_0008C7809E09_.wvu.PrintTitles" localSheetId="3" hidden="1">#REF!,#REF!</definedName>
    <definedName name="Z_179EFE12_A1B1_11D3_8FA9_0008C7809E09_.wvu.PrintTitles" localSheetId="29" hidden="1">#REF!,#REF!</definedName>
    <definedName name="Z_179EFE12_A1B1_11D3_8FA9_0008C7809E09_.wvu.PrintTitles" hidden="1">#REF!,#REF!</definedName>
    <definedName name="Z_179EFE13_A1B1_11D3_8FA9_0008C7809E09_.wvu.PrintArea" localSheetId="6" hidden="1">#REF!</definedName>
    <definedName name="Z_179EFE13_A1B1_11D3_8FA9_0008C7809E09_.wvu.PrintArea" localSheetId="7" hidden="1">#REF!</definedName>
    <definedName name="Z_179EFE13_A1B1_11D3_8FA9_0008C7809E09_.wvu.PrintArea" localSheetId="3" hidden="1">#REF!</definedName>
    <definedName name="Z_179EFE13_A1B1_11D3_8FA9_0008C7809E09_.wvu.PrintArea" localSheetId="29" hidden="1">#REF!</definedName>
    <definedName name="Z_179EFE13_A1B1_11D3_8FA9_0008C7809E09_.wvu.PrintArea" hidden="1">#REF!</definedName>
    <definedName name="Z_179EFE13_A1B1_11D3_8FA9_0008C7809E09_.wvu.PrintTitles" localSheetId="6" hidden="1">#REF!,#REF!</definedName>
    <definedName name="Z_179EFE13_A1B1_11D3_8FA9_0008C7809E09_.wvu.PrintTitles" localSheetId="7" hidden="1">#REF!,#REF!</definedName>
    <definedName name="Z_179EFE13_A1B1_11D3_8FA9_0008C7809E09_.wvu.PrintTitles" localSheetId="3" hidden="1">#REF!,#REF!</definedName>
    <definedName name="Z_179EFE13_A1B1_11D3_8FA9_0008C7809E09_.wvu.PrintTitles" localSheetId="29" hidden="1">#REF!,#REF!</definedName>
    <definedName name="Z_179EFE13_A1B1_11D3_8FA9_0008C7809E09_.wvu.PrintTitles" hidden="1">#REF!,#REF!</definedName>
    <definedName name="Z_179EFE14_A1B1_11D3_8FA9_0008C7809E09_.wvu.PrintArea" localSheetId="6" hidden="1">#REF!</definedName>
    <definedName name="Z_179EFE14_A1B1_11D3_8FA9_0008C7809E09_.wvu.PrintArea" localSheetId="7" hidden="1">#REF!</definedName>
    <definedName name="Z_179EFE14_A1B1_11D3_8FA9_0008C7809E09_.wvu.PrintArea" localSheetId="3" hidden="1">#REF!</definedName>
    <definedName name="Z_179EFE14_A1B1_11D3_8FA9_0008C7809E09_.wvu.PrintArea" localSheetId="29" hidden="1">#REF!</definedName>
    <definedName name="Z_179EFE14_A1B1_11D3_8FA9_0008C7809E09_.wvu.PrintArea" hidden="1">#REF!</definedName>
    <definedName name="Z_179EFE14_A1B1_11D3_8FA9_0008C7809E09_.wvu.PrintTitles" localSheetId="6" hidden="1">#REF!,#REF!</definedName>
    <definedName name="Z_179EFE14_A1B1_11D3_8FA9_0008C7809E09_.wvu.PrintTitles" localSheetId="7" hidden="1">#REF!,#REF!</definedName>
    <definedName name="Z_179EFE14_A1B1_11D3_8FA9_0008C7809E09_.wvu.PrintTitles" localSheetId="3" hidden="1">#REF!,#REF!</definedName>
    <definedName name="Z_179EFE14_A1B1_11D3_8FA9_0008C7809E09_.wvu.PrintTitles" localSheetId="29" hidden="1">#REF!,#REF!</definedName>
    <definedName name="Z_179EFE14_A1B1_11D3_8FA9_0008C7809E09_.wvu.PrintTitles" hidden="1">#REF!,#REF!</definedName>
    <definedName name="Z_179EFE15_A1B1_11D3_8FA9_0008C7809E09_.wvu.PrintArea" localSheetId="6" hidden="1">#REF!</definedName>
    <definedName name="Z_179EFE15_A1B1_11D3_8FA9_0008C7809E09_.wvu.PrintArea" localSheetId="7" hidden="1">#REF!</definedName>
    <definedName name="Z_179EFE15_A1B1_11D3_8FA9_0008C7809E09_.wvu.PrintArea" localSheetId="3" hidden="1">#REF!</definedName>
    <definedName name="Z_179EFE15_A1B1_11D3_8FA9_0008C7809E09_.wvu.PrintArea" localSheetId="29" hidden="1">#REF!</definedName>
    <definedName name="Z_179EFE15_A1B1_11D3_8FA9_0008C7809E09_.wvu.PrintArea" hidden="1">#REF!</definedName>
    <definedName name="Z_179EFE15_A1B1_11D3_8FA9_0008C7809E09_.wvu.PrintTitles" localSheetId="6" hidden="1">#REF!,#REF!</definedName>
    <definedName name="Z_179EFE15_A1B1_11D3_8FA9_0008C7809E09_.wvu.PrintTitles" localSheetId="7" hidden="1">#REF!,#REF!</definedName>
    <definedName name="Z_179EFE15_A1B1_11D3_8FA9_0008C7809E09_.wvu.PrintTitles" localSheetId="3" hidden="1">#REF!,#REF!</definedName>
    <definedName name="Z_179EFE15_A1B1_11D3_8FA9_0008C7809E09_.wvu.PrintTitles" localSheetId="29" hidden="1">#REF!,#REF!</definedName>
    <definedName name="Z_179EFE15_A1B1_11D3_8FA9_0008C7809E09_.wvu.PrintTitles" hidden="1">#REF!,#REF!</definedName>
    <definedName name="Z_179EFE16_A1B1_11D3_8FA9_0008C7809E09_.wvu.PrintArea" localSheetId="6" hidden="1">#REF!</definedName>
    <definedName name="Z_179EFE16_A1B1_11D3_8FA9_0008C7809E09_.wvu.PrintArea" localSheetId="7" hidden="1">#REF!</definedName>
    <definedName name="Z_179EFE16_A1B1_11D3_8FA9_0008C7809E09_.wvu.PrintArea" localSheetId="3" hidden="1">#REF!</definedName>
    <definedName name="Z_179EFE16_A1B1_11D3_8FA9_0008C7809E09_.wvu.PrintArea" localSheetId="29" hidden="1">#REF!</definedName>
    <definedName name="Z_179EFE16_A1B1_11D3_8FA9_0008C7809E09_.wvu.PrintArea" hidden="1">#REF!</definedName>
    <definedName name="Z_179EFE16_A1B1_11D3_8FA9_0008C7809E09_.wvu.PrintTitles" localSheetId="6" hidden="1">#REF!,#REF!</definedName>
    <definedName name="Z_179EFE16_A1B1_11D3_8FA9_0008C7809E09_.wvu.PrintTitles" localSheetId="7" hidden="1">#REF!,#REF!</definedName>
    <definedName name="Z_179EFE16_A1B1_11D3_8FA9_0008C7809E09_.wvu.PrintTitles" localSheetId="3" hidden="1">#REF!,#REF!</definedName>
    <definedName name="Z_179EFE16_A1B1_11D3_8FA9_0008C7809E09_.wvu.PrintTitles" localSheetId="29" hidden="1">#REF!,#REF!</definedName>
    <definedName name="Z_179EFE16_A1B1_11D3_8FA9_0008C7809E09_.wvu.PrintTitles" hidden="1">#REF!,#REF!</definedName>
    <definedName name="Z_179EFE17_A1B1_11D3_8FA9_0008C7809E09_.wvu.PrintArea" localSheetId="6" hidden="1">#REF!</definedName>
    <definedName name="Z_179EFE17_A1B1_11D3_8FA9_0008C7809E09_.wvu.PrintArea" localSheetId="7" hidden="1">#REF!</definedName>
    <definedName name="Z_179EFE17_A1B1_11D3_8FA9_0008C7809E09_.wvu.PrintArea" localSheetId="3" hidden="1">#REF!</definedName>
    <definedName name="Z_179EFE17_A1B1_11D3_8FA9_0008C7809E09_.wvu.PrintArea" localSheetId="29" hidden="1">#REF!</definedName>
    <definedName name="Z_179EFE17_A1B1_11D3_8FA9_0008C7809E09_.wvu.PrintArea" hidden="1">#REF!</definedName>
    <definedName name="Z_179EFE17_A1B1_11D3_8FA9_0008C7809E09_.wvu.PrintTitles" localSheetId="6" hidden="1">#REF!,#REF!</definedName>
    <definedName name="Z_179EFE17_A1B1_11D3_8FA9_0008C7809E09_.wvu.PrintTitles" localSheetId="7" hidden="1">#REF!,#REF!</definedName>
    <definedName name="Z_179EFE17_A1B1_11D3_8FA9_0008C7809E09_.wvu.PrintTitles" localSheetId="3" hidden="1">#REF!,#REF!</definedName>
    <definedName name="Z_179EFE17_A1B1_11D3_8FA9_0008C7809E09_.wvu.PrintTitles" localSheetId="29" hidden="1">#REF!,#REF!</definedName>
    <definedName name="Z_179EFE17_A1B1_11D3_8FA9_0008C7809E09_.wvu.PrintTitles" hidden="1">#REF!,#REF!</definedName>
    <definedName name="Z_179EFE18_A1B1_11D3_8FA9_0008C7809E09_.wvu.PrintArea" localSheetId="6" hidden="1">#REF!</definedName>
    <definedName name="Z_179EFE18_A1B1_11D3_8FA9_0008C7809E09_.wvu.PrintArea" localSheetId="7" hidden="1">#REF!</definedName>
    <definedName name="Z_179EFE18_A1B1_11D3_8FA9_0008C7809E09_.wvu.PrintArea" localSheetId="3" hidden="1">#REF!</definedName>
    <definedName name="Z_179EFE18_A1B1_11D3_8FA9_0008C7809E09_.wvu.PrintArea" localSheetId="29" hidden="1">#REF!</definedName>
    <definedName name="Z_179EFE18_A1B1_11D3_8FA9_0008C7809E09_.wvu.PrintArea" hidden="1">#REF!</definedName>
    <definedName name="Z_179EFE18_A1B1_11D3_8FA9_0008C7809E09_.wvu.PrintTitles" localSheetId="6" hidden="1">#REF!,#REF!</definedName>
    <definedName name="Z_179EFE18_A1B1_11D3_8FA9_0008C7809E09_.wvu.PrintTitles" localSheetId="7" hidden="1">#REF!,#REF!</definedName>
    <definedName name="Z_179EFE18_A1B1_11D3_8FA9_0008C7809E09_.wvu.PrintTitles" localSheetId="3" hidden="1">#REF!,#REF!</definedName>
    <definedName name="Z_179EFE18_A1B1_11D3_8FA9_0008C7809E09_.wvu.PrintTitles" localSheetId="29" hidden="1">#REF!,#REF!</definedName>
    <definedName name="Z_179EFE18_A1B1_11D3_8FA9_0008C7809E09_.wvu.PrintTitles" hidden="1">#REF!,#REF!</definedName>
    <definedName name="Z_179EFE19_A1B1_11D3_8FA9_0008C7809E09_.wvu.PrintArea" localSheetId="6" hidden="1">#REF!</definedName>
    <definedName name="Z_179EFE19_A1B1_11D3_8FA9_0008C7809E09_.wvu.PrintArea" localSheetId="7" hidden="1">#REF!</definedName>
    <definedName name="Z_179EFE19_A1B1_11D3_8FA9_0008C7809E09_.wvu.PrintArea" localSheetId="3" hidden="1">#REF!</definedName>
    <definedName name="Z_179EFE19_A1B1_11D3_8FA9_0008C7809E09_.wvu.PrintArea" localSheetId="29" hidden="1">#REF!</definedName>
    <definedName name="Z_179EFE19_A1B1_11D3_8FA9_0008C7809E09_.wvu.PrintArea" hidden="1">#REF!</definedName>
    <definedName name="Z_179EFE19_A1B1_11D3_8FA9_0008C7809E09_.wvu.PrintTitles" localSheetId="6" hidden="1">#REF!,#REF!</definedName>
    <definedName name="Z_179EFE19_A1B1_11D3_8FA9_0008C7809E09_.wvu.PrintTitles" localSheetId="7" hidden="1">#REF!,#REF!</definedName>
    <definedName name="Z_179EFE19_A1B1_11D3_8FA9_0008C7809E09_.wvu.PrintTitles" localSheetId="3" hidden="1">#REF!,#REF!</definedName>
    <definedName name="Z_179EFE19_A1B1_11D3_8FA9_0008C7809E09_.wvu.PrintTitles" localSheetId="29" hidden="1">#REF!,#REF!</definedName>
    <definedName name="Z_179EFE19_A1B1_11D3_8FA9_0008C7809E09_.wvu.PrintTitles" hidden="1">#REF!,#REF!</definedName>
    <definedName name="Z_179EFE1A_A1B1_11D3_8FA9_0008C7809E09_.wvu.PrintArea" localSheetId="6" hidden="1">#REF!</definedName>
    <definedName name="Z_179EFE1A_A1B1_11D3_8FA9_0008C7809E09_.wvu.PrintArea" localSheetId="7" hidden="1">#REF!</definedName>
    <definedName name="Z_179EFE1A_A1B1_11D3_8FA9_0008C7809E09_.wvu.PrintArea" localSheetId="3" hidden="1">#REF!</definedName>
    <definedName name="Z_179EFE1A_A1B1_11D3_8FA9_0008C7809E09_.wvu.PrintArea" localSheetId="29" hidden="1">#REF!</definedName>
    <definedName name="Z_179EFE1A_A1B1_11D3_8FA9_0008C7809E09_.wvu.PrintArea" hidden="1">#REF!</definedName>
    <definedName name="Z_179EFE1A_A1B1_11D3_8FA9_0008C7809E09_.wvu.PrintTitles" localSheetId="6" hidden="1">#REF!,#REF!</definedName>
    <definedName name="Z_179EFE1A_A1B1_11D3_8FA9_0008C7809E09_.wvu.PrintTitles" localSheetId="7" hidden="1">#REF!,#REF!</definedName>
    <definedName name="Z_179EFE1A_A1B1_11D3_8FA9_0008C7809E09_.wvu.PrintTitles" localSheetId="3" hidden="1">#REF!,#REF!</definedName>
    <definedName name="Z_179EFE1A_A1B1_11D3_8FA9_0008C7809E09_.wvu.PrintTitles" localSheetId="29" hidden="1">#REF!,#REF!</definedName>
    <definedName name="Z_179EFE1A_A1B1_11D3_8FA9_0008C7809E09_.wvu.PrintTitles" hidden="1">#REF!,#REF!</definedName>
    <definedName name="Z_179EFE1B_A1B1_11D3_8FA9_0008C7809E09_.wvu.PrintArea" localSheetId="6" hidden="1">#REF!</definedName>
    <definedName name="Z_179EFE1B_A1B1_11D3_8FA9_0008C7809E09_.wvu.PrintArea" localSheetId="7" hidden="1">#REF!</definedName>
    <definedName name="Z_179EFE1B_A1B1_11D3_8FA9_0008C7809E09_.wvu.PrintArea" localSheetId="3" hidden="1">#REF!</definedName>
    <definedName name="Z_179EFE1B_A1B1_11D3_8FA9_0008C7809E09_.wvu.PrintArea" localSheetId="29" hidden="1">#REF!</definedName>
    <definedName name="Z_179EFE1B_A1B1_11D3_8FA9_0008C7809E09_.wvu.PrintArea" hidden="1">#REF!</definedName>
    <definedName name="Z_179EFE1B_A1B1_11D3_8FA9_0008C7809E09_.wvu.PrintTitles" localSheetId="6" hidden="1">#REF!,#REF!</definedName>
    <definedName name="Z_179EFE1B_A1B1_11D3_8FA9_0008C7809E09_.wvu.PrintTitles" localSheetId="7" hidden="1">#REF!,#REF!</definedName>
    <definedName name="Z_179EFE1B_A1B1_11D3_8FA9_0008C7809E09_.wvu.PrintTitles" localSheetId="3" hidden="1">#REF!,#REF!</definedName>
    <definedName name="Z_179EFE1B_A1B1_11D3_8FA9_0008C7809E09_.wvu.PrintTitles" localSheetId="29" hidden="1">#REF!,#REF!</definedName>
    <definedName name="Z_179EFE1B_A1B1_11D3_8FA9_0008C7809E09_.wvu.PrintTitles" hidden="1">#REF!,#REF!</definedName>
    <definedName name="Z_179EFE1C_A1B1_11D3_8FA9_0008C7809E09_.wvu.PrintArea" localSheetId="6" hidden="1">#REF!</definedName>
    <definedName name="Z_179EFE1C_A1B1_11D3_8FA9_0008C7809E09_.wvu.PrintArea" localSheetId="7" hidden="1">#REF!</definedName>
    <definedName name="Z_179EFE1C_A1B1_11D3_8FA9_0008C7809E09_.wvu.PrintArea" localSheetId="3" hidden="1">#REF!</definedName>
    <definedName name="Z_179EFE1C_A1B1_11D3_8FA9_0008C7809E09_.wvu.PrintArea" localSheetId="29" hidden="1">#REF!</definedName>
    <definedName name="Z_179EFE1C_A1B1_11D3_8FA9_0008C7809E09_.wvu.PrintArea" hidden="1">#REF!</definedName>
    <definedName name="Z_179EFE1C_A1B1_11D3_8FA9_0008C7809E09_.wvu.PrintTitles" localSheetId="6" hidden="1">#REF!,#REF!</definedName>
    <definedName name="Z_179EFE1C_A1B1_11D3_8FA9_0008C7809E09_.wvu.PrintTitles" localSheetId="7" hidden="1">#REF!,#REF!</definedName>
    <definedName name="Z_179EFE1C_A1B1_11D3_8FA9_0008C7809E09_.wvu.PrintTitles" localSheetId="3" hidden="1">#REF!,#REF!</definedName>
    <definedName name="Z_179EFE1C_A1B1_11D3_8FA9_0008C7809E09_.wvu.PrintTitles" localSheetId="29" hidden="1">#REF!,#REF!</definedName>
    <definedName name="Z_179EFE1C_A1B1_11D3_8FA9_0008C7809E09_.wvu.PrintTitles" hidden="1">#REF!,#REF!</definedName>
    <definedName name="Z_179EFE1D_A1B1_11D3_8FA9_0008C7809E09_.wvu.PrintArea" localSheetId="6" hidden="1">#REF!</definedName>
    <definedName name="Z_179EFE1D_A1B1_11D3_8FA9_0008C7809E09_.wvu.PrintArea" localSheetId="7" hidden="1">#REF!</definedName>
    <definedName name="Z_179EFE1D_A1B1_11D3_8FA9_0008C7809E09_.wvu.PrintArea" localSheetId="3" hidden="1">#REF!</definedName>
    <definedName name="Z_179EFE1D_A1B1_11D3_8FA9_0008C7809E09_.wvu.PrintArea" localSheetId="29" hidden="1">#REF!</definedName>
    <definedName name="Z_179EFE1D_A1B1_11D3_8FA9_0008C7809E09_.wvu.PrintArea" hidden="1">#REF!</definedName>
    <definedName name="Z_179EFE1D_A1B1_11D3_8FA9_0008C7809E09_.wvu.PrintTitles" localSheetId="6" hidden="1">#REF!,#REF!</definedName>
    <definedName name="Z_179EFE1D_A1B1_11D3_8FA9_0008C7809E09_.wvu.PrintTitles" localSheetId="7" hidden="1">#REF!,#REF!</definedName>
    <definedName name="Z_179EFE1D_A1B1_11D3_8FA9_0008C7809E09_.wvu.PrintTitles" localSheetId="3" hidden="1">#REF!,#REF!</definedName>
    <definedName name="Z_179EFE1D_A1B1_11D3_8FA9_0008C7809E09_.wvu.PrintTitles" localSheetId="29" hidden="1">#REF!,#REF!</definedName>
    <definedName name="Z_179EFE1D_A1B1_11D3_8FA9_0008C7809E09_.wvu.PrintTitles" hidden="1">#REF!,#REF!</definedName>
    <definedName name="Z_179EFE1E_A1B1_11D3_8FA9_0008C7809E09_.wvu.PrintArea" localSheetId="6" hidden="1">#REF!</definedName>
    <definedName name="Z_179EFE1E_A1B1_11D3_8FA9_0008C7809E09_.wvu.PrintArea" localSheetId="7" hidden="1">#REF!</definedName>
    <definedName name="Z_179EFE1E_A1B1_11D3_8FA9_0008C7809E09_.wvu.PrintArea" localSheetId="3" hidden="1">#REF!</definedName>
    <definedName name="Z_179EFE1E_A1B1_11D3_8FA9_0008C7809E09_.wvu.PrintArea" localSheetId="29" hidden="1">#REF!</definedName>
    <definedName name="Z_179EFE1E_A1B1_11D3_8FA9_0008C7809E09_.wvu.PrintArea" hidden="1">#REF!</definedName>
    <definedName name="Z_179EFE1E_A1B1_11D3_8FA9_0008C7809E09_.wvu.PrintTitles" localSheetId="6" hidden="1">#REF!,#REF!</definedName>
    <definedName name="Z_179EFE1E_A1B1_11D3_8FA9_0008C7809E09_.wvu.PrintTitles" localSheetId="7" hidden="1">#REF!,#REF!</definedName>
    <definedName name="Z_179EFE1E_A1B1_11D3_8FA9_0008C7809E09_.wvu.PrintTitles" localSheetId="3" hidden="1">#REF!,#REF!</definedName>
    <definedName name="Z_179EFE1E_A1B1_11D3_8FA9_0008C7809E09_.wvu.PrintTitles" localSheetId="29" hidden="1">#REF!,#REF!</definedName>
    <definedName name="Z_179EFE1E_A1B1_11D3_8FA9_0008C7809E09_.wvu.PrintTitles" hidden="1">#REF!,#REF!</definedName>
    <definedName name="Z_179EFE1F_A1B1_11D3_8FA9_0008C7809E09_.wvu.PrintArea" localSheetId="6" hidden="1">#REF!</definedName>
    <definedName name="Z_179EFE1F_A1B1_11D3_8FA9_0008C7809E09_.wvu.PrintArea" localSheetId="7" hidden="1">#REF!</definedName>
    <definedName name="Z_179EFE1F_A1B1_11D3_8FA9_0008C7809E09_.wvu.PrintArea" localSheetId="3" hidden="1">#REF!</definedName>
    <definedName name="Z_179EFE1F_A1B1_11D3_8FA9_0008C7809E09_.wvu.PrintArea" localSheetId="29" hidden="1">#REF!</definedName>
    <definedName name="Z_179EFE1F_A1B1_11D3_8FA9_0008C7809E09_.wvu.PrintArea" hidden="1">#REF!</definedName>
    <definedName name="Z_179EFE1F_A1B1_11D3_8FA9_0008C7809E09_.wvu.PrintTitles" localSheetId="6" hidden="1">#REF!,#REF!</definedName>
    <definedName name="Z_179EFE1F_A1B1_11D3_8FA9_0008C7809E09_.wvu.PrintTitles" localSheetId="7" hidden="1">#REF!,#REF!</definedName>
    <definedName name="Z_179EFE1F_A1B1_11D3_8FA9_0008C7809E09_.wvu.PrintTitles" localSheetId="3" hidden="1">#REF!,#REF!</definedName>
    <definedName name="Z_179EFE1F_A1B1_11D3_8FA9_0008C7809E09_.wvu.PrintTitles" localSheetId="29" hidden="1">#REF!,#REF!</definedName>
    <definedName name="Z_179EFE1F_A1B1_11D3_8FA9_0008C7809E09_.wvu.PrintTitles" hidden="1">#REF!,#REF!</definedName>
    <definedName name="Z_179EFE20_A1B1_11D3_8FA9_0008C7809E09_.wvu.PrintArea" localSheetId="6" hidden="1">#REF!</definedName>
    <definedName name="Z_179EFE20_A1B1_11D3_8FA9_0008C7809E09_.wvu.PrintArea" localSheetId="7" hidden="1">#REF!</definedName>
    <definedName name="Z_179EFE20_A1B1_11D3_8FA9_0008C7809E09_.wvu.PrintArea" localSheetId="3" hidden="1">#REF!</definedName>
    <definedName name="Z_179EFE20_A1B1_11D3_8FA9_0008C7809E09_.wvu.PrintArea" localSheetId="29" hidden="1">#REF!</definedName>
    <definedName name="Z_179EFE20_A1B1_11D3_8FA9_0008C7809E09_.wvu.PrintArea" hidden="1">#REF!</definedName>
    <definedName name="Z_179EFE20_A1B1_11D3_8FA9_0008C7809E09_.wvu.PrintTitles" localSheetId="6" hidden="1">#REF!,#REF!</definedName>
    <definedName name="Z_179EFE20_A1B1_11D3_8FA9_0008C7809E09_.wvu.PrintTitles" localSheetId="7" hidden="1">#REF!,#REF!</definedName>
    <definedName name="Z_179EFE20_A1B1_11D3_8FA9_0008C7809E09_.wvu.PrintTitles" localSheetId="3" hidden="1">#REF!,#REF!</definedName>
    <definedName name="Z_179EFE20_A1B1_11D3_8FA9_0008C7809E09_.wvu.PrintTitles" localSheetId="29" hidden="1">#REF!,#REF!</definedName>
    <definedName name="Z_179EFE20_A1B1_11D3_8FA9_0008C7809E09_.wvu.PrintTitles" hidden="1">#REF!,#REF!</definedName>
    <definedName name="Z_179EFE21_A1B1_11D3_8FA9_0008C7809E09_.wvu.PrintArea" localSheetId="6" hidden="1">#REF!</definedName>
    <definedName name="Z_179EFE21_A1B1_11D3_8FA9_0008C7809E09_.wvu.PrintArea" localSheetId="7" hidden="1">#REF!</definedName>
    <definedName name="Z_179EFE21_A1B1_11D3_8FA9_0008C7809E09_.wvu.PrintArea" localSheetId="3" hidden="1">#REF!</definedName>
    <definedName name="Z_179EFE21_A1B1_11D3_8FA9_0008C7809E09_.wvu.PrintArea" localSheetId="29" hidden="1">#REF!</definedName>
    <definedName name="Z_179EFE21_A1B1_11D3_8FA9_0008C7809E09_.wvu.PrintArea" hidden="1">#REF!</definedName>
    <definedName name="Z_179EFE21_A1B1_11D3_8FA9_0008C7809E09_.wvu.PrintTitles" localSheetId="6" hidden="1">#REF!,#REF!</definedName>
    <definedName name="Z_179EFE21_A1B1_11D3_8FA9_0008C7809E09_.wvu.PrintTitles" localSheetId="7" hidden="1">#REF!,#REF!</definedName>
    <definedName name="Z_179EFE21_A1B1_11D3_8FA9_0008C7809E09_.wvu.PrintTitles" localSheetId="3" hidden="1">#REF!,#REF!</definedName>
    <definedName name="Z_179EFE21_A1B1_11D3_8FA9_0008C7809E09_.wvu.PrintTitles" localSheetId="29" hidden="1">#REF!,#REF!</definedName>
    <definedName name="Z_179EFE21_A1B1_11D3_8FA9_0008C7809E09_.wvu.PrintTitles" hidden="1">#REF!,#REF!</definedName>
    <definedName name="Z_179EFE22_A1B1_11D3_8FA9_0008C7809E09_.wvu.PrintArea" localSheetId="6" hidden="1">#REF!</definedName>
    <definedName name="Z_179EFE22_A1B1_11D3_8FA9_0008C7809E09_.wvu.PrintArea" localSheetId="7" hidden="1">#REF!</definedName>
    <definedName name="Z_179EFE22_A1B1_11D3_8FA9_0008C7809E09_.wvu.PrintArea" localSheetId="3" hidden="1">#REF!</definedName>
    <definedName name="Z_179EFE22_A1B1_11D3_8FA9_0008C7809E09_.wvu.PrintArea" localSheetId="29" hidden="1">#REF!</definedName>
    <definedName name="Z_179EFE22_A1B1_11D3_8FA9_0008C7809E09_.wvu.PrintArea" hidden="1">#REF!</definedName>
    <definedName name="Z_179EFE22_A1B1_11D3_8FA9_0008C7809E09_.wvu.PrintTitles" localSheetId="6" hidden="1">#REF!,#REF!</definedName>
    <definedName name="Z_179EFE22_A1B1_11D3_8FA9_0008C7809E09_.wvu.PrintTitles" localSheetId="7" hidden="1">#REF!,#REF!</definedName>
    <definedName name="Z_179EFE22_A1B1_11D3_8FA9_0008C7809E09_.wvu.PrintTitles" localSheetId="3" hidden="1">#REF!,#REF!</definedName>
    <definedName name="Z_179EFE22_A1B1_11D3_8FA9_0008C7809E09_.wvu.PrintTitles" localSheetId="29" hidden="1">#REF!,#REF!</definedName>
    <definedName name="Z_179EFE22_A1B1_11D3_8FA9_0008C7809E09_.wvu.PrintTitles" hidden="1">#REF!,#REF!</definedName>
    <definedName name="Z_179EFE23_A1B1_11D3_8FA9_0008C7809E09_.wvu.PrintArea" localSheetId="6" hidden="1">#REF!</definedName>
    <definedName name="Z_179EFE23_A1B1_11D3_8FA9_0008C7809E09_.wvu.PrintArea" localSheetId="7" hidden="1">#REF!</definedName>
    <definedName name="Z_179EFE23_A1B1_11D3_8FA9_0008C7809E09_.wvu.PrintArea" localSheetId="3" hidden="1">#REF!</definedName>
    <definedName name="Z_179EFE23_A1B1_11D3_8FA9_0008C7809E09_.wvu.PrintArea" localSheetId="29" hidden="1">#REF!</definedName>
    <definedName name="Z_179EFE23_A1B1_11D3_8FA9_0008C7809E09_.wvu.PrintArea" hidden="1">#REF!</definedName>
    <definedName name="Z_179EFE23_A1B1_11D3_8FA9_0008C7809E09_.wvu.PrintTitles" localSheetId="6" hidden="1">#REF!,#REF!</definedName>
    <definedName name="Z_179EFE23_A1B1_11D3_8FA9_0008C7809E09_.wvu.PrintTitles" localSheetId="7" hidden="1">#REF!,#REF!</definedName>
    <definedName name="Z_179EFE23_A1B1_11D3_8FA9_0008C7809E09_.wvu.PrintTitles" localSheetId="3" hidden="1">#REF!,#REF!</definedName>
    <definedName name="Z_179EFE23_A1B1_11D3_8FA9_0008C7809E09_.wvu.PrintTitles" localSheetId="29" hidden="1">#REF!,#REF!</definedName>
    <definedName name="Z_179EFE23_A1B1_11D3_8FA9_0008C7809E09_.wvu.PrintTitles" hidden="1">#REF!,#REF!</definedName>
    <definedName name="Z_179EFE24_A1B1_11D3_8FA9_0008C7809E09_.wvu.PrintArea" localSheetId="6" hidden="1">#REF!</definedName>
    <definedName name="Z_179EFE24_A1B1_11D3_8FA9_0008C7809E09_.wvu.PrintArea" localSheetId="7" hidden="1">#REF!</definedName>
    <definedName name="Z_179EFE24_A1B1_11D3_8FA9_0008C7809E09_.wvu.PrintArea" localSheetId="3" hidden="1">#REF!</definedName>
    <definedName name="Z_179EFE24_A1B1_11D3_8FA9_0008C7809E09_.wvu.PrintArea" localSheetId="29" hidden="1">#REF!</definedName>
    <definedName name="Z_179EFE24_A1B1_11D3_8FA9_0008C7809E09_.wvu.PrintArea" hidden="1">#REF!</definedName>
    <definedName name="Z_179EFE24_A1B1_11D3_8FA9_0008C7809E09_.wvu.PrintTitles" localSheetId="6" hidden="1">#REF!,#REF!</definedName>
    <definedName name="Z_179EFE24_A1B1_11D3_8FA9_0008C7809E09_.wvu.PrintTitles" localSheetId="7" hidden="1">#REF!,#REF!</definedName>
    <definedName name="Z_179EFE24_A1B1_11D3_8FA9_0008C7809E09_.wvu.PrintTitles" localSheetId="3" hidden="1">#REF!,#REF!</definedName>
    <definedName name="Z_179EFE24_A1B1_11D3_8FA9_0008C7809E09_.wvu.PrintTitles" localSheetId="29" hidden="1">#REF!,#REF!</definedName>
    <definedName name="Z_179EFE24_A1B1_11D3_8FA9_0008C7809E09_.wvu.PrintTitles" hidden="1">#REF!,#REF!</definedName>
    <definedName name="Z_179EFE25_A1B1_11D3_8FA9_0008C7809E09_.wvu.PrintArea" localSheetId="6" hidden="1">#REF!</definedName>
    <definedName name="Z_179EFE25_A1B1_11D3_8FA9_0008C7809E09_.wvu.PrintArea" localSheetId="7" hidden="1">#REF!</definedName>
    <definedName name="Z_179EFE25_A1B1_11D3_8FA9_0008C7809E09_.wvu.PrintArea" localSheetId="3" hidden="1">#REF!</definedName>
    <definedName name="Z_179EFE25_A1B1_11D3_8FA9_0008C7809E09_.wvu.PrintArea" localSheetId="29" hidden="1">#REF!</definedName>
    <definedName name="Z_179EFE25_A1B1_11D3_8FA9_0008C7809E09_.wvu.PrintArea" hidden="1">#REF!</definedName>
    <definedName name="Z_179EFE25_A1B1_11D3_8FA9_0008C7809E09_.wvu.PrintTitles" localSheetId="6" hidden="1">#REF!,#REF!</definedName>
    <definedName name="Z_179EFE25_A1B1_11D3_8FA9_0008C7809E09_.wvu.PrintTitles" localSheetId="7" hidden="1">#REF!,#REF!</definedName>
    <definedName name="Z_179EFE25_A1B1_11D3_8FA9_0008C7809E09_.wvu.PrintTitles" localSheetId="3" hidden="1">#REF!,#REF!</definedName>
    <definedName name="Z_179EFE25_A1B1_11D3_8FA9_0008C7809E09_.wvu.PrintTitles" localSheetId="29" hidden="1">#REF!,#REF!</definedName>
    <definedName name="Z_179EFE25_A1B1_11D3_8FA9_0008C7809E09_.wvu.PrintTitles" hidden="1">#REF!,#REF!</definedName>
    <definedName name="Z_179EFE26_A1B1_11D3_8FA9_0008C7809E09_.wvu.PrintArea" localSheetId="6" hidden="1">#REF!</definedName>
    <definedName name="Z_179EFE26_A1B1_11D3_8FA9_0008C7809E09_.wvu.PrintArea" localSheetId="7" hidden="1">#REF!</definedName>
    <definedName name="Z_179EFE26_A1B1_11D3_8FA9_0008C7809E09_.wvu.PrintArea" localSheetId="3" hidden="1">#REF!</definedName>
    <definedName name="Z_179EFE26_A1B1_11D3_8FA9_0008C7809E09_.wvu.PrintArea" localSheetId="29" hidden="1">#REF!</definedName>
    <definedName name="Z_179EFE26_A1B1_11D3_8FA9_0008C7809E09_.wvu.PrintArea" hidden="1">#REF!</definedName>
    <definedName name="Z_179EFE26_A1B1_11D3_8FA9_0008C7809E09_.wvu.PrintTitles" localSheetId="6" hidden="1">#REF!,#REF!</definedName>
    <definedName name="Z_179EFE26_A1B1_11D3_8FA9_0008C7809E09_.wvu.PrintTitles" localSheetId="7" hidden="1">#REF!,#REF!</definedName>
    <definedName name="Z_179EFE26_A1B1_11D3_8FA9_0008C7809E09_.wvu.PrintTitles" localSheetId="3" hidden="1">#REF!,#REF!</definedName>
    <definedName name="Z_179EFE26_A1B1_11D3_8FA9_0008C7809E09_.wvu.PrintTitles" localSheetId="29" hidden="1">#REF!,#REF!</definedName>
    <definedName name="Z_179EFE26_A1B1_11D3_8FA9_0008C7809E09_.wvu.PrintTitles" hidden="1">#REF!,#REF!</definedName>
    <definedName name="Z_179EFE27_A1B1_11D3_8FA9_0008C7809E09_.wvu.PrintArea" localSheetId="6" hidden="1">#REF!</definedName>
    <definedName name="Z_179EFE27_A1B1_11D3_8FA9_0008C7809E09_.wvu.PrintArea" localSheetId="7" hidden="1">#REF!</definedName>
    <definedName name="Z_179EFE27_A1B1_11D3_8FA9_0008C7809E09_.wvu.PrintArea" localSheetId="3" hidden="1">#REF!</definedName>
    <definedName name="Z_179EFE27_A1B1_11D3_8FA9_0008C7809E09_.wvu.PrintArea" localSheetId="29" hidden="1">#REF!</definedName>
    <definedName name="Z_179EFE27_A1B1_11D3_8FA9_0008C7809E09_.wvu.PrintArea" hidden="1">#REF!</definedName>
    <definedName name="Z_179EFE27_A1B1_11D3_8FA9_0008C7809E09_.wvu.PrintTitles" localSheetId="6" hidden="1">#REF!,#REF!</definedName>
    <definedName name="Z_179EFE27_A1B1_11D3_8FA9_0008C7809E09_.wvu.PrintTitles" localSheetId="7" hidden="1">#REF!,#REF!</definedName>
    <definedName name="Z_179EFE27_A1B1_11D3_8FA9_0008C7809E09_.wvu.PrintTitles" localSheetId="3" hidden="1">#REF!,#REF!</definedName>
    <definedName name="Z_179EFE27_A1B1_11D3_8FA9_0008C7809E09_.wvu.PrintTitles" localSheetId="29" hidden="1">#REF!,#REF!</definedName>
    <definedName name="Z_179EFE27_A1B1_11D3_8FA9_0008C7809E09_.wvu.PrintTitles" hidden="1">#REF!,#REF!</definedName>
    <definedName name="Z_179EFE28_A1B1_11D3_8FA9_0008C7809E09_.wvu.PrintArea" localSheetId="6" hidden="1">#REF!</definedName>
    <definedName name="Z_179EFE28_A1B1_11D3_8FA9_0008C7809E09_.wvu.PrintArea" localSheetId="7" hidden="1">#REF!</definedName>
    <definedName name="Z_179EFE28_A1B1_11D3_8FA9_0008C7809E09_.wvu.PrintArea" localSheetId="3" hidden="1">#REF!</definedName>
    <definedName name="Z_179EFE28_A1B1_11D3_8FA9_0008C7809E09_.wvu.PrintArea" localSheetId="29" hidden="1">#REF!</definedName>
    <definedName name="Z_179EFE28_A1B1_11D3_8FA9_0008C7809E09_.wvu.PrintArea" hidden="1">#REF!</definedName>
    <definedName name="Z_179EFE28_A1B1_11D3_8FA9_0008C7809E09_.wvu.PrintTitles" localSheetId="6" hidden="1">#REF!,#REF!</definedName>
    <definedName name="Z_179EFE28_A1B1_11D3_8FA9_0008C7809E09_.wvu.PrintTitles" localSheetId="7" hidden="1">#REF!,#REF!</definedName>
    <definedName name="Z_179EFE28_A1B1_11D3_8FA9_0008C7809E09_.wvu.PrintTitles" localSheetId="3" hidden="1">#REF!,#REF!</definedName>
    <definedName name="Z_179EFE28_A1B1_11D3_8FA9_0008C7809E09_.wvu.PrintTitles" localSheetId="29" hidden="1">#REF!,#REF!</definedName>
    <definedName name="Z_179EFE28_A1B1_11D3_8FA9_0008C7809E09_.wvu.PrintTitles" hidden="1">#REF!,#REF!</definedName>
    <definedName name="Z_179EFE29_A1B1_11D3_8FA9_0008C7809E09_.wvu.PrintArea" localSheetId="6" hidden="1">#REF!</definedName>
    <definedName name="Z_179EFE29_A1B1_11D3_8FA9_0008C7809E09_.wvu.PrintArea" localSheetId="7" hidden="1">#REF!</definedName>
    <definedName name="Z_179EFE29_A1B1_11D3_8FA9_0008C7809E09_.wvu.PrintArea" localSheetId="3" hidden="1">#REF!</definedName>
    <definedName name="Z_179EFE29_A1B1_11D3_8FA9_0008C7809E09_.wvu.PrintArea" localSheetId="29" hidden="1">#REF!</definedName>
    <definedName name="Z_179EFE29_A1B1_11D3_8FA9_0008C7809E09_.wvu.PrintArea" hidden="1">#REF!</definedName>
    <definedName name="Z_179EFE29_A1B1_11D3_8FA9_0008C7809E09_.wvu.PrintTitles" localSheetId="6" hidden="1">#REF!,#REF!</definedName>
    <definedName name="Z_179EFE29_A1B1_11D3_8FA9_0008C7809E09_.wvu.PrintTitles" localSheetId="7" hidden="1">#REF!,#REF!</definedName>
    <definedName name="Z_179EFE29_A1B1_11D3_8FA9_0008C7809E09_.wvu.PrintTitles" localSheetId="3" hidden="1">#REF!,#REF!</definedName>
    <definedName name="Z_179EFE29_A1B1_11D3_8FA9_0008C7809E09_.wvu.PrintTitles" localSheetId="29" hidden="1">#REF!,#REF!</definedName>
    <definedName name="Z_179EFE29_A1B1_11D3_8FA9_0008C7809E09_.wvu.PrintTitles" hidden="1">#REF!,#REF!</definedName>
    <definedName name="Z_179EFE2A_A1B1_11D3_8FA9_0008C7809E09_.wvu.PrintArea" localSheetId="6" hidden="1">#REF!</definedName>
    <definedName name="Z_179EFE2A_A1B1_11D3_8FA9_0008C7809E09_.wvu.PrintArea" localSheetId="7" hidden="1">#REF!</definedName>
    <definedName name="Z_179EFE2A_A1B1_11D3_8FA9_0008C7809E09_.wvu.PrintArea" localSheetId="3" hidden="1">#REF!</definedName>
    <definedName name="Z_179EFE2A_A1B1_11D3_8FA9_0008C7809E09_.wvu.PrintArea" localSheetId="29" hidden="1">#REF!</definedName>
    <definedName name="Z_179EFE2A_A1B1_11D3_8FA9_0008C7809E09_.wvu.PrintArea" hidden="1">#REF!</definedName>
    <definedName name="Z_179EFE2A_A1B1_11D3_8FA9_0008C7809E09_.wvu.PrintTitles" localSheetId="6" hidden="1">#REF!,#REF!</definedName>
    <definedName name="Z_179EFE2A_A1B1_11D3_8FA9_0008C7809E09_.wvu.PrintTitles" localSheetId="7" hidden="1">#REF!,#REF!</definedName>
    <definedName name="Z_179EFE2A_A1B1_11D3_8FA9_0008C7809E09_.wvu.PrintTitles" localSheetId="3" hidden="1">#REF!,#REF!</definedName>
    <definedName name="Z_179EFE2A_A1B1_11D3_8FA9_0008C7809E09_.wvu.PrintTitles" localSheetId="29" hidden="1">#REF!,#REF!</definedName>
    <definedName name="Z_179EFE2A_A1B1_11D3_8FA9_0008C7809E09_.wvu.PrintTitles" hidden="1">#REF!,#REF!</definedName>
    <definedName name="Z_179EFE2B_A1B1_11D3_8FA9_0008C7809E09_.wvu.PrintArea" localSheetId="6" hidden="1">#REF!</definedName>
    <definedName name="Z_179EFE2B_A1B1_11D3_8FA9_0008C7809E09_.wvu.PrintArea" localSheetId="7" hidden="1">#REF!</definedName>
    <definedName name="Z_179EFE2B_A1B1_11D3_8FA9_0008C7809E09_.wvu.PrintArea" localSheetId="3" hidden="1">#REF!</definedName>
    <definedName name="Z_179EFE2B_A1B1_11D3_8FA9_0008C7809E09_.wvu.PrintArea" localSheetId="29" hidden="1">#REF!</definedName>
    <definedName name="Z_179EFE2B_A1B1_11D3_8FA9_0008C7809E09_.wvu.PrintArea" hidden="1">#REF!</definedName>
    <definedName name="Z_179EFE2B_A1B1_11D3_8FA9_0008C7809E09_.wvu.PrintTitles" localSheetId="6" hidden="1">#REF!,#REF!</definedName>
    <definedName name="Z_179EFE2B_A1B1_11D3_8FA9_0008C7809E09_.wvu.PrintTitles" localSheetId="7" hidden="1">#REF!,#REF!</definedName>
    <definedName name="Z_179EFE2B_A1B1_11D3_8FA9_0008C7809E09_.wvu.PrintTitles" localSheetId="3" hidden="1">#REF!,#REF!</definedName>
    <definedName name="Z_179EFE2B_A1B1_11D3_8FA9_0008C7809E09_.wvu.PrintTitles" localSheetId="29" hidden="1">#REF!,#REF!</definedName>
    <definedName name="Z_179EFE2B_A1B1_11D3_8FA9_0008C7809E09_.wvu.PrintTitles" hidden="1">#REF!,#REF!</definedName>
    <definedName name="Z_179EFE2C_A1B1_11D3_8FA9_0008C7809E09_.wvu.PrintArea" localSheetId="6" hidden="1">#REF!</definedName>
    <definedName name="Z_179EFE2C_A1B1_11D3_8FA9_0008C7809E09_.wvu.PrintArea" localSheetId="7" hidden="1">#REF!</definedName>
    <definedName name="Z_179EFE2C_A1B1_11D3_8FA9_0008C7809E09_.wvu.PrintArea" localSheetId="3" hidden="1">#REF!</definedName>
    <definedName name="Z_179EFE2C_A1B1_11D3_8FA9_0008C7809E09_.wvu.PrintArea" localSheetId="29" hidden="1">#REF!</definedName>
    <definedName name="Z_179EFE2C_A1B1_11D3_8FA9_0008C7809E09_.wvu.PrintArea" hidden="1">#REF!</definedName>
    <definedName name="Z_179EFE2C_A1B1_11D3_8FA9_0008C7809E09_.wvu.PrintTitles" localSheetId="6" hidden="1">#REF!,#REF!</definedName>
    <definedName name="Z_179EFE2C_A1B1_11D3_8FA9_0008C7809E09_.wvu.PrintTitles" localSheetId="7" hidden="1">#REF!,#REF!</definedName>
    <definedName name="Z_179EFE2C_A1B1_11D3_8FA9_0008C7809E09_.wvu.PrintTitles" localSheetId="3" hidden="1">#REF!,#REF!</definedName>
    <definedName name="Z_179EFE2C_A1B1_11D3_8FA9_0008C7809E09_.wvu.PrintTitles" localSheetId="29" hidden="1">#REF!,#REF!</definedName>
    <definedName name="Z_179EFE2C_A1B1_11D3_8FA9_0008C7809E09_.wvu.PrintTitles" hidden="1">#REF!,#REF!</definedName>
    <definedName name="Z_179EFE2D_A1B1_11D3_8FA9_0008C7809E09_.wvu.PrintArea" localSheetId="6" hidden="1">#REF!</definedName>
    <definedName name="Z_179EFE2D_A1B1_11D3_8FA9_0008C7809E09_.wvu.PrintArea" localSheetId="7" hidden="1">#REF!</definedName>
    <definedName name="Z_179EFE2D_A1B1_11D3_8FA9_0008C7809E09_.wvu.PrintArea" localSheetId="3" hidden="1">#REF!</definedName>
    <definedName name="Z_179EFE2D_A1B1_11D3_8FA9_0008C7809E09_.wvu.PrintArea" localSheetId="29" hidden="1">#REF!</definedName>
    <definedName name="Z_179EFE2D_A1B1_11D3_8FA9_0008C7809E09_.wvu.PrintArea" hidden="1">#REF!</definedName>
    <definedName name="Z_179EFE2D_A1B1_11D3_8FA9_0008C7809E09_.wvu.PrintTitles" localSheetId="6" hidden="1">#REF!,#REF!</definedName>
    <definedName name="Z_179EFE2D_A1B1_11D3_8FA9_0008C7809E09_.wvu.PrintTitles" localSheetId="7" hidden="1">#REF!,#REF!</definedName>
    <definedName name="Z_179EFE2D_A1B1_11D3_8FA9_0008C7809E09_.wvu.PrintTitles" localSheetId="3" hidden="1">#REF!,#REF!</definedName>
    <definedName name="Z_179EFE2D_A1B1_11D3_8FA9_0008C7809E09_.wvu.PrintTitles" localSheetId="29" hidden="1">#REF!,#REF!</definedName>
    <definedName name="Z_179EFE2D_A1B1_11D3_8FA9_0008C7809E09_.wvu.PrintTitles" hidden="1">#REF!,#REF!</definedName>
    <definedName name="Z_179EFE2E_A1B1_11D3_8FA9_0008C7809E09_.wvu.PrintArea" localSheetId="6" hidden="1">#REF!</definedName>
    <definedName name="Z_179EFE2E_A1B1_11D3_8FA9_0008C7809E09_.wvu.PrintArea" localSheetId="7" hidden="1">#REF!</definedName>
    <definedName name="Z_179EFE2E_A1B1_11D3_8FA9_0008C7809E09_.wvu.PrintArea" localSheetId="3" hidden="1">#REF!</definedName>
    <definedName name="Z_179EFE2E_A1B1_11D3_8FA9_0008C7809E09_.wvu.PrintArea" localSheetId="29" hidden="1">#REF!</definedName>
    <definedName name="Z_179EFE2E_A1B1_11D3_8FA9_0008C7809E09_.wvu.PrintArea" hidden="1">#REF!</definedName>
    <definedName name="Z_179EFE2E_A1B1_11D3_8FA9_0008C7809E09_.wvu.PrintTitles" localSheetId="6" hidden="1">#REF!,#REF!</definedName>
    <definedName name="Z_179EFE2E_A1B1_11D3_8FA9_0008C7809E09_.wvu.PrintTitles" localSheetId="7" hidden="1">#REF!,#REF!</definedName>
    <definedName name="Z_179EFE2E_A1B1_11D3_8FA9_0008C7809E09_.wvu.PrintTitles" localSheetId="3" hidden="1">#REF!,#REF!</definedName>
    <definedName name="Z_179EFE2E_A1B1_11D3_8FA9_0008C7809E09_.wvu.PrintTitles" localSheetId="29" hidden="1">#REF!,#REF!</definedName>
    <definedName name="Z_179EFE2E_A1B1_11D3_8FA9_0008C7809E09_.wvu.PrintTitles" hidden="1">#REF!,#REF!</definedName>
    <definedName name="Z_179EFE2F_A1B1_11D3_8FA9_0008C7809E09_.wvu.PrintArea" localSheetId="6" hidden="1">#REF!</definedName>
    <definedName name="Z_179EFE2F_A1B1_11D3_8FA9_0008C7809E09_.wvu.PrintArea" localSheetId="7" hidden="1">#REF!</definedName>
    <definedName name="Z_179EFE2F_A1B1_11D3_8FA9_0008C7809E09_.wvu.PrintArea" localSheetId="3" hidden="1">#REF!</definedName>
    <definedName name="Z_179EFE2F_A1B1_11D3_8FA9_0008C7809E09_.wvu.PrintArea" localSheetId="29" hidden="1">#REF!</definedName>
    <definedName name="Z_179EFE2F_A1B1_11D3_8FA9_0008C7809E09_.wvu.PrintArea" hidden="1">#REF!</definedName>
    <definedName name="Z_179EFE2F_A1B1_11D3_8FA9_0008C7809E09_.wvu.PrintTitles" localSheetId="6" hidden="1">#REF!</definedName>
    <definedName name="Z_179EFE2F_A1B1_11D3_8FA9_0008C7809E09_.wvu.PrintTitles" localSheetId="7" hidden="1">#REF!</definedName>
    <definedName name="Z_179EFE2F_A1B1_11D3_8FA9_0008C7809E09_.wvu.PrintTitles" localSheetId="3" hidden="1">#REF!</definedName>
    <definedName name="Z_179EFE2F_A1B1_11D3_8FA9_0008C7809E09_.wvu.PrintTitles" localSheetId="29" hidden="1">#REF!</definedName>
    <definedName name="Z_179EFE2F_A1B1_11D3_8FA9_0008C7809E09_.wvu.PrintTitles" hidden="1">#REF!</definedName>
    <definedName name="Z_179EFE30_A1B1_11D3_8FA9_0008C7809E09_.wvu.PrintArea" localSheetId="6" hidden="1">#REF!</definedName>
    <definedName name="Z_179EFE30_A1B1_11D3_8FA9_0008C7809E09_.wvu.PrintArea" localSheetId="7" hidden="1">#REF!</definedName>
    <definedName name="Z_179EFE30_A1B1_11D3_8FA9_0008C7809E09_.wvu.PrintArea" localSheetId="3" hidden="1">#REF!</definedName>
    <definedName name="Z_179EFE30_A1B1_11D3_8FA9_0008C7809E09_.wvu.PrintArea" localSheetId="29" hidden="1">#REF!</definedName>
    <definedName name="Z_179EFE30_A1B1_11D3_8FA9_0008C7809E09_.wvu.PrintArea" hidden="1">#REF!</definedName>
    <definedName name="Z_179EFE30_A1B1_11D3_8FA9_0008C7809E09_.wvu.PrintTitles" localSheetId="3" hidden="1">#REF!</definedName>
    <definedName name="Z_179EFE30_A1B1_11D3_8FA9_0008C7809E09_.wvu.PrintTitles" hidden="1">#REF!</definedName>
    <definedName name="Z_179EFE31_A1B1_11D3_8FA9_0008C7809E09_.wvu.PrintArea" localSheetId="3" hidden="1">#REF!</definedName>
    <definedName name="Z_179EFE31_A1B1_11D3_8FA9_0008C7809E09_.wvu.PrintArea" hidden="1">#REF!</definedName>
    <definedName name="Z_179EFE31_A1B1_11D3_8FA9_0008C7809E09_.wvu.PrintTitles" localSheetId="3" hidden="1">#REF!</definedName>
    <definedName name="Z_179EFE31_A1B1_11D3_8FA9_0008C7809E09_.wvu.PrintTitles" hidden="1">#REF!</definedName>
    <definedName name="Z_179EFE32_A1B1_11D3_8FA9_0008C7809E09_.wvu.PrintArea" localSheetId="3" hidden="1">#REF!</definedName>
    <definedName name="Z_179EFE32_A1B1_11D3_8FA9_0008C7809E09_.wvu.PrintArea" hidden="1">#REF!</definedName>
    <definedName name="Z_179EFE32_A1B1_11D3_8FA9_0008C7809E09_.wvu.PrintTitles" localSheetId="3" hidden="1">#REF!</definedName>
    <definedName name="Z_179EFE32_A1B1_11D3_8FA9_0008C7809E09_.wvu.PrintTitles" hidden="1">#REF!</definedName>
    <definedName name="Z_179EFE33_A1B1_11D3_8FA9_0008C7809E09_.wvu.PrintArea" localSheetId="3" hidden="1">#REF!</definedName>
    <definedName name="Z_179EFE33_A1B1_11D3_8FA9_0008C7809E09_.wvu.PrintArea" hidden="1">#REF!</definedName>
    <definedName name="Z_179EFE33_A1B1_11D3_8FA9_0008C7809E09_.wvu.PrintTitles" localSheetId="3" hidden="1">#REF!</definedName>
    <definedName name="Z_179EFE33_A1B1_11D3_8FA9_0008C7809E09_.wvu.PrintTitles" hidden="1">#REF!</definedName>
    <definedName name="Z_179EFE34_A1B1_11D3_8FA9_0008C7809E09_.wvu.PrintArea" localSheetId="3" hidden="1">#REF!</definedName>
    <definedName name="Z_179EFE34_A1B1_11D3_8FA9_0008C7809E09_.wvu.PrintArea" hidden="1">#REF!</definedName>
    <definedName name="Z_179EFE34_A1B1_11D3_8FA9_0008C7809E09_.wvu.PrintTitles" localSheetId="3" hidden="1">#REF!</definedName>
    <definedName name="Z_179EFE34_A1B1_11D3_8FA9_0008C7809E09_.wvu.PrintTitles" hidden="1">#REF!</definedName>
    <definedName name="Z_179EFE35_A1B1_11D3_8FA9_0008C7809E09_.wvu.PrintArea" localSheetId="3" hidden="1">#REF!</definedName>
    <definedName name="Z_179EFE35_A1B1_11D3_8FA9_0008C7809E09_.wvu.PrintArea" hidden="1">#REF!</definedName>
    <definedName name="Z_179EFE35_A1B1_11D3_8FA9_0008C7809E09_.wvu.PrintTitles" localSheetId="3" hidden="1">#REF!</definedName>
    <definedName name="Z_179EFE35_A1B1_11D3_8FA9_0008C7809E09_.wvu.PrintTitles" hidden="1">#REF!</definedName>
    <definedName name="Z_179EFE36_A1B1_11D3_8FA9_0008C7809E09_.wvu.PrintArea" localSheetId="3" hidden="1">#REF!</definedName>
    <definedName name="Z_179EFE36_A1B1_11D3_8FA9_0008C7809E09_.wvu.PrintArea" hidden="1">#REF!</definedName>
    <definedName name="Z_179EFE36_A1B1_11D3_8FA9_0008C7809E09_.wvu.PrintTitles" localSheetId="3" hidden="1">#REF!</definedName>
    <definedName name="Z_179EFE36_A1B1_11D3_8FA9_0008C7809E09_.wvu.PrintTitles" hidden="1">#REF!</definedName>
    <definedName name="Z_179EFE37_A1B1_11D3_8FA9_0008C7809E09_.wvu.PrintArea" localSheetId="3" hidden="1">#REF!</definedName>
    <definedName name="Z_179EFE37_A1B1_11D3_8FA9_0008C7809E09_.wvu.PrintArea" hidden="1">#REF!</definedName>
    <definedName name="Z_179EFE37_A1B1_11D3_8FA9_0008C7809E09_.wvu.PrintTitles" localSheetId="3" hidden="1">#REF!</definedName>
    <definedName name="Z_179EFE37_A1B1_11D3_8FA9_0008C7809E09_.wvu.PrintTitles" hidden="1">#REF!</definedName>
    <definedName name="Z_179EFE38_A1B1_11D3_8FA9_0008C7809E09_.wvu.PrintArea" localSheetId="3" hidden="1">#REF!</definedName>
    <definedName name="Z_179EFE38_A1B1_11D3_8FA9_0008C7809E09_.wvu.PrintArea" hidden="1">#REF!</definedName>
    <definedName name="Z_179EFE38_A1B1_11D3_8FA9_0008C7809E09_.wvu.PrintTitles" localSheetId="3" hidden="1">#REF!</definedName>
    <definedName name="Z_179EFE38_A1B1_11D3_8FA9_0008C7809E09_.wvu.PrintTitles" hidden="1">#REF!</definedName>
    <definedName name="Z_179EFE39_A1B1_11D3_8FA9_0008C7809E09_.wvu.PrintArea" localSheetId="3" hidden="1">#REF!</definedName>
    <definedName name="Z_179EFE39_A1B1_11D3_8FA9_0008C7809E09_.wvu.PrintArea" hidden="1">#REF!</definedName>
    <definedName name="Z_179EFE39_A1B1_11D3_8FA9_0008C7809E09_.wvu.PrintTitles" localSheetId="3" hidden="1">#REF!</definedName>
    <definedName name="Z_179EFE39_A1B1_11D3_8FA9_0008C7809E09_.wvu.PrintTitles" hidden="1">#REF!</definedName>
    <definedName name="Z_179EFE3A_A1B1_11D3_8FA9_0008C7809E09_.wvu.PrintArea" localSheetId="3" hidden="1">#REF!</definedName>
    <definedName name="Z_179EFE3A_A1B1_11D3_8FA9_0008C7809E09_.wvu.PrintArea" hidden="1">#REF!</definedName>
    <definedName name="Z_179EFE3A_A1B1_11D3_8FA9_0008C7809E09_.wvu.PrintTitles" localSheetId="3" hidden="1">#REF!</definedName>
    <definedName name="Z_179EFE3A_A1B1_11D3_8FA9_0008C7809E09_.wvu.PrintTitles" hidden="1">#REF!</definedName>
    <definedName name="Z_179EFE3B_A1B1_11D3_8FA9_0008C7809E09_.wvu.PrintArea" localSheetId="3" hidden="1">#REF!</definedName>
    <definedName name="Z_179EFE3B_A1B1_11D3_8FA9_0008C7809E09_.wvu.PrintArea" hidden="1">#REF!</definedName>
    <definedName name="Z_179EFE3B_A1B1_11D3_8FA9_0008C7809E09_.wvu.PrintTitles" localSheetId="3" hidden="1">#REF!</definedName>
    <definedName name="Z_179EFE3B_A1B1_11D3_8FA9_0008C7809E09_.wvu.PrintTitles" hidden="1">#REF!</definedName>
    <definedName name="Z_179EFE3C_A1B1_11D3_8FA9_0008C7809E09_.wvu.PrintArea" localSheetId="3" hidden="1">#REF!</definedName>
    <definedName name="Z_179EFE3C_A1B1_11D3_8FA9_0008C7809E09_.wvu.PrintArea" hidden="1">#REF!</definedName>
    <definedName name="Z_179EFE3C_A1B1_11D3_8FA9_0008C7809E09_.wvu.PrintTitles" localSheetId="6" hidden="1">#REF!,#REF!</definedName>
    <definedName name="Z_179EFE3C_A1B1_11D3_8FA9_0008C7809E09_.wvu.PrintTitles" localSheetId="7" hidden="1">#REF!,#REF!</definedName>
    <definedName name="Z_179EFE3C_A1B1_11D3_8FA9_0008C7809E09_.wvu.PrintTitles" localSheetId="3" hidden="1">#REF!,#REF!</definedName>
    <definedName name="Z_179EFE3C_A1B1_11D3_8FA9_0008C7809E09_.wvu.PrintTitles" localSheetId="29" hidden="1">#REF!,#REF!</definedName>
    <definedName name="Z_179EFE3C_A1B1_11D3_8FA9_0008C7809E09_.wvu.PrintTitles" hidden="1">#REF!,#REF!</definedName>
    <definedName name="Z_179EFE3D_A1B1_11D3_8FA9_0008C7809E09_.wvu.PrintArea" localSheetId="6" hidden="1">#REF!</definedName>
    <definedName name="Z_179EFE3D_A1B1_11D3_8FA9_0008C7809E09_.wvu.PrintArea" localSheetId="7" hidden="1">#REF!</definedName>
    <definedName name="Z_179EFE3D_A1B1_11D3_8FA9_0008C7809E09_.wvu.PrintArea" localSheetId="3" hidden="1">#REF!</definedName>
    <definedName name="Z_179EFE3D_A1B1_11D3_8FA9_0008C7809E09_.wvu.PrintArea" localSheetId="29" hidden="1">#REF!</definedName>
    <definedName name="Z_179EFE3D_A1B1_11D3_8FA9_0008C7809E09_.wvu.PrintArea" hidden="1">#REF!</definedName>
    <definedName name="Z_179EFE3D_A1B1_11D3_8FA9_0008C7809E09_.wvu.PrintTitles" localSheetId="6" hidden="1">#REF!,#REF!</definedName>
    <definedName name="Z_179EFE3D_A1B1_11D3_8FA9_0008C7809E09_.wvu.PrintTitles" localSheetId="7" hidden="1">#REF!,#REF!</definedName>
    <definedName name="Z_179EFE3D_A1B1_11D3_8FA9_0008C7809E09_.wvu.PrintTitles" localSheetId="3" hidden="1">#REF!,#REF!</definedName>
    <definedName name="Z_179EFE3D_A1B1_11D3_8FA9_0008C7809E09_.wvu.PrintTitles" localSheetId="29" hidden="1">#REF!,#REF!</definedName>
    <definedName name="Z_179EFE3D_A1B1_11D3_8FA9_0008C7809E09_.wvu.PrintTitles" hidden="1">#REF!,#REF!</definedName>
    <definedName name="Z_179EFE3E_A1B1_11D3_8FA9_0008C7809E09_.wvu.PrintArea" localSheetId="6" hidden="1">#REF!</definedName>
    <definedName name="Z_179EFE3E_A1B1_11D3_8FA9_0008C7809E09_.wvu.PrintArea" localSheetId="7" hidden="1">#REF!</definedName>
    <definedName name="Z_179EFE3E_A1B1_11D3_8FA9_0008C7809E09_.wvu.PrintArea" localSheetId="3" hidden="1">#REF!</definedName>
    <definedName name="Z_179EFE3E_A1B1_11D3_8FA9_0008C7809E09_.wvu.PrintArea" localSheetId="29" hidden="1">#REF!</definedName>
    <definedName name="Z_179EFE3E_A1B1_11D3_8FA9_0008C7809E09_.wvu.PrintArea" hidden="1">#REF!</definedName>
    <definedName name="Z_179EFE3E_A1B1_11D3_8FA9_0008C7809E09_.wvu.PrintTitles" localSheetId="6" hidden="1">#REF!,#REF!</definedName>
    <definedName name="Z_179EFE3E_A1B1_11D3_8FA9_0008C7809E09_.wvu.PrintTitles" localSheetId="7" hidden="1">#REF!,#REF!</definedName>
    <definedName name="Z_179EFE3E_A1B1_11D3_8FA9_0008C7809E09_.wvu.PrintTitles" localSheetId="3" hidden="1">#REF!,#REF!</definedName>
    <definedName name="Z_179EFE3E_A1B1_11D3_8FA9_0008C7809E09_.wvu.PrintTitles" localSheetId="29" hidden="1">#REF!,#REF!</definedName>
    <definedName name="Z_179EFE3E_A1B1_11D3_8FA9_0008C7809E09_.wvu.PrintTitles" hidden="1">#REF!,#REF!</definedName>
    <definedName name="Z_179EFE3F_A1B1_11D3_8FA9_0008C7809E09_.wvu.PrintArea" localSheetId="6" hidden="1">#REF!</definedName>
    <definedName name="Z_179EFE3F_A1B1_11D3_8FA9_0008C7809E09_.wvu.PrintArea" localSheetId="7" hidden="1">#REF!</definedName>
    <definedName name="Z_179EFE3F_A1B1_11D3_8FA9_0008C7809E09_.wvu.PrintArea" localSheetId="3" hidden="1">#REF!</definedName>
    <definedName name="Z_179EFE3F_A1B1_11D3_8FA9_0008C7809E09_.wvu.PrintArea" localSheetId="29" hidden="1">#REF!</definedName>
    <definedName name="Z_179EFE3F_A1B1_11D3_8FA9_0008C7809E09_.wvu.PrintArea" hidden="1">#REF!</definedName>
    <definedName name="Z_179EFE3F_A1B1_11D3_8FA9_0008C7809E09_.wvu.PrintTitles" localSheetId="6" hidden="1">#REF!,#REF!</definedName>
    <definedName name="Z_179EFE3F_A1B1_11D3_8FA9_0008C7809E09_.wvu.PrintTitles" localSheetId="7" hidden="1">#REF!,#REF!</definedName>
    <definedName name="Z_179EFE3F_A1B1_11D3_8FA9_0008C7809E09_.wvu.PrintTitles" localSheetId="3" hidden="1">#REF!,#REF!</definedName>
    <definedName name="Z_179EFE3F_A1B1_11D3_8FA9_0008C7809E09_.wvu.PrintTitles" localSheetId="29" hidden="1">#REF!,#REF!</definedName>
    <definedName name="Z_179EFE3F_A1B1_11D3_8FA9_0008C7809E09_.wvu.PrintTitles" hidden="1">#REF!,#REF!</definedName>
    <definedName name="Z_179EFE40_A1B1_11D3_8FA9_0008C7809E09_.wvu.PrintArea" localSheetId="6" hidden="1">#REF!</definedName>
    <definedName name="Z_179EFE40_A1B1_11D3_8FA9_0008C7809E09_.wvu.PrintArea" localSheetId="7" hidden="1">#REF!</definedName>
    <definedName name="Z_179EFE40_A1B1_11D3_8FA9_0008C7809E09_.wvu.PrintArea" localSheetId="3" hidden="1">#REF!</definedName>
    <definedName name="Z_179EFE40_A1B1_11D3_8FA9_0008C7809E09_.wvu.PrintArea" localSheetId="29" hidden="1">#REF!</definedName>
    <definedName name="Z_179EFE40_A1B1_11D3_8FA9_0008C7809E09_.wvu.PrintArea" hidden="1">#REF!</definedName>
    <definedName name="Z_179EFE40_A1B1_11D3_8FA9_0008C7809E09_.wvu.PrintTitles" localSheetId="6" hidden="1">#REF!,#REF!</definedName>
    <definedName name="Z_179EFE40_A1B1_11D3_8FA9_0008C7809E09_.wvu.PrintTitles" localSheetId="7" hidden="1">#REF!,#REF!</definedName>
    <definedName name="Z_179EFE40_A1B1_11D3_8FA9_0008C7809E09_.wvu.PrintTitles" localSheetId="3" hidden="1">#REF!,#REF!</definedName>
    <definedName name="Z_179EFE40_A1B1_11D3_8FA9_0008C7809E09_.wvu.PrintTitles" localSheetId="29" hidden="1">#REF!,#REF!</definedName>
    <definedName name="Z_179EFE40_A1B1_11D3_8FA9_0008C7809E09_.wvu.PrintTitles" hidden="1">#REF!,#REF!</definedName>
    <definedName name="Z_179EFE41_A1B1_11D3_8FA9_0008C7809E09_.wvu.PrintArea" localSheetId="6" hidden="1">#REF!</definedName>
    <definedName name="Z_179EFE41_A1B1_11D3_8FA9_0008C7809E09_.wvu.PrintArea" localSheetId="7" hidden="1">#REF!</definedName>
    <definedName name="Z_179EFE41_A1B1_11D3_8FA9_0008C7809E09_.wvu.PrintArea" localSheetId="3" hidden="1">#REF!</definedName>
    <definedName name="Z_179EFE41_A1B1_11D3_8FA9_0008C7809E09_.wvu.PrintArea" localSheetId="29" hidden="1">#REF!</definedName>
    <definedName name="Z_179EFE41_A1B1_11D3_8FA9_0008C7809E09_.wvu.PrintArea" hidden="1">#REF!</definedName>
    <definedName name="Z_179EFE41_A1B1_11D3_8FA9_0008C7809E09_.wvu.PrintTitles" localSheetId="6" hidden="1">#REF!,#REF!</definedName>
    <definedName name="Z_179EFE41_A1B1_11D3_8FA9_0008C7809E09_.wvu.PrintTitles" localSheetId="7" hidden="1">#REF!,#REF!</definedName>
    <definedName name="Z_179EFE41_A1B1_11D3_8FA9_0008C7809E09_.wvu.PrintTitles" localSheetId="3" hidden="1">#REF!,#REF!</definedName>
    <definedName name="Z_179EFE41_A1B1_11D3_8FA9_0008C7809E09_.wvu.PrintTitles" localSheetId="29" hidden="1">#REF!,#REF!</definedName>
    <definedName name="Z_179EFE41_A1B1_11D3_8FA9_0008C7809E09_.wvu.PrintTitles" hidden="1">#REF!,#REF!</definedName>
    <definedName name="Z_179EFE42_A1B1_11D3_8FA9_0008C7809E09_.wvu.PrintArea" localSheetId="6" hidden="1">#REF!</definedName>
    <definedName name="Z_179EFE42_A1B1_11D3_8FA9_0008C7809E09_.wvu.PrintArea" localSheetId="7" hidden="1">#REF!</definedName>
    <definedName name="Z_179EFE42_A1B1_11D3_8FA9_0008C7809E09_.wvu.PrintArea" localSheetId="3" hidden="1">#REF!</definedName>
    <definedName name="Z_179EFE42_A1B1_11D3_8FA9_0008C7809E09_.wvu.PrintArea" localSheetId="29" hidden="1">#REF!</definedName>
    <definedName name="Z_179EFE42_A1B1_11D3_8FA9_0008C7809E09_.wvu.PrintArea" hidden="1">#REF!</definedName>
    <definedName name="Z_179EFE42_A1B1_11D3_8FA9_0008C7809E09_.wvu.PrintTitles" localSheetId="6" hidden="1">#REF!,#REF!</definedName>
    <definedName name="Z_179EFE42_A1B1_11D3_8FA9_0008C7809E09_.wvu.PrintTitles" localSheetId="7" hidden="1">#REF!,#REF!</definedName>
    <definedName name="Z_179EFE42_A1B1_11D3_8FA9_0008C7809E09_.wvu.PrintTitles" localSheetId="3" hidden="1">#REF!,#REF!</definedName>
    <definedName name="Z_179EFE42_A1B1_11D3_8FA9_0008C7809E09_.wvu.PrintTitles" localSheetId="29" hidden="1">#REF!,#REF!</definedName>
    <definedName name="Z_179EFE42_A1B1_11D3_8FA9_0008C7809E09_.wvu.PrintTitles" hidden="1">#REF!,#REF!</definedName>
    <definedName name="Z_179EFE43_A1B1_11D3_8FA9_0008C7809E09_.wvu.PrintArea" localSheetId="6" hidden="1">#REF!</definedName>
    <definedName name="Z_179EFE43_A1B1_11D3_8FA9_0008C7809E09_.wvu.PrintArea" localSheetId="7" hidden="1">#REF!</definedName>
    <definedName name="Z_179EFE43_A1B1_11D3_8FA9_0008C7809E09_.wvu.PrintArea" localSheetId="3" hidden="1">#REF!</definedName>
    <definedName name="Z_179EFE43_A1B1_11D3_8FA9_0008C7809E09_.wvu.PrintArea" localSheetId="29" hidden="1">#REF!</definedName>
    <definedName name="Z_179EFE43_A1B1_11D3_8FA9_0008C7809E09_.wvu.PrintArea" hidden="1">#REF!</definedName>
    <definedName name="Z_179EFE43_A1B1_11D3_8FA9_0008C7809E09_.wvu.PrintTitles" localSheetId="6" hidden="1">#REF!,#REF!</definedName>
    <definedName name="Z_179EFE43_A1B1_11D3_8FA9_0008C7809E09_.wvu.PrintTitles" localSheetId="7" hidden="1">#REF!,#REF!</definedName>
    <definedName name="Z_179EFE43_A1B1_11D3_8FA9_0008C7809E09_.wvu.PrintTitles" localSheetId="3" hidden="1">#REF!,#REF!</definedName>
    <definedName name="Z_179EFE43_A1B1_11D3_8FA9_0008C7809E09_.wvu.PrintTitles" localSheetId="29" hidden="1">#REF!,#REF!</definedName>
    <definedName name="Z_179EFE43_A1B1_11D3_8FA9_0008C7809E09_.wvu.PrintTitles" hidden="1">#REF!,#REF!</definedName>
    <definedName name="Z_179EFE44_A1B1_11D3_8FA9_0008C7809E09_.wvu.PrintArea" localSheetId="6" hidden="1">#REF!</definedName>
    <definedName name="Z_179EFE44_A1B1_11D3_8FA9_0008C7809E09_.wvu.PrintArea" localSheetId="7" hidden="1">#REF!</definedName>
    <definedName name="Z_179EFE44_A1B1_11D3_8FA9_0008C7809E09_.wvu.PrintArea" localSheetId="3" hidden="1">#REF!</definedName>
    <definedName name="Z_179EFE44_A1B1_11D3_8FA9_0008C7809E09_.wvu.PrintArea" localSheetId="29" hidden="1">#REF!</definedName>
    <definedName name="Z_179EFE44_A1B1_11D3_8FA9_0008C7809E09_.wvu.PrintArea" hidden="1">#REF!</definedName>
    <definedName name="Z_179EFE44_A1B1_11D3_8FA9_0008C7809E09_.wvu.PrintTitles" localSheetId="6" hidden="1">#REF!,#REF!</definedName>
    <definedName name="Z_179EFE44_A1B1_11D3_8FA9_0008C7809E09_.wvu.PrintTitles" localSheetId="7" hidden="1">#REF!,#REF!</definedName>
    <definedName name="Z_179EFE44_A1B1_11D3_8FA9_0008C7809E09_.wvu.PrintTitles" localSheetId="3" hidden="1">#REF!,#REF!</definedName>
    <definedName name="Z_179EFE44_A1B1_11D3_8FA9_0008C7809E09_.wvu.PrintTitles" localSheetId="29" hidden="1">#REF!,#REF!</definedName>
    <definedName name="Z_179EFE44_A1B1_11D3_8FA9_0008C7809E09_.wvu.PrintTitles" hidden="1">#REF!,#REF!</definedName>
    <definedName name="Z_179EFE45_A1B1_11D3_8FA9_0008C7809E09_.wvu.PrintArea" localSheetId="6" hidden="1">#REF!</definedName>
    <definedName name="Z_179EFE45_A1B1_11D3_8FA9_0008C7809E09_.wvu.PrintArea" localSheetId="7" hidden="1">#REF!</definedName>
    <definedName name="Z_179EFE45_A1B1_11D3_8FA9_0008C7809E09_.wvu.PrintArea" localSheetId="3" hidden="1">#REF!</definedName>
    <definedName name="Z_179EFE45_A1B1_11D3_8FA9_0008C7809E09_.wvu.PrintArea" localSheetId="29" hidden="1">#REF!</definedName>
    <definedName name="Z_179EFE45_A1B1_11D3_8FA9_0008C7809E09_.wvu.PrintArea" hidden="1">#REF!</definedName>
    <definedName name="Z_179EFE45_A1B1_11D3_8FA9_0008C7809E09_.wvu.PrintTitles" localSheetId="6" hidden="1">#REF!,#REF!</definedName>
    <definedName name="Z_179EFE45_A1B1_11D3_8FA9_0008C7809E09_.wvu.PrintTitles" localSheetId="7" hidden="1">#REF!,#REF!</definedName>
    <definedName name="Z_179EFE45_A1B1_11D3_8FA9_0008C7809E09_.wvu.PrintTitles" localSheetId="3" hidden="1">#REF!,#REF!</definedName>
    <definedName name="Z_179EFE45_A1B1_11D3_8FA9_0008C7809E09_.wvu.PrintTitles" localSheetId="29" hidden="1">#REF!,#REF!</definedName>
    <definedName name="Z_179EFE45_A1B1_11D3_8FA9_0008C7809E09_.wvu.PrintTitles" hidden="1">#REF!,#REF!</definedName>
    <definedName name="Z_179EFE46_A1B1_11D3_8FA9_0008C7809E09_.wvu.PrintArea" localSheetId="6" hidden="1">#REF!</definedName>
    <definedName name="Z_179EFE46_A1B1_11D3_8FA9_0008C7809E09_.wvu.PrintArea" localSheetId="7" hidden="1">#REF!</definedName>
    <definedName name="Z_179EFE46_A1B1_11D3_8FA9_0008C7809E09_.wvu.PrintArea" localSheetId="3" hidden="1">#REF!</definedName>
    <definedName name="Z_179EFE46_A1B1_11D3_8FA9_0008C7809E09_.wvu.PrintArea" localSheetId="29" hidden="1">#REF!</definedName>
    <definedName name="Z_179EFE46_A1B1_11D3_8FA9_0008C7809E09_.wvu.PrintArea" hidden="1">#REF!</definedName>
    <definedName name="Z_179EFE46_A1B1_11D3_8FA9_0008C7809E09_.wvu.PrintTitles" localSheetId="6" hidden="1">#REF!,#REF!</definedName>
    <definedName name="Z_179EFE46_A1B1_11D3_8FA9_0008C7809E09_.wvu.PrintTitles" localSheetId="7" hidden="1">#REF!,#REF!</definedName>
    <definedName name="Z_179EFE46_A1B1_11D3_8FA9_0008C7809E09_.wvu.PrintTitles" localSheetId="3" hidden="1">#REF!,#REF!</definedName>
    <definedName name="Z_179EFE46_A1B1_11D3_8FA9_0008C7809E09_.wvu.PrintTitles" localSheetId="29" hidden="1">#REF!,#REF!</definedName>
    <definedName name="Z_179EFE46_A1B1_11D3_8FA9_0008C7809E09_.wvu.PrintTitles" hidden="1">#REF!,#REF!</definedName>
    <definedName name="Z_179EFE47_A1B1_11D3_8FA9_0008C7809E09_.wvu.PrintArea" localSheetId="6" hidden="1">#REF!</definedName>
    <definedName name="Z_179EFE47_A1B1_11D3_8FA9_0008C7809E09_.wvu.PrintArea" localSheetId="7" hidden="1">#REF!</definedName>
    <definedName name="Z_179EFE47_A1B1_11D3_8FA9_0008C7809E09_.wvu.PrintArea" localSheetId="3" hidden="1">#REF!</definedName>
    <definedName name="Z_179EFE47_A1B1_11D3_8FA9_0008C7809E09_.wvu.PrintArea" localSheetId="29" hidden="1">#REF!</definedName>
    <definedName name="Z_179EFE47_A1B1_11D3_8FA9_0008C7809E09_.wvu.PrintArea" hidden="1">#REF!</definedName>
    <definedName name="Z_179EFE47_A1B1_11D3_8FA9_0008C7809E09_.wvu.PrintTitles" localSheetId="6" hidden="1">#REF!,#REF!</definedName>
    <definedName name="Z_179EFE47_A1B1_11D3_8FA9_0008C7809E09_.wvu.PrintTitles" localSheetId="7" hidden="1">#REF!,#REF!</definedName>
    <definedName name="Z_179EFE47_A1B1_11D3_8FA9_0008C7809E09_.wvu.PrintTitles" localSheetId="3" hidden="1">#REF!,#REF!</definedName>
    <definedName name="Z_179EFE47_A1B1_11D3_8FA9_0008C7809E09_.wvu.PrintTitles" localSheetId="29" hidden="1">#REF!,#REF!</definedName>
    <definedName name="Z_179EFE47_A1B1_11D3_8FA9_0008C7809E09_.wvu.PrintTitles" hidden="1">#REF!,#REF!</definedName>
    <definedName name="Z_179EFE48_A1B1_11D3_8FA9_0008C7809E09_.wvu.PrintArea" localSheetId="6" hidden="1">#REF!</definedName>
    <definedName name="Z_179EFE48_A1B1_11D3_8FA9_0008C7809E09_.wvu.PrintArea" localSheetId="7" hidden="1">#REF!</definedName>
    <definedName name="Z_179EFE48_A1B1_11D3_8FA9_0008C7809E09_.wvu.PrintArea" localSheetId="3" hidden="1">#REF!</definedName>
    <definedName name="Z_179EFE48_A1B1_11D3_8FA9_0008C7809E09_.wvu.PrintArea" localSheetId="29" hidden="1">#REF!</definedName>
    <definedName name="Z_179EFE48_A1B1_11D3_8FA9_0008C7809E09_.wvu.PrintArea" hidden="1">#REF!</definedName>
    <definedName name="Z_179EFE48_A1B1_11D3_8FA9_0008C7809E09_.wvu.PrintTitles" localSheetId="6" hidden="1">#REF!,#REF!</definedName>
    <definedName name="Z_179EFE48_A1B1_11D3_8FA9_0008C7809E09_.wvu.PrintTitles" localSheetId="7" hidden="1">#REF!,#REF!</definedName>
    <definedName name="Z_179EFE48_A1B1_11D3_8FA9_0008C7809E09_.wvu.PrintTitles" localSheetId="3" hidden="1">#REF!,#REF!</definedName>
    <definedName name="Z_179EFE48_A1B1_11D3_8FA9_0008C7809E09_.wvu.PrintTitles" localSheetId="29" hidden="1">#REF!,#REF!</definedName>
    <definedName name="Z_179EFE48_A1B1_11D3_8FA9_0008C7809E09_.wvu.PrintTitles" hidden="1">#REF!,#REF!</definedName>
    <definedName name="Z_179EFE49_A1B1_11D3_8FA9_0008C7809E09_.wvu.PrintArea" localSheetId="6" hidden="1">#REF!</definedName>
    <definedName name="Z_179EFE49_A1B1_11D3_8FA9_0008C7809E09_.wvu.PrintArea" localSheetId="7" hidden="1">#REF!</definedName>
    <definedName name="Z_179EFE49_A1B1_11D3_8FA9_0008C7809E09_.wvu.PrintArea" localSheetId="3" hidden="1">#REF!</definedName>
    <definedName name="Z_179EFE49_A1B1_11D3_8FA9_0008C7809E09_.wvu.PrintArea" localSheetId="29" hidden="1">#REF!</definedName>
    <definedName name="Z_179EFE49_A1B1_11D3_8FA9_0008C7809E09_.wvu.PrintArea" hidden="1">#REF!</definedName>
    <definedName name="Z_179EFE49_A1B1_11D3_8FA9_0008C7809E09_.wvu.PrintTitles" localSheetId="6" hidden="1">#REF!,#REF!</definedName>
    <definedName name="Z_179EFE49_A1B1_11D3_8FA9_0008C7809E09_.wvu.PrintTitles" localSheetId="7" hidden="1">#REF!,#REF!</definedName>
    <definedName name="Z_179EFE49_A1B1_11D3_8FA9_0008C7809E09_.wvu.PrintTitles" localSheetId="3" hidden="1">#REF!,#REF!</definedName>
    <definedName name="Z_179EFE49_A1B1_11D3_8FA9_0008C7809E09_.wvu.PrintTitles" localSheetId="29" hidden="1">#REF!,#REF!</definedName>
    <definedName name="Z_179EFE49_A1B1_11D3_8FA9_0008C7809E09_.wvu.PrintTitles" hidden="1">#REF!,#REF!</definedName>
    <definedName name="Z_179EFE4A_A1B1_11D3_8FA9_0008C7809E09_.wvu.PrintArea" localSheetId="6" hidden="1">#REF!</definedName>
    <definedName name="Z_179EFE4A_A1B1_11D3_8FA9_0008C7809E09_.wvu.PrintArea" localSheetId="7" hidden="1">#REF!</definedName>
    <definedName name="Z_179EFE4A_A1B1_11D3_8FA9_0008C7809E09_.wvu.PrintArea" localSheetId="3" hidden="1">#REF!</definedName>
    <definedName name="Z_179EFE4A_A1B1_11D3_8FA9_0008C7809E09_.wvu.PrintArea" localSheetId="29" hidden="1">#REF!</definedName>
    <definedName name="Z_179EFE4A_A1B1_11D3_8FA9_0008C7809E09_.wvu.PrintArea" hidden="1">#REF!</definedName>
    <definedName name="Z_179EFE4A_A1B1_11D3_8FA9_0008C7809E09_.wvu.PrintTitles" localSheetId="6" hidden="1">#REF!,#REF!</definedName>
    <definedName name="Z_179EFE4A_A1B1_11D3_8FA9_0008C7809E09_.wvu.PrintTitles" localSheetId="7" hidden="1">#REF!,#REF!</definedName>
    <definedName name="Z_179EFE4A_A1B1_11D3_8FA9_0008C7809E09_.wvu.PrintTitles" localSheetId="3" hidden="1">#REF!,#REF!</definedName>
    <definedName name="Z_179EFE4A_A1B1_11D3_8FA9_0008C7809E09_.wvu.PrintTitles" localSheetId="29" hidden="1">#REF!,#REF!</definedName>
    <definedName name="Z_179EFE4A_A1B1_11D3_8FA9_0008C7809E09_.wvu.PrintTitles" hidden="1">#REF!,#REF!</definedName>
    <definedName name="Z_179EFE4B_A1B1_11D3_8FA9_0008C7809E09_.wvu.PrintArea" localSheetId="6" hidden="1">#REF!</definedName>
    <definedName name="Z_179EFE4B_A1B1_11D3_8FA9_0008C7809E09_.wvu.PrintArea" localSheetId="7" hidden="1">#REF!</definedName>
    <definedName name="Z_179EFE4B_A1B1_11D3_8FA9_0008C7809E09_.wvu.PrintArea" localSheetId="3" hidden="1">#REF!</definedName>
    <definedName name="Z_179EFE4B_A1B1_11D3_8FA9_0008C7809E09_.wvu.PrintArea" localSheetId="29" hidden="1">#REF!</definedName>
    <definedName name="Z_179EFE4B_A1B1_11D3_8FA9_0008C7809E09_.wvu.PrintArea" hidden="1">#REF!</definedName>
    <definedName name="Z_179EFE4B_A1B1_11D3_8FA9_0008C7809E09_.wvu.PrintTitles" localSheetId="6" hidden="1">#REF!,#REF!</definedName>
    <definedName name="Z_179EFE4B_A1B1_11D3_8FA9_0008C7809E09_.wvu.PrintTitles" localSheetId="7" hidden="1">#REF!,#REF!</definedName>
    <definedName name="Z_179EFE4B_A1B1_11D3_8FA9_0008C7809E09_.wvu.PrintTitles" localSheetId="3" hidden="1">#REF!,#REF!</definedName>
    <definedName name="Z_179EFE4B_A1B1_11D3_8FA9_0008C7809E09_.wvu.PrintTitles" localSheetId="29" hidden="1">#REF!,#REF!</definedName>
    <definedName name="Z_179EFE4B_A1B1_11D3_8FA9_0008C7809E09_.wvu.PrintTitles" hidden="1">#REF!,#REF!</definedName>
    <definedName name="Z_179EFE4C_A1B1_11D3_8FA9_0008C7809E09_.wvu.PrintArea" localSheetId="6" hidden="1">#REF!</definedName>
    <definedName name="Z_179EFE4C_A1B1_11D3_8FA9_0008C7809E09_.wvu.PrintArea" localSheetId="7" hidden="1">#REF!</definedName>
    <definedName name="Z_179EFE4C_A1B1_11D3_8FA9_0008C7809E09_.wvu.PrintArea" localSheetId="3" hidden="1">#REF!</definedName>
    <definedName name="Z_179EFE4C_A1B1_11D3_8FA9_0008C7809E09_.wvu.PrintArea" localSheetId="29" hidden="1">#REF!</definedName>
    <definedName name="Z_179EFE4C_A1B1_11D3_8FA9_0008C7809E09_.wvu.PrintArea" hidden="1">#REF!</definedName>
    <definedName name="Z_179EFE4C_A1B1_11D3_8FA9_0008C7809E09_.wvu.PrintTitles" localSheetId="6" hidden="1">#REF!,#REF!</definedName>
    <definedName name="Z_179EFE4C_A1B1_11D3_8FA9_0008C7809E09_.wvu.PrintTitles" localSheetId="7" hidden="1">#REF!,#REF!</definedName>
    <definedName name="Z_179EFE4C_A1B1_11D3_8FA9_0008C7809E09_.wvu.PrintTitles" localSheetId="3" hidden="1">#REF!,#REF!</definedName>
    <definedName name="Z_179EFE4C_A1B1_11D3_8FA9_0008C7809E09_.wvu.PrintTitles" localSheetId="29" hidden="1">#REF!,#REF!</definedName>
    <definedName name="Z_179EFE4C_A1B1_11D3_8FA9_0008C7809E09_.wvu.PrintTitles" hidden="1">#REF!,#REF!</definedName>
    <definedName name="Z_179EFE4D_A1B1_11D3_8FA9_0008C7809E09_.wvu.PrintArea" localSheetId="6" hidden="1">#REF!</definedName>
    <definedName name="Z_179EFE4D_A1B1_11D3_8FA9_0008C7809E09_.wvu.PrintArea" localSheetId="7" hidden="1">#REF!</definedName>
    <definedName name="Z_179EFE4D_A1B1_11D3_8FA9_0008C7809E09_.wvu.PrintArea" localSheetId="3" hidden="1">#REF!</definedName>
    <definedName name="Z_179EFE4D_A1B1_11D3_8FA9_0008C7809E09_.wvu.PrintArea" localSheetId="29" hidden="1">#REF!</definedName>
    <definedName name="Z_179EFE4D_A1B1_11D3_8FA9_0008C7809E09_.wvu.PrintArea" hidden="1">#REF!</definedName>
    <definedName name="Z_179EFE4D_A1B1_11D3_8FA9_0008C7809E09_.wvu.PrintTitles" localSheetId="6" hidden="1">#REF!,#REF!</definedName>
    <definedName name="Z_179EFE4D_A1B1_11D3_8FA9_0008C7809E09_.wvu.PrintTitles" localSheetId="7" hidden="1">#REF!,#REF!</definedName>
    <definedName name="Z_179EFE4D_A1B1_11D3_8FA9_0008C7809E09_.wvu.PrintTitles" localSheetId="3" hidden="1">#REF!,#REF!</definedName>
    <definedName name="Z_179EFE4D_A1B1_11D3_8FA9_0008C7809E09_.wvu.PrintTitles" localSheetId="29" hidden="1">#REF!,#REF!</definedName>
    <definedName name="Z_179EFE4D_A1B1_11D3_8FA9_0008C7809E09_.wvu.PrintTitles" hidden="1">#REF!,#REF!</definedName>
    <definedName name="Z_179EFE4E_A1B1_11D3_8FA9_0008C7809E09_.wvu.PrintArea" localSheetId="6" hidden="1">#REF!</definedName>
    <definedName name="Z_179EFE4E_A1B1_11D3_8FA9_0008C7809E09_.wvu.PrintArea" localSheetId="7" hidden="1">#REF!</definedName>
    <definedName name="Z_179EFE4E_A1B1_11D3_8FA9_0008C7809E09_.wvu.PrintArea" localSheetId="3" hidden="1">#REF!</definedName>
    <definedName name="Z_179EFE4E_A1B1_11D3_8FA9_0008C7809E09_.wvu.PrintArea" localSheetId="29" hidden="1">#REF!</definedName>
    <definedName name="Z_179EFE4E_A1B1_11D3_8FA9_0008C7809E09_.wvu.PrintArea" hidden="1">#REF!</definedName>
    <definedName name="Z_179EFE4E_A1B1_11D3_8FA9_0008C7809E09_.wvu.PrintTitles" localSheetId="6" hidden="1">#REF!,#REF!</definedName>
    <definedName name="Z_179EFE4E_A1B1_11D3_8FA9_0008C7809E09_.wvu.PrintTitles" localSheetId="7" hidden="1">#REF!,#REF!</definedName>
    <definedName name="Z_179EFE4E_A1B1_11D3_8FA9_0008C7809E09_.wvu.PrintTitles" localSheetId="3" hidden="1">#REF!,#REF!</definedName>
    <definedName name="Z_179EFE4E_A1B1_11D3_8FA9_0008C7809E09_.wvu.PrintTitles" localSheetId="29" hidden="1">#REF!,#REF!</definedName>
    <definedName name="Z_179EFE4E_A1B1_11D3_8FA9_0008C7809E09_.wvu.PrintTitles" hidden="1">#REF!,#REF!</definedName>
    <definedName name="Z_179EFE4F_A1B1_11D3_8FA9_0008C7809E09_.wvu.PrintArea" localSheetId="6" hidden="1">#REF!</definedName>
    <definedName name="Z_179EFE4F_A1B1_11D3_8FA9_0008C7809E09_.wvu.PrintArea" localSheetId="7" hidden="1">#REF!</definedName>
    <definedName name="Z_179EFE4F_A1B1_11D3_8FA9_0008C7809E09_.wvu.PrintArea" localSheetId="3" hidden="1">#REF!</definedName>
    <definedName name="Z_179EFE4F_A1B1_11D3_8FA9_0008C7809E09_.wvu.PrintArea" localSheetId="29" hidden="1">#REF!</definedName>
    <definedName name="Z_179EFE4F_A1B1_11D3_8FA9_0008C7809E09_.wvu.PrintArea" hidden="1">#REF!</definedName>
    <definedName name="Z_179EFE4F_A1B1_11D3_8FA9_0008C7809E09_.wvu.PrintTitles" localSheetId="6" hidden="1">#REF!,#REF!</definedName>
    <definedName name="Z_179EFE4F_A1B1_11D3_8FA9_0008C7809E09_.wvu.PrintTitles" localSheetId="7" hidden="1">#REF!,#REF!</definedName>
    <definedName name="Z_179EFE4F_A1B1_11D3_8FA9_0008C7809E09_.wvu.PrintTitles" localSheetId="3" hidden="1">#REF!,#REF!</definedName>
    <definedName name="Z_179EFE4F_A1B1_11D3_8FA9_0008C7809E09_.wvu.PrintTitles" localSheetId="29" hidden="1">#REF!,#REF!</definedName>
    <definedName name="Z_179EFE4F_A1B1_11D3_8FA9_0008C7809E09_.wvu.PrintTitles" hidden="1">#REF!,#REF!</definedName>
    <definedName name="Z_179EFE50_A1B1_11D3_8FA9_0008C7809E09_.wvu.PrintArea" localSheetId="6" hidden="1">#REF!</definedName>
    <definedName name="Z_179EFE50_A1B1_11D3_8FA9_0008C7809E09_.wvu.PrintArea" localSheetId="7" hidden="1">#REF!</definedName>
    <definedName name="Z_179EFE50_A1B1_11D3_8FA9_0008C7809E09_.wvu.PrintArea" localSheetId="3" hidden="1">#REF!</definedName>
    <definedName name="Z_179EFE50_A1B1_11D3_8FA9_0008C7809E09_.wvu.PrintArea" localSheetId="29" hidden="1">#REF!</definedName>
    <definedName name="Z_179EFE50_A1B1_11D3_8FA9_0008C7809E09_.wvu.PrintArea" hidden="1">#REF!</definedName>
    <definedName name="Z_179EFE50_A1B1_11D3_8FA9_0008C7809E09_.wvu.PrintTitles" localSheetId="6" hidden="1">#REF!,#REF!</definedName>
    <definedName name="Z_179EFE50_A1B1_11D3_8FA9_0008C7809E09_.wvu.PrintTitles" localSheetId="7" hidden="1">#REF!,#REF!</definedName>
    <definedName name="Z_179EFE50_A1B1_11D3_8FA9_0008C7809E09_.wvu.PrintTitles" localSheetId="3" hidden="1">#REF!,#REF!</definedName>
    <definedName name="Z_179EFE50_A1B1_11D3_8FA9_0008C7809E09_.wvu.PrintTitles" localSheetId="29" hidden="1">#REF!,#REF!</definedName>
    <definedName name="Z_179EFE50_A1B1_11D3_8FA9_0008C7809E09_.wvu.PrintTitles" hidden="1">#REF!,#REF!</definedName>
    <definedName name="Z_179EFE51_A1B1_11D3_8FA9_0008C7809E09_.wvu.PrintArea" localSheetId="6" hidden="1">#REF!</definedName>
    <definedName name="Z_179EFE51_A1B1_11D3_8FA9_0008C7809E09_.wvu.PrintArea" localSheetId="7" hidden="1">#REF!</definedName>
    <definedName name="Z_179EFE51_A1B1_11D3_8FA9_0008C7809E09_.wvu.PrintArea" localSheetId="3" hidden="1">#REF!</definedName>
    <definedName name="Z_179EFE51_A1B1_11D3_8FA9_0008C7809E09_.wvu.PrintArea" localSheetId="29" hidden="1">#REF!</definedName>
    <definedName name="Z_179EFE51_A1B1_11D3_8FA9_0008C7809E09_.wvu.PrintArea" hidden="1">#REF!</definedName>
    <definedName name="Z_179EFE51_A1B1_11D3_8FA9_0008C7809E09_.wvu.PrintTitles" localSheetId="6" hidden="1">#REF!,#REF!</definedName>
    <definedName name="Z_179EFE51_A1B1_11D3_8FA9_0008C7809E09_.wvu.PrintTitles" localSheetId="7" hidden="1">#REF!,#REF!</definedName>
    <definedName name="Z_179EFE51_A1B1_11D3_8FA9_0008C7809E09_.wvu.PrintTitles" localSheetId="3" hidden="1">#REF!,#REF!</definedName>
    <definedName name="Z_179EFE51_A1B1_11D3_8FA9_0008C7809E09_.wvu.PrintTitles" localSheetId="29" hidden="1">#REF!,#REF!</definedName>
    <definedName name="Z_179EFE51_A1B1_11D3_8FA9_0008C7809E09_.wvu.PrintTitles" hidden="1">#REF!,#REF!</definedName>
    <definedName name="Z_179EFE52_A1B1_11D3_8FA9_0008C7809E09_.wvu.PrintArea" localSheetId="6" hidden="1">#REF!</definedName>
    <definedName name="Z_179EFE52_A1B1_11D3_8FA9_0008C7809E09_.wvu.PrintArea" localSheetId="7" hidden="1">#REF!</definedName>
    <definedName name="Z_179EFE52_A1B1_11D3_8FA9_0008C7809E09_.wvu.PrintArea" localSheetId="3" hidden="1">#REF!</definedName>
    <definedName name="Z_179EFE52_A1B1_11D3_8FA9_0008C7809E09_.wvu.PrintArea" localSheetId="29" hidden="1">#REF!</definedName>
    <definedName name="Z_179EFE52_A1B1_11D3_8FA9_0008C7809E09_.wvu.PrintArea" hidden="1">#REF!</definedName>
    <definedName name="Z_179EFE52_A1B1_11D3_8FA9_0008C7809E09_.wvu.PrintTitles" localSheetId="6" hidden="1">#REF!,#REF!</definedName>
    <definedName name="Z_179EFE52_A1B1_11D3_8FA9_0008C7809E09_.wvu.PrintTitles" localSheetId="7" hidden="1">#REF!,#REF!</definedName>
    <definedName name="Z_179EFE52_A1B1_11D3_8FA9_0008C7809E09_.wvu.PrintTitles" localSheetId="3" hidden="1">#REF!,#REF!</definedName>
    <definedName name="Z_179EFE52_A1B1_11D3_8FA9_0008C7809E09_.wvu.PrintTitles" localSheetId="29" hidden="1">#REF!,#REF!</definedName>
    <definedName name="Z_179EFE52_A1B1_11D3_8FA9_0008C7809E09_.wvu.PrintTitles" hidden="1">#REF!,#REF!</definedName>
    <definedName name="Z_179EFE53_A1B1_11D3_8FA9_0008C7809E09_.wvu.PrintArea" localSheetId="6" hidden="1">#REF!</definedName>
    <definedName name="Z_179EFE53_A1B1_11D3_8FA9_0008C7809E09_.wvu.PrintArea" localSheetId="7" hidden="1">#REF!</definedName>
    <definedName name="Z_179EFE53_A1B1_11D3_8FA9_0008C7809E09_.wvu.PrintArea" localSheetId="3" hidden="1">#REF!</definedName>
    <definedName name="Z_179EFE53_A1B1_11D3_8FA9_0008C7809E09_.wvu.PrintArea" localSheetId="29" hidden="1">#REF!</definedName>
    <definedName name="Z_179EFE53_A1B1_11D3_8FA9_0008C7809E09_.wvu.PrintArea" hidden="1">#REF!</definedName>
    <definedName name="Z_179EFE53_A1B1_11D3_8FA9_0008C7809E09_.wvu.PrintTitles" localSheetId="6" hidden="1">#REF!,#REF!</definedName>
    <definedName name="Z_179EFE53_A1B1_11D3_8FA9_0008C7809E09_.wvu.PrintTitles" localSheetId="7" hidden="1">#REF!,#REF!</definedName>
    <definedName name="Z_179EFE53_A1B1_11D3_8FA9_0008C7809E09_.wvu.PrintTitles" localSheetId="3" hidden="1">#REF!,#REF!</definedName>
    <definedName name="Z_179EFE53_A1B1_11D3_8FA9_0008C7809E09_.wvu.PrintTitles" localSheetId="29" hidden="1">#REF!,#REF!</definedName>
    <definedName name="Z_179EFE53_A1B1_11D3_8FA9_0008C7809E09_.wvu.PrintTitles" hidden="1">#REF!,#REF!</definedName>
    <definedName name="Z_179EFE54_A1B1_11D3_8FA9_0008C7809E09_.wvu.PrintArea" localSheetId="6" hidden="1">#REF!</definedName>
    <definedName name="Z_179EFE54_A1B1_11D3_8FA9_0008C7809E09_.wvu.PrintArea" localSheetId="7" hidden="1">#REF!</definedName>
    <definedName name="Z_179EFE54_A1B1_11D3_8FA9_0008C7809E09_.wvu.PrintArea" localSheetId="3" hidden="1">#REF!</definedName>
    <definedName name="Z_179EFE54_A1B1_11D3_8FA9_0008C7809E09_.wvu.PrintArea" localSheetId="29" hidden="1">#REF!</definedName>
    <definedName name="Z_179EFE54_A1B1_11D3_8FA9_0008C7809E09_.wvu.PrintArea" hidden="1">#REF!</definedName>
    <definedName name="Z_179EFE54_A1B1_11D3_8FA9_0008C7809E09_.wvu.PrintTitles" localSheetId="6" hidden="1">#REF!,#REF!</definedName>
    <definedName name="Z_179EFE54_A1B1_11D3_8FA9_0008C7809E09_.wvu.PrintTitles" localSheetId="7" hidden="1">#REF!,#REF!</definedName>
    <definedName name="Z_179EFE54_A1B1_11D3_8FA9_0008C7809E09_.wvu.PrintTitles" localSheetId="3" hidden="1">#REF!,#REF!</definedName>
    <definedName name="Z_179EFE54_A1B1_11D3_8FA9_0008C7809E09_.wvu.PrintTitles" localSheetId="29" hidden="1">#REF!,#REF!</definedName>
    <definedName name="Z_179EFE54_A1B1_11D3_8FA9_0008C7809E09_.wvu.PrintTitles" hidden="1">#REF!,#REF!</definedName>
    <definedName name="Z_179EFE55_A1B1_11D3_8FA9_0008C7809E09_.wvu.PrintArea" localSheetId="6" hidden="1">#REF!</definedName>
    <definedName name="Z_179EFE55_A1B1_11D3_8FA9_0008C7809E09_.wvu.PrintArea" localSheetId="7" hidden="1">#REF!</definedName>
    <definedName name="Z_179EFE55_A1B1_11D3_8FA9_0008C7809E09_.wvu.PrintArea" localSheetId="3" hidden="1">#REF!</definedName>
    <definedName name="Z_179EFE55_A1B1_11D3_8FA9_0008C7809E09_.wvu.PrintArea" localSheetId="29" hidden="1">#REF!</definedName>
    <definedName name="Z_179EFE55_A1B1_11D3_8FA9_0008C7809E09_.wvu.PrintArea" hidden="1">#REF!</definedName>
    <definedName name="Z_179EFE55_A1B1_11D3_8FA9_0008C7809E09_.wvu.PrintTitles" localSheetId="6" hidden="1">#REF!</definedName>
    <definedName name="Z_179EFE55_A1B1_11D3_8FA9_0008C7809E09_.wvu.PrintTitles" localSheetId="7" hidden="1">#REF!</definedName>
    <definedName name="Z_179EFE55_A1B1_11D3_8FA9_0008C7809E09_.wvu.PrintTitles" localSheetId="3" hidden="1">#REF!</definedName>
    <definedName name="Z_179EFE55_A1B1_11D3_8FA9_0008C7809E09_.wvu.PrintTitles" localSheetId="29" hidden="1">#REF!</definedName>
    <definedName name="Z_179EFE55_A1B1_11D3_8FA9_0008C7809E09_.wvu.PrintTitles" hidden="1">#REF!</definedName>
    <definedName name="Z_179EFE56_A1B1_11D3_8FA9_0008C7809E09_.wvu.PrintArea" localSheetId="6" hidden="1">#REF!</definedName>
    <definedName name="Z_179EFE56_A1B1_11D3_8FA9_0008C7809E09_.wvu.PrintArea" localSheetId="7" hidden="1">#REF!</definedName>
    <definedName name="Z_179EFE56_A1B1_11D3_8FA9_0008C7809E09_.wvu.PrintArea" localSheetId="3" hidden="1">#REF!</definedName>
    <definedName name="Z_179EFE56_A1B1_11D3_8FA9_0008C7809E09_.wvu.PrintArea" localSheetId="29" hidden="1">#REF!</definedName>
    <definedName name="Z_179EFE56_A1B1_11D3_8FA9_0008C7809E09_.wvu.PrintArea" hidden="1">#REF!</definedName>
    <definedName name="Z_179EFE56_A1B1_11D3_8FA9_0008C7809E09_.wvu.PrintTitles" localSheetId="6" hidden="1">#REF!,#REF!</definedName>
    <definedName name="Z_179EFE56_A1B1_11D3_8FA9_0008C7809E09_.wvu.PrintTitles" localSheetId="7" hidden="1">#REF!,#REF!</definedName>
    <definedName name="Z_179EFE56_A1B1_11D3_8FA9_0008C7809E09_.wvu.PrintTitles" localSheetId="3" hidden="1">#REF!,#REF!</definedName>
    <definedName name="Z_179EFE56_A1B1_11D3_8FA9_0008C7809E09_.wvu.PrintTitles" localSheetId="29" hidden="1">#REF!,#REF!</definedName>
    <definedName name="Z_179EFE56_A1B1_11D3_8FA9_0008C7809E09_.wvu.PrintTitles" hidden="1">#REF!,#REF!</definedName>
    <definedName name="Z_179EFE57_A1B1_11D3_8FA9_0008C7809E09_.wvu.PrintArea" localSheetId="6" hidden="1">#REF!</definedName>
    <definedName name="Z_179EFE57_A1B1_11D3_8FA9_0008C7809E09_.wvu.PrintArea" localSheetId="7" hidden="1">#REF!</definedName>
    <definedName name="Z_179EFE57_A1B1_11D3_8FA9_0008C7809E09_.wvu.PrintArea" localSheetId="3" hidden="1">#REF!</definedName>
    <definedName name="Z_179EFE57_A1B1_11D3_8FA9_0008C7809E09_.wvu.PrintArea" localSheetId="29" hidden="1">#REF!</definedName>
    <definedName name="Z_179EFE57_A1B1_11D3_8FA9_0008C7809E09_.wvu.PrintArea" hidden="1">#REF!</definedName>
    <definedName name="Z_179EFE57_A1B1_11D3_8FA9_0008C7809E09_.wvu.PrintTitles" localSheetId="6" hidden="1">#REF!,#REF!</definedName>
    <definedName name="Z_179EFE57_A1B1_11D3_8FA9_0008C7809E09_.wvu.PrintTitles" localSheetId="7" hidden="1">#REF!,#REF!</definedName>
    <definedName name="Z_179EFE57_A1B1_11D3_8FA9_0008C7809E09_.wvu.PrintTitles" localSheetId="3" hidden="1">#REF!,#REF!</definedName>
    <definedName name="Z_179EFE57_A1B1_11D3_8FA9_0008C7809E09_.wvu.PrintTitles" localSheetId="29" hidden="1">#REF!,#REF!</definedName>
    <definedName name="Z_179EFE57_A1B1_11D3_8FA9_0008C7809E09_.wvu.PrintTitles" hidden="1">#REF!,#REF!</definedName>
    <definedName name="Z_179EFE58_A1B1_11D3_8FA9_0008C7809E09_.wvu.PrintArea" localSheetId="6" hidden="1">#REF!</definedName>
    <definedName name="Z_179EFE58_A1B1_11D3_8FA9_0008C7809E09_.wvu.PrintArea" localSheetId="7" hidden="1">#REF!</definedName>
    <definedName name="Z_179EFE58_A1B1_11D3_8FA9_0008C7809E09_.wvu.PrintArea" localSheetId="3" hidden="1">#REF!</definedName>
    <definedName name="Z_179EFE58_A1B1_11D3_8FA9_0008C7809E09_.wvu.PrintArea" localSheetId="29" hidden="1">#REF!</definedName>
    <definedName name="Z_179EFE58_A1B1_11D3_8FA9_0008C7809E09_.wvu.PrintArea" hidden="1">#REF!</definedName>
    <definedName name="Z_179EFE58_A1B1_11D3_8FA9_0008C7809E09_.wvu.PrintTitles" localSheetId="6" hidden="1">#REF!,#REF!</definedName>
    <definedName name="Z_179EFE58_A1B1_11D3_8FA9_0008C7809E09_.wvu.PrintTitles" localSheetId="7" hidden="1">#REF!,#REF!</definedName>
    <definedName name="Z_179EFE58_A1B1_11D3_8FA9_0008C7809E09_.wvu.PrintTitles" localSheetId="3" hidden="1">#REF!,#REF!</definedName>
    <definedName name="Z_179EFE58_A1B1_11D3_8FA9_0008C7809E09_.wvu.PrintTitles" localSheetId="29" hidden="1">#REF!,#REF!</definedName>
    <definedName name="Z_179EFE58_A1B1_11D3_8FA9_0008C7809E09_.wvu.PrintTitles" hidden="1">#REF!,#REF!</definedName>
    <definedName name="Z_179EFE59_A1B1_11D3_8FA9_0008C7809E09_.wvu.PrintArea" localSheetId="6" hidden="1">#REF!</definedName>
    <definedName name="Z_179EFE59_A1B1_11D3_8FA9_0008C7809E09_.wvu.PrintArea" localSheetId="7" hidden="1">#REF!</definedName>
    <definedName name="Z_179EFE59_A1B1_11D3_8FA9_0008C7809E09_.wvu.PrintArea" localSheetId="3" hidden="1">#REF!</definedName>
    <definedName name="Z_179EFE59_A1B1_11D3_8FA9_0008C7809E09_.wvu.PrintArea" localSheetId="29" hidden="1">#REF!</definedName>
    <definedName name="Z_179EFE59_A1B1_11D3_8FA9_0008C7809E09_.wvu.PrintArea" hidden="1">#REF!</definedName>
    <definedName name="Z_179EFE59_A1B1_11D3_8FA9_0008C7809E09_.wvu.PrintTitles" localSheetId="6" hidden="1">#REF!,#REF!</definedName>
    <definedName name="Z_179EFE59_A1B1_11D3_8FA9_0008C7809E09_.wvu.PrintTitles" localSheetId="7" hidden="1">#REF!,#REF!</definedName>
    <definedName name="Z_179EFE59_A1B1_11D3_8FA9_0008C7809E09_.wvu.PrintTitles" localSheetId="3" hidden="1">#REF!,#REF!</definedName>
    <definedName name="Z_179EFE59_A1B1_11D3_8FA9_0008C7809E09_.wvu.PrintTitles" localSheetId="29" hidden="1">#REF!,#REF!</definedName>
    <definedName name="Z_179EFE59_A1B1_11D3_8FA9_0008C7809E09_.wvu.PrintTitles" hidden="1">#REF!,#REF!</definedName>
    <definedName name="Z_179EFE5A_A1B1_11D3_8FA9_0008C7809E09_.wvu.PrintArea" localSheetId="6" hidden="1">#REF!</definedName>
    <definedName name="Z_179EFE5A_A1B1_11D3_8FA9_0008C7809E09_.wvu.PrintArea" localSheetId="7" hidden="1">#REF!</definedName>
    <definedName name="Z_179EFE5A_A1B1_11D3_8FA9_0008C7809E09_.wvu.PrintArea" localSheetId="3" hidden="1">#REF!</definedName>
    <definedName name="Z_179EFE5A_A1B1_11D3_8FA9_0008C7809E09_.wvu.PrintArea" localSheetId="29" hidden="1">#REF!</definedName>
    <definedName name="Z_179EFE5A_A1B1_11D3_8FA9_0008C7809E09_.wvu.PrintArea" hidden="1">#REF!</definedName>
    <definedName name="Z_179EFE5A_A1B1_11D3_8FA9_0008C7809E09_.wvu.PrintTitles" localSheetId="6" hidden="1">#REF!,#REF!</definedName>
    <definedName name="Z_179EFE5A_A1B1_11D3_8FA9_0008C7809E09_.wvu.PrintTitles" localSheetId="7" hidden="1">#REF!,#REF!</definedName>
    <definedName name="Z_179EFE5A_A1B1_11D3_8FA9_0008C7809E09_.wvu.PrintTitles" localSheetId="3" hidden="1">#REF!,#REF!</definedName>
    <definedName name="Z_179EFE5A_A1B1_11D3_8FA9_0008C7809E09_.wvu.PrintTitles" localSheetId="29" hidden="1">#REF!,#REF!</definedName>
    <definedName name="Z_179EFE5A_A1B1_11D3_8FA9_0008C7809E09_.wvu.PrintTitles" hidden="1">#REF!,#REF!</definedName>
    <definedName name="Z_1DA8B6E2_5DE1_11D2_8EEC_0008C7BCAF29_.wvu.PrintArea" localSheetId="6" hidden="1">#REF!</definedName>
    <definedName name="Z_1DA8B6E2_5DE1_11D2_8EEC_0008C7BCAF29_.wvu.PrintArea" localSheetId="7" hidden="1">#REF!</definedName>
    <definedName name="Z_1DA8B6E2_5DE1_11D2_8EEC_0008C7BCAF29_.wvu.PrintArea" localSheetId="3" hidden="1">#REF!</definedName>
    <definedName name="Z_1DA8B6E2_5DE1_11D2_8EEC_0008C7BCAF29_.wvu.PrintArea" localSheetId="29" hidden="1">#REF!</definedName>
    <definedName name="Z_1DA8B6E2_5DE1_11D2_8EEC_0008C7BCAF29_.wvu.PrintArea" hidden="1">#REF!</definedName>
    <definedName name="Z_1DA8B6E2_5DE1_11D2_8EEC_0008C7BCAF29_.wvu.PrintTitles" localSheetId="6" hidden="1">#REF!</definedName>
    <definedName name="Z_1DA8B6E2_5DE1_11D2_8EEC_0008C7BCAF29_.wvu.PrintTitles" localSheetId="7" hidden="1">#REF!</definedName>
    <definedName name="Z_1DA8B6E2_5DE1_11D2_8EEC_0008C7BCAF29_.wvu.PrintTitles" localSheetId="3" hidden="1">#REF!</definedName>
    <definedName name="Z_1DA8B6E2_5DE1_11D2_8EEC_0008C7BCAF29_.wvu.PrintTitles" localSheetId="29" hidden="1">#REF!</definedName>
    <definedName name="Z_1DA8B6E2_5DE1_11D2_8EEC_0008C7BCAF29_.wvu.PrintTitles" hidden="1">#REF!</definedName>
    <definedName name="Z_1DA8B6F1_5DE1_11D2_8EEC_0008C7BCAF29_.wvu.PrintArea" localSheetId="6" hidden="1">#REF!</definedName>
    <definedName name="Z_1DA8B6F1_5DE1_11D2_8EEC_0008C7BCAF29_.wvu.PrintArea" localSheetId="7" hidden="1">#REF!</definedName>
    <definedName name="Z_1DA8B6F1_5DE1_11D2_8EEC_0008C7BCAF29_.wvu.PrintArea" localSheetId="3" hidden="1">#REF!</definedName>
    <definedName name="Z_1DA8B6F1_5DE1_11D2_8EEC_0008C7BCAF29_.wvu.PrintArea" localSheetId="29" hidden="1">#REF!</definedName>
    <definedName name="Z_1DA8B6F1_5DE1_11D2_8EEC_0008C7BCAF29_.wvu.PrintArea" hidden="1">#REF!</definedName>
    <definedName name="Z_1DA8B6F1_5DE1_11D2_8EEC_0008C7BCAF29_.wvu.PrintTitles" localSheetId="3" hidden="1">#REF!</definedName>
    <definedName name="Z_1DA8B6F1_5DE1_11D2_8EEC_0008C7BCAF29_.wvu.PrintTitles" hidden="1">#REF!</definedName>
    <definedName name="Z_1DA8B6FE_5DE1_11D2_8EEC_0008C7BCAF29_.wvu.PrintArea" localSheetId="3" hidden="1">#REF!</definedName>
    <definedName name="Z_1DA8B6FE_5DE1_11D2_8EEC_0008C7BCAF29_.wvu.PrintArea" hidden="1">#REF!</definedName>
    <definedName name="Z_1DA8B6FE_5DE1_11D2_8EEC_0008C7BCAF29_.wvu.PrintTitles" localSheetId="6" hidden="1">#REF!,#REF!</definedName>
    <definedName name="Z_1DA8B6FE_5DE1_11D2_8EEC_0008C7BCAF29_.wvu.PrintTitles" localSheetId="7" hidden="1">#REF!,#REF!</definedName>
    <definedName name="Z_1DA8B6FE_5DE1_11D2_8EEC_0008C7BCAF29_.wvu.PrintTitles" localSheetId="3" hidden="1">#REF!,#REF!</definedName>
    <definedName name="Z_1DA8B6FE_5DE1_11D2_8EEC_0008C7BCAF29_.wvu.PrintTitles" localSheetId="29" hidden="1">#REF!,#REF!</definedName>
    <definedName name="Z_1DA8B6FE_5DE1_11D2_8EEC_0008C7BCAF29_.wvu.PrintTitles" hidden="1">#REF!,#REF!</definedName>
    <definedName name="Z_23F18827_7997_11D6_8750_00508BD3B3BA_.wvu.Cols" localSheetId="1" hidden="1">#REF!,#REF!</definedName>
    <definedName name="Z_23F18827_7997_11D6_8750_00508BD3B3BA_.wvu.Cols" localSheetId="5" hidden="1">#REF!,#REF!</definedName>
    <definedName name="Z_23F18827_7997_11D6_8750_00508BD3B3BA_.wvu.Cols" localSheetId="3" hidden="1">#REF!,#REF!</definedName>
    <definedName name="Z_23F18827_7997_11D6_8750_00508BD3B3BA_.wvu.Cols" hidden="1">#REF!,#REF!</definedName>
    <definedName name="Z_23F18827_7997_11D6_8750_00508BD3B3BA_.wvu.PrintArea" localSheetId="1" hidden="1">#REF!</definedName>
    <definedName name="Z_23F18827_7997_11D6_8750_00508BD3B3BA_.wvu.PrintArea" localSheetId="5" hidden="1">#REF!</definedName>
    <definedName name="Z_23F18827_7997_11D6_8750_00508BD3B3BA_.wvu.PrintArea" localSheetId="3" hidden="1">#REF!</definedName>
    <definedName name="Z_23F18827_7997_11D6_8750_00508BD3B3BA_.wvu.PrintArea" localSheetId="29" hidden="1">#REF!</definedName>
    <definedName name="Z_23F18827_7997_11D6_8750_00508BD3B3BA_.wvu.PrintArea" hidden="1">#REF!</definedName>
    <definedName name="Z_2DA61901_F1AB_11D2_8EBB_0008C77C0743_.wvu.PrintArea" localSheetId="3" hidden="1">#REF!</definedName>
    <definedName name="Z_2DA61901_F1AB_11D2_8EBB_0008C77C0743_.wvu.PrintArea" hidden="1">#REF!</definedName>
    <definedName name="Z_2DA61901_F1AB_11D2_8EBB_0008C77C0743_.wvu.PrintTitles" localSheetId="3" hidden="1">#REF!</definedName>
    <definedName name="Z_2DA61901_F1AB_11D2_8EBB_0008C77C0743_.wvu.PrintTitles" hidden="1">#REF!</definedName>
    <definedName name="Z_2DA61914_F1AB_11D2_8EBB_0008C77C0743_.wvu.PrintArea" localSheetId="3" hidden="1">#REF!</definedName>
    <definedName name="Z_2DA61914_F1AB_11D2_8EBB_0008C77C0743_.wvu.PrintArea" hidden="1">#REF!</definedName>
    <definedName name="Z_2DA61914_F1AB_11D2_8EBB_0008C77C0743_.wvu.PrintTitles" localSheetId="3" hidden="1">#REF!</definedName>
    <definedName name="Z_2DA61914_F1AB_11D2_8EBB_0008C77C0743_.wvu.PrintTitles" hidden="1">#REF!</definedName>
    <definedName name="Z_2DA61924_F1AB_11D2_8EBB_0008C77C0743_.wvu.PrintArea" localSheetId="3" hidden="1">#REF!</definedName>
    <definedName name="Z_2DA61924_F1AB_11D2_8EBB_0008C77C0743_.wvu.PrintArea" hidden="1">#REF!</definedName>
    <definedName name="Z_2DA61924_F1AB_11D2_8EBB_0008C77C0743_.wvu.PrintTitles" localSheetId="6" hidden="1">#REF!,#REF!</definedName>
    <definedName name="Z_2DA61924_F1AB_11D2_8EBB_0008C77C0743_.wvu.PrintTitles" localSheetId="7" hidden="1">#REF!,#REF!</definedName>
    <definedName name="Z_2DA61924_F1AB_11D2_8EBB_0008C77C0743_.wvu.PrintTitles" localSheetId="3" hidden="1">#REF!,#REF!</definedName>
    <definedName name="Z_2DA61924_F1AB_11D2_8EBB_0008C77C0743_.wvu.PrintTitles" localSheetId="29" hidden="1">#REF!,#REF!</definedName>
    <definedName name="Z_2DA61924_F1AB_11D2_8EBB_0008C77C0743_.wvu.PrintTitles" hidden="1">#REF!,#REF!</definedName>
    <definedName name="Z_3FBA103C_5DE2_11D2_8EE8_0008C77CC149_.wvu.PrintArea" localSheetId="6" hidden="1">#REF!</definedName>
    <definedName name="Z_3FBA103C_5DE2_11D2_8EE8_0008C77CC149_.wvu.PrintArea" localSheetId="7" hidden="1">#REF!</definedName>
    <definedName name="Z_3FBA103C_5DE2_11D2_8EE8_0008C77CC149_.wvu.PrintArea" localSheetId="3" hidden="1">#REF!</definedName>
    <definedName name="Z_3FBA103C_5DE2_11D2_8EE8_0008C77CC149_.wvu.PrintArea" localSheetId="29" hidden="1">#REF!</definedName>
    <definedName name="Z_3FBA103C_5DE2_11D2_8EE8_0008C77CC149_.wvu.PrintArea" hidden="1">#REF!</definedName>
    <definedName name="Z_3FBA103C_5DE2_11D2_8EE8_0008C77CC149_.wvu.PrintTitles" localSheetId="6" hidden="1">#REF!</definedName>
    <definedName name="Z_3FBA103C_5DE2_11D2_8EE8_0008C77CC149_.wvu.PrintTitles" localSheetId="7" hidden="1">#REF!</definedName>
    <definedName name="Z_3FBA103C_5DE2_11D2_8EE8_0008C77CC149_.wvu.PrintTitles" localSheetId="3" hidden="1">#REF!</definedName>
    <definedName name="Z_3FBA103C_5DE2_11D2_8EE8_0008C77CC149_.wvu.PrintTitles" localSheetId="29" hidden="1">#REF!</definedName>
    <definedName name="Z_3FBA103C_5DE2_11D2_8EE8_0008C77CC149_.wvu.PrintTitles" hidden="1">#REF!</definedName>
    <definedName name="Z_3FBA104B_5DE2_11D2_8EE8_0008C77CC149_.wvu.PrintArea" localSheetId="6" hidden="1">#REF!</definedName>
    <definedName name="Z_3FBA104B_5DE2_11D2_8EE8_0008C77CC149_.wvu.PrintArea" localSheetId="7" hidden="1">#REF!</definedName>
    <definedName name="Z_3FBA104B_5DE2_11D2_8EE8_0008C77CC149_.wvu.PrintArea" localSheetId="3" hidden="1">#REF!</definedName>
    <definedName name="Z_3FBA104B_5DE2_11D2_8EE8_0008C77CC149_.wvu.PrintArea" localSheetId="29" hidden="1">#REF!</definedName>
    <definedName name="Z_3FBA104B_5DE2_11D2_8EE8_0008C77CC149_.wvu.PrintArea" hidden="1">#REF!</definedName>
    <definedName name="Z_3FBA104B_5DE2_11D2_8EE8_0008C77CC149_.wvu.PrintTitles" localSheetId="3" hidden="1">#REF!</definedName>
    <definedName name="Z_3FBA104B_5DE2_11D2_8EE8_0008C77CC149_.wvu.PrintTitles" hidden="1">#REF!</definedName>
    <definedName name="Z_3FBA1058_5DE2_11D2_8EE8_0008C77CC149_.wvu.PrintArea" localSheetId="3" hidden="1">#REF!</definedName>
    <definedName name="Z_3FBA1058_5DE2_11D2_8EE8_0008C77CC149_.wvu.PrintArea" hidden="1">#REF!</definedName>
    <definedName name="Z_3FBA1058_5DE2_11D2_8EE8_0008C77CC149_.wvu.PrintTitles" localSheetId="6" hidden="1">#REF!,#REF!</definedName>
    <definedName name="Z_3FBA1058_5DE2_11D2_8EE8_0008C77CC149_.wvu.PrintTitles" localSheetId="7" hidden="1">#REF!,#REF!</definedName>
    <definedName name="Z_3FBA1058_5DE2_11D2_8EE8_0008C77CC149_.wvu.PrintTitles" localSheetId="3" hidden="1">#REF!,#REF!</definedName>
    <definedName name="Z_3FBA1058_5DE2_11D2_8EE8_0008C77CC149_.wvu.PrintTitles" localSheetId="29" hidden="1">#REF!,#REF!</definedName>
    <definedName name="Z_3FBA1058_5DE2_11D2_8EE8_0008C77CC149_.wvu.PrintTitles" hidden="1">#REF!,#REF!</definedName>
    <definedName name="Z_3FE15DB3_17FC_11D2_8E97_0008C77CC149_.wvu.PrintArea" localSheetId="6" hidden="1">#REF!</definedName>
    <definedName name="Z_3FE15DB3_17FC_11D2_8E97_0008C77CC149_.wvu.PrintArea" localSheetId="7" hidden="1">#REF!</definedName>
    <definedName name="Z_3FE15DB3_17FC_11D2_8E97_0008C77CC149_.wvu.PrintArea" localSheetId="3" hidden="1">#REF!</definedName>
    <definedName name="Z_3FE15DB3_17FC_11D2_8E97_0008C77CC149_.wvu.PrintArea" localSheetId="29" hidden="1">#REF!</definedName>
    <definedName name="Z_3FE15DB3_17FC_11D2_8E97_0008C77CC149_.wvu.PrintArea" hidden="1">#REF!</definedName>
    <definedName name="Z_3FE15DB3_17FC_11D2_8E97_0008C77CC149_.wvu.PrintTitles" localSheetId="6" hidden="1">#REF!</definedName>
    <definedName name="Z_3FE15DB3_17FC_11D2_8E97_0008C77CC149_.wvu.PrintTitles" localSheetId="7" hidden="1">#REF!</definedName>
    <definedName name="Z_3FE15DB3_17FC_11D2_8E97_0008C77CC149_.wvu.PrintTitles" localSheetId="3" hidden="1">#REF!</definedName>
    <definedName name="Z_3FE15DB3_17FC_11D2_8E97_0008C77CC149_.wvu.PrintTitles" localSheetId="29" hidden="1">#REF!</definedName>
    <definedName name="Z_3FE15DB3_17FC_11D2_8E97_0008C77CC149_.wvu.PrintTitles" hidden="1">#REF!</definedName>
    <definedName name="Z_3FE15DC2_17FC_11D2_8E97_0008C77CC149_.wvu.PrintArea" localSheetId="6" hidden="1">#REF!</definedName>
    <definedName name="Z_3FE15DC2_17FC_11D2_8E97_0008C77CC149_.wvu.PrintArea" localSheetId="7" hidden="1">#REF!</definedName>
    <definedName name="Z_3FE15DC2_17FC_11D2_8E97_0008C77CC149_.wvu.PrintArea" localSheetId="3" hidden="1">#REF!</definedName>
    <definedName name="Z_3FE15DC2_17FC_11D2_8E97_0008C77CC149_.wvu.PrintArea" localSheetId="29" hidden="1">#REF!</definedName>
    <definedName name="Z_3FE15DC2_17FC_11D2_8E97_0008C77CC149_.wvu.PrintArea" hidden="1">#REF!</definedName>
    <definedName name="Z_3FE15DC2_17FC_11D2_8E97_0008C77CC149_.wvu.PrintTitles" localSheetId="3" hidden="1">#REF!</definedName>
    <definedName name="Z_3FE15DC2_17FC_11D2_8E97_0008C77CC149_.wvu.PrintTitles" hidden="1">#REF!</definedName>
    <definedName name="Z_3FE15DCF_17FC_11D2_8E97_0008C77CC149_.wvu.PrintArea" localSheetId="3" hidden="1">#REF!</definedName>
    <definedName name="Z_3FE15DCF_17FC_11D2_8E97_0008C77CC149_.wvu.PrintArea" hidden="1">#REF!</definedName>
    <definedName name="Z_3FE15DCF_17FC_11D2_8E97_0008C77CC149_.wvu.PrintTitles" localSheetId="6" hidden="1">#REF!,#REF!</definedName>
    <definedName name="Z_3FE15DCF_17FC_11D2_8E97_0008C77CC149_.wvu.PrintTitles" localSheetId="7" hidden="1">#REF!,#REF!</definedName>
    <definedName name="Z_3FE15DCF_17FC_11D2_8E97_0008C77CC149_.wvu.PrintTitles" localSheetId="3" hidden="1">#REF!,#REF!</definedName>
    <definedName name="Z_3FE15DCF_17FC_11D2_8E97_0008C77CC149_.wvu.PrintTitles" localSheetId="29" hidden="1">#REF!,#REF!</definedName>
    <definedName name="Z_3FE15DCF_17FC_11D2_8E97_0008C77CC149_.wvu.PrintTitles" hidden="1">#REF!,#REF!</definedName>
    <definedName name="Z_4CC3570C_99A5_11D2_8E90_0008C7BCAF29_.wvu.PrintArea" localSheetId="6" hidden="1">#REF!</definedName>
    <definedName name="Z_4CC3570C_99A5_11D2_8E90_0008C7BCAF29_.wvu.PrintArea" localSheetId="7" hidden="1">#REF!</definedName>
    <definedName name="Z_4CC3570C_99A5_11D2_8E90_0008C7BCAF29_.wvu.PrintArea" localSheetId="3" hidden="1">#REF!</definedName>
    <definedName name="Z_4CC3570C_99A5_11D2_8E90_0008C7BCAF29_.wvu.PrintArea" localSheetId="29" hidden="1">#REF!</definedName>
    <definedName name="Z_4CC3570C_99A5_11D2_8E90_0008C7BCAF29_.wvu.PrintArea" hidden="1">#REF!</definedName>
    <definedName name="Z_4CC3570C_99A5_11D2_8E90_0008C7BCAF29_.wvu.PrintTitles" localSheetId="6" hidden="1">#REF!,#REF!</definedName>
    <definedName name="Z_4CC3570C_99A5_11D2_8E90_0008C7BCAF29_.wvu.PrintTitles" localSheetId="7" hidden="1">#REF!,#REF!</definedName>
    <definedName name="Z_4CC3570C_99A5_11D2_8E90_0008C7BCAF29_.wvu.PrintTitles" localSheetId="3" hidden="1">#REF!,#REF!</definedName>
    <definedName name="Z_4CC3570C_99A5_11D2_8E90_0008C7BCAF29_.wvu.PrintTitles" localSheetId="29" hidden="1">#REF!,#REF!</definedName>
    <definedName name="Z_4CC3570C_99A5_11D2_8E90_0008C7BCAF29_.wvu.PrintTitles" hidden="1">#REF!,#REF!</definedName>
    <definedName name="Z_4CC3570F_99A5_11D2_8E90_0008C7BCAF29_.wvu.PrintArea" localSheetId="6" hidden="1">#REF!</definedName>
    <definedName name="Z_4CC3570F_99A5_11D2_8E90_0008C7BCAF29_.wvu.PrintArea" localSheetId="7" hidden="1">#REF!</definedName>
    <definedName name="Z_4CC3570F_99A5_11D2_8E90_0008C7BCAF29_.wvu.PrintArea" localSheetId="3" hidden="1">#REF!</definedName>
    <definedName name="Z_4CC3570F_99A5_11D2_8E90_0008C7BCAF29_.wvu.PrintArea" localSheetId="29" hidden="1">#REF!</definedName>
    <definedName name="Z_4CC3570F_99A5_11D2_8E90_0008C7BCAF29_.wvu.PrintArea" hidden="1">#REF!</definedName>
    <definedName name="Z_4CC3570F_99A5_11D2_8E90_0008C7BCAF29_.wvu.PrintTitles" localSheetId="6" hidden="1">#REF!</definedName>
    <definedName name="Z_4CC3570F_99A5_11D2_8E90_0008C7BCAF29_.wvu.PrintTitles" localSheetId="7" hidden="1">#REF!</definedName>
    <definedName name="Z_4CC3570F_99A5_11D2_8E90_0008C7BCAF29_.wvu.PrintTitles" localSheetId="3" hidden="1">#REF!</definedName>
    <definedName name="Z_4CC3570F_99A5_11D2_8E90_0008C7BCAF29_.wvu.PrintTitles" localSheetId="29" hidden="1">#REF!</definedName>
    <definedName name="Z_4CC3570F_99A5_11D2_8E90_0008C7BCAF29_.wvu.PrintTitles" hidden="1">#REF!</definedName>
    <definedName name="Z_4CC35714_99A5_11D2_8E90_0008C7BCAF29_.wvu.PrintArea" localSheetId="6" hidden="1">#REF!</definedName>
    <definedName name="Z_4CC35714_99A5_11D2_8E90_0008C7BCAF29_.wvu.PrintArea" localSheetId="7" hidden="1">#REF!</definedName>
    <definedName name="Z_4CC35714_99A5_11D2_8E90_0008C7BCAF29_.wvu.PrintArea" localSheetId="3" hidden="1">#REF!</definedName>
    <definedName name="Z_4CC35714_99A5_11D2_8E90_0008C7BCAF29_.wvu.PrintArea" localSheetId="29" hidden="1">#REF!</definedName>
    <definedName name="Z_4CC35714_99A5_11D2_8E90_0008C7BCAF29_.wvu.PrintArea" hidden="1">#REF!</definedName>
    <definedName name="Z_4CC35714_99A5_11D2_8E90_0008C7BCAF29_.wvu.PrintTitles" localSheetId="6" hidden="1">#REF!,#REF!</definedName>
    <definedName name="Z_4CC35714_99A5_11D2_8E90_0008C7BCAF29_.wvu.PrintTitles" localSheetId="7" hidden="1">#REF!,#REF!</definedName>
    <definedName name="Z_4CC35714_99A5_11D2_8E90_0008C7BCAF29_.wvu.PrintTitles" localSheetId="3" hidden="1">#REF!,#REF!</definedName>
    <definedName name="Z_4CC35714_99A5_11D2_8E90_0008C7BCAF29_.wvu.PrintTitles" localSheetId="29" hidden="1">#REF!,#REF!</definedName>
    <definedName name="Z_4CC35714_99A5_11D2_8E90_0008C7BCAF29_.wvu.PrintTitles" hidden="1">#REF!,#REF!</definedName>
    <definedName name="Z_4CC35716_99A5_11D2_8E90_0008C7BCAF29_.wvu.PrintArea" localSheetId="6" hidden="1">#REF!</definedName>
    <definedName name="Z_4CC35716_99A5_11D2_8E90_0008C7BCAF29_.wvu.PrintArea" localSheetId="7" hidden="1">#REF!</definedName>
    <definedName name="Z_4CC35716_99A5_11D2_8E90_0008C7BCAF29_.wvu.PrintArea" localSheetId="3" hidden="1">#REF!</definedName>
    <definedName name="Z_4CC35716_99A5_11D2_8E90_0008C7BCAF29_.wvu.PrintArea" localSheetId="29" hidden="1">#REF!</definedName>
    <definedName name="Z_4CC35716_99A5_11D2_8E90_0008C7BCAF29_.wvu.PrintArea" hidden="1">#REF!</definedName>
    <definedName name="Z_4CC35716_99A5_11D2_8E90_0008C7BCAF29_.wvu.PrintTitles" localSheetId="6" hidden="1">#REF!,#REF!</definedName>
    <definedName name="Z_4CC35716_99A5_11D2_8E90_0008C7BCAF29_.wvu.PrintTitles" localSheetId="7" hidden="1">#REF!,#REF!</definedName>
    <definedName name="Z_4CC35716_99A5_11D2_8E90_0008C7BCAF29_.wvu.PrintTitles" localSheetId="3" hidden="1">#REF!,#REF!</definedName>
    <definedName name="Z_4CC35716_99A5_11D2_8E90_0008C7BCAF29_.wvu.PrintTitles" localSheetId="29" hidden="1">#REF!,#REF!</definedName>
    <definedName name="Z_4CC35716_99A5_11D2_8E90_0008C7BCAF29_.wvu.PrintTitles" hidden="1">#REF!,#REF!</definedName>
    <definedName name="Z_4CC35719_99A5_11D2_8E90_0008C7BCAF29_.wvu.PrintArea" localSheetId="6" hidden="1">#REF!</definedName>
    <definedName name="Z_4CC35719_99A5_11D2_8E90_0008C7BCAF29_.wvu.PrintArea" localSheetId="7" hidden="1">#REF!</definedName>
    <definedName name="Z_4CC35719_99A5_11D2_8E90_0008C7BCAF29_.wvu.PrintArea" localSheetId="3" hidden="1">#REF!</definedName>
    <definedName name="Z_4CC35719_99A5_11D2_8E90_0008C7BCAF29_.wvu.PrintArea" localSheetId="29" hidden="1">#REF!</definedName>
    <definedName name="Z_4CC35719_99A5_11D2_8E90_0008C7BCAF29_.wvu.PrintArea" hidden="1">#REF!</definedName>
    <definedName name="Z_4CC35719_99A5_11D2_8E90_0008C7BCAF29_.wvu.PrintTitles" localSheetId="6" hidden="1">#REF!</definedName>
    <definedName name="Z_4CC35719_99A5_11D2_8E90_0008C7BCAF29_.wvu.PrintTitles" localSheetId="7" hidden="1">#REF!</definedName>
    <definedName name="Z_4CC35719_99A5_11D2_8E90_0008C7BCAF29_.wvu.PrintTitles" localSheetId="3" hidden="1">#REF!</definedName>
    <definedName name="Z_4CC35719_99A5_11D2_8E90_0008C7BCAF29_.wvu.PrintTitles" localSheetId="29" hidden="1">#REF!</definedName>
    <definedName name="Z_4CC35719_99A5_11D2_8E90_0008C7BCAF29_.wvu.PrintTitles" hidden="1">#REF!</definedName>
    <definedName name="Z_4CC3571E_99A5_11D2_8E90_0008C7BCAF29_.wvu.PrintArea" localSheetId="6" hidden="1">#REF!</definedName>
    <definedName name="Z_4CC3571E_99A5_11D2_8E90_0008C7BCAF29_.wvu.PrintArea" localSheetId="7" hidden="1">#REF!</definedName>
    <definedName name="Z_4CC3571E_99A5_11D2_8E90_0008C7BCAF29_.wvu.PrintArea" localSheetId="3" hidden="1">#REF!</definedName>
    <definedName name="Z_4CC3571E_99A5_11D2_8E90_0008C7BCAF29_.wvu.PrintArea" localSheetId="29" hidden="1">#REF!</definedName>
    <definedName name="Z_4CC3571E_99A5_11D2_8E90_0008C7BCAF29_.wvu.PrintArea" hidden="1">#REF!</definedName>
    <definedName name="Z_4CC3571E_99A5_11D2_8E90_0008C7BCAF29_.wvu.PrintTitles" localSheetId="6" hidden="1">#REF!,#REF!</definedName>
    <definedName name="Z_4CC3571E_99A5_11D2_8E90_0008C7BCAF29_.wvu.PrintTitles" localSheetId="7" hidden="1">#REF!,#REF!</definedName>
    <definedName name="Z_4CC3571E_99A5_11D2_8E90_0008C7BCAF29_.wvu.PrintTitles" localSheetId="3" hidden="1">#REF!,#REF!</definedName>
    <definedName name="Z_4CC3571E_99A5_11D2_8E90_0008C7BCAF29_.wvu.PrintTitles" localSheetId="29" hidden="1">#REF!,#REF!</definedName>
    <definedName name="Z_4CC3571E_99A5_11D2_8E90_0008C7BCAF29_.wvu.PrintTitles" hidden="1">#REF!,#REF!</definedName>
    <definedName name="Z_4CC35721_99A5_11D2_8E90_0008C7BCAF29_.wvu.PrintArea" localSheetId="6" hidden="1">#REF!</definedName>
    <definedName name="Z_4CC35721_99A5_11D2_8E90_0008C7BCAF29_.wvu.PrintArea" localSheetId="7" hidden="1">#REF!</definedName>
    <definedName name="Z_4CC35721_99A5_11D2_8E90_0008C7BCAF29_.wvu.PrintArea" localSheetId="3" hidden="1">#REF!</definedName>
    <definedName name="Z_4CC35721_99A5_11D2_8E90_0008C7BCAF29_.wvu.PrintArea" localSheetId="29" hidden="1">#REF!</definedName>
    <definedName name="Z_4CC35721_99A5_11D2_8E90_0008C7BCAF29_.wvu.PrintArea" hidden="1">#REF!</definedName>
    <definedName name="Z_4CC35721_99A5_11D2_8E90_0008C7BCAF29_.wvu.PrintTitles" localSheetId="6" hidden="1">#REF!,#REF!</definedName>
    <definedName name="Z_4CC35721_99A5_11D2_8E90_0008C7BCAF29_.wvu.PrintTitles" localSheetId="7" hidden="1">#REF!,#REF!</definedName>
    <definedName name="Z_4CC35721_99A5_11D2_8E90_0008C7BCAF29_.wvu.PrintTitles" localSheetId="3" hidden="1">#REF!,#REF!</definedName>
    <definedName name="Z_4CC35721_99A5_11D2_8E90_0008C7BCAF29_.wvu.PrintTitles" localSheetId="29" hidden="1">#REF!,#REF!</definedName>
    <definedName name="Z_4CC35721_99A5_11D2_8E90_0008C7BCAF29_.wvu.PrintTitles" hidden="1">#REF!,#REF!</definedName>
    <definedName name="Z_5F95E421_892A_11D2_8E7F_0008C7809E09_.wvu.PrintArea" localSheetId="6" hidden="1">#REF!</definedName>
    <definedName name="Z_5F95E421_892A_11D2_8E7F_0008C7809E09_.wvu.PrintArea" localSheetId="7" hidden="1">#REF!</definedName>
    <definedName name="Z_5F95E421_892A_11D2_8E7F_0008C7809E09_.wvu.PrintArea" localSheetId="3" hidden="1">#REF!</definedName>
    <definedName name="Z_5F95E421_892A_11D2_8E7F_0008C7809E09_.wvu.PrintArea" localSheetId="29" hidden="1">#REF!</definedName>
    <definedName name="Z_5F95E421_892A_11D2_8E7F_0008C7809E09_.wvu.PrintArea" hidden="1">#REF!</definedName>
    <definedName name="Z_5F95E421_892A_11D2_8E7F_0008C7809E09_.wvu.PrintTitles" localSheetId="6" hidden="1">#REF!,#REF!</definedName>
    <definedName name="Z_5F95E421_892A_11D2_8E7F_0008C7809E09_.wvu.PrintTitles" localSheetId="7" hidden="1">#REF!,#REF!</definedName>
    <definedName name="Z_5F95E421_892A_11D2_8E7F_0008C7809E09_.wvu.PrintTitles" localSheetId="3" hidden="1">#REF!,#REF!</definedName>
    <definedName name="Z_5F95E421_892A_11D2_8E7F_0008C7809E09_.wvu.PrintTitles" localSheetId="29" hidden="1">#REF!,#REF!</definedName>
    <definedName name="Z_5F95E421_892A_11D2_8E7F_0008C7809E09_.wvu.PrintTitles" hidden="1">#REF!,#REF!</definedName>
    <definedName name="Z_5F95E424_892A_11D2_8E7F_0008C7809E09_.wvu.PrintArea" localSheetId="6" hidden="1">#REF!</definedName>
    <definedName name="Z_5F95E424_892A_11D2_8E7F_0008C7809E09_.wvu.PrintArea" localSheetId="7" hidden="1">#REF!</definedName>
    <definedName name="Z_5F95E424_892A_11D2_8E7F_0008C7809E09_.wvu.PrintArea" localSheetId="3" hidden="1">#REF!</definedName>
    <definedName name="Z_5F95E424_892A_11D2_8E7F_0008C7809E09_.wvu.PrintArea" localSheetId="29" hidden="1">#REF!</definedName>
    <definedName name="Z_5F95E424_892A_11D2_8E7F_0008C7809E09_.wvu.PrintArea" hidden="1">#REF!</definedName>
    <definedName name="Z_5F95E424_892A_11D2_8E7F_0008C7809E09_.wvu.PrintTitles" localSheetId="6" hidden="1">#REF!</definedName>
    <definedName name="Z_5F95E424_892A_11D2_8E7F_0008C7809E09_.wvu.PrintTitles" localSheetId="7" hidden="1">#REF!</definedName>
    <definedName name="Z_5F95E424_892A_11D2_8E7F_0008C7809E09_.wvu.PrintTitles" localSheetId="3" hidden="1">#REF!</definedName>
    <definedName name="Z_5F95E424_892A_11D2_8E7F_0008C7809E09_.wvu.PrintTitles" localSheetId="29" hidden="1">#REF!</definedName>
    <definedName name="Z_5F95E424_892A_11D2_8E7F_0008C7809E09_.wvu.PrintTitles" hidden="1">#REF!</definedName>
    <definedName name="Z_5F95E429_892A_11D2_8E7F_0008C7809E09_.wvu.PrintArea" localSheetId="6" hidden="1">#REF!</definedName>
    <definedName name="Z_5F95E429_892A_11D2_8E7F_0008C7809E09_.wvu.PrintArea" localSheetId="7" hidden="1">#REF!</definedName>
    <definedName name="Z_5F95E429_892A_11D2_8E7F_0008C7809E09_.wvu.PrintArea" localSheetId="3" hidden="1">#REF!</definedName>
    <definedName name="Z_5F95E429_892A_11D2_8E7F_0008C7809E09_.wvu.PrintArea" localSheetId="29" hidden="1">#REF!</definedName>
    <definedName name="Z_5F95E429_892A_11D2_8E7F_0008C7809E09_.wvu.PrintArea" hidden="1">#REF!</definedName>
    <definedName name="Z_5F95E429_892A_11D2_8E7F_0008C7809E09_.wvu.PrintTitles" localSheetId="6" hidden="1">#REF!,#REF!</definedName>
    <definedName name="Z_5F95E429_892A_11D2_8E7F_0008C7809E09_.wvu.PrintTitles" localSheetId="7" hidden="1">#REF!,#REF!</definedName>
    <definedName name="Z_5F95E429_892A_11D2_8E7F_0008C7809E09_.wvu.PrintTitles" localSheetId="3" hidden="1">#REF!,#REF!</definedName>
    <definedName name="Z_5F95E429_892A_11D2_8E7F_0008C7809E09_.wvu.PrintTitles" localSheetId="29" hidden="1">#REF!,#REF!</definedName>
    <definedName name="Z_5F95E429_892A_11D2_8E7F_0008C7809E09_.wvu.PrintTitles" hidden="1">#REF!,#REF!</definedName>
    <definedName name="Z_5F95E42B_892A_11D2_8E7F_0008C7809E09_.wvu.PrintArea" localSheetId="6" hidden="1">#REF!</definedName>
    <definedName name="Z_5F95E42B_892A_11D2_8E7F_0008C7809E09_.wvu.PrintArea" localSheetId="7" hidden="1">#REF!</definedName>
    <definedName name="Z_5F95E42B_892A_11D2_8E7F_0008C7809E09_.wvu.PrintArea" localSheetId="3" hidden="1">#REF!</definedName>
    <definedName name="Z_5F95E42B_892A_11D2_8E7F_0008C7809E09_.wvu.PrintArea" localSheetId="29" hidden="1">#REF!</definedName>
    <definedName name="Z_5F95E42B_892A_11D2_8E7F_0008C7809E09_.wvu.PrintArea" hidden="1">#REF!</definedName>
    <definedName name="Z_5F95E42B_892A_11D2_8E7F_0008C7809E09_.wvu.PrintTitles" localSheetId="6" hidden="1">#REF!,#REF!</definedName>
    <definedName name="Z_5F95E42B_892A_11D2_8E7F_0008C7809E09_.wvu.PrintTitles" localSheetId="7" hidden="1">#REF!,#REF!</definedName>
    <definedName name="Z_5F95E42B_892A_11D2_8E7F_0008C7809E09_.wvu.PrintTitles" localSheetId="3" hidden="1">#REF!,#REF!</definedName>
    <definedName name="Z_5F95E42B_892A_11D2_8E7F_0008C7809E09_.wvu.PrintTitles" localSheetId="29" hidden="1">#REF!,#REF!</definedName>
    <definedName name="Z_5F95E42B_892A_11D2_8E7F_0008C7809E09_.wvu.PrintTitles" hidden="1">#REF!,#REF!</definedName>
    <definedName name="Z_5F95E42E_892A_11D2_8E7F_0008C7809E09_.wvu.PrintArea" localSheetId="6" hidden="1">#REF!</definedName>
    <definedName name="Z_5F95E42E_892A_11D2_8E7F_0008C7809E09_.wvu.PrintArea" localSheetId="7" hidden="1">#REF!</definedName>
    <definedName name="Z_5F95E42E_892A_11D2_8E7F_0008C7809E09_.wvu.PrintArea" localSheetId="3" hidden="1">#REF!</definedName>
    <definedName name="Z_5F95E42E_892A_11D2_8E7F_0008C7809E09_.wvu.PrintArea" localSheetId="29" hidden="1">#REF!</definedName>
    <definedName name="Z_5F95E42E_892A_11D2_8E7F_0008C7809E09_.wvu.PrintArea" hidden="1">#REF!</definedName>
    <definedName name="Z_5F95E42E_892A_11D2_8E7F_0008C7809E09_.wvu.PrintTitles" localSheetId="6" hidden="1">#REF!</definedName>
    <definedName name="Z_5F95E42E_892A_11D2_8E7F_0008C7809E09_.wvu.PrintTitles" localSheetId="7" hidden="1">#REF!</definedName>
    <definedName name="Z_5F95E42E_892A_11D2_8E7F_0008C7809E09_.wvu.PrintTitles" localSheetId="3" hidden="1">#REF!</definedName>
    <definedName name="Z_5F95E42E_892A_11D2_8E7F_0008C7809E09_.wvu.PrintTitles" localSheetId="29" hidden="1">#REF!</definedName>
    <definedName name="Z_5F95E42E_892A_11D2_8E7F_0008C7809E09_.wvu.PrintTitles" hidden="1">#REF!</definedName>
    <definedName name="Z_5F95E433_892A_11D2_8E7F_0008C7809E09_.wvu.PrintArea" localSheetId="6" hidden="1">#REF!</definedName>
    <definedName name="Z_5F95E433_892A_11D2_8E7F_0008C7809E09_.wvu.PrintArea" localSheetId="7" hidden="1">#REF!</definedName>
    <definedName name="Z_5F95E433_892A_11D2_8E7F_0008C7809E09_.wvu.PrintArea" localSheetId="3" hidden="1">#REF!</definedName>
    <definedName name="Z_5F95E433_892A_11D2_8E7F_0008C7809E09_.wvu.PrintArea" localSheetId="29" hidden="1">#REF!</definedName>
    <definedName name="Z_5F95E433_892A_11D2_8E7F_0008C7809E09_.wvu.PrintArea" hidden="1">#REF!</definedName>
    <definedName name="Z_5F95E433_892A_11D2_8E7F_0008C7809E09_.wvu.PrintTitles" localSheetId="6" hidden="1">#REF!,#REF!</definedName>
    <definedName name="Z_5F95E433_892A_11D2_8E7F_0008C7809E09_.wvu.PrintTitles" localSheetId="7" hidden="1">#REF!,#REF!</definedName>
    <definedName name="Z_5F95E433_892A_11D2_8E7F_0008C7809E09_.wvu.PrintTitles" localSheetId="3" hidden="1">#REF!,#REF!</definedName>
    <definedName name="Z_5F95E433_892A_11D2_8E7F_0008C7809E09_.wvu.PrintTitles" localSheetId="29" hidden="1">#REF!,#REF!</definedName>
    <definedName name="Z_5F95E433_892A_11D2_8E7F_0008C7809E09_.wvu.PrintTitles" hidden="1">#REF!,#REF!</definedName>
    <definedName name="Z_5F95E436_892A_11D2_8E7F_0008C7809E09_.wvu.PrintArea" localSheetId="6" hidden="1">#REF!</definedName>
    <definedName name="Z_5F95E436_892A_11D2_8E7F_0008C7809E09_.wvu.PrintArea" localSheetId="7" hidden="1">#REF!</definedName>
    <definedName name="Z_5F95E436_892A_11D2_8E7F_0008C7809E09_.wvu.PrintArea" localSheetId="3" hidden="1">#REF!</definedName>
    <definedName name="Z_5F95E436_892A_11D2_8E7F_0008C7809E09_.wvu.PrintArea" localSheetId="29" hidden="1">#REF!</definedName>
    <definedName name="Z_5F95E436_892A_11D2_8E7F_0008C7809E09_.wvu.PrintArea" hidden="1">#REF!</definedName>
    <definedName name="Z_5F95E436_892A_11D2_8E7F_0008C7809E09_.wvu.PrintTitles" localSheetId="6" hidden="1">#REF!,#REF!</definedName>
    <definedName name="Z_5F95E436_892A_11D2_8E7F_0008C7809E09_.wvu.PrintTitles" localSheetId="7" hidden="1">#REF!,#REF!</definedName>
    <definedName name="Z_5F95E436_892A_11D2_8E7F_0008C7809E09_.wvu.PrintTitles" localSheetId="3" hidden="1">#REF!,#REF!</definedName>
    <definedName name="Z_5F95E436_892A_11D2_8E7F_0008C7809E09_.wvu.PrintTitles" localSheetId="29" hidden="1">#REF!,#REF!</definedName>
    <definedName name="Z_5F95E436_892A_11D2_8E7F_0008C7809E09_.wvu.PrintTitles" hidden="1">#REF!,#REF!</definedName>
    <definedName name="Z_61DB0F02_10ED_11D2_8E73_0008C77C0743_.wvu.PrintArea" localSheetId="6" hidden="1">#REF!</definedName>
    <definedName name="Z_61DB0F02_10ED_11D2_8E73_0008C77C0743_.wvu.PrintArea" localSheetId="7" hidden="1">#REF!</definedName>
    <definedName name="Z_61DB0F02_10ED_11D2_8E73_0008C77C0743_.wvu.PrintArea" localSheetId="3" hidden="1">#REF!</definedName>
    <definedName name="Z_61DB0F02_10ED_11D2_8E73_0008C77C0743_.wvu.PrintArea" localSheetId="29" hidden="1">#REF!</definedName>
    <definedName name="Z_61DB0F02_10ED_11D2_8E73_0008C77C0743_.wvu.PrintArea" hidden="1">#REF!</definedName>
    <definedName name="Z_61DB0F02_10ED_11D2_8E73_0008C77C0743_.wvu.PrintTitles" localSheetId="6" hidden="1">#REF!</definedName>
    <definedName name="Z_61DB0F02_10ED_11D2_8E73_0008C77C0743_.wvu.PrintTitles" localSheetId="7" hidden="1">#REF!</definedName>
    <definedName name="Z_61DB0F02_10ED_11D2_8E73_0008C77C0743_.wvu.PrintTitles" localSheetId="3" hidden="1">#REF!</definedName>
    <definedName name="Z_61DB0F02_10ED_11D2_8E73_0008C77C0743_.wvu.PrintTitles" localSheetId="29" hidden="1">#REF!</definedName>
    <definedName name="Z_61DB0F02_10ED_11D2_8E73_0008C77C0743_.wvu.PrintTitles" hidden="1">#REF!</definedName>
    <definedName name="Z_61DB0F11_10ED_11D2_8E73_0008C77C0743_.wvu.PrintArea" localSheetId="6" hidden="1">#REF!</definedName>
    <definedName name="Z_61DB0F11_10ED_11D2_8E73_0008C77C0743_.wvu.PrintArea" localSheetId="7" hidden="1">#REF!</definedName>
    <definedName name="Z_61DB0F11_10ED_11D2_8E73_0008C77C0743_.wvu.PrintArea" localSheetId="3" hidden="1">#REF!</definedName>
    <definedName name="Z_61DB0F11_10ED_11D2_8E73_0008C77C0743_.wvu.PrintArea" localSheetId="29" hidden="1">#REF!</definedName>
    <definedName name="Z_61DB0F11_10ED_11D2_8E73_0008C77C0743_.wvu.PrintArea" hidden="1">#REF!</definedName>
    <definedName name="Z_61DB0F11_10ED_11D2_8E73_0008C77C0743_.wvu.PrintTitles" localSheetId="3" hidden="1">#REF!</definedName>
    <definedName name="Z_61DB0F11_10ED_11D2_8E73_0008C77C0743_.wvu.PrintTitles" hidden="1">#REF!</definedName>
    <definedName name="Z_61DB0F1E_10ED_11D2_8E73_0008C77C0743_.wvu.PrintArea" localSheetId="3" hidden="1">#REF!</definedName>
    <definedName name="Z_61DB0F1E_10ED_11D2_8E73_0008C77C0743_.wvu.PrintArea" hidden="1">#REF!</definedName>
    <definedName name="Z_61DB0F1E_10ED_11D2_8E73_0008C77C0743_.wvu.PrintTitles" localSheetId="6" hidden="1">#REF!,#REF!</definedName>
    <definedName name="Z_61DB0F1E_10ED_11D2_8E73_0008C77C0743_.wvu.PrintTitles" localSheetId="7" hidden="1">#REF!,#REF!</definedName>
    <definedName name="Z_61DB0F1E_10ED_11D2_8E73_0008C77C0743_.wvu.PrintTitles" localSheetId="3" hidden="1">#REF!,#REF!</definedName>
    <definedName name="Z_61DB0F1E_10ED_11D2_8E73_0008C77C0743_.wvu.PrintTitles" localSheetId="29" hidden="1">#REF!,#REF!</definedName>
    <definedName name="Z_61DB0F1E_10ED_11D2_8E73_0008C77C0743_.wvu.PrintTitles" hidden="1">#REF!,#REF!</definedName>
    <definedName name="Z_6749F589_14FD_11D3_8EF9_0008C7BCAF29_.wvu.PrintArea" localSheetId="6" hidden="1">#REF!</definedName>
    <definedName name="Z_6749F589_14FD_11D3_8EF9_0008C7BCAF29_.wvu.PrintArea" localSheetId="7" hidden="1">#REF!</definedName>
    <definedName name="Z_6749F589_14FD_11D3_8EF9_0008C7BCAF29_.wvu.PrintArea" localSheetId="3" hidden="1">#REF!</definedName>
    <definedName name="Z_6749F589_14FD_11D3_8EF9_0008C7BCAF29_.wvu.PrintArea" localSheetId="29" hidden="1">#REF!</definedName>
    <definedName name="Z_6749F589_14FD_11D3_8EF9_0008C7BCAF29_.wvu.PrintArea" hidden="1">#REF!</definedName>
    <definedName name="Z_6749F589_14FD_11D3_8EF9_0008C7BCAF29_.wvu.PrintTitles" localSheetId="6" hidden="1">#REF!</definedName>
    <definedName name="Z_6749F589_14FD_11D3_8EF9_0008C7BCAF29_.wvu.PrintTitles" localSheetId="7" hidden="1">#REF!</definedName>
    <definedName name="Z_6749F589_14FD_11D3_8EF9_0008C7BCAF29_.wvu.PrintTitles" localSheetId="3" hidden="1">#REF!</definedName>
    <definedName name="Z_6749F589_14FD_11D3_8EF9_0008C7BCAF29_.wvu.PrintTitles" localSheetId="29" hidden="1">#REF!</definedName>
    <definedName name="Z_6749F589_14FD_11D3_8EF9_0008C7BCAF29_.wvu.PrintTitles" hidden="1">#REF!</definedName>
    <definedName name="Z_6749F59C_14FD_11D3_8EF9_0008C7BCAF29_.wvu.PrintArea" localSheetId="6" hidden="1">#REF!</definedName>
    <definedName name="Z_6749F59C_14FD_11D3_8EF9_0008C7BCAF29_.wvu.PrintArea" localSheetId="7" hidden="1">#REF!</definedName>
    <definedName name="Z_6749F59C_14FD_11D3_8EF9_0008C7BCAF29_.wvu.PrintArea" localSheetId="3" hidden="1">#REF!</definedName>
    <definedName name="Z_6749F59C_14FD_11D3_8EF9_0008C7BCAF29_.wvu.PrintArea" localSheetId="29" hidden="1">#REF!</definedName>
    <definedName name="Z_6749F59C_14FD_11D3_8EF9_0008C7BCAF29_.wvu.PrintArea" hidden="1">#REF!</definedName>
    <definedName name="Z_6749F59C_14FD_11D3_8EF9_0008C7BCAF29_.wvu.PrintTitles" localSheetId="3" hidden="1">#REF!</definedName>
    <definedName name="Z_6749F59C_14FD_11D3_8EF9_0008C7BCAF29_.wvu.PrintTitles" hidden="1">#REF!</definedName>
    <definedName name="Z_6749F5AC_14FD_11D3_8EF9_0008C7BCAF29_.wvu.PrintArea" localSheetId="3" hidden="1">#REF!</definedName>
    <definedName name="Z_6749F5AC_14FD_11D3_8EF9_0008C7BCAF29_.wvu.PrintArea" hidden="1">#REF!</definedName>
    <definedName name="Z_6749F5AC_14FD_11D3_8EF9_0008C7BCAF29_.wvu.PrintTitles" localSheetId="6" hidden="1">#REF!,#REF!</definedName>
    <definedName name="Z_6749F5AC_14FD_11D3_8EF9_0008C7BCAF29_.wvu.PrintTitles" localSheetId="7" hidden="1">#REF!,#REF!</definedName>
    <definedName name="Z_6749F5AC_14FD_11D3_8EF9_0008C7BCAF29_.wvu.PrintTitles" localSheetId="3" hidden="1">#REF!,#REF!</definedName>
    <definedName name="Z_6749F5AC_14FD_11D3_8EF9_0008C7BCAF29_.wvu.PrintTitles" localSheetId="29" hidden="1">#REF!,#REF!</definedName>
    <definedName name="Z_6749F5AC_14FD_11D3_8EF9_0008C7BCAF29_.wvu.PrintTitles" hidden="1">#REF!,#REF!</definedName>
    <definedName name="Z_68F84A93_5E0B_11D2_8EEE_0008C7BCAF29_.wvu.PrintArea" localSheetId="6" hidden="1">#REF!</definedName>
    <definedName name="Z_68F84A93_5E0B_11D2_8EEE_0008C7BCAF29_.wvu.PrintArea" localSheetId="7" hidden="1">#REF!</definedName>
    <definedName name="Z_68F84A93_5E0B_11D2_8EEE_0008C7BCAF29_.wvu.PrintArea" localSheetId="3" hidden="1">#REF!</definedName>
    <definedName name="Z_68F84A93_5E0B_11D2_8EEE_0008C7BCAF29_.wvu.PrintArea" localSheetId="29" hidden="1">#REF!</definedName>
    <definedName name="Z_68F84A93_5E0B_11D2_8EEE_0008C7BCAF29_.wvu.PrintArea" hidden="1">#REF!</definedName>
    <definedName name="Z_68F84A93_5E0B_11D2_8EEE_0008C7BCAF29_.wvu.PrintTitles" localSheetId="6" hidden="1">#REF!</definedName>
    <definedName name="Z_68F84A93_5E0B_11D2_8EEE_0008C7BCAF29_.wvu.PrintTitles" localSheetId="7" hidden="1">#REF!</definedName>
    <definedName name="Z_68F84A93_5E0B_11D2_8EEE_0008C7BCAF29_.wvu.PrintTitles" localSheetId="3" hidden="1">#REF!</definedName>
    <definedName name="Z_68F84A93_5E0B_11D2_8EEE_0008C7BCAF29_.wvu.PrintTitles" localSheetId="29" hidden="1">#REF!</definedName>
    <definedName name="Z_68F84A93_5E0B_11D2_8EEE_0008C7BCAF29_.wvu.PrintTitles" hidden="1">#REF!</definedName>
    <definedName name="Z_68F84AA2_5E0B_11D2_8EEE_0008C7BCAF29_.wvu.PrintArea" localSheetId="6" hidden="1">#REF!</definedName>
    <definedName name="Z_68F84AA2_5E0B_11D2_8EEE_0008C7BCAF29_.wvu.PrintArea" localSheetId="7" hidden="1">#REF!</definedName>
    <definedName name="Z_68F84AA2_5E0B_11D2_8EEE_0008C7BCAF29_.wvu.PrintArea" localSheetId="3" hidden="1">#REF!</definedName>
    <definedName name="Z_68F84AA2_5E0B_11D2_8EEE_0008C7BCAF29_.wvu.PrintArea" localSheetId="29" hidden="1">#REF!</definedName>
    <definedName name="Z_68F84AA2_5E0B_11D2_8EEE_0008C7BCAF29_.wvu.PrintArea" hidden="1">#REF!</definedName>
    <definedName name="Z_68F84AA2_5E0B_11D2_8EEE_0008C7BCAF29_.wvu.PrintTitles" localSheetId="3" hidden="1">#REF!</definedName>
    <definedName name="Z_68F84AA2_5E0B_11D2_8EEE_0008C7BCAF29_.wvu.PrintTitles" hidden="1">#REF!</definedName>
    <definedName name="Z_68F84AAF_5E0B_11D2_8EEE_0008C7BCAF29_.wvu.PrintArea" localSheetId="3" hidden="1">#REF!</definedName>
    <definedName name="Z_68F84AAF_5E0B_11D2_8EEE_0008C7BCAF29_.wvu.PrintArea" hidden="1">#REF!</definedName>
    <definedName name="Z_68F84AAF_5E0B_11D2_8EEE_0008C7BCAF29_.wvu.PrintTitles" localSheetId="6" hidden="1">#REF!,#REF!</definedName>
    <definedName name="Z_68F84AAF_5E0B_11D2_8EEE_0008C7BCAF29_.wvu.PrintTitles" localSheetId="7" hidden="1">#REF!,#REF!</definedName>
    <definedName name="Z_68F84AAF_5E0B_11D2_8EEE_0008C7BCAF29_.wvu.PrintTitles" localSheetId="3" hidden="1">#REF!,#REF!</definedName>
    <definedName name="Z_68F84AAF_5E0B_11D2_8EEE_0008C7BCAF29_.wvu.PrintTitles" localSheetId="29" hidden="1">#REF!,#REF!</definedName>
    <definedName name="Z_68F84AAF_5E0B_11D2_8EEE_0008C7BCAF29_.wvu.PrintTitles" hidden="1">#REF!,#REF!</definedName>
    <definedName name="Z_68F84ABA_5E0B_11D2_8EEE_0008C7BCAF29_.wvu.PrintArea" localSheetId="6" hidden="1">#REF!</definedName>
    <definedName name="Z_68F84ABA_5E0B_11D2_8EEE_0008C7BCAF29_.wvu.PrintArea" localSheetId="7" hidden="1">#REF!</definedName>
    <definedName name="Z_68F84ABA_5E0B_11D2_8EEE_0008C7BCAF29_.wvu.PrintArea" localSheetId="3" hidden="1">#REF!</definedName>
    <definedName name="Z_68F84ABA_5E0B_11D2_8EEE_0008C7BCAF29_.wvu.PrintArea" localSheetId="29" hidden="1">#REF!</definedName>
    <definedName name="Z_68F84ABA_5E0B_11D2_8EEE_0008C7BCAF29_.wvu.PrintArea" hidden="1">#REF!</definedName>
    <definedName name="Z_68F84ABA_5E0B_11D2_8EEE_0008C7BCAF29_.wvu.PrintTitles" localSheetId="6" hidden="1">#REF!,#REF!</definedName>
    <definedName name="Z_68F84ABA_5E0B_11D2_8EEE_0008C7BCAF29_.wvu.PrintTitles" localSheetId="7" hidden="1">#REF!,#REF!</definedName>
    <definedName name="Z_68F84ABA_5E0B_11D2_8EEE_0008C7BCAF29_.wvu.PrintTitles" localSheetId="3" hidden="1">#REF!,#REF!</definedName>
    <definedName name="Z_68F84ABA_5E0B_11D2_8EEE_0008C7BCAF29_.wvu.PrintTitles" localSheetId="29" hidden="1">#REF!,#REF!</definedName>
    <definedName name="Z_68F84ABA_5E0B_11D2_8EEE_0008C7BCAF29_.wvu.PrintTitles" hidden="1">#REF!,#REF!</definedName>
    <definedName name="Z_68F84ABC_5E0B_11D2_8EEE_0008C7BCAF29_.wvu.PrintArea" localSheetId="6" hidden="1">#REF!</definedName>
    <definedName name="Z_68F84ABC_5E0B_11D2_8EEE_0008C7BCAF29_.wvu.PrintArea" localSheetId="7" hidden="1">#REF!</definedName>
    <definedName name="Z_68F84ABC_5E0B_11D2_8EEE_0008C7BCAF29_.wvu.PrintArea" localSheetId="3" hidden="1">#REF!</definedName>
    <definedName name="Z_68F84ABC_5E0B_11D2_8EEE_0008C7BCAF29_.wvu.PrintArea" localSheetId="29" hidden="1">#REF!</definedName>
    <definedName name="Z_68F84ABC_5E0B_11D2_8EEE_0008C7BCAF29_.wvu.PrintArea" hidden="1">#REF!</definedName>
    <definedName name="Z_68F84ABC_5E0B_11D2_8EEE_0008C7BCAF29_.wvu.PrintTitles" localSheetId="6" hidden="1">#REF!</definedName>
    <definedName name="Z_68F84ABC_5E0B_11D2_8EEE_0008C7BCAF29_.wvu.PrintTitles" localSheetId="7" hidden="1">#REF!</definedName>
    <definedName name="Z_68F84ABC_5E0B_11D2_8EEE_0008C7BCAF29_.wvu.PrintTitles" localSheetId="3" hidden="1">#REF!</definedName>
    <definedName name="Z_68F84ABC_5E0B_11D2_8EEE_0008C7BCAF29_.wvu.PrintTitles" localSheetId="29" hidden="1">#REF!</definedName>
    <definedName name="Z_68F84ABC_5E0B_11D2_8EEE_0008C7BCAF29_.wvu.PrintTitles" hidden="1">#REF!</definedName>
    <definedName name="Z_68F84ABF_5E0B_11D2_8EEE_0008C7BCAF29_.wvu.PrintArea" localSheetId="6" hidden="1">#REF!</definedName>
    <definedName name="Z_68F84ABF_5E0B_11D2_8EEE_0008C7BCAF29_.wvu.PrintArea" localSheetId="7" hidden="1">#REF!</definedName>
    <definedName name="Z_68F84ABF_5E0B_11D2_8EEE_0008C7BCAF29_.wvu.PrintArea" localSheetId="3" hidden="1">#REF!</definedName>
    <definedName name="Z_68F84ABF_5E0B_11D2_8EEE_0008C7BCAF29_.wvu.PrintArea" localSheetId="29" hidden="1">#REF!</definedName>
    <definedName name="Z_68F84ABF_5E0B_11D2_8EEE_0008C7BCAF29_.wvu.PrintArea" hidden="1">#REF!</definedName>
    <definedName name="Z_68F84ABF_5E0B_11D2_8EEE_0008C7BCAF29_.wvu.PrintTitles" localSheetId="6" hidden="1">#REF!,#REF!</definedName>
    <definedName name="Z_68F84ABF_5E0B_11D2_8EEE_0008C7BCAF29_.wvu.PrintTitles" localSheetId="7" hidden="1">#REF!,#REF!</definedName>
    <definedName name="Z_68F84ABF_5E0B_11D2_8EEE_0008C7BCAF29_.wvu.PrintTitles" localSheetId="3" hidden="1">#REF!,#REF!</definedName>
    <definedName name="Z_68F84ABF_5E0B_11D2_8EEE_0008C7BCAF29_.wvu.PrintTitles" localSheetId="29" hidden="1">#REF!,#REF!</definedName>
    <definedName name="Z_68F84ABF_5E0B_11D2_8EEE_0008C7BCAF29_.wvu.PrintTitles" hidden="1">#REF!,#REF!</definedName>
    <definedName name="Z_68F84AC1_5E0B_11D2_8EEE_0008C7BCAF29_.wvu.PrintArea" localSheetId="6" hidden="1">#REF!</definedName>
    <definedName name="Z_68F84AC1_5E0B_11D2_8EEE_0008C7BCAF29_.wvu.PrintArea" localSheetId="7" hidden="1">#REF!</definedName>
    <definedName name="Z_68F84AC1_5E0B_11D2_8EEE_0008C7BCAF29_.wvu.PrintArea" localSheetId="3" hidden="1">#REF!</definedName>
    <definedName name="Z_68F84AC1_5E0B_11D2_8EEE_0008C7BCAF29_.wvu.PrintArea" localSheetId="29" hidden="1">#REF!</definedName>
    <definedName name="Z_68F84AC1_5E0B_11D2_8EEE_0008C7BCAF29_.wvu.PrintArea" hidden="1">#REF!</definedName>
    <definedName name="Z_68F84AC1_5E0B_11D2_8EEE_0008C7BCAF29_.wvu.PrintTitles" localSheetId="6" hidden="1">#REF!,#REF!</definedName>
    <definedName name="Z_68F84AC1_5E0B_11D2_8EEE_0008C7BCAF29_.wvu.PrintTitles" localSheetId="7" hidden="1">#REF!,#REF!</definedName>
    <definedName name="Z_68F84AC1_5E0B_11D2_8EEE_0008C7BCAF29_.wvu.PrintTitles" localSheetId="3" hidden="1">#REF!,#REF!</definedName>
    <definedName name="Z_68F84AC1_5E0B_11D2_8EEE_0008C7BCAF29_.wvu.PrintTitles" localSheetId="29" hidden="1">#REF!,#REF!</definedName>
    <definedName name="Z_68F84AC1_5E0B_11D2_8EEE_0008C7BCAF29_.wvu.PrintTitles" hidden="1">#REF!,#REF!</definedName>
    <definedName name="Z_68F84AC3_5E0B_11D2_8EEE_0008C7BCAF29_.wvu.PrintArea" localSheetId="6" hidden="1">#REF!</definedName>
    <definedName name="Z_68F84AC3_5E0B_11D2_8EEE_0008C7BCAF29_.wvu.PrintArea" localSheetId="7" hidden="1">#REF!</definedName>
    <definedName name="Z_68F84AC3_5E0B_11D2_8EEE_0008C7BCAF29_.wvu.PrintArea" localSheetId="3" hidden="1">#REF!</definedName>
    <definedName name="Z_68F84AC3_5E0B_11D2_8EEE_0008C7BCAF29_.wvu.PrintArea" localSheetId="29" hidden="1">#REF!</definedName>
    <definedName name="Z_68F84AC3_5E0B_11D2_8EEE_0008C7BCAF29_.wvu.PrintArea" hidden="1">#REF!</definedName>
    <definedName name="Z_68F84AC3_5E0B_11D2_8EEE_0008C7BCAF29_.wvu.PrintTitles" localSheetId="6" hidden="1">#REF!</definedName>
    <definedName name="Z_68F84AC3_5E0B_11D2_8EEE_0008C7BCAF29_.wvu.PrintTitles" localSheetId="7" hidden="1">#REF!</definedName>
    <definedName name="Z_68F84AC3_5E0B_11D2_8EEE_0008C7BCAF29_.wvu.PrintTitles" localSheetId="3" hidden="1">#REF!</definedName>
    <definedName name="Z_68F84AC3_5E0B_11D2_8EEE_0008C7BCAF29_.wvu.PrintTitles" localSheetId="29" hidden="1">#REF!</definedName>
    <definedName name="Z_68F84AC3_5E0B_11D2_8EEE_0008C7BCAF29_.wvu.PrintTitles" hidden="1">#REF!</definedName>
    <definedName name="Z_68F84AC6_5E0B_11D2_8EEE_0008C7BCAF29_.wvu.PrintArea" localSheetId="6" hidden="1">#REF!</definedName>
    <definedName name="Z_68F84AC6_5E0B_11D2_8EEE_0008C7BCAF29_.wvu.PrintArea" localSheetId="7" hidden="1">#REF!</definedName>
    <definedName name="Z_68F84AC6_5E0B_11D2_8EEE_0008C7BCAF29_.wvu.PrintArea" localSheetId="3" hidden="1">#REF!</definedName>
    <definedName name="Z_68F84AC6_5E0B_11D2_8EEE_0008C7BCAF29_.wvu.PrintArea" localSheetId="29" hidden="1">#REF!</definedName>
    <definedName name="Z_68F84AC6_5E0B_11D2_8EEE_0008C7BCAF29_.wvu.PrintArea" hidden="1">#REF!</definedName>
    <definedName name="Z_68F84AC6_5E0B_11D2_8EEE_0008C7BCAF29_.wvu.PrintTitles" localSheetId="6" hidden="1">#REF!,#REF!</definedName>
    <definedName name="Z_68F84AC6_5E0B_11D2_8EEE_0008C7BCAF29_.wvu.PrintTitles" localSheetId="7" hidden="1">#REF!,#REF!</definedName>
    <definedName name="Z_68F84AC6_5E0B_11D2_8EEE_0008C7BCAF29_.wvu.PrintTitles" localSheetId="3" hidden="1">#REF!,#REF!</definedName>
    <definedName name="Z_68F84AC6_5E0B_11D2_8EEE_0008C7BCAF29_.wvu.PrintTitles" localSheetId="29" hidden="1">#REF!,#REF!</definedName>
    <definedName name="Z_68F84AC6_5E0B_11D2_8EEE_0008C7BCAF29_.wvu.PrintTitles" hidden="1">#REF!,#REF!</definedName>
    <definedName name="Z_68F84AC8_5E0B_11D2_8EEE_0008C7BCAF29_.wvu.PrintArea" localSheetId="6" hidden="1">#REF!</definedName>
    <definedName name="Z_68F84AC8_5E0B_11D2_8EEE_0008C7BCAF29_.wvu.PrintArea" localSheetId="7" hidden="1">#REF!</definedName>
    <definedName name="Z_68F84AC8_5E0B_11D2_8EEE_0008C7BCAF29_.wvu.PrintArea" localSheetId="3" hidden="1">#REF!</definedName>
    <definedName name="Z_68F84AC8_5E0B_11D2_8EEE_0008C7BCAF29_.wvu.PrintArea" localSheetId="29" hidden="1">#REF!</definedName>
    <definedName name="Z_68F84AC8_5E0B_11D2_8EEE_0008C7BCAF29_.wvu.PrintArea" hidden="1">#REF!</definedName>
    <definedName name="Z_68F84AC8_5E0B_11D2_8EEE_0008C7BCAF29_.wvu.PrintTitles" localSheetId="6" hidden="1">#REF!,#REF!</definedName>
    <definedName name="Z_68F84AC8_5E0B_11D2_8EEE_0008C7BCAF29_.wvu.PrintTitles" localSheetId="7" hidden="1">#REF!,#REF!</definedName>
    <definedName name="Z_68F84AC8_5E0B_11D2_8EEE_0008C7BCAF29_.wvu.PrintTitles" localSheetId="3" hidden="1">#REF!,#REF!</definedName>
    <definedName name="Z_68F84AC8_5E0B_11D2_8EEE_0008C7BCAF29_.wvu.PrintTitles" localSheetId="29" hidden="1">#REF!,#REF!</definedName>
    <definedName name="Z_68F84AC8_5E0B_11D2_8EEE_0008C7BCAF29_.wvu.PrintTitles" hidden="1">#REF!,#REF!</definedName>
    <definedName name="Z_68F84ACE_5E0B_11D2_8EEE_0008C7BCAF29_.wvu.PrintArea" localSheetId="6" hidden="1">#REF!</definedName>
    <definedName name="Z_68F84ACE_5E0B_11D2_8EEE_0008C7BCAF29_.wvu.PrintArea" localSheetId="7" hidden="1">#REF!</definedName>
    <definedName name="Z_68F84ACE_5E0B_11D2_8EEE_0008C7BCAF29_.wvu.PrintArea" localSheetId="3" hidden="1">#REF!</definedName>
    <definedName name="Z_68F84ACE_5E0B_11D2_8EEE_0008C7BCAF29_.wvu.PrintArea" localSheetId="29" hidden="1">#REF!</definedName>
    <definedName name="Z_68F84ACE_5E0B_11D2_8EEE_0008C7BCAF29_.wvu.PrintArea" hidden="1">#REF!</definedName>
    <definedName name="Z_68F84ACE_5E0B_11D2_8EEE_0008C7BCAF29_.wvu.PrintTitles" localSheetId="6" hidden="1">#REF!</definedName>
    <definedName name="Z_68F84ACE_5E0B_11D2_8EEE_0008C7BCAF29_.wvu.PrintTitles" localSheetId="7" hidden="1">#REF!</definedName>
    <definedName name="Z_68F84ACE_5E0B_11D2_8EEE_0008C7BCAF29_.wvu.PrintTitles" localSheetId="3" hidden="1">#REF!</definedName>
    <definedName name="Z_68F84ACE_5E0B_11D2_8EEE_0008C7BCAF29_.wvu.PrintTitles" localSheetId="29" hidden="1">#REF!</definedName>
    <definedName name="Z_68F84ACE_5E0B_11D2_8EEE_0008C7BCAF29_.wvu.PrintTitles" hidden="1">#REF!</definedName>
    <definedName name="Z_68F84ADD_5E0B_11D2_8EEE_0008C7BCAF29_.wvu.PrintArea" localSheetId="6" hidden="1">#REF!</definedName>
    <definedName name="Z_68F84ADD_5E0B_11D2_8EEE_0008C7BCAF29_.wvu.PrintArea" localSheetId="7" hidden="1">#REF!</definedName>
    <definedName name="Z_68F84ADD_5E0B_11D2_8EEE_0008C7BCAF29_.wvu.PrintArea" localSheetId="3" hidden="1">#REF!</definedName>
    <definedName name="Z_68F84ADD_5E0B_11D2_8EEE_0008C7BCAF29_.wvu.PrintArea" localSheetId="29" hidden="1">#REF!</definedName>
    <definedName name="Z_68F84ADD_5E0B_11D2_8EEE_0008C7BCAF29_.wvu.PrintArea" hidden="1">#REF!</definedName>
    <definedName name="Z_68F84ADD_5E0B_11D2_8EEE_0008C7BCAF29_.wvu.PrintTitles" localSheetId="3" hidden="1">#REF!</definedName>
    <definedName name="Z_68F84ADD_5E0B_11D2_8EEE_0008C7BCAF29_.wvu.PrintTitles" hidden="1">#REF!</definedName>
    <definedName name="Z_68F84AEA_5E0B_11D2_8EEE_0008C7BCAF29_.wvu.PrintArea" localSheetId="3" hidden="1">#REF!</definedName>
    <definedName name="Z_68F84AEA_5E0B_11D2_8EEE_0008C7BCAF29_.wvu.PrintArea" hidden="1">#REF!</definedName>
    <definedName name="Z_68F84AEA_5E0B_11D2_8EEE_0008C7BCAF29_.wvu.PrintTitles" localSheetId="6" hidden="1">#REF!,#REF!</definedName>
    <definedName name="Z_68F84AEA_5E0B_11D2_8EEE_0008C7BCAF29_.wvu.PrintTitles" localSheetId="7" hidden="1">#REF!,#REF!</definedName>
    <definedName name="Z_68F84AEA_5E0B_11D2_8EEE_0008C7BCAF29_.wvu.PrintTitles" localSheetId="3" hidden="1">#REF!,#REF!</definedName>
    <definedName name="Z_68F84AEA_5E0B_11D2_8EEE_0008C7BCAF29_.wvu.PrintTitles" localSheetId="29" hidden="1">#REF!,#REF!</definedName>
    <definedName name="Z_68F84AEA_5E0B_11D2_8EEE_0008C7BCAF29_.wvu.PrintTitles" hidden="1">#REF!,#REF!</definedName>
    <definedName name="Z_68F84AF6_5E0B_11D2_8EEE_0008C7BCAF29_.wvu.PrintArea" localSheetId="6" hidden="1">#REF!</definedName>
    <definedName name="Z_68F84AF6_5E0B_11D2_8EEE_0008C7BCAF29_.wvu.PrintArea" localSheetId="7" hidden="1">#REF!</definedName>
    <definedName name="Z_68F84AF6_5E0B_11D2_8EEE_0008C7BCAF29_.wvu.PrintArea" localSheetId="3" hidden="1">#REF!</definedName>
    <definedName name="Z_68F84AF6_5E0B_11D2_8EEE_0008C7BCAF29_.wvu.PrintArea" localSheetId="29" hidden="1">#REF!</definedName>
    <definedName name="Z_68F84AF6_5E0B_11D2_8EEE_0008C7BCAF29_.wvu.PrintArea" hidden="1">#REF!</definedName>
    <definedName name="Z_68F84AF6_5E0B_11D2_8EEE_0008C7BCAF29_.wvu.PrintTitles" localSheetId="6" hidden="1">#REF!,#REF!</definedName>
    <definedName name="Z_68F84AF6_5E0B_11D2_8EEE_0008C7BCAF29_.wvu.PrintTitles" localSheetId="7" hidden="1">#REF!,#REF!</definedName>
    <definedName name="Z_68F84AF6_5E0B_11D2_8EEE_0008C7BCAF29_.wvu.PrintTitles" localSheetId="3" hidden="1">#REF!,#REF!</definedName>
    <definedName name="Z_68F84AF6_5E0B_11D2_8EEE_0008C7BCAF29_.wvu.PrintTitles" localSheetId="29" hidden="1">#REF!,#REF!</definedName>
    <definedName name="Z_68F84AF6_5E0B_11D2_8EEE_0008C7BCAF29_.wvu.PrintTitles" hidden="1">#REF!,#REF!</definedName>
    <definedName name="Z_68F84AF9_5E0B_11D2_8EEE_0008C7BCAF29_.wvu.PrintArea" localSheetId="6" hidden="1">#REF!</definedName>
    <definedName name="Z_68F84AF9_5E0B_11D2_8EEE_0008C7BCAF29_.wvu.PrintArea" localSheetId="7" hidden="1">#REF!</definedName>
    <definedName name="Z_68F84AF9_5E0B_11D2_8EEE_0008C7BCAF29_.wvu.PrintArea" localSheetId="3" hidden="1">#REF!</definedName>
    <definedName name="Z_68F84AF9_5E0B_11D2_8EEE_0008C7BCAF29_.wvu.PrintArea" localSheetId="29" hidden="1">#REF!</definedName>
    <definedName name="Z_68F84AF9_5E0B_11D2_8EEE_0008C7BCAF29_.wvu.PrintArea" hidden="1">#REF!</definedName>
    <definedName name="Z_68F84AF9_5E0B_11D2_8EEE_0008C7BCAF29_.wvu.PrintTitles" localSheetId="6" hidden="1">#REF!</definedName>
    <definedName name="Z_68F84AF9_5E0B_11D2_8EEE_0008C7BCAF29_.wvu.PrintTitles" localSheetId="7" hidden="1">#REF!</definedName>
    <definedName name="Z_68F84AF9_5E0B_11D2_8EEE_0008C7BCAF29_.wvu.PrintTitles" localSheetId="3" hidden="1">#REF!</definedName>
    <definedName name="Z_68F84AF9_5E0B_11D2_8EEE_0008C7BCAF29_.wvu.PrintTitles" localSheetId="29" hidden="1">#REF!</definedName>
    <definedName name="Z_68F84AF9_5E0B_11D2_8EEE_0008C7BCAF29_.wvu.PrintTitles" hidden="1">#REF!</definedName>
    <definedName name="Z_68F84AFE_5E0B_11D2_8EEE_0008C7BCAF29_.wvu.PrintArea" localSheetId="6" hidden="1">#REF!</definedName>
    <definedName name="Z_68F84AFE_5E0B_11D2_8EEE_0008C7BCAF29_.wvu.PrintArea" localSheetId="7" hidden="1">#REF!</definedName>
    <definedName name="Z_68F84AFE_5E0B_11D2_8EEE_0008C7BCAF29_.wvu.PrintArea" localSheetId="3" hidden="1">#REF!</definedName>
    <definedName name="Z_68F84AFE_5E0B_11D2_8EEE_0008C7BCAF29_.wvu.PrintArea" localSheetId="29" hidden="1">#REF!</definedName>
    <definedName name="Z_68F84AFE_5E0B_11D2_8EEE_0008C7BCAF29_.wvu.PrintArea" hidden="1">#REF!</definedName>
    <definedName name="Z_68F84AFE_5E0B_11D2_8EEE_0008C7BCAF29_.wvu.PrintTitles" localSheetId="6" hidden="1">#REF!,#REF!</definedName>
    <definedName name="Z_68F84AFE_5E0B_11D2_8EEE_0008C7BCAF29_.wvu.PrintTitles" localSheetId="7" hidden="1">#REF!,#REF!</definedName>
    <definedName name="Z_68F84AFE_5E0B_11D2_8EEE_0008C7BCAF29_.wvu.PrintTitles" localSheetId="3" hidden="1">#REF!,#REF!</definedName>
    <definedName name="Z_68F84AFE_5E0B_11D2_8EEE_0008C7BCAF29_.wvu.PrintTitles" localSheetId="29" hidden="1">#REF!,#REF!</definedName>
    <definedName name="Z_68F84AFE_5E0B_11D2_8EEE_0008C7BCAF29_.wvu.PrintTitles" hidden="1">#REF!,#REF!</definedName>
    <definedName name="Z_68F84B00_5E0B_11D2_8EEE_0008C7BCAF29_.wvu.PrintArea" localSheetId="6" hidden="1">#REF!</definedName>
    <definedName name="Z_68F84B00_5E0B_11D2_8EEE_0008C7BCAF29_.wvu.PrintArea" localSheetId="7" hidden="1">#REF!</definedName>
    <definedName name="Z_68F84B00_5E0B_11D2_8EEE_0008C7BCAF29_.wvu.PrintArea" localSheetId="3" hidden="1">#REF!</definedName>
    <definedName name="Z_68F84B00_5E0B_11D2_8EEE_0008C7BCAF29_.wvu.PrintArea" localSheetId="29" hidden="1">#REF!</definedName>
    <definedName name="Z_68F84B00_5E0B_11D2_8EEE_0008C7BCAF29_.wvu.PrintArea" hidden="1">#REF!</definedName>
    <definedName name="Z_68F84B00_5E0B_11D2_8EEE_0008C7BCAF29_.wvu.PrintTitles" localSheetId="6" hidden="1">#REF!,#REF!</definedName>
    <definedName name="Z_68F84B00_5E0B_11D2_8EEE_0008C7BCAF29_.wvu.PrintTitles" localSheetId="7" hidden="1">#REF!,#REF!</definedName>
    <definedName name="Z_68F84B00_5E0B_11D2_8EEE_0008C7BCAF29_.wvu.PrintTitles" localSheetId="3" hidden="1">#REF!,#REF!</definedName>
    <definedName name="Z_68F84B00_5E0B_11D2_8EEE_0008C7BCAF29_.wvu.PrintTitles" localSheetId="29" hidden="1">#REF!,#REF!</definedName>
    <definedName name="Z_68F84B00_5E0B_11D2_8EEE_0008C7BCAF29_.wvu.PrintTitles" hidden="1">#REF!,#REF!</definedName>
    <definedName name="Z_68F84B03_5E0B_11D2_8EEE_0008C7BCAF29_.wvu.PrintArea" localSheetId="6" hidden="1">#REF!</definedName>
    <definedName name="Z_68F84B03_5E0B_11D2_8EEE_0008C7BCAF29_.wvu.PrintArea" localSheetId="7" hidden="1">#REF!</definedName>
    <definedName name="Z_68F84B03_5E0B_11D2_8EEE_0008C7BCAF29_.wvu.PrintArea" localSheetId="3" hidden="1">#REF!</definedName>
    <definedName name="Z_68F84B03_5E0B_11D2_8EEE_0008C7BCAF29_.wvu.PrintArea" localSheetId="29" hidden="1">#REF!</definedName>
    <definedName name="Z_68F84B03_5E0B_11D2_8EEE_0008C7BCAF29_.wvu.PrintArea" hidden="1">#REF!</definedName>
    <definedName name="Z_68F84B03_5E0B_11D2_8EEE_0008C7BCAF29_.wvu.PrintTitles" localSheetId="6" hidden="1">#REF!</definedName>
    <definedName name="Z_68F84B03_5E0B_11D2_8EEE_0008C7BCAF29_.wvu.PrintTitles" localSheetId="7" hidden="1">#REF!</definedName>
    <definedName name="Z_68F84B03_5E0B_11D2_8EEE_0008C7BCAF29_.wvu.PrintTitles" localSheetId="3" hidden="1">#REF!</definedName>
    <definedName name="Z_68F84B03_5E0B_11D2_8EEE_0008C7BCAF29_.wvu.PrintTitles" localSheetId="29" hidden="1">#REF!</definedName>
    <definedName name="Z_68F84B03_5E0B_11D2_8EEE_0008C7BCAF29_.wvu.PrintTitles" hidden="1">#REF!</definedName>
    <definedName name="Z_68F84B08_5E0B_11D2_8EEE_0008C7BCAF29_.wvu.PrintArea" localSheetId="6" hidden="1">#REF!</definedName>
    <definedName name="Z_68F84B08_5E0B_11D2_8EEE_0008C7BCAF29_.wvu.PrintArea" localSheetId="7" hidden="1">#REF!</definedName>
    <definedName name="Z_68F84B08_5E0B_11D2_8EEE_0008C7BCAF29_.wvu.PrintArea" localSheetId="3" hidden="1">#REF!</definedName>
    <definedName name="Z_68F84B08_5E0B_11D2_8EEE_0008C7BCAF29_.wvu.PrintArea" localSheetId="29" hidden="1">#REF!</definedName>
    <definedName name="Z_68F84B08_5E0B_11D2_8EEE_0008C7BCAF29_.wvu.PrintArea" hidden="1">#REF!</definedName>
    <definedName name="Z_68F84B08_5E0B_11D2_8EEE_0008C7BCAF29_.wvu.PrintTitles" localSheetId="6" hidden="1">#REF!,#REF!</definedName>
    <definedName name="Z_68F84B08_5E0B_11D2_8EEE_0008C7BCAF29_.wvu.PrintTitles" localSheetId="7" hidden="1">#REF!,#REF!</definedName>
    <definedName name="Z_68F84B08_5E0B_11D2_8EEE_0008C7BCAF29_.wvu.PrintTitles" localSheetId="3" hidden="1">#REF!,#REF!</definedName>
    <definedName name="Z_68F84B08_5E0B_11D2_8EEE_0008C7BCAF29_.wvu.PrintTitles" localSheetId="29" hidden="1">#REF!,#REF!</definedName>
    <definedName name="Z_68F84B08_5E0B_11D2_8EEE_0008C7BCAF29_.wvu.PrintTitles" hidden="1">#REF!,#REF!</definedName>
    <definedName name="Z_68F84B0B_5E0B_11D2_8EEE_0008C7BCAF29_.wvu.PrintArea" localSheetId="6" hidden="1">#REF!</definedName>
    <definedName name="Z_68F84B0B_5E0B_11D2_8EEE_0008C7BCAF29_.wvu.PrintArea" localSheetId="7" hidden="1">#REF!</definedName>
    <definedName name="Z_68F84B0B_5E0B_11D2_8EEE_0008C7BCAF29_.wvu.PrintArea" localSheetId="3" hidden="1">#REF!</definedName>
    <definedName name="Z_68F84B0B_5E0B_11D2_8EEE_0008C7BCAF29_.wvu.PrintArea" localSheetId="29" hidden="1">#REF!</definedName>
    <definedName name="Z_68F84B0B_5E0B_11D2_8EEE_0008C7BCAF29_.wvu.PrintArea" hidden="1">#REF!</definedName>
    <definedName name="Z_68F84B0B_5E0B_11D2_8EEE_0008C7BCAF29_.wvu.PrintTitles" localSheetId="6" hidden="1">#REF!,#REF!</definedName>
    <definedName name="Z_68F84B0B_5E0B_11D2_8EEE_0008C7BCAF29_.wvu.PrintTitles" localSheetId="7" hidden="1">#REF!,#REF!</definedName>
    <definedName name="Z_68F84B0B_5E0B_11D2_8EEE_0008C7BCAF29_.wvu.PrintTitles" localSheetId="3" hidden="1">#REF!,#REF!</definedName>
    <definedName name="Z_68F84B0B_5E0B_11D2_8EEE_0008C7BCAF29_.wvu.PrintTitles" localSheetId="29" hidden="1">#REF!,#REF!</definedName>
    <definedName name="Z_68F84B0B_5E0B_11D2_8EEE_0008C7BCAF29_.wvu.PrintTitles" hidden="1">#REF!,#REF!</definedName>
    <definedName name="Z_68F84B11_5E0B_11D2_8EEE_0008C7BCAF29_.wvu.PrintArea" localSheetId="6" hidden="1">#REF!</definedName>
    <definedName name="Z_68F84B11_5E0B_11D2_8EEE_0008C7BCAF29_.wvu.PrintArea" localSheetId="7" hidden="1">#REF!</definedName>
    <definedName name="Z_68F84B11_5E0B_11D2_8EEE_0008C7BCAF29_.wvu.PrintArea" localSheetId="3" hidden="1">#REF!</definedName>
    <definedName name="Z_68F84B11_5E0B_11D2_8EEE_0008C7BCAF29_.wvu.PrintArea" localSheetId="29" hidden="1">#REF!</definedName>
    <definedName name="Z_68F84B11_5E0B_11D2_8EEE_0008C7BCAF29_.wvu.PrintArea" hidden="1">#REF!</definedName>
    <definedName name="Z_68F84B11_5E0B_11D2_8EEE_0008C7BCAF29_.wvu.PrintTitles" localSheetId="6" hidden="1">#REF!,#REF!</definedName>
    <definedName name="Z_68F84B11_5E0B_11D2_8EEE_0008C7BCAF29_.wvu.PrintTitles" localSheetId="7" hidden="1">#REF!,#REF!</definedName>
    <definedName name="Z_68F84B11_5E0B_11D2_8EEE_0008C7BCAF29_.wvu.PrintTitles" localSheetId="3" hidden="1">#REF!,#REF!</definedName>
    <definedName name="Z_68F84B11_5E0B_11D2_8EEE_0008C7BCAF29_.wvu.PrintTitles" localSheetId="29" hidden="1">#REF!,#REF!</definedName>
    <definedName name="Z_68F84B11_5E0B_11D2_8EEE_0008C7BCAF29_.wvu.PrintTitles" hidden="1">#REF!,#REF!</definedName>
    <definedName name="Z_68F84B14_5E0B_11D2_8EEE_0008C7BCAF29_.wvu.PrintArea" localSheetId="6" hidden="1">#REF!</definedName>
    <definedName name="Z_68F84B14_5E0B_11D2_8EEE_0008C7BCAF29_.wvu.PrintArea" localSheetId="7" hidden="1">#REF!</definedName>
    <definedName name="Z_68F84B14_5E0B_11D2_8EEE_0008C7BCAF29_.wvu.PrintArea" localSheetId="3" hidden="1">#REF!</definedName>
    <definedName name="Z_68F84B14_5E0B_11D2_8EEE_0008C7BCAF29_.wvu.PrintArea" localSheetId="29" hidden="1">#REF!</definedName>
    <definedName name="Z_68F84B14_5E0B_11D2_8EEE_0008C7BCAF29_.wvu.PrintArea" hidden="1">#REF!</definedName>
    <definedName name="Z_68F84B14_5E0B_11D2_8EEE_0008C7BCAF29_.wvu.PrintTitles" localSheetId="6" hidden="1">#REF!</definedName>
    <definedName name="Z_68F84B14_5E0B_11D2_8EEE_0008C7BCAF29_.wvu.PrintTitles" localSheetId="7" hidden="1">#REF!</definedName>
    <definedName name="Z_68F84B14_5E0B_11D2_8EEE_0008C7BCAF29_.wvu.PrintTitles" localSheetId="3" hidden="1">#REF!</definedName>
    <definedName name="Z_68F84B14_5E0B_11D2_8EEE_0008C7BCAF29_.wvu.PrintTitles" localSheetId="29" hidden="1">#REF!</definedName>
    <definedName name="Z_68F84B14_5E0B_11D2_8EEE_0008C7BCAF29_.wvu.PrintTitles" hidden="1">#REF!</definedName>
    <definedName name="Z_68F84B19_5E0B_11D2_8EEE_0008C7BCAF29_.wvu.PrintArea" localSheetId="6" hidden="1">#REF!</definedName>
    <definedName name="Z_68F84B19_5E0B_11D2_8EEE_0008C7BCAF29_.wvu.PrintArea" localSheetId="7" hidden="1">#REF!</definedName>
    <definedName name="Z_68F84B19_5E0B_11D2_8EEE_0008C7BCAF29_.wvu.PrintArea" localSheetId="3" hidden="1">#REF!</definedName>
    <definedName name="Z_68F84B19_5E0B_11D2_8EEE_0008C7BCAF29_.wvu.PrintArea" localSheetId="29" hidden="1">#REF!</definedName>
    <definedName name="Z_68F84B19_5E0B_11D2_8EEE_0008C7BCAF29_.wvu.PrintArea" hidden="1">#REF!</definedName>
    <definedName name="Z_68F84B19_5E0B_11D2_8EEE_0008C7BCAF29_.wvu.PrintTitles" localSheetId="6" hidden="1">#REF!,#REF!</definedName>
    <definedName name="Z_68F84B19_5E0B_11D2_8EEE_0008C7BCAF29_.wvu.PrintTitles" localSheetId="7" hidden="1">#REF!,#REF!</definedName>
    <definedName name="Z_68F84B19_5E0B_11D2_8EEE_0008C7BCAF29_.wvu.PrintTitles" localSheetId="3" hidden="1">#REF!,#REF!</definedName>
    <definedName name="Z_68F84B19_5E0B_11D2_8EEE_0008C7BCAF29_.wvu.PrintTitles" localSheetId="29" hidden="1">#REF!,#REF!</definedName>
    <definedName name="Z_68F84B19_5E0B_11D2_8EEE_0008C7BCAF29_.wvu.PrintTitles" hidden="1">#REF!,#REF!</definedName>
    <definedName name="Z_68F84B1B_5E0B_11D2_8EEE_0008C7BCAF29_.wvu.PrintArea" localSheetId="6" hidden="1">#REF!</definedName>
    <definedName name="Z_68F84B1B_5E0B_11D2_8EEE_0008C7BCAF29_.wvu.PrintArea" localSheetId="7" hidden="1">#REF!</definedName>
    <definedName name="Z_68F84B1B_5E0B_11D2_8EEE_0008C7BCAF29_.wvu.PrintArea" localSheetId="3" hidden="1">#REF!</definedName>
    <definedName name="Z_68F84B1B_5E0B_11D2_8EEE_0008C7BCAF29_.wvu.PrintArea" localSheetId="29" hidden="1">#REF!</definedName>
    <definedName name="Z_68F84B1B_5E0B_11D2_8EEE_0008C7BCAF29_.wvu.PrintArea" hidden="1">#REF!</definedName>
    <definedName name="Z_68F84B1B_5E0B_11D2_8EEE_0008C7BCAF29_.wvu.PrintTitles" localSheetId="6" hidden="1">#REF!,#REF!</definedName>
    <definedName name="Z_68F84B1B_5E0B_11D2_8EEE_0008C7BCAF29_.wvu.PrintTitles" localSheetId="7" hidden="1">#REF!,#REF!</definedName>
    <definedName name="Z_68F84B1B_5E0B_11D2_8EEE_0008C7BCAF29_.wvu.PrintTitles" localSheetId="3" hidden="1">#REF!,#REF!</definedName>
    <definedName name="Z_68F84B1B_5E0B_11D2_8EEE_0008C7BCAF29_.wvu.PrintTitles" localSheetId="29" hidden="1">#REF!,#REF!</definedName>
    <definedName name="Z_68F84B1B_5E0B_11D2_8EEE_0008C7BCAF29_.wvu.PrintTitles" hidden="1">#REF!,#REF!</definedName>
    <definedName name="Z_68F84B1E_5E0B_11D2_8EEE_0008C7BCAF29_.wvu.PrintArea" localSheetId="6" hidden="1">#REF!</definedName>
    <definedName name="Z_68F84B1E_5E0B_11D2_8EEE_0008C7BCAF29_.wvu.PrintArea" localSheetId="7" hidden="1">#REF!</definedName>
    <definedName name="Z_68F84B1E_5E0B_11D2_8EEE_0008C7BCAF29_.wvu.PrintArea" localSheetId="3" hidden="1">#REF!</definedName>
    <definedName name="Z_68F84B1E_5E0B_11D2_8EEE_0008C7BCAF29_.wvu.PrintArea" localSheetId="29" hidden="1">#REF!</definedName>
    <definedName name="Z_68F84B1E_5E0B_11D2_8EEE_0008C7BCAF29_.wvu.PrintArea" hidden="1">#REF!</definedName>
    <definedName name="Z_68F84B1E_5E0B_11D2_8EEE_0008C7BCAF29_.wvu.PrintTitles" localSheetId="6" hidden="1">#REF!</definedName>
    <definedName name="Z_68F84B1E_5E0B_11D2_8EEE_0008C7BCAF29_.wvu.PrintTitles" localSheetId="7" hidden="1">#REF!</definedName>
    <definedName name="Z_68F84B1E_5E0B_11D2_8EEE_0008C7BCAF29_.wvu.PrintTitles" localSheetId="3" hidden="1">#REF!</definedName>
    <definedName name="Z_68F84B1E_5E0B_11D2_8EEE_0008C7BCAF29_.wvu.PrintTitles" localSheetId="29" hidden="1">#REF!</definedName>
    <definedName name="Z_68F84B1E_5E0B_11D2_8EEE_0008C7BCAF29_.wvu.PrintTitles" hidden="1">#REF!</definedName>
    <definedName name="Z_68F84B23_5E0B_11D2_8EEE_0008C7BCAF29_.wvu.PrintArea" localSheetId="6" hidden="1">#REF!</definedName>
    <definedName name="Z_68F84B23_5E0B_11D2_8EEE_0008C7BCAF29_.wvu.PrintArea" localSheetId="7" hidden="1">#REF!</definedName>
    <definedName name="Z_68F84B23_5E0B_11D2_8EEE_0008C7BCAF29_.wvu.PrintArea" localSheetId="3" hidden="1">#REF!</definedName>
    <definedName name="Z_68F84B23_5E0B_11D2_8EEE_0008C7BCAF29_.wvu.PrintArea" localSheetId="29" hidden="1">#REF!</definedName>
    <definedName name="Z_68F84B23_5E0B_11D2_8EEE_0008C7BCAF29_.wvu.PrintArea" hidden="1">#REF!</definedName>
    <definedName name="Z_68F84B23_5E0B_11D2_8EEE_0008C7BCAF29_.wvu.PrintTitles" localSheetId="6" hidden="1">#REF!,#REF!</definedName>
    <definedName name="Z_68F84B23_5E0B_11D2_8EEE_0008C7BCAF29_.wvu.PrintTitles" localSheetId="7" hidden="1">#REF!,#REF!</definedName>
    <definedName name="Z_68F84B23_5E0B_11D2_8EEE_0008C7BCAF29_.wvu.PrintTitles" localSheetId="3" hidden="1">#REF!,#REF!</definedName>
    <definedName name="Z_68F84B23_5E0B_11D2_8EEE_0008C7BCAF29_.wvu.PrintTitles" localSheetId="29" hidden="1">#REF!,#REF!</definedName>
    <definedName name="Z_68F84B23_5E0B_11D2_8EEE_0008C7BCAF29_.wvu.PrintTitles" hidden="1">#REF!,#REF!</definedName>
    <definedName name="Z_68F84B26_5E0B_11D2_8EEE_0008C7BCAF29_.wvu.PrintArea" localSheetId="6" hidden="1">#REF!</definedName>
    <definedName name="Z_68F84B26_5E0B_11D2_8EEE_0008C7BCAF29_.wvu.PrintArea" localSheetId="7" hidden="1">#REF!</definedName>
    <definedName name="Z_68F84B26_5E0B_11D2_8EEE_0008C7BCAF29_.wvu.PrintArea" localSheetId="3" hidden="1">#REF!</definedName>
    <definedName name="Z_68F84B26_5E0B_11D2_8EEE_0008C7BCAF29_.wvu.PrintArea" localSheetId="29" hidden="1">#REF!</definedName>
    <definedName name="Z_68F84B26_5E0B_11D2_8EEE_0008C7BCAF29_.wvu.PrintArea" hidden="1">#REF!</definedName>
    <definedName name="Z_68F84B26_5E0B_11D2_8EEE_0008C7BCAF29_.wvu.PrintTitles" localSheetId="6" hidden="1">#REF!,#REF!</definedName>
    <definedName name="Z_68F84B26_5E0B_11D2_8EEE_0008C7BCAF29_.wvu.PrintTitles" localSheetId="7" hidden="1">#REF!,#REF!</definedName>
    <definedName name="Z_68F84B26_5E0B_11D2_8EEE_0008C7BCAF29_.wvu.PrintTitles" localSheetId="3" hidden="1">#REF!,#REF!</definedName>
    <definedName name="Z_68F84B26_5E0B_11D2_8EEE_0008C7BCAF29_.wvu.PrintTitles" localSheetId="29" hidden="1">#REF!,#REF!</definedName>
    <definedName name="Z_68F84B26_5E0B_11D2_8EEE_0008C7BCAF29_.wvu.PrintTitles" hidden="1">#REF!,#REF!</definedName>
    <definedName name="Z_76FBE7D5_5EAD_11D2_8EEF_0008C7BCAF29_.wvu.PrintArea" localSheetId="6" hidden="1">#REF!</definedName>
    <definedName name="Z_76FBE7D5_5EAD_11D2_8EEF_0008C7BCAF29_.wvu.PrintArea" localSheetId="7" hidden="1">#REF!</definedName>
    <definedName name="Z_76FBE7D5_5EAD_11D2_8EEF_0008C7BCAF29_.wvu.PrintArea" localSheetId="3" hidden="1">#REF!</definedName>
    <definedName name="Z_76FBE7D5_5EAD_11D2_8EEF_0008C7BCAF29_.wvu.PrintArea" localSheetId="29" hidden="1">#REF!</definedName>
    <definedName name="Z_76FBE7D5_5EAD_11D2_8EEF_0008C7BCAF29_.wvu.PrintArea" hidden="1">#REF!</definedName>
    <definedName name="Z_76FBE7D5_5EAD_11D2_8EEF_0008C7BCAF29_.wvu.PrintTitles" localSheetId="6" hidden="1">#REF!,#REF!</definedName>
    <definedName name="Z_76FBE7D5_5EAD_11D2_8EEF_0008C7BCAF29_.wvu.PrintTitles" localSheetId="7" hidden="1">#REF!,#REF!</definedName>
    <definedName name="Z_76FBE7D5_5EAD_11D2_8EEF_0008C7BCAF29_.wvu.PrintTitles" localSheetId="3" hidden="1">#REF!,#REF!</definedName>
    <definedName name="Z_76FBE7D5_5EAD_11D2_8EEF_0008C7BCAF29_.wvu.PrintTitles" localSheetId="29" hidden="1">#REF!,#REF!</definedName>
    <definedName name="Z_76FBE7D5_5EAD_11D2_8EEF_0008C7BCAF29_.wvu.PrintTitles" hidden="1">#REF!,#REF!</definedName>
    <definedName name="Z_76FBE7D7_5EAD_11D2_8EEF_0008C7BCAF29_.wvu.PrintArea" localSheetId="6" hidden="1">#REF!</definedName>
    <definedName name="Z_76FBE7D7_5EAD_11D2_8EEF_0008C7BCAF29_.wvu.PrintArea" localSheetId="7" hidden="1">#REF!</definedName>
    <definedName name="Z_76FBE7D7_5EAD_11D2_8EEF_0008C7BCAF29_.wvu.PrintArea" localSheetId="3" hidden="1">#REF!</definedName>
    <definedName name="Z_76FBE7D7_5EAD_11D2_8EEF_0008C7BCAF29_.wvu.PrintArea" localSheetId="29" hidden="1">#REF!</definedName>
    <definedName name="Z_76FBE7D7_5EAD_11D2_8EEF_0008C7BCAF29_.wvu.PrintArea" hidden="1">#REF!</definedName>
    <definedName name="Z_76FBE7D7_5EAD_11D2_8EEF_0008C7BCAF29_.wvu.PrintTitles" localSheetId="6" hidden="1">#REF!</definedName>
    <definedName name="Z_76FBE7D7_5EAD_11D2_8EEF_0008C7BCAF29_.wvu.PrintTitles" localSheetId="7" hidden="1">#REF!</definedName>
    <definedName name="Z_76FBE7D7_5EAD_11D2_8EEF_0008C7BCAF29_.wvu.PrintTitles" localSheetId="3" hidden="1">#REF!</definedName>
    <definedName name="Z_76FBE7D7_5EAD_11D2_8EEF_0008C7BCAF29_.wvu.PrintTitles" localSheetId="29" hidden="1">#REF!</definedName>
    <definedName name="Z_76FBE7D7_5EAD_11D2_8EEF_0008C7BCAF29_.wvu.PrintTitles" hidden="1">#REF!</definedName>
    <definedName name="Z_76FBE7DA_5EAD_11D2_8EEF_0008C7BCAF29_.wvu.PrintArea" localSheetId="6" hidden="1">#REF!</definedName>
    <definedName name="Z_76FBE7DA_5EAD_11D2_8EEF_0008C7BCAF29_.wvu.PrintArea" localSheetId="7" hidden="1">#REF!</definedName>
    <definedName name="Z_76FBE7DA_5EAD_11D2_8EEF_0008C7BCAF29_.wvu.PrintArea" localSheetId="3" hidden="1">#REF!</definedName>
    <definedName name="Z_76FBE7DA_5EAD_11D2_8EEF_0008C7BCAF29_.wvu.PrintArea" localSheetId="29" hidden="1">#REF!</definedName>
    <definedName name="Z_76FBE7DA_5EAD_11D2_8EEF_0008C7BCAF29_.wvu.PrintArea" hidden="1">#REF!</definedName>
    <definedName name="Z_76FBE7DA_5EAD_11D2_8EEF_0008C7BCAF29_.wvu.PrintTitles" localSheetId="6" hidden="1">#REF!,#REF!</definedName>
    <definedName name="Z_76FBE7DA_5EAD_11D2_8EEF_0008C7BCAF29_.wvu.PrintTitles" localSheetId="7" hidden="1">#REF!,#REF!</definedName>
    <definedName name="Z_76FBE7DA_5EAD_11D2_8EEF_0008C7BCAF29_.wvu.PrintTitles" localSheetId="3" hidden="1">#REF!,#REF!</definedName>
    <definedName name="Z_76FBE7DA_5EAD_11D2_8EEF_0008C7BCAF29_.wvu.PrintTitles" localSheetId="29" hidden="1">#REF!,#REF!</definedName>
    <definedName name="Z_76FBE7DA_5EAD_11D2_8EEF_0008C7BCAF29_.wvu.PrintTitles" hidden="1">#REF!,#REF!</definedName>
    <definedName name="Z_76FBE7DC_5EAD_11D2_8EEF_0008C7BCAF29_.wvu.PrintArea" localSheetId="6" hidden="1">#REF!</definedName>
    <definedName name="Z_76FBE7DC_5EAD_11D2_8EEF_0008C7BCAF29_.wvu.PrintArea" localSheetId="7" hidden="1">#REF!</definedName>
    <definedName name="Z_76FBE7DC_5EAD_11D2_8EEF_0008C7BCAF29_.wvu.PrintArea" localSheetId="3" hidden="1">#REF!</definedName>
    <definedName name="Z_76FBE7DC_5EAD_11D2_8EEF_0008C7BCAF29_.wvu.PrintArea" localSheetId="29" hidden="1">#REF!</definedName>
    <definedName name="Z_76FBE7DC_5EAD_11D2_8EEF_0008C7BCAF29_.wvu.PrintArea" hidden="1">#REF!</definedName>
    <definedName name="Z_76FBE7DC_5EAD_11D2_8EEF_0008C7BCAF29_.wvu.PrintTitles" localSheetId="6" hidden="1">#REF!,#REF!</definedName>
    <definedName name="Z_76FBE7DC_5EAD_11D2_8EEF_0008C7BCAF29_.wvu.PrintTitles" localSheetId="7" hidden="1">#REF!,#REF!</definedName>
    <definedName name="Z_76FBE7DC_5EAD_11D2_8EEF_0008C7BCAF29_.wvu.PrintTitles" localSheetId="3" hidden="1">#REF!,#REF!</definedName>
    <definedName name="Z_76FBE7DC_5EAD_11D2_8EEF_0008C7BCAF29_.wvu.PrintTitles" localSheetId="29" hidden="1">#REF!,#REF!</definedName>
    <definedName name="Z_76FBE7DC_5EAD_11D2_8EEF_0008C7BCAF29_.wvu.PrintTitles" hidden="1">#REF!,#REF!</definedName>
    <definedName name="Z_76FBE7DE_5EAD_11D2_8EEF_0008C7BCAF29_.wvu.PrintArea" localSheetId="6" hidden="1">#REF!</definedName>
    <definedName name="Z_76FBE7DE_5EAD_11D2_8EEF_0008C7BCAF29_.wvu.PrintArea" localSheetId="7" hidden="1">#REF!</definedName>
    <definedName name="Z_76FBE7DE_5EAD_11D2_8EEF_0008C7BCAF29_.wvu.PrintArea" localSheetId="3" hidden="1">#REF!</definedName>
    <definedName name="Z_76FBE7DE_5EAD_11D2_8EEF_0008C7BCAF29_.wvu.PrintArea" localSheetId="29" hidden="1">#REF!</definedName>
    <definedName name="Z_76FBE7DE_5EAD_11D2_8EEF_0008C7BCAF29_.wvu.PrintArea" hidden="1">#REF!</definedName>
    <definedName name="Z_76FBE7DE_5EAD_11D2_8EEF_0008C7BCAF29_.wvu.PrintTitles" localSheetId="6" hidden="1">#REF!</definedName>
    <definedName name="Z_76FBE7DE_5EAD_11D2_8EEF_0008C7BCAF29_.wvu.PrintTitles" localSheetId="7" hidden="1">#REF!</definedName>
    <definedName name="Z_76FBE7DE_5EAD_11D2_8EEF_0008C7BCAF29_.wvu.PrintTitles" localSheetId="3" hidden="1">#REF!</definedName>
    <definedName name="Z_76FBE7DE_5EAD_11D2_8EEF_0008C7BCAF29_.wvu.PrintTitles" localSheetId="29" hidden="1">#REF!</definedName>
    <definedName name="Z_76FBE7DE_5EAD_11D2_8EEF_0008C7BCAF29_.wvu.PrintTitles" hidden="1">#REF!</definedName>
    <definedName name="Z_76FBE7E1_5EAD_11D2_8EEF_0008C7BCAF29_.wvu.PrintArea" localSheetId="6" hidden="1">#REF!</definedName>
    <definedName name="Z_76FBE7E1_5EAD_11D2_8EEF_0008C7BCAF29_.wvu.PrintArea" localSheetId="7" hidden="1">#REF!</definedName>
    <definedName name="Z_76FBE7E1_5EAD_11D2_8EEF_0008C7BCAF29_.wvu.PrintArea" localSheetId="3" hidden="1">#REF!</definedName>
    <definedName name="Z_76FBE7E1_5EAD_11D2_8EEF_0008C7BCAF29_.wvu.PrintArea" localSheetId="29" hidden="1">#REF!</definedName>
    <definedName name="Z_76FBE7E1_5EAD_11D2_8EEF_0008C7BCAF29_.wvu.PrintArea" hidden="1">#REF!</definedName>
    <definedName name="Z_76FBE7E1_5EAD_11D2_8EEF_0008C7BCAF29_.wvu.PrintTitles" localSheetId="6" hidden="1">#REF!,#REF!</definedName>
    <definedName name="Z_76FBE7E1_5EAD_11D2_8EEF_0008C7BCAF29_.wvu.PrintTitles" localSheetId="7" hidden="1">#REF!,#REF!</definedName>
    <definedName name="Z_76FBE7E1_5EAD_11D2_8EEF_0008C7BCAF29_.wvu.PrintTitles" localSheetId="3" hidden="1">#REF!,#REF!</definedName>
    <definedName name="Z_76FBE7E1_5EAD_11D2_8EEF_0008C7BCAF29_.wvu.PrintTitles" localSheetId="29" hidden="1">#REF!,#REF!</definedName>
    <definedName name="Z_76FBE7E1_5EAD_11D2_8EEF_0008C7BCAF29_.wvu.PrintTitles" hidden="1">#REF!,#REF!</definedName>
    <definedName name="Z_76FBE7E3_5EAD_11D2_8EEF_0008C7BCAF29_.wvu.PrintArea" localSheetId="6" hidden="1">#REF!</definedName>
    <definedName name="Z_76FBE7E3_5EAD_11D2_8EEF_0008C7BCAF29_.wvu.PrintArea" localSheetId="7" hidden="1">#REF!</definedName>
    <definedName name="Z_76FBE7E3_5EAD_11D2_8EEF_0008C7BCAF29_.wvu.PrintArea" localSheetId="3" hidden="1">#REF!</definedName>
    <definedName name="Z_76FBE7E3_5EAD_11D2_8EEF_0008C7BCAF29_.wvu.PrintArea" localSheetId="29" hidden="1">#REF!</definedName>
    <definedName name="Z_76FBE7E3_5EAD_11D2_8EEF_0008C7BCAF29_.wvu.PrintArea" hidden="1">#REF!</definedName>
    <definedName name="Z_76FBE7E3_5EAD_11D2_8EEF_0008C7BCAF29_.wvu.PrintTitles" localSheetId="6" hidden="1">#REF!,#REF!</definedName>
    <definedName name="Z_76FBE7E3_5EAD_11D2_8EEF_0008C7BCAF29_.wvu.PrintTitles" localSheetId="7" hidden="1">#REF!,#REF!</definedName>
    <definedName name="Z_76FBE7E3_5EAD_11D2_8EEF_0008C7BCAF29_.wvu.PrintTitles" localSheetId="3" hidden="1">#REF!,#REF!</definedName>
    <definedName name="Z_76FBE7E3_5EAD_11D2_8EEF_0008C7BCAF29_.wvu.PrintTitles" localSheetId="29" hidden="1">#REF!,#REF!</definedName>
    <definedName name="Z_76FBE7E3_5EAD_11D2_8EEF_0008C7BCAF29_.wvu.PrintTitles" hidden="1">#REF!,#REF!</definedName>
    <definedName name="Z_974EFDB0_1051_11D2_8E71_0008C77C0743_.wvu.PrintArea" localSheetId="6" hidden="1">#REF!</definedName>
    <definedName name="Z_974EFDB0_1051_11D2_8E71_0008C77C0743_.wvu.PrintArea" localSheetId="7" hidden="1">#REF!</definedName>
    <definedName name="Z_974EFDB0_1051_11D2_8E71_0008C77C0743_.wvu.PrintArea" localSheetId="3" hidden="1">#REF!</definedName>
    <definedName name="Z_974EFDB0_1051_11D2_8E71_0008C77C0743_.wvu.PrintArea" localSheetId="29" hidden="1">#REF!</definedName>
    <definedName name="Z_974EFDB0_1051_11D2_8E71_0008C77C0743_.wvu.PrintArea" hidden="1">#REF!</definedName>
    <definedName name="Z_974EFDB0_1051_11D2_8E71_0008C77C0743_.wvu.PrintTitles" localSheetId="6" hidden="1">#REF!,#REF!</definedName>
    <definedName name="Z_974EFDB0_1051_11D2_8E71_0008C77C0743_.wvu.PrintTitles" localSheetId="7" hidden="1">#REF!,#REF!</definedName>
    <definedName name="Z_974EFDB0_1051_11D2_8E71_0008C77C0743_.wvu.PrintTitles" localSheetId="3" hidden="1">#REF!,#REF!</definedName>
    <definedName name="Z_974EFDB0_1051_11D2_8E71_0008C77C0743_.wvu.PrintTitles" localSheetId="29" hidden="1">#REF!,#REF!</definedName>
    <definedName name="Z_974EFDB0_1051_11D2_8E71_0008C77C0743_.wvu.PrintTitles" hidden="1">#REF!,#REF!</definedName>
    <definedName name="Z_974EFDB2_1051_11D2_8E71_0008C77C0743_.wvu.PrintArea" localSheetId="6" hidden="1">#REF!</definedName>
    <definedName name="Z_974EFDB2_1051_11D2_8E71_0008C77C0743_.wvu.PrintArea" localSheetId="7" hidden="1">#REF!</definedName>
    <definedName name="Z_974EFDB2_1051_11D2_8E71_0008C77C0743_.wvu.PrintArea" localSheetId="3" hidden="1">#REF!</definedName>
    <definedName name="Z_974EFDB2_1051_11D2_8E71_0008C77C0743_.wvu.PrintArea" localSheetId="29" hidden="1">#REF!</definedName>
    <definedName name="Z_974EFDB2_1051_11D2_8E71_0008C77C0743_.wvu.PrintArea" hidden="1">#REF!</definedName>
    <definedName name="Z_974EFDB2_1051_11D2_8E71_0008C77C0743_.wvu.PrintTitles" localSheetId="6" hidden="1">#REF!</definedName>
    <definedName name="Z_974EFDB2_1051_11D2_8E71_0008C77C0743_.wvu.PrintTitles" localSheetId="7" hidden="1">#REF!</definedName>
    <definedName name="Z_974EFDB2_1051_11D2_8E71_0008C77C0743_.wvu.PrintTitles" localSheetId="3" hidden="1">#REF!</definedName>
    <definedName name="Z_974EFDB2_1051_11D2_8E71_0008C77C0743_.wvu.PrintTitles" localSheetId="29" hidden="1">#REF!</definedName>
    <definedName name="Z_974EFDB2_1051_11D2_8E71_0008C77C0743_.wvu.PrintTitles" hidden="1">#REF!</definedName>
    <definedName name="Z_974EFDB5_1051_11D2_8E71_0008C77C0743_.wvu.PrintArea" localSheetId="6" hidden="1">#REF!</definedName>
    <definedName name="Z_974EFDB5_1051_11D2_8E71_0008C77C0743_.wvu.PrintArea" localSheetId="7" hidden="1">#REF!</definedName>
    <definedName name="Z_974EFDB5_1051_11D2_8E71_0008C77C0743_.wvu.PrintArea" localSheetId="3" hidden="1">#REF!</definedName>
    <definedName name="Z_974EFDB5_1051_11D2_8E71_0008C77C0743_.wvu.PrintArea" localSheetId="29" hidden="1">#REF!</definedName>
    <definedName name="Z_974EFDB5_1051_11D2_8E71_0008C77C0743_.wvu.PrintArea" hidden="1">#REF!</definedName>
    <definedName name="Z_974EFDB5_1051_11D2_8E71_0008C77C0743_.wvu.PrintTitles" localSheetId="6" hidden="1">#REF!,#REF!</definedName>
    <definedName name="Z_974EFDB5_1051_11D2_8E71_0008C77C0743_.wvu.PrintTitles" localSheetId="7" hidden="1">#REF!,#REF!</definedName>
    <definedName name="Z_974EFDB5_1051_11D2_8E71_0008C77C0743_.wvu.PrintTitles" localSheetId="3" hidden="1">#REF!,#REF!</definedName>
    <definedName name="Z_974EFDB5_1051_11D2_8E71_0008C77C0743_.wvu.PrintTitles" localSheetId="29" hidden="1">#REF!,#REF!</definedName>
    <definedName name="Z_974EFDB5_1051_11D2_8E71_0008C77C0743_.wvu.PrintTitles" hidden="1">#REF!,#REF!</definedName>
    <definedName name="Z_974EFDB7_1051_11D2_8E71_0008C77C0743_.wvu.PrintArea" localSheetId="6" hidden="1">#REF!</definedName>
    <definedName name="Z_974EFDB7_1051_11D2_8E71_0008C77C0743_.wvu.PrintArea" localSheetId="7" hidden="1">#REF!</definedName>
    <definedName name="Z_974EFDB7_1051_11D2_8E71_0008C77C0743_.wvu.PrintArea" localSheetId="3" hidden="1">#REF!</definedName>
    <definedName name="Z_974EFDB7_1051_11D2_8E71_0008C77C0743_.wvu.PrintArea" localSheetId="29" hidden="1">#REF!</definedName>
    <definedName name="Z_974EFDB7_1051_11D2_8E71_0008C77C0743_.wvu.PrintArea" hidden="1">#REF!</definedName>
    <definedName name="Z_974EFDB7_1051_11D2_8E71_0008C77C0743_.wvu.PrintTitles" localSheetId="6" hidden="1">#REF!,#REF!</definedName>
    <definedName name="Z_974EFDB7_1051_11D2_8E71_0008C77C0743_.wvu.PrintTitles" localSheetId="7" hidden="1">#REF!,#REF!</definedName>
    <definedName name="Z_974EFDB7_1051_11D2_8E71_0008C77C0743_.wvu.PrintTitles" localSheetId="3" hidden="1">#REF!,#REF!</definedName>
    <definedName name="Z_974EFDB7_1051_11D2_8E71_0008C77C0743_.wvu.PrintTitles" localSheetId="29" hidden="1">#REF!,#REF!</definedName>
    <definedName name="Z_974EFDB7_1051_11D2_8E71_0008C77C0743_.wvu.PrintTitles" hidden="1">#REF!,#REF!</definedName>
    <definedName name="Z_974EFDB9_1051_11D2_8E71_0008C77C0743_.wvu.PrintArea" localSheetId="6" hidden="1">#REF!</definedName>
    <definedName name="Z_974EFDB9_1051_11D2_8E71_0008C77C0743_.wvu.PrintArea" localSheetId="7" hidden="1">#REF!</definedName>
    <definedName name="Z_974EFDB9_1051_11D2_8E71_0008C77C0743_.wvu.PrintArea" localSheetId="3" hidden="1">#REF!</definedName>
    <definedName name="Z_974EFDB9_1051_11D2_8E71_0008C77C0743_.wvu.PrintArea" localSheetId="29" hidden="1">#REF!</definedName>
    <definedName name="Z_974EFDB9_1051_11D2_8E71_0008C77C0743_.wvu.PrintArea" hidden="1">#REF!</definedName>
    <definedName name="Z_974EFDB9_1051_11D2_8E71_0008C77C0743_.wvu.PrintTitles" localSheetId="6" hidden="1">#REF!</definedName>
    <definedName name="Z_974EFDB9_1051_11D2_8E71_0008C77C0743_.wvu.PrintTitles" localSheetId="7" hidden="1">#REF!</definedName>
    <definedName name="Z_974EFDB9_1051_11D2_8E71_0008C77C0743_.wvu.PrintTitles" localSheetId="3" hidden="1">#REF!</definedName>
    <definedName name="Z_974EFDB9_1051_11D2_8E71_0008C77C0743_.wvu.PrintTitles" localSheetId="29" hidden="1">#REF!</definedName>
    <definedName name="Z_974EFDB9_1051_11D2_8E71_0008C77C0743_.wvu.PrintTitles" hidden="1">#REF!</definedName>
    <definedName name="Z_974EFDBC_1051_11D2_8E71_0008C77C0743_.wvu.PrintArea" localSheetId="6" hidden="1">#REF!</definedName>
    <definedName name="Z_974EFDBC_1051_11D2_8E71_0008C77C0743_.wvu.PrintArea" localSheetId="7" hidden="1">#REF!</definedName>
    <definedName name="Z_974EFDBC_1051_11D2_8E71_0008C77C0743_.wvu.PrintArea" localSheetId="3" hidden="1">#REF!</definedName>
    <definedName name="Z_974EFDBC_1051_11D2_8E71_0008C77C0743_.wvu.PrintArea" localSheetId="29" hidden="1">#REF!</definedName>
    <definedName name="Z_974EFDBC_1051_11D2_8E71_0008C77C0743_.wvu.PrintArea" hidden="1">#REF!</definedName>
    <definedName name="Z_974EFDBC_1051_11D2_8E71_0008C77C0743_.wvu.PrintTitles" localSheetId="6" hidden="1">#REF!,#REF!</definedName>
    <definedName name="Z_974EFDBC_1051_11D2_8E71_0008C77C0743_.wvu.PrintTitles" localSheetId="7" hidden="1">#REF!,#REF!</definedName>
    <definedName name="Z_974EFDBC_1051_11D2_8E71_0008C77C0743_.wvu.PrintTitles" localSheetId="3" hidden="1">#REF!,#REF!</definedName>
    <definedName name="Z_974EFDBC_1051_11D2_8E71_0008C77C0743_.wvu.PrintTitles" localSheetId="29" hidden="1">#REF!,#REF!</definedName>
    <definedName name="Z_974EFDBC_1051_11D2_8E71_0008C77C0743_.wvu.PrintTitles" hidden="1">#REF!,#REF!</definedName>
    <definedName name="Z_974EFDBE_1051_11D2_8E71_0008C77C0743_.wvu.PrintArea" localSheetId="6" hidden="1">#REF!</definedName>
    <definedName name="Z_974EFDBE_1051_11D2_8E71_0008C77C0743_.wvu.PrintArea" localSheetId="7" hidden="1">#REF!</definedName>
    <definedName name="Z_974EFDBE_1051_11D2_8E71_0008C77C0743_.wvu.PrintArea" localSheetId="3" hidden="1">#REF!</definedName>
    <definedName name="Z_974EFDBE_1051_11D2_8E71_0008C77C0743_.wvu.PrintArea" localSheetId="29" hidden="1">#REF!</definedName>
    <definedName name="Z_974EFDBE_1051_11D2_8E71_0008C77C0743_.wvu.PrintArea" hidden="1">#REF!</definedName>
    <definedName name="Z_974EFDBE_1051_11D2_8E71_0008C77C0743_.wvu.PrintTitles" localSheetId="6" hidden="1">#REF!,#REF!</definedName>
    <definedName name="Z_974EFDBE_1051_11D2_8E71_0008C77C0743_.wvu.PrintTitles" localSheetId="7" hidden="1">#REF!,#REF!</definedName>
    <definedName name="Z_974EFDBE_1051_11D2_8E71_0008C77C0743_.wvu.PrintTitles" localSheetId="3" hidden="1">#REF!,#REF!</definedName>
    <definedName name="Z_974EFDBE_1051_11D2_8E71_0008C77C0743_.wvu.PrintTitles" localSheetId="29" hidden="1">#REF!,#REF!</definedName>
    <definedName name="Z_974EFDBE_1051_11D2_8E71_0008C77C0743_.wvu.PrintTitles" hidden="1">#REF!,#REF!</definedName>
    <definedName name="Z_A1DB4122_5E0E_11D2_8EC3_0008C77C0743_.wvu.PrintArea" localSheetId="6" hidden="1">#REF!</definedName>
    <definedName name="Z_A1DB4122_5E0E_11D2_8EC3_0008C77C0743_.wvu.PrintArea" localSheetId="7" hidden="1">#REF!</definedName>
    <definedName name="Z_A1DB4122_5E0E_11D2_8EC3_0008C77C0743_.wvu.PrintArea" localSheetId="3" hidden="1">#REF!</definedName>
    <definedName name="Z_A1DB4122_5E0E_11D2_8EC3_0008C77C0743_.wvu.PrintArea" localSheetId="29" hidden="1">#REF!</definedName>
    <definedName name="Z_A1DB4122_5E0E_11D2_8EC3_0008C77C0743_.wvu.PrintArea" hidden="1">#REF!</definedName>
    <definedName name="Z_A1DB4122_5E0E_11D2_8EC3_0008C77C0743_.wvu.PrintTitles" localSheetId="6" hidden="1">#REF!</definedName>
    <definedName name="Z_A1DB4122_5E0E_11D2_8EC3_0008C77C0743_.wvu.PrintTitles" localSheetId="7" hidden="1">#REF!</definedName>
    <definedName name="Z_A1DB4122_5E0E_11D2_8EC3_0008C77C0743_.wvu.PrintTitles" localSheetId="3" hidden="1">#REF!</definedName>
    <definedName name="Z_A1DB4122_5E0E_11D2_8EC3_0008C77C0743_.wvu.PrintTitles" localSheetId="29" hidden="1">#REF!</definedName>
    <definedName name="Z_A1DB4122_5E0E_11D2_8EC3_0008C77C0743_.wvu.PrintTitles" hidden="1">#REF!</definedName>
    <definedName name="Z_A1DB4131_5E0E_11D2_8EC3_0008C77C0743_.wvu.PrintArea" localSheetId="6" hidden="1">#REF!</definedName>
    <definedName name="Z_A1DB4131_5E0E_11D2_8EC3_0008C77C0743_.wvu.PrintArea" localSheetId="7" hidden="1">#REF!</definedName>
    <definedName name="Z_A1DB4131_5E0E_11D2_8EC3_0008C77C0743_.wvu.PrintArea" localSheetId="3" hidden="1">#REF!</definedName>
    <definedName name="Z_A1DB4131_5E0E_11D2_8EC3_0008C77C0743_.wvu.PrintArea" localSheetId="29" hidden="1">#REF!</definedName>
    <definedName name="Z_A1DB4131_5E0E_11D2_8EC3_0008C77C0743_.wvu.PrintArea" hidden="1">#REF!</definedName>
    <definedName name="Z_A1DB4131_5E0E_11D2_8EC3_0008C77C0743_.wvu.PrintTitles" localSheetId="3" hidden="1">#REF!</definedName>
    <definedName name="Z_A1DB4131_5E0E_11D2_8EC3_0008C77C0743_.wvu.PrintTitles" hidden="1">#REF!</definedName>
    <definedName name="Z_A1DB413E_5E0E_11D2_8EC3_0008C77C0743_.wvu.PrintArea" localSheetId="3" hidden="1">#REF!</definedName>
    <definedName name="Z_A1DB413E_5E0E_11D2_8EC3_0008C77C0743_.wvu.PrintArea" hidden="1">#REF!</definedName>
    <definedName name="Z_A1DB413E_5E0E_11D2_8EC3_0008C77C0743_.wvu.PrintTitles" localSheetId="6" hidden="1">#REF!,#REF!</definedName>
    <definedName name="Z_A1DB413E_5E0E_11D2_8EC3_0008C77C0743_.wvu.PrintTitles" localSheetId="7" hidden="1">#REF!,#REF!</definedName>
    <definedName name="Z_A1DB413E_5E0E_11D2_8EC3_0008C77C0743_.wvu.PrintTitles" localSheetId="3" hidden="1">#REF!,#REF!</definedName>
    <definedName name="Z_A1DB413E_5E0E_11D2_8EC3_0008C77C0743_.wvu.PrintTitles" localSheetId="29" hidden="1">#REF!,#REF!</definedName>
    <definedName name="Z_A1DB413E_5E0E_11D2_8EC3_0008C77C0743_.wvu.PrintTitles" hidden="1">#REF!,#REF!</definedName>
    <definedName name="Z_A1DB414B_5E0E_11D2_8EC3_0008C77C0743_.wvu.PrintArea" localSheetId="6" hidden="1">#REF!</definedName>
    <definedName name="Z_A1DB414B_5E0E_11D2_8EC3_0008C77C0743_.wvu.PrintArea" localSheetId="7" hidden="1">#REF!</definedName>
    <definedName name="Z_A1DB414B_5E0E_11D2_8EC3_0008C77C0743_.wvu.PrintArea" localSheetId="3" hidden="1">#REF!</definedName>
    <definedName name="Z_A1DB414B_5E0E_11D2_8EC3_0008C77C0743_.wvu.PrintArea" localSheetId="29" hidden="1">#REF!</definedName>
    <definedName name="Z_A1DB414B_5E0E_11D2_8EC3_0008C77C0743_.wvu.PrintArea" hidden="1">#REF!</definedName>
    <definedName name="Z_A1DB414B_5E0E_11D2_8EC3_0008C77C0743_.wvu.PrintTitles" localSheetId="6" hidden="1">#REF!</definedName>
    <definedName name="Z_A1DB414B_5E0E_11D2_8EC3_0008C77C0743_.wvu.PrintTitles" localSheetId="7" hidden="1">#REF!</definedName>
    <definedName name="Z_A1DB414B_5E0E_11D2_8EC3_0008C77C0743_.wvu.PrintTitles" localSheetId="3" hidden="1">#REF!</definedName>
    <definedName name="Z_A1DB414B_5E0E_11D2_8EC3_0008C77C0743_.wvu.PrintTitles" localSheetId="29" hidden="1">#REF!</definedName>
    <definedName name="Z_A1DB414B_5E0E_11D2_8EC3_0008C77C0743_.wvu.PrintTitles" hidden="1">#REF!</definedName>
    <definedName name="Z_A1DB415A_5E0E_11D2_8EC3_0008C77C0743_.wvu.PrintArea" localSheetId="6" hidden="1">#REF!</definedName>
    <definedName name="Z_A1DB415A_5E0E_11D2_8EC3_0008C77C0743_.wvu.PrintArea" localSheetId="7" hidden="1">#REF!</definedName>
    <definedName name="Z_A1DB415A_5E0E_11D2_8EC3_0008C77C0743_.wvu.PrintArea" localSheetId="3" hidden="1">#REF!</definedName>
    <definedName name="Z_A1DB415A_5E0E_11D2_8EC3_0008C77C0743_.wvu.PrintArea" localSheetId="29" hidden="1">#REF!</definedName>
    <definedName name="Z_A1DB415A_5E0E_11D2_8EC3_0008C77C0743_.wvu.PrintArea" hidden="1">#REF!</definedName>
    <definedName name="Z_A1DB415A_5E0E_11D2_8EC3_0008C77C0743_.wvu.PrintTitles" localSheetId="3" hidden="1">#REF!</definedName>
    <definedName name="Z_A1DB415A_5E0E_11D2_8EC3_0008C77C0743_.wvu.PrintTitles" hidden="1">#REF!</definedName>
    <definedName name="Z_A1DB4167_5E0E_11D2_8EC3_0008C77C0743_.wvu.PrintArea" localSheetId="3" hidden="1">#REF!</definedName>
    <definedName name="Z_A1DB4167_5E0E_11D2_8EC3_0008C77C0743_.wvu.PrintArea" hidden="1">#REF!</definedName>
    <definedName name="Z_A1DB4167_5E0E_11D2_8EC3_0008C77C0743_.wvu.PrintTitles" localSheetId="6" hidden="1">#REF!,#REF!</definedName>
    <definedName name="Z_A1DB4167_5E0E_11D2_8EC3_0008C77C0743_.wvu.PrintTitles" localSheetId="7" hidden="1">#REF!,#REF!</definedName>
    <definedName name="Z_A1DB4167_5E0E_11D2_8EC3_0008C77C0743_.wvu.PrintTitles" localSheetId="3" hidden="1">#REF!,#REF!</definedName>
    <definedName name="Z_A1DB4167_5E0E_11D2_8EC3_0008C77C0743_.wvu.PrintTitles" localSheetId="29" hidden="1">#REF!,#REF!</definedName>
    <definedName name="Z_A1DB4167_5E0E_11D2_8EC3_0008C77C0743_.wvu.PrintTitles" hidden="1">#REF!,#REF!</definedName>
    <definedName name="Z_A1DB4176_5E0E_11D2_8EC3_0008C77C0743_.wvu.PrintArea" localSheetId="6" hidden="1">#REF!</definedName>
    <definedName name="Z_A1DB4176_5E0E_11D2_8EC3_0008C77C0743_.wvu.PrintArea" localSheetId="7" hidden="1">#REF!</definedName>
    <definedName name="Z_A1DB4176_5E0E_11D2_8EC3_0008C77C0743_.wvu.PrintArea" localSheetId="3" hidden="1">#REF!</definedName>
    <definedName name="Z_A1DB4176_5E0E_11D2_8EC3_0008C77C0743_.wvu.PrintArea" localSheetId="29" hidden="1">#REF!</definedName>
    <definedName name="Z_A1DB4176_5E0E_11D2_8EC3_0008C77C0743_.wvu.PrintArea" hidden="1">#REF!</definedName>
    <definedName name="Z_A1DB4176_5E0E_11D2_8EC3_0008C77C0743_.wvu.PrintTitles" localSheetId="6" hidden="1">#REF!</definedName>
    <definedName name="Z_A1DB4176_5E0E_11D2_8EC3_0008C77C0743_.wvu.PrintTitles" localSheetId="7" hidden="1">#REF!</definedName>
    <definedName name="Z_A1DB4176_5E0E_11D2_8EC3_0008C77C0743_.wvu.PrintTitles" localSheetId="3" hidden="1">#REF!</definedName>
    <definedName name="Z_A1DB4176_5E0E_11D2_8EC3_0008C77C0743_.wvu.PrintTitles" localSheetId="29" hidden="1">#REF!</definedName>
    <definedName name="Z_A1DB4176_5E0E_11D2_8EC3_0008C77C0743_.wvu.PrintTitles" hidden="1">#REF!</definedName>
    <definedName name="Z_A1DB4185_5E0E_11D2_8EC3_0008C77C0743_.wvu.PrintArea" localSheetId="6" hidden="1">#REF!</definedName>
    <definedName name="Z_A1DB4185_5E0E_11D2_8EC3_0008C77C0743_.wvu.PrintArea" localSheetId="7" hidden="1">#REF!</definedName>
    <definedName name="Z_A1DB4185_5E0E_11D2_8EC3_0008C77C0743_.wvu.PrintArea" localSheetId="3" hidden="1">#REF!</definedName>
    <definedName name="Z_A1DB4185_5E0E_11D2_8EC3_0008C77C0743_.wvu.PrintArea" localSheetId="29" hidden="1">#REF!</definedName>
    <definedName name="Z_A1DB4185_5E0E_11D2_8EC3_0008C77C0743_.wvu.PrintArea" hidden="1">#REF!</definedName>
    <definedName name="Z_A1DB4185_5E0E_11D2_8EC3_0008C77C0743_.wvu.PrintTitles" localSheetId="3" hidden="1">#REF!</definedName>
    <definedName name="Z_A1DB4185_5E0E_11D2_8EC3_0008C77C0743_.wvu.PrintTitles" hidden="1">#REF!</definedName>
    <definedName name="Z_A1DB4192_5E0E_11D2_8EC3_0008C77C0743_.wvu.PrintArea" localSheetId="3" hidden="1">#REF!</definedName>
    <definedName name="Z_A1DB4192_5E0E_11D2_8EC3_0008C77C0743_.wvu.PrintArea" hidden="1">#REF!</definedName>
    <definedName name="Z_A1DB4192_5E0E_11D2_8EC3_0008C77C0743_.wvu.PrintTitles" localSheetId="6" hidden="1">#REF!,#REF!</definedName>
    <definedName name="Z_A1DB4192_5E0E_11D2_8EC3_0008C77C0743_.wvu.PrintTitles" localSheetId="7" hidden="1">#REF!,#REF!</definedName>
    <definedName name="Z_A1DB4192_5E0E_11D2_8EC3_0008C77C0743_.wvu.PrintTitles" localSheetId="3" hidden="1">#REF!,#REF!</definedName>
    <definedName name="Z_A1DB4192_5E0E_11D2_8EC3_0008C77C0743_.wvu.PrintTitles" localSheetId="29" hidden="1">#REF!,#REF!</definedName>
    <definedName name="Z_A1DB4192_5E0E_11D2_8EC3_0008C77C0743_.wvu.PrintTitles" hidden="1">#REF!,#REF!</definedName>
    <definedName name="Z_A1DB41A0_5E0E_11D2_8EC3_0008C77C0743_.wvu.PrintArea" localSheetId="6" hidden="1">#REF!</definedName>
    <definedName name="Z_A1DB41A0_5E0E_11D2_8EC3_0008C77C0743_.wvu.PrintArea" localSheetId="7" hidden="1">#REF!</definedName>
    <definedName name="Z_A1DB41A0_5E0E_11D2_8EC3_0008C77C0743_.wvu.PrintArea" localSheetId="3" hidden="1">#REF!</definedName>
    <definedName name="Z_A1DB41A0_5E0E_11D2_8EC3_0008C77C0743_.wvu.PrintArea" localSheetId="29" hidden="1">#REF!</definedName>
    <definedName name="Z_A1DB41A0_5E0E_11D2_8EC3_0008C77C0743_.wvu.PrintArea" hidden="1">#REF!</definedName>
    <definedName name="Z_A1DB41A0_5E0E_11D2_8EC3_0008C77C0743_.wvu.PrintTitles" localSheetId="6" hidden="1">#REF!</definedName>
    <definedName name="Z_A1DB41A0_5E0E_11D2_8EC3_0008C77C0743_.wvu.PrintTitles" localSheetId="7" hidden="1">#REF!</definedName>
    <definedName name="Z_A1DB41A0_5E0E_11D2_8EC3_0008C77C0743_.wvu.PrintTitles" localSheetId="3" hidden="1">#REF!</definedName>
    <definedName name="Z_A1DB41A0_5E0E_11D2_8EC3_0008C77C0743_.wvu.PrintTitles" localSheetId="29" hidden="1">#REF!</definedName>
    <definedName name="Z_A1DB41A0_5E0E_11D2_8EC3_0008C77C0743_.wvu.PrintTitles" hidden="1">#REF!</definedName>
    <definedName name="Z_A1DB41AF_5E0E_11D2_8EC3_0008C77C0743_.wvu.PrintArea" localSheetId="6" hidden="1">#REF!</definedName>
    <definedName name="Z_A1DB41AF_5E0E_11D2_8EC3_0008C77C0743_.wvu.PrintArea" localSheetId="7" hidden="1">#REF!</definedName>
    <definedName name="Z_A1DB41AF_5E0E_11D2_8EC3_0008C77C0743_.wvu.PrintArea" localSheetId="3" hidden="1">#REF!</definedName>
    <definedName name="Z_A1DB41AF_5E0E_11D2_8EC3_0008C77C0743_.wvu.PrintArea" localSheetId="29" hidden="1">#REF!</definedName>
    <definedName name="Z_A1DB41AF_5E0E_11D2_8EC3_0008C77C0743_.wvu.PrintArea" hidden="1">#REF!</definedName>
    <definedName name="Z_A1DB41AF_5E0E_11D2_8EC3_0008C77C0743_.wvu.PrintTitles" localSheetId="3" hidden="1">#REF!</definedName>
    <definedName name="Z_A1DB41AF_5E0E_11D2_8EC3_0008C77C0743_.wvu.PrintTitles" hidden="1">#REF!</definedName>
    <definedName name="Z_A1DB41BC_5E0E_11D2_8EC3_0008C77C0743_.wvu.PrintArea" localSheetId="3" hidden="1">#REF!</definedName>
    <definedName name="Z_A1DB41BC_5E0E_11D2_8EC3_0008C77C0743_.wvu.PrintArea" hidden="1">#REF!</definedName>
    <definedName name="Z_A1DB41BC_5E0E_11D2_8EC3_0008C77C0743_.wvu.PrintTitles" localSheetId="6" hidden="1">#REF!,#REF!</definedName>
    <definedName name="Z_A1DB41BC_5E0E_11D2_8EC3_0008C77C0743_.wvu.PrintTitles" localSheetId="7" hidden="1">#REF!,#REF!</definedName>
    <definedName name="Z_A1DB41BC_5E0E_11D2_8EC3_0008C77C0743_.wvu.PrintTitles" localSheetId="3" hidden="1">#REF!,#REF!</definedName>
    <definedName name="Z_A1DB41BC_5E0E_11D2_8EC3_0008C77C0743_.wvu.PrintTitles" localSheetId="29" hidden="1">#REF!,#REF!</definedName>
    <definedName name="Z_A1DB41BC_5E0E_11D2_8EC3_0008C77C0743_.wvu.PrintTitles" hidden="1">#REF!,#REF!</definedName>
    <definedName name="Z_B6FCCF30_1696_11D2_8E91_0008C77C21AF_.wvu.PrintArea" localSheetId="6" hidden="1">#REF!</definedName>
    <definedName name="Z_B6FCCF30_1696_11D2_8E91_0008C77C21AF_.wvu.PrintArea" localSheetId="7" hidden="1">#REF!</definedName>
    <definedName name="Z_B6FCCF30_1696_11D2_8E91_0008C77C21AF_.wvu.PrintArea" localSheetId="3" hidden="1">#REF!</definedName>
    <definedName name="Z_B6FCCF30_1696_11D2_8E91_0008C77C21AF_.wvu.PrintArea" localSheetId="29" hidden="1">#REF!</definedName>
    <definedName name="Z_B6FCCF30_1696_11D2_8E91_0008C77C21AF_.wvu.PrintArea" hidden="1">#REF!</definedName>
    <definedName name="Z_B6FCCF30_1696_11D2_8E91_0008C77C21AF_.wvu.PrintTitles" localSheetId="6" hidden="1">#REF!,#REF!</definedName>
    <definedName name="Z_B6FCCF30_1696_11D2_8E91_0008C77C21AF_.wvu.PrintTitles" localSheetId="7" hidden="1">#REF!,#REF!</definedName>
    <definedName name="Z_B6FCCF30_1696_11D2_8E91_0008C77C21AF_.wvu.PrintTitles" localSheetId="3" hidden="1">#REF!,#REF!</definedName>
    <definedName name="Z_B6FCCF30_1696_11D2_8E91_0008C77C21AF_.wvu.PrintTitles" localSheetId="29" hidden="1">#REF!,#REF!</definedName>
    <definedName name="Z_B6FCCF30_1696_11D2_8E91_0008C77C21AF_.wvu.PrintTitles" hidden="1">#REF!,#REF!</definedName>
    <definedName name="Z_B6FCCF32_1696_11D2_8E91_0008C77C21AF_.wvu.PrintArea" localSheetId="6" hidden="1">#REF!</definedName>
    <definedName name="Z_B6FCCF32_1696_11D2_8E91_0008C77C21AF_.wvu.PrintArea" localSheetId="7" hidden="1">#REF!</definedName>
    <definedName name="Z_B6FCCF32_1696_11D2_8E91_0008C77C21AF_.wvu.PrintArea" localSheetId="3" hidden="1">#REF!</definedName>
    <definedName name="Z_B6FCCF32_1696_11D2_8E91_0008C77C21AF_.wvu.PrintArea" localSheetId="29" hidden="1">#REF!</definedName>
    <definedName name="Z_B6FCCF32_1696_11D2_8E91_0008C77C21AF_.wvu.PrintArea" hidden="1">#REF!</definedName>
    <definedName name="Z_B6FCCF32_1696_11D2_8E91_0008C77C21AF_.wvu.PrintTitles" localSheetId="6" hidden="1">#REF!</definedName>
    <definedName name="Z_B6FCCF32_1696_11D2_8E91_0008C77C21AF_.wvu.PrintTitles" localSheetId="7" hidden="1">#REF!</definedName>
    <definedName name="Z_B6FCCF32_1696_11D2_8E91_0008C77C21AF_.wvu.PrintTitles" localSheetId="3" hidden="1">#REF!</definedName>
    <definedName name="Z_B6FCCF32_1696_11D2_8E91_0008C77C21AF_.wvu.PrintTitles" localSheetId="29" hidden="1">#REF!</definedName>
    <definedName name="Z_B6FCCF32_1696_11D2_8E91_0008C77C21AF_.wvu.PrintTitles" hidden="1">#REF!</definedName>
    <definedName name="Z_B6FCCF35_1696_11D2_8E91_0008C77C21AF_.wvu.PrintArea" localSheetId="6" hidden="1">#REF!</definedName>
    <definedName name="Z_B6FCCF35_1696_11D2_8E91_0008C77C21AF_.wvu.PrintArea" localSheetId="7" hidden="1">#REF!</definedName>
    <definedName name="Z_B6FCCF35_1696_11D2_8E91_0008C77C21AF_.wvu.PrintArea" localSheetId="3" hidden="1">#REF!</definedName>
    <definedName name="Z_B6FCCF35_1696_11D2_8E91_0008C77C21AF_.wvu.PrintArea" localSheetId="29" hidden="1">#REF!</definedName>
    <definedName name="Z_B6FCCF35_1696_11D2_8E91_0008C77C21AF_.wvu.PrintArea" hidden="1">#REF!</definedName>
    <definedName name="Z_B6FCCF35_1696_11D2_8E91_0008C77C21AF_.wvu.PrintTitles" localSheetId="6" hidden="1">#REF!,#REF!</definedName>
    <definedName name="Z_B6FCCF35_1696_11D2_8E91_0008C77C21AF_.wvu.PrintTitles" localSheetId="7" hidden="1">#REF!,#REF!</definedName>
    <definedName name="Z_B6FCCF35_1696_11D2_8E91_0008C77C21AF_.wvu.PrintTitles" localSheetId="3" hidden="1">#REF!,#REF!</definedName>
    <definedName name="Z_B6FCCF35_1696_11D2_8E91_0008C77C21AF_.wvu.PrintTitles" localSheetId="29" hidden="1">#REF!,#REF!</definedName>
    <definedName name="Z_B6FCCF35_1696_11D2_8E91_0008C77C21AF_.wvu.PrintTitles" hidden="1">#REF!,#REF!</definedName>
    <definedName name="Z_B6FCCF37_1696_11D2_8E91_0008C77C21AF_.wvu.PrintArea" localSheetId="6" hidden="1">#REF!</definedName>
    <definedName name="Z_B6FCCF37_1696_11D2_8E91_0008C77C21AF_.wvu.PrintArea" localSheetId="7" hidden="1">#REF!</definedName>
    <definedName name="Z_B6FCCF37_1696_11D2_8E91_0008C77C21AF_.wvu.PrintArea" localSheetId="3" hidden="1">#REF!</definedName>
    <definedName name="Z_B6FCCF37_1696_11D2_8E91_0008C77C21AF_.wvu.PrintArea" localSheetId="29" hidden="1">#REF!</definedName>
    <definedName name="Z_B6FCCF37_1696_11D2_8E91_0008C77C21AF_.wvu.PrintArea" hidden="1">#REF!</definedName>
    <definedName name="Z_B6FCCF37_1696_11D2_8E91_0008C77C21AF_.wvu.PrintTitles" localSheetId="6" hidden="1">#REF!,#REF!</definedName>
    <definedName name="Z_B6FCCF37_1696_11D2_8E91_0008C77C21AF_.wvu.PrintTitles" localSheetId="7" hidden="1">#REF!,#REF!</definedName>
    <definedName name="Z_B6FCCF37_1696_11D2_8E91_0008C77C21AF_.wvu.PrintTitles" localSheetId="3" hidden="1">#REF!,#REF!</definedName>
    <definedName name="Z_B6FCCF37_1696_11D2_8E91_0008C77C21AF_.wvu.PrintTitles" localSheetId="29" hidden="1">#REF!,#REF!</definedName>
    <definedName name="Z_B6FCCF37_1696_11D2_8E91_0008C77C21AF_.wvu.PrintTitles" hidden="1">#REF!,#REF!</definedName>
    <definedName name="Z_B6FCCF39_1696_11D2_8E91_0008C77C21AF_.wvu.PrintArea" localSheetId="6" hidden="1">#REF!</definedName>
    <definedName name="Z_B6FCCF39_1696_11D2_8E91_0008C77C21AF_.wvu.PrintArea" localSheetId="7" hidden="1">#REF!</definedName>
    <definedName name="Z_B6FCCF39_1696_11D2_8E91_0008C77C21AF_.wvu.PrintArea" localSheetId="3" hidden="1">#REF!</definedName>
    <definedName name="Z_B6FCCF39_1696_11D2_8E91_0008C77C21AF_.wvu.PrintArea" localSheetId="29" hidden="1">#REF!</definedName>
    <definedName name="Z_B6FCCF39_1696_11D2_8E91_0008C77C21AF_.wvu.PrintArea" hidden="1">#REF!</definedName>
    <definedName name="Z_B6FCCF39_1696_11D2_8E91_0008C77C21AF_.wvu.PrintTitles" localSheetId="6" hidden="1">#REF!</definedName>
    <definedName name="Z_B6FCCF39_1696_11D2_8E91_0008C77C21AF_.wvu.PrintTitles" localSheetId="7" hidden="1">#REF!</definedName>
    <definedName name="Z_B6FCCF39_1696_11D2_8E91_0008C77C21AF_.wvu.PrintTitles" localSheetId="3" hidden="1">#REF!</definedName>
    <definedName name="Z_B6FCCF39_1696_11D2_8E91_0008C77C21AF_.wvu.PrintTitles" localSheetId="29" hidden="1">#REF!</definedName>
    <definedName name="Z_B6FCCF39_1696_11D2_8E91_0008C77C21AF_.wvu.PrintTitles" hidden="1">#REF!</definedName>
    <definedName name="Z_B6FCCF3C_1696_11D2_8E91_0008C77C21AF_.wvu.PrintArea" localSheetId="6" hidden="1">#REF!</definedName>
    <definedName name="Z_B6FCCF3C_1696_11D2_8E91_0008C77C21AF_.wvu.PrintArea" localSheetId="7" hidden="1">#REF!</definedName>
    <definedName name="Z_B6FCCF3C_1696_11D2_8E91_0008C77C21AF_.wvu.PrintArea" localSheetId="3" hidden="1">#REF!</definedName>
    <definedName name="Z_B6FCCF3C_1696_11D2_8E91_0008C77C21AF_.wvu.PrintArea" localSheetId="29" hidden="1">#REF!</definedName>
    <definedName name="Z_B6FCCF3C_1696_11D2_8E91_0008C77C21AF_.wvu.PrintArea" hidden="1">#REF!</definedName>
    <definedName name="Z_B6FCCF3C_1696_11D2_8E91_0008C77C21AF_.wvu.PrintTitles" localSheetId="6" hidden="1">#REF!,#REF!</definedName>
    <definedName name="Z_B6FCCF3C_1696_11D2_8E91_0008C77C21AF_.wvu.PrintTitles" localSheetId="7" hidden="1">#REF!,#REF!</definedName>
    <definedName name="Z_B6FCCF3C_1696_11D2_8E91_0008C77C21AF_.wvu.PrintTitles" localSheetId="3" hidden="1">#REF!,#REF!</definedName>
    <definedName name="Z_B6FCCF3C_1696_11D2_8E91_0008C77C21AF_.wvu.PrintTitles" localSheetId="29" hidden="1">#REF!,#REF!</definedName>
    <definedName name="Z_B6FCCF3C_1696_11D2_8E91_0008C77C21AF_.wvu.PrintTitles" hidden="1">#REF!,#REF!</definedName>
    <definedName name="Z_B6FCCF3E_1696_11D2_8E91_0008C77C21AF_.wvu.PrintArea" localSheetId="6" hidden="1">#REF!</definedName>
    <definedName name="Z_B6FCCF3E_1696_11D2_8E91_0008C77C21AF_.wvu.PrintArea" localSheetId="7" hidden="1">#REF!</definedName>
    <definedName name="Z_B6FCCF3E_1696_11D2_8E91_0008C77C21AF_.wvu.PrintArea" localSheetId="3" hidden="1">#REF!</definedName>
    <definedName name="Z_B6FCCF3E_1696_11D2_8E91_0008C77C21AF_.wvu.PrintArea" localSheetId="29" hidden="1">#REF!</definedName>
    <definedName name="Z_B6FCCF3E_1696_11D2_8E91_0008C77C21AF_.wvu.PrintArea" hidden="1">#REF!</definedName>
    <definedName name="Z_B6FCCF3E_1696_11D2_8E91_0008C77C21AF_.wvu.PrintTitles" localSheetId="6" hidden="1">#REF!,#REF!</definedName>
    <definedName name="Z_B6FCCF3E_1696_11D2_8E91_0008C77C21AF_.wvu.PrintTitles" localSheetId="7" hidden="1">#REF!,#REF!</definedName>
    <definedName name="Z_B6FCCF3E_1696_11D2_8E91_0008C77C21AF_.wvu.PrintTitles" localSheetId="3" hidden="1">#REF!,#REF!</definedName>
    <definedName name="Z_B6FCCF3E_1696_11D2_8E91_0008C77C21AF_.wvu.PrintTitles" localSheetId="29" hidden="1">#REF!,#REF!</definedName>
    <definedName name="Z_B6FCCF3E_1696_11D2_8E91_0008C77C21AF_.wvu.PrintTitles" hidden="1">#REF!,#REF!</definedName>
    <definedName name="Z_BDFEE6B6_734C_11D2_8E68_0008C77C0743_.wvu.PrintArea" localSheetId="6" hidden="1">#REF!</definedName>
    <definedName name="Z_BDFEE6B6_734C_11D2_8E68_0008C77C0743_.wvu.PrintArea" localSheetId="7" hidden="1">#REF!</definedName>
    <definedName name="Z_BDFEE6B6_734C_11D2_8E68_0008C77C0743_.wvu.PrintArea" localSheetId="3" hidden="1">#REF!</definedName>
    <definedName name="Z_BDFEE6B6_734C_11D2_8E68_0008C77C0743_.wvu.PrintArea" localSheetId="29" hidden="1">#REF!</definedName>
    <definedName name="Z_BDFEE6B6_734C_11D2_8E68_0008C77C0743_.wvu.PrintArea" hidden="1">#REF!</definedName>
    <definedName name="Z_BDFEE6B6_734C_11D2_8E68_0008C77C0743_.wvu.PrintTitles" localSheetId="6" hidden="1">#REF!,#REF!</definedName>
    <definedName name="Z_BDFEE6B6_734C_11D2_8E68_0008C77C0743_.wvu.PrintTitles" localSheetId="7" hidden="1">#REF!,#REF!</definedName>
    <definedName name="Z_BDFEE6B6_734C_11D2_8E68_0008C77C0743_.wvu.PrintTitles" localSheetId="3" hidden="1">#REF!,#REF!</definedName>
    <definedName name="Z_BDFEE6B6_734C_11D2_8E68_0008C77C0743_.wvu.PrintTitles" localSheetId="29" hidden="1">#REF!,#REF!</definedName>
    <definedName name="Z_BDFEE6B6_734C_11D2_8E68_0008C77C0743_.wvu.PrintTitles" hidden="1">#REF!,#REF!</definedName>
    <definedName name="Z_BDFEE6B9_734C_11D2_8E68_0008C77C0743_.wvu.PrintArea" localSheetId="6" hidden="1">#REF!</definedName>
    <definedName name="Z_BDFEE6B9_734C_11D2_8E68_0008C77C0743_.wvu.PrintArea" localSheetId="7" hidden="1">#REF!</definedName>
    <definedName name="Z_BDFEE6B9_734C_11D2_8E68_0008C77C0743_.wvu.PrintArea" localSheetId="3" hidden="1">#REF!</definedName>
    <definedName name="Z_BDFEE6B9_734C_11D2_8E68_0008C77C0743_.wvu.PrintArea" localSheetId="29" hidden="1">#REF!</definedName>
    <definedName name="Z_BDFEE6B9_734C_11D2_8E68_0008C77C0743_.wvu.PrintArea" hidden="1">#REF!</definedName>
    <definedName name="Z_BDFEE6B9_734C_11D2_8E68_0008C77C0743_.wvu.PrintTitles" localSheetId="6" hidden="1">#REF!,#REF!</definedName>
    <definedName name="Z_BDFEE6B9_734C_11D2_8E68_0008C77C0743_.wvu.PrintTitles" localSheetId="7" hidden="1">#REF!,#REF!</definedName>
    <definedName name="Z_BDFEE6B9_734C_11D2_8E68_0008C77C0743_.wvu.PrintTitles" localSheetId="3" hidden="1">#REF!,#REF!</definedName>
    <definedName name="Z_BDFEE6B9_734C_11D2_8E68_0008C77C0743_.wvu.PrintTitles" localSheetId="29" hidden="1">#REF!,#REF!</definedName>
    <definedName name="Z_BDFEE6B9_734C_11D2_8E68_0008C77C0743_.wvu.PrintTitles" hidden="1">#REF!,#REF!</definedName>
    <definedName name="Z_BDFEE6BB_734C_11D2_8E68_0008C77C0743_.wvu.PrintArea" localSheetId="6" hidden="1">#REF!</definedName>
    <definedName name="Z_BDFEE6BB_734C_11D2_8E68_0008C77C0743_.wvu.PrintArea" localSheetId="7" hidden="1">#REF!</definedName>
    <definedName name="Z_BDFEE6BB_734C_11D2_8E68_0008C77C0743_.wvu.PrintArea" localSheetId="3" hidden="1">#REF!</definedName>
    <definedName name="Z_BDFEE6BB_734C_11D2_8E68_0008C77C0743_.wvu.PrintArea" localSheetId="29" hidden="1">#REF!</definedName>
    <definedName name="Z_BDFEE6BB_734C_11D2_8E68_0008C77C0743_.wvu.PrintArea" hidden="1">#REF!</definedName>
    <definedName name="Z_BDFEE6BB_734C_11D2_8E68_0008C77C0743_.wvu.PrintTitles" localSheetId="6" hidden="1">#REF!,#REF!</definedName>
    <definedName name="Z_BDFEE6BB_734C_11D2_8E68_0008C77C0743_.wvu.PrintTitles" localSheetId="7" hidden="1">#REF!,#REF!</definedName>
    <definedName name="Z_BDFEE6BB_734C_11D2_8E68_0008C77C0743_.wvu.PrintTitles" localSheetId="3" hidden="1">#REF!,#REF!</definedName>
    <definedName name="Z_BDFEE6BB_734C_11D2_8E68_0008C77C0743_.wvu.PrintTitles" localSheetId="29" hidden="1">#REF!,#REF!</definedName>
    <definedName name="Z_BDFEE6BB_734C_11D2_8E68_0008C77C0743_.wvu.PrintTitles" hidden="1">#REF!,#REF!</definedName>
    <definedName name="Z_BDFEE6C1_734C_11D2_8E68_0008C77C0743_.wvu.PrintArea" localSheetId="6" hidden="1">#REF!</definedName>
    <definedName name="Z_BDFEE6C1_734C_11D2_8E68_0008C77C0743_.wvu.PrintArea" localSheetId="7" hidden="1">#REF!</definedName>
    <definedName name="Z_BDFEE6C1_734C_11D2_8E68_0008C77C0743_.wvu.PrintArea" localSheetId="3" hidden="1">#REF!</definedName>
    <definedName name="Z_BDFEE6C1_734C_11D2_8E68_0008C77C0743_.wvu.PrintArea" localSheetId="29" hidden="1">#REF!</definedName>
    <definedName name="Z_BDFEE6C1_734C_11D2_8E68_0008C77C0743_.wvu.PrintArea" hidden="1">#REF!</definedName>
    <definedName name="Z_BDFEE6C1_734C_11D2_8E68_0008C77C0743_.wvu.PrintTitles" localSheetId="6" hidden="1">#REF!</definedName>
    <definedName name="Z_BDFEE6C1_734C_11D2_8E68_0008C77C0743_.wvu.PrintTitles" localSheetId="7" hidden="1">#REF!</definedName>
    <definedName name="Z_BDFEE6C1_734C_11D2_8E68_0008C77C0743_.wvu.PrintTitles" localSheetId="3" hidden="1">#REF!</definedName>
    <definedName name="Z_BDFEE6C1_734C_11D2_8E68_0008C77C0743_.wvu.PrintTitles" localSheetId="29" hidden="1">#REF!</definedName>
    <definedName name="Z_BDFEE6C1_734C_11D2_8E68_0008C77C0743_.wvu.PrintTitles" hidden="1">#REF!</definedName>
    <definedName name="Z_BDFEE6C3_734C_11D2_8E68_0008C77C0743_.wvu.PrintArea" localSheetId="6" hidden="1">#REF!</definedName>
    <definedName name="Z_BDFEE6C3_734C_11D2_8E68_0008C77C0743_.wvu.PrintArea" localSheetId="7" hidden="1">#REF!</definedName>
    <definedName name="Z_BDFEE6C3_734C_11D2_8E68_0008C77C0743_.wvu.PrintArea" localSheetId="3" hidden="1">#REF!</definedName>
    <definedName name="Z_BDFEE6C3_734C_11D2_8E68_0008C77C0743_.wvu.PrintArea" localSheetId="29" hidden="1">#REF!</definedName>
    <definedName name="Z_BDFEE6C3_734C_11D2_8E68_0008C77C0743_.wvu.PrintArea" hidden="1">#REF!</definedName>
    <definedName name="Z_BDFEE6C3_734C_11D2_8E68_0008C77C0743_.wvu.PrintTitles" localSheetId="3" hidden="1">#REF!</definedName>
    <definedName name="Z_BDFEE6C3_734C_11D2_8E68_0008C77C0743_.wvu.PrintTitles" hidden="1">#REF!</definedName>
    <definedName name="Z_BDFEE6C5_734C_11D2_8E68_0008C77C0743_.wvu.PrintArea" localSheetId="3" hidden="1">#REF!</definedName>
    <definedName name="Z_BDFEE6C5_734C_11D2_8E68_0008C77C0743_.wvu.PrintArea" hidden="1">#REF!</definedName>
    <definedName name="Z_BDFEE6C5_734C_11D2_8E68_0008C77C0743_.wvu.PrintTitles" localSheetId="3" hidden="1">#REF!</definedName>
    <definedName name="Z_BDFEE6C5_734C_11D2_8E68_0008C77C0743_.wvu.PrintTitles" hidden="1">#REF!</definedName>
    <definedName name="Z_BDFEE6CE_734C_11D2_8E68_0008C77C0743_.wvu.PrintArea" localSheetId="3" hidden="1">#REF!</definedName>
    <definedName name="Z_BDFEE6CE_734C_11D2_8E68_0008C77C0743_.wvu.PrintArea" hidden="1">#REF!</definedName>
    <definedName name="Z_BDFEE6CE_734C_11D2_8E68_0008C77C0743_.wvu.PrintTitles" localSheetId="6" hidden="1">#REF!,#REF!</definedName>
    <definedName name="Z_BDFEE6CE_734C_11D2_8E68_0008C77C0743_.wvu.PrintTitles" localSheetId="7" hidden="1">#REF!,#REF!</definedName>
    <definedName name="Z_BDFEE6CE_734C_11D2_8E68_0008C77C0743_.wvu.PrintTitles" localSheetId="3" hidden="1">#REF!,#REF!</definedName>
    <definedName name="Z_BDFEE6CE_734C_11D2_8E68_0008C77C0743_.wvu.PrintTitles" localSheetId="29" hidden="1">#REF!,#REF!</definedName>
    <definedName name="Z_BDFEE6CE_734C_11D2_8E68_0008C77C0743_.wvu.PrintTitles" hidden="1">#REF!,#REF!</definedName>
    <definedName name="Z_BDFEE6D1_734C_11D2_8E68_0008C77C0743_.wvu.PrintArea" localSheetId="6" hidden="1">#REF!</definedName>
    <definedName name="Z_BDFEE6D1_734C_11D2_8E68_0008C77C0743_.wvu.PrintArea" localSheetId="7" hidden="1">#REF!</definedName>
    <definedName name="Z_BDFEE6D1_734C_11D2_8E68_0008C77C0743_.wvu.PrintArea" localSheetId="3" hidden="1">#REF!</definedName>
    <definedName name="Z_BDFEE6D1_734C_11D2_8E68_0008C77C0743_.wvu.PrintArea" localSheetId="29" hidden="1">#REF!</definedName>
    <definedName name="Z_BDFEE6D1_734C_11D2_8E68_0008C77C0743_.wvu.PrintArea" hidden="1">#REF!</definedName>
    <definedName name="Z_BDFEE6D1_734C_11D2_8E68_0008C77C0743_.wvu.PrintTitles" localSheetId="6" hidden="1">#REF!,#REF!</definedName>
    <definedName name="Z_BDFEE6D1_734C_11D2_8E68_0008C77C0743_.wvu.PrintTitles" localSheetId="7" hidden="1">#REF!,#REF!</definedName>
    <definedName name="Z_BDFEE6D1_734C_11D2_8E68_0008C77C0743_.wvu.PrintTitles" localSheetId="3" hidden="1">#REF!,#REF!</definedName>
    <definedName name="Z_BDFEE6D1_734C_11D2_8E68_0008C77C0743_.wvu.PrintTitles" localSheetId="29" hidden="1">#REF!,#REF!</definedName>
    <definedName name="Z_BDFEE6D1_734C_11D2_8E68_0008C77C0743_.wvu.PrintTitles" hidden="1">#REF!,#REF!</definedName>
    <definedName name="Z_BDFEE6D3_734C_11D2_8E68_0008C77C0743_.wvu.PrintArea" localSheetId="6" hidden="1">#REF!</definedName>
    <definedName name="Z_BDFEE6D3_734C_11D2_8E68_0008C77C0743_.wvu.PrintArea" localSheetId="7" hidden="1">#REF!</definedName>
    <definedName name="Z_BDFEE6D3_734C_11D2_8E68_0008C77C0743_.wvu.PrintArea" localSheetId="3" hidden="1">#REF!</definedName>
    <definedName name="Z_BDFEE6D3_734C_11D2_8E68_0008C77C0743_.wvu.PrintArea" localSheetId="29" hidden="1">#REF!</definedName>
    <definedName name="Z_BDFEE6D3_734C_11D2_8E68_0008C77C0743_.wvu.PrintArea" hidden="1">#REF!</definedName>
    <definedName name="Z_BDFEE6D3_734C_11D2_8E68_0008C77C0743_.wvu.PrintTitles" localSheetId="6" hidden="1">#REF!,#REF!</definedName>
    <definedName name="Z_BDFEE6D3_734C_11D2_8E68_0008C77C0743_.wvu.PrintTitles" localSheetId="7" hidden="1">#REF!,#REF!</definedName>
    <definedName name="Z_BDFEE6D3_734C_11D2_8E68_0008C77C0743_.wvu.PrintTitles" localSheetId="3" hidden="1">#REF!,#REF!</definedName>
    <definedName name="Z_BDFEE6D3_734C_11D2_8E68_0008C77C0743_.wvu.PrintTitles" localSheetId="29" hidden="1">#REF!,#REF!</definedName>
    <definedName name="Z_BDFEE6D3_734C_11D2_8E68_0008C77C0743_.wvu.PrintTitles" hidden="1">#REF!,#REF!</definedName>
    <definedName name="Z_BDFEE6D7_734C_11D2_8E68_0008C77C0743_.wvu.PrintArea" localSheetId="6" hidden="1">#REF!</definedName>
    <definedName name="Z_BDFEE6D7_734C_11D2_8E68_0008C77C0743_.wvu.PrintArea" localSheetId="7" hidden="1">#REF!</definedName>
    <definedName name="Z_BDFEE6D7_734C_11D2_8E68_0008C77C0743_.wvu.PrintArea" localSheetId="3" hidden="1">#REF!</definedName>
    <definedName name="Z_BDFEE6D7_734C_11D2_8E68_0008C77C0743_.wvu.PrintArea" localSheetId="29" hidden="1">#REF!</definedName>
    <definedName name="Z_BDFEE6D7_734C_11D2_8E68_0008C77C0743_.wvu.PrintArea" hidden="1">#REF!</definedName>
    <definedName name="Z_BDFEE6D7_734C_11D2_8E68_0008C77C0743_.wvu.PrintTitles" localSheetId="6" hidden="1">#REF!,#REF!</definedName>
    <definedName name="Z_BDFEE6D7_734C_11D2_8E68_0008C77C0743_.wvu.PrintTitles" localSheetId="7" hidden="1">#REF!,#REF!</definedName>
    <definedName name="Z_BDFEE6D7_734C_11D2_8E68_0008C77C0743_.wvu.PrintTitles" localSheetId="3" hidden="1">#REF!,#REF!</definedName>
    <definedName name="Z_BDFEE6D7_734C_11D2_8E68_0008C77C0743_.wvu.PrintTitles" localSheetId="29" hidden="1">#REF!,#REF!</definedName>
    <definedName name="Z_BDFEE6D7_734C_11D2_8E68_0008C77C0743_.wvu.PrintTitles" hidden="1">#REF!,#REF!</definedName>
    <definedName name="Z_BDFEE6DA_734C_11D2_8E68_0008C77C0743_.wvu.PrintArea" localSheetId="6" hidden="1">#REF!</definedName>
    <definedName name="Z_BDFEE6DA_734C_11D2_8E68_0008C77C0743_.wvu.PrintArea" localSheetId="7" hidden="1">#REF!</definedName>
    <definedName name="Z_BDFEE6DA_734C_11D2_8E68_0008C77C0743_.wvu.PrintArea" localSheetId="3" hidden="1">#REF!</definedName>
    <definedName name="Z_BDFEE6DA_734C_11D2_8E68_0008C77C0743_.wvu.PrintArea" localSheetId="29" hidden="1">#REF!</definedName>
    <definedName name="Z_BDFEE6DA_734C_11D2_8E68_0008C77C0743_.wvu.PrintArea" hidden="1">#REF!</definedName>
    <definedName name="Z_BDFEE6DA_734C_11D2_8E68_0008C77C0743_.wvu.PrintTitles" localSheetId="6" hidden="1">#REF!,#REF!</definedName>
    <definedName name="Z_BDFEE6DA_734C_11D2_8E68_0008C77C0743_.wvu.PrintTitles" localSheetId="7" hidden="1">#REF!,#REF!</definedName>
    <definedName name="Z_BDFEE6DA_734C_11D2_8E68_0008C77C0743_.wvu.PrintTitles" localSheetId="3" hidden="1">#REF!,#REF!</definedName>
    <definedName name="Z_BDFEE6DA_734C_11D2_8E68_0008C77C0743_.wvu.PrintTitles" localSheetId="29" hidden="1">#REF!,#REF!</definedName>
    <definedName name="Z_BDFEE6DA_734C_11D2_8E68_0008C77C0743_.wvu.PrintTitles" hidden="1">#REF!,#REF!</definedName>
    <definedName name="Z_BDFEE6DC_734C_11D2_8E68_0008C77C0743_.wvu.PrintArea" localSheetId="6" hidden="1">#REF!</definedName>
    <definedName name="Z_BDFEE6DC_734C_11D2_8E68_0008C77C0743_.wvu.PrintArea" localSheetId="7" hidden="1">#REF!</definedName>
    <definedName name="Z_BDFEE6DC_734C_11D2_8E68_0008C77C0743_.wvu.PrintArea" localSheetId="3" hidden="1">#REF!</definedName>
    <definedName name="Z_BDFEE6DC_734C_11D2_8E68_0008C77C0743_.wvu.PrintArea" localSheetId="29" hidden="1">#REF!</definedName>
    <definedName name="Z_BDFEE6DC_734C_11D2_8E68_0008C77C0743_.wvu.PrintArea" hidden="1">#REF!</definedName>
    <definedName name="Z_BDFEE6DC_734C_11D2_8E68_0008C77C0743_.wvu.PrintTitles" localSheetId="6" hidden="1">#REF!,#REF!</definedName>
    <definedName name="Z_BDFEE6DC_734C_11D2_8E68_0008C77C0743_.wvu.PrintTitles" localSheetId="7" hidden="1">#REF!,#REF!</definedName>
    <definedName name="Z_BDFEE6DC_734C_11D2_8E68_0008C77C0743_.wvu.PrintTitles" localSheetId="3" hidden="1">#REF!,#REF!</definedName>
    <definedName name="Z_BDFEE6DC_734C_11D2_8E68_0008C77C0743_.wvu.PrintTitles" localSheetId="29" hidden="1">#REF!,#REF!</definedName>
    <definedName name="Z_BDFEE6DC_734C_11D2_8E68_0008C77C0743_.wvu.PrintTitles" hidden="1">#REF!,#REF!</definedName>
    <definedName name="Z_BDFEE6E2_734C_11D2_8E68_0008C77C0743_.wvu.PrintArea" localSheetId="6" hidden="1">#REF!</definedName>
    <definedName name="Z_BDFEE6E2_734C_11D2_8E68_0008C77C0743_.wvu.PrintArea" localSheetId="7" hidden="1">#REF!</definedName>
    <definedName name="Z_BDFEE6E2_734C_11D2_8E68_0008C77C0743_.wvu.PrintArea" localSheetId="3" hidden="1">#REF!</definedName>
    <definedName name="Z_BDFEE6E2_734C_11D2_8E68_0008C77C0743_.wvu.PrintArea" localSheetId="29" hidden="1">#REF!</definedName>
    <definedName name="Z_BDFEE6E2_734C_11D2_8E68_0008C77C0743_.wvu.PrintArea" hidden="1">#REF!</definedName>
    <definedName name="Z_BDFEE6E2_734C_11D2_8E68_0008C77C0743_.wvu.PrintTitles" localSheetId="6" hidden="1">#REF!</definedName>
    <definedName name="Z_BDFEE6E2_734C_11D2_8E68_0008C77C0743_.wvu.PrintTitles" localSheetId="7" hidden="1">#REF!</definedName>
    <definedName name="Z_BDFEE6E2_734C_11D2_8E68_0008C77C0743_.wvu.PrintTitles" localSheetId="3" hidden="1">#REF!</definedName>
    <definedName name="Z_BDFEE6E2_734C_11D2_8E68_0008C77C0743_.wvu.PrintTitles" localSheetId="29" hidden="1">#REF!</definedName>
    <definedName name="Z_BDFEE6E2_734C_11D2_8E68_0008C77C0743_.wvu.PrintTitles" hidden="1">#REF!</definedName>
    <definedName name="Z_BDFEE6E4_734C_11D2_8E68_0008C77C0743_.wvu.PrintArea" localSheetId="6" hidden="1">#REF!</definedName>
    <definedName name="Z_BDFEE6E4_734C_11D2_8E68_0008C77C0743_.wvu.PrintArea" localSheetId="7" hidden="1">#REF!</definedName>
    <definedName name="Z_BDFEE6E4_734C_11D2_8E68_0008C77C0743_.wvu.PrintArea" localSheetId="3" hidden="1">#REF!</definedName>
    <definedName name="Z_BDFEE6E4_734C_11D2_8E68_0008C77C0743_.wvu.PrintArea" localSheetId="29" hidden="1">#REF!</definedName>
    <definedName name="Z_BDFEE6E4_734C_11D2_8E68_0008C77C0743_.wvu.PrintArea" hidden="1">#REF!</definedName>
    <definedName name="Z_BDFEE6E4_734C_11D2_8E68_0008C77C0743_.wvu.PrintTitles" localSheetId="3" hidden="1">#REF!</definedName>
    <definedName name="Z_BDFEE6E4_734C_11D2_8E68_0008C77C0743_.wvu.PrintTitles" hidden="1">#REF!</definedName>
    <definedName name="Z_BDFEE6E6_734C_11D2_8E68_0008C77C0743_.wvu.PrintArea" localSheetId="3" hidden="1">#REF!</definedName>
    <definedName name="Z_BDFEE6E6_734C_11D2_8E68_0008C77C0743_.wvu.PrintArea" hidden="1">#REF!</definedName>
    <definedName name="Z_BDFEE6E6_734C_11D2_8E68_0008C77C0743_.wvu.PrintTitles" localSheetId="3" hidden="1">#REF!</definedName>
    <definedName name="Z_BDFEE6E6_734C_11D2_8E68_0008C77C0743_.wvu.PrintTitles" hidden="1">#REF!</definedName>
    <definedName name="Z_BDFEE6EF_734C_11D2_8E68_0008C77C0743_.wvu.PrintArea" localSheetId="3" hidden="1">#REF!</definedName>
    <definedName name="Z_BDFEE6EF_734C_11D2_8E68_0008C77C0743_.wvu.PrintArea" hidden="1">#REF!</definedName>
    <definedName name="Z_BDFEE6EF_734C_11D2_8E68_0008C77C0743_.wvu.PrintTitles" localSheetId="6" hidden="1">#REF!,#REF!</definedName>
    <definedName name="Z_BDFEE6EF_734C_11D2_8E68_0008C77C0743_.wvu.PrintTitles" localSheetId="7" hidden="1">#REF!,#REF!</definedName>
    <definedName name="Z_BDFEE6EF_734C_11D2_8E68_0008C77C0743_.wvu.PrintTitles" localSheetId="3" hidden="1">#REF!,#REF!</definedName>
    <definedName name="Z_BDFEE6EF_734C_11D2_8E68_0008C77C0743_.wvu.PrintTitles" localSheetId="29" hidden="1">#REF!,#REF!</definedName>
    <definedName name="Z_BDFEE6EF_734C_11D2_8E68_0008C77C0743_.wvu.PrintTitles" hidden="1">#REF!,#REF!</definedName>
    <definedName name="Z_BDFEE6F2_734C_11D2_8E68_0008C77C0743_.wvu.PrintArea" localSheetId="6" hidden="1">#REF!</definedName>
    <definedName name="Z_BDFEE6F2_734C_11D2_8E68_0008C77C0743_.wvu.PrintArea" localSheetId="7" hidden="1">#REF!</definedName>
    <definedName name="Z_BDFEE6F2_734C_11D2_8E68_0008C77C0743_.wvu.PrintArea" localSheetId="3" hidden="1">#REF!</definedName>
    <definedName name="Z_BDFEE6F2_734C_11D2_8E68_0008C77C0743_.wvu.PrintArea" localSheetId="29" hidden="1">#REF!</definedName>
    <definedName name="Z_BDFEE6F2_734C_11D2_8E68_0008C77C0743_.wvu.PrintArea" hidden="1">#REF!</definedName>
    <definedName name="Z_BDFEE6F2_734C_11D2_8E68_0008C77C0743_.wvu.PrintTitles" localSheetId="6" hidden="1">#REF!,#REF!</definedName>
    <definedName name="Z_BDFEE6F2_734C_11D2_8E68_0008C77C0743_.wvu.PrintTitles" localSheetId="7" hidden="1">#REF!,#REF!</definedName>
    <definedName name="Z_BDFEE6F2_734C_11D2_8E68_0008C77C0743_.wvu.PrintTitles" localSheetId="3" hidden="1">#REF!,#REF!</definedName>
    <definedName name="Z_BDFEE6F2_734C_11D2_8E68_0008C77C0743_.wvu.PrintTitles" localSheetId="29" hidden="1">#REF!,#REF!</definedName>
    <definedName name="Z_BDFEE6F2_734C_11D2_8E68_0008C77C0743_.wvu.PrintTitles" hidden="1">#REF!,#REF!</definedName>
    <definedName name="Z_BDFEE6F4_734C_11D2_8E68_0008C77C0743_.wvu.PrintArea" localSheetId="6" hidden="1">#REF!</definedName>
    <definedName name="Z_BDFEE6F4_734C_11D2_8E68_0008C77C0743_.wvu.PrintArea" localSheetId="7" hidden="1">#REF!</definedName>
    <definedName name="Z_BDFEE6F4_734C_11D2_8E68_0008C77C0743_.wvu.PrintArea" localSheetId="3" hidden="1">#REF!</definedName>
    <definedName name="Z_BDFEE6F4_734C_11D2_8E68_0008C77C0743_.wvu.PrintArea" localSheetId="29" hidden="1">#REF!</definedName>
    <definedName name="Z_BDFEE6F4_734C_11D2_8E68_0008C77C0743_.wvu.PrintArea" hidden="1">#REF!</definedName>
    <definedName name="Z_BDFEE6F4_734C_11D2_8E68_0008C77C0743_.wvu.PrintTitles" localSheetId="6" hidden="1">#REF!,#REF!</definedName>
    <definedName name="Z_BDFEE6F4_734C_11D2_8E68_0008C77C0743_.wvu.PrintTitles" localSheetId="7" hidden="1">#REF!,#REF!</definedName>
    <definedName name="Z_BDFEE6F4_734C_11D2_8E68_0008C77C0743_.wvu.PrintTitles" localSheetId="3" hidden="1">#REF!,#REF!</definedName>
    <definedName name="Z_BDFEE6F4_734C_11D2_8E68_0008C77C0743_.wvu.PrintTitles" localSheetId="29" hidden="1">#REF!,#REF!</definedName>
    <definedName name="Z_BDFEE6F4_734C_11D2_8E68_0008C77C0743_.wvu.PrintTitles" hidden="1">#REF!,#REF!</definedName>
    <definedName name="Z_BDFEE6FA_734C_11D2_8E68_0008C77C0743_.wvu.PrintArea" localSheetId="6" hidden="1">#REF!</definedName>
    <definedName name="Z_BDFEE6FA_734C_11D2_8E68_0008C77C0743_.wvu.PrintArea" localSheetId="7" hidden="1">#REF!</definedName>
    <definedName name="Z_BDFEE6FA_734C_11D2_8E68_0008C77C0743_.wvu.PrintArea" localSheetId="3" hidden="1">#REF!</definedName>
    <definedName name="Z_BDFEE6FA_734C_11D2_8E68_0008C77C0743_.wvu.PrintArea" localSheetId="29" hidden="1">#REF!</definedName>
    <definedName name="Z_BDFEE6FA_734C_11D2_8E68_0008C77C0743_.wvu.PrintArea" hidden="1">#REF!</definedName>
    <definedName name="Z_BDFEE6FA_734C_11D2_8E68_0008C77C0743_.wvu.PrintTitles" localSheetId="6" hidden="1">#REF!,#REF!</definedName>
    <definedName name="Z_BDFEE6FA_734C_11D2_8E68_0008C77C0743_.wvu.PrintTitles" localSheetId="7" hidden="1">#REF!,#REF!</definedName>
    <definedName name="Z_BDFEE6FA_734C_11D2_8E68_0008C77C0743_.wvu.PrintTitles" localSheetId="3" hidden="1">#REF!,#REF!</definedName>
    <definedName name="Z_BDFEE6FA_734C_11D2_8E68_0008C77C0743_.wvu.PrintTitles" localSheetId="29" hidden="1">#REF!,#REF!</definedName>
    <definedName name="Z_BDFEE6FA_734C_11D2_8E68_0008C77C0743_.wvu.PrintTitles" hidden="1">#REF!,#REF!</definedName>
    <definedName name="Z_BDFEE6FC_734C_11D2_8E68_0008C77C0743_.wvu.PrintArea" localSheetId="6" hidden="1">#REF!</definedName>
    <definedName name="Z_BDFEE6FC_734C_11D2_8E68_0008C77C0743_.wvu.PrintArea" localSheetId="7" hidden="1">#REF!</definedName>
    <definedName name="Z_BDFEE6FC_734C_11D2_8E68_0008C77C0743_.wvu.PrintArea" localSheetId="3" hidden="1">#REF!</definedName>
    <definedName name="Z_BDFEE6FC_734C_11D2_8E68_0008C77C0743_.wvu.PrintArea" localSheetId="29" hidden="1">#REF!</definedName>
    <definedName name="Z_BDFEE6FC_734C_11D2_8E68_0008C77C0743_.wvu.PrintArea" hidden="1">#REF!</definedName>
    <definedName name="Z_BDFEE6FC_734C_11D2_8E68_0008C77C0743_.wvu.PrintTitles" localSheetId="6" hidden="1">#REF!,#REF!</definedName>
    <definedName name="Z_BDFEE6FC_734C_11D2_8E68_0008C77C0743_.wvu.PrintTitles" localSheetId="7" hidden="1">#REF!,#REF!</definedName>
    <definedName name="Z_BDFEE6FC_734C_11D2_8E68_0008C77C0743_.wvu.PrintTitles" localSheetId="3" hidden="1">#REF!,#REF!</definedName>
    <definedName name="Z_BDFEE6FC_734C_11D2_8E68_0008C77C0743_.wvu.PrintTitles" localSheetId="29" hidden="1">#REF!,#REF!</definedName>
    <definedName name="Z_BDFEE6FC_734C_11D2_8E68_0008C77C0743_.wvu.PrintTitles" hidden="1">#REF!,#REF!</definedName>
    <definedName name="Z_BDFEE6FE_734C_11D2_8E68_0008C77C0743_.wvu.PrintArea" localSheetId="6" hidden="1">#REF!</definedName>
    <definedName name="Z_BDFEE6FE_734C_11D2_8E68_0008C77C0743_.wvu.PrintArea" localSheetId="7" hidden="1">#REF!</definedName>
    <definedName name="Z_BDFEE6FE_734C_11D2_8E68_0008C77C0743_.wvu.PrintArea" localSheetId="3" hidden="1">#REF!</definedName>
    <definedName name="Z_BDFEE6FE_734C_11D2_8E68_0008C77C0743_.wvu.PrintArea" localSheetId="29" hidden="1">#REF!</definedName>
    <definedName name="Z_BDFEE6FE_734C_11D2_8E68_0008C77C0743_.wvu.PrintArea" hidden="1">#REF!</definedName>
    <definedName name="Z_BDFEE6FE_734C_11D2_8E68_0008C77C0743_.wvu.PrintTitles" localSheetId="6" hidden="1">#REF!,#REF!</definedName>
    <definedName name="Z_BDFEE6FE_734C_11D2_8E68_0008C77C0743_.wvu.PrintTitles" localSheetId="7" hidden="1">#REF!,#REF!</definedName>
    <definedName name="Z_BDFEE6FE_734C_11D2_8E68_0008C77C0743_.wvu.PrintTitles" localSheetId="3" hidden="1">#REF!,#REF!</definedName>
    <definedName name="Z_BDFEE6FE_734C_11D2_8E68_0008C77C0743_.wvu.PrintTitles" localSheetId="29" hidden="1">#REF!,#REF!</definedName>
    <definedName name="Z_BDFEE6FE_734C_11D2_8E68_0008C77C0743_.wvu.PrintTitles" hidden="1">#REF!,#REF!</definedName>
    <definedName name="Z_BE4AA1C5_ECFE_11D2_8EB8_0008C77C0743_.wvu.PrintArea" localSheetId="6" hidden="1">#REF!</definedName>
    <definedName name="Z_BE4AA1C5_ECFE_11D2_8EB8_0008C77C0743_.wvu.PrintArea" localSheetId="7" hidden="1">#REF!</definedName>
    <definedName name="Z_BE4AA1C5_ECFE_11D2_8EB8_0008C77C0743_.wvu.PrintArea" localSheetId="3" hidden="1">#REF!</definedName>
    <definedName name="Z_BE4AA1C5_ECFE_11D2_8EB8_0008C77C0743_.wvu.PrintArea" localSheetId="29" hidden="1">#REF!</definedName>
    <definedName name="Z_BE4AA1C5_ECFE_11D2_8EB8_0008C77C0743_.wvu.PrintArea" hidden="1">#REF!</definedName>
    <definedName name="Z_BE4AA1C5_ECFE_11D2_8EB8_0008C77C0743_.wvu.PrintTitles" localSheetId="6" hidden="1">#REF!</definedName>
    <definedName name="Z_BE4AA1C5_ECFE_11D2_8EB8_0008C77C0743_.wvu.PrintTitles" localSheetId="7" hidden="1">#REF!</definedName>
    <definedName name="Z_BE4AA1C5_ECFE_11D2_8EB8_0008C77C0743_.wvu.PrintTitles" localSheetId="3" hidden="1">#REF!</definedName>
    <definedName name="Z_BE4AA1C5_ECFE_11D2_8EB8_0008C77C0743_.wvu.PrintTitles" localSheetId="29" hidden="1">#REF!</definedName>
    <definedName name="Z_BE4AA1C5_ECFE_11D2_8EB8_0008C77C0743_.wvu.PrintTitles" hidden="1">#REF!</definedName>
    <definedName name="Z_BE4AA1D8_ECFE_11D2_8EB8_0008C77C0743_.wvu.PrintArea" localSheetId="6" hidden="1">#REF!</definedName>
    <definedName name="Z_BE4AA1D8_ECFE_11D2_8EB8_0008C77C0743_.wvu.PrintArea" localSheetId="7" hidden="1">#REF!</definedName>
    <definedName name="Z_BE4AA1D8_ECFE_11D2_8EB8_0008C77C0743_.wvu.PrintArea" localSheetId="3" hidden="1">#REF!</definedName>
    <definedName name="Z_BE4AA1D8_ECFE_11D2_8EB8_0008C77C0743_.wvu.PrintArea" localSheetId="29" hidden="1">#REF!</definedName>
    <definedName name="Z_BE4AA1D8_ECFE_11D2_8EB8_0008C77C0743_.wvu.PrintArea" hidden="1">#REF!</definedName>
    <definedName name="Z_BE4AA1D8_ECFE_11D2_8EB8_0008C77C0743_.wvu.PrintTitles" localSheetId="3" hidden="1">#REF!</definedName>
    <definedName name="Z_BE4AA1D8_ECFE_11D2_8EB8_0008C77C0743_.wvu.PrintTitles" hidden="1">#REF!</definedName>
    <definedName name="Z_BE4AA1E8_ECFE_11D2_8EB8_0008C77C0743_.wvu.PrintArea" localSheetId="3" hidden="1">#REF!</definedName>
    <definedName name="Z_BE4AA1E8_ECFE_11D2_8EB8_0008C77C0743_.wvu.PrintArea" hidden="1">#REF!</definedName>
    <definedName name="Z_BE4AA1E8_ECFE_11D2_8EB8_0008C77C0743_.wvu.PrintTitles" localSheetId="6" hidden="1">#REF!,#REF!</definedName>
    <definedName name="Z_BE4AA1E8_ECFE_11D2_8EB8_0008C77C0743_.wvu.PrintTitles" localSheetId="7" hidden="1">#REF!,#REF!</definedName>
    <definedName name="Z_BE4AA1E8_ECFE_11D2_8EB8_0008C77C0743_.wvu.PrintTitles" localSheetId="3" hidden="1">#REF!,#REF!</definedName>
    <definedName name="Z_BE4AA1E8_ECFE_11D2_8EB8_0008C77C0743_.wvu.PrintTitles" localSheetId="29" hidden="1">#REF!,#REF!</definedName>
    <definedName name="Z_BE4AA1E8_ECFE_11D2_8EB8_0008C77C0743_.wvu.PrintTitles" hidden="1">#REF!,#REF!</definedName>
    <definedName name="Z_BFEBD6B7_EDBB_11D2_8EB9_0008C77C0743_.wvu.PrintArea" localSheetId="6" hidden="1">#REF!</definedName>
    <definedName name="Z_BFEBD6B7_EDBB_11D2_8EB9_0008C77C0743_.wvu.PrintArea" localSheetId="7" hidden="1">#REF!</definedName>
    <definedName name="Z_BFEBD6B7_EDBB_11D2_8EB9_0008C77C0743_.wvu.PrintArea" localSheetId="3" hidden="1">#REF!</definedName>
    <definedName name="Z_BFEBD6B7_EDBB_11D2_8EB9_0008C77C0743_.wvu.PrintArea" localSheetId="29" hidden="1">#REF!</definedName>
    <definedName name="Z_BFEBD6B7_EDBB_11D2_8EB9_0008C77C0743_.wvu.PrintArea" hidden="1">#REF!</definedName>
    <definedName name="Z_BFEBD6B7_EDBB_11D2_8EB9_0008C77C0743_.wvu.PrintTitles" localSheetId="6" hidden="1">#REF!</definedName>
    <definedName name="Z_BFEBD6B7_EDBB_11D2_8EB9_0008C77C0743_.wvu.PrintTitles" localSheetId="7" hidden="1">#REF!</definedName>
    <definedName name="Z_BFEBD6B7_EDBB_11D2_8EB9_0008C77C0743_.wvu.PrintTitles" localSheetId="3" hidden="1">#REF!</definedName>
    <definedName name="Z_BFEBD6B7_EDBB_11D2_8EB9_0008C77C0743_.wvu.PrintTitles" localSheetId="29" hidden="1">#REF!</definedName>
    <definedName name="Z_BFEBD6B7_EDBB_11D2_8EB9_0008C77C0743_.wvu.PrintTitles" hidden="1">#REF!</definedName>
    <definedName name="Z_BFEBD6CA_EDBB_11D2_8EB9_0008C77C0743_.wvu.PrintArea" localSheetId="6" hidden="1">#REF!</definedName>
    <definedName name="Z_BFEBD6CA_EDBB_11D2_8EB9_0008C77C0743_.wvu.PrintArea" localSheetId="7" hidden="1">#REF!</definedName>
    <definedName name="Z_BFEBD6CA_EDBB_11D2_8EB9_0008C77C0743_.wvu.PrintArea" localSheetId="3" hidden="1">#REF!</definedName>
    <definedName name="Z_BFEBD6CA_EDBB_11D2_8EB9_0008C77C0743_.wvu.PrintArea" localSheetId="29" hidden="1">#REF!</definedName>
    <definedName name="Z_BFEBD6CA_EDBB_11D2_8EB9_0008C77C0743_.wvu.PrintArea" hidden="1">#REF!</definedName>
    <definedName name="Z_BFEBD6CA_EDBB_11D2_8EB9_0008C77C0743_.wvu.PrintTitles" localSheetId="3" hidden="1">#REF!</definedName>
    <definedName name="Z_BFEBD6CA_EDBB_11D2_8EB9_0008C77C0743_.wvu.PrintTitles" hidden="1">#REF!</definedName>
    <definedName name="Z_BFEBD6DA_EDBB_11D2_8EB9_0008C77C0743_.wvu.PrintArea" localSheetId="3" hidden="1">#REF!</definedName>
    <definedName name="Z_BFEBD6DA_EDBB_11D2_8EB9_0008C77C0743_.wvu.PrintArea" hidden="1">#REF!</definedName>
    <definedName name="Z_BFEBD6DA_EDBB_11D2_8EB9_0008C77C0743_.wvu.PrintTitles" localSheetId="6" hidden="1">#REF!,#REF!</definedName>
    <definedName name="Z_BFEBD6DA_EDBB_11D2_8EB9_0008C77C0743_.wvu.PrintTitles" localSheetId="7" hidden="1">#REF!,#REF!</definedName>
    <definedName name="Z_BFEBD6DA_EDBB_11D2_8EB9_0008C77C0743_.wvu.PrintTitles" localSheetId="3" hidden="1">#REF!,#REF!</definedName>
    <definedName name="Z_BFEBD6DA_EDBB_11D2_8EB9_0008C77C0743_.wvu.PrintTitles" localSheetId="29" hidden="1">#REF!,#REF!</definedName>
    <definedName name="Z_BFEBD6DA_EDBB_11D2_8EB9_0008C77C0743_.wvu.PrintTitles" hidden="1">#REF!,#REF!</definedName>
    <definedName name="Z_CD050555_ECE8_11D2_8EB7_0008C77C0743_.wvu.PrintArea" localSheetId="6" hidden="1">#REF!</definedName>
    <definedName name="Z_CD050555_ECE8_11D2_8EB7_0008C77C0743_.wvu.PrintArea" localSheetId="7" hidden="1">#REF!</definedName>
    <definedName name="Z_CD050555_ECE8_11D2_8EB7_0008C77C0743_.wvu.PrintArea" localSheetId="3" hidden="1">#REF!</definedName>
    <definedName name="Z_CD050555_ECE8_11D2_8EB7_0008C77C0743_.wvu.PrintArea" localSheetId="29" hidden="1">#REF!</definedName>
    <definedName name="Z_CD050555_ECE8_11D2_8EB7_0008C77C0743_.wvu.PrintArea" hidden="1">#REF!</definedName>
    <definedName name="Z_CD050555_ECE8_11D2_8EB7_0008C77C0743_.wvu.PrintTitles" localSheetId="6" hidden="1">#REF!</definedName>
    <definedName name="Z_CD050555_ECE8_11D2_8EB7_0008C77C0743_.wvu.PrintTitles" localSheetId="7" hidden="1">#REF!</definedName>
    <definedName name="Z_CD050555_ECE8_11D2_8EB7_0008C77C0743_.wvu.PrintTitles" localSheetId="3" hidden="1">#REF!</definedName>
    <definedName name="Z_CD050555_ECE8_11D2_8EB7_0008C77C0743_.wvu.PrintTitles" localSheetId="29" hidden="1">#REF!</definedName>
    <definedName name="Z_CD050555_ECE8_11D2_8EB7_0008C77C0743_.wvu.PrintTitles" hidden="1">#REF!</definedName>
    <definedName name="Z_CD050568_ECE8_11D2_8EB7_0008C77C0743_.wvu.PrintArea" localSheetId="6" hidden="1">#REF!</definedName>
    <definedName name="Z_CD050568_ECE8_11D2_8EB7_0008C77C0743_.wvu.PrintArea" localSheetId="7" hidden="1">#REF!</definedName>
    <definedName name="Z_CD050568_ECE8_11D2_8EB7_0008C77C0743_.wvu.PrintArea" localSheetId="3" hidden="1">#REF!</definedName>
    <definedName name="Z_CD050568_ECE8_11D2_8EB7_0008C77C0743_.wvu.PrintArea" localSheetId="29" hidden="1">#REF!</definedName>
    <definedName name="Z_CD050568_ECE8_11D2_8EB7_0008C77C0743_.wvu.PrintArea" hidden="1">#REF!</definedName>
    <definedName name="Z_CD050568_ECE8_11D2_8EB7_0008C77C0743_.wvu.PrintTitles" localSheetId="3" hidden="1">#REF!</definedName>
    <definedName name="Z_CD050568_ECE8_11D2_8EB7_0008C77C0743_.wvu.PrintTitles" hidden="1">#REF!</definedName>
    <definedName name="Z_CD050578_ECE8_11D2_8EB7_0008C77C0743_.wvu.PrintArea" localSheetId="3" hidden="1">#REF!</definedName>
    <definedName name="Z_CD050578_ECE8_11D2_8EB7_0008C77C0743_.wvu.PrintArea" hidden="1">#REF!</definedName>
    <definedName name="Z_CD050578_ECE8_11D2_8EB7_0008C77C0743_.wvu.PrintTitles" localSheetId="6" hidden="1">#REF!,#REF!</definedName>
    <definedName name="Z_CD050578_ECE8_11D2_8EB7_0008C77C0743_.wvu.PrintTitles" localSheetId="7" hidden="1">#REF!,#REF!</definedName>
    <definedName name="Z_CD050578_ECE8_11D2_8EB7_0008C77C0743_.wvu.PrintTitles" localSheetId="3" hidden="1">#REF!,#REF!</definedName>
    <definedName name="Z_CD050578_ECE8_11D2_8EB7_0008C77C0743_.wvu.PrintTitles" localSheetId="29" hidden="1">#REF!,#REF!</definedName>
    <definedName name="Z_CD050578_ECE8_11D2_8EB7_0008C77C0743_.wvu.PrintTitles" hidden="1">#REF!,#REF!</definedName>
    <definedName name="Z_CF4A68D4_EB6D_11D2_8EB5_0008C77C0743_.wvu.PrintArea" localSheetId="6" hidden="1">#REF!</definedName>
    <definedName name="Z_CF4A68D4_EB6D_11D2_8EB5_0008C77C0743_.wvu.PrintArea" localSheetId="7" hidden="1">#REF!</definedName>
    <definedName name="Z_CF4A68D4_EB6D_11D2_8EB5_0008C77C0743_.wvu.PrintArea" localSheetId="3" hidden="1">#REF!</definedName>
    <definedName name="Z_CF4A68D4_EB6D_11D2_8EB5_0008C77C0743_.wvu.PrintArea" localSheetId="29" hidden="1">#REF!</definedName>
    <definedName name="Z_CF4A68D4_EB6D_11D2_8EB5_0008C77C0743_.wvu.PrintArea" hidden="1">#REF!</definedName>
    <definedName name="Z_CF4A68D4_EB6D_11D2_8EB5_0008C77C0743_.wvu.PrintTitles" localSheetId="6" hidden="1">#REF!</definedName>
    <definedName name="Z_CF4A68D4_EB6D_11D2_8EB5_0008C77C0743_.wvu.PrintTitles" localSheetId="7" hidden="1">#REF!</definedName>
    <definedName name="Z_CF4A68D4_EB6D_11D2_8EB5_0008C77C0743_.wvu.PrintTitles" localSheetId="3" hidden="1">#REF!</definedName>
    <definedName name="Z_CF4A68D4_EB6D_11D2_8EB5_0008C77C0743_.wvu.PrintTitles" localSheetId="29" hidden="1">#REF!</definedName>
    <definedName name="Z_CF4A68D4_EB6D_11D2_8EB5_0008C77C0743_.wvu.PrintTitles" hidden="1">#REF!</definedName>
    <definedName name="Z_CF4A68E7_EB6D_11D2_8EB5_0008C77C0743_.wvu.PrintArea" localSheetId="6" hidden="1">#REF!</definedName>
    <definedName name="Z_CF4A68E7_EB6D_11D2_8EB5_0008C77C0743_.wvu.PrintArea" localSheetId="7" hidden="1">#REF!</definedName>
    <definedName name="Z_CF4A68E7_EB6D_11D2_8EB5_0008C77C0743_.wvu.PrintArea" localSheetId="3" hidden="1">#REF!</definedName>
    <definedName name="Z_CF4A68E7_EB6D_11D2_8EB5_0008C77C0743_.wvu.PrintArea" localSheetId="29" hidden="1">#REF!</definedName>
    <definedName name="Z_CF4A68E7_EB6D_11D2_8EB5_0008C77C0743_.wvu.PrintArea" hidden="1">#REF!</definedName>
    <definedName name="Z_CF4A68E7_EB6D_11D2_8EB5_0008C77C0743_.wvu.PrintTitles" localSheetId="3" hidden="1">#REF!</definedName>
    <definedName name="Z_CF4A68E7_EB6D_11D2_8EB5_0008C77C0743_.wvu.PrintTitles" hidden="1">#REF!</definedName>
    <definedName name="Z_CF4A68F7_EB6D_11D2_8EB5_0008C77C0743_.wvu.PrintArea" localSheetId="3" hidden="1">#REF!</definedName>
    <definedName name="Z_CF4A68F7_EB6D_11D2_8EB5_0008C77C0743_.wvu.PrintArea" hidden="1">#REF!</definedName>
    <definedName name="Z_CF4A68F7_EB6D_11D2_8EB5_0008C77C0743_.wvu.PrintTitles" localSheetId="6" hidden="1">#REF!,#REF!</definedName>
    <definedName name="Z_CF4A68F7_EB6D_11D2_8EB5_0008C77C0743_.wvu.PrintTitles" localSheetId="7" hidden="1">#REF!,#REF!</definedName>
    <definedName name="Z_CF4A68F7_EB6D_11D2_8EB5_0008C77C0743_.wvu.PrintTitles" localSheetId="3" hidden="1">#REF!,#REF!</definedName>
    <definedName name="Z_CF4A68F7_EB6D_11D2_8EB5_0008C77C0743_.wvu.PrintTitles" localSheetId="29" hidden="1">#REF!,#REF!</definedName>
    <definedName name="Z_CF4A68F7_EB6D_11D2_8EB5_0008C77C0743_.wvu.PrintTitles" hidden="1">#REF!,#REF!</definedName>
    <definedName name="Z_F3D6017D_338E_11D2_8E9B_0008C77C0743_.wvu.PrintArea" localSheetId="6" hidden="1">#REF!</definedName>
    <definedName name="Z_F3D6017D_338E_11D2_8E9B_0008C77C0743_.wvu.PrintArea" localSheetId="7" hidden="1">#REF!</definedName>
    <definedName name="Z_F3D6017D_338E_11D2_8E9B_0008C77C0743_.wvu.PrintArea" localSheetId="3" hidden="1">#REF!</definedName>
    <definedName name="Z_F3D6017D_338E_11D2_8E9B_0008C77C0743_.wvu.PrintArea" localSheetId="29" hidden="1">#REF!</definedName>
    <definedName name="Z_F3D6017D_338E_11D2_8E9B_0008C77C0743_.wvu.PrintArea" hidden="1">#REF!</definedName>
    <definedName name="Z_F3D6017D_338E_11D2_8E9B_0008C77C0743_.wvu.PrintTitles" localSheetId="6" hidden="1">#REF!</definedName>
    <definedName name="Z_F3D6017D_338E_11D2_8E9B_0008C77C0743_.wvu.PrintTitles" localSheetId="7" hidden="1">#REF!</definedName>
    <definedName name="Z_F3D6017D_338E_11D2_8E9B_0008C77C0743_.wvu.PrintTitles" localSheetId="3" hidden="1">#REF!</definedName>
    <definedName name="Z_F3D6017D_338E_11D2_8E9B_0008C77C0743_.wvu.PrintTitles" localSheetId="29" hidden="1">#REF!</definedName>
    <definedName name="Z_F3D6017D_338E_11D2_8E9B_0008C77C0743_.wvu.PrintTitles" hidden="1">#REF!</definedName>
    <definedName name="Z_F3D6018C_338E_11D2_8E9B_0008C77C0743_.wvu.PrintArea" localSheetId="6" hidden="1">#REF!</definedName>
    <definedName name="Z_F3D6018C_338E_11D2_8E9B_0008C77C0743_.wvu.PrintArea" localSheetId="7" hidden="1">#REF!</definedName>
    <definedName name="Z_F3D6018C_338E_11D2_8E9B_0008C77C0743_.wvu.PrintArea" localSheetId="3" hidden="1">#REF!</definedName>
    <definedName name="Z_F3D6018C_338E_11D2_8E9B_0008C77C0743_.wvu.PrintArea" localSheetId="29" hidden="1">#REF!</definedName>
    <definedName name="Z_F3D6018C_338E_11D2_8E9B_0008C77C0743_.wvu.PrintArea" hidden="1">#REF!</definedName>
    <definedName name="Z_F3D6018C_338E_11D2_8E9B_0008C77C0743_.wvu.PrintTitles" localSheetId="3" hidden="1">#REF!</definedName>
    <definedName name="Z_F3D6018C_338E_11D2_8E9B_0008C77C0743_.wvu.PrintTitles" hidden="1">#REF!</definedName>
    <definedName name="Z_F3D60199_338E_11D2_8E9B_0008C77C0743_.wvu.PrintArea" localSheetId="3" hidden="1">#REF!</definedName>
    <definedName name="Z_F3D60199_338E_11D2_8E9B_0008C77C0743_.wvu.PrintArea" hidden="1">#REF!</definedName>
    <definedName name="Z_F3D60199_338E_11D2_8E9B_0008C77C0743_.wvu.PrintTitles" localSheetId="6" hidden="1">#REF!,#REF!</definedName>
    <definedName name="Z_F3D60199_338E_11D2_8E9B_0008C77C0743_.wvu.PrintTitles" localSheetId="7" hidden="1">#REF!,#REF!</definedName>
    <definedName name="Z_F3D60199_338E_11D2_8E9B_0008C77C0743_.wvu.PrintTitles" localSheetId="3" hidden="1">#REF!,#REF!</definedName>
    <definedName name="Z_F3D60199_338E_11D2_8E9B_0008C77C0743_.wvu.PrintTitles" localSheetId="29" hidden="1">#REF!,#REF!</definedName>
    <definedName name="Z_F3D60199_338E_11D2_8E9B_0008C77C0743_.wvu.PrintTitles" hidden="1">#REF!,#REF!</definedName>
    <definedName name="ZACKSGROWTH" localSheetId="6">#REF!</definedName>
    <definedName name="ZACKSGROWTH" localSheetId="3">#REF!</definedName>
    <definedName name="ZACKSGROWTH">#REF!</definedName>
    <definedName name="zdcw" localSheetId="5" hidden="1">#REF!</definedName>
    <definedName name="zdcw" localSheetId="3" hidden="1">#REF!</definedName>
    <definedName name="zdcw" localSheetId="29" hidden="1">#REF!</definedName>
    <definedName name="zdcw" hidden="1">#REF!</definedName>
    <definedName name="zj" localSheetId="5" hidden="1">#REF!</definedName>
    <definedName name="zj" localSheetId="3" hidden="1">#REF!</definedName>
    <definedName name="zj" localSheetId="29" hidden="1">#REF!</definedName>
    <definedName name="zj" hidden="1">#REF!</definedName>
    <definedName name="znh" localSheetId="5" hidden="1">#REF!</definedName>
    <definedName name="znh" localSheetId="3" hidden="1">#REF!</definedName>
    <definedName name="znh" localSheetId="29" hidden="1">#REF!</definedName>
    <definedName name="znh" hidden="1">#REF!</definedName>
    <definedName name="zxcvb" localSheetId="5" hidden="1">#REF!</definedName>
    <definedName name="zxcvb" localSheetId="3" hidden="1">#REF!</definedName>
    <definedName name="zxcvb" localSheetId="29" hidden="1">#REF!</definedName>
    <definedName name="zxcvb" hidden="1">#REF!</definedName>
    <definedName name="zxd" localSheetId="5" hidden="1">#REF!</definedName>
    <definedName name="zxd" localSheetId="3" hidden="1">#REF!</definedName>
    <definedName name="zxd" localSheetId="29" hidden="1">#REF!</definedName>
    <definedName name="zxd" hidden="1">#REF!</definedName>
    <definedName name="ZZ_EVCOMOPTS" hidden="1">10</definedName>
    <definedName name="zzz" localSheetId="1" hidden="1">{"'Sheet1'!$A$1:$O$40"}</definedName>
    <definedName name="zzz" localSheetId="32" hidden="1">{"'Sheet1'!$A$1:$O$40"}</definedName>
    <definedName name="zzz" localSheetId="6" hidden="1">{"'Sheet1'!$A$1:$O$40"}</definedName>
    <definedName name="zzz" localSheetId="4" hidden="1">{"'Sheet1'!$A$1:$O$40"}</definedName>
    <definedName name="zzz" localSheetId="5" hidden="1">{"'Sheet1'!$A$1:$O$40"}</definedName>
    <definedName name="zzz" localSheetId="7" hidden="1">{"'Sheet1'!$A$1:$O$40"}</definedName>
    <definedName name="zzz" localSheetId="3" hidden="1">{"'Sheet1'!$A$1:$O$40"}</definedName>
    <definedName name="zzz" localSheetId="29" hidden="1">{"'Sheet1'!$A$1:$O$40"}</definedName>
    <definedName name="zzz" localSheetId="47" hidden="1">{"'Sheet1'!$A$1:$O$40"}</definedName>
    <definedName name="zzz" hidden="1">{"'Sheet1'!$A$1:$O$40"}</definedName>
    <definedName name="zzz."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2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4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65" i="492" l="1"/>
  <c r="F1165" i="492"/>
  <c r="I1165" i="492" s="1"/>
  <c r="J1164" i="492"/>
  <c r="F1164" i="492"/>
  <c r="I1164" i="492" s="1"/>
  <c r="J1163" i="492"/>
  <c r="I1163" i="492"/>
  <c r="F1163" i="492"/>
  <c r="J1162" i="492"/>
  <c r="F1162" i="492"/>
  <c r="I1162" i="492" s="1"/>
  <c r="J1161" i="492"/>
  <c r="F1161" i="492"/>
  <c r="I1161" i="492" s="1"/>
  <c r="J1160" i="492"/>
  <c r="F1160" i="492"/>
  <c r="I1160" i="492" s="1"/>
  <c r="J1159" i="492"/>
  <c r="F1159" i="492"/>
  <c r="I1159" i="492" s="1"/>
  <c r="J1158" i="492"/>
  <c r="F1158" i="492"/>
  <c r="I1158" i="492" s="1"/>
  <c r="J1157" i="492"/>
  <c r="F1157" i="492"/>
  <c r="I1157" i="492" s="1"/>
  <c r="J1156" i="492"/>
  <c r="F1156" i="492"/>
  <c r="I1156" i="492" s="1"/>
  <c r="J1155" i="492"/>
  <c r="I1155" i="492"/>
  <c r="F1155" i="492"/>
  <c r="J1154" i="492"/>
  <c r="F1154" i="492"/>
  <c r="I1154" i="492" s="1"/>
  <c r="J1153" i="492"/>
  <c r="I1153" i="492"/>
  <c r="F1153" i="492"/>
  <c r="J1152" i="492"/>
  <c r="F1152" i="492"/>
  <c r="I1152" i="492" s="1"/>
  <c r="J1151" i="492"/>
  <c r="F1151" i="492"/>
  <c r="I1151" i="492" s="1"/>
  <c r="J1150" i="492"/>
  <c r="F1150" i="492"/>
  <c r="I1150" i="492" s="1"/>
  <c r="J1149" i="492"/>
  <c r="F1149" i="492"/>
  <c r="I1149" i="492" s="1"/>
  <c r="J1148" i="492"/>
  <c r="F1148" i="492"/>
  <c r="I1148" i="492" s="1"/>
  <c r="J1147" i="492"/>
  <c r="I1147" i="492"/>
  <c r="F1147" i="492"/>
  <c r="J1146" i="492"/>
  <c r="F1146" i="492"/>
  <c r="I1146" i="492" s="1"/>
  <c r="J1145" i="492"/>
  <c r="F1145" i="492"/>
  <c r="I1145" i="492" s="1"/>
  <c r="J1144" i="492"/>
  <c r="F1144" i="492"/>
  <c r="I1144" i="492" s="1"/>
  <c r="J1143" i="492"/>
  <c r="F1143" i="492"/>
  <c r="I1143" i="492" s="1"/>
  <c r="J1142" i="492"/>
  <c r="I1142" i="492"/>
  <c r="F1142" i="492"/>
  <c r="J1141" i="492"/>
  <c r="F1141" i="492"/>
  <c r="I1141" i="492" s="1"/>
  <c r="J1140" i="492"/>
  <c r="F1140" i="492"/>
  <c r="I1140" i="492" s="1"/>
  <c r="J1139" i="492"/>
  <c r="I1139" i="492"/>
  <c r="F1139" i="492"/>
  <c r="J1138" i="492"/>
  <c r="F1138" i="492"/>
  <c r="I1138" i="492" s="1"/>
  <c r="J1137" i="492"/>
  <c r="F1137" i="492"/>
  <c r="I1137" i="492" s="1"/>
  <c r="J1136" i="492"/>
  <c r="F1136" i="492"/>
  <c r="I1136" i="492" s="1"/>
  <c r="J1135" i="492"/>
  <c r="F1135" i="492"/>
  <c r="I1135" i="492" s="1"/>
  <c r="J1134" i="492"/>
  <c r="F1134" i="492"/>
  <c r="I1134" i="492" s="1"/>
  <c r="J1133" i="492"/>
  <c r="F1133" i="492"/>
  <c r="I1133" i="492" s="1"/>
  <c r="J1132" i="492"/>
  <c r="F1132" i="492"/>
  <c r="I1132" i="492" s="1"/>
  <c r="J1131" i="492"/>
  <c r="I1131" i="492"/>
  <c r="F1131" i="492"/>
  <c r="J1130" i="492"/>
  <c r="F1130" i="492"/>
  <c r="I1130" i="492" s="1"/>
  <c r="J1129" i="492"/>
  <c r="F1129" i="492"/>
  <c r="I1129" i="492" s="1"/>
  <c r="J1128" i="492"/>
  <c r="F1128" i="492"/>
  <c r="I1128" i="492" s="1"/>
  <c r="J1127" i="492"/>
  <c r="F1127" i="492"/>
  <c r="I1127" i="492" s="1"/>
  <c r="J1126" i="492"/>
  <c r="I1126" i="492"/>
  <c r="F1126" i="492"/>
  <c r="J1125" i="492"/>
  <c r="I1125" i="492"/>
  <c r="F1125" i="492"/>
  <c r="J1124" i="492"/>
  <c r="F1124" i="492"/>
  <c r="I1124" i="492" s="1"/>
  <c r="J1123" i="492"/>
  <c r="I1123" i="492"/>
  <c r="F1123" i="492"/>
  <c r="J1122" i="492"/>
  <c r="F1122" i="492"/>
  <c r="I1122" i="492" s="1"/>
  <c r="J1121" i="492"/>
  <c r="F1121" i="492"/>
  <c r="I1121" i="492" s="1"/>
  <c r="J1120" i="492"/>
  <c r="F1120" i="492"/>
  <c r="I1120" i="492" s="1"/>
  <c r="J1119" i="492"/>
  <c r="F1119" i="492"/>
  <c r="I1119" i="492" s="1"/>
  <c r="J1118" i="492"/>
  <c r="F1118" i="492"/>
  <c r="I1118" i="492" s="1"/>
  <c r="J1117" i="492"/>
  <c r="I1117" i="492"/>
  <c r="F1117" i="492"/>
  <c r="J1116" i="492"/>
  <c r="F1116" i="492"/>
  <c r="I1116" i="492" s="1"/>
  <c r="J1115" i="492"/>
  <c r="I1115" i="492"/>
  <c r="F1115" i="492"/>
  <c r="J1114" i="492"/>
  <c r="F1114" i="492"/>
  <c r="I1114" i="492" s="1"/>
  <c r="J1113" i="492"/>
  <c r="F1113" i="492"/>
  <c r="I1113" i="492" s="1"/>
  <c r="J1112" i="492"/>
  <c r="F1112" i="492"/>
  <c r="I1112" i="492" s="1"/>
  <c r="J1111" i="492"/>
  <c r="F1111" i="492"/>
  <c r="I1111" i="492" s="1"/>
  <c r="J1110" i="492"/>
  <c r="I1110" i="492"/>
  <c r="F1110" i="492"/>
  <c r="J1109" i="492"/>
  <c r="I1109" i="492"/>
  <c r="F1109" i="492"/>
  <c r="J1108" i="492"/>
  <c r="F1108" i="492"/>
  <c r="I1108" i="492" s="1"/>
  <c r="J1107" i="492"/>
  <c r="I1107" i="492"/>
  <c r="F1107" i="492"/>
  <c r="J1106" i="492"/>
  <c r="F1106" i="492"/>
  <c r="I1106" i="492" s="1"/>
  <c r="J1105" i="492"/>
  <c r="F1105" i="492"/>
  <c r="I1105" i="492" s="1"/>
  <c r="J1104" i="492"/>
  <c r="F1104" i="492"/>
  <c r="I1104" i="492" s="1"/>
  <c r="J1103" i="492"/>
  <c r="F1103" i="492"/>
  <c r="I1103" i="492" s="1"/>
  <c r="J1102" i="492"/>
  <c r="F1102" i="492"/>
  <c r="I1102" i="492" s="1"/>
  <c r="J1101" i="492"/>
  <c r="I1101" i="492"/>
  <c r="F1101" i="492"/>
  <c r="J1100" i="492"/>
  <c r="F1100" i="492"/>
  <c r="I1100" i="492" s="1"/>
  <c r="J1099" i="492"/>
  <c r="I1099" i="492"/>
  <c r="F1099" i="492"/>
  <c r="J1098" i="492"/>
  <c r="F1098" i="492"/>
  <c r="I1098" i="492" s="1"/>
  <c r="J1097" i="492"/>
  <c r="F1097" i="492"/>
  <c r="I1097" i="492" s="1"/>
  <c r="J1096" i="492"/>
  <c r="F1096" i="492"/>
  <c r="I1096" i="492" s="1"/>
  <c r="J1095" i="492"/>
  <c r="F1095" i="492"/>
  <c r="I1095" i="492" s="1"/>
  <c r="J1094" i="492"/>
  <c r="I1094" i="492"/>
  <c r="F1094" i="492"/>
  <c r="J1093" i="492"/>
  <c r="I1093" i="492"/>
  <c r="F1093" i="492"/>
  <c r="J1092" i="492"/>
  <c r="F1092" i="492"/>
  <c r="I1092" i="492" s="1"/>
  <c r="J1091" i="492"/>
  <c r="I1091" i="492"/>
  <c r="F1091" i="492"/>
  <c r="J1090" i="492"/>
  <c r="F1090" i="492"/>
  <c r="I1090" i="492" s="1"/>
  <c r="J1089" i="492"/>
  <c r="F1089" i="492"/>
  <c r="I1089" i="492" s="1"/>
  <c r="J1088" i="492"/>
  <c r="F1088" i="492"/>
  <c r="I1088" i="492" s="1"/>
  <c r="J1087" i="492"/>
  <c r="F1087" i="492"/>
  <c r="I1087" i="492" s="1"/>
  <c r="J1086" i="492"/>
  <c r="F1086" i="492"/>
  <c r="I1086" i="492" s="1"/>
  <c r="J1085" i="492"/>
  <c r="I1085" i="492"/>
  <c r="F1085" i="492"/>
  <c r="J1084" i="492"/>
  <c r="F1084" i="492"/>
  <c r="I1084" i="492" s="1"/>
  <c r="J1083" i="492"/>
  <c r="I1083" i="492"/>
  <c r="F1083" i="492"/>
  <c r="J1082" i="492"/>
  <c r="F1082" i="492"/>
  <c r="I1082" i="492" s="1"/>
  <c r="J1081" i="492"/>
  <c r="F1081" i="492"/>
  <c r="I1081" i="492" s="1"/>
  <c r="J1080" i="492"/>
  <c r="F1080" i="492"/>
  <c r="I1080" i="492" s="1"/>
  <c r="J1079" i="492"/>
  <c r="F1079" i="492"/>
  <c r="I1079" i="492" s="1"/>
  <c r="J1078" i="492"/>
  <c r="I1078" i="492"/>
  <c r="F1078" i="492"/>
  <c r="J1077" i="492"/>
  <c r="F1077" i="492"/>
  <c r="I1077" i="492" s="1"/>
  <c r="J1076" i="492"/>
  <c r="F1076" i="492"/>
  <c r="I1076" i="492" s="1"/>
  <c r="J1075" i="492"/>
  <c r="I1075" i="492"/>
  <c r="F1075" i="492"/>
  <c r="F1074" i="492"/>
  <c r="I1074" i="492" s="1"/>
  <c r="F1073" i="492"/>
  <c r="I1073" i="492" s="1"/>
  <c r="F1072" i="492"/>
  <c r="I1072" i="492" s="1"/>
  <c r="I1071" i="492"/>
  <c r="F1071" i="492"/>
  <c r="F1070" i="492"/>
  <c r="I1070" i="492" s="1"/>
  <c r="F1069" i="492"/>
  <c r="I1069" i="492" s="1"/>
  <c r="F1068" i="492"/>
  <c r="I1068" i="492" s="1"/>
  <c r="I1067" i="492"/>
  <c r="F1067" i="492"/>
  <c r="F1066" i="492"/>
  <c r="I1066" i="492" s="1"/>
  <c r="F1065" i="492"/>
  <c r="I1065" i="492" s="1"/>
  <c r="F1064" i="492"/>
  <c r="I1064" i="492" s="1"/>
  <c r="I1063" i="492"/>
  <c r="F1063" i="492"/>
  <c r="F1062" i="492"/>
  <c r="I1062" i="492" s="1"/>
  <c r="F1061" i="492"/>
  <c r="I1061" i="492" s="1"/>
  <c r="F1060" i="492"/>
  <c r="I1060" i="492" s="1"/>
  <c r="I1059" i="492"/>
  <c r="F1059" i="492"/>
  <c r="F1058" i="492"/>
  <c r="I1058" i="492" s="1"/>
  <c r="F1057" i="492"/>
  <c r="I1057" i="492" s="1"/>
  <c r="F1056" i="492"/>
  <c r="I1056" i="492" s="1"/>
  <c r="I1055" i="492"/>
  <c r="F1055" i="492"/>
  <c r="F1054" i="492"/>
  <c r="I1054" i="492" s="1"/>
  <c r="F1053" i="492"/>
  <c r="I1053" i="492" s="1"/>
  <c r="F1052" i="492"/>
  <c r="I1052" i="492" s="1"/>
  <c r="I1051" i="492"/>
  <c r="F1051" i="492"/>
  <c r="F1050" i="492"/>
  <c r="I1050" i="492" s="1"/>
  <c r="F1049" i="492"/>
  <c r="I1049" i="492" s="1"/>
  <c r="F1048" i="492"/>
  <c r="I1048" i="492" s="1"/>
  <c r="I1047" i="492"/>
  <c r="F1047" i="492"/>
  <c r="F1046" i="492"/>
  <c r="I1046" i="492" s="1"/>
  <c r="F1045" i="492"/>
  <c r="I1045" i="492" s="1"/>
  <c r="F1044" i="492"/>
  <c r="I1044" i="492" s="1"/>
  <c r="I1043" i="492"/>
  <c r="F1043" i="492"/>
  <c r="F1042" i="492"/>
  <c r="I1042" i="492" s="1"/>
  <c r="F1041" i="492"/>
  <c r="I1041" i="492" s="1"/>
  <c r="F1040" i="492"/>
  <c r="I1040" i="492" s="1"/>
  <c r="I1039" i="492"/>
  <c r="I1038" i="492"/>
  <c r="I1037" i="492"/>
  <c r="I1036" i="492"/>
  <c r="I1035" i="492"/>
  <c r="I1034" i="492"/>
  <c r="I1033" i="492"/>
  <c r="I1032" i="492"/>
  <c r="I1031" i="492"/>
  <c r="I1030" i="492"/>
  <c r="I1029" i="492"/>
  <c r="I1028" i="492"/>
  <c r="I1027" i="492"/>
  <c r="I1026" i="492"/>
  <c r="I1025" i="492"/>
  <c r="I1024" i="492"/>
  <c r="I1023" i="492"/>
  <c r="I1022" i="492"/>
  <c r="I1021" i="492"/>
  <c r="I1020" i="492"/>
  <c r="I1019" i="492"/>
  <c r="I1018" i="492"/>
  <c r="I1017" i="492"/>
  <c r="I1016" i="492"/>
  <c r="I1015" i="492"/>
  <c r="I1014" i="492"/>
  <c r="I1013" i="492"/>
  <c r="I1012" i="492"/>
  <c r="I1011" i="492"/>
  <c r="I1010" i="492"/>
  <c r="I1009" i="492"/>
  <c r="I1008" i="492"/>
  <c r="I1007" i="492"/>
  <c r="I1006" i="492"/>
  <c r="I1005" i="492"/>
  <c r="I1004" i="492"/>
  <c r="I1003" i="492"/>
  <c r="I1002" i="492"/>
  <c r="I1001" i="492"/>
  <c r="I1000" i="492"/>
  <c r="I999" i="492"/>
  <c r="I998" i="492"/>
  <c r="I997" i="492"/>
  <c r="I996" i="492"/>
  <c r="I995" i="492"/>
  <c r="I994" i="492"/>
  <c r="I993" i="492"/>
  <c r="I992" i="492"/>
  <c r="I991" i="492"/>
  <c r="I990" i="492"/>
  <c r="I989" i="492"/>
  <c r="I988" i="492"/>
  <c r="I987" i="492"/>
  <c r="I986" i="492"/>
  <c r="I985" i="492"/>
  <c r="I984" i="492"/>
  <c r="I983" i="492"/>
  <c r="I982" i="492"/>
  <c r="I981" i="492"/>
  <c r="I980" i="492"/>
  <c r="I979" i="492"/>
  <c r="I978" i="492"/>
  <c r="I977" i="492"/>
  <c r="I976" i="492"/>
  <c r="I975" i="492"/>
  <c r="I974" i="492"/>
  <c r="I973" i="492"/>
  <c r="I972" i="492"/>
  <c r="I971" i="492"/>
  <c r="I970" i="492"/>
  <c r="I969" i="492"/>
  <c r="I968" i="492"/>
  <c r="I967" i="492"/>
  <c r="I966" i="492"/>
  <c r="I965" i="492"/>
  <c r="I964" i="492"/>
  <c r="I963" i="492"/>
  <c r="I962" i="492"/>
  <c r="I961" i="492"/>
  <c r="I960" i="492"/>
  <c r="I959" i="492"/>
  <c r="I958" i="492"/>
  <c r="I957" i="492"/>
  <c r="I956" i="492"/>
  <c r="I955" i="492"/>
  <c r="I954" i="492"/>
  <c r="I953" i="492"/>
  <c r="I952" i="492"/>
  <c r="I951" i="492"/>
  <c r="I950" i="492"/>
  <c r="I949" i="492"/>
  <c r="I948" i="492"/>
  <c r="I947" i="492"/>
  <c r="I946" i="492"/>
  <c r="I945" i="492"/>
  <c r="I944" i="492"/>
  <c r="I943" i="492"/>
  <c r="I942" i="492"/>
  <c r="I941" i="492"/>
  <c r="I940" i="492"/>
  <c r="I939" i="492"/>
  <c r="I938" i="492"/>
  <c r="I937" i="492"/>
  <c r="I936" i="492"/>
  <c r="I935" i="492"/>
  <c r="I934" i="492"/>
  <c r="I933" i="492"/>
  <c r="I932" i="492"/>
  <c r="I931" i="492"/>
  <c r="I930" i="492"/>
  <c r="I929" i="492"/>
  <c r="I928" i="492"/>
  <c r="I927" i="492"/>
  <c r="I926" i="492"/>
  <c r="I925" i="492"/>
  <c r="I924" i="492"/>
  <c r="I923" i="492"/>
  <c r="I922" i="492"/>
  <c r="I921" i="492"/>
  <c r="I920" i="492"/>
  <c r="I919" i="492"/>
  <c r="I918" i="492"/>
  <c r="I917" i="492"/>
  <c r="I916" i="492"/>
  <c r="I915" i="492"/>
  <c r="I914" i="492"/>
  <c r="I913" i="492"/>
  <c r="I912" i="492"/>
  <c r="I911" i="492"/>
  <c r="I910" i="492"/>
  <c r="I909" i="492"/>
  <c r="I908" i="492"/>
  <c r="I907" i="492"/>
  <c r="I906" i="492"/>
  <c r="I905" i="492"/>
  <c r="I904" i="492"/>
  <c r="I903" i="492"/>
  <c r="I902" i="492"/>
  <c r="I901" i="492"/>
  <c r="I900" i="492"/>
  <c r="I899" i="492"/>
  <c r="I898" i="492"/>
  <c r="I897" i="492"/>
  <c r="I896" i="492"/>
  <c r="I895" i="492"/>
  <c r="I894" i="492"/>
  <c r="I893" i="492"/>
  <c r="I892" i="492"/>
  <c r="I891" i="492"/>
  <c r="I890" i="492"/>
  <c r="I889" i="492"/>
  <c r="I888" i="492"/>
  <c r="I887" i="492"/>
  <c r="I886" i="492"/>
  <c r="I885" i="492"/>
  <c r="I884" i="492"/>
  <c r="I883" i="492"/>
  <c r="I882" i="492"/>
  <c r="I881" i="492"/>
  <c r="I880" i="492"/>
  <c r="I879" i="492"/>
  <c r="I878" i="492"/>
  <c r="I877" i="492"/>
  <c r="I876" i="492"/>
  <c r="I875" i="492"/>
  <c r="I874" i="492"/>
  <c r="I873" i="492"/>
  <c r="I872" i="492"/>
  <c r="I871" i="492"/>
  <c r="I870" i="492"/>
  <c r="I869" i="492"/>
  <c r="I868" i="492"/>
  <c r="I867" i="492"/>
  <c r="I866" i="492"/>
  <c r="I865" i="492"/>
  <c r="I864" i="492"/>
  <c r="I863" i="492"/>
  <c r="I862" i="492"/>
  <c r="I861" i="492"/>
  <c r="I860" i="492"/>
  <c r="I859" i="492"/>
  <c r="I858" i="492"/>
  <c r="I857" i="492"/>
  <c r="I856" i="492"/>
  <c r="I855" i="492"/>
  <c r="I854" i="492"/>
  <c r="I853" i="492"/>
  <c r="I852" i="492"/>
  <c r="I851" i="492"/>
  <c r="I850" i="492"/>
  <c r="I849" i="492"/>
  <c r="I848" i="492"/>
  <c r="I847" i="492"/>
  <c r="I846" i="492"/>
  <c r="I845" i="492"/>
  <c r="I844" i="492"/>
  <c r="I843" i="492"/>
  <c r="I842" i="492"/>
  <c r="I841" i="492"/>
  <c r="I840" i="492"/>
  <c r="I839" i="492"/>
  <c r="I838" i="492"/>
  <c r="I837" i="492"/>
  <c r="I836" i="492"/>
  <c r="I835" i="492"/>
  <c r="I834" i="492"/>
  <c r="I833" i="492"/>
  <c r="I832" i="492"/>
  <c r="I831" i="492"/>
  <c r="I830" i="492"/>
  <c r="I829" i="492"/>
  <c r="I828" i="492"/>
  <c r="I827" i="492"/>
  <c r="I826" i="492"/>
  <c r="I825" i="492"/>
  <c r="I824" i="492"/>
  <c r="I823" i="492"/>
  <c r="I822" i="492"/>
  <c r="I821" i="492"/>
  <c r="I820" i="492"/>
  <c r="I819" i="492"/>
  <c r="I818" i="492"/>
  <c r="I817" i="492"/>
  <c r="I816" i="492"/>
  <c r="I815" i="492"/>
  <c r="I814" i="492"/>
  <c r="I813" i="492"/>
  <c r="I812" i="492"/>
  <c r="I811" i="492"/>
  <c r="I810" i="492"/>
  <c r="I809" i="492"/>
  <c r="I808" i="492"/>
  <c r="I807" i="492"/>
  <c r="I806" i="492"/>
  <c r="I805" i="492"/>
  <c r="I804" i="492"/>
  <c r="I803" i="492"/>
  <c r="I802" i="492"/>
  <c r="I801" i="492"/>
  <c r="I800" i="492"/>
  <c r="I799" i="492"/>
  <c r="I798" i="492"/>
  <c r="I797" i="492"/>
  <c r="I796" i="492"/>
  <c r="I795" i="492"/>
  <c r="I794" i="492"/>
  <c r="I793" i="492"/>
  <c r="I792" i="492"/>
  <c r="I791" i="492"/>
  <c r="I790" i="492"/>
  <c r="I789" i="492"/>
  <c r="I788" i="492"/>
  <c r="I787" i="492"/>
  <c r="I786" i="492"/>
  <c r="I785" i="492"/>
  <c r="I784" i="492"/>
  <c r="I783" i="492"/>
  <c r="I782" i="492"/>
  <c r="I781" i="492"/>
  <c r="I780" i="492"/>
  <c r="I779" i="492"/>
  <c r="I778" i="492"/>
  <c r="I777" i="492"/>
  <c r="I776" i="492"/>
  <c r="I775" i="492"/>
  <c r="I774" i="492"/>
  <c r="I773" i="492"/>
  <c r="I772" i="492"/>
  <c r="I771" i="492"/>
  <c r="I770" i="492"/>
  <c r="I769" i="492"/>
  <c r="I768" i="492"/>
  <c r="I767" i="492"/>
  <c r="I766" i="492"/>
  <c r="I765" i="492"/>
  <c r="I764" i="492"/>
  <c r="I763" i="492"/>
  <c r="I762" i="492"/>
  <c r="I761" i="492"/>
  <c r="I760" i="492"/>
  <c r="I759" i="492"/>
  <c r="I758" i="492"/>
  <c r="I757" i="492"/>
  <c r="I756" i="492"/>
  <c r="I755" i="492"/>
  <c r="I754" i="492"/>
  <c r="I753" i="492"/>
  <c r="I752" i="492"/>
  <c r="I751" i="492"/>
  <c r="I750" i="492"/>
  <c r="I749" i="492"/>
  <c r="I748" i="492"/>
  <c r="I747" i="492"/>
  <c r="I746" i="492"/>
  <c r="I745" i="492"/>
  <c r="I744" i="492"/>
  <c r="I743" i="492"/>
  <c r="I742" i="492"/>
  <c r="I741" i="492"/>
  <c r="I740" i="492"/>
  <c r="I739" i="492"/>
  <c r="I738" i="492"/>
  <c r="I737" i="492"/>
  <c r="I736" i="492"/>
  <c r="I735" i="492"/>
  <c r="I734" i="492"/>
  <c r="I733" i="492"/>
  <c r="I732" i="492"/>
  <c r="I731" i="492"/>
  <c r="I730" i="492"/>
  <c r="I729" i="492"/>
  <c r="I728" i="492"/>
  <c r="I727" i="492"/>
  <c r="I726" i="492"/>
  <c r="I725" i="492"/>
  <c r="I724" i="492"/>
  <c r="I723" i="492"/>
  <c r="I722" i="492"/>
  <c r="I721" i="492"/>
  <c r="I720" i="492"/>
  <c r="I719" i="492"/>
  <c r="I718" i="492"/>
  <c r="I717" i="492"/>
  <c r="I716" i="492"/>
  <c r="I715" i="492"/>
  <c r="I714" i="492"/>
  <c r="I713" i="492"/>
  <c r="I712" i="492"/>
  <c r="I711" i="492"/>
  <c r="I710" i="492"/>
  <c r="I709" i="492"/>
  <c r="I708" i="492"/>
  <c r="I707" i="492"/>
  <c r="I706" i="492"/>
  <c r="I705" i="492"/>
  <c r="I704" i="492"/>
  <c r="I703" i="492"/>
  <c r="I702" i="492"/>
  <c r="I701" i="492"/>
  <c r="I700" i="492"/>
  <c r="I699" i="492"/>
  <c r="I698" i="492"/>
  <c r="I697" i="492"/>
  <c r="I696" i="492"/>
  <c r="I695" i="492"/>
  <c r="I694" i="492"/>
  <c r="I693" i="492"/>
  <c r="I692" i="492"/>
  <c r="I691" i="492"/>
  <c r="I690" i="492"/>
  <c r="I689" i="492"/>
  <c r="I688" i="492"/>
  <c r="I687" i="492"/>
  <c r="I686" i="492"/>
  <c r="I685" i="492"/>
  <c r="I684" i="492"/>
  <c r="I683" i="492"/>
  <c r="I682" i="492"/>
  <c r="I681" i="492"/>
  <c r="I680" i="492"/>
  <c r="I679" i="492"/>
  <c r="I678" i="492"/>
  <c r="I677" i="492"/>
  <c r="I676" i="492"/>
  <c r="I675" i="492"/>
  <c r="I674" i="492"/>
  <c r="I673" i="492"/>
  <c r="I672" i="492"/>
  <c r="I671" i="492"/>
  <c r="I670" i="492"/>
  <c r="I669" i="492"/>
  <c r="I668" i="492"/>
  <c r="I667" i="492"/>
  <c r="I666" i="492"/>
  <c r="I665" i="492"/>
  <c r="I664" i="492"/>
  <c r="I663" i="492"/>
  <c r="I662" i="492"/>
  <c r="I661" i="492"/>
  <c r="I660" i="492"/>
  <c r="I659" i="492"/>
  <c r="I658" i="492"/>
  <c r="I657" i="492"/>
  <c r="I656" i="492"/>
  <c r="I655" i="492"/>
  <c r="I654" i="492"/>
  <c r="I653" i="492"/>
  <c r="I652" i="492"/>
  <c r="I651" i="492"/>
  <c r="I650" i="492"/>
  <c r="I649" i="492"/>
  <c r="I648" i="492"/>
  <c r="I647" i="492"/>
  <c r="I646" i="492"/>
  <c r="I645" i="492"/>
  <c r="I644" i="492"/>
  <c r="I643" i="492"/>
  <c r="I642" i="492"/>
  <c r="I641" i="492"/>
  <c r="I640" i="492"/>
  <c r="I639" i="492"/>
  <c r="I638" i="492"/>
  <c r="I637" i="492"/>
  <c r="I636" i="492"/>
  <c r="I635" i="492"/>
  <c r="I634" i="492"/>
  <c r="I633" i="492"/>
  <c r="I632" i="492"/>
  <c r="I631" i="492"/>
  <c r="I630" i="492"/>
  <c r="I629" i="492"/>
  <c r="I628" i="492"/>
  <c r="I627" i="492"/>
  <c r="I626" i="492"/>
  <c r="I625" i="492"/>
  <c r="I624" i="492"/>
  <c r="I623" i="492"/>
  <c r="I622" i="492"/>
  <c r="I621" i="492"/>
  <c r="I620" i="492"/>
  <c r="I619" i="492"/>
  <c r="I618" i="492"/>
  <c r="I617" i="492"/>
  <c r="I616" i="492"/>
  <c r="I615" i="492"/>
  <c r="I614" i="492"/>
  <c r="I613" i="492"/>
  <c r="I612" i="492"/>
  <c r="I611" i="492"/>
  <c r="I610" i="492"/>
  <c r="I609" i="492"/>
  <c r="I608" i="492"/>
  <c r="I607" i="492"/>
  <c r="I606" i="492"/>
  <c r="I605" i="492"/>
  <c r="I604" i="492"/>
  <c r="I603" i="492"/>
  <c r="I602" i="492"/>
  <c r="I601" i="492"/>
  <c r="I600" i="492"/>
  <c r="I599" i="492"/>
  <c r="I598" i="492"/>
  <c r="I597" i="492"/>
  <c r="I596" i="492"/>
  <c r="I595" i="492"/>
  <c r="I594" i="492"/>
  <c r="I593" i="492"/>
  <c r="I592" i="492"/>
  <c r="I591" i="492"/>
  <c r="I590" i="492"/>
  <c r="I589" i="492"/>
  <c r="I588" i="492"/>
  <c r="I587" i="492"/>
  <c r="I586" i="492"/>
  <c r="I585" i="492"/>
  <c r="I584" i="492"/>
  <c r="I583" i="492"/>
  <c r="I582" i="492"/>
  <c r="I581" i="492"/>
  <c r="I580" i="492"/>
  <c r="I579" i="492"/>
  <c r="I578" i="492"/>
  <c r="I577" i="492"/>
  <c r="I576" i="492"/>
  <c r="I575" i="492"/>
  <c r="I574" i="492"/>
  <c r="I573" i="492"/>
  <c r="I572" i="492"/>
  <c r="I571" i="492"/>
  <c r="I570" i="492"/>
  <c r="I569" i="492"/>
  <c r="I568" i="492"/>
  <c r="I567" i="492"/>
  <c r="I566" i="492"/>
  <c r="I565" i="492"/>
  <c r="I564" i="492"/>
  <c r="I563" i="492"/>
  <c r="I562" i="492"/>
  <c r="I561" i="492"/>
  <c r="I560" i="492"/>
  <c r="I559" i="492"/>
  <c r="I558" i="492"/>
  <c r="I557" i="492"/>
  <c r="I556" i="492"/>
  <c r="I555" i="492"/>
  <c r="I554" i="492"/>
  <c r="I553" i="492"/>
  <c r="I552" i="492"/>
  <c r="I551" i="492"/>
  <c r="I550" i="492"/>
  <c r="I549" i="492"/>
  <c r="I548" i="492"/>
  <c r="I547" i="492"/>
  <c r="I546" i="492"/>
  <c r="I545" i="492"/>
  <c r="I544" i="492"/>
  <c r="I543" i="492"/>
  <c r="I542" i="492"/>
  <c r="I541" i="492"/>
  <c r="I540" i="492"/>
  <c r="I539" i="492"/>
  <c r="I538" i="492"/>
  <c r="I537" i="492"/>
  <c r="I536" i="492"/>
  <c r="I535" i="492"/>
  <c r="I534" i="492"/>
  <c r="I533" i="492"/>
  <c r="I532" i="492"/>
  <c r="I531" i="492"/>
  <c r="I530" i="492"/>
  <c r="I529" i="492"/>
  <c r="I528" i="492"/>
  <c r="I527" i="492"/>
  <c r="I526" i="492"/>
  <c r="I525" i="492"/>
  <c r="I524" i="492"/>
  <c r="I523" i="492"/>
  <c r="I522" i="492"/>
  <c r="I521" i="492"/>
  <c r="I520" i="492"/>
  <c r="I519" i="492"/>
  <c r="I518" i="492"/>
  <c r="I517" i="492"/>
  <c r="I516" i="492"/>
  <c r="I515" i="492"/>
  <c r="I514" i="492"/>
  <c r="I513" i="492"/>
  <c r="I512" i="492"/>
  <c r="I511" i="492"/>
  <c r="I510" i="492"/>
  <c r="I509" i="492"/>
  <c r="I508" i="492"/>
  <c r="I507" i="492"/>
  <c r="I506" i="492"/>
  <c r="I505" i="492"/>
  <c r="I504" i="492"/>
  <c r="I503" i="492"/>
  <c r="I502" i="492"/>
  <c r="I501" i="492"/>
  <c r="I500" i="492"/>
  <c r="I499" i="492"/>
  <c r="I498" i="492"/>
  <c r="I497" i="492"/>
  <c r="I496" i="492"/>
  <c r="I495" i="492"/>
  <c r="I494" i="492"/>
  <c r="I493" i="492"/>
  <c r="I492" i="492"/>
  <c r="I491" i="492"/>
  <c r="I490" i="492"/>
  <c r="I489" i="492"/>
  <c r="I488" i="492"/>
  <c r="I487" i="492"/>
  <c r="I486" i="492"/>
  <c r="I485" i="492"/>
  <c r="I484" i="492"/>
  <c r="I483" i="492"/>
  <c r="I482" i="492"/>
  <c r="I481" i="492"/>
  <c r="I480" i="492"/>
  <c r="I479" i="492"/>
  <c r="I478" i="492"/>
  <c r="I477" i="492"/>
  <c r="I476" i="492"/>
  <c r="I475" i="492"/>
  <c r="I474" i="492"/>
  <c r="I473" i="492"/>
  <c r="I472" i="492"/>
  <c r="I471" i="492"/>
  <c r="I470" i="492"/>
  <c r="I469" i="492"/>
  <c r="I468" i="492"/>
  <c r="I467" i="492"/>
  <c r="I466" i="492"/>
  <c r="I465" i="492"/>
  <c r="I464" i="492"/>
  <c r="I463" i="492"/>
  <c r="I462" i="492"/>
  <c r="I461" i="492"/>
  <c r="I460" i="492"/>
  <c r="I459" i="492"/>
  <c r="I458" i="492"/>
  <c r="I457" i="492"/>
  <c r="I456" i="492"/>
  <c r="I455" i="492"/>
  <c r="I454" i="492"/>
  <c r="I453" i="492"/>
  <c r="I452" i="492"/>
  <c r="I451" i="492"/>
  <c r="I450" i="492"/>
  <c r="I449" i="492"/>
  <c r="I448" i="492"/>
  <c r="I447" i="492"/>
  <c r="I446" i="492"/>
  <c r="I445" i="492"/>
  <c r="I444" i="492"/>
  <c r="I443" i="492"/>
  <c r="I442" i="492"/>
  <c r="I441" i="492"/>
  <c r="I440" i="492"/>
  <c r="I439" i="492"/>
  <c r="I438" i="492"/>
  <c r="I437" i="492"/>
  <c r="I436" i="492"/>
  <c r="I435" i="492"/>
  <c r="I434" i="492"/>
  <c r="I433" i="492"/>
  <c r="I432" i="492"/>
  <c r="I431" i="492"/>
  <c r="I430" i="492"/>
  <c r="I429" i="492"/>
  <c r="I428" i="492"/>
  <c r="I427" i="492"/>
  <c r="I426" i="492"/>
  <c r="I425" i="492"/>
  <c r="I424" i="492"/>
  <c r="I423" i="492"/>
  <c r="I422" i="492"/>
  <c r="I421" i="492"/>
  <c r="I420" i="492"/>
  <c r="I419" i="492"/>
  <c r="I418" i="492"/>
  <c r="I417" i="492"/>
  <c r="I416" i="492"/>
  <c r="I415" i="492"/>
  <c r="I414" i="492"/>
  <c r="I413" i="492"/>
  <c r="I412" i="492"/>
  <c r="I411" i="492"/>
  <c r="I410" i="492"/>
  <c r="I409" i="492"/>
  <c r="I408" i="492"/>
  <c r="I407" i="492"/>
  <c r="I406" i="492"/>
  <c r="I405" i="492"/>
  <c r="I404" i="492"/>
  <c r="I403" i="492"/>
  <c r="I402" i="492"/>
  <c r="I401" i="492"/>
  <c r="I400" i="492"/>
  <c r="I399" i="492"/>
  <c r="I398" i="492"/>
  <c r="I397" i="492"/>
  <c r="I396" i="492"/>
  <c r="I395" i="492"/>
  <c r="I394" i="492"/>
  <c r="I393" i="492"/>
  <c r="I392" i="492"/>
  <c r="I391" i="492"/>
  <c r="I390" i="492"/>
  <c r="I389" i="492"/>
  <c r="I388" i="492"/>
  <c r="I387" i="492"/>
  <c r="I386" i="492"/>
  <c r="I385" i="492"/>
  <c r="I384" i="492"/>
  <c r="I383" i="492"/>
  <c r="I382" i="492"/>
  <c r="I381" i="492"/>
  <c r="I380" i="492"/>
  <c r="I379" i="492"/>
  <c r="I378" i="492"/>
  <c r="I377" i="492"/>
  <c r="I376" i="492"/>
  <c r="I375" i="492"/>
  <c r="I374" i="492"/>
  <c r="I373" i="492"/>
  <c r="I372" i="492"/>
  <c r="I371" i="492"/>
  <c r="I370" i="492"/>
  <c r="I369" i="492"/>
  <c r="I368" i="492"/>
  <c r="I367" i="492"/>
  <c r="I366" i="492"/>
  <c r="I365" i="492"/>
  <c r="I364" i="492"/>
  <c r="I363" i="492"/>
  <c r="I362" i="492"/>
  <c r="I361" i="492"/>
  <c r="I360" i="492"/>
  <c r="I359" i="492"/>
  <c r="I358" i="492"/>
  <c r="I357" i="492"/>
  <c r="I356" i="492"/>
  <c r="I355" i="492"/>
  <c r="I354" i="492"/>
  <c r="I353" i="492"/>
  <c r="I352" i="492"/>
  <c r="I351" i="492"/>
  <c r="I350" i="492"/>
  <c r="I349" i="492"/>
  <c r="I348" i="492"/>
  <c r="I347" i="492"/>
  <c r="I346" i="492"/>
  <c r="I345" i="492"/>
  <c r="I344" i="492"/>
  <c r="I343" i="492"/>
  <c r="I342" i="492"/>
  <c r="I341" i="492"/>
  <c r="I340" i="492"/>
  <c r="I339" i="492"/>
  <c r="I338" i="492"/>
  <c r="I337" i="492"/>
  <c r="I336" i="492"/>
  <c r="I335" i="492"/>
  <c r="I334" i="492"/>
  <c r="I333" i="492"/>
  <c r="I332" i="492"/>
  <c r="I331" i="492"/>
  <c r="I330" i="492"/>
  <c r="I329" i="492"/>
  <c r="I328" i="492"/>
  <c r="I327" i="492"/>
  <c r="I326" i="492"/>
  <c r="I325" i="492"/>
  <c r="I324" i="492"/>
  <c r="I323" i="492"/>
  <c r="I322" i="492"/>
  <c r="I321" i="492"/>
  <c r="I320" i="492"/>
  <c r="I319" i="492"/>
  <c r="I318" i="492"/>
  <c r="I317" i="492"/>
  <c r="I316" i="492"/>
  <c r="I315" i="492"/>
  <c r="I314" i="492"/>
  <c r="I313" i="492"/>
  <c r="I312" i="492"/>
  <c r="I311" i="492"/>
  <c r="I310" i="492"/>
  <c r="I309" i="492"/>
  <c r="I308" i="492"/>
  <c r="I307" i="492"/>
  <c r="I306" i="492"/>
  <c r="I305" i="492"/>
  <c r="I304" i="492"/>
  <c r="I303" i="492"/>
  <c r="I302" i="492"/>
  <c r="I301" i="492"/>
  <c r="I300" i="492"/>
  <c r="I299" i="492"/>
  <c r="I298" i="492"/>
  <c r="I297" i="492"/>
  <c r="I296" i="492"/>
  <c r="I295" i="492"/>
  <c r="I294" i="492"/>
  <c r="I293" i="492"/>
  <c r="I292" i="492"/>
  <c r="I291" i="492"/>
  <c r="I290" i="492"/>
  <c r="I289" i="492"/>
  <c r="I288" i="492"/>
  <c r="I287" i="492"/>
  <c r="I286" i="492"/>
  <c r="I285" i="492"/>
  <c r="I284" i="492"/>
  <c r="I283" i="492"/>
  <c r="I282" i="492"/>
  <c r="I281" i="492"/>
  <c r="I280" i="492"/>
  <c r="I279" i="492"/>
  <c r="I278" i="492"/>
  <c r="I277" i="492"/>
  <c r="I276" i="492"/>
  <c r="I275" i="492"/>
  <c r="I274" i="492"/>
  <c r="I273" i="492"/>
  <c r="I272" i="492"/>
  <c r="I271" i="492"/>
  <c r="I270" i="492"/>
  <c r="I269" i="492"/>
  <c r="I268" i="492"/>
  <c r="I267" i="492"/>
  <c r="I266" i="492"/>
  <c r="I265" i="492"/>
  <c r="I264" i="492"/>
  <c r="I263" i="492"/>
  <c r="I262" i="492"/>
  <c r="I261" i="492"/>
  <c r="I260" i="492"/>
  <c r="I259" i="492"/>
  <c r="I258" i="492"/>
  <c r="I257" i="492"/>
  <c r="I256" i="492"/>
  <c r="I255" i="492"/>
  <c r="I254" i="492"/>
  <c r="I253" i="492"/>
  <c r="I252" i="492"/>
  <c r="I251" i="492"/>
  <c r="I250" i="492"/>
  <c r="I249" i="492"/>
  <c r="I248" i="492"/>
  <c r="I247" i="492"/>
  <c r="I246" i="492"/>
  <c r="I245" i="492"/>
  <c r="I244" i="492"/>
  <c r="I243" i="492"/>
  <c r="I242" i="492"/>
  <c r="I241" i="492"/>
  <c r="I240" i="492"/>
  <c r="I239" i="492"/>
  <c r="I238" i="492"/>
  <c r="I237" i="492"/>
  <c r="I236" i="492"/>
  <c r="I235" i="492"/>
  <c r="I234" i="492"/>
  <c r="I233" i="492"/>
  <c r="I232" i="492"/>
  <c r="I231" i="492"/>
  <c r="I230" i="492"/>
  <c r="I229" i="492"/>
  <c r="I228" i="492"/>
  <c r="I227" i="492"/>
  <c r="I226" i="492"/>
  <c r="I225" i="492"/>
  <c r="I224" i="492"/>
  <c r="I223" i="492"/>
  <c r="I222" i="492"/>
  <c r="I221" i="492"/>
  <c r="I220" i="492"/>
  <c r="I219" i="492"/>
  <c r="I218" i="492"/>
  <c r="I217" i="492"/>
  <c r="I216" i="492"/>
  <c r="I215" i="492"/>
  <c r="I214" i="492"/>
  <c r="I213" i="492"/>
  <c r="I212" i="492"/>
  <c r="I211" i="492"/>
  <c r="I210" i="492"/>
  <c r="I209" i="492"/>
  <c r="I208" i="492"/>
  <c r="I207" i="492"/>
  <c r="I206" i="492"/>
  <c r="I205" i="492"/>
  <c r="I204" i="492"/>
  <c r="I203" i="492"/>
  <c r="I202" i="492"/>
  <c r="I201" i="492"/>
  <c r="I200" i="492"/>
  <c r="I199" i="492"/>
  <c r="I198" i="492"/>
  <c r="I197" i="492"/>
  <c r="I196" i="492"/>
  <c r="I195" i="492"/>
  <c r="I194" i="492"/>
  <c r="I193" i="492"/>
  <c r="I192" i="492"/>
  <c r="I191" i="492"/>
  <c r="I190" i="492"/>
  <c r="I189" i="492"/>
  <c r="I188" i="492"/>
  <c r="I187" i="492"/>
  <c r="I186" i="492"/>
  <c r="I185" i="492"/>
  <c r="I184" i="492"/>
  <c r="I183" i="492"/>
  <c r="I182" i="492"/>
  <c r="I181" i="492"/>
  <c r="I180" i="492"/>
  <c r="I179" i="492"/>
  <c r="I178" i="492"/>
  <c r="I177" i="492"/>
  <c r="I176" i="492"/>
  <c r="I175" i="492"/>
  <c r="I174" i="492"/>
  <c r="I173" i="492"/>
  <c r="I172" i="492"/>
  <c r="I171" i="492"/>
  <c r="I170" i="492"/>
  <c r="I169" i="492"/>
  <c r="I168" i="492"/>
  <c r="I167" i="492"/>
  <c r="I166" i="492"/>
  <c r="I165" i="492"/>
  <c r="I164" i="492"/>
  <c r="I163" i="492"/>
  <c r="I162" i="492"/>
  <c r="I161" i="492"/>
  <c r="I160" i="492"/>
  <c r="I159" i="492"/>
  <c r="I158" i="492"/>
  <c r="I157" i="492"/>
  <c r="I156" i="492"/>
  <c r="I155" i="492"/>
  <c r="I154" i="492"/>
  <c r="I153" i="492"/>
  <c r="I152" i="492"/>
  <c r="I151" i="492"/>
  <c r="I150" i="492"/>
  <c r="I149" i="492"/>
  <c r="I148" i="492"/>
  <c r="I147" i="492"/>
  <c r="I146" i="492"/>
  <c r="I145" i="492"/>
  <c r="I144" i="492"/>
  <c r="I143" i="492"/>
  <c r="I142" i="492"/>
  <c r="I141" i="492"/>
  <c r="I140" i="492"/>
  <c r="I139" i="492"/>
  <c r="I138" i="492"/>
  <c r="I137" i="492"/>
  <c r="I136" i="492"/>
  <c r="I135" i="492"/>
  <c r="I134" i="492"/>
  <c r="I133" i="492"/>
  <c r="I132" i="492"/>
  <c r="I131" i="492"/>
  <c r="I130" i="492"/>
  <c r="I129" i="492"/>
  <c r="I128" i="492"/>
  <c r="I127" i="492"/>
  <c r="I126" i="492"/>
  <c r="I125" i="492"/>
  <c r="I124" i="492"/>
  <c r="I123" i="492"/>
  <c r="I122" i="492"/>
  <c r="I121" i="492"/>
  <c r="I120" i="492"/>
  <c r="I119" i="492"/>
  <c r="I118" i="492"/>
  <c r="I117" i="492"/>
  <c r="I116" i="492"/>
  <c r="I115" i="492"/>
  <c r="I114" i="492"/>
  <c r="I113" i="492"/>
  <c r="I112" i="492"/>
  <c r="I111" i="492"/>
  <c r="I110" i="492"/>
  <c r="I109" i="492"/>
  <c r="I108" i="492"/>
  <c r="I107" i="492"/>
  <c r="I106" i="492"/>
  <c r="I105" i="492"/>
  <c r="I104" i="492"/>
  <c r="I103" i="492"/>
  <c r="I102" i="492"/>
  <c r="I101" i="492"/>
  <c r="I100" i="492"/>
  <c r="I99" i="492"/>
  <c r="I98" i="492"/>
  <c r="I97" i="492"/>
  <c r="I96" i="492"/>
  <c r="I95" i="492"/>
  <c r="I94" i="492"/>
  <c r="I93" i="492"/>
  <c r="I92" i="492"/>
  <c r="I91" i="492"/>
  <c r="I90" i="492"/>
  <c r="I89" i="492"/>
  <c r="I88" i="492"/>
  <c r="I87" i="492"/>
  <c r="I86" i="492"/>
  <c r="I85" i="492"/>
  <c r="I84" i="492"/>
  <c r="I83" i="492"/>
  <c r="I82" i="492"/>
  <c r="I81" i="492"/>
  <c r="I80" i="492"/>
  <c r="I79" i="492"/>
  <c r="I78" i="492"/>
  <c r="I77" i="492"/>
  <c r="I76" i="492"/>
  <c r="I75" i="492"/>
  <c r="I74" i="492"/>
  <c r="I73" i="492"/>
  <c r="I72" i="492"/>
  <c r="I71" i="492"/>
  <c r="I70" i="492"/>
  <c r="I69" i="492"/>
  <c r="I68" i="492"/>
  <c r="I67" i="492"/>
  <c r="I66" i="492"/>
  <c r="I65" i="492"/>
  <c r="I64" i="492"/>
  <c r="I63" i="492"/>
  <c r="I62" i="492"/>
  <c r="I61" i="492"/>
  <c r="I60" i="492"/>
  <c r="I59" i="492"/>
  <c r="I58" i="492"/>
  <c r="I57" i="492"/>
  <c r="I56" i="492"/>
  <c r="I55" i="492"/>
  <c r="I54" i="492"/>
  <c r="I53" i="492"/>
  <c r="I52" i="492"/>
  <c r="I51" i="492"/>
  <c r="I50" i="492"/>
  <c r="I49" i="492"/>
  <c r="I48" i="492"/>
  <c r="I47" i="492"/>
  <c r="I46" i="492"/>
  <c r="I45" i="492"/>
  <c r="I44" i="492"/>
  <c r="I43" i="492"/>
  <c r="I42" i="492"/>
  <c r="I41" i="492"/>
  <c r="I40" i="492"/>
  <c r="I39" i="492"/>
  <c r="I38" i="492"/>
  <c r="I37" i="492"/>
  <c r="I36" i="492"/>
  <c r="I35" i="492"/>
  <c r="I34" i="492"/>
  <c r="I33" i="492"/>
  <c r="I32" i="492"/>
  <c r="I31" i="492"/>
  <c r="I30" i="492"/>
  <c r="I29" i="492"/>
  <c r="I28" i="492"/>
  <c r="I27" i="492"/>
  <c r="I26" i="492"/>
  <c r="I25" i="492"/>
  <c r="I24" i="492"/>
  <c r="I23" i="492"/>
  <c r="I22" i="492"/>
  <c r="I21" i="492"/>
  <c r="I20" i="492"/>
  <c r="I19" i="492"/>
  <c r="I18" i="492"/>
  <c r="I17" i="492"/>
  <c r="I16" i="492"/>
  <c r="I15" i="492"/>
  <c r="I14" i="492"/>
  <c r="I13" i="492"/>
  <c r="I12" i="492"/>
  <c r="I11" i="492"/>
  <c r="I10" i="492"/>
  <c r="I9" i="492"/>
  <c r="I8" i="492"/>
  <c r="I7" i="492"/>
  <c r="I6" i="492"/>
  <c r="I5" i="492"/>
  <c r="I4" i="492"/>
  <c r="I3" i="492"/>
  <c r="I2" i="492"/>
  <c r="J1165" i="491"/>
  <c r="F1165" i="491"/>
  <c r="I1165" i="491" s="1"/>
  <c r="J1164" i="491"/>
  <c r="I1164" i="491"/>
  <c r="F1164" i="491"/>
  <c r="J1163" i="491"/>
  <c r="F1163" i="491"/>
  <c r="I1163" i="491" s="1"/>
  <c r="J1162" i="491"/>
  <c r="I1162" i="491"/>
  <c r="F1162" i="491"/>
  <c r="J1161" i="491"/>
  <c r="F1161" i="491"/>
  <c r="I1161" i="491" s="1"/>
  <c r="J1160" i="491"/>
  <c r="F1160" i="491"/>
  <c r="I1160" i="491" s="1"/>
  <c r="J1159" i="491"/>
  <c r="F1159" i="491"/>
  <c r="I1159" i="491" s="1"/>
  <c r="J1158" i="491"/>
  <c r="F1158" i="491"/>
  <c r="I1158" i="491" s="1"/>
  <c r="J1157" i="491"/>
  <c r="I1157" i="491"/>
  <c r="F1157" i="491"/>
  <c r="J1156" i="491"/>
  <c r="I1156" i="491"/>
  <c r="F1156" i="491"/>
  <c r="J1155" i="491"/>
  <c r="F1155" i="491"/>
  <c r="I1155" i="491" s="1"/>
  <c r="J1154" i="491"/>
  <c r="I1154" i="491"/>
  <c r="F1154" i="491"/>
  <c r="J1153" i="491"/>
  <c r="F1153" i="491"/>
  <c r="I1153" i="491" s="1"/>
  <c r="J1152" i="491"/>
  <c r="I1152" i="491"/>
  <c r="F1152" i="491"/>
  <c r="J1151" i="491"/>
  <c r="F1151" i="491"/>
  <c r="I1151" i="491" s="1"/>
  <c r="J1150" i="491"/>
  <c r="F1150" i="491"/>
  <c r="I1150" i="491" s="1"/>
  <c r="J1149" i="491"/>
  <c r="F1149" i="491"/>
  <c r="I1149" i="491" s="1"/>
  <c r="J1148" i="491"/>
  <c r="I1148" i="491"/>
  <c r="F1148" i="491"/>
  <c r="J1147" i="491"/>
  <c r="F1147" i="491"/>
  <c r="I1147" i="491" s="1"/>
  <c r="J1146" i="491"/>
  <c r="I1146" i="491"/>
  <c r="F1146" i="491"/>
  <c r="J1145" i="491"/>
  <c r="F1145" i="491"/>
  <c r="I1145" i="491" s="1"/>
  <c r="J1144" i="491"/>
  <c r="F1144" i="491"/>
  <c r="I1144" i="491" s="1"/>
  <c r="J1143" i="491"/>
  <c r="F1143" i="491"/>
  <c r="I1143" i="491" s="1"/>
  <c r="J1142" i="491"/>
  <c r="F1142" i="491"/>
  <c r="I1142" i="491" s="1"/>
  <c r="J1141" i="491"/>
  <c r="I1141" i="491"/>
  <c r="F1141" i="491"/>
  <c r="J1140" i="491"/>
  <c r="I1140" i="491"/>
  <c r="F1140" i="491"/>
  <c r="J1139" i="491"/>
  <c r="F1139" i="491"/>
  <c r="I1139" i="491" s="1"/>
  <c r="J1138" i="491"/>
  <c r="I1138" i="491"/>
  <c r="F1138" i="491"/>
  <c r="J1137" i="491"/>
  <c r="F1137" i="491"/>
  <c r="I1137" i="491" s="1"/>
  <c r="J1136" i="491"/>
  <c r="I1136" i="491"/>
  <c r="F1136" i="491"/>
  <c r="J1135" i="491"/>
  <c r="F1135" i="491"/>
  <c r="I1135" i="491" s="1"/>
  <c r="J1134" i="491"/>
  <c r="F1134" i="491"/>
  <c r="I1134" i="491" s="1"/>
  <c r="J1133" i="491"/>
  <c r="F1133" i="491"/>
  <c r="I1133" i="491" s="1"/>
  <c r="J1132" i="491"/>
  <c r="I1132" i="491"/>
  <c r="F1132" i="491"/>
  <c r="J1131" i="491"/>
  <c r="F1131" i="491"/>
  <c r="I1131" i="491" s="1"/>
  <c r="J1130" i="491"/>
  <c r="I1130" i="491"/>
  <c r="F1130" i="491"/>
  <c r="J1129" i="491"/>
  <c r="F1129" i="491"/>
  <c r="I1129" i="491" s="1"/>
  <c r="J1128" i="491"/>
  <c r="F1128" i="491"/>
  <c r="I1128" i="491" s="1"/>
  <c r="J1127" i="491"/>
  <c r="F1127" i="491"/>
  <c r="I1127" i="491" s="1"/>
  <c r="J1126" i="491"/>
  <c r="F1126" i="491"/>
  <c r="I1126" i="491" s="1"/>
  <c r="J1125" i="491"/>
  <c r="I1125" i="491"/>
  <c r="F1125" i="491"/>
  <c r="J1124" i="491"/>
  <c r="I1124" i="491"/>
  <c r="F1124" i="491"/>
  <c r="J1123" i="491"/>
  <c r="F1123" i="491"/>
  <c r="I1123" i="491" s="1"/>
  <c r="J1122" i="491"/>
  <c r="I1122" i="491"/>
  <c r="F1122" i="491"/>
  <c r="J1121" i="491"/>
  <c r="F1121" i="491"/>
  <c r="I1121" i="491" s="1"/>
  <c r="J1120" i="491"/>
  <c r="I1120" i="491"/>
  <c r="F1120" i="491"/>
  <c r="J1119" i="491"/>
  <c r="F1119" i="491"/>
  <c r="I1119" i="491" s="1"/>
  <c r="J1118" i="491"/>
  <c r="F1118" i="491"/>
  <c r="I1118" i="491" s="1"/>
  <c r="J1117" i="491"/>
  <c r="F1117" i="491"/>
  <c r="I1117" i="491" s="1"/>
  <c r="J1116" i="491"/>
  <c r="I1116" i="491"/>
  <c r="F1116" i="491"/>
  <c r="J1115" i="491"/>
  <c r="F1115" i="491"/>
  <c r="I1115" i="491" s="1"/>
  <c r="J1114" i="491"/>
  <c r="I1114" i="491"/>
  <c r="F1114" i="491"/>
  <c r="J1113" i="491"/>
  <c r="F1113" i="491"/>
  <c r="I1113" i="491" s="1"/>
  <c r="J1112" i="491"/>
  <c r="F1112" i="491"/>
  <c r="I1112" i="491" s="1"/>
  <c r="J1111" i="491"/>
  <c r="F1111" i="491"/>
  <c r="I1111" i="491" s="1"/>
  <c r="J1110" i="491"/>
  <c r="F1110" i="491"/>
  <c r="I1110" i="491" s="1"/>
  <c r="J1109" i="491"/>
  <c r="I1109" i="491"/>
  <c r="F1109" i="491"/>
  <c r="J1108" i="491"/>
  <c r="I1108" i="491"/>
  <c r="F1108" i="491"/>
  <c r="J1107" i="491"/>
  <c r="F1107" i="491"/>
  <c r="I1107" i="491" s="1"/>
  <c r="J1106" i="491"/>
  <c r="I1106" i="491"/>
  <c r="F1106" i="491"/>
  <c r="J1105" i="491"/>
  <c r="F1105" i="491"/>
  <c r="I1105" i="491" s="1"/>
  <c r="J1104" i="491"/>
  <c r="I1104" i="491"/>
  <c r="F1104" i="491"/>
  <c r="J1103" i="491"/>
  <c r="F1103" i="491"/>
  <c r="I1103" i="491" s="1"/>
  <c r="J1102" i="491"/>
  <c r="F1102" i="491"/>
  <c r="I1102" i="491" s="1"/>
  <c r="J1101" i="491"/>
  <c r="F1101" i="491"/>
  <c r="I1101" i="491" s="1"/>
  <c r="J1100" i="491"/>
  <c r="I1100" i="491"/>
  <c r="F1100" i="491"/>
  <c r="J1099" i="491"/>
  <c r="F1099" i="491"/>
  <c r="I1099" i="491" s="1"/>
  <c r="J1098" i="491"/>
  <c r="I1098" i="491"/>
  <c r="F1098" i="491"/>
  <c r="J1097" i="491"/>
  <c r="F1097" i="491"/>
  <c r="I1097" i="491" s="1"/>
  <c r="J1096" i="491"/>
  <c r="F1096" i="491"/>
  <c r="I1096" i="491" s="1"/>
  <c r="J1095" i="491"/>
  <c r="F1095" i="491"/>
  <c r="I1095" i="491" s="1"/>
  <c r="J1094" i="491"/>
  <c r="F1094" i="491"/>
  <c r="I1094" i="491" s="1"/>
  <c r="J1093" i="491"/>
  <c r="I1093" i="491"/>
  <c r="F1093" i="491"/>
  <c r="J1092" i="491"/>
  <c r="I1092" i="491"/>
  <c r="F1092" i="491"/>
  <c r="J1091" i="491"/>
  <c r="F1091" i="491"/>
  <c r="I1091" i="491" s="1"/>
  <c r="J1090" i="491"/>
  <c r="I1090" i="491"/>
  <c r="F1090" i="491"/>
  <c r="J1089" i="491"/>
  <c r="F1089" i="491"/>
  <c r="I1089" i="491" s="1"/>
  <c r="J1088" i="491"/>
  <c r="I1088" i="491"/>
  <c r="F1088" i="491"/>
  <c r="J1087" i="491"/>
  <c r="F1087" i="491"/>
  <c r="I1087" i="491" s="1"/>
  <c r="J1086" i="491"/>
  <c r="F1086" i="491"/>
  <c r="I1086" i="491" s="1"/>
  <c r="J1085" i="491"/>
  <c r="F1085" i="491"/>
  <c r="I1085" i="491" s="1"/>
  <c r="J1084" i="491"/>
  <c r="I1084" i="491"/>
  <c r="F1084" i="491"/>
  <c r="J1083" i="491"/>
  <c r="F1083" i="491"/>
  <c r="I1083" i="491" s="1"/>
  <c r="J1082" i="491"/>
  <c r="I1082" i="491"/>
  <c r="F1082" i="491"/>
  <c r="J1081" i="491"/>
  <c r="F1081" i="491"/>
  <c r="I1081" i="491" s="1"/>
  <c r="J1080" i="491"/>
  <c r="F1080" i="491"/>
  <c r="I1080" i="491" s="1"/>
  <c r="J1079" i="491"/>
  <c r="F1079" i="491"/>
  <c r="I1079" i="491" s="1"/>
  <c r="J1078" i="491"/>
  <c r="F1078" i="491"/>
  <c r="I1078" i="491" s="1"/>
  <c r="J1077" i="491"/>
  <c r="I1077" i="491"/>
  <c r="F1077" i="491"/>
  <c r="J1076" i="491"/>
  <c r="I1076" i="491"/>
  <c r="F1076" i="491"/>
  <c r="J1075" i="491"/>
  <c r="F1075" i="491"/>
  <c r="I1075" i="491" s="1"/>
  <c r="F1074" i="491"/>
  <c r="I1074" i="491" s="1"/>
  <c r="F1073" i="491"/>
  <c r="I1073" i="491" s="1"/>
  <c r="F1072" i="491"/>
  <c r="I1072" i="491" s="1"/>
  <c r="F1071" i="491"/>
  <c r="I1071" i="491" s="1"/>
  <c r="F1070" i="491"/>
  <c r="I1070" i="491" s="1"/>
  <c r="F1069" i="491"/>
  <c r="I1069" i="491" s="1"/>
  <c r="F1068" i="491"/>
  <c r="I1068" i="491" s="1"/>
  <c r="F1067" i="491"/>
  <c r="I1067" i="491" s="1"/>
  <c r="F1066" i="491"/>
  <c r="I1066" i="491" s="1"/>
  <c r="F1065" i="491"/>
  <c r="I1065" i="491" s="1"/>
  <c r="F1064" i="491"/>
  <c r="I1064" i="491" s="1"/>
  <c r="F1063" i="491"/>
  <c r="I1063" i="491" s="1"/>
  <c r="F1062" i="491"/>
  <c r="I1062" i="491" s="1"/>
  <c r="F1061" i="491"/>
  <c r="I1061" i="491" s="1"/>
  <c r="F1060" i="491"/>
  <c r="I1060" i="491" s="1"/>
  <c r="F1059" i="491"/>
  <c r="I1059" i="491" s="1"/>
  <c r="J1165" i="490"/>
  <c r="I1165" i="490"/>
  <c r="F1165" i="490"/>
  <c r="J1164" i="490"/>
  <c r="F1164" i="490"/>
  <c r="I1164" i="490" s="1"/>
  <c r="J1163" i="490"/>
  <c r="F1163" i="490"/>
  <c r="I1163" i="490" s="1"/>
  <c r="J1162" i="490"/>
  <c r="F1162" i="490"/>
  <c r="I1162" i="490" s="1"/>
  <c r="J1161" i="490"/>
  <c r="F1161" i="490"/>
  <c r="I1161" i="490" s="1"/>
  <c r="J1160" i="490"/>
  <c r="I1160" i="490"/>
  <c r="F1160" i="490"/>
  <c r="J1159" i="490"/>
  <c r="I1159" i="490"/>
  <c r="F1159" i="490"/>
  <c r="J1158" i="490"/>
  <c r="F1158" i="490"/>
  <c r="I1158" i="490" s="1"/>
  <c r="J1157" i="490"/>
  <c r="I1157" i="490"/>
  <c r="F1157" i="490"/>
  <c r="J1156" i="490"/>
  <c r="F1156" i="490"/>
  <c r="I1156" i="490" s="1"/>
  <c r="J1155" i="490"/>
  <c r="I1155" i="490"/>
  <c r="F1155" i="490"/>
  <c r="J1154" i="490"/>
  <c r="F1154" i="490"/>
  <c r="I1154" i="490" s="1"/>
  <c r="J1153" i="490"/>
  <c r="F1153" i="490"/>
  <c r="I1153" i="490" s="1"/>
  <c r="J1152" i="490"/>
  <c r="F1152" i="490"/>
  <c r="I1152" i="490" s="1"/>
  <c r="J1151" i="490"/>
  <c r="I1151" i="490"/>
  <c r="F1151" i="490"/>
  <c r="J1150" i="490"/>
  <c r="F1150" i="490"/>
  <c r="I1150" i="490" s="1"/>
  <c r="J1149" i="490"/>
  <c r="I1149" i="490"/>
  <c r="F1149" i="490"/>
  <c r="J1148" i="490"/>
  <c r="F1148" i="490"/>
  <c r="I1148" i="490" s="1"/>
  <c r="J1147" i="490"/>
  <c r="F1147" i="490"/>
  <c r="I1147" i="490" s="1"/>
  <c r="J1146" i="490"/>
  <c r="F1146" i="490"/>
  <c r="I1146" i="490" s="1"/>
  <c r="J1145" i="490"/>
  <c r="F1145" i="490"/>
  <c r="I1145" i="490" s="1"/>
  <c r="J1144" i="490"/>
  <c r="I1144" i="490"/>
  <c r="F1144" i="490"/>
  <c r="J1143" i="490"/>
  <c r="I1143" i="490"/>
  <c r="F1143" i="490"/>
  <c r="J1142" i="490"/>
  <c r="F1142" i="490"/>
  <c r="I1142" i="490" s="1"/>
  <c r="J1141" i="490"/>
  <c r="I1141" i="490"/>
  <c r="F1141" i="490"/>
  <c r="J1140" i="490"/>
  <c r="F1140" i="490"/>
  <c r="I1140" i="490" s="1"/>
  <c r="J1139" i="490"/>
  <c r="I1139" i="490"/>
  <c r="F1139" i="490"/>
  <c r="J1138" i="490"/>
  <c r="F1138" i="490"/>
  <c r="I1138" i="490" s="1"/>
  <c r="J1137" i="490"/>
  <c r="F1137" i="490"/>
  <c r="I1137" i="490" s="1"/>
  <c r="J1136" i="490"/>
  <c r="F1136" i="490"/>
  <c r="I1136" i="490" s="1"/>
  <c r="J1135" i="490"/>
  <c r="I1135" i="490"/>
  <c r="F1135" i="490"/>
  <c r="J1134" i="490"/>
  <c r="F1134" i="490"/>
  <c r="I1134" i="490" s="1"/>
  <c r="J1133" i="490"/>
  <c r="I1133" i="490"/>
  <c r="F1133" i="490"/>
  <c r="J1132" i="490"/>
  <c r="F1132" i="490"/>
  <c r="I1132" i="490" s="1"/>
  <c r="J1131" i="490"/>
  <c r="F1131" i="490"/>
  <c r="I1131" i="490" s="1"/>
  <c r="J1130" i="490"/>
  <c r="F1130" i="490"/>
  <c r="I1130" i="490" s="1"/>
  <c r="J1129" i="490"/>
  <c r="F1129" i="490"/>
  <c r="I1129" i="490" s="1"/>
  <c r="J1128" i="490"/>
  <c r="I1128" i="490"/>
  <c r="F1128" i="490"/>
  <c r="J1127" i="490"/>
  <c r="I1127" i="490"/>
  <c r="F1127" i="490"/>
  <c r="J1126" i="490"/>
  <c r="F1126" i="490"/>
  <c r="I1126" i="490" s="1"/>
  <c r="J1125" i="490"/>
  <c r="I1125" i="490"/>
  <c r="F1125" i="490"/>
  <c r="J1124" i="490"/>
  <c r="F1124" i="490"/>
  <c r="I1124" i="490" s="1"/>
  <c r="J1123" i="490"/>
  <c r="I1123" i="490"/>
  <c r="F1123" i="490"/>
  <c r="J1122" i="490"/>
  <c r="F1122" i="490"/>
  <c r="I1122" i="490" s="1"/>
  <c r="J1121" i="490"/>
  <c r="F1121" i="490"/>
  <c r="I1121" i="490" s="1"/>
  <c r="J1120" i="490"/>
  <c r="F1120" i="490"/>
  <c r="I1120" i="490" s="1"/>
  <c r="J1119" i="490"/>
  <c r="I1119" i="490"/>
  <c r="F1119" i="490"/>
  <c r="J1118" i="490"/>
  <c r="F1118" i="490"/>
  <c r="I1118" i="490" s="1"/>
  <c r="J1117" i="490"/>
  <c r="I1117" i="490"/>
  <c r="F1117" i="490"/>
  <c r="J1116" i="490"/>
  <c r="F1116" i="490"/>
  <c r="I1116" i="490" s="1"/>
  <c r="J1115" i="490"/>
  <c r="F1115" i="490"/>
  <c r="I1115" i="490" s="1"/>
  <c r="J1114" i="490"/>
  <c r="F1114" i="490"/>
  <c r="I1114" i="490" s="1"/>
  <c r="J1113" i="490"/>
  <c r="F1113" i="490"/>
  <c r="I1113" i="490" s="1"/>
  <c r="J1112" i="490"/>
  <c r="I1112" i="490"/>
  <c r="F1112" i="490"/>
  <c r="J1111" i="490"/>
  <c r="I1111" i="490"/>
  <c r="F1111" i="490"/>
  <c r="J1110" i="490"/>
  <c r="F1110" i="490"/>
  <c r="I1110" i="490" s="1"/>
  <c r="J1109" i="490"/>
  <c r="I1109" i="490"/>
  <c r="F1109" i="490"/>
  <c r="J1108" i="490"/>
  <c r="F1108" i="490"/>
  <c r="I1108" i="490" s="1"/>
  <c r="J1107" i="490"/>
  <c r="I1107" i="490"/>
  <c r="F1107" i="490"/>
  <c r="J1106" i="490"/>
  <c r="F1106" i="490"/>
  <c r="I1106" i="490" s="1"/>
  <c r="J1105" i="490"/>
  <c r="F1105" i="490"/>
  <c r="I1105" i="490" s="1"/>
  <c r="J1104" i="490"/>
  <c r="F1104" i="490"/>
  <c r="I1104" i="490" s="1"/>
  <c r="J1103" i="490"/>
  <c r="I1103" i="490"/>
  <c r="F1103" i="490"/>
  <c r="J1102" i="490"/>
  <c r="F1102" i="490"/>
  <c r="I1102" i="490" s="1"/>
  <c r="J1101" i="490"/>
  <c r="I1101" i="490"/>
  <c r="F1101" i="490"/>
  <c r="J1100" i="490"/>
  <c r="F1100" i="490"/>
  <c r="I1100" i="490" s="1"/>
  <c r="J1099" i="490"/>
  <c r="F1099" i="490"/>
  <c r="I1099" i="490" s="1"/>
  <c r="J1098" i="490"/>
  <c r="F1098" i="490"/>
  <c r="I1098" i="490" s="1"/>
  <c r="J1097" i="490"/>
  <c r="F1097" i="490"/>
  <c r="I1097" i="490" s="1"/>
  <c r="J1096" i="490"/>
  <c r="I1096" i="490"/>
  <c r="F1096" i="490"/>
  <c r="J1095" i="490"/>
  <c r="I1095" i="490"/>
  <c r="F1095" i="490"/>
  <c r="J1094" i="490"/>
  <c r="F1094" i="490"/>
  <c r="I1094" i="490" s="1"/>
  <c r="J1093" i="490"/>
  <c r="I1093" i="490"/>
  <c r="F1093" i="490"/>
  <c r="J1092" i="490"/>
  <c r="F1092" i="490"/>
  <c r="I1092" i="490" s="1"/>
  <c r="J1091" i="490"/>
  <c r="I1091" i="490"/>
  <c r="F1091" i="490"/>
  <c r="J1090" i="490"/>
  <c r="F1090" i="490"/>
  <c r="I1090" i="490" s="1"/>
  <c r="J1089" i="490"/>
  <c r="F1089" i="490"/>
  <c r="I1089" i="490" s="1"/>
  <c r="J1088" i="490"/>
  <c r="F1088" i="490"/>
  <c r="I1088" i="490" s="1"/>
  <c r="J1087" i="490"/>
  <c r="I1087" i="490"/>
  <c r="F1087" i="490"/>
  <c r="J1086" i="490"/>
  <c r="F1086" i="490"/>
  <c r="I1086" i="490" s="1"/>
  <c r="J1085" i="490"/>
  <c r="I1085" i="490"/>
  <c r="F1085" i="490"/>
  <c r="J1084" i="490"/>
  <c r="F1084" i="490"/>
  <c r="I1084" i="490" s="1"/>
  <c r="J1083" i="490"/>
  <c r="F1083" i="490"/>
  <c r="I1083" i="490" s="1"/>
  <c r="J1082" i="490"/>
  <c r="F1082" i="490"/>
  <c r="I1082" i="490" s="1"/>
  <c r="J1081" i="490"/>
  <c r="F1081" i="490"/>
  <c r="I1081" i="490" s="1"/>
  <c r="J1080" i="490"/>
  <c r="I1080" i="490"/>
  <c r="F1080" i="490"/>
  <c r="J1079" i="490"/>
  <c r="I1079" i="490"/>
  <c r="F1079" i="490"/>
  <c r="J1078" i="490"/>
  <c r="F1078" i="490"/>
  <c r="I1078" i="490" s="1"/>
  <c r="J1077" i="490"/>
  <c r="I1077" i="490"/>
  <c r="F1077" i="490"/>
  <c r="J1076" i="490"/>
  <c r="F1076" i="490"/>
  <c r="I1076" i="490" s="1"/>
  <c r="J1075" i="490"/>
  <c r="I1075" i="490"/>
  <c r="F1075" i="490"/>
  <c r="I1074" i="490"/>
  <c r="F1074" i="490"/>
  <c r="I1073" i="490"/>
  <c r="F1073" i="490"/>
  <c r="F1072" i="490"/>
  <c r="I1072" i="490" s="1"/>
  <c r="F1071" i="490"/>
  <c r="I1071" i="490" s="1"/>
  <c r="I1070" i="490"/>
  <c r="F1070" i="490"/>
  <c r="I1069" i="490"/>
  <c r="F1069" i="490"/>
  <c r="F1068" i="490"/>
  <c r="I1068" i="490" s="1"/>
  <c r="I1067" i="490"/>
  <c r="F1067" i="490"/>
  <c r="I1066" i="490"/>
  <c r="F1066" i="490"/>
  <c r="I1065" i="490"/>
  <c r="F1065" i="490"/>
  <c r="F1064" i="490"/>
  <c r="I1064" i="490" s="1"/>
  <c r="I1063" i="490"/>
  <c r="F1063" i="490"/>
  <c r="I1062" i="490"/>
  <c r="F1062" i="490"/>
  <c r="I1061" i="490"/>
  <c r="F1061" i="490"/>
  <c r="F1060" i="490"/>
  <c r="I1060" i="490" s="1"/>
  <c r="F1059" i="490"/>
  <c r="I1059" i="490" s="1"/>
  <c r="I1058" i="490"/>
  <c r="F1058" i="490"/>
  <c r="I1057" i="490"/>
  <c r="F1057" i="490"/>
  <c r="F1056" i="490"/>
  <c r="I1056" i="490" s="1"/>
  <c r="I1055" i="490"/>
  <c r="F1055" i="490"/>
  <c r="I1054" i="490"/>
  <c r="F1054" i="490"/>
  <c r="I1053" i="490"/>
  <c r="F1053" i="490"/>
  <c r="F1052" i="490"/>
  <c r="I1052" i="490" s="1"/>
  <c r="F1051" i="490"/>
  <c r="I1051" i="490" s="1"/>
  <c r="I1050" i="490"/>
  <c r="F1050" i="490"/>
  <c r="I1049" i="490"/>
  <c r="F1049" i="490"/>
  <c r="F1048" i="490"/>
  <c r="I1048" i="490" s="1"/>
  <c r="F1047" i="490"/>
  <c r="I1047" i="490" s="1"/>
  <c r="I1046" i="490"/>
  <c r="F1046" i="490"/>
  <c r="I1045" i="490"/>
  <c r="F1045" i="490"/>
  <c r="F1044" i="490"/>
  <c r="I1044" i="490" s="1"/>
  <c r="I1043" i="490"/>
  <c r="F1043" i="490"/>
  <c r="I1042" i="490"/>
  <c r="F1042" i="490"/>
  <c r="I1041" i="490"/>
  <c r="F1041" i="490"/>
  <c r="F1040" i="490"/>
  <c r="I1040" i="490" s="1"/>
  <c r="I1039" i="490"/>
  <c r="I1038" i="490"/>
  <c r="I1037" i="490"/>
  <c r="I1036" i="490"/>
  <c r="I1035" i="490"/>
  <c r="I1034" i="490"/>
  <c r="I1033" i="490"/>
  <c r="I1032" i="490"/>
  <c r="I1031" i="490"/>
  <c r="I1030" i="490"/>
  <c r="I1029" i="490"/>
  <c r="I1028" i="490"/>
  <c r="I1027" i="490"/>
  <c r="I1026" i="490"/>
  <c r="I1025" i="490"/>
  <c r="I1024" i="490"/>
  <c r="I1023" i="490"/>
  <c r="I1022" i="490"/>
  <c r="I1021" i="490"/>
  <c r="I1020" i="490"/>
  <c r="I1019" i="490"/>
  <c r="I1018" i="490"/>
  <c r="I1017" i="490"/>
  <c r="I1016" i="490"/>
  <c r="I1015" i="490"/>
  <c r="I1014" i="490"/>
  <c r="I1013" i="490"/>
  <c r="I1012" i="490"/>
  <c r="I1011" i="490"/>
  <c r="I1010" i="490"/>
  <c r="I1009" i="490"/>
  <c r="I1008" i="490"/>
  <c r="I1007" i="490"/>
  <c r="I1006" i="490"/>
  <c r="I1005" i="490"/>
  <c r="I1004" i="490"/>
  <c r="I1003" i="490"/>
  <c r="I1002" i="490"/>
  <c r="I1001" i="490"/>
  <c r="I1000" i="490"/>
  <c r="I999" i="490"/>
  <c r="I998" i="490"/>
  <c r="I997" i="490"/>
  <c r="I996" i="490"/>
  <c r="I995" i="490"/>
  <c r="I994" i="490"/>
  <c r="I993" i="490"/>
  <c r="I992" i="490"/>
  <c r="I991" i="490"/>
  <c r="I990" i="490"/>
  <c r="I989" i="490"/>
  <c r="I988" i="490"/>
  <c r="I987" i="490"/>
  <c r="I986" i="490"/>
  <c r="I985" i="490"/>
  <c r="I984" i="490"/>
  <c r="I983" i="490"/>
  <c r="I982" i="490"/>
  <c r="I981" i="490"/>
  <c r="I980" i="490"/>
  <c r="I979" i="490"/>
  <c r="I978" i="490"/>
  <c r="I977" i="490"/>
  <c r="I976" i="490"/>
  <c r="I975" i="490"/>
  <c r="I974" i="490"/>
  <c r="I973" i="490"/>
  <c r="I972" i="490"/>
  <c r="I971" i="490"/>
  <c r="I970" i="490"/>
  <c r="I969" i="490"/>
  <c r="I968" i="490"/>
  <c r="I967" i="490"/>
  <c r="I966" i="490"/>
  <c r="I965" i="490"/>
  <c r="I964" i="490"/>
  <c r="I963" i="490"/>
  <c r="I962" i="490"/>
  <c r="I961" i="490"/>
  <c r="I960" i="490"/>
  <c r="I959" i="490"/>
  <c r="I958" i="490"/>
  <c r="I957" i="490"/>
  <c r="I956" i="490"/>
  <c r="I955" i="490"/>
  <c r="I954" i="490"/>
  <c r="I953" i="490"/>
  <c r="I952" i="490"/>
  <c r="I951" i="490"/>
  <c r="I950" i="490"/>
  <c r="I949" i="490"/>
  <c r="I948" i="490"/>
  <c r="I947" i="490"/>
  <c r="I946" i="490"/>
  <c r="I945" i="490"/>
  <c r="I944" i="490"/>
  <c r="I943" i="490"/>
  <c r="I942" i="490"/>
  <c r="I941" i="490"/>
  <c r="I940" i="490"/>
  <c r="I939" i="490"/>
  <c r="I938" i="490"/>
  <c r="I937" i="490"/>
  <c r="I936" i="490"/>
  <c r="I935" i="490"/>
  <c r="I934" i="490"/>
  <c r="I933" i="490"/>
  <c r="I932" i="490"/>
  <c r="I931" i="490"/>
  <c r="I930" i="490"/>
  <c r="I929" i="490"/>
  <c r="I928" i="490"/>
  <c r="I927" i="490"/>
  <c r="I926" i="490"/>
  <c r="I925" i="490"/>
  <c r="I924" i="490"/>
  <c r="I923" i="490"/>
  <c r="I922" i="490"/>
  <c r="I921" i="490"/>
  <c r="I920" i="490"/>
  <c r="I919" i="490"/>
  <c r="I918" i="490"/>
  <c r="I917" i="490"/>
  <c r="I916" i="490"/>
  <c r="I915" i="490"/>
  <c r="I914" i="490"/>
  <c r="I913" i="490"/>
  <c r="I912" i="490"/>
  <c r="I911" i="490"/>
  <c r="I910" i="490"/>
  <c r="I909" i="490"/>
  <c r="I908" i="490"/>
  <c r="I907" i="490"/>
  <c r="I906" i="490"/>
  <c r="I905" i="490"/>
  <c r="I904" i="490"/>
  <c r="I903" i="490"/>
  <c r="I902" i="490"/>
  <c r="I901" i="490"/>
  <c r="I900" i="490"/>
  <c r="I899" i="490"/>
  <c r="I898" i="490"/>
  <c r="I897" i="490"/>
  <c r="I896" i="490"/>
  <c r="I895" i="490"/>
  <c r="I894" i="490"/>
  <c r="I893" i="490"/>
  <c r="I892" i="490"/>
  <c r="I891" i="490"/>
  <c r="I890" i="490"/>
  <c r="I889" i="490"/>
  <c r="I888" i="490"/>
  <c r="I887" i="490"/>
  <c r="I886" i="490"/>
  <c r="I885" i="490"/>
  <c r="I884" i="490"/>
  <c r="I883" i="490"/>
  <c r="I882" i="490"/>
  <c r="I881" i="490"/>
  <c r="I880" i="490"/>
  <c r="I879" i="490"/>
  <c r="I878" i="490"/>
  <c r="I877" i="490"/>
  <c r="I876" i="490"/>
  <c r="I875" i="490"/>
  <c r="I874" i="490"/>
  <c r="I873" i="490"/>
  <c r="I872" i="490"/>
  <c r="I871" i="490"/>
  <c r="I870" i="490"/>
  <c r="I869" i="490"/>
  <c r="I868" i="490"/>
  <c r="I867" i="490"/>
  <c r="I866" i="490"/>
  <c r="I865" i="490"/>
  <c r="I864" i="490"/>
  <c r="I863" i="490"/>
  <c r="I862" i="490"/>
  <c r="I861" i="490"/>
  <c r="I860" i="490"/>
  <c r="I859" i="490"/>
  <c r="I858" i="490"/>
  <c r="I857" i="490"/>
  <c r="I856" i="490"/>
  <c r="I855" i="490"/>
  <c r="I854" i="490"/>
  <c r="I853" i="490"/>
  <c r="I852" i="490"/>
  <c r="I851" i="490"/>
  <c r="I850" i="490"/>
  <c r="I849" i="490"/>
  <c r="I848" i="490"/>
  <c r="I847" i="490"/>
  <c r="I846" i="490"/>
  <c r="I845" i="490"/>
  <c r="I844" i="490"/>
  <c r="I843" i="490"/>
  <c r="I842" i="490"/>
  <c r="I841" i="490"/>
  <c r="I840" i="490"/>
  <c r="I839" i="490"/>
  <c r="I838" i="490"/>
  <c r="I837" i="490"/>
  <c r="I836" i="490"/>
  <c r="I835" i="490"/>
  <c r="I834" i="490"/>
  <c r="I833" i="490"/>
  <c r="I832" i="490"/>
  <c r="I831" i="490"/>
  <c r="I830" i="490"/>
  <c r="I829" i="490"/>
  <c r="I828" i="490"/>
  <c r="I827" i="490"/>
  <c r="I826" i="490"/>
  <c r="I825" i="490"/>
  <c r="I824" i="490"/>
  <c r="I823" i="490"/>
  <c r="I822" i="490"/>
  <c r="I821" i="490"/>
  <c r="I820" i="490"/>
  <c r="I819" i="490"/>
  <c r="I818" i="490"/>
  <c r="I817" i="490"/>
  <c r="I816" i="490"/>
  <c r="I815" i="490"/>
  <c r="I814" i="490"/>
  <c r="I813" i="490"/>
  <c r="I812" i="490"/>
  <c r="I811" i="490"/>
  <c r="I810" i="490"/>
  <c r="I809" i="490"/>
  <c r="I808" i="490"/>
  <c r="I807" i="490"/>
  <c r="I806" i="490"/>
  <c r="I805" i="490"/>
  <c r="I804" i="490"/>
  <c r="I803" i="490"/>
  <c r="I802" i="490"/>
  <c r="I801" i="490"/>
  <c r="I800" i="490"/>
  <c r="I799" i="490"/>
  <c r="I798" i="490"/>
  <c r="I797" i="490"/>
  <c r="I796" i="490"/>
  <c r="I795" i="490"/>
  <c r="I794" i="490"/>
  <c r="I793" i="490"/>
  <c r="I792" i="490"/>
  <c r="I791" i="490"/>
  <c r="I790" i="490"/>
  <c r="I789" i="490"/>
  <c r="I788" i="490"/>
  <c r="I787" i="490"/>
  <c r="I786" i="490"/>
  <c r="I785" i="490"/>
  <c r="I784" i="490"/>
  <c r="I783" i="490"/>
  <c r="I782" i="490"/>
  <c r="I781" i="490"/>
  <c r="I780" i="490"/>
  <c r="I779" i="490"/>
  <c r="I778" i="490"/>
  <c r="I777" i="490"/>
  <c r="I776" i="490"/>
  <c r="I775" i="490"/>
  <c r="I774" i="490"/>
  <c r="I773" i="490"/>
  <c r="I772" i="490"/>
  <c r="I771" i="490"/>
  <c r="I770" i="490"/>
  <c r="I769" i="490"/>
  <c r="I768" i="490"/>
  <c r="I767" i="490"/>
  <c r="I766" i="490"/>
  <c r="I765" i="490"/>
  <c r="I764" i="490"/>
  <c r="I763" i="490"/>
  <c r="I762" i="490"/>
  <c r="I761" i="490"/>
  <c r="I760" i="490"/>
  <c r="I759" i="490"/>
  <c r="I758" i="490"/>
  <c r="I757" i="490"/>
  <c r="I756" i="490"/>
  <c r="I755" i="490"/>
  <c r="I754" i="490"/>
  <c r="I753" i="490"/>
  <c r="I752" i="490"/>
  <c r="I751" i="490"/>
  <c r="I750" i="490"/>
  <c r="I749" i="490"/>
  <c r="I748" i="490"/>
  <c r="I747" i="490"/>
  <c r="I746" i="490"/>
  <c r="I745" i="490"/>
  <c r="I744" i="490"/>
  <c r="I743" i="490"/>
  <c r="I742" i="490"/>
  <c r="I741" i="490"/>
  <c r="I740" i="490"/>
  <c r="I739" i="490"/>
  <c r="I738" i="490"/>
  <c r="I737" i="490"/>
  <c r="I736" i="490"/>
  <c r="I735" i="490"/>
  <c r="I734" i="490"/>
  <c r="I733" i="490"/>
  <c r="I732" i="490"/>
  <c r="I731" i="490"/>
  <c r="I730" i="490"/>
  <c r="I729" i="490"/>
  <c r="I728" i="490"/>
  <c r="I727" i="490"/>
  <c r="I726" i="490"/>
  <c r="I725" i="490"/>
  <c r="I724" i="490"/>
  <c r="I723" i="490"/>
  <c r="I722" i="490"/>
  <c r="I721" i="490"/>
  <c r="I720" i="490"/>
  <c r="I719" i="490"/>
  <c r="I718" i="490"/>
  <c r="I717" i="490"/>
  <c r="I716" i="490"/>
  <c r="I715" i="490"/>
  <c r="I714" i="490"/>
  <c r="I713" i="490"/>
  <c r="I712" i="490"/>
  <c r="I711" i="490"/>
  <c r="I710" i="490"/>
  <c r="I709" i="490"/>
  <c r="I708" i="490"/>
  <c r="I707" i="490"/>
  <c r="I706" i="490"/>
  <c r="I705" i="490"/>
  <c r="I704" i="490"/>
  <c r="I703" i="490"/>
  <c r="I702" i="490"/>
  <c r="I701" i="490"/>
  <c r="I700" i="490"/>
  <c r="I699" i="490"/>
  <c r="I698" i="490"/>
  <c r="I697" i="490"/>
  <c r="I696" i="490"/>
  <c r="I695" i="490"/>
  <c r="I694" i="490"/>
  <c r="I693" i="490"/>
  <c r="I692" i="490"/>
  <c r="I691" i="490"/>
  <c r="I690" i="490"/>
  <c r="I689" i="490"/>
  <c r="I688" i="490"/>
  <c r="I687" i="490"/>
  <c r="I686" i="490"/>
  <c r="I685" i="490"/>
  <c r="I684" i="490"/>
  <c r="I683" i="490"/>
  <c r="I682" i="490"/>
  <c r="I681" i="490"/>
  <c r="I680" i="490"/>
  <c r="I679" i="490"/>
  <c r="I678" i="490"/>
  <c r="I677" i="490"/>
  <c r="I676" i="490"/>
  <c r="I675" i="490"/>
  <c r="I674" i="490"/>
  <c r="I673" i="490"/>
  <c r="I672" i="490"/>
  <c r="I671" i="490"/>
  <c r="I670" i="490"/>
  <c r="I669" i="490"/>
  <c r="I668" i="490"/>
  <c r="I667" i="490"/>
  <c r="I666" i="490"/>
  <c r="I665" i="490"/>
  <c r="I664" i="490"/>
  <c r="I663" i="490"/>
  <c r="I662" i="490"/>
  <c r="I661" i="490"/>
  <c r="I660" i="490"/>
  <c r="I659" i="490"/>
  <c r="I658" i="490"/>
  <c r="I657" i="490"/>
  <c r="I656" i="490"/>
  <c r="I655" i="490"/>
  <c r="I654" i="490"/>
  <c r="I653" i="490"/>
  <c r="I652" i="490"/>
  <c r="I651" i="490"/>
  <c r="I650" i="490"/>
  <c r="I649" i="490"/>
  <c r="I648" i="490"/>
  <c r="I647" i="490"/>
  <c r="I646" i="490"/>
  <c r="I645" i="490"/>
  <c r="I644" i="490"/>
  <c r="I643" i="490"/>
  <c r="I642" i="490"/>
  <c r="I641" i="490"/>
  <c r="I640" i="490"/>
  <c r="I639" i="490"/>
  <c r="I638" i="490"/>
  <c r="I637" i="490"/>
  <c r="I636" i="490"/>
  <c r="I635" i="490"/>
  <c r="I634" i="490"/>
  <c r="I633" i="490"/>
  <c r="I632" i="490"/>
  <c r="I631" i="490"/>
  <c r="I630" i="490"/>
  <c r="I629" i="490"/>
  <c r="I628" i="490"/>
  <c r="I627" i="490"/>
  <c r="I626" i="490"/>
  <c r="I625" i="490"/>
  <c r="I624" i="490"/>
  <c r="I623" i="490"/>
  <c r="I622" i="490"/>
  <c r="I621" i="490"/>
  <c r="I620" i="490"/>
  <c r="I619" i="490"/>
  <c r="I618" i="490"/>
  <c r="I617" i="490"/>
  <c r="I616" i="490"/>
  <c r="I615" i="490"/>
  <c r="I614" i="490"/>
  <c r="I613" i="490"/>
  <c r="I612" i="490"/>
  <c r="I611" i="490"/>
  <c r="I610" i="490"/>
  <c r="I609" i="490"/>
  <c r="I608" i="490"/>
  <c r="I607" i="490"/>
  <c r="I606" i="490"/>
  <c r="I605" i="490"/>
  <c r="I604" i="490"/>
  <c r="I603" i="490"/>
  <c r="I602" i="490"/>
  <c r="I601" i="490"/>
  <c r="I600" i="490"/>
  <c r="I599" i="490"/>
  <c r="I598" i="490"/>
  <c r="I597" i="490"/>
  <c r="I596" i="490"/>
  <c r="I595" i="490"/>
  <c r="I594" i="490"/>
  <c r="I593" i="490"/>
  <c r="I592" i="490"/>
  <c r="I591" i="490"/>
  <c r="I590" i="490"/>
  <c r="I589" i="490"/>
  <c r="I588" i="490"/>
  <c r="I587" i="490"/>
  <c r="I586" i="490"/>
  <c r="I585" i="490"/>
  <c r="I584" i="490"/>
  <c r="I583" i="490"/>
  <c r="I582" i="490"/>
  <c r="I581" i="490"/>
  <c r="I580" i="490"/>
  <c r="I579" i="490"/>
  <c r="I578" i="490"/>
  <c r="I577" i="490"/>
  <c r="I576" i="490"/>
  <c r="I575" i="490"/>
  <c r="I574" i="490"/>
  <c r="I573" i="490"/>
  <c r="I572" i="490"/>
  <c r="I571" i="490"/>
  <c r="I570" i="490"/>
  <c r="I569" i="490"/>
  <c r="I568" i="490"/>
  <c r="I567" i="490"/>
  <c r="I566" i="490"/>
  <c r="J1165" i="489"/>
  <c r="F1165" i="489"/>
  <c r="I1165" i="489" s="1"/>
  <c r="J1164" i="489"/>
  <c r="F1164" i="489"/>
  <c r="I1164" i="489" s="1"/>
  <c r="J1163" i="489"/>
  <c r="F1163" i="489"/>
  <c r="I1163" i="489" s="1"/>
  <c r="J1162" i="489"/>
  <c r="I1162" i="489"/>
  <c r="F1162" i="489"/>
  <c r="J1161" i="489"/>
  <c r="F1161" i="489"/>
  <c r="I1161" i="489" s="1"/>
  <c r="J1160" i="489"/>
  <c r="I1160" i="489"/>
  <c r="F1160" i="489"/>
  <c r="J1159" i="489"/>
  <c r="F1159" i="489"/>
  <c r="I1159" i="489" s="1"/>
  <c r="J1158" i="489"/>
  <c r="I1158" i="489"/>
  <c r="F1158" i="489"/>
  <c r="J1157" i="489"/>
  <c r="F1157" i="489"/>
  <c r="I1157" i="489" s="1"/>
  <c r="J1156" i="489"/>
  <c r="F1156" i="489"/>
  <c r="I1156" i="489" s="1"/>
  <c r="J1155" i="489"/>
  <c r="F1155" i="489"/>
  <c r="I1155" i="489" s="1"/>
  <c r="J1154" i="489"/>
  <c r="I1154" i="489"/>
  <c r="F1154" i="489"/>
  <c r="J1153" i="489"/>
  <c r="F1153" i="489"/>
  <c r="I1153" i="489" s="1"/>
  <c r="J1152" i="489"/>
  <c r="I1152" i="489"/>
  <c r="F1152" i="489"/>
  <c r="J1151" i="489"/>
  <c r="F1151" i="489"/>
  <c r="I1151" i="489" s="1"/>
  <c r="J1150" i="489"/>
  <c r="F1150" i="489"/>
  <c r="I1150" i="489" s="1"/>
  <c r="J1149" i="489"/>
  <c r="F1149" i="489"/>
  <c r="I1149" i="489" s="1"/>
  <c r="J1148" i="489"/>
  <c r="F1148" i="489"/>
  <c r="I1148" i="489" s="1"/>
  <c r="J1147" i="489"/>
  <c r="F1147" i="489"/>
  <c r="I1147" i="489" s="1"/>
  <c r="J1146" i="489"/>
  <c r="I1146" i="489"/>
  <c r="F1146" i="489"/>
  <c r="J1145" i="489"/>
  <c r="F1145" i="489"/>
  <c r="I1145" i="489" s="1"/>
  <c r="J1144" i="489"/>
  <c r="I1144" i="489"/>
  <c r="F1144" i="489"/>
  <c r="J1143" i="489"/>
  <c r="F1143" i="489"/>
  <c r="I1143" i="489" s="1"/>
  <c r="J1142" i="489"/>
  <c r="I1142" i="489"/>
  <c r="F1142" i="489"/>
  <c r="J1141" i="489"/>
  <c r="F1141" i="489"/>
  <c r="I1141" i="489" s="1"/>
  <c r="J1140" i="489"/>
  <c r="F1140" i="489"/>
  <c r="I1140" i="489" s="1"/>
  <c r="J1139" i="489"/>
  <c r="I1139" i="489"/>
  <c r="F1139" i="489"/>
  <c r="J1138" i="489"/>
  <c r="I1138" i="489"/>
  <c r="F1138" i="489"/>
  <c r="J1137" i="489"/>
  <c r="F1137" i="489"/>
  <c r="I1137" i="489" s="1"/>
  <c r="J1136" i="489"/>
  <c r="I1136" i="489"/>
  <c r="F1136" i="489"/>
  <c r="J1135" i="489"/>
  <c r="F1135" i="489"/>
  <c r="I1135" i="489" s="1"/>
  <c r="J1134" i="489"/>
  <c r="F1134" i="489"/>
  <c r="I1134" i="489" s="1"/>
  <c r="J1133" i="489"/>
  <c r="F1133" i="489"/>
  <c r="I1133" i="489" s="1"/>
  <c r="J1132" i="489"/>
  <c r="F1132" i="489"/>
  <c r="I1132" i="489" s="1"/>
  <c r="J1131" i="489"/>
  <c r="F1131" i="489"/>
  <c r="I1131" i="489" s="1"/>
  <c r="J1130" i="489"/>
  <c r="I1130" i="489"/>
  <c r="F1130" i="489"/>
  <c r="J1129" i="489"/>
  <c r="F1129" i="489"/>
  <c r="I1129" i="489" s="1"/>
  <c r="J1128" i="489"/>
  <c r="I1128" i="489"/>
  <c r="F1128" i="489"/>
  <c r="J1127" i="489"/>
  <c r="F1127" i="489"/>
  <c r="I1127" i="489" s="1"/>
  <c r="J1126" i="489"/>
  <c r="I1126" i="489"/>
  <c r="F1126" i="489"/>
  <c r="J1125" i="489"/>
  <c r="F1125" i="489"/>
  <c r="I1125" i="489" s="1"/>
  <c r="J1124" i="489"/>
  <c r="F1124" i="489"/>
  <c r="I1124" i="489" s="1"/>
  <c r="J1123" i="489"/>
  <c r="I1123" i="489"/>
  <c r="F1123" i="489"/>
  <c r="J1122" i="489"/>
  <c r="I1122" i="489"/>
  <c r="F1122" i="489"/>
  <c r="J1121" i="489"/>
  <c r="F1121" i="489"/>
  <c r="I1121" i="489" s="1"/>
  <c r="J1120" i="489"/>
  <c r="I1120" i="489"/>
  <c r="F1120" i="489"/>
  <c r="J1119" i="489"/>
  <c r="F1119" i="489"/>
  <c r="I1119" i="489" s="1"/>
  <c r="J1118" i="489"/>
  <c r="F1118" i="489"/>
  <c r="I1118" i="489" s="1"/>
  <c r="J1117" i="489"/>
  <c r="F1117" i="489"/>
  <c r="I1117" i="489" s="1"/>
  <c r="J1116" i="489"/>
  <c r="F1116" i="489"/>
  <c r="I1116" i="489" s="1"/>
  <c r="J1115" i="489"/>
  <c r="F1115" i="489"/>
  <c r="I1115" i="489" s="1"/>
  <c r="J1114" i="489"/>
  <c r="I1114" i="489"/>
  <c r="F1114" i="489"/>
  <c r="J1113" i="489"/>
  <c r="F1113" i="489"/>
  <c r="I1113" i="489" s="1"/>
  <c r="J1112" i="489"/>
  <c r="I1112" i="489"/>
  <c r="F1112" i="489"/>
  <c r="J1111" i="489"/>
  <c r="F1111" i="489"/>
  <c r="I1111" i="489" s="1"/>
  <c r="J1110" i="489"/>
  <c r="I1110" i="489"/>
  <c r="F1110" i="489"/>
  <c r="J1109" i="489"/>
  <c r="F1109" i="489"/>
  <c r="I1109" i="489" s="1"/>
  <c r="J1108" i="489"/>
  <c r="F1108" i="489"/>
  <c r="I1108" i="489" s="1"/>
  <c r="J1107" i="489"/>
  <c r="I1107" i="489"/>
  <c r="F1107" i="489"/>
  <c r="J1106" i="489"/>
  <c r="I1106" i="489"/>
  <c r="F1106" i="489"/>
  <c r="J1105" i="489"/>
  <c r="F1105" i="489"/>
  <c r="I1105" i="489" s="1"/>
  <c r="J1104" i="489"/>
  <c r="I1104" i="489"/>
  <c r="F1104" i="489"/>
  <c r="J1103" i="489"/>
  <c r="F1103" i="489"/>
  <c r="I1103" i="489" s="1"/>
  <c r="J1102" i="489"/>
  <c r="F1102" i="489"/>
  <c r="I1102" i="489" s="1"/>
  <c r="J1101" i="489"/>
  <c r="F1101" i="489"/>
  <c r="I1101" i="489" s="1"/>
  <c r="J1100" i="489"/>
  <c r="F1100" i="489"/>
  <c r="I1100" i="489" s="1"/>
  <c r="J1099" i="489"/>
  <c r="F1099" i="489"/>
  <c r="I1099" i="489" s="1"/>
  <c r="J1098" i="489"/>
  <c r="I1098" i="489"/>
  <c r="F1098" i="489"/>
  <c r="J1097" i="489"/>
  <c r="F1097" i="489"/>
  <c r="I1097" i="489" s="1"/>
  <c r="J1096" i="489"/>
  <c r="I1096" i="489"/>
  <c r="F1096" i="489"/>
  <c r="J1095" i="489"/>
  <c r="F1095" i="489"/>
  <c r="I1095" i="489" s="1"/>
  <c r="J1094" i="489"/>
  <c r="I1094" i="489"/>
  <c r="F1094" i="489"/>
  <c r="J1093" i="489"/>
  <c r="F1093" i="489"/>
  <c r="I1093" i="489" s="1"/>
  <c r="J1092" i="489"/>
  <c r="F1092" i="489"/>
  <c r="I1092" i="489" s="1"/>
  <c r="J1091" i="489"/>
  <c r="F1091" i="489"/>
  <c r="I1091" i="489" s="1"/>
  <c r="J1090" i="489"/>
  <c r="I1090" i="489"/>
  <c r="F1090" i="489"/>
  <c r="J1089" i="489"/>
  <c r="F1089" i="489"/>
  <c r="I1089" i="489" s="1"/>
  <c r="J1088" i="489"/>
  <c r="I1088" i="489"/>
  <c r="F1088" i="489"/>
  <c r="J1087" i="489"/>
  <c r="F1087" i="489"/>
  <c r="I1087" i="489" s="1"/>
  <c r="J1086" i="489"/>
  <c r="F1086" i="489"/>
  <c r="I1086" i="489" s="1"/>
  <c r="J1085" i="489"/>
  <c r="F1085" i="489"/>
  <c r="I1085" i="489" s="1"/>
  <c r="J1084" i="489"/>
  <c r="F1084" i="489"/>
  <c r="I1084" i="489" s="1"/>
  <c r="J1083" i="489"/>
  <c r="F1083" i="489"/>
  <c r="I1083" i="489" s="1"/>
  <c r="J1082" i="489"/>
  <c r="I1082" i="489"/>
  <c r="F1082" i="489"/>
  <c r="J1081" i="489"/>
  <c r="F1081" i="489"/>
  <c r="I1081" i="489" s="1"/>
  <c r="J1080" i="489"/>
  <c r="I1080" i="489"/>
  <c r="F1080" i="489"/>
  <c r="J1079" i="489"/>
  <c r="F1079" i="489"/>
  <c r="I1079" i="489" s="1"/>
  <c r="J1078" i="489"/>
  <c r="I1078" i="489"/>
  <c r="F1078" i="489"/>
  <c r="J1077" i="489"/>
  <c r="F1077" i="489"/>
  <c r="I1077" i="489" s="1"/>
  <c r="J1076" i="489"/>
  <c r="F1076" i="489"/>
  <c r="I1076" i="489" s="1"/>
  <c r="J1075" i="489"/>
  <c r="I1075" i="489"/>
  <c r="F1075" i="489"/>
  <c r="F1074" i="489"/>
  <c r="I1074" i="489" s="1"/>
  <c r="F1073" i="489"/>
  <c r="I1073" i="489" s="1"/>
  <c r="F1072" i="489"/>
  <c r="I1072" i="489" s="1"/>
  <c r="F1071" i="489"/>
  <c r="I1071" i="489" s="1"/>
  <c r="F1070" i="489"/>
  <c r="I1070" i="489" s="1"/>
  <c r="F1069" i="489"/>
  <c r="I1069" i="489" s="1"/>
  <c r="F1068" i="489"/>
  <c r="I1068" i="489" s="1"/>
  <c r="F1067" i="489"/>
  <c r="I1067" i="489" s="1"/>
  <c r="F1066" i="489"/>
  <c r="I1066" i="489" s="1"/>
  <c r="F1065" i="489"/>
  <c r="I1065" i="489" s="1"/>
  <c r="F1064" i="489"/>
  <c r="I1064" i="489" s="1"/>
  <c r="F1063" i="489"/>
  <c r="I1063" i="489" s="1"/>
  <c r="F1062" i="489"/>
  <c r="I1062" i="489" s="1"/>
  <c r="F1061" i="489"/>
  <c r="I1061" i="489" s="1"/>
  <c r="F1060" i="489"/>
  <c r="I1060" i="489" s="1"/>
  <c r="F1059" i="489"/>
  <c r="I1059" i="489" s="1"/>
  <c r="F1058" i="489"/>
  <c r="I1058" i="489" s="1"/>
  <c r="F1057" i="489"/>
  <c r="I1057" i="489" s="1"/>
  <c r="F1056" i="489"/>
  <c r="I1056" i="489" s="1"/>
  <c r="I1055" i="489"/>
  <c r="F1055" i="489"/>
  <c r="F1054" i="489"/>
  <c r="I1054" i="489" s="1"/>
  <c r="F1053" i="489"/>
  <c r="I1053" i="489" s="1"/>
  <c r="F1052" i="489"/>
  <c r="I1052" i="489" s="1"/>
  <c r="I1051" i="489"/>
  <c r="F1051" i="489"/>
  <c r="F1050" i="489"/>
  <c r="I1050" i="489" s="1"/>
  <c r="F1049" i="489"/>
  <c r="I1049" i="489" s="1"/>
  <c r="F1048" i="489"/>
  <c r="I1048" i="489" s="1"/>
  <c r="I1047" i="489"/>
  <c r="F1047" i="489"/>
  <c r="F1046" i="489"/>
  <c r="I1046" i="489" s="1"/>
  <c r="F1045" i="489"/>
  <c r="I1045" i="489" s="1"/>
  <c r="F1044" i="489"/>
  <c r="I1044" i="489" s="1"/>
  <c r="I1043" i="489"/>
  <c r="F1043" i="489"/>
  <c r="F1042" i="489"/>
  <c r="I1042" i="489" s="1"/>
  <c r="F1041" i="489"/>
  <c r="I1041" i="489" s="1"/>
  <c r="F1040" i="489"/>
  <c r="I1040" i="489" s="1"/>
  <c r="I1039" i="489"/>
  <c r="I1038" i="489"/>
  <c r="I1037" i="489"/>
  <c r="I1036" i="489"/>
  <c r="I1035" i="489"/>
  <c r="I1034" i="489"/>
  <c r="I1033" i="489"/>
  <c r="I1032" i="489"/>
  <c r="I1031" i="489"/>
  <c r="I1030" i="489"/>
  <c r="I1029" i="489"/>
  <c r="I1028" i="489"/>
  <c r="I1027" i="489"/>
  <c r="I1026" i="489"/>
  <c r="I1025" i="489"/>
  <c r="I1024" i="489"/>
  <c r="I1023" i="489"/>
  <c r="I1022" i="489"/>
  <c r="I1021" i="489"/>
  <c r="I1020" i="489"/>
  <c r="I1019" i="489"/>
  <c r="I1018" i="489"/>
  <c r="I1017" i="489"/>
  <c r="I1016" i="489"/>
  <c r="I1015" i="489"/>
  <c r="I1014" i="489"/>
  <c r="I1013" i="489"/>
  <c r="I1012" i="489"/>
  <c r="I1011" i="489"/>
  <c r="I1010" i="489"/>
  <c r="I1009" i="489"/>
  <c r="I1008" i="489"/>
  <c r="I1007" i="489"/>
  <c r="I1006" i="489"/>
  <c r="I1005" i="489"/>
  <c r="I1004" i="489"/>
  <c r="I1003" i="489"/>
  <c r="I1002" i="489"/>
  <c r="I1001" i="489"/>
  <c r="I1000" i="489"/>
  <c r="I999" i="489"/>
  <c r="I998" i="489"/>
  <c r="I997" i="489"/>
  <c r="I996" i="489"/>
  <c r="I995" i="489"/>
  <c r="I994" i="489"/>
  <c r="I993" i="489"/>
  <c r="I992" i="489"/>
  <c r="I991" i="489"/>
  <c r="I990" i="489"/>
  <c r="I989" i="489"/>
  <c r="I988" i="489"/>
  <c r="I987" i="489"/>
  <c r="I986" i="489"/>
  <c r="I985" i="489"/>
  <c r="I984" i="489"/>
  <c r="I983" i="489"/>
  <c r="I982" i="489"/>
  <c r="I981" i="489"/>
  <c r="I980" i="489"/>
  <c r="I979" i="489"/>
  <c r="I978" i="489"/>
  <c r="I977" i="489"/>
  <c r="I976" i="489"/>
  <c r="I975" i="489"/>
  <c r="I974" i="489"/>
  <c r="I973" i="489"/>
  <c r="I972" i="489"/>
  <c r="I971" i="489"/>
  <c r="I970" i="489"/>
  <c r="I969" i="489"/>
  <c r="I968" i="489"/>
  <c r="I967" i="489"/>
  <c r="I966" i="489"/>
  <c r="I965" i="489"/>
  <c r="I964" i="489"/>
  <c r="I963" i="489"/>
  <c r="I962" i="489"/>
  <c r="I961" i="489"/>
  <c r="I960" i="489"/>
  <c r="I959" i="489"/>
  <c r="I958" i="489"/>
  <c r="I957" i="489"/>
  <c r="I956" i="489"/>
  <c r="I955" i="489"/>
  <c r="I954" i="489"/>
  <c r="I953" i="489"/>
  <c r="I952" i="489"/>
  <c r="I951" i="489"/>
  <c r="I950" i="489"/>
  <c r="I949" i="489"/>
  <c r="I948" i="489"/>
  <c r="I947" i="489"/>
  <c r="I946" i="489"/>
  <c r="I945" i="489"/>
  <c r="I944" i="489"/>
  <c r="I943" i="489"/>
  <c r="I942" i="489"/>
  <c r="I941" i="489"/>
  <c r="I940" i="489"/>
  <c r="I939" i="489"/>
  <c r="I938" i="489"/>
  <c r="I937" i="489"/>
  <c r="I936" i="489"/>
  <c r="I935" i="489"/>
  <c r="I934" i="489"/>
  <c r="I933" i="489"/>
  <c r="I932" i="489"/>
  <c r="I931" i="489"/>
  <c r="I930" i="489"/>
  <c r="I929" i="489"/>
  <c r="I928" i="489"/>
  <c r="I927" i="489"/>
  <c r="I926" i="489"/>
  <c r="I925" i="489"/>
  <c r="I924" i="489"/>
  <c r="I923" i="489"/>
  <c r="I922" i="489"/>
  <c r="I921" i="489"/>
  <c r="I920" i="489"/>
  <c r="I919" i="489"/>
  <c r="I918" i="489"/>
  <c r="I917" i="489"/>
  <c r="I916" i="489"/>
  <c r="I915" i="489"/>
  <c r="I914" i="489"/>
  <c r="I913" i="489"/>
  <c r="I912" i="489"/>
  <c r="I911" i="489"/>
  <c r="I910" i="489"/>
  <c r="I909" i="489"/>
  <c r="I908" i="489"/>
  <c r="I907" i="489"/>
  <c r="I906" i="489"/>
  <c r="I905" i="489"/>
  <c r="I904" i="489"/>
  <c r="I903" i="489"/>
  <c r="I902" i="489"/>
  <c r="I901" i="489"/>
  <c r="I900" i="489"/>
  <c r="I899" i="489"/>
  <c r="I898" i="489"/>
  <c r="I897" i="489"/>
  <c r="I896" i="489"/>
  <c r="I895" i="489"/>
  <c r="I894" i="489"/>
  <c r="I893" i="489"/>
  <c r="I892" i="489"/>
  <c r="I891" i="489"/>
  <c r="I890" i="489"/>
  <c r="I889" i="489"/>
  <c r="I888" i="489"/>
  <c r="I887" i="489"/>
  <c r="I886" i="489"/>
  <c r="I885" i="489"/>
  <c r="I884" i="489"/>
  <c r="I883" i="489"/>
  <c r="I882" i="489"/>
  <c r="I881" i="489"/>
  <c r="I880" i="489"/>
  <c r="I879" i="489"/>
  <c r="I878" i="489"/>
  <c r="I877" i="489"/>
  <c r="I876" i="489"/>
  <c r="I875" i="489"/>
  <c r="I874" i="489"/>
  <c r="I873" i="489"/>
  <c r="I872" i="489"/>
  <c r="I871" i="489"/>
  <c r="I870" i="489"/>
  <c r="I869" i="489"/>
  <c r="I868" i="489"/>
  <c r="I867" i="489"/>
  <c r="I866" i="489"/>
  <c r="I865" i="489"/>
  <c r="I864" i="489"/>
  <c r="I863" i="489"/>
  <c r="I862" i="489"/>
  <c r="I861" i="489"/>
  <c r="I860" i="489"/>
  <c r="I859" i="489"/>
  <c r="I858" i="489"/>
  <c r="I857" i="489"/>
  <c r="I856" i="489"/>
  <c r="I855" i="489"/>
  <c r="I854" i="489"/>
  <c r="I853" i="489"/>
  <c r="I852" i="489"/>
  <c r="I851" i="489"/>
  <c r="I850" i="489"/>
  <c r="I849" i="489"/>
  <c r="I848" i="489"/>
  <c r="I847" i="489"/>
  <c r="I846" i="489"/>
  <c r="I845" i="489"/>
  <c r="I844" i="489"/>
  <c r="I843" i="489"/>
  <c r="I842" i="489"/>
  <c r="I841" i="489"/>
  <c r="I840" i="489"/>
  <c r="I839" i="489"/>
  <c r="I838" i="489"/>
  <c r="I837" i="489"/>
  <c r="I836" i="489"/>
  <c r="I835" i="489"/>
  <c r="I834" i="489"/>
  <c r="I833" i="489"/>
  <c r="I832" i="489"/>
  <c r="I831" i="489"/>
  <c r="I830" i="489"/>
  <c r="I829" i="489"/>
  <c r="I828" i="489"/>
  <c r="I827" i="489"/>
  <c r="I826" i="489"/>
  <c r="I825" i="489"/>
  <c r="I824" i="489"/>
  <c r="I823" i="489"/>
  <c r="I822" i="489"/>
  <c r="I821" i="489"/>
  <c r="I820" i="489"/>
  <c r="I819" i="489"/>
  <c r="I818" i="489"/>
  <c r="I817" i="489"/>
  <c r="I816" i="489"/>
  <c r="I815" i="489"/>
  <c r="I814" i="489"/>
  <c r="I813" i="489"/>
  <c r="I812" i="489"/>
  <c r="I811" i="489"/>
  <c r="I810" i="489"/>
  <c r="I809" i="489"/>
  <c r="I808" i="489"/>
  <c r="I807" i="489"/>
  <c r="I806" i="489"/>
  <c r="I805" i="489"/>
  <c r="I804" i="489"/>
  <c r="I803" i="489"/>
  <c r="I802" i="489"/>
  <c r="I801" i="489"/>
  <c r="I800" i="489"/>
  <c r="I799" i="489"/>
  <c r="I798" i="489"/>
  <c r="I797" i="489"/>
  <c r="I796" i="489"/>
  <c r="I795" i="489"/>
  <c r="I794" i="489"/>
  <c r="I793" i="489"/>
  <c r="I792" i="489"/>
  <c r="I791" i="489"/>
  <c r="I790" i="489"/>
  <c r="I789" i="489"/>
  <c r="I788" i="489"/>
  <c r="I787" i="489"/>
  <c r="I786" i="489"/>
  <c r="I785" i="489"/>
  <c r="I784" i="489"/>
  <c r="I783" i="489"/>
  <c r="I782" i="489"/>
  <c r="I781" i="489"/>
  <c r="I780" i="489"/>
  <c r="I779" i="489"/>
  <c r="I778" i="489"/>
  <c r="I777" i="489"/>
  <c r="I776" i="489"/>
  <c r="I775" i="489"/>
  <c r="I774" i="489"/>
  <c r="I773" i="489"/>
  <c r="I772" i="489"/>
  <c r="I771" i="489"/>
  <c r="I770" i="489"/>
  <c r="I769" i="489"/>
  <c r="I768" i="489"/>
  <c r="I767" i="489"/>
  <c r="I766" i="489"/>
  <c r="I765" i="489"/>
  <c r="I764" i="489"/>
  <c r="I763" i="489"/>
  <c r="I762" i="489"/>
  <c r="I761" i="489"/>
  <c r="I760" i="489"/>
  <c r="I759" i="489"/>
  <c r="I758" i="489"/>
  <c r="I757" i="489"/>
  <c r="I756" i="489"/>
  <c r="I755" i="489"/>
  <c r="I754" i="489"/>
  <c r="I753" i="489"/>
  <c r="I752" i="489"/>
  <c r="I751" i="489"/>
  <c r="I750" i="489"/>
  <c r="I749" i="489"/>
  <c r="I748" i="489"/>
  <c r="I747" i="489"/>
  <c r="I746" i="489"/>
  <c r="I745" i="489"/>
  <c r="I744" i="489"/>
  <c r="I743" i="489"/>
  <c r="I742" i="489"/>
  <c r="I741" i="489"/>
  <c r="I740" i="489"/>
  <c r="I739" i="489"/>
  <c r="I738" i="489"/>
  <c r="I737" i="489"/>
  <c r="I736" i="489"/>
  <c r="I735" i="489"/>
  <c r="I734" i="489"/>
  <c r="I733" i="489"/>
  <c r="I732" i="489"/>
  <c r="I731" i="489"/>
  <c r="I730" i="489"/>
  <c r="I729" i="489"/>
  <c r="I728" i="489"/>
  <c r="I727" i="489"/>
  <c r="I726" i="489"/>
  <c r="I725" i="489"/>
  <c r="I724" i="489"/>
  <c r="I723" i="489"/>
  <c r="I722" i="489"/>
  <c r="I721" i="489"/>
  <c r="I720" i="489"/>
  <c r="I719" i="489"/>
  <c r="I718" i="489"/>
  <c r="I717" i="489"/>
  <c r="I716" i="489"/>
  <c r="I715" i="489"/>
  <c r="I714" i="489"/>
  <c r="I713" i="489"/>
  <c r="I712" i="489"/>
  <c r="I711" i="489"/>
  <c r="I710" i="489"/>
  <c r="I709" i="489"/>
  <c r="I708" i="489"/>
  <c r="I707" i="489"/>
  <c r="I706" i="489"/>
  <c r="I705" i="489"/>
  <c r="I704" i="489"/>
  <c r="I703" i="489"/>
  <c r="I702" i="489"/>
  <c r="I701" i="489"/>
  <c r="I700" i="489"/>
  <c r="I699" i="489"/>
  <c r="I698" i="489"/>
  <c r="I697" i="489"/>
  <c r="I696" i="489"/>
  <c r="I695" i="489"/>
  <c r="I694" i="489"/>
  <c r="I693" i="489"/>
  <c r="I692" i="489"/>
  <c r="I691" i="489"/>
  <c r="I690" i="489"/>
  <c r="I689" i="489"/>
  <c r="I688" i="489"/>
  <c r="I687" i="489"/>
  <c r="I686" i="489"/>
  <c r="I685" i="489"/>
  <c r="I684" i="489"/>
  <c r="I683" i="489"/>
  <c r="I682" i="489"/>
  <c r="I681" i="489"/>
  <c r="I680" i="489"/>
  <c r="I679" i="489"/>
  <c r="I678" i="489"/>
  <c r="I677" i="489"/>
  <c r="I676" i="489"/>
  <c r="I675" i="489"/>
  <c r="I674" i="489"/>
  <c r="I673" i="489"/>
  <c r="I672" i="489"/>
  <c r="I671" i="489"/>
  <c r="I670" i="489"/>
  <c r="I669" i="489"/>
  <c r="I668" i="489"/>
  <c r="I667" i="489"/>
  <c r="I666" i="489"/>
  <c r="I665" i="489"/>
  <c r="I664" i="489"/>
  <c r="I663" i="489"/>
  <c r="I662" i="489"/>
  <c r="I661" i="489"/>
  <c r="I660" i="489"/>
  <c r="I659" i="489"/>
  <c r="I658" i="489"/>
  <c r="I657" i="489"/>
  <c r="I656" i="489"/>
  <c r="I655" i="489"/>
  <c r="I654" i="489"/>
  <c r="I653" i="489"/>
  <c r="I652" i="489"/>
  <c r="I651" i="489"/>
  <c r="I650" i="489"/>
  <c r="I649" i="489"/>
  <c r="I648" i="489"/>
  <c r="I647" i="489"/>
  <c r="I646" i="489"/>
  <c r="I645" i="489"/>
  <c r="I644" i="489"/>
  <c r="I643" i="489"/>
  <c r="I642" i="489"/>
  <c r="I641" i="489"/>
  <c r="I640" i="489"/>
  <c r="I639" i="489"/>
  <c r="I638" i="489"/>
  <c r="I637" i="489"/>
  <c r="I636" i="489"/>
  <c r="I635" i="489"/>
  <c r="I634" i="489"/>
  <c r="I633" i="489"/>
  <c r="I632" i="489"/>
  <c r="I631" i="489"/>
  <c r="I630" i="489"/>
  <c r="I629" i="489"/>
  <c r="I628" i="489"/>
  <c r="I627" i="489"/>
  <c r="I626" i="489"/>
  <c r="I625" i="489"/>
  <c r="I624" i="489"/>
  <c r="I623" i="489"/>
  <c r="I622" i="489"/>
  <c r="I621" i="489"/>
  <c r="I620" i="489"/>
  <c r="I619" i="489"/>
  <c r="I618" i="489"/>
  <c r="I617" i="489"/>
  <c r="I616" i="489"/>
  <c r="I615" i="489"/>
  <c r="I614" i="489"/>
  <c r="I613" i="489"/>
  <c r="I612" i="489"/>
  <c r="I611" i="489"/>
  <c r="I610" i="489"/>
  <c r="I609" i="489"/>
  <c r="I608" i="489"/>
  <c r="I607" i="489"/>
  <c r="I606" i="489"/>
  <c r="I605" i="489"/>
  <c r="I604" i="489"/>
  <c r="I603" i="489"/>
  <c r="I602" i="489"/>
  <c r="I601" i="489"/>
  <c r="I600" i="489"/>
  <c r="I599" i="489"/>
  <c r="I598" i="489"/>
  <c r="I597" i="489"/>
  <c r="I596" i="489"/>
  <c r="I595" i="489"/>
  <c r="I594" i="489"/>
  <c r="I593" i="489"/>
  <c r="I592" i="489"/>
  <c r="I591" i="489"/>
  <c r="I590" i="489"/>
  <c r="I589" i="489"/>
  <c r="I588" i="489"/>
  <c r="I587" i="489"/>
  <c r="I586" i="489"/>
  <c r="I585" i="489"/>
  <c r="I584" i="489"/>
  <c r="I583" i="489"/>
  <c r="I582" i="489"/>
  <c r="I581" i="489"/>
  <c r="I580" i="489"/>
  <c r="I579" i="489"/>
  <c r="I578" i="489"/>
  <c r="I577" i="489"/>
  <c r="I576" i="489"/>
  <c r="I575" i="489"/>
  <c r="I574" i="489"/>
  <c r="I573" i="489"/>
  <c r="I572" i="489"/>
  <c r="I571" i="489"/>
  <c r="I570" i="489"/>
  <c r="I569" i="489"/>
  <c r="I568" i="489"/>
  <c r="I567" i="489"/>
  <c r="I566" i="489"/>
  <c r="I565" i="489"/>
  <c r="I564" i="489"/>
  <c r="I563" i="489"/>
  <c r="I562" i="489"/>
  <c r="I561" i="489"/>
  <c r="I560" i="489"/>
  <c r="I559" i="489"/>
  <c r="I558" i="489"/>
  <c r="I557" i="489"/>
  <c r="I556" i="489"/>
  <c r="I555" i="489"/>
  <c r="I554" i="489"/>
  <c r="I553" i="489"/>
  <c r="I552" i="489"/>
  <c r="I551" i="489"/>
  <c r="I550" i="489"/>
  <c r="I549" i="489"/>
  <c r="I548" i="489"/>
  <c r="I547" i="489"/>
  <c r="I546" i="489"/>
  <c r="I545" i="489"/>
  <c r="I544" i="489"/>
  <c r="I543" i="489"/>
  <c r="I542" i="489"/>
  <c r="I541" i="489"/>
  <c r="I540" i="489"/>
  <c r="I539" i="489"/>
  <c r="I538" i="489"/>
  <c r="I537" i="489"/>
  <c r="I536" i="489"/>
  <c r="I535" i="489"/>
  <c r="I534" i="489"/>
  <c r="I533" i="489"/>
  <c r="I532" i="489"/>
  <c r="I531" i="489"/>
  <c r="I530" i="489"/>
  <c r="I529" i="489"/>
  <c r="I528" i="489"/>
  <c r="I527" i="489"/>
  <c r="I526" i="489"/>
  <c r="I525" i="489"/>
  <c r="I524" i="489"/>
  <c r="I523" i="489"/>
  <c r="I522" i="489"/>
  <c r="I521" i="489"/>
  <c r="I520" i="489"/>
  <c r="I519" i="489"/>
  <c r="I518" i="489"/>
  <c r="I517" i="489"/>
  <c r="I516" i="489"/>
  <c r="I515" i="489"/>
  <c r="I514" i="489"/>
  <c r="I513" i="489"/>
  <c r="I512" i="489"/>
  <c r="I511" i="489"/>
  <c r="I510" i="489"/>
  <c r="I509" i="489"/>
  <c r="I508" i="489"/>
  <c r="I507" i="489"/>
  <c r="I506" i="489"/>
  <c r="I505" i="489"/>
  <c r="I504" i="489"/>
  <c r="I503" i="489"/>
  <c r="I502" i="489"/>
  <c r="I501" i="489"/>
  <c r="I500" i="489"/>
  <c r="I499" i="489"/>
  <c r="I498" i="489"/>
  <c r="I497" i="489"/>
  <c r="I496" i="489"/>
  <c r="I495" i="489"/>
  <c r="I494" i="489"/>
  <c r="I493" i="489"/>
  <c r="I492" i="489"/>
  <c r="I491" i="489"/>
  <c r="I490" i="489"/>
  <c r="I489" i="489"/>
  <c r="I488" i="489"/>
  <c r="I487" i="489"/>
  <c r="I486" i="489"/>
  <c r="I485" i="489"/>
  <c r="I484" i="489"/>
  <c r="I483" i="489"/>
  <c r="I482" i="489"/>
  <c r="I481" i="489"/>
  <c r="I480" i="489"/>
  <c r="I479" i="489"/>
  <c r="I478" i="489"/>
  <c r="I477" i="489"/>
  <c r="I476" i="489"/>
  <c r="I475" i="489"/>
  <c r="I474" i="489"/>
  <c r="I473" i="489"/>
  <c r="I472" i="489"/>
  <c r="I471" i="489"/>
  <c r="I470" i="489"/>
  <c r="I469" i="489"/>
  <c r="I468" i="489"/>
  <c r="I467" i="489"/>
  <c r="I466" i="489"/>
  <c r="I465" i="489"/>
  <c r="I464" i="489"/>
  <c r="I463" i="489"/>
  <c r="I462" i="489"/>
  <c r="I461" i="489"/>
  <c r="I460" i="489"/>
  <c r="I459" i="489"/>
  <c r="I458" i="489"/>
  <c r="I457" i="489"/>
  <c r="I456" i="489"/>
  <c r="I455" i="489"/>
  <c r="I454" i="489"/>
  <c r="I453" i="489"/>
  <c r="I452" i="489"/>
  <c r="I451" i="489"/>
  <c r="I450" i="489"/>
  <c r="I449" i="489"/>
  <c r="I448" i="489"/>
  <c r="I447" i="489"/>
  <c r="I446" i="489"/>
  <c r="J1165" i="488"/>
  <c r="I1165" i="488"/>
  <c r="F1165" i="488"/>
  <c r="J1164" i="488"/>
  <c r="F1164" i="488"/>
  <c r="I1164" i="488" s="1"/>
  <c r="J1163" i="488"/>
  <c r="I1163" i="488"/>
  <c r="F1163" i="488"/>
  <c r="J1162" i="488"/>
  <c r="F1162" i="488"/>
  <c r="I1162" i="488" s="1"/>
  <c r="J1161" i="488"/>
  <c r="F1161" i="488"/>
  <c r="I1161" i="488" s="1"/>
  <c r="J1160" i="488"/>
  <c r="F1160" i="488"/>
  <c r="I1160" i="488" s="1"/>
  <c r="J1159" i="488"/>
  <c r="F1159" i="488"/>
  <c r="I1159" i="488" s="1"/>
  <c r="J1158" i="488"/>
  <c r="I1158" i="488"/>
  <c r="F1158" i="488"/>
  <c r="J1157" i="488"/>
  <c r="I1157" i="488"/>
  <c r="F1157" i="488"/>
  <c r="J1156" i="488"/>
  <c r="F1156" i="488"/>
  <c r="I1156" i="488" s="1"/>
  <c r="J1155" i="488"/>
  <c r="I1155" i="488"/>
  <c r="F1155" i="488"/>
  <c r="J1154" i="488"/>
  <c r="F1154" i="488"/>
  <c r="I1154" i="488" s="1"/>
  <c r="J1153" i="488"/>
  <c r="I1153" i="488"/>
  <c r="F1153" i="488"/>
  <c r="J1152" i="488"/>
  <c r="F1152" i="488"/>
  <c r="I1152" i="488" s="1"/>
  <c r="J1151" i="488"/>
  <c r="F1151" i="488"/>
  <c r="I1151" i="488" s="1"/>
  <c r="J1150" i="488"/>
  <c r="I1150" i="488"/>
  <c r="F1150" i="488"/>
  <c r="J1149" i="488"/>
  <c r="I1149" i="488"/>
  <c r="F1149" i="488"/>
  <c r="J1148" i="488"/>
  <c r="F1148" i="488"/>
  <c r="I1148" i="488" s="1"/>
  <c r="J1147" i="488"/>
  <c r="I1147" i="488"/>
  <c r="F1147" i="488"/>
  <c r="J1146" i="488"/>
  <c r="F1146" i="488"/>
  <c r="I1146" i="488" s="1"/>
  <c r="J1145" i="488"/>
  <c r="F1145" i="488"/>
  <c r="I1145" i="488" s="1"/>
  <c r="J1144" i="488"/>
  <c r="F1144" i="488"/>
  <c r="I1144" i="488" s="1"/>
  <c r="J1143" i="488"/>
  <c r="F1143" i="488"/>
  <c r="I1143" i="488" s="1"/>
  <c r="J1142" i="488"/>
  <c r="I1142" i="488"/>
  <c r="F1142" i="488"/>
  <c r="J1141" i="488"/>
  <c r="I1141" i="488"/>
  <c r="F1141" i="488"/>
  <c r="J1140" i="488"/>
  <c r="F1140" i="488"/>
  <c r="I1140" i="488" s="1"/>
  <c r="J1139" i="488"/>
  <c r="I1139" i="488"/>
  <c r="F1139" i="488"/>
  <c r="J1138" i="488"/>
  <c r="F1138" i="488"/>
  <c r="I1138" i="488" s="1"/>
  <c r="J1137" i="488"/>
  <c r="I1137" i="488"/>
  <c r="F1137" i="488"/>
  <c r="J1136" i="488"/>
  <c r="F1136" i="488"/>
  <c r="I1136" i="488" s="1"/>
  <c r="J1135" i="488"/>
  <c r="F1135" i="488"/>
  <c r="I1135" i="488" s="1"/>
  <c r="J1134" i="488"/>
  <c r="F1134" i="488"/>
  <c r="I1134" i="488" s="1"/>
  <c r="J1133" i="488"/>
  <c r="I1133" i="488"/>
  <c r="F1133" i="488"/>
  <c r="J1132" i="488"/>
  <c r="F1132" i="488"/>
  <c r="I1132" i="488" s="1"/>
  <c r="J1131" i="488"/>
  <c r="I1131" i="488"/>
  <c r="F1131" i="488"/>
  <c r="J1130" i="488"/>
  <c r="F1130" i="488"/>
  <c r="I1130" i="488" s="1"/>
  <c r="J1129" i="488"/>
  <c r="F1129" i="488"/>
  <c r="I1129" i="488" s="1"/>
  <c r="J1128" i="488"/>
  <c r="F1128" i="488"/>
  <c r="I1128" i="488" s="1"/>
  <c r="J1127" i="488"/>
  <c r="F1127" i="488"/>
  <c r="I1127" i="488" s="1"/>
  <c r="J1126" i="488"/>
  <c r="I1126" i="488"/>
  <c r="F1126" i="488"/>
  <c r="J1125" i="488"/>
  <c r="I1125" i="488"/>
  <c r="F1125" i="488"/>
  <c r="J1124" i="488"/>
  <c r="F1124" i="488"/>
  <c r="I1124" i="488" s="1"/>
  <c r="J1123" i="488"/>
  <c r="I1123" i="488"/>
  <c r="F1123" i="488"/>
  <c r="J1122" i="488"/>
  <c r="F1122" i="488"/>
  <c r="I1122" i="488" s="1"/>
  <c r="J1121" i="488"/>
  <c r="I1121" i="488"/>
  <c r="F1121" i="488"/>
  <c r="J1120" i="488"/>
  <c r="F1120" i="488"/>
  <c r="I1120" i="488" s="1"/>
  <c r="J1119" i="488"/>
  <c r="F1119" i="488"/>
  <c r="I1119" i="488" s="1"/>
  <c r="J1118" i="488"/>
  <c r="I1118" i="488"/>
  <c r="F1118" i="488"/>
  <c r="J1117" i="488"/>
  <c r="I1117" i="488"/>
  <c r="F1117" i="488"/>
  <c r="J1116" i="488"/>
  <c r="F1116" i="488"/>
  <c r="I1116" i="488" s="1"/>
  <c r="J1115" i="488"/>
  <c r="I1115" i="488"/>
  <c r="F1115" i="488"/>
  <c r="J1114" i="488"/>
  <c r="F1114" i="488"/>
  <c r="I1114" i="488" s="1"/>
  <c r="J1113" i="488"/>
  <c r="F1113" i="488"/>
  <c r="I1113" i="488" s="1"/>
  <c r="J1112" i="488"/>
  <c r="F1112" i="488"/>
  <c r="I1112" i="488" s="1"/>
  <c r="J1111" i="488"/>
  <c r="F1111" i="488"/>
  <c r="I1111" i="488" s="1"/>
  <c r="J1110" i="488"/>
  <c r="I1110" i="488"/>
  <c r="F1110" i="488"/>
  <c r="J1109" i="488"/>
  <c r="I1109" i="488"/>
  <c r="F1109" i="488"/>
  <c r="J1108" i="488"/>
  <c r="F1108" i="488"/>
  <c r="I1108" i="488" s="1"/>
  <c r="J1107" i="488"/>
  <c r="I1107" i="488"/>
  <c r="F1107" i="488"/>
  <c r="J1106" i="488"/>
  <c r="F1106" i="488"/>
  <c r="I1106" i="488" s="1"/>
  <c r="J1105" i="488"/>
  <c r="I1105" i="488"/>
  <c r="F1105" i="488"/>
  <c r="J1104" i="488"/>
  <c r="F1104" i="488"/>
  <c r="I1104" i="488" s="1"/>
  <c r="J1103" i="488"/>
  <c r="F1103" i="488"/>
  <c r="I1103" i="488" s="1"/>
  <c r="J1102" i="488"/>
  <c r="F1102" i="488"/>
  <c r="I1102" i="488" s="1"/>
  <c r="J1101" i="488"/>
  <c r="I1101" i="488"/>
  <c r="F1101" i="488"/>
  <c r="J1100" i="488"/>
  <c r="F1100" i="488"/>
  <c r="I1100" i="488" s="1"/>
  <c r="J1099" i="488"/>
  <c r="I1099" i="488"/>
  <c r="F1099" i="488"/>
  <c r="J1098" i="488"/>
  <c r="F1098" i="488"/>
  <c r="I1098" i="488" s="1"/>
  <c r="J1097" i="488"/>
  <c r="F1097" i="488"/>
  <c r="I1097" i="488" s="1"/>
  <c r="J1096" i="488"/>
  <c r="F1096" i="488"/>
  <c r="I1096" i="488" s="1"/>
  <c r="J1095" i="488"/>
  <c r="F1095" i="488"/>
  <c r="I1095" i="488" s="1"/>
  <c r="J1094" i="488"/>
  <c r="I1094" i="488"/>
  <c r="F1094" i="488"/>
  <c r="J1093" i="488"/>
  <c r="I1093" i="488"/>
  <c r="F1093" i="488"/>
  <c r="J1092" i="488"/>
  <c r="F1092" i="488"/>
  <c r="I1092" i="488" s="1"/>
  <c r="J1091" i="488"/>
  <c r="I1091" i="488"/>
  <c r="F1091" i="488"/>
  <c r="J1090" i="488"/>
  <c r="F1090" i="488"/>
  <c r="I1090" i="488" s="1"/>
  <c r="J1089" i="488"/>
  <c r="I1089" i="488"/>
  <c r="F1089" i="488"/>
  <c r="J1088" i="488"/>
  <c r="F1088" i="488"/>
  <c r="I1088" i="488" s="1"/>
  <c r="J1087" i="488"/>
  <c r="F1087" i="488"/>
  <c r="I1087" i="488" s="1"/>
  <c r="J1086" i="488"/>
  <c r="I1086" i="488"/>
  <c r="F1086" i="488"/>
  <c r="J1085" i="488"/>
  <c r="I1085" i="488"/>
  <c r="F1085" i="488"/>
  <c r="J1084" i="488"/>
  <c r="F1084" i="488"/>
  <c r="I1084" i="488" s="1"/>
  <c r="J1083" i="488"/>
  <c r="I1083" i="488"/>
  <c r="F1083" i="488"/>
  <c r="J1082" i="488"/>
  <c r="F1082" i="488"/>
  <c r="I1082" i="488" s="1"/>
  <c r="J1081" i="488"/>
  <c r="F1081" i="488"/>
  <c r="I1081" i="488" s="1"/>
  <c r="J1080" i="488"/>
  <c r="F1080" i="488"/>
  <c r="I1080" i="488" s="1"/>
  <c r="J1079" i="488"/>
  <c r="F1079" i="488"/>
  <c r="I1079" i="488" s="1"/>
  <c r="J1078" i="488"/>
  <c r="I1078" i="488"/>
  <c r="F1078" i="488"/>
  <c r="J1077" i="488"/>
  <c r="I1077" i="488"/>
  <c r="F1077" i="488"/>
  <c r="J1076" i="488"/>
  <c r="F1076" i="488"/>
  <c r="I1076" i="488" s="1"/>
  <c r="J1075" i="488"/>
  <c r="I1075" i="488"/>
  <c r="F1075" i="488"/>
  <c r="I1074" i="488"/>
  <c r="F1074" i="488"/>
  <c r="F1073" i="488"/>
  <c r="I1073" i="488" s="1"/>
  <c r="F1072" i="488"/>
  <c r="I1072" i="488" s="1"/>
  <c r="I1071" i="488"/>
  <c r="F1071" i="488"/>
  <c r="I1070" i="488"/>
  <c r="F1070" i="488"/>
  <c r="F1069" i="488"/>
  <c r="I1069" i="488" s="1"/>
  <c r="I1068" i="488"/>
  <c r="F1068" i="488"/>
  <c r="I1067" i="488"/>
  <c r="F1067" i="488"/>
  <c r="I1066" i="488"/>
  <c r="F1066" i="488"/>
  <c r="F1065" i="488"/>
  <c r="I1065" i="488" s="1"/>
  <c r="I1064" i="488"/>
  <c r="F1064" i="488"/>
  <c r="I1063" i="488"/>
  <c r="F1063" i="488"/>
  <c r="I1062" i="488"/>
  <c r="F1062" i="488"/>
  <c r="F1061" i="488"/>
  <c r="I1061" i="488" s="1"/>
  <c r="I1060" i="488"/>
  <c r="F1060" i="488"/>
  <c r="I1059" i="488"/>
  <c r="F1059" i="488"/>
  <c r="I1058" i="488"/>
  <c r="F1058" i="488"/>
  <c r="F1057" i="488"/>
  <c r="I1057" i="488" s="1"/>
  <c r="F1056" i="488"/>
  <c r="I1056" i="488" s="1"/>
  <c r="I1055" i="488"/>
  <c r="F1055" i="488"/>
  <c r="I1054" i="488"/>
  <c r="F1054" i="488"/>
  <c r="F1053" i="488"/>
  <c r="I1053" i="488" s="1"/>
  <c r="F1052" i="488"/>
  <c r="I1052" i="488" s="1"/>
  <c r="I1051" i="488"/>
  <c r="F1051" i="488"/>
  <c r="I1050" i="488"/>
  <c r="F1050" i="488"/>
  <c r="F1049" i="488"/>
  <c r="I1049" i="488" s="1"/>
  <c r="I1048" i="488"/>
  <c r="F1048" i="488"/>
  <c r="I1047" i="488"/>
  <c r="F1047" i="488"/>
  <c r="I1046" i="488"/>
  <c r="F1046" i="488"/>
  <c r="F1045" i="488"/>
  <c r="I1045" i="488" s="1"/>
  <c r="I1044" i="488"/>
  <c r="F1044" i="488"/>
  <c r="I1043" i="488"/>
  <c r="F1043" i="488"/>
  <c r="I1042" i="488"/>
  <c r="F1042" i="488"/>
  <c r="F1041" i="488"/>
  <c r="I1041" i="488" s="1"/>
  <c r="F1040" i="488"/>
  <c r="I1040" i="488" s="1"/>
  <c r="I1039" i="488"/>
  <c r="I1038" i="488"/>
  <c r="I1037" i="488"/>
  <c r="I1036" i="488"/>
  <c r="I1035" i="488"/>
  <c r="I1034" i="488"/>
  <c r="I1033" i="488"/>
  <c r="I1032" i="488"/>
  <c r="I1031" i="488"/>
  <c r="I1030" i="488"/>
  <c r="I1029" i="488"/>
  <c r="I1028" i="488"/>
  <c r="I1027" i="488"/>
  <c r="I1026" i="488"/>
  <c r="I1025" i="488"/>
  <c r="I1024" i="488"/>
  <c r="I1023" i="488"/>
  <c r="I1022" i="488"/>
  <c r="I1021" i="488"/>
  <c r="I1020" i="488"/>
  <c r="I1019" i="488"/>
  <c r="I1018" i="488"/>
  <c r="I1017" i="488"/>
  <c r="I1016" i="488"/>
  <c r="I1015" i="488"/>
  <c r="I1014" i="488"/>
  <c r="I1013" i="488"/>
  <c r="I1012" i="488"/>
  <c r="I1011" i="488"/>
  <c r="I1010" i="488"/>
  <c r="I1009" i="488"/>
  <c r="I1008" i="488"/>
  <c r="I1007" i="488"/>
  <c r="I1006" i="488"/>
  <c r="I1005" i="488"/>
  <c r="I1004" i="488"/>
  <c r="I1003" i="488"/>
  <c r="I1002" i="488"/>
  <c r="I1001" i="488"/>
  <c r="I1000" i="488"/>
  <c r="I999" i="488"/>
  <c r="I998" i="488"/>
  <c r="I997" i="488"/>
  <c r="I996" i="488"/>
  <c r="I995" i="488"/>
  <c r="I994" i="488"/>
  <c r="I993" i="488"/>
  <c r="I992" i="488"/>
  <c r="I991" i="488"/>
  <c r="I990" i="488"/>
  <c r="I989" i="488"/>
  <c r="I988" i="488"/>
  <c r="I987" i="488"/>
  <c r="I986" i="488"/>
  <c r="I985" i="488"/>
  <c r="I984" i="488"/>
  <c r="I983" i="488"/>
  <c r="I982" i="488"/>
  <c r="I981" i="488"/>
  <c r="I980" i="488"/>
  <c r="I979" i="488"/>
  <c r="I978" i="488"/>
  <c r="I977" i="488"/>
  <c r="I976" i="488"/>
  <c r="I975" i="488"/>
  <c r="I974" i="488"/>
  <c r="I973" i="488"/>
  <c r="I972" i="488"/>
  <c r="I971" i="488"/>
  <c r="I970" i="488"/>
  <c r="I969" i="488"/>
  <c r="I968" i="488"/>
  <c r="I967" i="488"/>
  <c r="I966" i="488"/>
  <c r="I965" i="488"/>
  <c r="I964" i="488"/>
  <c r="I963" i="488"/>
  <c r="I962" i="488"/>
  <c r="I961" i="488"/>
  <c r="I960" i="488"/>
  <c r="I959" i="488"/>
  <c r="I958" i="488"/>
  <c r="I957" i="488"/>
  <c r="I956" i="488"/>
  <c r="I955" i="488"/>
  <c r="I954" i="488"/>
  <c r="I953" i="488"/>
  <c r="I952" i="488"/>
  <c r="I951" i="488"/>
  <c r="I950" i="488"/>
  <c r="I949" i="488"/>
  <c r="I948" i="488"/>
  <c r="I947" i="488"/>
  <c r="I946" i="488"/>
  <c r="I945" i="488"/>
  <c r="I944" i="488"/>
  <c r="I943" i="488"/>
  <c r="I942" i="488"/>
  <c r="I941" i="488"/>
  <c r="I940" i="488"/>
  <c r="I939" i="488"/>
  <c r="I938" i="488"/>
  <c r="I937" i="488"/>
  <c r="I936" i="488"/>
  <c r="I935" i="488"/>
  <c r="I934" i="488"/>
  <c r="I933" i="488"/>
  <c r="I932" i="488"/>
  <c r="I931" i="488"/>
  <c r="I930" i="488"/>
  <c r="I929" i="488"/>
  <c r="I928" i="488"/>
  <c r="I927" i="488"/>
  <c r="I926" i="488"/>
  <c r="I925" i="488"/>
  <c r="I924" i="488"/>
  <c r="I923" i="488"/>
  <c r="I922" i="488"/>
  <c r="I921" i="488"/>
  <c r="I920" i="488"/>
  <c r="I919" i="488"/>
  <c r="I918" i="488"/>
  <c r="I917" i="488"/>
  <c r="I916" i="488"/>
  <c r="I915" i="488"/>
  <c r="I914" i="488"/>
  <c r="I913" i="488"/>
  <c r="I912" i="488"/>
  <c r="I911" i="488"/>
  <c r="I910" i="488"/>
  <c r="I909" i="488"/>
  <c r="I908" i="488"/>
  <c r="I907" i="488"/>
  <c r="I906" i="488"/>
  <c r="I905" i="488"/>
  <c r="I904" i="488"/>
  <c r="I903" i="488"/>
  <c r="I902" i="488"/>
  <c r="I901" i="488"/>
  <c r="I900" i="488"/>
  <c r="I899" i="488"/>
  <c r="I898" i="488"/>
  <c r="I897" i="488"/>
  <c r="I896" i="488"/>
  <c r="I895" i="488"/>
  <c r="I894" i="488"/>
  <c r="I893" i="488"/>
  <c r="I892" i="488"/>
  <c r="I891" i="488"/>
  <c r="I890" i="488"/>
  <c r="I889" i="488"/>
  <c r="I888" i="488"/>
  <c r="I887" i="488"/>
  <c r="I886" i="488"/>
  <c r="I885" i="488"/>
  <c r="I884" i="488"/>
  <c r="I883" i="488"/>
  <c r="I882" i="488"/>
  <c r="I881" i="488"/>
  <c r="I880" i="488"/>
  <c r="I879" i="488"/>
  <c r="I878" i="488"/>
  <c r="I877" i="488"/>
  <c r="I876" i="488"/>
  <c r="I875" i="488"/>
  <c r="I874" i="488"/>
  <c r="I873" i="488"/>
  <c r="I872" i="488"/>
  <c r="I871" i="488"/>
  <c r="I870" i="488"/>
  <c r="I869" i="488"/>
  <c r="I868" i="488"/>
  <c r="I867" i="488"/>
  <c r="I866" i="488"/>
  <c r="I865" i="488"/>
  <c r="I864" i="488"/>
  <c r="I863" i="488"/>
  <c r="I862" i="488"/>
  <c r="I861" i="488"/>
  <c r="I860" i="488"/>
  <c r="I859" i="488"/>
  <c r="I858" i="488"/>
  <c r="I857" i="488"/>
  <c r="I856" i="488"/>
  <c r="I855" i="488"/>
  <c r="I854" i="488"/>
  <c r="I853" i="488"/>
  <c r="I852" i="488"/>
  <c r="I851" i="488"/>
  <c r="I850" i="488"/>
  <c r="I849" i="488"/>
  <c r="I848" i="488"/>
  <c r="I847" i="488"/>
  <c r="I846" i="488"/>
  <c r="I845" i="488"/>
  <c r="I844" i="488"/>
  <c r="I843" i="488"/>
  <c r="I842" i="488"/>
  <c r="I841" i="488"/>
  <c r="I840" i="488"/>
  <c r="I839" i="488"/>
  <c r="I838" i="488"/>
  <c r="I837" i="488"/>
  <c r="I836" i="488"/>
  <c r="I835" i="488"/>
  <c r="I834" i="488"/>
  <c r="I833" i="488"/>
  <c r="I832" i="488"/>
  <c r="I831" i="488"/>
  <c r="I830" i="488"/>
  <c r="I829" i="488"/>
  <c r="I828" i="488"/>
  <c r="I827" i="488"/>
  <c r="I826" i="488"/>
  <c r="I825" i="488"/>
  <c r="I824" i="488"/>
  <c r="I823" i="488"/>
  <c r="I822" i="488"/>
  <c r="I821" i="488"/>
  <c r="I820" i="488"/>
  <c r="I819" i="488"/>
  <c r="I818" i="488"/>
  <c r="I817" i="488"/>
  <c r="I816" i="488"/>
  <c r="I815" i="488"/>
  <c r="I814" i="488"/>
  <c r="I813" i="488"/>
  <c r="I812" i="488"/>
  <c r="I811" i="488"/>
  <c r="I810" i="488"/>
  <c r="I809" i="488"/>
  <c r="I808" i="488"/>
  <c r="I807" i="488"/>
  <c r="I806" i="488"/>
  <c r="I805" i="488"/>
  <c r="I804" i="488"/>
  <c r="I803" i="488"/>
  <c r="I802" i="488"/>
  <c r="I801" i="488"/>
  <c r="I800" i="488"/>
  <c r="I799" i="488"/>
  <c r="I798" i="488"/>
  <c r="I797" i="488"/>
  <c r="I796" i="488"/>
  <c r="I795" i="488"/>
  <c r="I794" i="488"/>
  <c r="I793" i="488"/>
  <c r="I792" i="488"/>
  <c r="I791" i="488"/>
  <c r="I790" i="488"/>
  <c r="I789" i="488"/>
  <c r="I788" i="488"/>
  <c r="I787" i="488"/>
  <c r="I786" i="488"/>
  <c r="I785" i="488"/>
  <c r="I784" i="488"/>
  <c r="I783" i="488"/>
  <c r="I782" i="488"/>
  <c r="I781" i="488"/>
  <c r="I780" i="488"/>
  <c r="I779" i="488"/>
  <c r="I778" i="488"/>
  <c r="I777" i="488"/>
  <c r="I776" i="488"/>
  <c r="I775" i="488"/>
  <c r="I774" i="488"/>
  <c r="I773" i="488"/>
  <c r="I772" i="488"/>
  <c r="I771" i="488"/>
  <c r="I770" i="488"/>
  <c r="I769" i="488"/>
  <c r="I768" i="488"/>
  <c r="I767" i="488"/>
  <c r="I766" i="488"/>
  <c r="I765" i="488"/>
  <c r="I764" i="488"/>
  <c r="I763" i="488"/>
  <c r="I762" i="488"/>
  <c r="I761" i="488"/>
  <c r="I760" i="488"/>
  <c r="I759" i="488"/>
  <c r="I758" i="488"/>
  <c r="I757" i="488"/>
  <c r="I756" i="488"/>
  <c r="I755" i="488"/>
  <c r="I754" i="488"/>
  <c r="I753" i="488"/>
  <c r="I752" i="488"/>
  <c r="I751" i="488"/>
  <c r="I750" i="488"/>
  <c r="I749" i="488"/>
  <c r="I748" i="488"/>
  <c r="I747" i="488"/>
  <c r="I746" i="488"/>
  <c r="I745" i="488"/>
  <c r="I744" i="488"/>
  <c r="I743" i="488"/>
  <c r="I742" i="488"/>
  <c r="I741" i="488"/>
  <c r="I740" i="488"/>
  <c r="I739" i="488"/>
  <c r="I738" i="488"/>
  <c r="I737" i="488"/>
  <c r="I736" i="488"/>
  <c r="I735" i="488"/>
  <c r="I734" i="488"/>
  <c r="I733" i="488"/>
  <c r="I732" i="488"/>
  <c r="I731" i="488"/>
  <c r="I730" i="488"/>
  <c r="I729" i="488"/>
  <c r="I728" i="488"/>
  <c r="I727" i="488"/>
  <c r="I726" i="488"/>
  <c r="I725" i="488"/>
  <c r="I724" i="488"/>
  <c r="I723" i="488"/>
  <c r="I722" i="488"/>
  <c r="I721" i="488"/>
  <c r="I720" i="488"/>
  <c r="I719" i="488"/>
  <c r="I718" i="488"/>
  <c r="I717" i="488"/>
  <c r="I716" i="488"/>
  <c r="I715" i="488"/>
  <c r="I714" i="488"/>
  <c r="I713" i="488"/>
  <c r="I712" i="488"/>
  <c r="I711" i="488"/>
  <c r="I710" i="488"/>
  <c r="I709" i="488"/>
  <c r="I708" i="488"/>
  <c r="I707" i="488"/>
  <c r="I706" i="488"/>
  <c r="I705" i="488"/>
  <c r="I704" i="488"/>
  <c r="I703" i="488"/>
  <c r="I702" i="488"/>
  <c r="I701" i="488"/>
  <c r="I700" i="488"/>
  <c r="I699" i="488"/>
  <c r="I698" i="488"/>
  <c r="I697" i="488"/>
  <c r="I696" i="488"/>
  <c r="I695" i="488"/>
  <c r="I694" i="488"/>
  <c r="I693" i="488"/>
  <c r="I692" i="488"/>
  <c r="I691" i="488"/>
  <c r="I690" i="488"/>
  <c r="I689" i="488"/>
  <c r="I688" i="488"/>
  <c r="I687" i="488"/>
  <c r="I686" i="488"/>
  <c r="I685" i="488"/>
  <c r="I684" i="488"/>
  <c r="I683" i="488"/>
  <c r="I682" i="488"/>
  <c r="I681" i="488"/>
  <c r="I680" i="488"/>
  <c r="I679" i="488"/>
  <c r="I678" i="488"/>
  <c r="I677" i="488"/>
  <c r="I676" i="488"/>
  <c r="I675" i="488"/>
  <c r="I674" i="488"/>
  <c r="I673" i="488"/>
  <c r="I672" i="488"/>
  <c r="I671" i="488"/>
  <c r="I670" i="488"/>
  <c r="I669" i="488"/>
  <c r="I668" i="488"/>
  <c r="I667" i="488"/>
  <c r="I666" i="488"/>
  <c r="I665" i="488"/>
  <c r="I664" i="488"/>
  <c r="I663" i="488"/>
  <c r="I662" i="488"/>
  <c r="I661" i="488"/>
  <c r="I660" i="488"/>
  <c r="I659" i="488"/>
  <c r="I658" i="488"/>
  <c r="I657" i="488"/>
  <c r="I656" i="488"/>
  <c r="I655" i="488"/>
  <c r="I654" i="488"/>
  <c r="I653" i="488"/>
  <c r="I652" i="488"/>
  <c r="I651" i="488"/>
  <c r="I650" i="488"/>
  <c r="I649" i="488"/>
  <c r="I648" i="488"/>
  <c r="I647" i="488"/>
  <c r="I646" i="488"/>
  <c r="I645" i="488"/>
  <c r="I644" i="488"/>
  <c r="I643" i="488"/>
  <c r="I642" i="488"/>
  <c r="I641" i="488"/>
  <c r="I640" i="488"/>
  <c r="I639" i="488"/>
  <c r="I638" i="488"/>
  <c r="I637" i="488"/>
  <c r="I636" i="488"/>
  <c r="I635" i="488"/>
  <c r="I634" i="488"/>
  <c r="I633" i="488"/>
  <c r="I632" i="488"/>
  <c r="I631" i="488"/>
  <c r="I630" i="488"/>
  <c r="I629" i="488"/>
  <c r="I628" i="488"/>
  <c r="I627" i="488"/>
  <c r="I626" i="488"/>
  <c r="I625" i="488"/>
  <c r="I624" i="488"/>
  <c r="I623" i="488"/>
  <c r="I622" i="488"/>
  <c r="I621" i="488"/>
  <c r="I620" i="488"/>
  <c r="I619" i="488"/>
  <c r="I618" i="488"/>
  <c r="I617" i="488"/>
  <c r="I616" i="488"/>
  <c r="I615" i="488"/>
  <c r="I614" i="488"/>
  <c r="I613" i="488"/>
  <c r="I612" i="488"/>
  <c r="I611" i="488"/>
  <c r="I610" i="488"/>
  <c r="I609" i="488"/>
  <c r="I608" i="488"/>
  <c r="I607" i="488"/>
  <c r="I606" i="488"/>
  <c r="I605" i="488"/>
  <c r="I604" i="488"/>
  <c r="I603" i="488"/>
  <c r="I602" i="488"/>
  <c r="I601" i="488"/>
  <c r="I600" i="488"/>
  <c r="I599" i="488"/>
  <c r="I598" i="488"/>
  <c r="I597" i="488"/>
  <c r="I596" i="488"/>
  <c r="I595" i="488"/>
  <c r="I594" i="488"/>
  <c r="I593" i="488"/>
  <c r="I592" i="488"/>
  <c r="I591" i="488"/>
  <c r="I590" i="488"/>
  <c r="I589" i="488"/>
  <c r="I588" i="488"/>
  <c r="I587" i="488"/>
  <c r="I586" i="488"/>
  <c r="I585" i="488"/>
  <c r="I584" i="488"/>
  <c r="I583" i="488"/>
  <c r="I582" i="488"/>
  <c r="I581" i="488"/>
  <c r="I580" i="488"/>
  <c r="I579" i="488"/>
  <c r="I578" i="488"/>
  <c r="I577" i="488"/>
  <c r="I576" i="488"/>
  <c r="I575" i="488"/>
  <c r="I574" i="488"/>
  <c r="I573" i="488"/>
  <c r="I572" i="488"/>
  <c r="I571" i="488"/>
  <c r="I570" i="488"/>
  <c r="I569" i="488"/>
  <c r="I568" i="488"/>
  <c r="I567" i="488"/>
  <c r="I566" i="488"/>
  <c r="J1165" i="487"/>
  <c r="F1165" i="487"/>
  <c r="I1165" i="487" s="1"/>
  <c r="J1164" i="487"/>
  <c r="I1164" i="487"/>
  <c r="F1164" i="487"/>
  <c r="J1163" i="487"/>
  <c r="I1163" i="487"/>
  <c r="F1163" i="487"/>
  <c r="J1162" i="487"/>
  <c r="F1162" i="487"/>
  <c r="I1162" i="487" s="1"/>
  <c r="J1161" i="487"/>
  <c r="I1161" i="487"/>
  <c r="F1161" i="487"/>
  <c r="J1160" i="487"/>
  <c r="I1160" i="487"/>
  <c r="F1160" i="487"/>
  <c r="J1159" i="487"/>
  <c r="I1159" i="487"/>
  <c r="F1159" i="487"/>
  <c r="J1158" i="487"/>
  <c r="F1158" i="487"/>
  <c r="I1158" i="487" s="1"/>
  <c r="J1157" i="487"/>
  <c r="F1157" i="487"/>
  <c r="I1157" i="487" s="1"/>
  <c r="J1156" i="487"/>
  <c r="F1156" i="487"/>
  <c r="I1156" i="487" s="1"/>
  <c r="J1155" i="487"/>
  <c r="F1155" i="487"/>
  <c r="I1155" i="487" s="1"/>
  <c r="J1154" i="487"/>
  <c r="F1154" i="487"/>
  <c r="I1154" i="487" s="1"/>
  <c r="J1153" i="487"/>
  <c r="I1153" i="487"/>
  <c r="F1153" i="487"/>
  <c r="J1152" i="487"/>
  <c r="I1152" i="487"/>
  <c r="F1152" i="487"/>
  <c r="J1151" i="487"/>
  <c r="F1151" i="487"/>
  <c r="I1151" i="487" s="1"/>
  <c r="J1150" i="487"/>
  <c r="I1150" i="487"/>
  <c r="F1150" i="487"/>
  <c r="J1149" i="487"/>
  <c r="F1149" i="487"/>
  <c r="I1149" i="487" s="1"/>
  <c r="J1148" i="487"/>
  <c r="F1148" i="487"/>
  <c r="I1148" i="487" s="1"/>
  <c r="J1147" i="487"/>
  <c r="I1147" i="487"/>
  <c r="F1147" i="487"/>
  <c r="J1146" i="487"/>
  <c r="I1146" i="487"/>
  <c r="F1146" i="487"/>
  <c r="J1145" i="487"/>
  <c r="F1145" i="487"/>
  <c r="I1145" i="487" s="1"/>
  <c r="J1144" i="487"/>
  <c r="F1144" i="487"/>
  <c r="I1144" i="487" s="1"/>
  <c r="J1143" i="487"/>
  <c r="F1143" i="487"/>
  <c r="I1143" i="487" s="1"/>
  <c r="J1142" i="487"/>
  <c r="F1142" i="487"/>
  <c r="I1142" i="487" s="1"/>
  <c r="J1141" i="487"/>
  <c r="F1141" i="487"/>
  <c r="I1141" i="487" s="1"/>
  <c r="J1140" i="487"/>
  <c r="I1140" i="487"/>
  <c r="F1140" i="487"/>
  <c r="J1139" i="487"/>
  <c r="F1139" i="487"/>
  <c r="I1139" i="487" s="1"/>
  <c r="J1138" i="487"/>
  <c r="I1138" i="487"/>
  <c r="F1138" i="487"/>
  <c r="J1137" i="487"/>
  <c r="I1137" i="487"/>
  <c r="F1137" i="487"/>
  <c r="J1136" i="487"/>
  <c r="I1136" i="487"/>
  <c r="F1136" i="487"/>
  <c r="J1135" i="487"/>
  <c r="F1135" i="487"/>
  <c r="I1135" i="487" s="1"/>
  <c r="J1134" i="487"/>
  <c r="I1134" i="487"/>
  <c r="F1134" i="487"/>
  <c r="J1133" i="487"/>
  <c r="I1133" i="487"/>
  <c r="F1133" i="487"/>
  <c r="J1132" i="487"/>
  <c r="F1132" i="487"/>
  <c r="I1132" i="487" s="1"/>
  <c r="J1131" i="487"/>
  <c r="F1131" i="487"/>
  <c r="I1131" i="487" s="1"/>
  <c r="J1130" i="487"/>
  <c r="I1130" i="487"/>
  <c r="F1130" i="487"/>
  <c r="J1129" i="487"/>
  <c r="F1129" i="487"/>
  <c r="I1129" i="487" s="1"/>
  <c r="J1128" i="487"/>
  <c r="F1128" i="487"/>
  <c r="I1128" i="487" s="1"/>
  <c r="J1127" i="487"/>
  <c r="F1127" i="487"/>
  <c r="I1127" i="487" s="1"/>
  <c r="J1126" i="487"/>
  <c r="F1126" i="487"/>
  <c r="I1126" i="487" s="1"/>
  <c r="J1125" i="487"/>
  <c r="F1125" i="487"/>
  <c r="I1125" i="487" s="1"/>
  <c r="J1124" i="487"/>
  <c r="I1124" i="487"/>
  <c r="F1124" i="487"/>
  <c r="J1123" i="487"/>
  <c r="I1123" i="487"/>
  <c r="F1123" i="487"/>
  <c r="J1122" i="487"/>
  <c r="I1122" i="487"/>
  <c r="F1122" i="487"/>
  <c r="J1121" i="487"/>
  <c r="F1121" i="487"/>
  <c r="I1121" i="487" s="1"/>
  <c r="J1120" i="487"/>
  <c r="F1120" i="487"/>
  <c r="I1120" i="487" s="1"/>
  <c r="J1119" i="487"/>
  <c r="F1119" i="487"/>
  <c r="I1119" i="487" s="1"/>
  <c r="J1118" i="487"/>
  <c r="F1118" i="487"/>
  <c r="I1118" i="487" s="1"/>
  <c r="J1117" i="487"/>
  <c r="F1117" i="487"/>
  <c r="I1117" i="487" s="1"/>
  <c r="J1116" i="487"/>
  <c r="F1116" i="487"/>
  <c r="I1116" i="487" s="1"/>
  <c r="J1115" i="487"/>
  <c r="F1115" i="487"/>
  <c r="I1115" i="487" s="1"/>
  <c r="J1114" i="487"/>
  <c r="I1114" i="487"/>
  <c r="F1114" i="487"/>
  <c r="J1113" i="487"/>
  <c r="I1113" i="487"/>
  <c r="F1113" i="487"/>
  <c r="J1112" i="487"/>
  <c r="I1112" i="487"/>
  <c r="F1112" i="487"/>
  <c r="J1111" i="487"/>
  <c r="F1111" i="487"/>
  <c r="I1111" i="487" s="1"/>
  <c r="J1110" i="487"/>
  <c r="I1110" i="487"/>
  <c r="F1110" i="487"/>
  <c r="J1109" i="487"/>
  <c r="I1109" i="487"/>
  <c r="F1109" i="487"/>
  <c r="J1108" i="487"/>
  <c r="I1108" i="487"/>
  <c r="F1108" i="487"/>
  <c r="J1107" i="487"/>
  <c r="F1107" i="487"/>
  <c r="I1107" i="487" s="1"/>
  <c r="J1106" i="487"/>
  <c r="I1106" i="487"/>
  <c r="F1106" i="487"/>
  <c r="J1105" i="487"/>
  <c r="F1105" i="487"/>
  <c r="I1105" i="487" s="1"/>
  <c r="J1104" i="487"/>
  <c r="I1104" i="487"/>
  <c r="F1104" i="487"/>
  <c r="J1103" i="487"/>
  <c r="F1103" i="487"/>
  <c r="I1103" i="487" s="1"/>
  <c r="J1102" i="487"/>
  <c r="F1102" i="487"/>
  <c r="I1102" i="487" s="1"/>
  <c r="J1101" i="487"/>
  <c r="I1101" i="487"/>
  <c r="F1101" i="487"/>
  <c r="J1100" i="487"/>
  <c r="F1100" i="487"/>
  <c r="I1100" i="487" s="1"/>
  <c r="J1099" i="487"/>
  <c r="I1099" i="487"/>
  <c r="F1099" i="487"/>
  <c r="J1098" i="487"/>
  <c r="I1098" i="487"/>
  <c r="F1098" i="487"/>
  <c r="J1097" i="487"/>
  <c r="I1097" i="487"/>
  <c r="F1097" i="487"/>
  <c r="J1096" i="487"/>
  <c r="F1096" i="487"/>
  <c r="I1096" i="487" s="1"/>
  <c r="J1095" i="487"/>
  <c r="F1095" i="487"/>
  <c r="I1095" i="487" s="1"/>
  <c r="J1094" i="487"/>
  <c r="I1094" i="487"/>
  <c r="F1094" i="487"/>
  <c r="J1093" i="487"/>
  <c r="F1093" i="487"/>
  <c r="I1093" i="487" s="1"/>
  <c r="J1092" i="487"/>
  <c r="F1092" i="487"/>
  <c r="I1092" i="487" s="1"/>
  <c r="J1091" i="487"/>
  <c r="F1091" i="487"/>
  <c r="I1091" i="487" s="1"/>
  <c r="J1090" i="487"/>
  <c r="I1090" i="487"/>
  <c r="F1090" i="487"/>
  <c r="J1089" i="487"/>
  <c r="I1089" i="487"/>
  <c r="F1089" i="487"/>
  <c r="J1088" i="487"/>
  <c r="I1088" i="487"/>
  <c r="F1088" i="487"/>
  <c r="J1087" i="487"/>
  <c r="F1087" i="487"/>
  <c r="I1087" i="487" s="1"/>
  <c r="J1086" i="487"/>
  <c r="I1086" i="487"/>
  <c r="F1086" i="487"/>
  <c r="J1085" i="487"/>
  <c r="I1085" i="487"/>
  <c r="F1085" i="487"/>
  <c r="J1084" i="487"/>
  <c r="I1084" i="487"/>
  <c r="F1084" i="487"/>
  <c r="J1083" i="487"/>
  <c r="I1083" i="487"/>
  <c r="F1083" i="487"/>
  <c r="J1082" i="487"/>
  <c r="I1082" i="487"/>
  <c r="F1082" i="487"/>
  <c r="J1081" i="487"/>
  <c r="F1081" i="487"/>
  <c r="I1081" i="487" s="1"/>
  <c r="J1080" i="487"/>
  <c r="F1080" i="487"/>
  <c r="I1080" i="487" s="1"/>
  <c r="J1079" i="487"/>
  <c r="F1079" i="487"/>
  <c r="I1079" i="487" s="1"/>
  <c r="J1078" i="487"/>
  <c r="F1078" i="487"/>
  <c r="I1078" i="487" s="1"/>
  <c r="J1077" i="487"/>
  <c r="F1077" i="487"/>
  <c r="I1077" i="487" s="1"/>
  <c r="J1076" i="487"/>
  <c r="F1076" i="487"/>
  <c r="I1076" i="487" s="1"/>
  <c r="J1075" i="487"/>
  <c r="F1075" i="487"/>
  <c r="I1075" i="487" s="1"/>
  <c r="F1074" i="487"/>
  <c r="I1074" i="487" s="1"/>
  <c r="F1073" i="487"/>
  <c r="I1073" i="487" s="1"/>
  <c r="F1072" i="487"/>
  <c r="I1072" i="487" s="1"/>
  <c r="F1071" i="487"/>
  <c r="I1071" i="487" s="1"/>
  <c r="I1070" i="487"/>
  <c r="F1070" i="487"/>
  <c r="F1069" i="487"/>
  <c r="I1069" i="487" s="1"/>
  <c r="F1068" i="487"/>
  <c r="I1068" i="487" s="1"/>
  <c r="I1067" i="487"/>
  <c r="F1067" i="487"/>
  <c r="I1066" i="487"/>
  <c r="F1066" i="487"/>
  <c r="F1065" i="487"/>
  <c r="I1065" i="487" s="1"/>
  <c r="I1064" i="487"/>
  <c r="F1064" i="487"/>
  <c r="F1063" i="487"/>
  <c r="I1063" i="487" s="1"/>
  <c r="F1062" i="487"/>
  <c r="I1062" i="487" s="1"/>
  <c r="F1061" i="487"/>
  <c r="I1061" i="487" s="1"/>
  <c r="F1060" i="487"/>
  <c r="I1060" i="487" s="1"/>
  <c r="F1059" i="487"/>
  <c r="I1059" i="487" s="1"/>
  <c r="I1058" i="487"/>
  <c r="F1058" i="487"/>
  <c r="F1057" i="487"/>
  <c r="I1057" i="487" s="1"/>
  <c r="I1056" i="487"/>
  <c r="F1056" i="487"/>
  <c r="I1055" i="487"/>
  <c r="F1055" i="487"/>
  <c r="I1054" i="487"/>
  <c r="F1054" i="487"/>
  <c r="F1053" i="487"/>
  <c r="I1053" i="487" s="1"/>
  <c r="F1052" i="487"/>
  <c r="I1052" i="487" s="1"/>
  <c r="F1051" i="487"/>
  <c r="I1051" i="487" s="1"/>
  <c r="F1050" i="487"/>
  <c r="I1050" i="487" s="1"/>
  <c r="F1049" i="487"/>
  <c r="I1049" i="487" s="1"/>
  <c r="F1048" i="487"/>
  <c r="I1048" i="487" s="1"/>
  <c r="I1047" i="487"/>
  <c r="F1047" i="487"/>
  <c r="I1046" i="487"/>
  <c r="F1046" i="487"/>
  <c r="F1045" i="487"/>
  <c r="I1045" i="487" s="1"/>
  <c r="I1044" i="487"/>
  <c r="F1044" i="487"/>
  <c r="I1043" i="487"/>
  <c r="F1043" i="487"/>
  <c r="F1042" i="487"/>
  <c r="I1042" i="487" s="1"/>
  <c r="F1041" i="487"/>
  <c r="I1041" i="487" s="1"/>
  <c r="F1040" i="487"/>
  <c r="I1040" i="487" s="1"/>
  <c r="I1039" i="487"/>
  <c r="I1038" i="487"/>
  <c r="I1037" i="487"/>
  <c r="I1036" i="487"/>
  <c r="I1035" i="487"/>
  <c r="I1034" i="487"/>
  <c r="I1033" i="487"/>
  <c r="I1032" i="487"/>
  <c r="I1031" i="487"/>
  <c r="I1030" i="487"/>
  <c r="I1029" i="487"/>
  <c r="I1028" i="487"/>
  <c r="I1027" i="487"/>
  <c r="I1026" i="487"/>
  <c r="I1025" i="487"/>
  <c r="I1024" i="487"/>
  <c r="I1023" i="487"/>
  <c r="I1022" i="487"/>
  <c r="I1021" i="487"/>
  <c r="I1020" i="487"/>
  <c r="I1019" i="487"/>
  <c r="I1018" i="487"/>
  <c r="I1017" i="487"/>
  <c r="I1016" i="487"/>
  <c r="I1015" i="487"/>
  <c r="I1014" i="487"/>
  <c r="I1013" i="487"/>
  <c r="I1012" i="487"/>
  <c r="I1011" i="487"/>
  <c r="I1010" i="487"/>
  <c r="I1009" i="487"/>
  <c r="I1008" i="487"/>
  <c r="I1007" i="487"/>
  <c r="I1006" i="487"/>
  <c r="I1005" i="487"/>
  <c r="I1004" i="487"/>
  <c r="I1003" i="487"/>
  <c r="I1002" i="487"/>
  <c r="I1001" i="487"/>
  <c r="I1000" i="487"/>
  <c r="I999" i="487"/>
  <c r="I998" i="487"/>
  <c r="I997" i="487"/>
  <c r="I996" i="487"/>
  <c r="I995" i="487"/>
  <c r="I994" i="487"/>
  <c r="I993" i="487"/>
  <c r="I992" i="487"/>
  <c r="I991" i="487"/>
  <c r="I990" i="487"/>
  <c r="I989" i="487"/>
  <c r="I988" i="487"/>
  <c r="I987" i="487"/>
  <c r="I986" i="487"/>
  <c r="I985" i="487"/>
  <c r="I984" i="487"/>
  <c r="I983" i="487"/>
  <c r="I982" i="487"/>
  <c r="I981" i="487"/>
  <c r="I980" i="487"/>
  <c r="I979" i="487"/>
  <c r="I978" i="487"/>
  <c r="I977" i="487"/>
  <c r="I976" i="487"/>
  <c r="I975" i="487"/>
  <c r="I974" i="487"/>
  <c r="I973" i="487"/>
  <c r="I972" i="487"/>
  <c r="I971" i="487"/>
  <c r="I970" i="487"/>
  <c r="I969" i="487"/>
  <c r="I968" i="487"/>
  <c r="I967" i="487"/>
  <c r="I966" i="487"/>
  <c r="I965" i="487"/>
  <c r="I964" i="487"/>
  <c r="I963" i="487"/>
  <c r="I962" i="487"/>
  <c r="I961" i="487"/>
  <c r="I960" i="487"/>
  <c r="I959" i="487"/>
  <c r="I958" i="487"/>
  <c r="I957" i="487"/>
  <c r="I956" i="487"/>
  <c r="I955" i="487"/>
  <c r="I954" i="487"/>
  <c r="I953" i="487"/>
  <c r="I952" i="487"/>
  <c r="I951" i="487"/>
  <c r="I950" i="487"/>
  <c r="I949" i="487"/>
  <c r="I948" i="487"/>
  <c r="I947" i="487"/>
  <c r="I946" i="487"/>
  <c r="I945" i="487"/>
  <c r="I944" i="487"/>
  <c r="I943" i="487"/>
  <c r="I942" i="487"/>
  <c r="I941" i="487"/>
  <c r="I940" i="487"/>
  <c r="I939" i="487"/>
  <c r="I938" i="487"/>
  <c r="I937" i="487"/>
  <c r="I936" i="487"/>
  <c r="I935" i="487"/>
  <c r="I934" i="487"/>
  <c r="I933" i="487"/>
  <c r="I932" i="487"/>
  <c r="I931" i="487"/>
  <c r="I930" i="487"/>
  <c r="I929" i="487"/>
  <c r="I928" i="487"/>
  <c r="I927" i="487"/>
  <c r="I926" i="487"/>
  <c r="I925" i="487"/>
  <c r="I924" i="487"/>
  <c r="I923" i="487"/>
  <c r="I922" i="487"/>
  <c r="I921" i="487"/>
  <c r="I920" i="487"/>
  <c r="I919" i="487"/>
  <c r="I918" i="487"/>
  <c r="I917" i="487"/>
  <c r="I916" i="487"/>
  <c r="I915" i="487"/>
  <c r="I914" i="487"/>
  <c r="I913" i="487"/>
  <c r="I912" i="487"/>
  <c r="I911" i="487"/>
  <c r="I910" i="487"/>
  <c r="I909" i="487"/>
  <c r="I908" i="487"/>
  <c r="I907" i="487"/>
  <c r="I906" i="487"/>
  <c r="I905" i="487"/>
  <c r="I904" i="487"/>
  <c r="I903" i="487"/>
  <c r="I902" i="487"/>
  <c r="I901" i="487"/>
  <c r="I900" i="487"/>
  <c r="I899" i="487"/>
  <c r="I898" i="487"/>
  <c r="I897" i="487"/>
  <c r="I896" i="487"/>
  <c r="I895" i="487"/>
  <c r="I894" i="487"/>
  <c r="I893" i="487"/>
  <c r="I892" i="487"/>
  <c r="I891" i="487"/>
  <c r="I890" i="487"/>
  <c r="I889" i="487"/>
  <c r="I888" i="487"/>
  <c r="I887" i="487"/>
  <c r="I886" i="487"/>
  <c r="I885" i="487"/>
  <c r="I884" i="487"/>
  <c r="I883" i="487"/>
  <c r="I882" i="487"/>
  <c r="I881" i="487"/>
  <c r="I880" i="487"/>
  <c r="I879" i="487"/>
  <c r="I878" i="487"/>
  <c r="I877" i="487"/>
  <c r="I876" i="487"/>
  <c r="I875" i="487"/>
  <c r="I874" i="487"/>
  <c r="I873" i="487"/>
  <c r="I872" i="487"/>
  <c r="I871" i="487"/>
  <c r="I870" i="487"/>
  <c r="I869" i="487"/>
  <c r="I868" i="487"/>
  <c r="I867" i="487"/>
  <c r="I866" i="487"/>
  <c r="I865" i="487"/>
  <c r="I864" i="487"/>
  <c r="I863" i="487"/>
  <c r="I862" i="487"/>
  <c r="I861" i="487"/>
  <c r="I860" i="487"/>
  <c r="I859" i="487"/>
  <c r="I858" i="487"/>
  <c r="I857" i="487"/>
  <c r="I856" i="487"/>
  <c r="I855" i="487"/>
  <c r="I854" i="487"/>
  <c r="I853" i="487"/>
  <c r="I852" i="487"/>
  <c r="I851" i="487"/>
  <c r="I850" i="487"/>
  <c r="I849" i="487"/>
  <c r="I848" i="487"/>
  <c r="I847" i="487"/>
  <c r="I846" i="487"/>
  <c r="I845" i="487"/>
  <c r="I844" i="487"/>
  <c r="I843" i="487"/>
  <c r="I842" i="487"/>
  <c r="I841" i="487"/>
  <c r="I840" i="487"/>
  <c r="I839" i="487"/>
  <c r="I838" i="487"/>
  <c r="I837" i="487"/>
  <c r="I836" i="487"/>
  <c r="I835" i="487"/>
  <c r="I834" i="487"/>
  <c r="I833" i="487"/>
  <c r="I832" i="487"/>
  <c r="I831" i="487"/>
  <c r="I830" i="487"/>
  <c r="I829" i="487"/>
  <c r="I828" i="487"/>
  <c r="I827" i="487"/>
  <c r="I826" i="487"/>
  <c r="I825" i="487"/>
  <c r="I824" i="487"/>
  <c r="I823" i="487"/>
  <c r="I822" i="487"/>
  <c r="I821" i="487"/>
  <c r="I820" i="487"/>
  <c r="I819" i="487"/>
  <c r="I818" i="487"/>
  <c r="I817" i="487"/>
  <c r="I816" i="487"/>
  <c r="I815" i="487"/>
  <c r="I814" i="487"/>
  <c r="I813" i="487"/>
  <c r="I812" i="487"/>
  <c r="I811" i="487"/>
  <c r="I810" i="487"/>
  <c r="I809" i="487"/>
  <c r="I808" i="487"/>
  <c r="I807" i="487"/>
  <c r="I806" i="487"/>
  <c r="I805" i="487"/>
  <c r="I804" i="487"/>
  <c r="I803" i="487"/>
  <c r="I802" i="487"/>
  <c r="I801" i="487"/>
  <c r="I800" i="487"/>
  <c r="I799" i="487"/>
  <c r="I798" i="487"/>
  <c r="I797" i="487"/>
  <c r="I796" i="487"/>
  <c r="I795" i="487"/>
  <c r="I794" i="487"/>
  <c r="I793" i="487"/>
  <c r="I792" i="487"/>
  <c r="I791" i="487"/>
  <c r="I790" i="487"/>
  <c r="I789" i="487"/>
  <c r="I788" i="487"/>
  <c r="I787" i="487"/>
  <c r="I786" i="487"/>
  <c r="I785" i="487"/>
  <c r="I784" i="487"/>
  <c r="I783" i="487"/>
  <c r="I782" i="487"/>
  <c r="I781" i="487"/>
  <c r="I780" i="487"/>
  <c r="I779" i="487"/>
  <c r="I778" i="487"/>
  <c r="I777" i="487"/>
  <c r="I776" i="487"/>
  <c r="I775" i="487"/>
  <c r="I774" i="487"/>
  <c r="I773" i="487"/>
  <c r="I772" i="487"/>
  <c r="I771" i="487"/>
  <c r="I770" i="487"/>
  <c r="I769" i="487"/>
  <c r="I768" i="487"/>
  <c r="I767" i="487"/>
  <c r="I766" i="487"/>
  <c r="I765" i="487"/>
  <c r="I764" i="487"/>
  <c r="I763" i="487"/>
  <c r="I762" i="487"/>
  <c r="I761" i="487"/>
  <c r="I760" i="487"/>
  <c r="I759" i="487"/>
  <c r="I758" i="487"/>
  <c r="I757" i="487"/>
  <c r="I756" i="487"/>
  <c r="I755" i="487"/>
  <c r="I754" i="487"/>
  <c r="I753" i="487"/>
  <c r="I752" i="487"/>
  <c r="I751" i="487"/>
  <c r="I750" i="487"/>
  <c r="I749" i="487"/>
  <c r="I748" i="487"/>
  <c r="I747" i="487"/>
  <c r="I746" i="487"/>
  <c r="I745" i="487"/>
  <c r="I744" i="487"/>
  <c r="I743" i="487"/>
  <c r="I742" i="487"/>
  <c r="I741" i="487"/>
  <c r="I740" i="487"/>
  <c r="I739" i="487"/>
  <c r="I738" i="487"/>
  <c r="I737" i="487"/>
  <c r="I736" i="487"/>
  <c r="I735" i="487"/>
  <c r="I734" i="487"/>
  <c r="I733" i="487"/>
  <c r="I732" i="487"/>
  <c r="I731" i="487"/>
  <c r="I730" i="487"/>
  <c r="I729" i="487"/>
  <c r="I728" i="487"/>
  <c r="I727" i="487"/>
  <c r="I726" i="487"/>
  <c r="I725" i="487"/>
  <c r="I724" i="487"/>
  <c r="I723" i="487"/>
  <c r="I722" i="487"/>
  <c r="I721" i="487"/>
  <c r="I720" i="487"/>
  <c r="I719" i="487"/>
  <c r="I718" i="487"/>
  <c r="I717" i="487"/>
  <c r="I716" i="487"/>
  <c r="I715" i="487"/>
  <c r="I714" i="487"/>
  <c r="I713" i="487"/>
  <c r="I712" i="487"/>
  <c r="I711" i="487"/>
  <c r="I710" i="487"/>
  <c r="I709" i="487"/>
  <c r="I708" i="487"/>
  <c r="I707" i="487"/>
  <c r="I706" i="487"/>
  <c r="I705" i="487"/>
  <c r="I704" i="487"/>
  <c r="I703" i="487"/>
  <c r="I702" i="487"/>
  <c r="I701" i="487"/>
  <c r="I700" i="487"/>
  <c r="I699" i="487"/>
  <c r="I698" i="487"/>
  <c r="I1165" i="486"/>
  <c r="I1164" i="486"/>
  <c r="I1163" i="486"/>
  <c r="I1162" i="486"/>
  <c r="I1161" i="486"/>
  <c r="I1160" i="486"/>
  <c r="I1159" i="486"/>
  <c r="I1158" i="486"/>
  <c r="I1157" i="486"/>
  <c r="I1156" i="486"/>
  <c r="I1155" i="486"/>
  <c r="I1154" i="486"/>
  <c r="I1153" i="486"/>
  <c r="I1152" i="486"/>
  <c r="I1151" i="486"/>
  <c r="I1150" i="486"/>
  <c r="I1149" i="486"/>
  <c r="I1148" i="486"/>
  <c r="I1147" i="486"/>
  <c r="I1146" i="486"/>
  <c r="I1145" i="486"/>
  <c r="I1144" i="486"/>
  <c r="I1143" i="486"/>
  <c r="I1142" i="486"/>
  <c r="I1141" i="486"/>
  <c r="I1140" i="486"/>
  <c r="I1139" i="486"/>
  <c r="I1138" i="486"/>
  <c r="I1137" i="486"/>
  <c r="I1136" i="486"/>
  <c r="I1135" i="486"/>
  <c r="I1134" i="486"/>
  <c r="I1133" i="486"/>
  <c r="I1132" i="486"/>
  <c r="I1131" i="486"/>
  <c r="I1130" i="486"/>
  <c r="I1129" i="486"/>
  <c r="I1128" i="486"/>
  <c r="I1127" i="486"/>
  <c r="I1126" i="486"/>
  <c r="I1125" i="486"/>
  <c r="I1124" i="486"/>
  <c r="I1123" i="486"/>
  <c r="I1122" i="486"/>
  <c r="I1121" i="486"/>
  <c r="I1120" i="486"/>
  <c r="I1119" i="486"/>
  <c r="I1118" i="486"/>
  <c r="I1117" i="486"/>
  <c r="I1116" i="486"/>
  <c r="I1115" i="486"/>
  <c r="I1114" i="486"/>
  <c r="I1113" i="486"/>
  <c r="I1112" i="486"/>
  <c r="I1111" i="486"/>
  <c r="I1110" i="486"/>
  <c r="I1109" i="486"/>
  <c r="I1108" i="486"/>
  <c r="I1107" i="486"/>
  <c r="I1106" i="486"/>
  <c r="I1105" i="486"/>
  <c r="I1104" i="486"/>
  <c r="I1103" i="486"/>
  <c r="I1102" i="486"/>
  <c r="I1101" i="486"/>
  <c r="I1100" i="486"/>
  <c r="I1099" i="486"/>
  <c r="I1098" i="486"/>
  <c r="I1097" i="486"/>
  <c r="I1096" i="486"/>
  <c r="I1095" i="486"/>
  <c r="I1094" i="486"/>
  <c r="I1093" i="486"/>
  <c r="I1092" i="486"/>
  <c r="I1091" i="486"/>
  <c r="I1090" i="486"/>
  <c r="I1089" i="486"/>
  <c r="I1088" i="486"/>
  <c r="I1087" i="486"/>
  <c r="I1086" i="486"/>
  <c r="I1085" i="486"/>
  <c r="I1084" i="486"/>
  <c r="I1083" i="486"/>
  <c r="I1082" i="486"/>
  <c r="I1081" i="486"/>
  <c r="C1081" i="486"/>
  <c r="C1082" i="486" s="1"/>
  <c r="C1083" i="486" s="1"/>
  <c r="C1084" i="486" s="1"/>
  <c r="C1085" i="486" s="1"/>
  <c r="C1086" i="486" s="1"/>
  <c r="C1087" i="486" s="1"/>
  <c r="C1088" i="486" s="1"/>
  <c r="C1089" i="486" s="1"/>
  <c r="C1090" i="486" s="1"/>
  <c r="C1091" i="486" s="1"/>
  <c r="C1092" i="486" s="1"/>
  <c r="C1093" i="486" s="1"/>
  <c r="C1094" i="486" s="1"/>
  <c r="C1095" i="486" s="1"/>
  <c r="C1096" i="486" s="1"/>
  <c r="C1097" i="486" s="1"/>
  <c r="C1098" i="486" s="1"/>
  <c r="C1099" i="486" s="1"/>
  <c r="C1100" i="486" s="1"/>
  <c r="C1101" i="486" s="1"/>
  <c r="C1102" i="486" s="1"/>
  <c r="C1103" i="486" s="1"/>
  <c r="C1104" i="486" s="1"/>
  <c r="C1105" i="486" s="1"/>
  <c r="C1106" i="486" s="1"/>
  <c r="C1107" i="486" s="1"/>
  <c r="C1108" i="486" s="1"/>
  <c r="C1109" i="486" s="1"/>
  <c r="C1110" i="486" s="1"/>
  <c r="C1111" i="486" s="1"/>
  <c r="C1112" i="486" s="1"/>
  <c r="C1113" i="486" s="1"/>
  <c r="C1114" i="486" s="1"/>
  <c r="C1115" i="486" s="1"/>
  <c r="C1116" i="486" s="1"/>
  <c r="C1117" i="486" s="1"/>
  <c r="C1118" i="486" s="1"/>
  <c r="C1119" i="486" s="1"/>
  <c r="C1120" i="486" s="1"/>
  <c r="C1121" i="486" s="1"/>
  <c r="C1122" i="486" s="1"/>
  <c r="C1123" i="486" s="1"/>
  <c r="C1124" i="486" s="1"/>
  <c r="C1125" i="486" s="1"/>
  <c r="C1126" i="486" s="1"/>
  <c r="C1127" i="486" s="1"/>
  <c r="C1128" i="486" s="1"/>
  <c r="C1129" i="486" s="1"/>
  <c r="C1130" i="486" s="1"/>
  <c r="C1131" i="486" s="1"/>
  <c r="C1132" i="486" s="1"/>
  <c r="C1133" i="486" s="1"/>
  <c r="C1134" i="486" s="1"/>
  <c r="C1135" i="486" s="1"/>
  <c r="C1136" i="486" s="1"/>
  <c r="C1137" i="486" s="1"/>
  <c r="C1138" i="486" s="1"/>
  <c r="C1139" i="486" s="1"/>
  <c r="C1140" i="486" s="1"/>
  <c r="C1141" i="486" s="1"/>
  <c r="C1142" i="486" s="1"/>
  <c r="C1143" i="486" s="1"/>
  <c r="C1144" i="486" s="1"/>
  <c r="C1145" i="486" s="1"/>
  <c r="C1146" i="486" s="1"/>
  <c r="C1147" i="486" s="1"/>
  <c r="C1148" i="486" s="1"/>
  <c r="C1149" i="486" s="1"/>
  <c r="C1150" i="486" s="1"/>
  <c r="C1151" i="486" s="1"/>
  <c r="C1152" i="486" s="1"/>
  <c r="C1153" i="486" s="1"/>
  <c r="C1154" i="486" s="1"/>
  <c r="C1155" i="486" s="1"/>
  <c r="C1156" i="486" s="1"/>
  <c r="C1157" i="486" s="1"/>
  <c r="C1158" i="486" s="1"/>
  <c r="C1159" i="486" s="1"/>
  <c r="C1160" i="486" s="1"/>
  <c r="C1161" i="486" s="1"/>
  <c r="C1162" i="486" s="1"/>
  <c r="C1163" i="486" s="1"/>
  <c r="C1164" i="486" s="1"/>
  <c r="C1165" i="486" s="1"/>
  <c r="I1080" i="486"/>
  <c r="I1079" i="486"/>
  <c r="I1078" i="486"/>
  <c r="I1077" i="486"/>
  <c r="C1077" i="486"/>
  <c r="C1078" i="486" s="1"/>
  <c r="C1079" i="486" s="1"/>
  <c r="C1080" i="486" s="1"/>
  <c r="J1076" i="486"/>
  <c r="I1076" i="486"/>
  <c r="C1076" i="486"/>
  <c r="B1076" i="486"/>
  <c r="B1077" i="486" s="1"/>
  <c r="J1077" i="486" s="1"/>
  <c r="J1075" i="486"/>
  <c r="I1075" i="486"/>
  <c r="C1075" i="486"/>
  <c r="B1075" i="486"/>
  <c r="I1074" i="486"/>
  <c r="I1073" i="486"/>
  <c r="I1072" i="486"/>
  <c r="I1071" i="486"/>
  <c r="I1070" i="486"/>
  <c r="I1069" i="486"/>
  <c r="I1068" i="486"/>
  <c r="I1067" i="486"/>
  <c r="I1066" i="486"/>
  <c r="I1065" i="486"/>
  <c r="I1064" i="486"/>
  <c r="I1063" i="486"/>
  <c r="I1062" i="486"/>
  <c r="I1061" i="486"/>
  <c r="I1060" i="486"/>
  <c r="I1059" i="486"/>
  <c r="I1058" i="486"/>
  <c r="I1057" i="486"/>
  <c r="I1056" i="486"/>
  <c r="I1055" i="486"/>
  <c r="I1054" i="486"/>
  <c r="I1053" i="486"/>
  <c r="I1052" i="486"/>
  <c r="I1051" i="486"/>
  <c r="I1050" i="486"/>
  <c r="I1049" i="486"/>
  <c r="I1048" i="486"/>
  <c r="I1047" i="486"/>
  <c r="I1046" i="486"/>
  <c r="I1045" i="486"/>
  <c r="I1044" i="486"/>
  <c r="I1043" i="486"/>
  <c r="I1042" i="486"/>
  <c r="I1041" i="486"/>
  <c r="I1040" i="486"/>
  <c r="I1039" i="486"/>
  <c r="I1038" i="486"/>
  <c r="I1037" i="486"/>
  <c r="I1036" i="486"/>
  <c r="I1035" i="486"/>
  <c r="I1034" i="486"/>
  <c r="I1033" i="486"/>
  <c r="I1032" i="486"/>
  <c r="I1031" i="486"/>
  <c r="I1030" i="486"/>
  <c r="I1029" i="486"/>
  <c r="I1028" i="486"/>
  <c r="I1027" i="486"/>
  <c r="I1026" i="486"/>
  <c r="I1025" i="486"/>
  <c r="I1024" i="486"/>
  <c r="I1023" i="486"/>
  <c r="I1022" i="486"/>
  <c r="I1021" i="486"/>
  <c r="I1020" i="486"/>
  <c r="I1019" i="486"/>
  <c r="I1018" i="486"/>
  <c r="I1017" i="486"/>
  <c r="I1016" i="486"/>
  <c r="I1015" i="486"/>
  <c r="I1014" i="486"/>
  <c r="I1013" i="486"/>
  <c r="I1012" i="486"/>
  <c r="I1011" i="486"/>
  <c r="I1010" i="486"/>
  <c r="I1009" i="486"/>
  <c r="I1008" i="486"/>
  <c r="I1007" i="486"/>
  <c r="I1006" i="486"/>
  <c r="I1005" i="486"/>
  <c r="I1004" i="486"/>
  <c r="I1003" i="486"/>
  <c r="I1002" i="486"/>
  <c r="I1001" i="486"/>
  <c r="I1000" i="486"/>
  <c r="I999" i="486"/>
  <c r="I998" i="486"/>
  <c r="I997" i="486"/>
  <c r="I996" i="486"/>
  <c r="I995" i="486"/>
  <c r="I994" i="486"/>
  <c r="I993" i="486"/>
  <c r="I992" i="486"/>
  <c r="I991" i="486"/>
  <c r="I990" i="486"/>
  <c r="I989" i="486"/>
  <c r="I988" i="486"/>
  <c r="I987" i="486"/>
  <c r="I986" i="486"/>
  <c r="I985" i="486"/>
  <c r="I984" i="486"/>
  <c r="I983" i="486"/>
  <c r="I982" i="486"/>
  <c r="I981" i="486"/>
  <c r="I980" i="486"/>
  <c r="I979" i="486"/>
  <c r="I978" i="486"/>
  <c r="I977" i="486"/>
  <c r="I976" i="486"/>
  <c r="I975" i="486"/>
  <c r="I974" i="486"/>
  <c r="I973" i="486"/>
  <c r="I972" i="486"/>
  <c r="I971" i="486"/>
  <c r="I970" i="486"/>
  <c r="I969" i="486"/>
  <c r="I968" i="486"/>
  <c r="I967" i="486"/>
  <c r="I966" i="486"/>
  <c r="I965" i="486"/>
  <c r="I964" i="486"/>
  <c r="I963" i="486"/>
  <c r="I962" i="486"/>
  <c r="I961" i="486"/>
  <c r="I960" i="486"/>
  <c r="I959" i="486"/>
  <c r="I958" i="486"/>
  <c r="I957" i="486"/>
  <c r="I956" i="486"/>
  <c r="I955" i="486"/>
  <c r="I954" i="486"/>
  <c r="I953" i="486"/>
  <c r="I952" i="486"/>
  <c r="I951" i="486"/>
  <c r="I950" i="486"/>
  <c r="I949" i="486"/>
  <c r="I948" i="486"/>
  <c r="I947" i="486"/>
  <c r="I946" i="486"/>
  <c r="I945" i="486"/>
  <c r="I944" i="486"/>
  <c r="I943" i="486"/>
  <c r="I942" i="486"/>
  <c r="I941" i="486"/>
  <c r="I940" i="486"/>
  <c r="I939" i="486"/>
  <c r="I938" i="486"/>
  <c r="I937" i="486"/>
  <c r="I936" i="486"/>
  <c r="I935" i="486"/>
  <c r="I934" i="486"/>
  <c r="I933" i="486"/>
  <c r="I932" i="486"/>
  <c r="I931" i="486"/>
  <c r="I930" i="486"/>
  <c r="I929" i="486"/>
  <c r="I928" i="486"/>
  <c r="I927" i="486"/>
  <c r="I926" i="486"/>
  <c r="I925" i="486"/>
  <c r="I924" i="486"/>
  <c r="I923" i="486"/>
  <c r="I922" i="486"/>
  <c r="I921" i="486"/>
  <c r="I920" i="486"/>
  <c r="I919" i="486"/>
  <c r="I918" i="486"/>
  <c r="I917" i="486"/>
  <c r="I916" i="486"/>
  <c r="I915" i="486"/>
  <c r="I914" i="486"/>
  <c r="I913" i="486"/>
  <c r="I912" i="486"/>
  <c r="I911" i="486"/>
  <c r="I910" i="486"/>
  <c r="I909" i="486"/>
  <c r="I908" i="486"/>
  <c r="I907" i="486"/>
  <c r="I906" i="486"/>
  <c r="I905" i="486"/>
  <c r="I904" i="486"/>
  <c r="I903" i="486"/>
  <c r="I902" i="486"/>
  <c r="I901" i="486"/>
  <c r="I900" i="486"/>
  <c r="I899" i="486"/>
  <c r="I898" i="486"/>
  <c r="I897" i="486"/>
  <c r="I896" i="486"/>
  <c r="I895" i="486"/>
  <c r="I894" i="486"/>
  <c r="I893" i="486"/>
  <c r="I892" i="486"/>
  <c r="I891" i="486"/>
  <c r="I890" i="486"/>
  <c r="I889" i="486"/>
  <c r="I888" i="486"/>
  <c r="I887" i="486"/>
  <c r="I886" i="486"/>
  <c r="I885" i="486"/>
  <c r="I884" i="486"/>
  <c r="I883" i="486"/>
  <c r="I882" i="486"/>
  <c r="I881" i="486"/>
  <c r="I880" i="486"/>
  <c r="I879" i="486"/>
  <c r="I878" i="486"/>
  <c r="I877" i="486"/>
  <c r="I876" i="486"/>
  <c r="I875" i="486"/>
  <c r="I874" i="486"/>
  <c r="I873" i="486"/>
  <c r="I872" i="486"/>
  <c r="I871" i="486"/>
  <c r="I870" i="486"/>
  <c r="I869" i="486"/>
  <c r="I868" i="486"/>
  <c r="I867" i="486"/>
  <c r="I866" i="486"/>
  <c r="I865" i="486"/>
  <c r="I864" i="486"/>
  <c r="I863" i="486"/>
  <c r="I862" i="486"/>
  <c r="I861" i="486"/>
  <c r="I860" i="486"/>
  <c r="I859" i="486"/>
  <c r="I858" i="486"/>
  <c r="I857" i="486"/>
  <c r="I856" i="486"/>
  <c r="I855" i="486"/>
  <c r="I854" i="486"/>
  <c r="I853" i="486"/>
  <c r="I852" i="486"/>
  <c r="I851" i="486"/>
  <c r="I850" i="486"/>
  <c r="I849" i="486"/>
  <c r="I848" i="486"/>
  <c r="I847" i="486"/>
  <c r="I846" i="486"/>
  <c r="I845" i="486"/>
  <c r="I844" i="486"/>
  <c r="I843" i="486"/>
  <c r="I842" i="486"/>
  <c r="I841" i="486"/>
  <c r="I840" i="486"/>
  <c r="I839" i="486"/>
  <c r="I838" i="486"/>
  <c r="I837" i="486"/>
  <c r="I836" i="486"/>
  <c r="I835" i="486"/>
  <c r="I834" i="486"/>
  <c r="I833" i="486"/>
  <c r="I832" i="486"/>
  <c r="I831" i="486"/>
  <c r="I830" i="486"/>
  <c r="I829" i="486"/>
  <c r="I828" i="486"/>
  <c r="I827" i="486"/>
  <c r="I826" i="486"/>
  <c r="I825" i="486"/>
  <c r="I824" i="486"/>
  <c r="I823" i="486"/>
  <c r="I822" i="486"/>
  <c r="I821" i="486"/>
  <c r="I820" i="486"/>
  <c r="I819" i="486"/>
  <c r="I818" i="486"/>
  <c r="I817" i="486"/>
  <c r="I816" i="486"/>
  <c r="I815" i="486"/>
  <c r="I814" i="486"/>
  <c r="I813" i="486"/>
  <c r="I812" i="486"/>
  <c r="I811" i="486"/>
  <c r="I810" i="486"/>
  <c r="I809" i="486"/>
  <c r="I808" i="486"/>
  <c r="I807" i="486"/>
  <c r="I806" i="486"/>
  <c r="I805" i="486"/>
  <c r="I804" i="486"/>
  <c r="I803" i="486"/>
  <c r="I802" i="486"/>
  <c r="I801" i="486"/>
  <c r="I800" i="486"/>
  <c r="I799" i="486"/>
  <c r="I798" i="486"/>
  <c r="I797" i="486"/>
  <c r="I796" i="486"/>
  <c r="I795" i="486"/>
  <c r="I794" i="486"/>
  <c r="I793" i="486"/>
  <c r="I792" i="486"/>
  <c r="I791" i="486"/>
  <c r="I790" i="486"/>
  <c r="I789" i="486"/>
  <c r="I788" i="486"/>
  <c r="I787" i="486"/>
  <c r="I786" i="486"/>
  <c r="I785" i="486"/>
  <c r="I784" i="486"/>
  <c r="I783" i="486"/>
  <c r="I782" i="486"/>
  <c r="I781" i="486"/>
  <c r="I780" i="486"/>
  <c r="I779" i="486"/>
  <c r="I778" i="486"/>
  <c r="I777" i="486"/>
  <c r="I776" i="486"/>
  <c r="I775" i="486"/>
  <c r="I774" i="486"/>
  <c r="I773" i="486"/>
  <c r="I772" i="486"/>
  <c r="I771" i="486"/>
  <c r="I770" i="486"/>
  <c r="I769" i="486"/>
  <c r="I768" i="486"/>
  <c r="I767" i="486"/>
  <c r="I766" i="486"/>
  <c r="I765" i="486"/>
  <c r="I764" i="486"/>
  <c r="I763" i="486"/>
  <c r="I762" i="486"/>
  <c r="I761" i="486"/>
  <c r="I760" i="486"/>
  <c r="I759" i="486"/>
  <c r="I758" i="486"/>
  <c r="I757" i="486"/>
  <c r="I756" i="486"/>
  <c r="I755" i="486"/>
  <c r="I754" i="486"/>
  <c r="I753" i="486"/>
  <c r="I752" i="486"/>
  <c r="I751" i="486"/>
  <c r="I750" i="486"/>
  <c r="I749" i="486"/>
  <c r="I748" i="486"/>
  <c r="I747" i="486"/>
  <c r="I746" i="486"/>
  <c r="I745" i="486"/>
  <c r="I744" i="486"/>
  <c r="I743" i="486"/>
  <c r="I742" i="486"/>
  <c r="I741" i="486"/>
  <c r="I740" i="486"/>
  <c r="I739" i="486"/>
  <c r="I738" i="486"/>
  <c r="I737" i="486"/>
  <c r="I736" i="486"/>
  <c r="I735" i="486"/>
  <c r="I734" i="486"/>
  <c r="I733" i="486"/>
  <c r="I732" i="486"/>
  <c r="I731" i="486"/>
  <c r="I730" i="486"/>
  <c r="I729" i="486"/>
  <c r="I728" i="486"/>
  <c r="I727" i="486"/>
  <c r="I726" i="486"/>
  <c r="I725" i="486"/>
  <c r="I724" i="486"/>
  <c r="I723" i="486"/>
  <c r="I722" i="486"/>
  <c r="I721" i="486"/>
  <c r="I720" i="486"/>
  <c r="I719" i="486"/>
  <c r="I718" i="486"/>
  <c r="I717" i="486"/>
  <c r="I716" i="486"/>
  <c r="I715" i="486"/>
  <c r="I714" i="486"/>
  <c r="I713" i="486"/>
  <c r="I712" i="486"/>
  <c r="I711" i="486"/>
  <c r="I710" i="486"/>
  <c r="I709" i="486"/>
  <c r="I708" i="486"/>
  <c r="I707" i="486"/>
  <c r="I706" i="486"/>
  <c r="I705" i="486"/>
  <c r="I704" i="486"/>
  <c r="I703" i="486"/>
  <c r="I702" i="486"/>
  <c r="I701" i="486"/>
  <c r="I700" i="486"/>
  <c r="I699" i="486"/>
  <c r="I698" i="486"/>
  <c r="I697" i="486"/>
  <c r="I696" i="486"/>
  <c r="I695" i="486"/>
  <c r="I694" i="486"/>
  <c r="I693" i="486"/>
  <c r="I692" i="486"/>
  <c r="I691" i="486"/>
  <c r="I690" i="486"/>
  <c r="I689" i="486"/>
  <c r="I688" i="486"/>
  <c r="I687" i="486"/>
  <c r="I686" i="486"/>
  <c r="I685" i="486"/>
  <c r="I684" i="486"/>
  <c r="I683" i="486"/>
  <c r="I682" i="486"/>
  <c r="I681" i="486"/>
  <c r="I680" i="486"/>
  <c r="I679" i="486"/>
  <c r="I678" i="486"/>
  <c r="I677" i="486"/>
  <c r="I676" i="486"/>
  <c r="I675" i="486"/>
  <c r="I674" i="486"/>
  <c r="I673" i="486"/>
  <c r="I672" i="486"/>
  <c r="I671" i="486"/>
  <c r="I670" i="486"/>
  <c r="I669" i="486"/>
  <c r="I668" i="486"/>
  <c r="I667" i="486"/>
  <c r="I666" i="486"/>
  <c r="I665" i="486"/>
  <c r="I664" i="486"/>
  <c r="I663" i="486"/>
  <c r="I662" i="486"/>
  <c r="I661" i="486"/>
  <c r="I660" i="486"/>
  <c r="I659" i="486"/>
  <c r="I658" i="486"/>
  <c r="I657" i="486"/>
  <c r="I656" i="486"/>
  <c r="I655" i="486"/>
  <c r="I654" i="486"/>
  <c r="I653" i="486"/>
  <c r="I652" i="486"/>
  <c r="I651" i="486"/>
  <c r="I650" i="486"/>
  <c r="I649" i="486"/>
  <c r="I648" i="486"/>
  <c r="I647" i="486"/>
  <c r="I646" i="486"/>
  <c r="I645" i="486"/>
  <c r="I644" i="486"/>
  <c r="I643" i="486"/>
  <c r="I642" i="486"/>
  <c r="I641" i="486"/>
  <c r="I640" i="486"/>
  <c r="I639" i="486"/>
  <c r="I638" i="486"/>
  <c r="I637" i="486"/>
  <c r="I636" i="486"/>
  <c r="I635" i="486"/>
  <c r="I634" i="486"/>
  <c r="I633" i="486"/>
  <c r="I632" i="486"/>
  <c r="I631" i="486"/>
  <c r="I630" i="486"/>
  <c r="I629" i="486"/>
  <c r="I628" i="486"/>
  <c r="I627" i="486"/>
  <c r="I626" i="486"/>
  <c r="I625" i="486"/>
  <c r="I624" i="486"/>
  <c r="I623" i="486"/>
  <c r="I622" i="486"/>
  <c r="I621" i="486"/>
  <c r="I620" i="486"/>
  <c r="I619" i="486"/>
  <c r="I618" i="486"/>
  <c r="I617" i="486"/>
  <c r="I616" i="486"/>
  <c r="I615" i="486"/>
  <c r="I614" i="486"/>
  <c r="I613" i="486"/>
  <c r="I612" i="486"/>
  <c r="I611" i="486"/>
  <c r="I610" i="486"/>
  <c r="I609" i="486"/>
  <c r="I608" i="486"/>
  <c r="I607" i="486"/>
  <c r="I606" i="486"/>
  <c r="I605" i="486"/>
  <c r="I604" i="486"/>
  <c r="I603" i="486"/>
  <c r="I602" i="486"/>
  <c r="I601" i="486"/>
  <c r="I600" i="486"/>
  <c r="I599" i="486"/>
  <c r="I598" i="486"/>
  <c r="I597" i="486"/>
  <c r="I596" i="486"/>
  <c r="I595" i="486"/>
  <c r="I594" i="486"/>
  <c r="I593" i="486"/>
  <c r="I592" i="486"/>
  <c r="I591" i="486"/>
  <c r="I590" i="486"/>
  <c r="I589" i="486"/>
  <c r="I588" i="486"/>
  <c r="I587" i="486"/>
  <c r="I586" i="486"/>
  <c r="I585" i="486"/>
  <c r="I584" i="486"/>
  <c r="I583" i="486"/>
  <c r="I582" i="486"/>
  <c r="I581" i="486"/>
  <c r="I580" i="486"/>
  <c r="I579" i="486"/>
  <c r="I578" i="486"/>
  <c r="I577" i="486"/>
  <c r="I576" i="486"/>
  <c r="I575" i="486"/>
  <c r="I574" i="486"/>
  <c r="I573" i="486"/>
  <c r="I572" i="486"/>
  <c r="I571" i="486"/>
  <c r="I570" i="486"/>
  <c r="I569" i="486"/>
  <c r="I568" i="486"/>
  <c r="I567" i="486"/>
  <c r="I566" i="486"/>
  <c r="I565" i="486"/>
  <c r="I564" i="486"/>
  <c r="I563" i="486"/>
  <c r="I562" i="486"/>
  <c r="I561" i="486"/>
  <c r="I560" i="486"/>
  <c r="I559" i="486"/>
  <c r="I558" i="486"/>
  <c r="I557" i="486"/>
  <c r="I556" i="486"/>
  <c r="I555" i="486"/>
  <c r="I554" i="486"/>
  <c r="I553" i="486"/>
  <c r="I552" i="486"/>
  <c r="I551" i="486"/>
  <c r="I550" i="486"/>
  <c r="I549" i="486"/>
  <c r="I548" i="486"/>
  <c r="I547" i="486"/>
  <c r="I546" i="486"/>
  <c r="I545" i="486"/>
  <c r="I544" i="486"/>
  <c r="I543" i="486"/>
  <c r="I542" i="486"/>
  <c r="I541" i="486"/>
  <c r="I540" i="486"/>
  <c r="I539" i="486"/>
  <c r="I538" i="486"/>
  <c r="I537" i="486"/>
  <c r="I536" i="486"/>
  <c r="I535" i="486"/>
  <c r="I534" i="486"/>
  <c r="I533" i="486"/>
  <c r="I532" i="486"/>
  <c r="I531" i="486"/>
  <c r="I530" i="486"/>
  <c r="I529" i="486"/>
  <c r="I528" i="486"/>
  <c r="I527" i="486"/>
  <c r="I526" i="486"/>
  <c r="I525" i="486"/>
  <c r="I524" i="486"/>
  <c r="I523" i="486"/>
  <c r="I522" i="486"/>
  <c r="I521" i="486"/>
  <c r="I520" i="486"/>
  <c r="I519" i="486"/>
  <c r="I518" i="486"/>
  <c r="I517" i="486"/>
  <c r="I516" i="486"/>
  <c r="I515" i="486"/>
  <c r="I514" i="486"/>
  <c r="I513" i="486"/>
  <c r="I512" i="486"/>
  <c r="I511" i="486"/>
  <c r="I510" i="486"/>
  <c r="I509" i="486"/>
  <c r="I508" i="486"/>
  <c r="I507" i="486"/>
  <c r="I506" i="486"/>
  <c r="I505" i="486"/>
  <c r="I504" i="486"/>
  <c r="I503" i="486"/>
  <c r="I502" i="486"/>
  <c r="I501" i="486"/>
  <c r="I500" i="486"/>
  <c r="I499" i="486"/>
  <c r="I498" i="486"/>
  <c r="I497" i="486"/>
  <c r="I496" i="486"/>
  <c r="I495" i="486"/>
  <c r="I494" i="486"/>
  <c r="I493" i="486"/>
  <c r="I492" i="486"/>
  <c r="I491" i="486"/>
  <c r="I490" i="486"/>
  <c r="I489" i="486"/>
  <c r="I488" i="486"/>
  <c r="I487" i="486"/>
  <c r="I486" i="486"/>
  <c r="I485" i="486"/>
  <c r="I484" i="486"/>
  <c r="I483" i="486"/>
  <c r="I482" i="486"/>
  <c r="I481" i="486"/>
  <c r="I480" i="486"/>
  <c r="I479" i="486"/>
  <c r="I478" i="486"/>
  <c r="I477" i="486"/>
  <c r="I476" i="486"/>
  <c r="I475" i="486"/>
  <c r="I474" i="486"/>
  <c r="I473" i="486"/>
  <c r="I472" i="486"/>
  <c r="I471" i="486"/>
  <c r="I470" i="486"/>
  <c r="I469" i="486"/>
  <c r="I468" i="486"/>
  <c r="I467" i="486"/>
  <c r="I466" i="486"/>
  <c r="I465" i="486"/>
  <c r="I464" i="486"/>
  <c r="I463" i="486"/>
  <c r="I462" i="486"/>
  <c r="I461" i="486"/>
  <c r="I460" i="486"/>
  <c r="I459" i="486"/>
  <c r="I458" i="486"/>
  <c r="I457" i="486"/>
  <c r="I456" i="486"/>
  <c r="I455" i="486"/>
  <c r="I454" i="486"/>
  <c r="I453" i="486"/>
  <c r="I452" i="486"/>
  <c r="I451" i="486"/>
  <c r="I450" i="486"/>
  <c r="I449" i="486"/>
  <c r="I448" i="486"/>
  <c r="I447" i="486"/>
  <c r="I446" i="486"/>
  <c r="I445" i="486"/>
  <c r="I444" i="486"/>
  <c r="I443" i="486"/>
  <c r="I442" i="486"/>
  <c r="I441" i="486"/>
  <c r="I440" i="486"/>
  <c r="I439" i="486"/>
  <c r="I438" i="486"/>
  <c r="I437" i="486"/>
  <c r="I436" i="486"/>
  <c r="I435" i="486"/>
  <c r="I434" i="486"/>
  <c r="I433" i="486"/>
  <c r="I432" i="486"/>
  <c r="I431" i="486"/>
  <c r="I430" i="486"/>
  <c r="I429" i="486"/>
  <c r="I428" i="486"/>
  <c r="I427" i="486"/>
  <c r="I426" i="486"/>
  <c r="I425" i="486"/>
  <c r="I424" i="486"/>
  <c r="I423" i="486"/>
  <c r="I422" i="486"/>
  <c r="I421" i="486"/>
  <c r="I420" i="486"/>
  <c r="I419" i="486"/>
  <c r="I418" i="486"/>
  <c r="I417" i="486"/>
  <c r="I416" i="486"/>
  <c r="I415" i="486"/>
  <c r="I414" i="486"/>
  <c r="I413" i="486"/>
  <c r="I412" i="486"/>
  <c r="I411" i="486"/>
  <c r="I410" i="486"/>
  <c r="I409" i="486"/>
  <c r="I408" i="486"/>
  <c r="I407" i="486"/>
  <c r="I406" i="486"/>
  <c r="I405" i="486"/>
  <c r="I404" i="486"/>
  <c r="I403" i="486"/>
  <c r="I402" i="486"/>
  <c r="I401" i="486"/>
  <c r="I400" i="486"/>
  <c r="I399" i="486"/>
  <c r="I398" i="486"/>
  <c r="I397" i="486"/>
  <c r="I396" i="486"/>
  <c r="I395" i="486"/>
  <c r="I394" i="486"/>
  <c r="I393" i="486"/>
  <c r="I392" i="486"/>
  <c r="I391" i="486"/>
  <c r="I390" i="486"/>
  <c r="I389" i="486"/>
  <c r="I388" i="486"/>
  <c r="I387" i="486"/>
  <c r="I386" i="486"/>
  <c r="I385" i="486"/>
  <c r="I384" i="486"/>
  <c r="I383" i="486"/>
  <c r="I382" i="486"/>
  <c r="I381" i="486"/>
  <c r="I380" i="486"/>
  <c r="I379" i="486"/>
  <c r="I378" i="486"/>
  <c r="I377" i="486"/>
  <c r="I376" i="486"/>
  <c r="I375" i="486"/>
  <c r="I374" i="486"/>
  <c r="I373" i="486"/>
  <c r="I372" i="486"/>
  <c r="I371" i="486"/>
  <c r="I370" i="486"/>
  <c r="I369" i="486"/>
  <c r="I368" i="486"/>
  <c r="I367" i="486"/>
  <c r="I366" i="486"/>
  <c r="I365" i="486"/>
  <c r="I364" i="486"/>
  <c r="I363" i="486"/>
  <c r="I362" i="486"/>
  <c r="I361" i="486"/>
  <c r="I360" i="486"/>
  <c r="I359" i="486"/>
  <c r="I358" i="486"/>
  <c r="I357" i="486"/>
  <c r="I356" i="486"/>
  <c r="I355" i="486"/>
  <c r="I354" i="486"/>
  <c r="I353" i="486"/>
  <c r="I352" i="486"/>
  <c r="I351" i="486"/>
  <c r="I350" i="486"/>
  <c r="I349" i="486"/>
  <c r="I348" i="486"/>
  <c r="I347" i="486"/>
  <c r="I346" i="486"/>
  <c r="I345" i="486"/>
  <c r="I344" i="486"/>
  <c r="I343" i="486"/>
  <c r="I342" i="486"/>
  <c r="I341" i="486"/>
  <c r="I340" i="486"/>
  <c r="I339" i="486"/>
  <c r="I338" i="486"/>
  <c r="I337" i="486"/>
  <c r="I336" i="486"/>
  <c r="I335" i="486"/>
  <c r="I334" i="486"/>
  <c r="I333" i="486"/>
  <c r="I332" i="486"/>
  <c r="I331" i="486"/>
  <c r="I330" i="486"/>
  <c r="I329" i="486"/>
  <c r="I328" i="486"/>
  <c r="I327" i="486"/>
  <c r="I326" i="486"/>
  <c r="I325" i="486"/>
  <c r="I324" i="486"/>
  <c r="I323" i="486"/>
  <c r="I322" i="486"/>
  <c r="I321" i="486"/>
  <c r="I320" i="486"/>
  <c r="I319" i="486"/>
  <c r="I318" i="486"/>
  <c r="I317" i="486"/>
  <c r="I316" i="486"/>
  <c r="I315" i="486"/>
  <c r="I314" i="486"/>
  <c r="I313" i="486"/>
  <c r="I312" i="486"/>
  <c r="I311" i="486"/>
  <c r="I310" i="486"/>
  <c r="I309" i="486"/>
  <c r="I308" i="486"/>
  <c r="I307" i="486"/>
  <c r="I306" i="486"/>
  <c r="I305" i="486"/>
  <c r="I304" i="486"/>
  <c r="I303" i="486"/>
  <c r="I302" i="486"/>
  <c r="I301" i="486"/>
  <c r="I300" i="486"/>
  <c r="I299" i="486"/>
  <c r="I298" i="486"/>
  <c r="I297" i="486"/>
  <c r="I296" i="486"/>
  <c r="I295" i="486"/>
  <c r="I294" i="486"/>
  <c r="I293" i="486"/>
  <c r="I292" i="486"/>
  <c r="I291" i="486"/>
  <c r="I290" i="486"/>
  <c r="I289" i="486"/>
  <c r="I288" i="486"/>
  <c r="I287" i="486"/>
  <c r="I286" i="486"/>
  <c r="I285" i="486"/>
  <c r="I284" i="486"/>
  <c r="I283" i="486"/>
  <c r="I282" i="486"/>
  <c r="I281" i="486"/>
  <c r="I280" i="486"/>
  <c r="I279" i="486"/>
  <c r="I278" i="486"/>
  <c r="I277" i="486"/>
  <c r="I276" i="486"/>
  <c r="I275" i="486"/>
  <c r="I274" i="486"/>
  <c r="I273" i="486"/>
  <c r="I272" i="486"/>
  <c r="I271" i="486"/>
  <c r="I270" i="486"/>
  <c r="I269" i="486"/>
  <c r="I268" i="486"/>
  <c r="I267" i="486"/>
  <c r="I266" i="486"/>
  <c r="I265" i="486"/>
  <c r="I264" i="486"/>
  <c r="I263" i="486"/>
  <c r="I262" i="486"/>
  <c r="I261" i="486"/>
  <c r="I260" i="486"/>
  <c r="I259" i="486"/>
  <c r="I258" i="486"/>
  <c r="I257" i="486"/>
  <c r="I256" i="486"/>
  <c r="I255" i="486"/>
  <c r="I254" i="486"/>
  <c r="I253" i="486"/>
  <c r="I252" i="486"/>
  <c r="I251" i="486"/>
  <c r="I250" i="486"/>
  <c r="I249" i="486"/>
  <c r="I248" i="486"/>
  <c r="I247" i="486"/>
  <c r="I246" i="486"/>
  <c r="I245" i="486"/>
  <c r="I244" i="486"/>
  <c r="I243" i="486"/>
  <c r="I242" i="486"/>
  <c r="I241" i="486"/>
  <c r="I240" i="486"/>
  <c r="I239" i="486"/>
  <c r="I238" i="486"/>
  <c r="I237" i="486"/>
  <c r="I236" i="486"/>
  <c r="I235" i="486"/>
  <c r="I234" i="486"/>
  <c r="I233" i="486"/>
  <c r="I232" i="486"/>
  <c r="I231" i="486"/>
  <c r="I230" i="486"/>
  <c r="I229" i="486"/>
  <c r="I228" i="486"/>
  <c r="I227" i="486"/>
  <c r="I226" i="486"/>
  <c r="I225" i="486"/>
  <c r="I224" i="486"/>
  <c r="I223" i="486"/>
  <c r="I222" i="486"/>
  <c r="I221" i="486"/>
  <c r="I220" i="486"/>
  <c r="I219" i="486"/>
  <c r="I218" i="486"/>
  <c r="I217" i="486"/>
  <c r="I216" i="486"/>
  <c r="I215" i="486"/>
  <c r="I214" i="486"/>
  <c r="I213" i="486"/>
  <c r="I212" i="486"/>
  <c r="I211" i="486"/>
  <c r="I210" i="486"/>
  <c r="I209" i="486"/>
  <c r="I208" i="486"/>
  <c r="I207" i="486"/>
  <c r="I206" i="486"/>
  <c r="I205" i="486"/>
  <c r="I204" i="486"/>
  <c r="I203" i="486"/>
  <c r="I202" i="486"/>
  <c r="I201" i="486"/>
  <c r="I200" i="486"/>
  <c r="I199" i="486"/>
  <c r="I198" i="486"/>
  <c r="I197" i="486"/>
  <c r="I196" i="486"/>
  <c r="I195" i="486"/>
  <c r="I194" i="486"/>
  <c r="I193" i="486"/>
  <c r="I192" i="486"/>
  <c r="I191" i="486"/>
  <c r="I190" i="486"/>
  <c r="I189" i="486"/>
  <c r="I188" i="486"/>
  <c r="I187" i="486"/>
  <c r="I186" i="486"/>
  <c r="I185" i="486"/>
  <c r="I184" i="486"/>
  <c r="I183" i="486"/>
  <c r="I182" i="486"/>
  <c r="I181" i="486"/>
  <c r="I180" i="486"/>
  <c r="I179" i="486"/>
  <c r="I178" i="486"/>
  <c r="I177" i="486"/>
  <c r="I176" i="486"/>
  <c r="I175" i="486"/>
  <c r="I174" i="486"/>
  <c r="I173" i="486"/>
  <c r="I172" i="486"/>
  <c r="I171" i="486"/>
  <c r="I170" i="486"/>
  <c r="I169" i="486"/>
  <c r="I168" i="486"/>
  <c r="I167" i="486"/>
  <c r="I166" i="486"/>
  <c r="I165" i="486"/>
  <c r="I164" i="486"/>
  <c r="I163" i="486"/>
  <c r="I162" i="486"/>
  <c r="I161" i="486"/>
  <c r="I160" i="486"/>
  <c r="I159" i="486"/>
  <c r="I158" i="486"/>
  <c r="I157" i="486"/>
  <c r="I156" i="486"/>
  <c r="I155" i="486"/>
  <c r="I154" i="486"/>
  <c r="I153" i="486"/>
  <c r="I152" i="486"/>
  <c r="I151" i="486"/>
  <c r="I150" i="486"/>
  <c r="I149" i="486"/>
  <c r="I148" i="486"/>
  <c r="I147" i="486"/>
  <c r="I146" i="486"/>
  <c r="I145" i="486"/>
  <c r="I144" i="486"/>
  <c r="I143" i="486"/>
  <c r="I142" i="486"/>
  <c r="I141" i="486"/>
  <c r="I140" i="486"/>
  <c r="I139" i="486"/>
  <c r="I138" i="486"/>
  <c r="I137" i="486"/>
  <c r="I136" i="486"/>
  <c r="I135" i="486"/>
  <c r="I134" i="486"/>
  <c r="I133" i="486"/>
  <c r="I132" i="486"/>
  <c r="I131" i="486"/>
  <c r="I130" i="486"/>
  <c r="I129" i="486"/>
  <c r="I128" i="486"/>
  <c r="I127" i="486"/>
  <c r="I126" i="486"/>
  <c r="I125" i="486"/>
  <c r="I124" i="486"/>
  <c r="I123" i="486"/>
  <c r="I122" i="486"/>
  <c r="I121" i="486"/>
  <c r="I120" i="486"/>
  <c r="I119" i="486"/>
  <c r="I118" i="486"/>
  <c r="I117" i="486"/>
  <c r="I116" i="486"/>
  <c r="I115" i="486"/>
  <c r="I114" i="486"/>
  <c r="I113" i="486"/>
  <c r="I112" i="486"/>
  <c r="I111" i="486"/>
  <c r="I110" i="486"/>
  <c r="I109" i="486"/>
  <c r="I108" i="486"/>
  <c r="I107" i="486"/>
  <c r="I106" i="486"/>
  <c r="I105" i="486"/>
  <c r="I104" i="486"/>
  <c r="I103" i="486"/>
  <c r="I102" i="486"/>
  <c r="I101" i="486"/>
  <c r="I100" i="486"/>
  <c r="I99" i="486"/>
  <c r="I98" i="486"/>
  <c r="I97" i="486"/>
  <c r="I96" i="486"/>
  <c r="I95" i="486"/>
  <c r="I94" i="486"/>
  <c r="I93" i="486"/>
  <c r="I92" i="486"/>
  <c r="I91" i="486"/>
  <c r="I90" i="486"/>
  <c r="I89" i="486"/>
  <c r="I88" i="486"/>
  <c r="I87" i="486"/>
  <c r="I86" i="486"/>
  <c r="I85" i="486"/>
  <c r="I84" i="486"/>
  <c r="I83" i="486"/>
  <c r="I82" i="486"/>
  <c r="I81" i="486"/>
  <c r="I80" i="486"/>
  <c r="I79" i="486"/>
  <c r="I78" i="486"/>
  <c r="I77" i="486"/>
  <c r="I76" i="486"/>
  <c r="I75" i="486"/>
  <c r="I74" i="486"/>
  <c r="I73" i="486"/>
  <c r="I72" i="486"/>
  <c r="I71" i="486"/>
  <c r="I70" i="486"/>
  <c r="I69" i="486"/>
  <c r="I68" i="486"/>
  <c r="I67" i="486"/>
  <c r="I66" i="486"/>
  <c r="I65" i="486"/>
  <c r="I64" i="486"/>
  <c r="I63" i="486"/>
  <c r="I62" i="486"/>
  <c r="I61" i="486"/>
  <c r="I60" i="486"/>
  <c r="I59" i="486"/>
  <c r="I58" i="486"/>
  <c r="I57" i="486"/>
  <c r="I56" i="486"/>
  <c r="I55" i="486"/>
  <c r="I54" i="486"/>
  <c r="I53" i="486"/>
  <c r="I52" i="486"/>
  <c r="I51" i="486"/>
  <c r="I50" i="486"/>
  <c r="I49" i="486"/>
  <c r="I48" i="486"/>
  <c r="I47" i="486"/>
  <c r="I46" i="486"/>
  <c r="I45" i="486"/>
  <c r="I44" i="486"/>
  <c r="I43" i="486"/>
  <c r="I42" i="486"/>
  <c r="I41" i="486"/>
  <c r="I40" i="486"/>
  <c r="I39" i="486"/>
  <c r="I38" i="486"/>
  <c r="I37" i="486"/>
  <c r="I36" i="486"/>
  <c r="I35" i="486"/>
  <c r="I34" i="486"/>
  <c r="I33" i="486"/>
  <c r="I32" i="486"/>
  <c r="I31" i="486"/>
  <c r="I30" i="486"/>
  <c r="I29" i="486"/>
  <c r="I28" i="486"/>
  <c r="I27" i="486"/>
  <c r="I26" i="486"/>
  <c r="I1165" i="485"/>
  <c r="I1164" i="485"/>
  <c r="I1163" i="485"/>
  <c r="I1162" i="485"/>
  <c r="I1161" i="485"/>
  <c r="I1160" i="485"/>
  <c r="I1159" i="485"/>
  <c r="I1158" i="485"/>
  <c r="I1157" i="485"/>
  <c r="I1156" i="485"/>
  <c r="I1155" i="485"/>
  <c r="I1154" i="485"/>
  <c r="I1153" i="485"/>
  <c r="I1152" i="485"/>
  <c r="I1151" i="485"/>
  <c r="I1150" i="485"/>
  <c r="I1149" i="485"/>
  <c r="I1148" i="485"/>
  <c r="I1147" i="485"/>
  <c r="I1146" i="485"/>
  <c r="I1145" i="485"/>
  <c r="I1144" i="485"/>
  <c r="I1143" i="485"/>
  <c r="I1142" i="485"/>
  <c r="I1141" i="485"/>
  <c r="I1140" i="485"/>
  <c r="I1139" i="485"/>
  <c r="I1138" i="485"/>
  <c r="I1137" i="485"/>
  <c r="I1136" i="485"/>
  <c r="I1135" i="485"/>
  <c r="I1134" i="485"/>
  <c r="I1133" i="485"/>
  <c r="I1132" i="485"/>
  <c r="I1131" i="485"/>
  <c r="I1130" i="485"/>
  <c r="I1129" i="485"/>
  <c r="I1128" i="485"/>
  <c r="I1127" i="485"/>
  <c r="I1126" i="485"/>
  <c r="I1125" i="485"/>
  <c r="I1124" i="485"/>
  <c r="I1123" i="485"/>
  <c r="I1122" i="485"/>
  <c r="I1121" i="485"/>
  <c r="I1120" i="485"/>
  <c r="I1119" i="485"/>
  <c r="I1118" i="485"/>
  <c r="I1117" i="485"/>
  <c r="I1116" i="485"/>
  <c r="I1115" i="485"/>
  <c r="I1114" i="485"/>
  <c r="I1113" i="485"/>
  <c r="I1112" i="485"/>
  <c r="I1111" i="485"/>
  <c r="I1110" i="485"/>
  <c r="I1109" i="485"/>
  <c r="I1108" i="485"/>
  <c r="I1107" i="485"/>
  <c r="I1106" i="485"/>
  <c r="I1105" i="485"/>
  <c r="I1104" i="485"/>
  <c r="I1103" i="485"/>
  <c r="I1102" i="485"/>
  <c r="I1101" i="485"/>
  <c r="I1100" i="485"/>
  <c r="I1099" i="485"/>
  <c r="I1098" i="485"/>
  <c r="I1097" i="485"/>
  <c r="I1096" i="485"/>
  <c r="I1095" i="485"/>
  <c r="I1094" i="485"/>
  <c r="I1093" i="485"/>
  <c r="I1092" i="485"/>
  <c r="I1091" i="485"/>
  <c r="I1090" i="485"/>
  <c r="I1089" i="485"/>
  <c r="I1088" i="485"/>
  <c r="I1087" i="485"/>
  <c r="I1086" i="485"/>
  <c r="I1085" i="485"/>
  <c r="I1084" i="485"/>
  <c r="I1083" i="485"/>
  <c r="I1082" i="485"/>
  <c r="I1081" i="485"/>
  <c r="I1080" i="485"/>
  <c r="I1079" i="485"/>
  <c r="I1078" i="485"/>
  <c r="I1077" i="485"/>
  <c r="I1076" i="485"/>
  <c r="I1075" i="485"/>
  <c r="I1074" i="485"/>
  <c r="I1073" i="485"/>
  <c r="I1072" i="485"/>
  <c r="I1071" i="485"/>
  <c r="I1070" i="485"/>
  <c r="I1069" i="485"/>
  <c r="I1068" i="485"/>
  <c r="I1067" i="485"/>
  <c r="I1066" i="485"/>
  <c r="I1065" i="485"/>
  <c r="I1064" i="485"/>
  <c r="I1063" i="485"/>
  <c r="I1062" i="485"/>
  <c r="I1061" i="485"/>
  <c r="I1060" i="485"/>
  <c r="I1059" i="485"/>
  <c r="I1058" i="485"/>
  <c r="I1057" i="485"/>
  <c r="I1056" i="485"/>
  <c r="I1055" i="485"/>
  <c r="I1054" i="485"/>
  <c r="I1053" i="485"/>
  <c r="I1052" i="485"/>
  <c r="I1051" i="485"/>
  <c r="I1050" i="485"/>
  <c r="I1049" i="485"/>
  <c r="I1048" i="485"/>
  <c r="I1047" i="485"/>
  <c r="I1046" i="485"/>
  <c r="I1045" i="485"/>
  <c r="I1044" i="485"/>
  <c r="I1043" i="485"/>
  <c r="I1042" i="485"/>
  <c r="I1041" i="485"/>
  <c r="I1040" i="485"/>
  <c r="I1039" i="485"/>
  <c r="I1038" i="485"/>
  <c r="I1037" i="485"/>
  <c r="I1036" i="485"/>
  <c r="I1035" i="485"/>
  <c r="I1034" i="485"/>
  <c r="I1033" i="485"/>
  <c r="I1032" i="485"/>
  <c r="I1031" i="485"/>
  <c r="I1030" i="485"/>
  <c r="I1029" i="485"/>
  <c r="I1028" i="485"/>
  <c r="I1027" i="485"/>
  <c r="I1026" i="485"/>
  <c r="I1025" i="485"/>
  <c r="I1024" i="485"/>
  <c r="I1023" i="485"/>
  <c r="I1022" i="485"/>
  <c r="I1021" i="485"/>
  <c r="I1020" i="485"/>
  <c r="I1019" i="485"/>
  <c r="I1018" i="485"/>
  <c r="I1017" i="485"/>
  <c r="I1016" i="485"/>
  <c r="I1015" i="485"/>
  <c r="I1014" i="485"/>
  <c r="I1013" i="485"/>
  <c r="I1012" i="485"/>
  <c r="I1011" i="485"/>
  <c r="I1010" i="485"/>
  <c r="I1009" i="485"/>
  <c r="I1008" i="485"/>
  <c r="I1007" i="485"/>
  <c r="I1006" i="485"/>
  <c r="I1005" i="485"/>
  <c r="I1004" i="485"/>
  <c r="I1003" i="485"/>
  <c r="I1002" i="485"/>
  <c r="I1001" i="485"/>
  <c r="I1000" i="485"/>
  <c r="I999" i="485"/>
  <c r="I998" i="485"/>
  <c r="I997" i="485"/>
  <c r="I996" i="485"/>
  <c r="I995" i="485"/>
  <c r="I994" i="485"/>
  <c r="I993" i="485"/>
  <c r="I992" i="485"/>
  <c r="I991" i="485"/>
  <c r="I990" i="485"/>
  <c r="I989" i="485"/>
  <c r="I988" i="485"/>
  <c r="I987" i="485"/>
  <c r="I986" i="485"/>
  <c r="I985" i="485"/>
  <c r="I984" i="485"/>
  <c r="I983" i="485"/>
  <c r="I982" i="485"/>
  <c r="I981" i="485"/>
  <c r="I980" i="485"/>
  <c r="I979" i="485"/>
  <c r="I978" i="485"/>
  <c r="I977" i="485"/>
  <c r="I976" i="485"/>
  <c r="I975" i="485"/>
  <c r="I974" i="485"/>
  <c r="I973" i="485"/>
  <c r="I972" i="485"/>
  <c r="I971" i="485"/>
  <c r="I970" i="485"/>
  <c r="I969" i="485"/>
  <c r="I968" i="485"/>
  <c r="I967" i="485"/>
  <c r="I966" i="485"/>
  <c r="I965" i="485"/>
  <c r="I964" i="485"/>
  <c r="I963" i="485"/>
  <c r="I962" i="485"/>
  <c r="I961" i="485"/>
  <c r="I960" i="485"/>
  <c r="I959" i="485"/>
  <c r="I958" i="485"/>
  <c r="I957" i="485"/>
  <c r="I956" i="485"/>
  <c r="I955" i="485"/>
  <c r="I954" i="485"/>
  <c r="I953" i="485"/>
  <c r="I952" i="485"/>
  <c r="I951" i="485"/>
  <c r="I950" i="485"/>
  <c r="I949" i="485"/>
  <c r="I948" i="485"/>
  <c r="I947" i="485"/>
  <c r="I946" i="485"/>
  <c r="I945" i="485"/>
  <c r="I944" i="485"/>
  <c r="I943" i="485"/>
  <c r="I942" i="485"/>
  <c r="I941" i="485"/>
  <c r="I940" i="485"/>
  <c r="I939" i="485"/>
  <c r="I938" i="485"/>
  <c r="I937" i="485"/>
  <c r="I936" i="485"/>
  <c r="I935" i="485"/>
  <c r="I934" i="485"/>
  <c r="I933" i="485"/>
  <c r="I932" i="485"/>
  <c r="I931" i="485"/>
  <c r="I930" i="485"/>
  <c r="I929" i="485"/>
  <c r="I928" i="485"/>
  <c r="I927" i="485"/>
  <c r="I926" i="485"/>
  <c r="I925" i="485"/>
  <c r="I924" i="485"/>
  <c r="I923" i="485"/>
  <c r="I922" i="485"/>
  <c r="I921" i="485"/>
  <c r="I920" i="485"/>
  <c r="I919" i="485"/>
  <c r="I918" i="485"/>
  <c r="I917" i="485"/>
  <c r="I916" i="485"/>
  <c r="I915" i="485"/>
  <c r="I914" i="485"/>
  <c r="I913" i="485"/>
  <c r="I912" i="485"/>
  <c r="I911" i="485"/>
  <c r="I910" i="485"/>
  <c r="I909" i="485"/>
  <c r="I908" i="485"/>
  <c r="I907" i="485"/>
  <c r="I906" i="485"/>
  <c r="I905" i="485"/>
  <c r="I904" i="485"/>
  <c r="I903" i="485"/>
  <c r="I902" i="485"/>
  <c r="I901" i="485"/>
  <c r="I900" i="485"/>
  <c r="I899" i="485"/>
  <c r="I898" i="485"/>
  <c r="I897" i="485"/>
  <c r="I896" i="485"/>
  <c r="I895" i="485"/>
  <c r="I894" i="485"/>
  <c r="I893" i="485"/>
  <c r="I892" i="485"/>
  <c r="I891" i="485"/>
  <c r="I890" i="485"/>
  <c r="I889" i="485"/>
  <c r="I888" i="485"/>
  <c r="I887" i="485"/>
  <c r="I886" i="485"/>
  <c r="I885" i="485"/>
  <c r="I884" i="485"/>
  <c r="I883" i="485"/>
  <c r="I882" i="485"/>
  <c r="I881" i="485"/>
  <c r="I880" i="485"/>
  <c r="I879" i="485"/>
  <c r="I878" i="485"/>
  <c r="I877" i="485"/>
  <c r="I876" i="485"/>
  <c r="I875" i="485"/>
  <c r="I874" i="485"/>
  <c r="I873" i="485"/>
  <c r="I872" i="485"/>
  <c r="I871" i="485"/>
  <c r="I870" i="485"/>
  <c r="I869" i="485"/>
  <c r="I868" i="485"/>
  <c r="I867" i="485"/>
  <c r="I866" i="485"/>
  <c r="I865" i="485"/>
  <c r="I864" i="485"/>
  <c r="I863" i="485"/>
  <c r="I862" i="485"/>
  <c r="I861" i="485"/>
  <c r="I860" i="485"/>
  <c r="I859" i="485"/>
  <c r="I858" i="485"/>
  <c r="I857" i="485"/>
  <c r="I856" i="485"/>
  <c r="I855" i="485"/>
  <c r="I854" i="485"/>
  <c r="I853" i="485"/>
  <c r="I852" i="485"/>
  <c r="I851" i="485"/>
  <c r="I850" i="485"/>
  <c r="I849" i="485"/>
  <c r="I848" i="485"/>
  <c r="I847" i="485"/>
  <c r="I846" i="485"/>
  <c r="I845" i="485"/>
  <c r="I844" i="485"/>
  <c r="I843" i="485"/>
  <c r="I842" i="485"/>
  <c r="I841" i="485"/>
  <c r="I840" i="485"/>
  <c r="I839" i="485"/>
  <c r="I838" i="485"/>
  <c r="I837" i="485"/>
  <c r="I836" i="485"/>
  <c r="I835" i="485"/>
  <c r="I834" i="485"/>
  <c r="I833" i="485"/>
  <c r="I832" i="485"/>
  <c r="I831" i="485"/>
  <c r="I830" i="485"/>
  <c r="I829" i="485"/>
  <c r="I828" i="485"/>
  <c r="I827" i="485"/>
  <c r="I826" i="485"/>
  <c r="I825" i="485"/>
  <c r="I824" i="485"/>
  <c r="I823" i="485"/>
  <c r="I822" i="485"/>
  <c r="I821" i="485"/>
  <c r="I820" i="485"/>
  <c r="I819" i="485"/>
  <c r="I818" i="485"/>
  <c r="I817" i="485"/>
  <c r="I816" i="485"/>
  <c r="I815" i="485"/>
  <c r="I814" i="485"/>
  <c r="I813" i="485"/>
  <c r="I812" i="485"/>
  <c r="I811" i="485"/>
  <c r="I810" i="485"/>
  <c r="I809" i="485"/>
  <c r="I808" i="485"/>
  <c r="I807" i="485"/>
  <c r="I806" i="485"/>
  <c r="I805" i="485"/>
  <c r="I804" i="485"/>
  <c r="I803" i="485"/>
  <c r="I802" i="485"/>
  <c r="I801" i="485"/>
  <c r="I800" i="485"/>
  <c r="I799" i="485"/>
  <c r="I798" i="485"/>
  <c r="I797" i="485"/>
  <c r="I796" i="485"/>
  <c r="I795" i="485"/>
  <c r="I794" i="485"/>
  <c r="I793" i="485"/>
  <c r="I792" i="485"/>
  <c r="I791" i="485"/>
  <c r="I790" i="485"/>
  <c r="I789" i="485"/>
  <c r="I788" i="485"/>
  <c r="I787" i="485"/>
  <c r="I786" i="485"/>
  <c r="I785" i="485"/>
  <c r="I784" i="485"/>
  <c r="I783" i="485"/>
  <c r="I782" i="485"/>
  <c r="I781" i="485"/>
  <c r="I780" i="485"/>
  <c r="I779" i="485"/>
  <c r="I778" i="485"/>
  <c r="I777" i="485"/>
  <c r="I776" i="485"/>
  <c r="I775" i="485"/>
  <c r="I774" i="485"/>
  <c r="I773" i="485"/>
  <c r="I772" i="485"/>
  <c r="I771" i="485"/>
  <c r="I770" i="485"/>
  <c r="I769" i="485"/>
  <c r="I768" i="485"/>
  <c r="I767" i="485"/>
  <c r="I766" i="485"/>
  <c r="I765" i="485"/>
  <c r="I764" i="485"/>
  <c r="I763" i="485"/>
  <c r="I762" i="485"/>
  <c r="I761" i="485"/>
  <c r="I760" i="485"/>
  <c r="I759" i="485"/>
  <c r="I758" i="485"/>
  <c r="I757" i="485"/>
  <c r="I756" i="485"/>
  <c r="I755" i="485"/>
  <c r="I754" i="485"/>
  <c r="I753" i="485"/>
  <c r="I752" i="485"/>
  <c r="I751" i="485"/>
  <c r="I750" i="485"/>
  <c r="I749" i="485"/>
  <c r="I748" i="485"/>
  <c r="I747" i="485"/>
  <c r="I746" i="485"/>
  <c r="I745" i="485"/>
  <c r="I744" i="485"/>
  <c r="I743" i="485"/>
  <c r="I742" i="485"/>
  <c r="I741" i="485"/>
  <c r="I740" i="485"/>
  <c r="I739" i="485"/>
  <c r="I738" i="485"/>
  <c r="I737" i="485"/>
  <c r="I736" i="485"/>
  <c r="I735" i="485"/>
  <c r="I734" i="485"/>
  <c r="I733" i="485"/>
  <c r="I732" i="485"/>
  <c r="I731" i="485"/>
  <c r="I730" i="485"/>
  <c r="I729" i="485"/>
  <c r="I728" i="485"/>
  <c r="I727" i="485"/>
  <c r="I726" i="485"/>
  <c r="I725" i="485"/>
  <c r="I724" i="485"/>
  <c r="I723" i="485"/>
  <c r="I722" i="485"/>
  <c r="I721" i="485"/>
  <c r="I720" i="485"/>
  <c r="I719" i="485"/>
  <c r="I718" i="485"/>
  <c r="I717" i="485"/>
  <c r="I716" i="485"/>
  <c r="I715" i="485"/>
  <c r="I714" i="485"/>
  <c r="I713" i="485"/>
  <c r="I712" i="485"/>
  <c r="I711" i="485"/>
  <c r="I710" i="485"/>
  <c r="I709" i="485"/>
  <c r="I708" i="485"/>
  <c r="I707" i="485"/>
  <c r="I706" i="485"/>
  <c r="I705" i="485"/>
  <c r="I704" i="485"/>
  <c r="I703" i="485"/>
  <c r="I702" i="485"/>
  <c r="I701" i="485"/>
  <c r="I700" i="485"/>
  <c r="I699" i="485"/>
  <c r="I698" i="485"/>
  <c r="I697" i="485"/>
  <c r="I696" i="485"/>
  <c r="I695" i="485"/>
  <c r="I694" i="485"/>
  <c r="I693" i="485"/>
  <c r="I692" i="485"/>
  <c r="I691" i="485"/>
  <c r="I690" i="485"/>
  <c r="I689" i="485"/>
  <c r="I688" i="485"/>
  <c r="I687" i="485"/>
  <c r="I686" i="485"/>
  <c r="I685" i="485"/>
  <c r="I684" i="485"/>
  <c r="I683" i="485"/>
  <c r="I682" i="485"/>
  <c r="I681" i="485"/>
  <c r="I680" i="485"/>
  <c r="I679" i="485"/>
  <c r="I678" i="485"/>
  <c r="I677" i="485"/>
  <c r="I676" i="485"/>
  <c r="I675" i="485"/>
  <c r="I674" i="485"/>
  <c r="I673" i="485"/>
  <c r="I672" i="485"/>
  <c r="I671" i="485"/>
  <c r="I670" i="485"/>
  <c r="I669" i="485"/>
  <c r="I668" i="485"/>
  <c r="I667" i="485"/>
  <c r="I666" i="485"/>
  <c r="I665" i="485"/>
  <c r="I664" i="485"/>
  <c r="I663" i="485"/>
  <c r="I662" i="485"/>
  <c r="I661" i="485"/>
  <c r="I660" i="485"/>
  <c r="I659" i="485"/>
  <c r="I658" i="485"/>
  <c r="I657" i="485"/>
  <c r="I656" i="485"/>
  <c r="I655" i="485"/>
  <c r="I654" i="485"/>
  <c r="I653" i="485"/>
  <c r="I652" i="485"/>
  <c r="I651" i="485"/>
  <c r="I650" i="485"/>
  <c r="I649" i="485"/>
  <c r="I648" i="485"/>
  <c r="I647" i="485"/>
  <c r="I646" i="485"/>
  <c r="I645" i="485"/>
  <c r="I644" i="485"/>
  <c r="I643" i="485"/>
  <c r="I642" i="485"/>
  <c r="I641" i="485"/>
  <c r="I640" i="485"/>
  <c r="I639" i="485"/>
  <c r="I638" i="485"/>
  <c r="I637" i="485"/>
  <c r="I636" i="485"/>
  <c r="I635" i="485"/>
  <c r="I634" i="485"/>
  <c r="I633" i="485"/>
  <c r="I632" i="485"/>
  <c r="I631" i="485"/>
  <c r="I630" i="485"/>
  <c r="I629" i="485"/>
  <c r="I628" i="485"/>
  <c r="I627" i="485"/>
  <c r="I626" i="485"/>
  <c r="I625" i="485"/>
  <c r="I624" i="485"/>
  <c r="I623" i="485"/>
  <c r="I622" i="485"/>
  <c r="I621" i="485"/>
  <c r="I620" i="485"/>
  <c r="I619" i="485"/>
  <c r="I618" i="485"/>
  <c r="I617" i="485"/>
  <c r="I616" i="485"/>
  <c r="I615" i="485"/>
  <c r="I614" i="485"/>
  <c r="I613" i="485"/>
  <c r="I612" i="485"/>
  <c r="I611" i="485"/>
  <c r="I610" i="485"/>
  <c r="I609" i="485"/>
  <c r="I608" i="485"/>
  <c r="I607" i="485"/>
  <c r="I606" i="485"/>
  <c r="I605" i="485"/>
  <c r="I604" i="485"/>
  <c r="I603" i="485"/>
  <c r="I602" i="485"/>
  <c r="I601" i="485"/>
  <c r="I600" i="485"/>
  <c r="I599" i="485"/>
  <c r="I598" i="485"/>
  <c r="I597" i="485"/>
  <c r="I596" i="485"/>
  <c r="I595" i="485"/>
  <c r="I594" i="485"/>
  <c r="I593" i="485"/>
  <c r="I592" i="485"/>
  <c r="I591" i="485"/>
  <c r="I590" i="485"/>
  <c r="I589" i="485"/>
  <c r="I588" i="485"/>
  <c r="I587" i="485"/>
  <c r="I586" i="485"/>
  <c r="I585" i="485"/>
  <c r="I584" i="485"/>
  <c r="I583" i="485"/>
  <c r="I582" i="485"/>
  <c r="I581" i="485"/>
  <c r="I580" i="485"/>
  <c r="I579" i="485"/>
  <c r="I578" i="485"/>
  <c r="I577" i="485"/>
  <c r="I576" i="485"/>
  <c r="I575" i="485"/>
  <c r="I574" i="485"/>
  <c r="I573" i="485"/>
  <c r="I572" i="485"/>
  <c r="I571" i="485"/>
  <c r="I570" i="485"/>
  <c r="I569" i="485"/>
  <c r="I568" i="485"/>
  <c r="B568" i="485"/>
  <c r="B569" i="485" s="1"/>
  <c r="B570" i="485" s="1"/>
  <c r="B571" i="485" s="1"/>
  <c r="B572" i="485" s="1"/>
  <c r="B573" i="485" s="1"/>
  <c r="B574" i="485" s="1"/>
  <c r="B575" i="485" s="1"/>
  <c r="B576" i="485" s="1"/>
  <c r="B577" i="485" s="1"/>
  <c r="B578" i="485" s="1"/>
  <c r="B579" i="485" s="1"/>
  <c r="B580" i="485" s="1"/>
  <c r="B581" i="485" s="1"/>
  <c r="B582" i="485" s="1"/>
  <c r="B583" i="485" s="1"/>
  <c r="B584" i="485" s="1"/>
  <c r="B585" i="485" s="1"/>
  <c r="B586" i="485" s="1"/>
  <c r="B587" i="485" s="1"/>
  <c r="B588" i="485" s="1"/>
  <c r="B589" i="485" s="1"/>
  <c r="B590" i="485" s="1"/>
  <c r="B591" i="485" s="1"/>
  <c r="B592" i="485" s="1"/>
  <c r="B593" i="485" s="1"/>
  <c r="B594" i="485" s="1"/>
  <c r="B595" i="485" s="1"/>
  <c r="B596" i="485" s="1"/>
  <c r="B597" i="485" s="1"/>
  <c r="B598" i="485" s="1"/>
  <c r="B599" i="485" s="1"/>
  <c r="B600" i="485" s="1"/>
  <c r="B601" i="485" s="1"/>
  <c r="B602" i="485" s="1"/>
  <c r="B603" i="485" s="1"/>
  <c r="B604" i="485" s="1"/>
  <c r="B605" i="485" s="1"/>
  <c r="B606" i="485" s="1"/>
  <c r="B607" i="485" s="1"/>
  <c r="B608" i="485" s="1"/>
  <c r="B609" i="485" s="1"/>
  <c r="B610" i="485" s="1"/>
  <c r="B611" i="485" s="1"/>
  <c r="B612" i="485" s="1"/>
  <c r="B613" i="485" s="1"/>
  <c r="B614" i="485" s="1"/>
  <c r="B615" i="485" s="1"/>
  <c r="B616" i="485" s="1"/>
  <c r="B617" i="485" s="1"/>
  <c r="B618" i="485" s="1"/>
  <c r="B619" i="485" s="1"/>
  <c r="B620" i="485" s="1"/>
  <c r="B621" i="485" s="1"/>
  <c r="B622" i="485" s="1"/>
  <c r="B623" i="485" s="1"/>
  <c r="B624" i="485" s="1"/>
  <c r="B625" i="485" s="1"/>
  <c r="B626" i="485" s="1"/>
  <c r="B627" i="485" s="1"/>
  <c r="B628" i="485" s="1"/>
  <c r="B629" i="485" s="1"/>
  <c r="B630" i="485" s="1"/>
  <c r="B631" i="485" s="1"/>
  <c r="B632" i="485" s="1"/>
  <c r="B633" i="485" s="1"/>
  <c r="B634" i="485" s="1"/>
  <c r="B635" i="485" s="1"/>
  <c r="B636" i="485" s="1"/>
  <c r="B637" i="485" s="1"/>
  <c r="B638" i="485" s="1"/>
  <c r="B639" i="485" s="1"/>
  <c r="B640" i="485" s="1"/>
  <c r="B641" i="485" s="1"/>
  <c r="B642" i="485" s="1"/>
  <c r="B643" i="485" s="1"/>
  <c r="B644" i="485" s="1"/>
  <c r="B645" i="485" s="1"/>
  <c r="B646" i="485" s="1"/>
  <c r="B647" i="485" s="1"/>
  <c r="B648" i="485" s="1"/>
  <c r="B649" i="485" s="1"/>
  <c r="B650" i="485" s="1"/>
  <c r="B651" i="485" s="1"/>
  <c r="B652" i="485" s="1"/>
  <c r="B653" i="485" s="1"/>
  <c r="B654" i="485" s="1"/>
  <c r="B655" i="485" s="1"/>
  <c r="B656" i="485" s="1"/>
  <c r="B657" i="485" s="1"/>
  <c r="B658" i="485" s="1"/>
  <c r="B659" i="485" s="1"/>
  <c r="B660" i="485" s="1"/>
  <c r="B661" i="485" s="1"/>
  <c r="B662" i="485" s="1"/>
  <c r="B663" i="485" s="1"/>
  <c r="B664" i="485" s="1"/>
  <c r="B665" i="485" s="1"/>
  <c r="B666" i="485" s="1"/>
  <c r="B667" i="485" s="1"/>
  <c r="B668" i="485" s="1"/>
  <c r="B669" i="485" s="1"/>
  <c r="B670" i="485" s="1"/>
  <c r="B671" i="485" s="1"/>
  <c r="B672" i="485" s="1"/>
  <c r="B673" i="485" s="1"/>
  <c r="B674" i="485" s="1"/>
  <c r="B675" i="485" s="1"/>
  <c r="B676" i="485" s="1"/>
  <c r="B677" i="485" s="1"/>
  <c r="B678" i="485" s="1"/>
  <c r="B679" i="485" s="1"/>
  <c r="B680" i="485" s="1"/>
  <c r="B681" i="485" s="1"/>
  <c r="B682" i="485" s="1"/>
  <c r="B683" i="485" s="1"/>
  <c r="B684" i="485" s="1"/>
  <c r="B685" i="485" s="1"/>
  <c r="B686" i="485" s="1"/>
  <c r="B687" i="485" s="1"/>
  <c r="B688" i="485" s="1"/>
  <c r="B689" i="485" s="1"/>
  <c r="B690" i="485" s="1"/>
  <c r="B691" i="485" s="1"/>
  <c r="B692" i="485" s="1"/>
  <c r="B693" i="485" s="1"/>
  <c r="B694" i="485" s="1"/>
  <c r="B695" i="485" s="1"/>
  <c r="B696" i="485" s="1"/>
  <c r="B697" i="485" s="1"/>
  <c r="B698" i="485" s="1"/>
  <c r="B699" i="485" s="1"/>
  <c r="B700" i="485" s="1"/>
  <c r="B701" i="485" s="1"/>
  <c r="B702" i="485" s="1"/>
  <c r="B703" i="485" s="1"/>
  <c r="B704" i="485" s="1"/>
  <c r="B705" i="485" s="1"/>
  <c r="B706" i="485" s="1"/>
  <c r="B707" i="485" s="1"/>
  <c r="B708" i="485" s="1"/>
  <c r="B709" i="485" s="1"/>
  <c r="B710" i="485" s="1"/>
  <c r="B711" i="485" s="1"/>
  <c r="B712" i="485" s="1"/>
  <c r="B713" i="485" s="1"/>
  <c r="B714" i="485" s="1"/>
  <c r="B715" i="485" s="1"/>
  <c r="B716" i="485" s="1"/>
  <c r="B717" i="485" s="1"/>
  <c r="B718" i="485" s="1"/>
  <c r="B719" i="485" s="1"/>
  <c r="B720" i="485" s="1"/>
  <c r="B721" i="485" s="1"/>
  <c r="B722" i="485" s="1"/>
  <c r="B723" i="485" s="1"/>
  <c r="B724" i="485" s="1"/>
  <c r="B725" i="485" s="1"/>
  <c r="B726" i="485" s="1"/>
  <c r="B727" i="485" s="1"/>
  <c r="B728" i="485" s="1"/>
  <c r="B729" i="485" s="1"/>
  <c r="B730" i="485" s="1"/>
  <c r="B731" i="485" s="1"/>
  <c r="B732" i="485" s="1"/>
  <c r="B733" i="485" s="1"/>
  <c r="B734" i="485" s="1"/>
  <c r="B735" i="485" s="1"/>
  <c r="B736" i="485" s="1"/>
  <c r="B737" i="485" s="1"/>
  <c r="B738" i="485" s="1"/>
  <c r="B739" i="485" s="1"/>
  <c r="B740" i="485" s="1"/>
  <c r="B741" i="485" s="1"/>
  <c r="B742" i="485" s="1"/>
  <c r="B743" i="485" s="1"/>
  <c r="B744" i="485" s="1"/>
  <c r="B745" i="485" s="1"/>
  <c r="B746" i="485" s="1"/>
  <c r="B747" i="485" s="1"/>
  <c r="B748" i="485" s="1"/>
  <c r="B749" i="485" s="1"/>
  <c r="B750" i="485" s="1"/>
  <c r="B751" i="485" s="1"/>
  <c r="B752" i="485" s="1"/>
  <c r="B753" i="485" s="1"/>
  <c r="B754" i="485" s="1"/>
  <c r="B755" i="485" s="1"/>
  <c r="B756" i="485" s="1"/>
  <c r="B757" i="485" s="1"/>
  <c r="B758" i="485" s="1"/>
  <c r="B759" i="485" s="1"/>
  <c r="B760" i="485" s="1"/>
  <c r="B761" i="485" s="1"/>
  <c r="B762" i="485" s="1"/>
  <c r="B763" i="485" s="1"/>
  <c r="B764" i="485" s="1"/>
  <c r="B765" i="485" s="1"/>
  <c r="B766" i="485" s="1"/>
  <c r="B767" i="485" s="1"/>
  <c r="B768" i="485" s="1"/>
  <c r="B769" i="485" s="1"/>
  <c r="B770" i="485" s="1"/>
  <c r="B771" i="485" s="1"/>
  <c r="B772" i="485" s="1"/>
  <c r="B773" i="485" s="1"/>
  <c r="B774" i="485" s="1"/>
  <c r="B775" i="485" s="1"/>
  <c r="B776" i="485" s="1"/>
  <c r="B777" i="485" s="1"/>
  <c r="B778" i="485" s="1"/>
  <c r="B779" i="485" s="1"/>
  <c r="B780" i="485" s="1"/>
  <c r="B781" i="485" s="1"/>
  <c r="B782" i="485" s="1"/>
  <c r="B783" i="485" s="1"/>
  <c r="B784" i="485" s="1"/>
  <c r="B785" i="485" s="1"/>
  <c r="B786" i="485" s="1"/>
  <c r="B787" i="485" s="1"/>
  <c r="B788" i="485" s="1"/>
  <c r="B789" i="485" s="1"/>
  <c r="B790" i="485" s="1"/>
  <c r="B791" i="485" s="1"/>
  <c r="B792" i="485" s="1"/>
  <c r="B793" i="485" s="1"/>
  <c r="B794" i="485" s="1"/>
  <c r="B795" i="485" s="1"/>
  <c r="B796" i="485" s="1"/>
  <c r="B797" i="485" s="1"/>
  <c r="B798" i="485" s="1"/>
  <c r="B799" i="485" s="1"/>
  <c r="B800" i="485" s="1"/>
  <c r="B801" i="485" s="1"/>
  <c r="B802" i="485" s="1"/>
  <c r="B803" i="485" s="1"/>
  <c r="B804" i="485" s="1"/>
  <c r="B805" i="485" s="1"/>
  <c r="B806" i="485" s="1"/>
  <c r="B807" i="485" s="1"/>
  <c r="B808" i="485" s="1"/>
  <c r="B809" i="485" s="1"/>
  <c r="B810" i="485" s="1"/>
  <c r="B811" i="485" s="1"/>
  <c r="B812" i="485" s="1"/>
  <c r="B813" i="485" s="1"/>
  <c r="B814" i="485" s="1"/>
  <c r="B815" i="485" s="1"/>
  <c r="B816" i="485" s="1"/>
  <c r="B817" i="485" s="1"/>
  <c r="B818" i="485" s="1"/>
  <c r="B819" i="485" s="1"/>
  <c r="B820" i="485" s="1"/>
  <c r="B821" i="485" s="1"/>
  <c r="B822" i="485" s="1"/>
  <c r="B823" i="485" s="1"/>
  <c r="B824" i="485" s="1"/>
  <c r="B825" i="485" s="1"/>
  <c r="B826" i="485" s="1"/>
  <c r="B827" i="485" s="1"/>
  <c r="B828" i="485" s="1"/>
  <c r="B829" i="485" s="1"/>
  <c r="B830" i="485" s="1"/>
  <c r="B831" i="485" s="1"/>
  <c r="B832" i="485" s="1"/>
  <c r="B833" i="485" s="1"/>
  <c r="B834" i="485" s="1"/>
  <c r="B835" i="485" s="1"/>
  <c r="B836" i="485" s="1"/>
  <c r="B837" i="485" s="1"/>
  <c r="B838" i="485" s="1"/>
  <c r="B839" i="485" s="1"/>
  <c r="B840" i="485" s="1"/>
  <c r="B841" i="485" s="1"/>
  <c r="B842" i="485" s="1"/>
  <c r="B843" i="485" s="1"/>
  <c r="B844" i="485" s="1"/>
  <c r="B845" i="485" s="1"/>
  <c r="B846" i="485" s="1"/>
  <c r="B847" i="485" s="1"/>
  <c r="B848" i="485" s="1"/>
  <c r="B849" i="485" s="1"/>
  <c r="B850" i="485" s="1"/>
  <c r="B851" i="485" s="1"/>
  <c r="B852" i="485" s="1"/>
  <c r="B853" i="485" s="1"/>
  <c r="B854" i="485" s="1"/>
  <c r="B855" i="485" s="1"/>
  <c r="B856" i="485" s="1"/>
  <c r="B857" i="485" s="1"/>
  <c r="B858" i="485" s="1"/>
  <c r="B859" i="485" s="1"/>
  <c r="B860" i="485" s="1"/>
  <c r="B861" i="485" s="1"/>
  <c r="B862" i="485" s="1"/>
  <c r="B863" i="485" s="1"/>
  <c r="B864" i="485" s="1"/>
  <c r="B865" i="485" s="1"/>
  <c r="B866" i="485" s="1"/>
  <c r="B867" i="485" s="1"/>
  <c r="B868" i="485" s="1"/>
  <c r="B869" i="485" s="1"/>
  <c r="B870" i="485" s="1"/>
  <c r="B871" i="485" s="1"/>
  <c r="B872" i="485" s="1"/>
  <c r="B873" i="485" s="1"/>
  <c r="B874" i="485" s="1"/>
  <c r="B875" i="485" s="1"/>
  <c r="B876" i="485" s="1"/>
  <c r="B877" i="485" s="1"/>
  <c r="B878" i="485" s="1"/>
  <c r="B879" i="485" s="1"/>
  <c r="B880" i="485" s="1"/>
  <c r="B881" i="485" s="1"/>
  <c r="B882" i="485" s="1"/>
  <c r="B883" i="485" s="1"/>
  <c r="B884" i="485" s="1"/>
  <c r="B885" i="485" s="1"/>
  <c r="B886" i="485" s="1"/>
  <c r="B887" i="485" s="1"/>
  <c r="B888" i="485" s="1"/>
  <c r="B889" i="485" s="1"/>
  <c r="B890" i="485" s="1"/>
  <c r="B891" i="485" s="1"/>
  <c r="B892" i="485" s="1"/>
  <c r="B893" i="485" s="1"/>
  <c r="B894" i="485" s="1"/>
  <c r="B895" i="485" s="1"/>
  <c r="B896" i="485" s="1"/>
  <c r="B897" i="485" s="1"/>
  <c r="B898" i="485" s="1"/>
  <c r="B899" i="485" s="1"/>
  <c r="B900" i="485" s="1"/>
  <c r="B901" i="485" s="1"/>
  <c r="B902" i="485" s="1"/>
  <c r="B903" i="485" s="1"/>
  <c r="B904" i="485" s="1"/>
  <c r="B905" i="485" s="1"/>
  <c r="B906" i="485" s="1"/>
  <c r="B907" i="485" s="1"/>
  <c r="B908" i="485" s="1"/>
  <c r="B909" i="485" s="1"/>
  <c r="B910" i="485" s="1"/>
  <c r="B911" i="485" s="1"/>
  <c r="B912" i="485" s="1"/>
  <c r="B913" i="485" s="1"/>
  <c r="B914" i="485" s="1"/>
  <c r="B915" i="485" s="1"/>
  <c r="B916" i="485" s="1"/>
  <c r="B917" i="485" s="1"/>
  <c r="B918" i="485" s="1"/>
  <c r="B919" i="485" s="1"/>
  <c r="B920" i="485" s="1"/>
  <c r="B921" i="485" s="1"/>
  <c r="B922" i="485" s="1"/>
  <c r="B923" i="485" s="1"/>
  <c r="B924" i="485" s="1"/>
  <c r="B925" i="485" s="1"/>
  <c r="B926" i="485" s="1"/>
  <c r="B927" i="485" s="1"/>
  <c r="B928" i="485" s="1"/>
  <c r="B929" i="485" s="1"/>
  <c r="B930" i="485" s="1"/>
  <c r="B931" i="485" s="1"/>
  <c r="B932" i="485" s="1"/>
  <c r="B933" i="485" s="1"/>
  <c r="B934" i="485" s="1"/>
  <c r="B935" i="485" s="1"/>
  <c r="B936" i="485" s="1"/>
  <c r="B937" i="485" s="1"/>
  <c r="B938" i="485" s="1"/>
  <c r="B939" i="485" s="1"/>
  <c r="B940" i="485" s="1"/>
  <c r="B941" i="485" s="1"/>
  <c r="B942" i="485" s="1"/>
  <c r="B943" i="485" s="1"/>
  <c r="B944" i="485" s="1"/>
  <c r="B945" i="485" s="1"/>
  <c r="B946" i="485" s="1"/>
  <c r="B947" i="485" s="1"/>
  <c r="B948" i="485" s="1"/>
  <c r="B949" i="485" s="1"/>
  <c r="B950" i="485" s="1"/>
  <c r="B951" i="485" s="1"/>
  <c r="B952" i="485" s="1"/>
  <c r="B953" i="485" s="1"/>
  <c r="B954" i="485" s="1"/>
  <c r="B955" i="485" s="1"/>
  <c r="B956" i="485" s="1"/>
  <c r="B957" i="485" s="1"/>
  <c r="B958" i="485" s="1"/>
  <c r="B959" i="485" s="1"/>
  <c r="B960" i="485" s="1"/>
  <c r="B961" i="485" s="1"/>
  <c r="B962" i="485" s="1"/>
  <c r="B963" i="485" s="1"/>
  <c r="B964" i="485" s="1"/>
  <c r="B965" i="485" s="1"/>
  <c r="B966" i="485" s="1"/>
  <c r="B967" i="485" s="1"/>
  <c r="B968" i="485" s="1"/>
  <c r="B969" i="485" s="1"/>
  <c r="B970" i="485" s="1"/>
  <c r="B971" i="485" s="1"/>
  <c r="B972" i="485" s="1"/>
  <c r="B973" i="485" s="1"/>
  <c r="B974" i="485" s="1"/>
  <c r="B975" i="485" s="1"/>
  <c r="B976" i="485" s="1"/>
  <c r="B977" i="485" s="1"/>
  <c r="B978" i="485" s="1"/>
  <c r="B979" i="485" s="1"/>
  <c r="B980" i="485" s="1"/>
  <c r="B981" i="485" s="1"/>
  <c r="B982" i="485" s="1"/>
  <c r="B983" i="485" s="1"/>
  <c r="B984" i="485" s="1"/>
  <c r="B985" i="485" s="1"/>
  <c r="B986" i="485" s="1"/>
  <c r="B987" i="485" s="1"/>
  <c r="B988" i="485" s="1"/>
  <c r="B989" i="485" s="1"/>
  <c r="B990" i="485" s="1"/>
  <c r="B991" i="485" s="1"/>
  <c r="B992" i="485" s="1"/>
  <c r="B993" i="485" s="1"/>
  <c r="B994" i="485" s="1"/>
  <c r="B995" i="485" s="1"/>
  <c r="B996" i="485" s="1"/>
  <c r="B997" i="485" s="1"/>
  <c r="B998" i="485" s="1"/>
  <c r="B999" i="485" s="1"/>
  <c r="B1000" i="485" s="1"/>
  <c r="B1001" i="485" s="1"/>
  <c r="B1002" i="485" s="1"/>
  <c r="B1003" i="485" s="1"/>
  <c r="B1004" i="485" s="1"/>
  <c r="B1005" i="485" s="1"/>
  <c r="B1006" i="485" s="1"/>
  <c r="B1007" i="485" s="1"/>
  <c r="B1008" i="485" s="1"/>
  <c r="B1009" i="485" s="1"/>
  <c r="B1010" i="485" s="1"/>
  <c r="B1011" i="485" s="1"/>
  <c r="B1012" i="485" s="1"/>
  <c r="B1013" i="485" s="1"/>
  <c r="B1014" i="485" s="1"/>
  <c r="B1015" i="485" s="1"/>
  <c r="B1016" i="485" s="1"/>
  <c r="B1017" i="485" s="1"/>
  <c r="B1018" i="485" s="1"/>
  <c r="B1019" i="485" s="1"/>
  <c r="B1020" i="485" s="1"/>
  <c r="B1021" i="485" s="1"/>
  <c r="B1022" i="485" s="1"/>
  <c r="B1023" i="485" s="1"/>
  <c r="B1024" i="485" s="1"/>
  <c r="B1025" i="485" s="1"/>
  <c r="B1026" i="485" s="1"/>
  <c r="B1027" i="485" s="1"/>
  <c r="B1028" i="485" s="1"/>
  <c r="B1029" i="485" s="1"/>
  <c r="B1030" i="485" s="1"/>
  <c r="B1031" i="485" s="1"/>
  <c r="B1032" i="485" s="1"/>
  <c r="B1033" i="485" s="1"/>
  <c r="B1034" i="485" s="1"/>
  <c r="B1035" i="485" s="1"/>
  <c r="B1036" i="485" s="1"/>
  <c r="B1037" i="485" s="1"/>
  <c r="B1038" i="485" s="1"/>
  <c r="B1039" i="485" s="1"/>
  <c r="B1040" i="485" s="1"/>
  <c r="B1041" i="485" s="1"/>
  <c r="B1042" i="485" s="1"/>
  <c r="B1043" i="485" s="1"/>
  <c r="B1044" i="485" s="1"/>
  <c r="B1045" i="485" s="1"/>
  <c r="B1046" i="485" s="1"/>
  <c r="B1047" i="485" s="1"/>
  <c r="B1048" i="485" s="1"/>
  <c r="B1049" i="485" s="1"/>
  <c r="B1050" i="485" s="1"/>
  <c r="B1051" i="485" s="1"/>
  <c r="B1052" i="485" s="1"/>
  <c r="B1053" i="485" s="1"/>
  <c r="B1054" i="485" s="1"/>
  <c r="B1055" i="485" s="1"/>
  <c r="B1056" i="485" s="1"/>
  <c r="B1057" i="485" s="1"/>
  <c r="B1058" i="485" s="1"/>
  <c r="B1059" i="485" s="1"/>
  <c r="B1060" i="485" s="1"/>
  <c r="B1061" i="485" s="1"/>
  <c r="B1062" i="485" s="1"/>
  <c r="B1063" i="485" s="1"/>
  <c r="B1064" i="485" s="1"/>
  <c r="B1065" i="485" s="1"/>
  <c r="B1066" i="485" s="1"/>
  <c r="B1067" i="485" s="1"/>
  <c r="B1068" i="485" s="1"/>
  <c r="B1069" i="485" s="1"/>
  <c r="B1070" i="485" s="1"/>
  <c r="B1071" i="485" s="1"/>
  <c r="B1072" i="485" s="1"/>
  <c r="B1073" i="485" s="1"/>
  <c r="B1074" i="485" s="1"/>
  <c r="B1075" i="485" s="1"/>
  <c r="B1076" i="485" s="1"/>
  <c r="B1077" i="485" s="1"/>
  <c r="B1078" i="485" s="1"/>
  <c r="B1079" i="485" s="1"/>
  <c r="B1080" i="485" s="1"/>
  <c r="B1081" i="485" s="1"/>
  <c r="B1082" i="485" s="1"/>
  <c r="B1083" i="485" s="1"/>
  <c r="B1084" i="485" s="1"/>
  <c r="B1085" i="485" s="1"/>
  <c r="B1086" i="485" s="1"/>
  <c r="B1087" i="485" s="1"/>
  <c r="B1088" i="485" s="1"/>
  <c r="B1089" i="485" s="1"/>
  <c r="I567" i="485"/>
  <c r="C567" i="485"/>
  <c r="C568" i="485" s="1"/>
  <c r="C569" i="485" s="1"/>
  <c r="C570" i="485" s="1"/>
  <c r="C571" i="485" s="1"/>
  <c r="C572" i="485" s="1"/>
  <c r="C573" i="485" s="1"/>
  <c r="C574" i="485" s="1"/>
  <c r="C575" i="485" s="1"/>
  <c r="C576" i="485" s="1"/>
  <c r="C577" i="485" s="1"/>
  <c r="C578" i="485" s="1"/>
  <c r="C579" i="485" s="1"/>
  <c r="C580" i="485" s="1"/>
  <c r="C581" i="485" s="1"/>
  <c r="C582" i="485" s="1"/>
  <c r="C583" i="485" s="1"/>
  <c r="C584" i="485" s="1"/>
  <c r="C585" i="485" s="1"/>
  <c r="C586" i="485" s="1"/>
  <c r="C587" i="485" s="1"/>
  <c r="C588" i="485" s="1"/>
  <c r="C589" i="485" s="1"/>
  <c r="C590" i="485" s="1"/>
  <c r="C591" i="485" s="1"/>
  <c r="C592" i="485" s="1"/>
  <c r="C593" i="485" s="1"/>
  <c r="C594" i="485" s="1"/>
  <c r="C595" i="485" s="1"/>
  <c r="C596" i="485" s="1"/>
  <c r="C597" i="485" s="1"/>
  <c r="C598" i="485" s="1"/>
  <c r="C599" i="485" s="1"/>
  <c r="C600" i="485" s="1"/>
  <c r="C601" i="485" s="1"/>
  <c r="C602" i="485" s="1"/>
  <c r="C603" i="485" s="1"/>
  <c r="C604" i="485" s="1"/>
  <c r="C605" i="485" s="1"/>
  <c r="C606" i="485" s="1"/>
  <c r="C607" i="485" s="1"/>
  <c r="C608" i="485" s="1"/>
  <c r="C609" i="485" s="1"/>
  <c r="C610" i="485" s="1"/>
  <c r="C611" i="485" s="1"/>
  <c r="C612" i="485" s="1"/>
  <c r="C613" i="485" s="1"/>
  <c r="C614" i="485" s="1"/>
  <c r="C615" i="485" s="1"/>
  <c r="C616" i="485" s="1"/>
  <c r="C617" i="485" s="1"/>
  <c r="C618" i="485" s="1"/>
  <c r="C619" i="485" s="1"/>
  <c r="C620" i="485" s="1"/>
  <c r="C621" i="485" s="1"/>
  <c r="C622" i="485" s="1"/>
  <c r="C623" i="485" s="1"/>
  <c r="C624" i="485" s="1"/>
  <c r="C625" i="485" s="1"/>
  <c r="C626" i="485" s="1"/>
  <c r="C627" i="485" s="1"/>
  <c r="C628" i="485" s="1"/>
  <c r="C629" i="485" s="1"/>
  <c r="C630" i="485" s="1"/>
  <c r="C631" i="485" s="1"/>
  <c r="C632" i="485" s="1"/>
  <c r="C633" i="485" s="1"/>
  <c r="C634" i="485" s="1"/>
  <c r="C635" i="485" s="1"/>
  <c r="C636" i="485" s="1"/>
  <c r="C637" i="485" s="1"/>
  <c r="C638" i="485" s="1"/>
  <c r="C639" i="485" s="1"/>
  <c r="C640" i="485" s="1"/>
  <c r="C641" i="485" s="1"/>
  <c r="C642" i="485" s="1"/>
  <c r="C643" i="485" s="1"/>
  <c r="C644" i="485" s="1"/>
  <c r="C645" i="485" s="1"/>
  <c r="C646" i="485" s="1"/>
  <c r="C647" i="485" s="1"/>
  <c r="C648" i="485" s="1"/>
  <c r="C649" i="485" s="1"/>
  <c r="C650" i="485" s="1"/>
  <c r="C651" i="485" s="1"/>
  <c r="C652" i="485" s="1"/>
  <c r="C653" i="485" s="1"/>
  <c r="C654" i="485" s="1"/>
  <c r="C655" i="485" s="1"/>
  <c r="C656" i="485" s="1"/>
  <c r="C657" i="485" s="1"/>
  <c r="C658" i="485" s="1"/>
  <c r="C659" i="485" s="1"/>
  <c r="C660" i="485" s="1"/>
  <c r="C661" i="485" s="1"/>
  <c r="C662" i="485" s="1"/>
  <c r="C663" i="485" s="1"/>
  <c r="C664" i="485" s="1"/>
  <c r="C665" i="485" s="1"/>
  <c r="C666" i="485" s="1"/>
  <c r="C667" i="485" s="1"/>
  <c r="C668" i="485" s="1"/>
  <c r="C669" i="485" s="1"/>
  <c r="C670" i="485" s="1"/>
  <c r="C671" i="485" s="1"/>
  <c r="C672" i="485" s="1"/>
  <c r="C673" i="485" s="1"/>
  <c r="C674" i="485" s="1"/>
  <c r="C675" i="485" s="1"/>
  <c r="C676" i="485" s="1"/>
  <c r="C677" i="485" s="1"/>
  <c r="C678" i="485" s="1"/>
  <c r="C679" i="485" s="1"/>
  <c r="C680" i="485" s="1"/>
  <c r="C681" i="485" s="1"/>
  <c r="C682" i="485" s="1"/>
  <c r="C683" i="485" s="1"/>
  <c r="C684" i="485" s="1"/>
  <c r="C685" i="485" s="1"/>
  <c r="C686" i="485" s="1"/>
  <c r="C687" i="485" s="1"/>
  <c r="C688" i="485" s="1"/>
  <c r="C689" i="485" s="1"/>
  <c r="C690" i="485" s="1"/>
  <c r="C691" i="485" s="1"/>
  <c r="C692" i="485" s="1"/>
  <c r="C693" i="485" s="1"/>
  <c r="C694" i="485" s="1"/>
  <c r="C695" i="485" s="1"/>
  <c r="C696" i="485" s="1"/>
  <c r="C697" i="485" s="1"/>
  <c r="C698" i="485" s="1"/>
  <c r="C699" i="485" s="1"/>
  <c r="C700" i="485" s="1"/>
  <c r="C701" i="485" s="1"/>
  <c r="C702" i="485" s="1"/>
  <c r="C703" i="485" s="1"/>
  <c r="C704" i="485" s="1"/>
  <c r="C705" i="485" s="1"/>
  <c r="C706" i="485" s="1"/>
  <c r="C707" i="485" s="1"/>
  <c r="C708" i="485" s="1"/>
  <c r="C709" i="485" s="1"/>
  <c r="C710" i="485" s="1"/>
  <c r="C711" i="485" s="1"/>
  <c r="C712" i="485" s="1"/>
  <c r="C713" i="485" s="1"/>
  <c r="C714" i="485" s="1"/>
  <c r="C715" i="485" s="1"/>
  <c r="C716" i="485" s="1"/>
  <c r="C717" i="485" s="1"/>
  <c r="C718" i="485" s="1"/>
  <c r="C719" i="485" s="1"/>
  <c r="C720" i="485" s="1"/>
  <c r="C721" i="485" s="1"/>
  <c r="C722" i="485" s="1"/>
  <c r="C723" i="485" s="1"/>
  <c r="C724" i="485" s="1"/>
  <c r="C725" i="485" s="1"/>
  <c r="C726" i="485" s="1"/>
  <c r="C727" i="485" s="1"/>
  <c r="C728" i="485" s="1"/>
  <c r="C729" i="485" s="1"/>
  <c r="C730" i="485" s="1"/>
  <c r="C731" i="485" s="1"/>
  <c r="C732" i="485" s="1"/>
  <c r="C733" i="485" s="1"/>
  <c r="C734" i="485" s="1"/>
  <c r="C735" i="485" s="1"/>
  <c r="C736" i="485" s="1"/>
  <c r="C737" i="485" s="1"/>
  <c r="C738" i="485" s="1"/>
  <c r="C739" i="485" s="1"/>
  <c r="C740" i="485" s="1"/>
  <c r="C741" i="485" s="1"/>
  <c r="C742" i="485" s="1"/>
  <c r="C743" i="485" s="1"/>
  <c r="C744" i="485" s="1"/>
  <c r="C745" i="485" s="1"/>
  <c r="C746" i="485" s="1"/>
  <c r="C747" i="485" s="1"/>
  <c r="C748" i="485" s="1"/>
  <c r="C749" i="485" s="1"/>
  <c r="C750" i="485" s="1"/>
  <c r="C751" i="485" s="1"/>
  <c r="C752" i="485" s="1"/>
  <c r="C753" i="485" s="1"/>
  <c r="C754" i="485" s="1"/>
  <c r="C755" i="485" s="1"/>
  <c r="C756" i="485" s="1"/>
  <c r="C757" i="485" s="1"/>
  <c r="C758" i="485" s="1"/>
  <c r="C759" i="485" s="1"/>
  <c r="C760" i="485" s="1"/>
  <c r="C761" i="485" s="1"/>
  <c r="C762" i="485" s="1"/>
  <c r="C763" i="485" s="1"/>
  <c r="C764" i="485" s="1"/>
  <c r="C765" i="485" s="1"/>
  <c r="C766" i="485" s="1"/>
  <c r="C767" i="485" s="1"/>
  <c r="C768" i="485" s="1"/>
  <c r="C769" i="485" s="1"/>
  <c r="C770" i="485" s="1"/>
  <c r="C771" i="485" s="1"/>
  <c r="C772" i="485" s="1"/>
  <c r="C773" i="485" s="1"/>
  <c r="C774" i="485" s="1"/>
  <c r="C775" i="485" s="1"/>
  <c r="C776" i="485" s="1"/>
  <c r="C777" i="485" s="1"/>
  <c r="C778" i="485" s="1"/>
  <c r="C779" i="485" s="1"/>
  <c r="C780" i="485" s="1"/>
  <c r="C781" i="485" s="1"/>
  <c r="C782" i="485" s="1"/>
  <c r="C783" i="485" s="1"/>
  <c r="C784" i="485" s="1"/>
  <c r="C785" i="485" s="1"/>
  <c r="C786" i="485" s="1"/>
  <c r="C787" i="485" s="1"/>
  <c r="C788" i="485" s="1"/>
  <c r="C789" i="485" s="1"/>
  <c r="C790" i="485" s="1"/>
  <c r="C791" i="485" s="1"/>
  <c r="C792" i="485" s="1"/>
  <c r="C793" i="485" s="1"/>
  <c r="C794" i="485" s="1"/>
  <c r="C795" i="485" s="1"/>
  <c r="C796" i="485" s="1"/>
  <c r="C797" i="485" s="1"/>
  <c r="C798" i="485" s="1"/>
  <c r="C799" i="485" s="1"/>
  <c r="C800" i="485" s="1"/>
  <c r="C801" i="485" s="1"/>
  <c r="C802" i="485" s="1"/>
  <c r="C803" i="485" s="1"/>
  <c r="C804" i="485" s="1"/>
  <c r="C805" i="485" s="1"/>
  <c r="C806" i="485" s="1"/>
  <c r="C807" i="485" s="1"/>
  <c r="C808" i="485" s="1"/>
  <c r="C809" i="485" s="1"/>
  <c r="C810" i="485" s="1"/>
  <c r="C811" i="485" s="1"/>
  <c r="C812" i="485" s="1"/>
  <c r="C813" i="485" s="1"/>
  <c r="C814" i="485" s="1"/>
  <c r="C815" i="485" s="1"/>
  <c r="C816" i="485" s="1"/>
  <c r="C817" i="485" s="1"/>
  <c r="C818" i="485" s="1"/>
  <c r="C819" i="485" s="1"/>
  <c r="C820" i="485" s="1"/>
  <c r="C821" i="485" s="1"/>
  <c r="C822" i="485" s="1"/>
  <c r="C823" i="485" s="1"/>
  <c r="C824" i="485" s="1"/>
  <c r="C825" i="485" s="1"/>
  <c r="C826" i="485" s="1"/>
  <c r="C827" i="485" s="1"/>
  <c r="C828" i="485" s="1"/>
  <c r="C829" i="485" s="1"/>
  <c r="C830" i="485" s="1"/>
  <c r="C831" i="485" s="1"/>
  <c r="C832" i="485" s="1"/>
  <c r="C833" i="485" s="1"/>
  <c r="C834" i="485" s="1"/>
  <c r="C835" i="485" s="1"/>
  <c r="C836" i="485" s="1"/>
  <c r="C837" i="485" s="1"/>
  <c r="C838" i="485" s="1"/>
  <c r="C839" i="485" s="1"/>
  <c r="C840" i="485" s="1"/>
  <c r="C841" i="485" s="1"/>
  <c r="C842" i="485" s="1"/>
  <c r="C843" i="485" s="1"/>
  <c r="C844" i="485" s="1"/>
  <c r="C845" i="485" s="1"/>
  <c r="C846" i="485" s="1"/>
  <c r="C847" i="485" s="1"/>
  <c r="C848" i="485" s="1"/>
  <c r="C849" i="485" s="1"/>
  <c r="C850" i="485" s="1"/>
  <c r="C851" i="485" s="1"/>
  <c r="C852" i="485" s="1"/>
  <c r="C853" i="485" s="1"/>
  <c r="C854" i="485" s="1"/>
  <c r="C855" i="485" s="1"/>
  <c r="C856" i="485" s="1"/>
  <c r="C857" i="485" s="1"/>
  <c r="C858" i="485" s="1"/>
  <c r="C859" i="485" s="1"/>
  <c r="C860" i="485" s="1"/>
  <c r="C861" i="485" s="1"/>
  <c r="C862" i="485" s="1"/>
  <c r="C863" i="485" s="1"/>
  <c r="C864" i="485" s="1"/>
  <c r="C865" i="485" s="1"/>
  <c r="C866" i="485" s="1"/>
  <c r="C867" i="485" s="1"/>
  <c r="C868" i="485" s="1"/>
  <c r="C869" i="485" s="1"/>
  <c r="C870" i="485" s="1"/>
  <c r="C871" i="485" s="1"/>
  <c r="C872" i="485" s="1"/>
  <c r="C873" i="485" s="1"/>
  <c r="C874" i="485" s="1"/>
  <c r="C875" i="485" s="1"/>
  <c r="C876" i="485" s="1"/>
  <c r="C877" i="485" s="1"/>
  <c r="C878" i="485" s="1"/>
  <c r="C879" i="485" s="1"/>
  <c r="C880" i="485" s="1"/>
  <c r="C881" i="485" s="1"/>
  <c r="C882" i="485" s="1"/>
  <c r="C883" i="485" s="1"/>
  <c r="C884" i="485" s="1"/>
  <c r="C885" i="485" s="1"/>
  <c r="C886" i="485" s="1"/>
  <c r="C887" i="485" s="1"/>
  <c r="C888" i="485" s="1"/>
  <c r="C889" i="485" s="1"/>
  <c r="C890" i="485" s="1"/>
  <c r="C891" i="485" s="1"/>
  <c r="C892" i="485" s="1"/>
  <c r="C893" i="485" s="1"/>
  <c r="C894" i="485" s="1"/>
  <c r="C895" i="485" s="1"/>
  <c r="C896" i="485" s="1"/>
  <c r="C897" i="485" s="1"/>
  <c r="C898" i="485" s="1"/>
  <c r="C899" i="485" s="1"/>
  <c r="C900" i="485" s="1"/>
  <c r="C901" i="485" s="1"/>
  <c r="C902" i="485" s="1"/>
  <c r="C903" i="485" s="1"/>
  <c r="C904" i="485" s="1"/>
  <c r="C905" i="485" s="1"/>
  <c r="C906" i="485" s="1"/>
  <c r="C907" i="485" s="1"/>
  <c r="C908" i="485" s="1"/>
  <c r="C909" i="485" s="1"/>
  <c r="C910" i="485" s="1"/>
  <c r="C911" i="485" s="1"/>
  <c r="C912" i="485" s="1"/>
  <c r="C913" i="485" s="1"/>
  <c r="C914" i="485" s="1"/>
  <c r="C915" i="485" s="1"/>
  <c r="C916" i="485" s="1"/>
  <c r="C917" i="485" s="1"/>
  <c r="C918" i="485" s="1"/>
  <c r="C919" i="485" s="1"/>
  <c r="C920" i="485" s="1"/>
  <c r="C921" i="485" s="1"/>
  <c r="C922" i="485" s="1"/>
  <c r="C923" i="485" s="1"/>
  <c r="C924" i="485" s="1"/>
  <c r="C925" i="485" s="1"/>
  <c r="C926" i="485" s="1"/>
  <c r="C927" i="485" s="1"/>
  <c r="C928" i="485" s="1"/>
  <c r="C929" i="485" s="1"/>
  <c r="C930" i="485" s="1"/>
  <c r="C931" i="485" s="1"/>
  <c r="C932" i="485" s="1"/>
  <c r="C933" i="485" s="1"/>
  <c r="C934" i="485" s="1"/>
  <c r="C935" i="485" s="1"/>
  <c r="C936" i="485" s="1"/>
  <c r="C937" i="485" s="1"/>
  <c r="C938" i="485" s="1"/>
  <c r="C939" i="485" s="1"/>
  <c r="C940" i="485" s="1"/>
  <c r="C941" i="485" s="1"/>
  <c r="C942" i="485" s="1"/>
  <c r="C943" i="485" s="1"/>
  <c r="C944" i="485" s="1"/>
  <c r="C945" i="485" s="1"/>
  <c r="C946" i="485" s="1"/>
  <c r="C947" i="485" s="1"/>
  <c r="C948" i="485" s="1"/>
  <c r="C949" i="485" s="1"/>
  <c r="C950" i="485" s="1"/>
  <c r="C951" i="485" s="1"/>
  <c r="C952" i="485" s="1"/>
  <c r="C953" i="485" s="1"/>
  <c r="C954" i="485" s="1"/>
  <c r="C955" i="485" s="1"/>
  <c r="C956" i="485" s="1"/>
  <c r="C957" i="485" s="1"/>
  <c r="C958" i="485" s="1"/>
  <c r="C959" i="485" s="1"/>
  <c r="C960" i="485" s="1"/>
  <c r="C961" i="485" s="1"/>
  <c r="C962" i="485" s="1"/>
  <c r="C963" i="485" s="1"/>
  <c r="C964" i="485" s="1"/>
  <c r="C965" i="485" s="1"/>
  <c r="C966" i="485" s="1"/>
  <c r="C967" i="485" s="1"/>
  <c r="C968" i="485" s="1"/>
  <c r="C969" i="485" s="1"/>
  <c r="C970" i="485" s="1"/>
  <c r="C971" i="485" s="1"/>
  <c r="C972" i="485" s="1"/>
  <c r="C973" i="485" s="1"/>
  <c r="C974" i="485" s="1"/>
  <c r="C975" i="485" s="1"/>
  <c r="C976" i="485" s="1"/>
  <c r="C977" i="485" s="1"/>
  <c r="C978" i="485" s="1"/>
  <c r="C979" i="485" s="1"/>
  <c r="C980" i="485" s="1"/>
  <c r="C981" i="485" s="1"/>
  <c r="C982" i="485" s="1"/>
  <c r="C983" i="485" s="1"/>
  <c r="C984" i="485" s="1"/>
  <c r="C985" i="485" s="1"/>
  <c r="C986" i="485" s="1"/>
  <c r="C987" i="485" s="1"/>
  <c r="C988" i="485" s="1"/>
  <c r="C989" i="485" s="1"/>
  <c r="C990" i="485" s="1"/>
  <c r="C991" i="485" s="1"/>
  <c r="C992" i="485" s="1"/>
  <c r="C993" i="485" s="1"/>
  <c r="C994" i="485" s="1"/>
  <c r="C995" i="485" s="1"/>
  <c r="C996" i="485" s="1"/>
  <c r="C997" i="485" s="1"/>
  <c r="C998" i="485" s="1"/>
  <c r="C999" i="485" s="1"/>
  <c r="C1000" i="485" s="1"/>
  <c r="C1001" i="485" s="1"/>
  <c r="C1002" i="485" s="1"/>
  <c r="C1003" i="485" s="1"/>
  <c r="C1004" i="485" s="1"/>
  <c r="C1005" i="485" s="1"/>
  <c r="C1006" i="485" s="1"/>
  <c r="C1007" i="485" s="1"/>
  <c r="C1008" i="485" s="1"/>
  <c r="C1009" i="485" s="1"/>
  <c r="C1010" i="485" s="1"/>
  <c r="C1011" i="485" s="1"/>
  <c r="C1012" i="485" s="1"/>
  <c r="C1013" i="485" s="1"/>
  <c r="C1014" i="485" s="1"/>
  <c r="C1015" i="485" s="1"/>
  <c r="C1016" i="485" s="1"/>
  <c r="C1017" i="485" s="1"/>
  <c r="C1018" i="485" s="1"/>
  <c r="C1019" i="485" s="1"/>
  <c r="C1020" i="485" s="1"/>
  <c r="C1021" i="485" s="1"/>
  <c r="C1022" i="485" s="1"/>
  <c r="C1023" i="485" s="1"/>
  <c r="C1024" i="485" s="1"/>
  <c r="C1025" i="485" s="1"/>
  <c r="C1026" i="485" s="1"/>
  <c r="C1027" i="485" s="1"/>
  <c r="C1028" i="485" s="1"/>
  <c r="C1029" i="485" s="1"/>
  <c r="C1030" i="485" s="1"/>
  <c r="C1031" i="485" s="1"/>
  <c r="C1032" i="485" s="1"/>
  <c r="C1033" i="485" s="1"/>
  <c r="C1034" i="485" s="1"/>
  <c r="C1035" i="485" s="1"/>
  <c r="C1036" i="485" s="1"/>
  <c r="C1037" i="485" s="1"/>
  <c r="C1038" i="485" s="1"/>
  <c r="C1039" i="485" s="1"/>
  <c r="C1040" i="485" s="1"/>
  <c r="C1041" i="485" s="1"/>
  <c r="C1042" i="485" s="1"/>
  <c r="C1043" i="485" s="1"/>
  <c r="C1044" i="485" s="1"/>
  <c r="C1045" i="485" s="1"/>
  <c r="C1046" i="485" s="1"/>
  <c r="C1047" i="485" s="1"/>
  <c r="C1048" i="485" s="1"/>
  <c r="C1049" i="485" s="1"/>
  <c r="C1050" i="485" s="1"/>
  <c r="C1051" i="485" s="1"/>
  <c r="C1052" i="485" s="1"/>
  <c r="C1053" i="485" s="1"/>
  <c r="C1054" i="485" s="1"/>
  <c r="C1055" i="485" s="1"/>
  <c r="C1056" i="485" s="1"/>
  <c r="C1057" i="485" s="1"/>
  <c r="C1058" i="485" s="1"/>
  <c r="C1059" i="485" s="1"/>
  <c r="C1060" i="485" s="1"/>
  <c r="C1061" i="485" s="1"/>
  <c r="C1062" i="485" s="1"/>
  <c r="C1063" i="485" s="1"/>
  <c r="C1064" i="485" s="1"/>
  <c r="C1065" i="485" s="1"/>
  <c r="C1066" i="485" s="1"/>
  <c r="C1067" i="485" s="1"/>
  <c r="C1068" i="485" s="1"/>
  <c r="C1069" i="485" s="1"/>
  <c r="C1070" i="485" s="1"/>
  <c r="C1071" i="485" s="1"/>
  <c r="C1072" i="485" s="1"/>
  <c r="C1073" i="485" s="1"/>
  <c r="C1074" i="485" s="1"/>
  <c r="C1075" i="485" s="1"/>
  <c r="C1076" i="485" s="1"/>
  <c r="C1077" i="485" s="1"/>
  <c r="C1078" i="485" s="1"/>
  <c r="C1079" i="485" s="1"/>
  <c r="C1080" i="485" s="1"/>
  <c r="C1081" i="485" s="1"/>
  <c r="C1082" i="485" s="1"/>
  <c r="C1083" i="485" s="1"/>
  <c r="C1084" i="485" s="1"/>
  <c r="C1085" i="485" s="1"/>
  <c r="C1086" i="485" s="1"/>
  <c r="C1087" i="485" s="1"/>
  <c r="C1088" i="485" s="1"/>
  <c r="C1089" i="485" s="1"/>
  <c r="C1090" i="485" s="1"/>
  <c r="C1091" i="485" s="1"/>
  <c r="C1092" i="485" s="1"/>
  <c r="C1093" i="485" s="1"/>
  <c r="C1094" i="485" s="1"/>
  <c r="C1095" i="485" s="1"/>
  <c r="C1096" i="485" s="1"/>
  <c r="C1097" i="485" s="1"/>
  <c r="C1098" i="485" s="1"/>
  <c r="C1099" i="485" s="1"/>
  <c r="C1100" i="485" s="1"/>
  <c r="C1101" i="485" s="1"/>
  <c r="C1102" i="485" s="1"/>
  <c r="C1103" i="485" s="1"/>
  <c r="C1104" i="485" s="1"/>
  <c r="C1105" i="485" s="1"/>
  <c r="C1106" i="485" s="1"/>
  <c r="C1107" i="485" s="1"/>
  <c r="C1108" i="485" s="1"/>
  <c r="C1109" i="485" s="1"/>
  <c r="C1110" i="485" s="1"/>
  <c r="C1111" i="485" s="1"/>
  <c r="C1112" i="485" s="1"/>
  <c r="C1113" i="485" s="1"/>
  <c r="C1114" i="485" s="1"/>
  <c r="C1115" i="485" s="1"/>
  <c r="C1116" i="485" s="1"/>
  <c r="C1117" i="485" s="1"/>
  <c r="C1118" i="485" s="1"/>
  <c r="C1119" i="485" s="1"/>
  <c r="C1120" i="485" s="1"/>
  <c r="C1121" i="485" s="1"/>
  <c r="C1122" i="485" s="1"/>
  <c r="C1123" i="485" s="1"/>
  <c r="C1124" i="485" s="1"/>
  <c r="C1125" i="485" s="1"/>
  <c r="C1126" i="485" s="1"/>
  <c r="C1127" i="485" s="1"/>
  <c r="C1128" i="485" s="1"/>
  <c r="C1129" i="485" s="1"/>
  <c r="C1130" i="485" s="1"/>
  <c r="C1131" i="485" s="1"/>
  <c r="C1132" i="485" s="1"/>
  <c r="C1133" i="485" s="1"/>
  <c r="C1134" i="485" s="1"/>
  <c r="C1135" i="485" s="1"/>
  <c r="C1136" i="485" s="1"/>
  <c r="C1137" i="485" s="1"/>
  <c r="C1138" i="485" s="1"/>
  <c r="C1139" i="485" s="1"/>
  <c r="C1140" i="485" s="1"/>
  <c r="C1141" i="485" s="1"/>
  <c r="C1142" i="485" s="1"/>
  <c r="C1143" i="485" s="1"/>
  <c r="C1144" i="485" s="1"/>
  <c r="C1145" i="485" s="1"/>
  <c r="C1146" i="485" s="1"/>
  <c r="C1147" i="485" s="1"/>
  <c r="C1148" i="485" s="1"/>
  <c r="C1149" i="485" s="1"/>
  <c r="C1150" i="485" s="1"/>
  <c r="C1151" i="485" s="1"/>
  <c r="C1152" i="485" s="1"/>
  <c r="C1153" i="485" s="1"/>
  <c r="C1154" i="485" s="1"/>
  <c r="C1155" i="485" s="1"/>
  <c r="C1156" i="485" s="1"/>
  <c r="C1157" i="485" s="1"/>
  <c r="C1158" i="485" s="1"/>
  <c r="C1159" i="485" s="1"/>
  <c r="C1160" i="485" s="1"/>
  <c r="C1161" i="485" s="1"/>
  <c r="C1162" i="485" s="1"/>
  <c r="C1163" i="485" s="1"/>
  <c r="C1164" i="485" s="1"/>
  <c r="C1165" i="485" s="1"/>
  <c r="I566" i="485"/>
  <c r="C566" i="485"/>
  <c r="B566" i="485"/>
  <c r="B567" i="485" s="1"/>
  <c r="I565" i="485"/>
  <c r="I564" i="485"/>
  <c r="I563" i="485"/>
  <c r="I562" i="485"/>
  <c r="I561" i="485"/>
  <c r="I560" i="485"/>
  <c r="I559" i="485"/>
  <c r="I558" i="485"/>
  <c r="I557" i="485"/>
  <c r="I556" i="485"/>
  <c r="I555" i="485"/>
  <c r="I554" i="485"/>
  <c r="I553" i="485"/>
  <c r="I552" i="485"/>
  <c r="I551" i="485"/>
  <c r="I550" i="485"/>
  <c r="I549" i="485"/>
  <c r="I548" i="485"/>
  <c r="I547" i="485"/>
  <c r="I546" i="485"/>
  <c r="I545" i="485"/>
  <c r="I544" i="485"/>
  <c r="I543" i="485"/>
  <c r="I542" i="485"/>
  <c r="I541" i="485"/>
  <c r="I540" i="485"/>
  <c r="I539" i="485"/>
  <c r="I538" i="485"/>
  <c r="I537" i="485"/>
  <c r="I536" i="485"/>
  <c r="I535" i="485"/>
  <c r="I534" i="485"/>
  <c r="I533" i="485"/>
  <c r="I532" i="485"/>
  <c r="I531" i="485"/>
  <c r="I530" i="485"/>
  <c r="I529" i="485"/>
  <c r="I528" i="485"/>
  <c r="I527" i="485"/>
  <c r="I526" i="485"/>
  <c r="I525" i="485"/>
  <c r="I524" i="485"/>
  <c r="I523" i="485"/>
  <c r="I522" i="485"/>
  <c r="I521" i="485"/>
  <c r="I520" i="485"/>
  <c r="I519" i="485"/>
  <c r="I518" i="485"/>
  <c r="I517" i="485"/>
  <c r="I516" i="485"/>
  <c r="I515" i="485"/>
  <c r="I514" i="485"/>
  <c r="I513" i="485"/>
  <c r="I512" i="485"/>
  <c r="I511" i="485"/>
  <c r="I510" i="485"/>
  <c r="I509" i="485"/>
  <c r="I508" i="485"/>
  <c r="I507" i="485"/>
  <c r="I506" i="485"/>
  <c r="I505" i="485"/>
  <c r="I504" i="485"/>
  <c r="I503" i="485"/>
  <c r="I502" i="485"/>
  <c r="I501" i="485"/>
  <c r="I500" i="485"/>
  <c r="I499" i="485"/>
  <c r="I498" i="485"/>
  <c r="I497" i="485"/>
  <c r="I496" i="485"/>
  <c r="I495" i="485"/>
  <c r="I494" i="485"/>
  <c r="I493" i="485"/>
  <c r="I492" i="485"/>
  <c r="I491" i="485"/>
  <c r="I490" i="485"/>
  <c r="I489" i="485"/>
  <c r="I488" i="485"/>
  <c r="I487" i="485"/>
  <c r="I486" i="485"/>
  <c r="I485" i="485"/>
  <c r="I484" i="485"/>
  <c r="I483" i="485"/>
  <c r="I482" i="485"/>
  <c r="I481" i="485"/>
  <c r="I480" i="485"/>
  <c r="I479" i="485"/>
  <c r="I478" i="485"/>
  <c r="I477" i="485"/>
  <c r="I476" i="485"/>
  <c r="I475" i="485"/>
  <c r="I474" i="485"/>
  <c r="I473" i="485"/>
  <c r="I472" i="485"/>
  <c r="I471" i="485"/>
  <c r="I470" i="485"/>
  <c r="I469" i="485"/>
  <c r="I468" i="485"/>
  <c r="I467" i="485"/>
  <c r="I466" i="485"/>
  <c r="I465" i="485"/>
  <c r="I464" i="485"/>
  <c r="I463" i="485"/>
  <c r="I462" i="485"/>
  <c r="I461" i="485"/>
  <c r="I460" i="485"/>
  <c r="I459" i="485"/>
  <c r="I458" i="485"/>
  <c r="I457" i="485"/>
  <c r="I456" i="485"/>
  <c r="I455" i="485"/>
  <c r="I454" i="485"/>
  <c r="I453" i="485"/>
  <c r="I452" i="485"/>
  <c r="I451" i="485"/>
  <c r="I450" i="485"/>
  <c r="I449" i="485"/>
  <c r="I448" i="485"/>
  <c r="I447" i="485"/>
  <c r="I446" i="485"/>
  <c r="I445" i="485"/>
  <c r="I444" i="485"/>
  <c r="I443" i="485"/>
  <c r="I442" i="485"/>
  <c r="I441" i="485"/>
  <c r="I440" i="485"/>
  <c r="I439" i="485"/>
  <c r="I438" i="485"/>
  <c r="I437" i="485"/>
  <c r="I436" i="485"/>
  <c r="I435" i="485"/>
  <c r="I434" i="485"/>
  <c r="I433" i="485"/>
  <c r="I432" i="485"/>
  <c r="I431" i="485"/>
  <c r="I430" i="485"/>
  <c r="I429" i="485"/>
  <c r="I428" i="485"/>
  <c r="I427" i="485"/>
  <c r="I426" i="485"/>
  <c r="I425" i="485"/>
  <c r="I424" i="485"/>
  <c r="I423" i="485"/>
  <c r="I422" i="485"/>
  <c r="I421" i="485"/>
  <c r="I420" i="485"/>
  <c r="I419" i="485"/>
  <c r="I418" i="485"/>
  <c r="I417" i="485"/>
  <c r="I416" i="485"/>
  <c r="I415" i="485"/>
  <c r="I414" i="485"/>
  <c r="I413" i="485"/>
  <c r="I412" i="485"/>
  <c r="I411" i="485"/>
  <c r="I410" i="485"/>
  <c r="I409" i="485"/>
  <c r="I408" i="485"/>
  <c r="I407" i="485"/>
  <c r="I406" i="485"/>
  <c r="I405" i="485"/>
  <c r="I404" i="485"/>
  <c r="I403" i="485"/>
  <c r="I402" i="485"/>
  <c r="I401" i="485"/>
  <c r="I400" i="485"/>
  <c r="I399" i="485"/>
  <c r="I398" i="485"/>
  <c r="I397" i="485"/>
  <c r="I396" i="485"/>
  <c r="I395" i="485"/>
  <c r="I394" i="485"/>
  <c r="I393" i="485"/>
  <c r="I392" i="485"/>
  <c r="I391" i="485"/>
  <c r="I390" i="485"/>
  <c r="I389" i="485"/>
  <c r="I388" i="485"/>
  <c r="I387" i="485"/>
  <c r="I386" i="485"/>
  <c r="I385" i="485"/>
  <c r="I384" i="485"/>
  <c r="I383" i="485"/>
  <c r="I382" i="485"/>
  <c r="I381" i="485"/>
  <c r="I380" i="485"/>
  <c r="I379" i="485"/>
  <c r="I378" i="485"/>
  <c r="I377" i="485"/>
  <c r="I376" i="485"/>
  <c r="I375" i="485"/>
  <c r="I374" i="485"/>
  <c r="I373" i="485"/>
  <c r="I372" i="485"/>
  <c r="I371" i="485"/>
  <c r="I370" i="485"/>
  <c r="I369" i="485"/>
  <c r="I368" i="485"/>
  <c r="I367" i="485"/>
  <c r="I366" i="485"/>
  <c r="I365" i="485"/>
  <c r="I364" i="485"/>
  <c r="I363" i="485"/>
  <c r="I362" i="485"/>
  <c r="I361" i="485"/>
  <c r="I360" i="485"/>
  <c r="I359" i="485"/>
  <c r="I358" i="485"/>
  <c r="I357" i="485"/>
  <c r="I356" i="485"/>
  <c r="I355" i="485"/>
  <c r="I354" i="485"/>
  <c r="I353" i="485"/>
  <c r="I352" i="485"/>
  <c r="I351" i="485"/>
  <c r="I350" i="485"/>
  <c r="I349" i="485"/>
  <c r="I348" i="485"/>
  <c r="I347" i="485"/>
  <c r="I346" i="485"/>
  <c r="I345" i="485"/>
  <c r="I344" i="485"/>
  <c r="I343" i="485"/>
  <c r="I342" i="485"/>
  <c r="I341" i="485"/>
  <c r="I340" i="485"/>
  <c r="I339" i="485"/>
  <c r="I338" i="485"/>
  <c r="I337" i="485"/>
  <c r="I336" i="485"/>
  <c r="I335" i="485"/>
  <c r="I334" i="485"/>
  <c r="I333" i="485"/>
  <c r="I332" i="485"/>
  <c r="I331" i="485"/>
  <c r="I330" i="485"/>
  <c r="I329" i="485"/>
  <c r="I328" i="485"/>
  <c r="I327" i="485"/>
  <c r="I326" i="485"/>
  <c r="I325" i="485"/>
  <c r="I324" i="485"/>
  <c r="I323" i="485"/>
  <c r="I322" i="485"/>
  <c r="I321" i="485"/>
  <c r="I320" i="485"/>
  <c r="I319" i="485"/>
  <c r="I318" i="485"/>
  <c r="I317" i="485"/>
  <c r="I316" i="485"/>
  <c r="I315" i="485"/>
  <c r="I314" i="485"/>
  <c r="I313" i="485"/>
  <c r="I312" i="485"/>
  <c r="I311" i="485"/>
  <c r="I310" i="485"/>
  <c r="I309" i="485"/>
  <c r="I308" i="485"/>
  <c r="I307" i="485"/>
  <c r="I306" i="485"/>
  <c r="I305" i="485"/>
  <c r="I304" i="485"/>
  <c r="I303" i="485"/>
  <c r="I302" i="485"/>
  <c r="I301" i="485"/>
  <c r="I300" i="485"/>
  <c r="I299" i="485"/>
  <c r="I298" i="485"/>
  <c r="I297" i="485"/>
  <c r="I296" i="485"/>
  <c r="I295" i="485"/>
  <c r="I294" i="485"/>
  <c r="I293" i="485"/>
  <c r="I292" i="485"/>
  <c r="I291" i="485"/>
  <c r="I290" i="485"/>
  <c r="I289" i="485"/>
  <c r="I288" i="485"/>
  <c r="I287" i="485"/>
  <c r="I286" i="485"/>
  <c r="I285" i="485"/>
  <c r="I284" i="485"/>
  <c r="I283" i="485"/>
  <c r="I282" i="485"/>
  <c r="I281" i="485"/>
  <c r="I280" i="485"/>
  <c r="I279" i="485"/>
  <c r="I278" i="485"/>
  <c r="I277" i="485"/>
  <c r="I276" i="485"/>
  <c r="I275" i="485"/>
  <c r="I274" i="485"/>
  <c r="I273" i="485"/>
  <c r="I272" i="485"/>
  <c r="I271" i="485"/>
  <c r="I270" i="485"/>
  <c r="I269" i="485"/>
  <c r="I268" i="485"/>
  <c r="I267" i="485"/>
  <c r="I266" i="485"/>
  <c r="I265" i="485"/>
  <c r="I264" i="485"/>
  <c r="I263" i="485"/>
  <c r="I262" i="485"/>
  <c r="I261" i="485"/>
  <c r="I260" i="485"/>
  <c r="I259" i="485"/>
  <c r="I258" i="485"/>
  <c r="I257" i="485"/>
  <c r="I256" i="485"/>
  <c r="I255" i="485"/>
  <c r="I254" i="485"/>
  <c r="I253" i="485"/>
  <c r="I252" i="485"/>
  <c r="I251" i="485"/>
  <c r="I250" i="485"/>
  <c r="I249" i="485"/>
  <c r="I248" i="485"/>
  <c r="I247" i="485"/>
  <c r="I246" i="485"/>
  <c r="I245" i="485"/>
  <c r="I244" i="485"/>
  <c r="I243" i="485"/>
  <c r="I242" i="485"/>
  <c r="I241" i="485"/>
  <c r="I240" i="485"/>
  <c r="I239" i="485"/>
  <c r="I238" i="485"/>
  <c r="I237" i="485"/>
  <c r="I236" i="485"/>
  <c r="I235" i="485"/>
  <c r="I234" i="485"/>
  <c r="I233" i="485"/>
  <c r="I232" i="485"/>
  <c r="I231" i="485"/>
  <c r="I230" i="485"/>
  <c r="I229" i="485"/>
  <c r="I228" i="485"/>
  <c r="I227" i="485"/>
  <c r="I226" i="485"/>
  <c r="I225" i="485"/>
  <c r="I224" i="485"/>
  <c r="I223" i="485"/>
  <c r="I222" i="485"/>
  <c r="I221" i="485"/>
  <c r="I220" i="485"/>
  <c r="I219" i="485"/>
  <c r="I218" i="485"/>
  <c r="I217" i="485"/>
  <c r="I216" i="485"/>
  <c r="I215" i="485"/>
  <c r="I214" i="485"/>
  <c r="I213" i="485"/>
  <c r="I212" i="485"/>
  <c r="I211" i="485"/>
  <c r="I210" i="485"/>
  <c r="I209" i="485"/>
  <c r="I208" i="485"/>
  <c r="I207" i="485"/>
  <c r="I206" i="485"/>
  <c r="I205" i="485"/>
  <c r="I204" i="485"/>
  <c r="I203" i="485"/>
  <c r="I202" i="485"/>
  <c r="I201" i="485"/>
  <c r="I200" i="485"/>
  <c r="I199" i="485"/>
  <c r="I198" i="485"/>
  <c r="I197" i="485"/>
  <c r="I196" i="485"/>
  <c r="I195" i="485"/>
  <c r="I194" i="485"/>
  <c r="I193" i="485"/>
  <c r="I192" i="485"/>
  <c r="I191" i="485"/>
  <c r="I190" i="485"/>
  <c r="I189" i="485"/>
  <c r="I188" i="485"/>
  <c r="I187" i="485"/>
  <c r="I186" i="485"/>
  <c r="I185" i="485"/>
  <c r="I184" i="485"/>
  <c r="I183" i="485"/>
  <c r="I182" i="485"/>
  <c r="I181" i="485"/>
  <c r="I180" i="485"/>
  <c r="I179" i="485"/>
  <c r="I178" i="485"/>
  <c r="I177" i="485"/>
  <c r="I176" i="485"/>
  <c r="I175" i="485"/>
  <c r="I174" i="485"/>
  <c r="I173" i="485"/>
  <c r="I172" i="485"/>
  <c r="I171" i="485"/>
  <c r="I170" i="485"/>
  <c r="I169" i="485"/>
  <c r="I168" i="485"/>
  <c r="I167" i="485"/>
  <c r="I166" i="485"/>
  <c r="I165" i="485"/>
  <c r="I164" i="485"/>
  <c r="I163" i="485"/>
  <c r="I162" i="485"/>
  <c r="I161" i="485"/>
  <c r="I160" i="485"/>
  <c r="I159" i="485"/>
  <c r="I158" i="485"/>
  <c r="I157" i="485"/>
  <c r="I156" i="485"/>
  <c r="I155" i="485"/>
  <c r="I154" i="485"/>
  <c r="I153" i="485"/>
  <c r="I152" i="485"/>
  <c r="I151" i="485"/>
  <c r="I150" i="485"/>
  <c r="I149" i="485"/>
  <c r="I148" i="485"/>
  <c r="I147" i="485"/>
  <c r="I146" i="485"/>
  <c r="I145" i="485"/>
  <c r="I144" i="485"/>
  <c r="I143" i="485"/>
  <c r="I142" i="485"/>
  <c r="I141" i="485"/>
  <c r="I140" i="485"/>
  <c r="I139" i="485"/>
  <c r="I138" i="485"/>
  <c r="I137" i="485"/>
  <c r="I136" i="485"/>
  <c r="I135" i="485"/>
  <c r="I134" i="485"/>
  <c r="I133" i="485"/>
  <c r="I132" i="485"/>
  <c r="I131" i="485"/>
  <c r="I130" i="485"/>
  <c r="I129" i="485"/>
  <c r="I128" i="485"/>
  <c r="I127" i="485"/>
  <c r="I126" i="485"/>
  <c r="I125" i="485"/>
  <c r="I124" i="485"/>
  <c r="I123" i="485"/>
  <c r="I122" i="485"/>
  <c r="I121" i="485"/>
  <c r="I120" i="485"/>
  <c r="I119" i="485"/>
  <c r="I118" i="485"/>
  <c r="I117" i="485"/>
  <c r="I116" i="485"/>
  <c r="I115" i="485"/>
  <c r="I114" i="485"/>
  <c r="I113" i="485"/>
  <c r="I112" i="485"/>
  <c r="I111" i="485"/>
  <c r="I110" i="485"/>
  <c r="I109" i="485"/>
  <c r="I108" i="485"/>
  <c r="I107" i="485"/>
  <c r="I106" i="485"/>
  <c r="I105" i="485"/>
  <c r="I104" i="485"/>
  <c r="I103" i="485"/>
  <c r="I102" i="485"/>
  <c r="I101" i="485"/>
  <c r="I100" i="485"/>
  <c r="I99" i="485"/>
  <c r="I98" i="485"/>
  <c r="I97" i="485"/>
  <c r="I96" i="485"/>
  <c r="I95" i="485"/>
  <c r="I94" i="485"/>
  <c r="I93" i="485"/>
  <c r="I92" i="485"/>
  <c r="I91" i="485"/>
  <c r="I90" i="485"/>
  <c r="I89" i="485"/>
  <c r="I88" i="485"/>
  <c r="I87" i="485"/>
  <c r="I86" i="485"/>
  <c r="I85" i="485"/>
  <c r="I84" i="485"/>
  <c r="I83" i="485"/>
  <c r="I82" i="485"/>
  <c r="I81" i="485"/>
  <c r="I80" i="485"/>
  <c r="I79" i="485"/>
  <c r="I78" i="485"/>
  <c r="I77" i="485"/>
  <c r="I76" i="485"/>
  <c r="I75" i="485"/>
  <c r="I74" i="485"/>
  <c r="I73" i="485"/>
  <c r="I72" i="485"/>
  <c r="I71" i="485"/>
  <c r="I70" i="485"/>
  <c r="I69" i="485"/>
  <c r="I68" i="485"/>
  <c r="I67" i="485"/>
  <c r="I66" i="485"/>
  <c r="I65" i="485"/>
  <c r="I64" i="485"/>
  <c r="I63" i="485"/>
  <c r="I62" i="485"/>
  <c r="I61" i="485"/>
  <c r="I60" i="485"/>
  <c r="I59" i="485"/>
  <c r="I58" i="485"/>
  <c r="I57" i="485"/>
  <c r="I56" i="485"/>
  <c r="I55" i="485"/>
  <c r="I54" i="485"/>
  <c r="I53" i="485"/>
  <c r="I52" i="485"/>
  <c r="I51" i="485"/>
  <c r="I50" i="485"/>
  <c r="I49" i="485"/>
  <c r="I48" i="485"/>
  <c r="I47" i="485"/>
  <c r="I46" i="485"/>
  <c r="I45" i="485"/>
  <c r="I44" i="485"/>
  <c r="I43" i="485"/>
  <c r="I42" i="485"/>
  <c r="I41" i="485"/>
  <c r="I40" i="485"/>
  <c r="I39" i="485"/>
  <c r="I38" i="485"/>
  <c r="I37" i="485"/>
  <c r="I36" i="485"/>
  <c r="I35" i="485"/>
  <c r="I34" i="485"/>
  <c r="I33" i="485"/>
  <c r="I32" i="485"/>
  <c r="I31" i="485"/>
  <c r="I30" i="485"/>
  <c r="I29" i="485"/>
  <c r="I28" i="485"/>
  <c r="I27" i="485"/>
  <c r="I26" i="485"/>
  <c r="I1165" i="484"/>
  <c r="I1164" i="484"/>
  <c r="I1163" i="484"/>
  <c r="I1162" i="484"/>
  <c r="I1161" i="484"/>
  <c r="I1160" i="484"/>
  <c r="I1159" i="484"/>
  <c r="I1158" i="484"/>
  <c r="I1157" i="484"/>
  <c r="I1156" i="484"/>
  <c r="I1155" i="484"/>
  <c r="I1154" i="484"/>
  <c r="I1153" i="484"/>
  <c r="I1152" i="484"/>
  <c r="I1151" i="484"/>
  <c r="I1150" i="484"/>
  <c r="I1149" i="484"/>
  <c r="I1148" i="484"/>
  <c r="I1147" i="484"/>
  <c r="I1146" i="484"/>
  <c r="I1145" i="484"/>
  <c r="I1144" i="484"/>
  <c r="I1143" i="484"/>
  <c r="I1142" i="484"/>
  <c r="I1141" i="484"/>
  <c r="I1140" i="484"/>
  <c r="I1139" i="484"/>
  <c r="I1138" i="484"/>
  <c r="I1137" i="484"/>
  <c r="I1136" i="484"/>
  <c r="I1135" i="484"/>
  <c r="I1134" i="484"/>
  <c r="I1133" i="484"/>
  <c r="I1132" i="484"/>
  <c r="I1131" i="484"/>
  <c r="I1130" i="484"/>
  <c r="I1129" i="484"/>
  <c r="I1128" i="484"/>
  <c r="I1127" i="484"/>
  <c r="I1126" i="484"/>
  <c r="I1125" i="484"/>
  <c r="I1124" i="484"/>
  <c r="I1123" i="484"/>
  <c r="I1122" i="484"/>
  <c r="I1121" i="484"/>
  <c r="I1120" i="484"/>
  <c r="I1119" i="484"/>
  <c r="I1118" i="484"/>
  <c r="I1117" i="484"/>
  <c r="I1116" i="484"/>
  <c r="I1115" i="484"/>
  <c r="I1114" i="484"/>
  <c r="I1113" i="484"/>
  <c r="I1112" i="484"/>
  <c r="I1111" i="484"/>
  <c r="I1110" i="484"/>
  <c r="I1109" i="484"/>
  <c r="I1108" i="484"/>
  <c r="I1107" i="484"/>
  <c r="I1106" i="484"/>
  <c r="I1105" i="484"/>
  <c r="I1104" i="484"/>
  <c r="I1103" i="484"/>
  <c r="I1102" i="484"/>
  <c r="I1101" i="484"/>
  <c r="I1100" i="484"/>
  <c r="I1099" i="484"/>
  <c r="I1098" i="484"/>
  <c r="I1097" i="484"/>
  <c r="I1096" i="484"/>
  <c r="I1095" i="484"/>
  <c r="I1094" i="484"/>
  <c r="I1093" i="484"/>
  <c r="I1092" i="484"/>
  <c r="I1091" i="484"/>
  <c r="I1090" i="484"/>
  <c r="I1089" i="484"/>
  <c r="I1088" i="484"/>
  <c r="I1087" i="484"/>
  <c r="I1086" i="484"/>
  <c r="I1085" i="484"/>
  <c r="I1084" i="484"/>
  <c r="I1083" i="484"/>
  <c r="I1082" i="484"/>
  <c r="I1081" i="484"/>
  <c r="I1080" i="484"/>
  <c r="I1079" i="484"/>
  <c r="I1078" i="484"/>
  <c r="I1077" i="484"/>
  <c r="B1077" i="484"/>
  <c r="J1077" i="484" s="1"/>
  <c r="J1076" i="484"/>
  <c r="I1076" i="484"/>
  <c r="C1076" i="484"/>
  <c r="C1077" i="484" s="1"/>
  <c r="C1078" i="484" s="1"/>
  <c r="C1079" i="484" s="1"/>
  <c r="C1080" i="484" s="1"/>
  <c r="C1081" i="484" s="1"/>
  <c r="C1082" i="484" s="1"/>
  <c r="C1083" i="484" s="1"/>
  <c r="C1084" i="484" s="1"/>
  <c r="C1085" i="484" s="1"/>
  <c r="C1086" i="484" s="1"/>
  <c r="C1087" i="484" s="1"/>
  <c r="C1088" i="484" s="1"/>
  <c r="C1089" i="484" s="1"/>
  <c r="C1090" i="484" s="1"/>
  <c r="C1091" i="484" s="1"/>
  <c r="C1092" i="484" s="1"/>
  <c r="C1093" i="484" s="1"/>
  <c r="C1094" i="484" s="1"/>
  <c r="C1095" i="484" s="1"/>
  <c r="C1096" i="484" s="1"/>
  <c r="C1097" i="484" s="1"/>
  <c r="C1098" i="484" s="1"/>
  <c r="C1099" i="484" s="1"/>
  <c r="C1100" i="484" s="1"/>
  <c r="C1101" i="484" s="1"/>
  <c r="C1102" i="484" s="1"/>
  <c r="C1103" i="484" s="1"/>
  <c r="C1104" i="484" s="1"/>
  <c r="C1105" i="484" s="1"/>
  <c r="C1106" i="484" s="1"/>
  <c r="C1107" i="484" s="1"/>
  <c r="C1108" i="484" s="1"/>
  <c r="C1109" i="484" s="1"/>
  <c r="C1110" i="484" s="1"/>
  <c r="C1111" i="484" s="1"/>
  <c r="C1112" i="484" s="1"/>
  <c r="C1113" i="484" s="1"/>
  <c r="C1114" i="484" s="1"/>
  <c r="C1115" i="484" s="1"/>
  <c r="C1116" i="484" s="1"/>
  <c r="C1117" i="484" s="1"/>
  <c r="C1118" i="484" s="1"/>
  <c r="C1119" i="484" s="1"/>
  <c r="C1120" i="484" s="1"/>
  <c r="C1121" i="484" s="1"/>
  <c r="C1122" i="484" s="1"/>
  <c r="C1123" i="484" s="1"/>
  <c r="C1124" i="484" s="1"/>
  <c r="C1125" i="484" s="1"/>
  <c r="C1126" i="484" s="1"/>
  <c r="C1127" i="484" s="1"/>
  <c r="C1128" i="484" s="1"/>
  <c r="C1129" i="484" s="1"/>
  <c r="C1130" i="484" s="1"/>
  <c r="C1131" i="484" s="1"/>
  <c r="C1132" i="484" s="1"/>
  <c r="C1133" i="484" s="1"/>
  <c r="C1134" i="484" s="1"/>
  <c r="C1135" i="484" s="1"/>
  <c r="C1136" i="484" s="1"/>
  <c r="C1137" i="484" s="1"/>
  <c r="C1138" i="484" s="1"/>
  <c r="C1139" i="484" s="1"/>
  <c r="C1140" i="484" s="1"/>
  <c r="C1141" i="484" s="1"/>
  <c r="C1142" i="484" s="1"/>
  <c r="C1143" i="484" s="1"/>
  <c r="C1144" i="484" s="1"/>
  <c r="C1145" i="484" s="1"/>
  <c r="C1146" i="484" s="1"/>
  <c r="C1147" i="484" s="1"/>
  <c r="C1148" i="484" s="1"/>
  <c r="C1149" i="484" s="1"/>
  <c r="C1150" i="484" s="1"/>
  <c r="C1151" i="484" s="1"/>
  <c r="C1152" i="484" s="1"/>
  <c r="C1153" i="484" s="1"/>
  <c r="C1154" i="484" s="1"/>
  <c r="C1155" i="484" s="1"/>
  <c r="C1156" i="484" s="1"/>
  <c r="C1157" i="484" s="1"/>
  <c r="C1158" i="484" s="1"/>
  <c r="C1159" i="484" s="1"/>
  <c r="C1160" i="484" s="1"/>
  <c r="C1161" i="484" s="1"/>
  <c r="C1162" i="484" s="1"/>
  <c r="C1163" i="484" s="1"/>
  <c r="C1164" i="484" s="1"/>
  <c r="C1165" i="484" s="1"/>
  <c r="B1076" i="484"/>
  <c r="I1075" i="484"/>
  <c r="C1075" i="484"/>
  <c r="B1075" i="484"/>
  <c r="J1075" i="484" s="1"/>
  <c r="I1074" i="484"/>
  <c r="I1073" i="484"/>
  <c r="I1072" i="484"/>
  <c r="I1071" i="484"/>
  <c r="I1070" i="484"/>
  <c r="I1069" i="484"/>
  <c r="I1068" i="484"/>
  <c r="I1067" i="484"/>
  <c r="I1066" i="484"/>
  <c r="I1065" i="484"/>
  <c r="I1064" i="484"/>
  <c r="I1063" i="484"/>
  <c r="I1062" i="484"/>
  <c r="I1061" i="484"/>
  <c r="I1060" i="484"/>
  <c r="I1059" i="484"/>
  <c r="I1058" i="484"/>
  <c r="I1057" i="484"/>
  <c r="I1056" i="484"/>
  <c r="I1055" i="484"/>
  <c r="I1054" i="484"/>
  <c r="I1053" i="484"/>
  <c r="I1052" i="484"/>
  <c r="I1051" i="484"/>
  <c r="I1050" i="484"/>
  <c r="I1049" i="484"/>
  <c r="I1048" i="484"/>
  <c r="I1047" i="484"/>
  <c r="I1046" i="484"/>
  <c r="I1045" i="484"/>
  <c r="I1044" i="484"/>
  <c r="I1043" i="484"/>
  <c r="I1042" i="484"/>
  <c r="I1041" i="484"/>
  <c r="I1040" i="484"/>
  <c r="I1039" i="484"/>
  <c r="I1038" i="484"/>
  <c r="I1037" i="484"/>
  <c r="I1036" i="484"/>
  <c r="I1035" i="484"/>
  <c r="I1034" i="484"/>
  <c r="I1033" i="484"/>
  <c r="I1032" i="484"/>
  <c r="I1031" i="484"/>
  <c r="I1030" i="484"/>
  <c r="I1029" i="484"/>
  <c r="I1028" i="484"/>
  <c r="I1027" i="484"/>
  <c r="I1026" i="484"/>
  <c r="I1025" i="484"/>
  <c r="I1024" i="484"/>
  <c r="I1023" i="484"/>
  <c r="I1022" i="484"/>
  <c r="I1021" i="484"/>
  <c r="I1020" i="484"/>
  <c r="I1019" i="484"/>
  <c r="I1018" i="484"/>
  <c r="I1017" i="484"/>
  <c r="I1016" i="484"/>
  <c r="I1015" i="484"/>
  <c r="I1014" i="484"/>
  <c r="I1013" i="484"/>
  <c r="I1012" i="484"/>
  <c r="I1011" i="484"/>
  <c r="I1010" i="484"/>
  <c r="I1009" i="484"/>
  <c r="I1008" i="484"/>
  <c r="I1007" i="484"/>
  <c r="I1006" i="484"/>
  <c r="I1005" i="484"/>
  <c r="I1004" i="484"/>
  <c r="I1003" i="484"/>
  <c r="I1002" i="484"/>
  <c r="I1001" i="484"/>
  <c r="I1000" i="484"/>
  <c r="I999" i="484"/>
  <c r="I998" i="484"/>
  <c r="I997" i="484"/>
  <c r="I996" i="484"/>
  <c r="I995" i="484"/>
  <c r="I994" i="484"/>
  <c r="I993" i="484"/>
  <c r="I992" i="484"/>
  <c r="I991" i="484"/>
  <c r="I990" i="484"/>
  <c r="I989" i="484"/>
  <c r="I988" i="484"/>
  <c r="I987" i="484"/>
  <c r="I986" i="484"/>
  <c r="I985" i="484"/>
  <c r="I984" i="484"/>
  <c r="I983" i="484"/>
  <c r="I982" i="484"/>
  <c r="I981" i="484"/>
  <c r="I980" i="484"/>
  <c r="I979" i="484"/>
  <c r="I978" i="484"/>
  <c r="I977" i="484"/>
  <c r="I976" i="484"/>
  <c r="I975" i="484"/>
  <c r="I974" i="484"/>
  <c r="I973" i="484"/>
  <c r="I972" i="484"/>
  <c r="I971" i="484"/>
  <c r="I970" i="484"/>
  <c r="I969" i="484"/>
  <c r="I968" i="484"/>
  <c r="I967" i="484"/>
  <c r="I966" i="484"/>
  <c r="I965" i="484"/>
  <c r="I964" i="484"/>
  <c r="I963" i="484"/>
  <c r="I962" i="484"/>
  <c r="I961" i="484"/>
  <c r="I960" i="484"/>
  <c r="I959" i="484"/>
  <c r="I958" i="484"/>
  <c r="I957" i="484"/>
  <c r="I956" i="484"/>
  <c r="I955" i="484"/>
  <c r="I954" i="484"/>
  <c r="I953" i="484"/>
  <c r="I952" i="484"/>
  <c r="I951" i="484"/>
  <c r="I950" i="484"/>
  <c r="I949" i="484"/>
  <c r="I948" i="484"/>
  <c r="I947" i="484"/>
  <c r="I946" i="484"/>
  <c r="I945" i="484"/>
  <c r="I944" i="484"/>
  <c r="I943" i="484"/>
  <c r="I942" i="484"/>
  <c r="I941" i="484"/>
  <c r="I940" i="484"/>
  <c r="I939" i="484"/>
  <c r="I938" i="484"/>
  <c r="I937" i="484"/>
  <c r="I936" i="484"/>
  <c r="I935" i="484"/>
  <c r="I934" i="484"/>
  <c r="I933" i="484"/>
  <c r="I932" i="484"/>
  <c r="I931" i="484"/>
  <c r="I930" i="484"/>
  <c r="I929" i="484"/>
  <c r="I928" i="484"/>
  <c r="I927" i="484"/>
  <c r="I926" i="484"/>
  <c r="I925" i="484"/>
  <c r="I924" i="484"/>
  <c r="I923" i="484"/>
  <c r="I922" i="484"/>
  <c r="I921" i="484"/>
  <c r="I920" i="484"/>
  <c r="I919" i="484"/>
  <c r="I918" i="484"/>
  <c r="I917" i="484"/>
  <c r="I916" i="484"/>
  <c r="I915" i="484"/>
  <c r="I914" i="484"/>
  <c r="I913" i="484"/>
  <c r="I912" i="484"/>
  <c r="I911" i="484"/>
  <c r="I910" i="484"/>
  <c r="I909" i="484"/>
  <c r="I908" i="484"/>
  <c r="I907" i="484"/>
  <c r="I906" i="484"/>
  <c r="I905" i="484"/>
  <c r="I904" i="484"/>
  <c r="I903" i="484"/>
  <c r="I902" i="484"/>
  <c r="I901" i="484"/>
  <c r="I900" i="484"/>
  <c r="I899" i="484"/>
  <c r="I898" i="484"/>
  <c r="I897" i="484"/>
  <c r="I896" i="484"/>
  <c r="I895" i="484"/>
  <c r="I894" i="484"/>
  <c r="I893" i="484"/>
  <c r="I892" i="484"/>
  <c r="I891" i="484"/>
  <c r="I890" i="484"/>
  <c r="I889" i="484"/>
  <c r="I888" i="484"/>
  <c r="I887" i="484"/>
  <c r="I886" i="484"/>
  <c r="I885" i="484"/>
  <c r="I884" i="484"/>
  <c r="I883" i="484"/>
  <c r="I882" i="484"/>
  <c r="I881" i="484"/>
  <c r="I880" i="484"/>
  <c r="I879" i="484"/>
  <c r="I878" i="484"/>
  <c r="I877" i="484"/>
  <c r="I876" i="484"/>
  <c r="I875" i="484"/>
  <c r="I874" i="484"/>
  <c r="I873" i="484"/>
  <c r="I872" i="484"/>
  <c r="I871" i="484"/>
  <c r="I870" i="484"/>
  <c r="I869" i="484"/>
  <c r="I868" i="484"/>
  <c r="I867" i="484"/>
  <c r="I866" i="484"/>
  <c r="I865" i="484"/>
  <c r="I864" i="484"/>
  <c r="I863" i="484"/>
  <c r="I862" i="484"/>
  <c r="I861" i="484"/>
  <c r="I860" i="484"/>
  <c r="I859" i="484"/>
  <c r="I858" i="484"/>
  <c r="I857" i="484"/>
  <c r="I856" i="484"/>
  <c r="I855" i="484"/>
  <c r="I854" i="484"/>
  <c r="I853" i="484"/>
  <c r="I852" i="484"/>
  <c r="I851" i="484"/>
  <c r="I850" i="484"/>
  <c r="I849" i="484"/>
  <c r="I848" i="484"/>
  <c r="I847" i="484"/>
  <c r="I846" i="484"/>
  <c r="I845" i="484"/>
  <c r="I844" i="484"/>
  <c r="I843" i="484"/>
  <c r="I842" i="484"/>
  <c r="I841" i="484"/>
  <c r="I840" i="484"/>
  <c r="I839" i="484"/>
  <c r="I838" i="484"/>
  <c r="I837" i="484"/>
  <c r="I836" i="484"/>
  <c r="I835" i="484"/>
  <c r="I834" i="484"/>
  <c r="I833" i="484"/>
  <c r="I832" i="484"/>
  <c r="I831" i="484"/>
  <c r="I830" i="484"/>
  <c r="I829" i="484"/>
  <c r="I828" i="484"/>
  <c r="I827" i="484"/>
  <c r="I826" i="484"/>
  <c r="I825" i="484"/>
  <c r="I824" i="484"/>
  <c r="I823" i="484"/>
  <c r="I822" i="484"/>
  <c r="I821" i="484"/>
  <c r="I820" i="484"/>
  <c r="I819" i="484"/>
  <c r="I818" i="484"/>
  <c r="I817" i="484"/>
  <c r="I816" i="484"/>
  <c r="I815" i="484"/>
  <c r="I814" i="484"/>
  <c r="I813" i="484"/>
  <c r="I812" i="484"/>
  <c r="I811" i="484"/>
  <c r="I810" i="484"/>
  <c r="I809" i="484"/>
  <c r="I808" i="484"/>
  <c r="I807" i="484"/>
  <c r="I806" i="484"/>
  <c r="I805" i="484"/>
  <c r="I804" i="484"/>
  <c r="I803" i="484"/>
  <c r="I802" i="484"/>
  <c r="I801" i="484"/>
  <c r="I800" i="484"/>
  <c r="I799" i="484"/>
  <c r="I798" i="484"/>
  <c r="I797" i="484"/>
  <c r="I796" i="484"/>
  <c r="I795" i="484"/>
  <c r="I794" i="484"/>
  <c r="I793" i="484"/>
  <c r="I792" i="484"/>
  <c r="I791" i="484"/>
  <c r="I790" i="484"/>
  <c r="I789" i="484"/>
  <c r="I788" i="484"/>
  <c r="I787" i="484"/>
  <c r="I786" i="484"/>
  <c r="I785" i="484"/>
  <c r="I784" i="484"/>
  <c r="I783" i="484"/>
  <c r="I782" i="484"/>
  <c r="I781" i="484"/>
  <c r="I780" i="484"/>
  <c r="I779" i="484"/>
  <c r="I778" i="484"/>
  <c r="I777" i="484"/>
  <c r="I776" i="484"/>
  <c r="I775" i="484"/>
  <c r="I774" i="484"/>
  <c r="I773" i="484"/>
  <c r="I772" i="484"/>
  <c r="I771" i="484"/>
  <c r="I770" i="484"/>
  <c r="I769" i="484"/>
  <c r="I768" i="484"/>
  <c r="I767" i="484"/>
  <c r="I766" i="484"/>
  <c r="I765" i="484"/>
  <c r="I764" i="484"/>
  <c r="I763" i="484"/>
  <c r="I762" i="484"/>
  <c r="I761" i="484"/>
  <c r="I760" i="484"/>
  <c r="I759" i="484"/>
  <c r="I758" i="484"/>
  <c r="I757" i="484"/>
  <c r="I756" i="484"/>
  <c r="I755" i="484"/>
  <c r="I754" i="484"/>
  <c r="I753" i="484"/>
  <c r="I752" i="484"/>
  <c r="I751" i="484"/>
  <c r="I750" i="484"/>
  <c r="I749" i="484"/>
  <c r="I748" i="484"/>
  <c r="I747" i="484"/>
  <c r="I746" i="484"/>
  <c r="I745" i="484"/>
  <c r="I744" i="484"/>
  <c r="I743" i="484"/>
  <c r="I742" i="484"/>
  <c r="I741" i="484"/>
  <c r="I740" i="484"/>
  <c r="I739" i="484"/>
  <c r="I738" i="484"/>
  <c r="I737" i="484"/>
  <c r="I736" i="484"/>
  <c r="I735" i="484"/>
  <c r="I734" i="484"/>
  <c r="I733" i="484"/>
  <c r="I732" i="484"/>
  <c r="I731" i="484"/>
  <c r="I730" i="484"/>
  <c r="I729" i="484"/>
  <c r="I728" i="484"/>
  <c r="I727" i="484"/>
  <c r="I726" i="484"/>
  <c r="I725" i="484"/>
  <c r="I724" i="484"/>
  <c r="I723" i="484"/>
  <c r="I722" i="484"/>
  <c r="I721" i="484"/>
  <c r="I720" i="484"/>
  <c r="I719" i="484"/>
  <c r="I718" i="484"/>
  <c r="I717" i="484"/>
  <c r="I716" i="484"/>
  <c r="I715" i="484"/>
  <c r="I714" i="484"/>
  <c r="I713" i="484"/>
  <c r="I712" i="484"/>
  <c r="I711" i="484"/>
  <c r="I710" i="484"/>
  <c r="I709" i="484"/>
  <c r="I708" i="484"/>
  <c r="I707" i="484"/>
  <c r="I706" i="484"/>
  <c r="I705" i="484"/>
  <c r="I704" i="484"/>
  <c r="I703" i="484"/>
  <c r="I702" i="484"/>
  <c r="I701" i="484"/>
  <c r="I700" i="484"/>
  <c r="I699" i="484"/>
  <c r="I698" i="484"/>
  <c r="I697" i="484"/>
  <c r="I696" i="484"/>
  <c r="I695" i="484"/>
  <c r="I694" i="484"/>
  <c r="I693" i="484"/>
  <c r="I692" i="484"/>
  <c r="I691" i="484"/>
  <c r="I690" i="484"/>
  <c r="I689" i="484"/>
  <c r="I688" i="484"/>
  <c r="I687" i="484"/>
  <c r="I686" i="484"/>
  <c r="I685" i="484"/>
  <c r="I684" i="484"/>
  <c r="I683" i="484"/>
  <c r="I682" i="484"/>
  <c r="I681" i="484"/>
  <c r="I680" i="484"/>
  <c r="I679" i="484"/>
  <c r="I678" i="484"/>
  <c r="I677" i="484"/>
  <c r="I676" i="484"/>
  <c r="I675" i="484"/>
  <c r="I674" i="484"/>
  <c r="I673" i="484"/>
  <c r="I672" i="484"/>
  <c r="I671" i="484"/>
  <c r="I670" i="484"/>
  <c r="I669" i="484"/>
  <c r="I668" i="484"/>
  <c r="I667" i="484"/>
  <c r="I666" i="484"/>
  <c r="I665" i="484"/>
  <c r="I664" i="484"/>
  <c r="I663" i="484"/>
  <c r="I662" i="484"/>
  <c r="I661" i="484"/>
  <c r="I660" i="484"/>
  <c r="I659" i="484"/>
  <c r="I658" i="484"/>
  <c r="I657" i="484"/>
  <c r="I656" i="484"/>
  <c r="I655" i="484"/>
  <c r="I654" i="484"/>
  <c r="I653" i="484"/>
  <c r="I652" i="484"/>
  <c r="I651" i="484"/>
  <c r="I650" i="484"/>
  <c r="I649" i="484"/>
  <c r="I648" i="484"/>
  <c r="I647" i="484"/>
  <c r="I646" i="484"/>
  <c r="I645" i="484"/>
  <c r="I644" i="484"/>
  <c r="I643" i="484"/>
  <c r="I642" i="484"/>
  <c r="I641" i="484"/>
  <c r="I640" i="484"/>
  <c r="I639" i="484"/>
  <c r="I638" i="484"/>
  <c r="I637" i="484"/>
  <c r="I636" i="484"/>
  <c r="I635" i="484"/>
  <c r="I634" i="484"/>
  <c r="I633" i="484"/>
  <c r="I632" i="484"/>
  <c r="I631" i="484"/>
  <c r="I630" i="484"/>
  <c r="I629" i="484"/>
  <c r="I628" i="484"/>
  <c r="I627" i="484"/>
  <c r="I626" i="484"/>
  <c r="I625" i="484"/>
  <c r="I624" i="484"/>
  <c r="I623" i="484"/>
  <c r="I622" i="484"/>
  <c r="I621" i="484"/>
  <c r="I620" i="484"/>
  <c r="I619" i="484"/>
  <c r="I618" i="484"/>
  <c r="I617" i="484"/>
  <c r="I616" i="484"/>
  <c r="I615" i="484"/>
  <c r="I614" i="484"/>
  <c r="I613" i="484"/>
  <c r="I612" i="484"/>
  <c r="I611" i="484"/>
  <c r="I610" i="484"/>
  <c r="I609" i="484"/>
  <c r="I608" i="484"/>
  <c r="I607" i="484"/>
  <c r="I606" i="484"/>
  <c r="I605" i="484"/>
  <c r="I604" i="484"/>
  <c r="I603" i="484"/>
  <c r="I602" i="484"/>
  <c r="I601" i="484"/>
  <c r="I600" i="484"/>
  <c r="I599" i="484"/>
  <c r="I598" i="484"/>
  <c r="I597" i="484"/>
  <c r="I596" i="484"/>
  <c r="I595" i="484"/>
  <c r="I594" i="484"/>
  <c r="I593" i="484"/>
  <c r="I592" i="484"/>
  <c r="I591" i="484"/>
  <c r="I590" i="484"/>
  <c r="I589" i="484"/>
  <c r="I588" i="484"/>
  <c r="I587" i="484"/>
  <c r="I586" i="484"/>
  <c r="I585" i="484"/>
  <c r="I584" i="484"/>
  <c r="I583" i="484"/>
  <c r="I582" i="484"/>
  <c r="I581" i="484"/>
  <c r="I580" i="484"/>
  <c r="I579" i="484"/>
  <c r="I578" i="484"/>
  <c r="I577" i="484"/>
  <c r="I576" i="484"/>
  <c r="I575" i="484"/>
  <c r="I574" i="484"/>
  <c r="I573" i="484"/>
  <c r="I572" i="484"/>
  <c r="I571" i="484"/>
  <c r="I570" i="484"/>
  <c r="I569" i="484"/>
  <c r="I568" i="484"/>
  <c r="I567" i="484"/>
  <c r="I566" i="484"/>
  <c r="I565" i="484"/>
  <c r="I564" i="484"/>
  <c r="I563" i="484"/>
  <c r="I562" i="484"/>
  <c r="I561" i="484"/>
  <c r="I560" i="484"/>
  <c r="I559" i="484"/>
  <c r="I558" i="484"/>
  <c r="I557" i="484"/>
  <c r="I556" i="484"/>
  <c r="I555" i="484"/>
  <c r="I554" i="484"/>
  <c r="I553" i="484"/>
  <c r="I552" i="484"/>
  <c r="I551" i="484"/>
  <c r="I550" i="484"/>
  <c r="I549" i="484"/>
  <c r="I548" i="484"/>
  <c r="I547" i="484"/>
  <c r="I546" i="484"/>
  <c r="I545" i="484"/>
  <c r="I544" i="484"/>
  <c r="I543" i="484"/>
  <c r="I542" i="484"/>
  <c r="I541" i="484"/>
  <c r="I540" i="484"/>
  <c r="I539" i="484"/>
  <c r="I538" i="484"/>
  <c r="I537" i="484"/>
  <c r="I536" i="484"/>
  <c r="I535" i="484"/>
  <c r="I534" i="484"/>
  <c r="I533" i="484"/>
  <c r="I532" i="484"/>
  <c r="I531" i="484"/>
  <c r="I530" i="484"/>
  <c r="I529" i="484"/>
  <c r="I528" i="484"/>
  <c r="I527" i="484"/>
  <c r="I526" i="484"/>
  <c r="I525" i="484"/>
  <c r="I524" i="484"/>
  <c r="I523" i="484"/>
  <c r="I522" i="484"/>
  <c r="I521" i="484"/>
  <c r="I520" i="484"/>
  <c r="I519" i="484"/>
  <c r="I518" i="484"/>
  <c r="I517" i="484"/>
  <c r="I516" i="484"/>
  <c r="I515" i="484"/>
  <c r="I514" i="484"/>
  <c r="I513" i="484"/>
  <c r="I512" i="484"/>
  <c r="I511" i="484"/>
  <c r="I510" i="484"/>
  <c r="I509" i="484"/>
  <c r="I508" i="484"/>
  <c r="I507" i="484"/>
  <c r="I506" i="484"/>
  <c r="I505" i="484"/>
  <c r="I504" i="484"/>
  <c r="I503" i="484"/>
  <c r="I502" i="484"/>
  <c r="I501" i="484"/>
  <c r="I500" i="484"/>
  <c r="I499" i="484"/>
  <c r="I498" i="484"/>
  <c r="I497" i="484"/>
  <c r="I496" i="484"/>
  <c r="I495" i="484"/>
  <c r="I494" i="484"/>
  <c r="I493" i="484"/>
  <c r="I492" i="484"/>
  <c r="I491" i="484"/>
  <c r="I490" i="484"/>
  <c r="I489" i="484"/>
  <c r="I488" i="484"/>
  <c r="I487" i="484"/>
  <c r="I486" i="484"/>
  <c r="I485" i="484"/>
  <c r="I484" i="484"/>
  <c r="I483" i="484"/>
  <c r="I482" i="484"/>
  <c r="I481" i="484"/>
  <c r="I480" i="484"/>
  <c r="I479" i="484"/>
  <c r="I478" i="484"/>
  <c r="I477" i="484"/>
  <c r="I476" i="484"/>
  <c r="I475" i="484"/>
  <c r="I474" i="484"/>
  <c r="I473" i="484"/>
  <c r="I472" i="484"/>
  <c r="I471" i="484"/>
  <c r="I470" i="484"/>
  <c r="I469" i="484"/>
  <c r="I468" i="484"/>
  <c r="I467" i="484"/>
  <c r="I466" i="484"/>
  <c r="I465" i="484"/>
  <c r="I464" i="484"/>
  <c r="I463" i="484"/>
  <c r="I462" i="484"/>
  <c r="I461" i="484"/>
  <c r="I460" i="484"/>
  <c r="I459" i="484"/>
  <c r="I458" i="484"/>
  <c r="I457" i="484"/>
  <c r="I456" i="484"/>
  <c r="I455" i="484"/>
  <c r="I454" i="484"/>
  <c r="I453" i="484"/>
  <c r="I452" i="484"/>
  <c r="I451" i="484"/>
  <c r="I450" i="484"/>
  <c r="I449" i="484"/>
  <c r="I448" i="484"/>
  <c r="I447" i="484"/>
  <c r="I446" i="484"/>
  <c r="I445" i="484"/>
  <c r="I444" i="484"/>
  <c r="I443" i="484"/>
  <c r="I442" i="484"/>
  <c r="I441" i="484"/>
  <c r="I440" i="484"/>
  <c r="I439" i="484"/>
  <c r="I438" i="484"/>
  <c r="I437" i="484"/>
  <c r="I436" i="484"/>
  <c r="I435" i="484"/>
  <c r="I434" i="484"/>
  <c r="I433" i="484"/>
  <c r="I432" i="484"/>
  <c r="I431" i="484"/>
  <c r="I430" i="484"/>
  <c r="I429" i="484"/>
  <c r="I428" i="484"/>
  <c r="I427" i="484"/>
  <c r="I426" i="484"/>
  <c r="I425" i="484"/>
  <c r="I424" i="484"/>
  <c r="I423" i="484"/>
  <c r="I422" i="484"/>
  <c r="I421" i="484"/>
  <c r="I420" i="484"/>
  <c r="I419" i="484"/>
  <c r="I418" i="484"/>
  <c r="I417" i="484"/>
  <c r="I416" i="484"/>
  <c r="I415" i="484"/>
  <c r="I414" i="484"/>
  <c r="I413" i="484"/>
  <c r="I412" i="484"/>
  <c r="I411" i="484"/>
  <c r="I410" i="484"/>
  <c r="I409" i="484"/>
  <c r="I408" i="484"/>
  <c r="I407" i="484"/>
  <c r="I406" i="484"/>
  <c r="I405" i="484"/>
  <c r="I404" i="484"/>
  <c r="I403" i="484"/>
  <c r="I402" i="484"/>
  <c r="I401" i="484"/>
  <c r="I400" i="484"/>
  <c r="I399" i="484"/>
  <c r="I398" i="484"/>
  <c r="I397" i="484"/>
  <c r="I396" i="484"/>
  <c r="I395" i="484"/>
  <c r="I394" i="484"/>
  <c r="I393" i="484"/>
  <c r="I392" i="484"/>
  <c r="I391" i="484"/>
  <c r="I390" i="484"/>
  <c r="I389" i="484"/>
  <c r="I388" i="484"/>
  <c r="I387" i="484"/>
  <c r="I386" i="484"/>
  <c r="I385" i="484"/>
  <c r="I384" i="484"/>
  <c r="I383" i="484"/>
  <c r="I382" i="484"/>
  <c r="I381" i="484"/>
  <c r="I380" i="484"/>
  <c r="I379" i="484"/>
  <c r="I378" i="484"/>
  <c r="I377" i="484"/>
  <c r="I376" i="484"/>
  <c r="I375" i="484"/>
  <c r="I374" i="484"/>
  <c r="I373" i="484"/>
  <c r="I372" i="484"/>
  <c r="I371" i="484"/>
  <c r="I370" i="484"/>
  <c r="I369" i="484"/>
  <c r="I368" i="484"/>
  <c r="I367" i="484"/>
  <c r="I366" i="484"/>
  <c r="I365" i="484"/>
  <c r="I364" i="484"/>
  <c r="I363" i="484"/>
  <c r="I362" i="484"/>
  <c r="I361" i="484"/>
  <c r="I360" i="484"/>
  <c r="I359" i="484"/>
  <c r="I358" i="484"/>
  <c r="I357" i="484"/>
  <c r="I356" i="484"/>
  <c r="I355" i="484"/>
  <c r="I354" i="484"/>
  <c r="I353" i="484"/>
  <c r="I352" i="484"/>
  <c r="I351" i="484"/>
  <c r="I350" i="484"/>
  <c r="I349" i="484"/>
  <c r="I348" i="484"/>
  <c r="I347" i="484"/>
  <c r="I346" i="484"/>
  <c r="I345" i="484"/>
  <c r="I344" i="484"/>
  <c r="I343" i="484"/>
  <c r="I342" i="484"/>
  <c r="I341" i="484"/>
  <c r="I340" i="484"/>
  <c r="I339" i="484"/>
  <c r="I338" i="484"/>
  <c r="I337" i="484"/>
  <c r="I336" i="484"/>
  <c r="I335" i="484"/>
  <c r="I334" i="484"/>
  <c r="I333" i="484"/>
  <c r="I332" i="484"/>
  <c r="I331" i="484"/>
  <c r="I330" i="484"/>
  <c r="I329" i="484"/>
  <c r="I328" i="484"/>
  <c r="I327" i="484"/>
  <c r="I326" i="484"/>
  <c r="I325" i="484"/>
  <c r="I324" i="484"/>
  <c r="I323" i="484"/>
  <c r="I322" i="484"/>
  <c r="I321" i="484"/>
  <c r="I320" i="484"/>
  <c r="I319" i="484"/>
  <c r="I318" i="484"/>
  <c r="I317" i="484"/>
  <c r="I316" i="484"/>
  <c r="I315" i="484"/>
  <c r="I314" i="484"/>
  <c r="I313" i="484"/>
  <c r="I312" i="484"/>
  <c r="I311" i="484"/>
  <c r="I310" i="484"/>
  <c r="I309" i="484"/>
  <c r="I308" i="484"/>
  <c r="I307" i="484"/>
  <c r="I306" i="484"/>
  <c r="I305" i="484"/>
  <c r="I304" i="484"/>
  <c r="I303" i="484"/>
  <c r="I302" i="484"/>
  <c r="I301" i="484"/>
  <c r="I300" i="484"/>
  <c r="I299" i="484"/>
  <c r="I298" i="484"/>
  <c r="I297" i="484"/>
  <c r="I296" i="484"/>
  <c r="I295" i="484"/>
  <c r="I294" i="484"/>
  <c r="I293" i="484"/>
  <c r="I292" i="484"/>
  <c r="I291" i="484"/>
  <c r="I290" i="484"/>
  <c r="I289" i="484"/>
  <c r="I288" i="484"/>
  <c r="I287" i="484"/>
  <c r="I286" i="484"/>
  <c r="I285" i="484"/>
  <c r="I284" i="484"/>
  <c r="I283" i="484"/>
  <c r="I282" i="484"/>
  <c r="I281" i="484"/>
  <c r="I280" i="484"/>
  <c r="I279" i="484"/>
  <c r="I278" i="484"/>
  <c r="I277" i="484"/>
  <c r="I276" i="484"/>
  <c r="I275" i="484"/>
  <c r="I274" i="484"/>
  <c r="I273" i="484"/>
  <c r="I272" i="484"/>
  <c r="I271" i="484"/>
  <c r="I270" i="484"/>
  <c r="I269" i="484"/>
  <c r="I268" i="484"/>
  <c r="I267" i="484"/>
  <c r="I266" i="484"/>
  <c r="I265" i="484"/>
  <c r="I264" i="484"/>
  <c r="I263" i="484"/>
  <c r="I262" i="484"/>
  <c r="I261" i="484"/>
  <c r="I260" i="484"/>
  <c r="I259" i="484"/>
  <c r="I258" i="484"/>
  <c r="I257" i="484"/>
  <c r="I256" i="484"/>
  <c r="I255" i="484"/>
  <c r="I254" i="484"/>
  <c r="I253" i="484"/>
  <c r="I252" i="484"/>
  <c r="I251" i="484"/>
  <c r="I250" i="484"/>
  <c r="I249" i="484"/>
  <c r="I248" i="484"/>
  <c r="I247" i="484"/>
  <c r="I246" i="484"/>
  <c r="I245" i="484"/>
  <c r="I244" i="484"/>
  <c r="I243" i="484"/>
  <c r="I242" i="484"/>
  <c r="I241" i="484"/>
  <c r="I240" i="484"/>
  <c r="I239" i="484"/>
  <c r="I238" i="484"/>
  <c r="I237" i="484"/>
  <c r="I236" i="484"/>
  <c r="I235" i="484"/>
  <c r="I234" i="484"/>
  <c r="I233" i="484"/>
  <c r="I232" i="484"/>
  <c r="I231" i="484"/>
  <c r="I230" i="484"/>
  <c r="I229" i="484"/>
  <c r="I228" i="484"/>
  <c r="I227" i="484"/>
  <c r="I226" i="484"/>
  <c r="I225" i="484"/>
  <c r="I224" i="484"/>
  <c r="I223" i="484"/>
  <c r="I222" i="484"/>
  <c r="I221" i="484"/>
  <c r="I220" i="484"/>
  <c r="I219" i="484"/>
  <c r="I218" i="484"/>
  <c r="I217" i="484"/>
  <c r="I216" i="484"/>
  <c r="I215" i="484"/>
  <c r="I214" i="484"/>
  <c r="I213" i="484"/>
  <c r="I212" i="484"/>
  <c r="I211" i="484"/>
  <c r="I210" i="484"/>
  <c r="I209" i="484"/>
  <c r="I208" i="484"/>
  <c r="I207" i="484"/>
  <c r="I206" i="484"/>
  <c r="I205" i="484"/>
  <c r="I204" i="484"/>
  <c r="I203" i="484"/>
  <c r="I202" i="484"/>
  <c r="I201" i="484"/>
  <c r="I200" i="484"/>
  <c r="I199" i="484"/>
  <c r="I198" i="484"/>
  <c r="I197" i="484"/>
  <c r="I196" i="484"/>
  <c r="I195" i="484"/>
  <c r="I194" i="484"/>
  <c r="I193" i="484"/>
  <c r="I192" i="484"/>
  <c r="I191" i="484"/>
  <c r="I190" i="484"/>
  <c r="I189" i="484"/>
  <c r="I188" i="484"/>
  <c r="I187" i="484"/>
  <c r="I186" i="484"/>
  <c r="I185" i="484"/>
  <c r="I184" i="484"/>
  <c r="I183" i="484"/>
  <c r="I182" i="484"/>
  <c r="I181" i="484"/>
  <c r="I180" i="484"/>
  <c r="I179" i="484"/>
  <c r="I178" i="484"/>
  <c r="I177" i="484"/>
  <c r="I176" i="484"/>
  <c r="I175" i="484"/>
  <c r="I174" i="484"/>
  <c r="I173" i="484"/>
  <c r="I172" i="484"/>
  <c r="I171" i="484"/>
  <c r="I170" i="484"/>
  <c r="I169" i="484"/>
  <c r="I168" i="484"/>
  <c r="I167" i="484"/>
  <c r="I166" i="484"/>
  <c r="I165" i="484"/>
  <c r="I164" i="484"/>
  <c r="I163" i="484"/>
  <c r="I162" i="484"/>
  <c r="I161" i="484"/>
  <c r="I160" i="484"/>
  <c r="I159" i="484"/>
  <c r="I158" i="484"/>
  <c r="I157" i="484"/>
  <c r="I156" i="484"/>
  <c r="I155" i="484"/>
  <c r="I154" i="484"/>
  <c r="I153" i="484"/>
  <c r="I152" i="484"/>
  <c r="I151" i="484"/>
  <c r="I150" i="484"/>
  <c r="I149" i="484"/>
  <c r="I148" i="484"/>
  <c r="I147" i="484"/>
  <c r="I146" i="484"/>
  <c r="I145" i="484"/>
  <c r="I144" i="484"/>
  <c r="I143" i="484"/>
  <c r="I142" i="484"/>
  <c r="I141" i="484"/>
  <c r="I140" i="484"/>
  <c r="I139" i="484"/>
  <c r="I138" i="484"/>
  <c r="I137" i="484"/>
  <c r="I136" i="484"/>
  <c r="I135" i="484"/>
  <c r="I134" i="484"/>
  <c r="I133" i="484"/>
  <c r="I132" i="484"/>
  <c r="I131" i="484"/>
  <c r="I130" i="484"/>
  <c r="I129" i="484"/>
  <c r="I128" i="484"/>
  <c r="I127" i="484"/>
  <c r="I126" i="484"/>
  <c r="I125" i="484"/>
  <c r="I124" i="484"/>
  <c r="I123" i="484"/>
  <c r="I122" i="484"/>
  <c r="I121" i="484"/>
  <c r="I120" i="484"/>
  <c r="I119" i="484"/>
  <c r="I118" i="484"/>
  <c r="I117" i="484"/>
  <c r="I116" i="484"/>
  <c r="I115" i="484"/>
  <c r="I114" i="484"/>
  <c r="I113" i="484"/>
  <c r="I112" i="484"/>
  <c r="I111" i="484"/>
  <c r="I110" i="484"/>
  <c r="I109" i="484"/>
  <c r="I108" i="484"/>
  <c r="I107" i="484"/>
  <c r="I106" i="484"/>
  <c r="I105" i="484"/>
  <c r="I104" i="484"/>
  <c r="I103" i="484"/>
  <c r="I102" i="484"/>
  <c r="I101" i="484"/>
  <c r="I100" i="484"/>
  <c r="I99" i="484"/>
  <c r="I98" i="484"/>
  <c r="I97" i="484"/>
  <c r="I96" i="484"/>
  <c r="I95" i="484"/>
  <c r="I94" i="484"/>
  <c r="I93" i="484"/>
  <c r="I92" i="484"/>
  <c r="I91" i="484"/>
  <c r="I90" i="484"/>
  <c r="I89" i="484"/>
  <c r="I88" i="484"/>
  <c r="I87" i="484"/>
  <c r="I86" i="484"/>
  <c r="I85" i="484"/>
  <c r="I84" i="484"/>
  <c r="I83" i="484"/>
  <c r="I82" i="484"/>
  <c r="I81" i="484"/>
  <c r="I80" i="484"/>
  <c r="I79" i="484"/>
  <c r="I78" i="484"/>
  <c r="I77" i="484"/>
  <c r="I76" i="484"/>
  <c r="I75" i="484"/>
  <c r="I74" i="484"/>
  <c r="I73" i="484"/>
  <c r="I72" i="484"/>
  <c r="I71" i="484"/>
  <c r="I70" i="484"/>
  <c r="I69" i="484"/>
  <c r="I68" i="484"/>
  <c r="I67" i="484"/>
  <c r="I66" i="484"/>
  <c r="I65" i="484"/>
  <c r="I64" i="484"/>
  <c r="I63" i="484"/>
  <c r="I62" i="484"/>
  <c r="I61" i="484"/>
  <c r="I60" i="484"/>
  <c r="I59" i="484"/>
  <c r="I58" i="484"/>
  <c r="I57" i="484"/>
  <c r="I56" i="484"/>
  <c r="I55" i="484"/>
  <c r="I54" i="484"/>
  <c r="I53" i="484"/>
  <c r="I52" i="484"/>
  <c r="I51" i="484"/>
  <c r="I50" i="484"/>
  <c r="I49" i="484"/>
  <c r="I48" i="484"/>
  <c r="I47" i="484"/>
  <c r="I46" i="484"/>
  <c r="I45" i="484"/>
  <c r="I44" i="484"/>
  <c r="I43" i="484"/>
  <c r="I42" i="484"/>
  <c r="I41" i="484"/>
  <c r="I40" i="484"/>
  <c r="I39" i="484"/>
  <c r="I38" i="484"/>
  <c r="I37" i="484"/>
  <c r="I36" i="484"/>
  <c r="I35" i="484"/>
  <c r="I34" i="484"/>
  <c r="I33" i="484"/>
  <c r="I32" i="484"/>
  <c r="I31" i="484"/>
  <c r="I30" i="484"/>
  <c r="I29" i="484"/>
  <c r="I28" i="484"/>
  <c r="I27" i="484"/>
  <c r="I26" i="484"/>
  <c r="I25" i="484"/>
  <c r="I24" i="484"/>
  <c r="I23" i="484"/>
  <c r="I22" i="484"/>
  <c r="I21" i="484"/>
  <c r="I20" i="484"/>
  <c r="I19" i="484"/>
  <c r="I18" i="484"/>
  <c r="I17" i="484"/>
  <c r="I16" i="484"/>
  <c r="I15" i="484"/>
  <c r="I14" i="484"/>
  <c r="I13" i="484"/>
  <c r="I12" i="484"/>
  <c r="I11" i="484"/>
  <c r="I10" i="484"/>
  <c r="I9" i="484"/>
  <c r="I8" i="484"/>
  <c r="I7" i="484"/>
  <c r="I6" i="484"/>
  <c r="I5" i="484"/>
  <c r="I4" i="484"/>
  <c r="I3" i="484"/>
  <c r="I2" i="484"/>
  <c r="K22" i="482"/>
  <c r="I22" i="482"/>
  <c r="H22" i="482"/>
  <c r="G22" i="482"/>
  <c r="F22" i="482"/>
  <c r="E22" i="482"/>
  <c r="D22" i="482"/>
  <c r="E17" i="13"/>
  <c r="J11" i="254"/>
  <c r="J1089" i="485" l="1"/>
  <c r="B1090" i="485"/>
  <c r="B1078" i="484"/>
  <c r="B1078" i="486"/>
  <c r="D24" i="417"/>
  <c r="C12" i="361"/>
  <c r="C12" i="360"/>
  <c r="C12" i="358"/>
  <c r="B1079" i="486" l="1"/>
  <c r="J1078" i="486"/>
  <c r="J1078" i="484"/>
  <c r="B1079" i="484"/>
  <c r="B1091" i="485"/>
  <c r="J1090" i="485"/>
  <c r="K11" i="13"/>
  <c r="K9" i="13"/>
  <c r="F2" i="482"/>
  <c r="G2" i="482"/>
  <c r="H2" i="482"/>
  <c r="I2" i="482" s="1"/>
  <c r="E2" i="482"/>
  <c r="J1091" i="485" l="1"/>
  <c r="B1092" i="485"/>
  <c r="J1079" i="484"/>
  <c r="B1080" i="484"/>
  <c r="J1079" i="486"/>
  <c r="B1080" i="486"/>
  <c r="C30" i="14"/>
  <c r="C28" i="14"/>
  <c r="P40" i="39"/>
  <c r="P34" i="39"/>
  <c r="H47" i="7"/>
  <c r="E13" i="14"/>
  <c r="E15" i="10"/>
  <c r="K20" i="18"/>
  <c r="G20" i="18"/>
  <c r="I24" i="15"/>
  <c r="I21" i="15"/>
  <c r="I16" i="15"/>
  <c r="F16" i="15"/>
  <c r="C16" i="15"/>
  <c r="P15" i="55"/>
  <c r="P13" i="55"/>
  <c r="P12" i="55"/>
  <c r="P11" i="55"/>
  <c r="P10" i="55"/>
  <c r="L15" i="55"/>
  <c r="L14" i="55"/>
  <c r="L13" i="55"/>
  <c r="L12" i="55"/>
  <c r="L11" i="55"/>
  <c r="L10" i="55"/>
  <c r="H15" i="55"/>
  <c r="H14" i="55"/>
  <c r="H13" i="55"/>
  <c r="H12" i="55"/>
  <c r="H11" i="55"/>
  <c r="H10" i="55"/>
  <c r="B1081" i="486" l="1"/>
  <c r="J1080" i="486"/>
  <c r="B1081" i="484"/>
  <c r="J1080" i="484"/>
  <c r="B1093" i="485"/>
  <c r="J1092" i="485"/>
  <c r="L504" i="100"/>
  <c r="M22" i="7"/>
  <c r="J22" i="7"/>
  <c r="G22" i="7"/>
  <c r="D22" i="7"/>
  <c r="J1093" i="485" l="1"/>
  <c r="B1094" i="485"/>
  <c r="J1081" i="484"/>
  <c r="B1082" i="484"/>
  <c r="J1081" i="486"/>
  <c r="B1082" i="486"/>
  <c r="D11" i="55"/>
  <c r="D12" i="55"/>
  <c r="D13" i="55"/>
  <c r="D14" i="55"/>
  <c r="D15" i="55"/>
  <c r="D10" i="55"/>
  <c r="I1179" i="99"/>
  <c r="J1173" i="99"/>
  <c r="J1179" i="99" s="1"/>
  <c r="I1173" i="99"/>
  <c r="H1173" i="99"/>
  <c r="H1179" i="99" s="1"/>
  <c r="J1171" i="99"/>
  <c r="J1177" i="99" s="1"/>
  <c r="J1181" i="99" s="1"/>
  <c r="I1171" i="99"/>
  <c r="I1177" i="99" s="1"/>
  <c r="I1181" i="99" s="1"/>
  <c r="H1171" i="99"/>
  <c r="H1177" i="99" s="1"/>
  <c r="H1181" i="99" s="1"/>
  <c r="G1173" i="99"/>
  <c r="F1173" i="99"/>
  <c r="E1173" i="99"/>
  <c r="D1173" i="99"/>
  <c r="C1173" i="99"/>
  <c r="B1173" i="99"/>
  <c r="G1171" i="99"/>
  <c r="F1171" i="99"/>
  <c r="E1171" i="99"/>
  <c r="D1171" i="99"/>
  <c r="C1171" i="99"/>
  <c r="B1171" i="99"/>
  <c r="B1083" i="486" l="1"/>
  <c r="J1082" i="486"/>
  <c r="B1083" i="484"/>
  <c r="J1082" i="484"/>
  <c r="B1095" i="485"/>
  <c r="J1094" i="485"/>
  <c r="R2" i="482"/>
  <c r="P14" i="36"/>
  <c r="P10" i="36"/>
  <c r="P11" i="36"/>
  <c r="P12" i="36"/>
  <c r="P13" i="36"/>
  <c r="M10" i="36"/>
  <c r="M11" i="36"/>
  <c r="M12" i="36"/>
  <c r="M13" i="36"/>
  <c r="M14" i="36"/>
  <c r="J10" i="36"/>
  <c r="J11" i="36"/>
  <c r="J12" i="36"/>
  <c r="J13" i="36"/>
  <c r="J14" i="36"/>
  <c r="G10" i="36"/>
  <c r="G11" i="36"/>
  <c r="G12" i="36"/>
  <c r="G13" i="36"/>
  <c r="G14" i="36"/>
  <c r="J11" i="55"/>
  <c r="J12" i="55"/>
  <c r="J13" i="55"/>
  <c r="J14" i="55"/>
  <c r="J15" i="55"/>
  <c r="J10" i="55"/>
  <c r="F11" i="55"/>
  <c r="F12" i="55"/>
  <c r="F13" i="55"/>
  <c r="F14" i="55"/>
  <c r="F15" i="55"/>
  <c r="F10" i="55"/>
  <c r="G14" i="18"/>
  <c r="G15" i="18"/>
  <c r="G16" i="18"/>
  <c r="G17" i="18"/>
  <c r="K14" i="18"/>
  <c r="K15" i="18"/>
  <c r="K16" i="18"/>
  <c r="K17" i="18"/>
  <c r="K18" i="18"/>
  <c r="B1096" i="485" l="1"/>
  <c r="J1095" i="485"/>
  <c r="J1083" i="484"/>
  <c r="B1084" i="484"/>
  <c r="J1083" i="486"/>
  <c r="B1084" i="486"/>
  <c r="K6" i="316"/>
  <c r="K7" i="316"/>
  <c r="K8" i="316"/>
  <c r="K9" i="316"/>
  <c r="K10" i="316"/>
  <c r="K11" i="316"/>
  <c r="K12" i="316"/>
  <c r="K13" i="316"/>
  <c r="K14" i="316"/>
  <c r="K15" i="316"/>
  <c r="K16" i="316"/>
  <c r="K17" i="316"/>
  <c r="K18" i="316"/>
  <c r="K19" i="316"/>
  <c r="K20" i="316"/>
  <c r="K21" i="316"/>
  <c r="K22" i="316"/>
  <c r="K23" i="316"/>
  <c r="K24" i="316"/>
  <c r="K25" i="316"/>
  <c r="K26" i="316"/>
  <c r="K27" i="316"/>
  <c r="K28" i="316"/>
  <c r="K29" i="316"/>
  <c r="K30" i="316"/>
  <c r="K31" i="316"/>
  <c r="K32" i="316"/>
  <c r="K33" i="316"/>
  <c r="K34" i="316"/>
  <c r="K35" i="316"/>
  <c r="K36" i="316"/>
  <c r="K37" i="316"/>
  <c r="K38" i="316"/>
  <c r="K39" i="316"/>
  <c r="K40" i="316"/>
  <c r="K41" i="316"/>
  <c r="K42" i="316"/>
  <c r="K43" i="316"/>
  <c r="K44" i="316"/>
  <c r="K45" i="316"/>
  <c r="K46" i="316"/>
  <c r="K47" i="316"/>
  <c r="K48" i="316"/>
  <c r="K49" i="316"/>
  <c r="K50" i="316"/>
  <c r="K51" i="316"/>
  <c r="K52" i="316"/>
  <c r="K53" i="316"/>
  <c r="K54" i="316"/>
  <c r="K55" i="316"/>
  <c r="K56" i="316"/>
  <c r="K57" i="316"/>
  <c r="K58" i="316"/>
  <c r="K59" i="316"/>
  <c r="K60" i="316"/>
  <c r="K61" i="316"/>
  <c r="K62" i="316"/>
  <c r="K63" i="316"/>
  <c r="K64" i="316"/>
  <c r="K65" i="316"/>
  <c r="K66" i="316"/>
  <c r="K67" i="316"/>
  <c r="K68" i="316"/>
  <c r="K69" i="316"/>
  <c r="K70" i="316"/>
  <c r="K71" i="316"/>
  <c r="K72" i="316"/>
  <c r="K73" i="316"/>
  <c r="K74" i="316"/>
  <c r="K75" i="316"/>
  <c r="K76" i="316"/>
  <c r="K77" i="316"/>
  <c r="K78" i="316"/>
  <c r="K79" i="316"/>
  <c r="K80" i="316"/>
  <c r="K81" i="316"/>
  <c r="K82" i="316"/>
  <c r="K83" i="316"/>
  <c r="K84" i="316"/>
  <c r="K85" i="316"/>
  <c r="K86" i="316"/>
  <c r="K87" i="316"/>
  <c r="K88" i="316"/>
  <c r="K89" i="316"/>
  <c r="K90" i="316"/>
  <c r="K91" i="316"/>
  <c r="K92" i="316"/>
  <c r="K93" i="316"/>
  <c r="K94" i="316"/>
  <c r="K95" i="316"/>
  <c r="K96" i="316"/>
  <c r="K97" i="316"/>
  <c r="K98" i="316"/>
  <c r="K99" i="316"/>
  <c r="K100" i="316"/>
  <c r="K101" i="316"/>
  <c r="K102" i="316"/>
  <c r="K103" i="316"/>
  <c r="K104" i="316"/>
  <c r="K105" i="316"/>
  <c r="K106" i="316"/>
  <c r="K107" i="316"/>
  <c r="K108" i="316"/>
  <c r="K109" i="316"/>
  <c r="K110" i="316"/>
  <c r="K111" i="316"/>
  <c r="K112" i="316"/>
  <c r="K113" i="316"/>
  <c r="K114" i="316"/>
  <c r="K115" i="316"/>
  <c r="K116" i="316"/>
  <c r="K117" i="316"/>
  <c r="K118" i="316"/>
  <c r="K119" i="316"/>
  <c r="K120" i="316"/>
  <c r="K121" i="316"/>
  <c r="K122" i="316"/>
  <c r="K123" i="316"/>
  <c r="K124" i="316"/>
  <c r="K125" i="316"/>
  <c r="K126" i="316"/>
  <c r="K127" i="316"/>
  <c r="K128" i="316"/>
  <c r="K129" i="316"/>
  <c r="K130" i="316"/>
  <c r="K131" i="316"/>
  <c r="K132" i="316"/>
  <c r="K133" i="316"/>
  <c r="K134" i="316"/>
  <c r="K135" i="316"/>
  <c r="K136" i="316"/>
  <c r="K137" i="316"/>
  <c r="K138" i="316"/>
  <c r="K139" i="316"/>
  <c r="K140" i="316"/>
  <c r="K141" i="316"/>
  <c r="K142" i="316"/>
  <c r="K143" i="316"/>
  <c r="K144" i="316"/>
  <c r="K145" i="316"/>
  <c r="K146" i="316"/>
  <c r="K147" i="316"/>
  <c r="K148" i="316"/>
  <c r="K149" i="316"/>
  <c r="K150" i="316"/>
  <c r="K151" i="316"/>
  <c r="K152" i="316"/>
  <c r="K153" i="316"/>
  <c r="K154" i="316"/>
  <c r="K155" i="316"/>
  <c r="K156" i="316"/>
  <c r="K157" i="316"/>
  <c r="K158" i="316"/>
  <c r="K159" i="316"/>
  <c r="K160" i="316"/>
  <c r="K161" i="316"/>
  <c r="K162" i="316"/>
  <c r="K163" i="316"/>
  <c r="K164" i="316"/>
  <c r="K165" i="316"/>
  <c r="K166" i="316"/>
  <c r="K167" i="316"/>
  <c r="K168" i="316"/>
  <c r="K169" i="316"/>
  <c r="K170" i="316"/>
  <c r="K171" i="316"/>
  <c r="K172" i="316"/>
  <c r="K173" i="316"/>
  <c r="K174" i="316"/>
  <c r="K175" i="316"/>
  <c r="K176" i="316"/>
  <c r="K177" i="316"/>
  <c r="K178" i="316"/>
  <c r="K179" i="316"/>
  <c r="K180" i="316"/>
  <c r="K181" i="316"/>
  <c r="K182" i="316"/>
  <c r="K183" i="316"/>
  <c r="K184" i="316"/>
  <c r="K185" i="316"/>
  <c r="K186" i="316"/>
  <c r="K187" i="316"/>
  <c r="K188" i="316"/>
  <c r="K189" i="316"/>
  <c r="K190" i="316"/>
  <c r="K191" i="316"/>
  <c r="K192" i="316"/>
  <c r="K193" i="316"/>
  <c r="K194" i="316"/>
  <c r="K195" i="316"/>
  <c r="K196" i="316"/>
  <c r="K197" i="316"/>
  <c r="K198" i="316"/>
  <c r="K199" i="316"/>
  <c r="K200" i="316"/>
  <c r="K201" i="316"/>
  <c r="K202" i="316"/>
  <c r="K203" i="316"/>
  <c r="K204" i="316"/>
  <c r="K205" i="316"/>
  <c r="K206" i="316"/>
  <c r="K207" i="316"/>
  <c r="K208" i="316"/>
  <c r="K209" i="316"/>
  <c r="K210" i="316"/>
  <c r="K211" i="316"/>
  <c r="K212" i="316"/>
  <c r="K213" i="316"/>
  <c r="K214" i="316"/>
  <c r="K215" i="316"/>
  <c r="K216" i="316"/>
  <c r="K217" i="316"/>
  <c r="K218" i="316"/>
  <c r="K219" i="316"/>
  <c r="K220" i="316"/>
  <c r="K221" i="316"/>
  <c r="K222" i="316"/>
  <c r="K223" i="316"/>
  <c r="K224" i="316"/>
  <c r="K225" i="316"/>
  <c r="K226" i="316"/>
  <c r="K227" i="316"/>
  <c r="K228" i="316"/>
  <c r="K229" i="316"/>
  <c r="K230" i="316"/>
  <c r="K231" i="316"/>
  <c r="K232" i="316"/>
  <c r="K233" i="316"/>
  <c r="K234" i="316"/>
  <c r="K235" i="316"/>
  <c r="K236" i="316"/>
  <c r="K237" i="316"/>
  <c r="K238" i="316"/>
  <c r="K239" i="316"/>
  <c r="K240" i="316"/>
  <c r="K241" i="316"/>
  <c r="K242" i="316"/>
  <c r="K243" i="316"/>
  <c r="K244" i="316"/>
  <c r="K245" i="316"/>
  <c r="K246" i="316"/>
  <c r="K247" i="316"/>
  <c r="K248" i="316"/>
  <c r="K249" i="316"/>
  <c r="K250" i="316"/>
  <c r="K251" i="316"/>
  <c r="K252" i="316"/>
  <c r="K253" i="316"/>
  <c r="K254" i="316"/>
  <c r="K255" i="316"/>
  <c r="K256" i="316"/>
  <c r="K257" i="316"/>
  <c r="K258" i="316"/>
  <c r="K259" i="316"/>
  <c r="K260" i="316"/>
  <c r="K261" i="316"/>
  <c r="K262" i="316"/>
  <c r="K263" i="316"/>
  <c r="K264" i="316"/>
  <c r="K265" i="316"/>
  <c r="K266" i="316"/>
  <c r="K267" i="316"/>
  <c r="K268" i="316"/>
  <c r="K269" i="316"/>
  <c r="K270" i="316"/>
  <c r="K271" i="316"/>
  <c r="K272" i="316"/>
  <c r="K273" i="316"/>
  <c r="K274" i="316"/>
  <c r="K275" i="316"/>
  <c r="K276" i="316"/>
  <c r="K277" i="316"/>
  <c r="K278" i="316"/>
  <c r="K279" i="316"/>
  <c r="K280" i="316"/>
  <c r="K281" i="316"/>
  <c r="K282" i="316"/>
  <c r="K283" i="316"/>
  <c r="K284" i="316"/>
  <c r="K285" i="316"/>
  <c r="K286" i="316"/>
  <c r="K287" i="316"/>
  <c r="K288" i="316"/>
  <c r="K289" i="316"/>
  <c r="K290" i="316"/>
  <c r="K291" i="316"/>
  <c r="K292" i="316"/>
  <c r="K293" i="316"/>
  <c r="K294" i="316"/>
  <c r="K295" i="316"/>
  <c r="K296" i="316"/>
  <c r="K297" i="316"/>
  <c r="K298" i="316"/>
  <c r="K299" i="316"/>
  <c r="K300" i="316"/>
  <c r="K301" i="316"/>
  <c r="K302" i="316"/>
  <c r="K303" i="316"/>
  <c r="K304" i="316"/>
  <c r="K305" i="316"/>
  <c r="K306" i="316"/>
  <c r="K307" i="316"/>
  <c r="K308" i="316"/>
  <c r="K309" i="316"/>
  <c r="K310" i="316"/>
  <c r="K311" i="316"/>
  <c r="K312" i="316"/>
  <c r="K313" i="316"/>
  <c r="K314" i="316"/>
  <c r="K315" i="316"/>
  <c r="K316" i="316"/>
  <c r="K317" i="316"/>
  <c r="K318" i="316"/>
  <c r="K319" i="316"/>
  <c r="K320" i="316"/>
  <c r="K321" i="316"/>
  <c r="K322" i="316"/>
  <c r="K323" i="316"/>
  <c r="K324" i="316"/>
  <c r="K325" i="316"/>
  <c r="K326" i="316"/>
  <c r="K327" i="316"/>
  <c r="K328" i="316"/>
  <c r="K329" i="316"/>
  <c r="K330" i="316"/>
  <c r="K331" i="316"/>
  <c r="K332" i="316"/>
  <c r="K333" i="316"/>
  <c r="K334" i="316"/>
  <c r="K335" i="316"/>
  <c r="K336" i="316"/>
  <c r="K337" i="316"/>
  <c r="K338" i="316"/>
  <c r="K339" i="316"/>
  <c r="K340" i="316"/>
  <c r="K341" i="316"/>
  <c r="K342" i="316"/>
  <c r="K343" i="316"/>
  <c r="K344" i="316"/>
  <c r="K345" i="316"/>
  <c r="K346" i="316"/>
  <c r="K347" i="316"/>
  <c r="K348" i="316"/>
  <c r="K349" i="316"/>
  <c r="K350" i="316"/>
  <c r="K351" i="316"/>
  <c r="K352" i="316"/>
  <c r="K353" i="316"/>
  <c r="K354" i="316"/>
  <c r="K355" i="316"/>
  <c r="K356" i="316"/>
  <c r="K357" i="316"/>
  <c r="K358" i="316"/>
  <c r="K359" i="316"/>
  <c r="K360" i="316"/>
  <c r="K361" i="316"/>
  <c r="K362" i="316"/>
  <c r="K363" i="316"/>
  <c r="K364" i="316"/>
  <c r="K365" i="316"/>
  <c r="K366" i="316"/>
  <c r="K367" i="316"/>
  <c r="K368" i="316"/>
  <c r="K369" i="316"/>
  <c r="K370" i="316"/>
  <c r="K371" i="316"/>
  <c r="K372" i="316"/>
  <c r="K373" i="316"/>
  <c r="K374" i="316"/>
  <c r="K375" i="316"/>
  <c r="K376" i="316"/>
  <c r="K377" i="316"/>
  <c r="K378" i="316"/>
  <c r="K379" i="316"/>
  <c r="K380" i="316"/>
  <c r="K381" i="316"/>
  <c r="K382" i="316"/>
  <c r="K383" i="316"/>
  <c r="K384" i="316"/>
  <c r="K385" i="316"/>
  <c r="K386" i="316"/>
  <c r="K387" i="316"/>
  <c r="K388" i="316"/>
  <c r="K389" i="316"/>
  <c r="K390" i="316"/>
  <c r="K391" i="316"/>
  <c r="K392" i="316"/>
  <c r="K393" i="316"/>
  <c r="K394" i="316"/>
  <c r="K395" i="316"/>
  <c r="K396" i="316"/>
  <c r="K397" i="316"/>
  <c r="K398" i="316"/>
  <c r="K399" i="316"/>
  <c r="K400" i="316"/>
  <c r="K401" i="316"/>
  <c r="K402" i="316"/>
  <c r="K403" i="316"/>
  <c r="K404" i="316"/>
  <c r="K405" i="316"/>
  <c r="K406" i="316"/>
  <c r="K407" i="316"/>
  <c r="K408" i="316"/>
  <c r="K409" i="316"/>
  <c r="K410" i="316"/>
  <c r="K411" i="316"/>
  <c r="K412" i="316"/>
  <c r="K413" i="316"/>
  <c r="K414" i="316"/>
  <c r="K415" i="316"/>
  <c r="K416" i="316"/>
  <c r="K417" i="316"/>
  <c r="K418" i="316"/>
  <c r="K419" i="316"/>
  <c r="K420" i="316"/>
  <c r="K421" i="316"/>
  <c r="K422" i="316"/>
  <c r="K423" i="316"/>
  <c r="K424" i="316"/>
  <c r="K425" i="316"/>
  <c r="K426" i="316"/>
  <c r="K427" i="316"/>
  <c r="K428" i="316"/>
  <c r="K429" i="316"/>
  <c r="K430" i="316"/>
  <c r="K431" i="316"/>
  <c r="K432" i="316"/>
  <c r="K433" i="316"/>
  <c r="K434" i="316"/>
  <c r="K435" i="316"/>
  <c r="K436" i="316"/>
  <c r="K437" i="316"/>
  <c r="K438" i="316"/>
  <c r="K439" i="316"/>
  <c r="K440" i="316"/>
  <c r="K441" i="316"/>
  <c r="K442" i="316"/>
  <c r="K443" i="316"/>
  <c r="K444" i="316"/>
  <c r="K445" i="316"/>
  <c r="K446" i="316"/>
  <c r="K447" i="316"/>
  <c r="K448" i="316"/>
  <c r="K449" i="316"/>
  <c r="K450" i="316"/>
  <c r="K451" i="316"/>
  <c r="K452" i="316"/>
  <c r="K453" i="316"/>
  <c r="K454" i="316"/>
  <c r="K455" i="316"/>
  <c r="K456" i="316"/>
  <c r="K457" i="316"/>
  <c r="K458" i="316"/>
  <c r="K459" i="316"/>
  <c r="K460" i="316"/>
  <c r="K461" i="316"/>
  <c r="K462" i="316"/>
  <c r="K463" i="316"/>
  <c r="K464" i="316"/>
  <c r="K465" i="316"/>
  <c r="K466" i="316"/>
  <c r="K467" i="316"/>
  <c r="K468" i="316"/>
  <c r="K469" i="316"/>
  <c r="K470" i="316"/>
  <c r="K471" i="316"/>
  <c r="K472" i="316"/>
  <c r="K473" i="316"/>
  <c r="K474" i="316"/>
  <c r="K475" i="316"/>
  <c r="K476" i="316"/>
  <c r="K477" i="316"/>
  <c r="K478" i="316"/>
  <c r="K479" i="316"/>
  <c r="K480" i="316"/>
  <c r="K481" i="316"/>
  <c r="K482" i="316"/>
  <c r="K483" i="316"/>
  <c r="K484" i="316"/>
  <c r="K485" i="316"/>
  <c r="K486" i="316"/>
  <c r="K487" i="316"/>
  <c r="K488" i="316"/>
  <c r="K489" i="316"/>
  <c r="K490" i="316"/>
  <c r="K491" i="316"/>
  <c r="K492" i="316"/>
  <c r="K493" i="316"/>
  <c r="K494" i="316"/>
  <c r="K495" i="316"/>
  <c r="K496" i="316"/>
  <c r="K497" i="316"/>
  <c r="K498" i="316"/>
  <c r="K499" i="316"/>
  <c r="K500" i="316"/>
  <c r="K501" i="316"/>
  <c r="K502" i="316"/>
  <c r="K503" i="316"/>
  <c r="K504" i="316"/>
  <c r="K505" i="316"/>
  <c r="K506" i="316"/>
  <c r="K507" i="316"/>
  <c r="K508" i="316"/>
  <c r="K509" i="316"/>
  <c r="K510" i="316"/>
  <c r="K511" i="316"/>
  <c r="K512" i="316"/>
  <c r="K513" i="316"/>
  <c r="K514" i="316"/>
  <c r="K515" i="316"/>
  <c r="K516" i="316"/>
  <c r="K517" i="316"/>
  <c r="K518" i="316"/>
  <c r="K519" i="316"/>
  <c r="K520" i="316"/>
  <c r="K521" i="316"/>
  <c r="K522" i="316"/>
  <c r="K523" i="316"/>
  <c r="K524" i="316"/>
  <c r="K525" i="316"/>
  <c r="K526" i="316"/>
  <c r="K527" i="316"/>
  <c r="K528" i="316"/>
  <c r="K529" i="316"/>
  <c r="K530" i="316"/>
  <c r="K531" i="316"/>
  <c r="K532" i="316"/>
  <c r="K533" i="316"/>
  <c r="K534" i="316"/>
  <c r="K535" i="316"/>
  <c r="K536" i="316"/>
  <c r="K537" i="316"/>
  <c r="K538" i="316"/>
  <c r="K539" i="316"/>
  <c r="K540" i="316"/>
  <c r="K541" i="316"/>
  <c r="K542" i="316"/>
  <c r="K543" i="316"/>
  <c r="K544" i="316"/>
  <c r="K545" i="316"/>
  <c r="K546" i="316"/>
  <c r="K547" i="316"/>
  <c r="K548" i="316"/>
  <c r="K549" i="316"/>
  <c r="K550" i="316"/>
  <c r="K551" i="316"/>
  <c r="K552" i="316"/>
  <c r="K553" i="316"/>
  <c r="K554" i="316"/>
  <c r="K555" i="316"/>
  <c r="K556" i="316"/>
  <c r="K557" i="316"/>
  <c r="K558" i="316"/>
  <c r="K559" i="316"/>
  <c r="K560" i="316"/>
  <c r="K561" i="316"/>
  <c r="K562" i="316"/>
  <c r="K563" i="316"/>
  <c r="K564" i="316"/>
  <c r="K565" i="316"/>
  <c r="K566" i="316"/>
  <c r="K567" i="316"/>
  <c r="K568" i="316"/>
  <c r="K569" i="316"/>
  <c r="K570" i="316"/>
  <c r="K571" i="316"/>
  <c r="K572" i="316"/>
  <c r="K573" i="316"/>
  <c r="K574" i="316"/>
  <c r="K575" i="316"/>
  <c r="K576" i="316"/>
  <c r="K577" i="316"/>
  <c r="K578" i="316"/>
  <c r="K579" i="316"/>
  <c r="K580" i="316"/>
  <c r="K581" i="316"/>
  <c r="K582" i="316"/>
  <c r="K583" i="316"/>
  <c r="K584" i="316"/>
  <c r="K585" i="316"/>
  <c r="K586" i="316"/>
  <c r="K587" i="316"/>
  <c r="K588" i="316"/>
  <c r="K589" i="316"/>
  <c r="K590" i="316"/>
  <c r="K591" i="316"/>
  <c r="K592" i="316"/>
  <c r="K593" i="316"/>
  <c r="K594" i="316"/>
  <c r="K595" i="316"/>
  <c r="K596" i="316"/>
  <c r="K597" i="316"/>
  <c r="K598" i="316"/>
  <c r="K599" i="316"/>
  <c r="K600" i="316"/>
  <c r="K601" i="316"/>
  <c r="K602" i="316"/>
  <c r="K603" i="316"/>
  <c r="K604" i="316"/>
  <c r="K605" i="316"/>
  <c r="K606" i="316"/>
  <c r="K607" i="316"/>
  <c r="K608" i="316"/>
  <c r="K609" i="316"/>
  <c r="K610" i="316"/>
  <c r="K611" i="316"/>
  <c r="K612" i="316"/>
  <c r="K613" i="316"/>
  <c r="K614" i="316"/>
  <c r="K615" i="316"/>
  <c r="K616" i="316"/>
  <c r="K617" i="316"/>
  <c r="K618" i="316"/>
  <c r="K619" i="316"/>
  <c r="K620" i="316"/>
  <c r="K621" i="316"/>
  <c r="K622" i="316"/>
  <c r="K623" i="316"/>
  <c r="K624" i="316"/>
  <c r="K625" i="316"/>
  <c r="K626" i="316"/>
  <c r="K627" i="316"/>
  <c r="K628" i="316"/>
  <c r="K629" i="316"/>
  <c r="K630" i="316"/>
  <c r="K631" i="316"/>
  <c r="K632" i="316"/>
  <c r="K633" i="316"/>
  <c r="K634" i="316"/>
  <c r="K635" i="316"/>
  <c r="K636" i="316"/>
  <c r="K637" i="316"/>
  <c r="K638" i="316"/>
  <c r="K639" i="316"/>
  <c r="K640" i="316"/>
  <c r="K641" i="316"/>
  <c r="K642" i="316"/>
  <c r="K643" i="316"/>
  <c r="K644" i="316"/>
  <c r="K645" i="316"/>
  <c r="K646" i="316"/>
  <c r="K647" i="316"/>
  <c r="K648" i="316"/>
  <c r="K649" i="316"/>
  <c r="K650" i="316"/>
  <c r="K651" i="316"/>
  <c r="K652" i="316"/>
  <c r="K653" i="316"/>
  <c r="K654" i="316"/>
  <c r="K655" i="316"/>
  <c r="K656" i="316"/>
  <c r="K657" i="316"/>
  <c r="K658" i="316"/>
  <c r="K659" i="316"/>
  <c r="K660" i="316"/>
  <c r="K661" i="316"/>
  <c r="K662" i="316"/>
  <c r="K663" i="316"/>
  <c r="K664" i="316"/>
  <c r="K665" i="316"/>
  <c r="K666" i="316"/>
  <c r="K667" i="316"/>
  <c r="K668" i="316"/>
  <c r="K669" i="316"/>
  <c r="K670" i="316"/>
  <c r="K671" i="316"/>
  <c r="K672" i="316"/>
  <c r="K673" i="316"/>
  <c r="K674" i="316"/>
  <c r="K675" i="316"/>
  <c r="K676" i="316"/>
  <c r="K677" i="316"/>
  <c r="K678" i="316"/>
  <c r="K679" i="316"/>
  <c r="K680" i="316"/>
  <c r="K681" i="316"/>
  <c r="K682" i="316"/>
  <c r="K683" i="316"/>
  <c r="K684" i="316"/>
  <c r="K685" i="316"/>
  <c r="K686" i="316"/>
  <c r="K687" i="316"/>
  <c r="K688" i="316"/>
  <c r="K689" i="316"/>
  <c r="K690" i="316"/>
  <c r="K691" i="316"/>
  <c r="K692" i="316"/>
  <c r="K693" i="316"/>
  <c r="K694" i="316"/>
  <c r="K695" i="316"/>
  <c r="K696" i="316"/>
  <c r="K697" i="316"/>
  <c r="K698" i="316"/>
  <c r="K699" i="316"/>
  <c r="K700" i="316"/>
  <c r="K701" i="316"/>
  <c r="K702" i="316"/>
  <c r="K703" i="316"/>
  <c r="K704" i="316"/>
  <c r="K705" i="316"/>
  <c r="K706" i="316"/>
  <c r="K707" i="316"/>
  <c r="K708" i="316"/>
  <c r="K709" i="316"/>
  <c r="K710" i="316"/>
  <c r="K711" i="316"/>
  <c r="K712" i="316"/>
  <c r="K713" i="316"/>
  <c r="K714" i="316"/>
  <c r="K715" i="316"/>
  <c r="K716" i="316"/>
  <c r="K717" i="316"/>
  <c r="K718" i="316"/>
  <c r="K719" i="316"/>
  <c r="K720" i="316"/>
  <c r="K721" i="316"/>
  <c r="K722" i="316"/>
  <c r="K723" i="316"/>
  <c r="K724" i="316"/>
  <c r="K725" i="316"/>
  <c r="K726" i="316"/>
  <c r="K727" i="316"/>
  <c r="K728" i="316"/>
  <c r="K729" i="316"/>
  <c r="K730" i="316"/>
  <c r="K731" i="316"/>
  <c r="K732" i="316"/>
  <c r="K733" i="316"/>
  <c r="K734" i="316"/>
  <c r="K735" i="316"/>
  <c r="K736" i="316"/>
  <c r="K737" i="316"/>
  <c r="K738" i="316"/>
  <c r="K739" i="316"/>
  <c r="K740" i="316"/>
  <c r="K741" i="316"/>
  <c r="K742" i="316"/>
  <c r="K743" i="316"/>
  <c r="K744" i="316"/>
  <c r="K745" i="316"/>
  <c r="K746" i="316"/>
  <c r="K747" i="316"/>
  <c r="K748" i="316"/>
  <c r="K749" i="316"/>
  <c r="K750" i="316"/>
  <c r="K751" i="316"/>
  <c r="K752" i="316"/>
  <c r="K753" i="316"/>
  <c r="K754" i="316"/>
  <c r="K755" i="316"/>
  <c r="K756" i="316"/>
  <c r="K757" i="316"/>
  <c r="K758" i="316"/>
  <c r="K759" i="316"/>
  <c r="K760" i="316"/>
  <c r="K761" i="316"/>
  <c r="K762" i="316"/>
  <c r="K763" i="316"/>
  <c r="K764" i="316"/>
  <c r="K765" i="316"/>
  <c r="K766" i="316"/>
  <c r="K767" i="316"/>
  <c r="K768" i="316"/>
  <c r="K769" i="316"/>
  <c r="K770" i="316"/>
  <c r="K771" i="316"/>
  <c r="K772" i="316"/>
  <c r="K773" i="316"/>
  <c r="K774" i="316"/>
  <c r="K775" i="316"/>
  <c r="K776" i="316"/>
  <c r="K777" i="316"/>
  <c r="K778" i="316"/>
  <c r="K779" i="316"/>
  <c r="K780" i="316"/>
  <c r="K781" i="316"/>
  <c r="K782" i="316"/>
  <c r="K783" i="316"/>
  <c r="K784" i="316"/>
  <c r="K785" i="316"/>
  <c r="K786" i="316"/>
  <c r="K787" i="316"/>
  <c r="K788" i="316"/>
  <c r="K789" i="316"/>
  <c r="K790" i="316"/>
  <c r="K791" i="316"/>
  <c r="K792" i="316"/>
  <c r="K793" i="316"/>
  <c r="K794" i="316"/>
  <c r="K795" i="316"/>
  <c r="K796" i="316"/>
  <c r="K797" i="316"/>
  <c r="K798" i="316"/>
  <c r="K799" i="316"/>
  <c r="K800" i="316"/>
  <c r="K801" i="316"/>
  <c r="K802" i="316"/>
  <c r="K803" i="316"/>
  <c r="K804" i="316"/>
  <c r="K805" i="316"/>
  <c r="K806" i="316"/>
  <c r="K807" i="316"/>
  <c r="K808" i="316"/>
  <c r="K809" i="316"/>
  <c r="K810" i="316"/>
  <c r="K811" i="316"/>
  <c r="K812" i="316"/>
  <c r="K813" i="316"/>
  <c r="K814" i="316"/>
  <c r="K815" i="316"/>
  <c r="K816" i="316"/>
  <c r="K817" i="316"/>
  <c r="K818" i="316"/>
  <c r="K819" i="316"/>
  <c r="K820" i="316"/>
  <c r="K821" i="316"/>
  <c r="K822" i="316"/>
  <c r="K823" i="316"/>
  <c r="B1085" i="486" l="1"/>
  <c r="J1084" i="486"/>
  <c r="B1085" i="484"/>
  <c r="J1084" i="484"/>
  <c r="B1097" i="485"/>
  <c r="J1096" i="485"/>
  <c r="A847" i="316"/>
  <c r="H10" i="37"/>
  <c r="H11" i="37"/>
  <c r="H12" i="37"/>
  <c r="H13" i="37"/>
  <c r="H14" i="37"/>
  <c r="E28" i="34"/>
  <c r="M10" i="39"/>
  <c r="M11" i="39"/>
  <c r="M12" i="39"/>
  <c r="M13" i="39"/>
  <c r="M14" i="39"/>
  <c r="M15" i="39"/>
  <c r="M16" i="39"/>
  <c r="M17" i="39"/>
  <c r="M18" i="39"/>
  <c r="M19" i="39"/>
  <c r="M20" i="39"/>
  <c r="M21" i="39"/>
  <c r="M22" i="39"/>
  <c r="P22" i="39" s="1"/>
  <c r="M23" i="39"/>
  <c r="M24" i="39"/>
  <c r="M25" i="39"/>
  <c r="M26" i="39"/>
  <c r="M27" i="39"/>
  <c r="M28" i="39"/>
  <c r="M29" i="39"/>
  <c r="M30" i="39"/>
  <c r="P30" i="39" s="1"/>
  <c r="M31" i="39"/>
  <c r="P31" i="39" s="1"/>
  <c r="M32" i="39"/>
  <c r="M33" i="39"/>
  <c r="M34" i="39"/>
  <c r="M35" i="39"/>
  <c r="M36" i="39"/>
  <c r="M37" i="39"/>
  <c r="M38" i="39"/>
  <c r="M39" i="39"/>
  <c r="M40" i="39"/>
  <c r="M41" i="39"/>
  <c r="M42" i="39"/>
  <c r="M43" i="39"/>
  <c r="M44" i="39"/>
  <c r="M45" i="39"/>
  <c r="P45" i="39" s="1"/>
  <c r="M46" i="39"/>
  <c r="M47" i="39"/>
  <c r="J10" i="39"/>
  <c r="J11" i="39"/>
  <c r="J12" i="39"/>
  <c r="J13" i="39"/>
  <c r="J14" i="39"/>
  <c r="J15" i="39"/>
  <c r="J16" i="39"/>
  <c r="J17" i="39"/>
  <c r="J18" i="39"/>
  <c r="P18" i="39" s="1"/>
  <c r="J19" i="39"/>
  <c r="J20" i="39"/>
  <c r="J21" i="39"/>
  <c r="J22" i="39"/>
  <c r="J23" i="39"/>
  <c r="J24" i="39"/>
  <c r="J25" i="39"/>
  <c r="J26" i="39"/>
  <c r="J27" i="39"/>
  <c r="J28" i="39"/>
  <c r="J29" i="39"/>
  <c r="J30" i="39"/>
  <c r="J31" i="39"/>
  <c r="J32" i="39"/>
  <c r="P32" i="39" s="1"/>
  <c r="J33" i="39"/>
  <c r="J34" i="39"/>
  <c r="J35" i="39"/>
  <c r="J36" i="39"/>
  <c r="P36" i="39" s="1"/>
  <c r="J37" i="39"/>
  <c r="J38" i="39"/>
  <c r="J39" i="39"/>
  <c r="J40" i="39"/>
  <c r="J41" i="39"/>
  <c r="J42" i="39"/>
  <c r="J43" i="39"/>
  <c r="J44" i="39"/>
  <c r="J45" i="39"/>
  <c r="J46" i="39"/>
  <c r="J47" i="39"/>
  <c r="G10" i="39"/>
  <c r="G11" i="39"/>
  <c r="G12" i="39"/>
  <c r="G13" i="39"/>
  <c r="G14" i="39"/>
  <c r="G15" i="39"/>
  <c r="G16" i="39"/>
  <c r="G17" i="39"/>
  <c r="G18" i="39"/>
  <c r="G19" i="39"/>
  <c r="G20" i="39"/>
  <c r="G21" i="39"/>
  <c r="P21" i="39" s="1"/>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P10" i="39"/>
  <c r="P11" i="39"/>
  <c r="P12" i="39"/>
  <c r="P13" i="39"/>
  <c r="P14" i="39"/>
  <c r="P19" i="39"/>
  <c r="P20" i="39"/>
  <c r="P26" i="39"/>
  <c r="P27" i="39"/>
  <c r="P28" i="39"/>
  <c r="P29" i="39"/>
  <c r="P35" i="39"/>
  <c r="P37" i="39"/>
  <c r="P41" i="39"/>
  <c r="P42" i="39"/>
  <c r="P43" i="39"/>
  <c r="P44" i="39"/>
  <c r="B9" i="150"/>
  <c r="C49" i="10"/>
  <c r="F503" i="152"/>
  <c r="F502" i="152"/>
  <c r="F501" i="152"/>
  <c r="F500" i="152"/>
  <c r="F499" i="152"/>
  <c r="F498" i="152"/>
  <c r="F497" i="152"/>
  <c r="F496" i="152"/>
  <c r="F495" i="152"/>
  <c r="G494" i="152"/>
  <c r="H494" i="152" s="1"/>
  <c r="F494" i="152"/>
  <c r="F493" i="152"/>
  <c r="F492" i="152"/>
  <c r="F491" i="152"/>
  <c r="F490" i="152"/>
  <c r="F489" i="152"/>
  <c r="F488" i="152"/>
  <c r="F487" i="152"/>
  <c r="F486" i="152"/>
  <c r="F485" i="152"/>
  <c r="F484" i="152"/>
  <c r="F483" i="152"/>
  <c r="F482" i="152"/>
  <c r="F481" i="152"/>
  <c r="F480" i="152"/>
  <c r="G480" i="152" s="1"/>
  <c r="H480" i="152" s="1"/>
  <c r="F479" i="152"/>
  <c r="F478" i="152"/>
  <c r="F477" i="152"/>
  <c r="F476" i="152"/>
  <c r="H475" i="152"/>
  <c r="G475" i="152"/>
  <c r="F475" i="152"/>
  <c r="F474" i="152"/>
  <c r="F473" i="152"/>
  <c r="F472" i="152"/>
  <c r="F471" i="152"/>
  <c r="F470" i="152"/>
  <c r="F469" i="152"/>
  <c r="F468" i="152"/>
  <c r="F467" i="152"/>
  <c r="F466" i="152"/>
  <c r="F465" i="152"/>
  <c r="F464" i="152"/>
  <c r="F463" i="152"/>
  <c r="F462" i="152"/>
  <c r="F461" i="152"/>
  <c r="F460" i="152"/>
  <c r="F459" i="152"/>
  <c r="F458" i="152"/>
  <c r="F457" i="152"/>
  <c r="F456" i="152"/>
  <c r="G456" i="152" s="1"/>
  <c r="H456" i="152" s="1"/>
  <c r="F455" i="152"/>
  <c r="F454" i="152"/>
  <c r="F453" i="152"/>
  <c r="F452" i="152"/>
  <c r="H451" i="152"/>
  <c r="G451" i="152"/>
  <c r="F451" i="152"/>
  <c r="F450" i="152"/>
  <c r="F449" i="152"/>
  <c r="F448" i="152"/>
  <c r="F447" i="152"/>
  <c r="F446" i="152"/>
  <c r="F445" i="152"/>
  <c r="F444" i="152"/>
  <c r="G444" i="152" s="1"/>
  <c r="H444" i="152" s="1"/>
  <c r="F443" i="152"/>
  <c r="F442" i="152"/>
  <c r="F441" i="152"/>
  <c r="F440" i="152"/>
  <c r="F439" i="152"/>
  <c r="F438" i="152"/>
  <c r="F437" i="152"/>
  <c r="F436" i="152"/>
  <c r="F435" i="152"/>
  <c r="F434" i="152"/>
  <c r="F433" i="152"/>
  <c r="F432" i="152"/>
  <c r="F431" i="152"/>
  <c r="F430" i="152"/>
  <c r="F429" i="152"/>
  <c r="F428" i="152"/>
  <c r="F427" i="152"/>
  <c r="F426" i="152"/>
  <c r="F425" i="152"/>
  <c r="F424" i="152"/>
  <c r="F423" i="152"/>
  <c r="F422" i="152"/>
  <c r="F421" i="152"/>
  <c r="F420" i="152"/>
  <c r="F419" i="152"/>
  <c r="F418" i="152"/>
  <c r="F417" i="152"/>
  <c r="F416" i="152"/>
  <c r="F415" i="152"/>
  <c r="F414" i="152"/>
  <c r="F413" i="152"/>
  <c r="F412" i="152"/>
  <c r="F411" i="152"/>
  <c r="F410" i="152"/>
  <c r="F409" i="152"/>
  <c r="F408" i="152"/>
  <c r="F407" i="152"/>
  <c r="F406" i="152"/>
  <c r="F405" i="152"/>
  <c r="F404" i="152"/>
  <c r="F403" i="152"/>
  <c r="F402" i="152"/>
  <c r="F401" i="152"/>
  <c r="F400" i="152"/>
  <c r="F399" i="152"/>
  <c r="F398" i="152"/>
  <c r="F397" i="152"/>
  <c r="F396" i="152"/>
  <c r="F395" i="152"/>
  <c r="F394" i="152"/>
  <c r="F393" i="152"/>
  <c r="F392" i="152"/>
  <c r="F391" i="152"/>
  <c r="F390" i="152"/>
  <c r="G389" i="152"/>
  <c r="H389" i="152" s="1"/>
  <c r="F389" i="152"/>
  <c r="F388" i="152"/>
  <c r="F387" i="152"/>
  <c r="F386" i="152"/>
  <c r="F385" i="152"/>
  <c r="F384" i="152"/>
  <c r="F383" i="152"/>
  <c r="F382" i="152"/>
  <c r="F381" i="152"/>
  <c r="F380" i="152"/>
  <c r="F379" i="152"/>
  <c r="F378" i="152"/>
  <c r="F377" i="152"/>
  <c r="F376" i="152"/>
  <c r="F375" i="152"/>
  <c r="F374" i="152"/>
  <c r="F373" i="152"/>
  <c r="F372" i="152"/>
  <c r="F371" i="152"/>
  <c r="F370" i="152"/>
  <c r="F369" i="152"/>
  <c r="F368" i="152"/>
  <c r="F367" i="152"/>
  <c r="F366" i="152"/>
  <c r="F365" i="152"/>
  <c r="F364" i="152"/>
  <c r="F363" i="152"/>
  <c r="F362" i="152"/>
  <c r="F361" i="152"/>
  <c r="H360" i="152"/>
  <c r="F360" i="152"/>
  <c r="G360" i="152" s="1"/>
  <c r="F359" i="152"/>
  <c r="F358" i="152"/>
  <c r="F357" i="152"/>
  <c r="F356" i="152"/>
  <c r="H355" i="152"/>
  <c r="G355" i="152"/>
  <c r="F355" i="152"/>
  <c r="F354" i="152"/>
  <c r="G354" i="152" s="1"/>
  <c r="H354" i="152" s="1"/>
  <c r="F353" i="152"/>
  <c r="F352" i="152"/>
  <c r="F351" i="152"/>
  <c r="F350" i="152"/>
  <c r="F349" i="152"/>
  <c r="H348" i="152"/>
  <c r="F348" i="152"/>
  <c r="G348" i="152" s="1"/>
  <c r="F347" i="152"/>
  <c r="F346" i="152"/>
  <c r="F345" i="152"/>
  <c r="H344" i="152"/>
  <c r="F344" i="152"/>
  <c r="G344" i="152" s="1"/>
  <c r="G343" i="152"/>
  <c r="H343" i="152" s="1"/>
  <c r="F343" i="152"/>
  <c r="F342" i="152"/>
  <c r="F341" i="152"/>
  <c r="F340" i="152"/>
  <c r="F339" i="152"/>
  <c r="F338" i="152"/>
  <c r="F337" i="152"/>
  <c r="F336" i="152"/>
  <c r="F335" i="152"/>
  <c r="F334" i="152"/>
  <c r="F333" i="152"/>
  <c r="F332" i="152"/>
  <c r="F331" i="152"/>
  <c r="F330" i="152"/>
  <c r="F329" i="152"/>
  <c r="F328" i="152"/>
  <c r="F327" i="152"/>
  <c r="F326" i="152"/>
  <c r="G326" i="152" s="1"/>
  <c r="H326" i="152" s="1"/>
  <c r="F325" i="152"/>
  <c r="F324" i="152"/>
  <c r="F323" i="152"/>
  <c r="F322" i="152"/>
  <c r="F321" i="152"/>
  <c r="F320" i="152"/>
  <c r="F319" i="152"/>
  <c r="F318" i="152"/>
  <c r="F317" i="152"/>
  <c r="F316" i="152"/>
  <c r="F315" i="152"/>
  <c r="F314" i="152"/>
  <c r="F313" i="152"/>
  <c r="G313" i="152" s="1"/>
  <c r="H313" i="152" s="1"/>
  <c r="F312" i="152"/>
  <c r="F311" i="152"/>
  <c r="F310" i="152"/>
  <c r="F309" i="152"/>
  <c r="F308" i="152"/>
  <c r="F307" i="152"/>
  <c r="F306" i="152"/>
  <c r="F305" i="152"/>
  <c r="F304" i="152"/>
  <c r="F303" i="152"/>
  <c r="H302" i="152"/>
  <c r="G302" i="152"/>
  <c r="F302" i="152"/>
  <c r="F301" i="152"/>
  <c r="F300" i="152"/>
  <c r="F299" i="152"/>
  <c r="F298" i="152"/>
  <c r="F297" i="152"/>
  <c r="F296" i="152"/>
  <c r="F295" i="152"/>
  <c r="F294" i="152"/>
  <c r="F293" i="152"/>
  <c r="F292" i="152"/>
  <c r="F291" i="152"/>
  <c r="F290" i="152"/>
  <c r="H289" i="152"/>
  <c r="G289" i="152"/>
  <c r="F289" i="152"/>
  <c r="F288" i="152"/>
  <c r="F287" i="152"/>
  <c r="F286" i="152"/>
  <c r="G286" i="152" s="1"/>
  <c r="H286" i="152" s="1"/>
  <c r="G285" i="152"/>
  <c r="H285" i="152" s="1"/>
  <c r="F285" i="152"/>
  <c r="F284" i="152"/>
  <c r="F283" i="152"/>
  <c r="F282" i="152"/>
  <c r="F281" i="152"/>
  <c r="F280" i="152"/>
  <c r="F279" i="152"/>
  <c r="F278" i="152"/>
  <c r="F277" i="152"/>
  <c r="F276" i="152"/>
  <c r="F275" i="152"/>
  <c r="F274" i="152"/>
  <c r="F273" i="152"/>
  <c r="F272" i="152"/>
  <c r="F271" i="152"/>
  <c r="F270" i="152"/>
  <c r="F269" i="152"/>
  <c r="F268" i="152"/>
  <c r="F267" i="152"/>
  <c r="F266" i="152"/>
  <c r="F265" i="152"/>
  <c r="F264" i="152"/>
  <c r="F263" i="152"/>
  <c r="F262" i="152"/>
  <c r="F261" i="152"/>
  <c r="F260" i="152"/>
  <c r="F259" i="152"/>
  <c r="F258" i="152"/>
  <c r="F257" i="152"/>
  <c r="F256" i="152"/>
  <c r="F255" i="152"/>
  <c r="F254" i="152"/>
  <c r="F253" i="152"/>
  <c r="F252" i="152"/>
  <c r="F251" i="152"/>
  <c r="F250" i="152"/>
  <c r="F249" i="152"/>
  <c r="F248" i="152"/>
  <c r="F247" i="152"/>
  <c r="H246" i="152"/>
  <c r="F246" i="152"/>
  <c r="G246" i="152" s="1"/>
  <c r="F245" i="152"/>
  <c r="F244" i="152"/>
  <c r="F243" i="152"/>
  <c r="F242" i="152"/>
  <c r="G242" i="152" s="1"/>
  <c r="H242" i="152" s="1"/>
  <c r="F241" i="152"/>
  <c r="F240" i="152"/>
  <c r="F239" i="152"/>
  <c r="F238" i="152"/>
  <c r="F237" i="152"/>
  <c r="F236" i="152"/>
  <c r="F235" i="152"/>
  <c r="F234" i="152"/>
  <c r="F233" i="152"/>
  <c r="F232" i="152"/>
  <c r="F231" i="152"/>
  <c r="F230" i="152"/>
  <c r="F229" i="152"/>
  <c r="F228" i="152"/>
  <c r="F227" i="152"/>
  <c r="F226" i="152"/>
  <c r="F225" i="152"/>
  <c r="F224" i="152"/>
  <c r="F223" i="152"/>
  <c r="F222" i="152"/>
  <c r="F221" i="152"/>
  <c r="F220" i="152"/>
  <c r="G219" i="152"/>
  <c r="H219" i="152" s="1"/>
  <c r="F219" i="152"/>
  <c r="F218" i="152"/>
  <c r="F217" i="152"/>
  <c r="F216" i="152"/>
  <c r="F215" i="152"/>
  <c r="F214" i="152"/>
  <c r="F213" i="152"/>
  <c r="F212" i="152"/>
  <c r="F211" i="152"/>
  <c r="F210" i="152"/>
  <c r="F209" i="152"/>
  <c r="F208" i="152"/>
  <c r="F207" i="152"/>
  <c r="F206" i="152"/>
  <c r="F205" i="152"/>
  <c r="F204" i="152"/>
  <c r="F203" i="152"/>
  <c r="F202" i="152"/>
  <c r="F201" i="152"/>
  <c r="F200" i="152"/>
  <c r="F199" i="152"/>
  <c r="F198" i="152"/>
  <c r="F197" i="152"/>
  <c r="F196" i="152"/>
  <c r="H195" i="152"/>
  <c r="G195" i="152"/>
  <c r="F195" i="152"/>
  <c r="F194" i="152"/>
  <c r="F193" i="152"/>
  <c r="F192" i="152"/>
  <c r="F191" i="152"/>
  <c r="F190" i="152"/>
  <c r="F189" i="152"/>
  <c r="F188" i="152"/>
  <c r="F187" i="152"/>
  <c r="F186" i="152"/>
  <c r="F185" i="152"/>
  <c r="F184" i="152"/>
  <c r="F183" i="152"/>
  <c r="F182" i="152"/>
  <c r="G181" i="152"/>
  <c r="H181" i="152" s="1"/>
  <c r="F181" i="152"/>
  <c r="F180" i="152"/>
  <c r="F179" i="152"/>
  <c r="F178" i="152"/>
  <c r="G178" i="152" s="1"/>
  <c r="H178" i="152" s="1"/>
  <c r="F177" i="152"/>
  <c r="F176" i="152"/>
  <c r="F175" i="152"/>
  <c r="F174" i="152"/>
  <c r="F173" i="152"/>
  <c r="F172" i="152"/>
  <c r="F171" i="152"/>
  <c r="F170" i="152"/>
  <c r="F169" i="152"/>
  <c r="F168" i="152"/>
  <c r="G168" i="152" s="1"/>
  <c r="H168" i="152" s="1"/>
  <c r="F167" i="152"/>
  <c r="F166" i="152"/>
  <c r="F165" i="152"/>
  <c r="F164" i="152"/>
  <c r="F163" i="152"/>
  <c r="F162" i="152"/>
  <c r="F161" i="152"/>
  <c r="F160" i="152"/>
  <c r="F159" i="152"/>
  <c r="F158" i="152"/>
  <c r="F157" i="152"/>
  <c r="F156" i="152"/>
  <c r="F155" i="152"/>
  <c r="F154" i="152"/>
  <c r="F153" i="152"/>
  <c r="F152" i="152"/>
  <c r="F151" i="152"/>
  <c r="F150" i="152"/>
  <c r="F149" i="152"/>
  <c r="F148" i="152"/>
  <c r="F147" i="152"/>
  <c r="F146" i="152"/>
  <c r="F145" i="152"/>
  <c r="F144" i="152"/>
  <c r="F143" i="152"/>
  <c r="F142" i="152"/>
  <c r="F141" i="152"/>
  <c r="F140" i="152"/>
  <c r="F139" i="152"/>
  <c r="F138" i="152"/>
  <c r="F137" i="152"/>
  <c r="F136" i="152"/>
  <c r="F135" i="152"/>
  <c r="F134" i="152"/>
  <c r="F133" i="152"/>
  <c r="F132" i="152"/>
  <c r="F131" i="152"/>
  <c r="G131" i="152" s="1"/>
  <c r="H131" i="152" s="1"/>
  <c r="F130" i="152"/>
  <c r="G129" i="152"/>
  <c r="H129" i="152" s="1"/>
  <c r="F129" i="152"/>
  <c r="F128" i="152"/>
  <c r="F127" i="152"/>
  <c r="F126" i="152"/>
  <c r="F125" i="152"/>
  <c r="F124" i="152"/>
  <c r="G124" i="152" s="1"/>
  <c r="H124" i="152" s="1"/>
  <c r="F123" i="152"/>
  <c r="F122" i="152"/>
  <c r="F121" i="152"/>
  <c r="F120" i="152"/>
  <c r="F119" i="152"/>
  <c r="F118" i="152"/>
  <c r="F117" i="152"/>
  <c r="F116" i="152"/>
  <c r="F115" i="152"/>
  <c r="F114" i="152"/>
  <c r="F113" i="152"/>
  <c r="F112" i="152"/>
  <c r="F111" i="152"/>
  <c r="F110" i="152"/>
  <c r="F109" i="152"/>
  <c r="F108" i="152"/>
  <c r="F107" i="152"/>
  <c r="F106" i="152"/>
  <c r="F105" i="152"/>
  <c r="F104" i="152"/>
  <c r="F103" i="152"/>
  <c r="F102" i="152"/>
  <c r="F101" i="152"/>
  <c r="F100" i="152"/>
  <c r="F99" i="152"/>
  <c r="F98" i="152"/>
  <c r="F97" i="152"/>
  <c r="F96" i="152"/>
  <c r="F95" i="152"/>
  <c r="F94" i="152"/>
  <c r="F93" i="152"/>
  <c r="H92" i="152"/>
  <c r="G92" i="152"/>
  <c r="F92" i="152"/>
  <c r="F91" i="152"/>
  <c r="F90" i="152"/>
  <c r="F89" i="152"/>
  <c r="G88" i="152"/>
  <c r="H88" i="152" s="1"/>
  <c r="F88" i="152"/>
  <c r="G87" i="152"/>
  <c r="H87" i="152" s="1"/>
  <c r="F87" i="152"/>
  <c r="F86" i="152"/>
  <c r="F85" i="152"/>
  <c r="F84" i="152"/>
  <c r="F83" i="152"/>
  <c r="F82" i="152"/>
  <c r="H81" i="152"/>
  <c r="F81" i="152"/>
  <c r="G81" i="152" s="1"/>
  <c r="F80" i="152"/>
  <c r="F79" i="152"/>
  <c r="F78" i="152"/>
  <c r="F77" i="152"/>
  <c r="F76" i="152"/>
  <c r="F75" i="152"/>
  <c r="F74" i="152"/>
  <c r="F73" i="152"/>
  <c r="G73" i="152" s="1"/>
  <c r="H73" i="152" s="1"/>
  <c r="F72" i="152"/>
  <c r="F71" i="152"/>
  <c r="F70" i="152"/>
  <c r="F69" i="152"/>
  <c r="G69" i="152" s="1"/>
  <c r="H69" i="152" s="1"/>
  <c r="F68" i="152"/>
  <c r="F67" i="152"/>
  <c r="F66" i="152"/>
  <c r="F65" i="152"/>
  <c r="F64" i="152"/>
  <c r="F63" i="152"/>
  <c r="F62" i="152"/>
  <c r="F61" i="152"/>
  <c r="F60" i="152"/>
  <c r="F59" i="152"/>
  <c r="F58" i="152"/>
  <c r="F57" i="152"/>
  <c r="G56" i="152"/>
  <c r="H56" i="152" s="1"/>
  <c r="F56" i="152"/>
  <c r="F55" i="152"/>
  <c r="F54" i="152"/>
  <c r="F53" i="152"/>
  <c r="F52" i="152"/>
  <c r="F51" i="152"/>
  <c r="F50" i="152"/>
  <c r="F49" i="152"/>
  <c r="F48" i="152"/>
  <c r="F47" i="152"/>
  <c r="F46" i="152"/>
  <c r="F45" i="152"/>
  <c r="F44" i="152"/>
  <c r="F43" i="152"/>
  <c r="F42" i="152"/>
  <c r="F41" i="152"/>
  <c r="F40" i="152"/>
  <c r="F39" i="152"/>
  <c r="F38" i="152"/>
  <c r="F37" i="152"/>
  <c r="F36" i="152"/>
  <c r="F35" i="152"/>
  <c r="F34" i="152"/>
  <c r="F33" i="152"/>
  <c r="F32" i="152"/>
  <c r="F31" i="152"/>
  <c r="F30" i="152"/>
  <c r="F29" i="152"/>
  <c r="H28" i="152"/>
  <c r="G28" i="152"/>
  <c r="F28" i="152"/>
  <c r="F27" i="152"/>
  <c r="F26" i="152"/>
  <c r="F25" i="152"/>
  <c r="F24" i="152"/>
  <c r="F23" i="152"/>
  <c r="F22" i="152"/>
  <c r="F21" i="152"/>
  <c r="G20" i="152"/>
  <c r="H20" i="152" s="1"/>
  <c r="F20" i="152"/>
  <c r="F19" i="152"/>
  <c r="F18" i="152"/>
  <c r="F17" i="152"/>
  <c r="F16" i="152"/>
  <c r="F15" i="152"/>
  <c r="F14" i="152"/>
  <c r="F13" i="152"/>
  <c r="F12" i="152"/>
  <c r="F11" i="152"/>
  <c r="F10" i="152"/>
  <c r="F9" i="152"/>
  <c r="F8" i="152"/>
  <c r="F7" i="152"/>
  <c r="F6" i="152"/>
  <c r="F5" i="152"/>
  <c r="G5" i="152" s="1"/>
  <c r="H5" i="152" s="1"/>
  <c r="F4" i="152"/>
  <c r="N502" i="100"/>
  <c r="M502" i="100"/>
  <c r="O502" i="100" s="1"/>
  <c r="L502" i="100"/>
  <c r="K502" i="100"/>
  <c r="J502" i="100"/>
  <c r="N501" i="100"/>
  <c r="M501" i="100"/>
  <c r="O501" i="100" s="1"/>
  <c r="L501" i="100"/>
  <c r="K501" i="100"/>
  <c r="J501" i="100"/>
  <c r="N500" i="100"/>
  <c r="P500" i="100" s="1"/>
  <c r="M500" i="100"/>
  <c r="O500" i="100" s="1"/>
  <c r="L500" i="100"/>
  <c r="K500" i="100"/>
  <c r="J500" i="100"/>
  <c r="N499" i="100"/>
  <c r="M499" i="100"/>
  <c r="O499" i="100" s="1"/>
  <c r="L499" i="100"/>
  <c r="K499" i="100"/>
  <c r="J499" i="100"/>
  <c r="N498" i="100"/>
  <c r="M498" i="100"/>
  <c r="O498" i="100" s="1"/>
  <c r="L498" i="100"/>
  <c r="K498" i="100"/>
  <c r="J498" i="100"/>
  <c r="P497" i="100"/>
  <c r="N497" i="100"/>
  <c r="M497" i="100"/>
  <c r="L497" i="100"/>
  <c r="K497" i="100"/>
  <c r="J497" i="100"/>
  <c r="N496" i="100"/>
  <c r="P496" i="100" s="1"/>
  <c r="M496" i="100"/>
  <c r="O496" i="100" s="1"/>
  <c r="L496" i="100"/>
  <c r="K496" i="100"/>
  <c r="J496" i="100"/>
  <c r="N495" i="100"/>
  <c r="M495" i="100"/>
  <c r="O495" i="100" s="1"/>
  <c r="L495" i="100"/>
  <c r="K495" i="100"/>
  <c r="J495" i="100"/>
  <c r="N494" i="100"/>
  <c r="M494" i="100"/>
  <c r="L494" i="100"/>
  <c r="K494" i="100"/>
  <c r="J494" i="100"/>
  <c r="N493" i="100"/>
  <c r="M493" i="100"/>
  <c r="L493" i="100"/>
  <c r="K493" i="100"/>
  <c r="J493" i="100"/>
  <c r="N492" i="100"/>
  <c r="M492" i="100"/>
  <c r="O492" i="100" s="1"/>
  <c r="L492" i="100"/>
  <c r="K492" i="100"/>
  <c r="J492" i="100"/>
  <c r="N491" i="100"/>
  <c r="M491" i="100"/>
  <c r="O491" i="100" s="1"/>
  <c r="L491" i="100"/>
  <c r="K491" i="100"/>
  <c r="J491" i="100"/>
  <c r="N490" i="100"/>
  <c r="M490" i="100"/>
  <c r="O490" i="100" s="1"/>
  <c r="L490" i="100"/>
  <c r="K490" i="100"/>
  <c r="J490" i="100"/>
  <c r="N489" i="100"/>
  <c r="M489" i="100"/>
  <c r="L489" i="100"/>
  <c r="K489" i="100"/>
  <c r="J489" i="100"/>
  <c r="N488" i="100"/>
  <c r="M488" i="100"/>
  <c r="O488" i="100" s="1"/>
  <c r="L488" i="100"/>
  <c r="K488" i="100"/>
  <c r="J488" i="100"/>
  <c r="N487" i="100"/>
  <c r="M487" i="100"/>
  <c r="O487" i="100" s="1"/>
  <c r="L487" i="100"/>
  <c r="K487" i="100"/>
  <c r="J487" i="100"/>
  <c r="N486" i="100"/>
  <c r="M486" i="100"/>
  <c r="O486" i="100" s="1"/>
  <c r="L486" i="100"/>
  <c r="K486" i="100"/>
  <c r="J486" i="100"/>
  <c r="N485" i="100"/>
  <c r="M485" i="100"/>
  <c r="L485" i="100"/>
  <c r="K485" i="100"/>
  <c r="J485" i="100"/>
  <c r="N484" i="100"/>
  <c r="M484" i="100"/>
  <c r="O484" i="100" s="1"/>
  <c r="L484" i="100"/>
  <c r="K484" i="100"/>
  <c r="J484" i="100"/>
  <c r="N483" i="100"/>
  <c r="M483" i="100"/>
  <c r="O483" i="100" s="1"/>
  <c r="L483" i="100"/>
  <c r="K483" i="100"/>
  <c r="J483" i="100"/>
  <c r="N482" i="100"/>
  <c r="M482" i="100"/>
  <c r="O482" i="100" s="1"/>
  <c r="L482" i="100"/>
  <c r="K482" i="100"/>
  <c r="J482" i="100"/>
  <c r="N481" i="100"/>
  <c r="M481" i="100"/>
  <c r="L481" i="100"/>
  <c r="K481" i="100"/>
  <c r="J481" i="100"/>
  <c r="N480" i="100"/>
  <c r="M480" i="100"/>
  <c r="O480" i="100" s="1"/>
  <c r="L480" i="100"/>
  <c r="K480" i="100"/>
  <c r="J480" i="100"/>
  <c r="P479" i="100"/>
  <c r="N479" i="100"/>
  <c r="M479" i="100"/>
  <c r="O479" i="100" s="1"/>
  <c r="L479" i="100"/>
  <c r="Q479" i="100" s="1"/>
  <c r="K479" i="100"/>
  <c r="J479" i="100"/>
  <c r="N478" i="100"/>
  <c r="M478" i="100"/>
  <c r="L478" i="100"/>
  <c r="K478" i="100"/>
  <c r="J478" i="100"/>
  <c r="N477" i="100"/>
  <c r="M477" i="100"/>
  <c r="L477" i="100"/>
  <c r="K477" i="100"/>
  <c r="J477" i="100"/>
  <c r="N476" i="100"/>
  <c r="M476" i="100"/>
  <c r="O476" i="100" s="1"/>
  <c r="L476" i="100"/>
  <c r="K476" i="100"/>
  <c r="J476" i="100"/>
  <c r="N475" i="100"/>
  <c r="M475" i="100"/>
  <c r="O475" i="100" s="1"/>
  <c r="L475" i="100"/>
  <c r="K475" i="100"/>
  <c r="J475" i="100"/>
  <c r="N474" i="100"/>
  <c r="M474" i="100"/>
  <c r="O474" i="100" s="1"/>
  <c r="L474" i="100"/>
  <c r="K474" i="100"/>
  <c r="J474" i="100"/>
  <c r="N473" i="100"/>
  <c r="M473" i="100"/>
  <c r="L473" i="100"/>
  <c r="K473" i="100"/>
  <c r="J473" i="100"/>
  <c r="N472" i="100"/>
  <c r="M472" i="100"/>
  <c r="O472" i="100" s="1"/>
  <c r="L472" i="100"/>
  <c r="K472" i="100"/>
  <c r="J472" i="100"/>
  <c r="N471" i="100"/>
  <c r="M471" i="100"/>
  <c r="O471" i="100" s="1"/>
  <c r="L471" i="100"/>
  <c r="K471" i="100"/>
  <c r="J471" i="100"/>
  <c r="N470" i="100"/>
  <c r="M470" i="100"/>
  <c r="L470" i="100"/>
  <c r="K470" i="100"/>
  <c r="J470" i="100"/>
  <c r="N469" i="100"/>
  <c r="M469" i="100"/>
  <c r="L469" i="100"/>
  <c r="K469" i="100"/>
  <c r="J469" i="100"/>
  <c r="N468" i="100"/>
  <c r="M468" i="100"/>
  <c r="O468" i="100" s="1"/>
  <c r="L468" i="100"/>
  <c r="K468" i="100"/>
  <c r="J468" i="100"/>
  <c r="N467" i="100"/>
  <c r="M467" i="100"/>
  <c r="O467" i="100" s="1"/>
  <c r="L467" i="100"/>
  <c r="K467" i="100"/>
  <c r="J467" i="100"/>
  <c r="N466" i="100"/>
  <c r="M466" i="100"/>
  <c r="L466" i="100"/>
  <c r="K466" i="100"/>
  <c r="J466" i="100"/>
  <c r="N465" i="100"/>
  <c r="M465" i="100"/>
  <c r="L465" i="100"/>
  <c r="K465" i="100"/>
  <c r="J465" i="100"/>
  <c r="N464" i="100"/>
  <c r="M464" i="100"/>
  <c r="O464" i="100" s="1"/>
  <c r="L464" i="100"/>
  <c r="K464" i="100"/>
  <c r="J464" i="100"/>
  <c r="N463" i="100"/>
  <c r="M463" i="100"/>
  <c r="O463" i="100" s="1"/>
  <c r="L463" i="100"/>
  <c r="K463" i="100"/>
  <c r="J463" i="100"/>
  <c r="N462" i="100"/>
  <c r="M462" i="100"/>
  <c r="L462" i="100"/>
  <c r="K462" i="100"/>
  <c r="J462" i="100"/>
  <c r="N461" i="100"/>
  <c r="M461" i="100"/>
  <c r="L461" i="100"/>
  <c r="K461" i="100"/>
  <c r="J461" i="100"/>
  <c r="N460" i="100"/>
  <c r="M460" i="100"/>
  <c r="O460" i="100" s="1"/>
  <c r="L460" i="100"/>
  <c r="K460" i="100"/>
  <c r="J460" i="100"/>
  <c r="N459" i="100"/>
  <c r="M459" i="100"/>
  <c r="O459" i="100" s="1"/>
  <c r="L459" i="100"/>
  <c r="K459" i="100"/>
  <c r="J459" i="100"/>
  <c r="N458" i="100"/>
  <c r="M458" i="100"/>
  <c r="O458" i="100" s="1"/>
  <c r="L458" i="100"/>
  <c r="K458" i="100"/>
  <c r="J458" i="100"/>
  <c r="N457" i="100"/>
  <c r="M457" i="100"/>
  <c r="L457" i="100"/>
  <c r="K457" i="100"/>
  <c r="J457" i="100"/>
  <c r="N456" i="100"/>
  <c r="M456" i="100"/>
  <c r="O456" i="100" s="1"/>
  <c r="L456" i="100"/>
  <c r="K456" i="100"/>
  <c r="J456" i="100"/>
  <c r="P455" i="100"/>
  <c r="N455" i="100"/>
  <c r="M455" i="100"/>
  <c r="O455" i="100" s="1"/>
  <c r="L455" i="100"/>
  <c r="Q455" i="100" s="1"/>
  <c r="K455" i="100"/>
  <c r="J455" i="100"/>
  <c r="N454" i="100"/>
  <c r="M454" i="100"/>
  <c r="L454" i="100"/>
  <c r="K454" i="100"/>
  <c r="J454" i="100"/>
  <c r="N453" i="100"/>
  <c r="M453" i="100"/>
  <c r="L453" i="100"/>
  <c r="K453" i="100"/>
  <c r="J453" i="100"/>
  <c r="N452" i="100"/>
  <c r="M452" i="100"/>
  <c r="O452" i="100" s="1"/>
  <c r="L452" i="100"/>
  <c r="K452" i="100"/>
  <c r="J452" i="100"/>
  <c r="N451" i="100"/>
  <c r="M451" i="100"/>
  <c r="O451" i="100" s="1"/>
  <c r="L451" i="100"/>
  <c r="K451" i="100"/>
  <c r="J451" i="100"/>
  <c r="N450" i="100"/>
  <c r="M450" i="100"/>
  <c r="L450" i="100"/>
  <c r="K450" i="100"/>
  <c r="J450" i="100"/>
  <c r="N449" i="100"/>
  <c r="M449" i="100"/>
  <c r="O449" i="100" s="1"/>
  <c r="L449" i="100"/>
  <c r="K449" i="100"/>
  <c r="J449" i="100"/>
  <c r="O448" i="100"/>
  <c r="N448" i="100"/>
  <c r="M448" i="100"/>
  <c r="L448" i="100"/>
  <c r="K448" i="100"/>
  <c r="J448" i="100"/>
  <c r="N447" i="100"/>
  <c r="M447" i="100"/>
  <c r="L447" i="100"/>
  <c r="K447" i="100"/>
  <c r="J447" i="100"/>
  <c r="N446" i="100"/>
  <c r="M446" i="100"/>
  <c r="O446" i="100" s="1"/>
  <c r="L446" i="100"/>
  <c r="K446" i="100"/>
  <c r="J446" i="100"/>
  <c r="N445" i="100"/>
  <c r="M445" i="100"/>
  <c r="O445" i="100" s="1"/>
  <c r="L445" i="100"/>
  <c r="K445" i="100"/>
  <c r="J445" i="100"/>
  <c r="O444" i="100"/>
  <c r="N444" i="100"/>
  <c r="M444" i="100"/>
  <c r="L444" i="100"/>
  <c r="K444" i="100"/>
  <c r="J444" i="100"/>
  <c r="O443" i="100"/>
  <c r="N443" i="100"/>
  <c r="M443" i="100"/>
  <c r="L443" i="100"/>
  <c r="K443" i="100"/>
  <c r="J443" i="100"/>
  <c r="N442" i="100"/>
  <c r="M442" i="100"/>
  <c r="L442" i="100"/>
  <c r="K442" i="100"/>
  <c r="J442" i="100"/>
  <c r="N441" i="100"/>
  <c r="M441" i="100"/>
  <c r="O441" i="100" s="1"/>
  <c r="L441" i="100"/>
  <c r="K441" i="100"/>
  <c r="J441" i="100"/>
  <c r="P440" i="100"/>
  <c r="O440" i="100"/>
  <c r="N440" i="100"/>
  <c r="M440" i="100"/>
  <c r="L440" i="100"/>
  <c r="Q440" i="100" s="1"/>
  <c r="K440" i="100"/>
  <c r="J440" i="100"/>
  <c r="N439" i="100"/>
  <c r="M439" i="100"/>
  <c r="L439" i="100"/>
  <c r="K439" i="100"/>
  <c r="J439" i="100"/>
  <c r="N438" i="100"/>
  <c r="M438" i="100"/>
  <c r="O438" i="100" s="1"/>
  <c r="L438" i="100"/>
  <c r="K438" i="100"/>
  <c r="J438" i="100"/>
  <c r="N437" i="100"/>
  <c r="M437" i="100"/>
  <c r="O437" i="100" s="1"/>
  <c r="L437" i="100"/>
  <c r="K437" i="100"/>
  <c r="J437" i="100"/>
  <c r="O436" i="100"/>
  <c r="N436" i="100"/>
  <c r="M436" i="100"/>
  <c r="L436" i="100"/>
  <c r="K436" i="100"/>
  <c r="J436" i="100"/>
  <c r="N435" i="100"/>
  <c r="M435" i="100"/>
  <c r="L435" i="100"/>
  <c r="K435" i="100"/>
  <c r="J435" i="100"/>
  <c r="N434" i="100"/>
  <c r="P434" i="100" s="1"/>
  <c r="M434" i="100"/>
  <c r="L434" i="100"/>
  <c r="K434" i="100"/>
  <c r="J434" i="100"/>
  <c r="N433" i="100"/>
  <c r="M433" i="100"/>
  <c r="O433" i="100" s="1"/>
  <c r="L433" i="100"/>
  <c r="K433" i="100"/>
  <c r="J433" i="100"/>
  <c r="O432" i="100"/>
  <c r="N432" i="100"/>
  <c r="M432" i="100"/>
  <c r="L432" i="100"/>
  <c r="K432" i="100"/>
  <c r="J432" i="100"/>
  <c r="O431" i="100"/>
  <c r="N431" i="100"/>
  <c r="M431" i="100"/>
  <c r="L431" i="100"/>
  <c r="K431" i="100"/>
  <c r="J431" i="100"/>
  <c r="N430" i="100"/>
  <c r="M430" i="100"/>
  <c r="O430" i="100" s="1"/>
  <c r="L430" i="100"/>
  <c r="K430" i="100"/>
  <c r="J430" i="100"/>
  <c r="N429" i="100"/>
  <c r="M429" i="100"/>
  <c r="O429" i="100" s="1"/>
  <c r="L429" i="100"/>
  <c r="K429" i="100"/>
  <c r="J429" i="100"/>
  <c r="O428" i="100"/>
  <c r="N428" i="100"/>
  <c r="M428" i="100"/>
  <c r="L428" i="100"/>
  <c r="K428" i="100"/>
  <c r="J428" i="100"/>
  <c r="O427" i="100"/>
  <c r="N427" i="100"/>
  <c r="M427" i="100"/>
  <c r="L427" i="100"/>
  <c r="K427" i="100"/>
  <c r="J427" i="100"/>
  <c r="N426" i="100"/>
  <c r="P426" i="100" s="1"/>
  <c r="M426" i="100"/>
  <c r="O426" i="100" s="1"/>
  <c r="L426" i="100"/>
  <c r="K426" i="100"/>
  <c r="J426" i="100"/>
  <c r="N425" i="100"/>
  <c r="M425" i="100"/>
  <c r="O425" i="100" s="1"/>
  <c r="L425" i="100"/>
  <c r="K425" i="100"/>
  <c r="J425" i="100"/>
  <c r="O424" i="100"/>
  <c r="N424" i="100"/>
  <c r="M424" i="100"/>
  <c r="L424" i="100"/>
  <c r="K424" i="100"/>
  <c r="J424" i="100"/>
  <c r="O423" i="100"/>
  <c r="N423" i="100"/>
  <c r="M423" i="100"/>
  <c r="L423" i="100"/>
  <c r="K423" i="100"/>
  <c r="J423" i="100"/>
  <c r="N422" i="100"/>
  <c r="M422" i="100"/>
  <c r="O422" i="100" s="1"/>
  <c r="L422" i="100"/>
  <c r="K422" i="100"/>
  <c r="J422" i="100"/>
  <c r="N421" i="100"/>
  <c r="M421" i="100"/>
  <c r="O421" i="100" s="1"/>
  <c r="L421" i="100"/>
  <c r="K421" i="100"/>
  <c r="J421" i="100"/>
  <c r="P420" i="100"/>
  <c r="O420" i="100"/>
  <c r="N420" i="100"/>
  <c r="M420" i="100"/>
  <c r="L420" i="100"/>
  <c r="K420" i="100"/>
  <c r="J420" i="100"/>
  <c r="O419" i="100"/>
  <c r="N419" i="100"/>
  <c r="P419" i="100" s="1"/>
  <c r="M419" i="100"/>
  <c r="L419" i="100"/>
  <c r="K419" i="100"/>
  <c r="J419" i="100"/>
  <c r="N418" i="100"/>
  <c r="P418" i="100" s="1"/>
  <c r="M418" i="100"/>
  <c r="L418" i="100"/>
  <c r="K418" i="100"/>
  <c r="J418" i="100"/>
  <c r="P417" i="100"/>
  <c r="N417" i="100"/>
  <c r="M417" i="100"/>
  <c r="O417" i="100" s="1"/>
  <c r="Q417" i="100" s="1"/>
  <c r="L417" i="100"/>
  <c r="K417" i="100"/>
  <c r="J417" i="100"/>
  <c r="N416" i="100"/>
  <c r="M416" i="100"/>
  <c r="L416" i="100"/>
  <c r="K416" i="100"/>
  <c r="J416" i="100"/>
  <c r="N415" i="100"/>
  <c r="M415" i="100"/>
  <c r="L415" i="100"/>
  <c r="K415" i="100"/>
  <c r="J415" i="100"/>
  <c r="N414" i="100"/>
  <c r="M414" i="100"/>
  <c r="O414" i="100" s="1"/>
  <c r="L414" i="100"/>
  <c r="K414" i="100"/>
  <c r="J414" i="100"/>
  <c r="N413" i="100"/>
  <c r="M413" i="100"/>
  <c r="L413" i="100"/>
  <c r="K413" i="100"/>
  <c r="J413" i="100"/>
  <c r="N412" i="100"/>
  <c r="M412" i="100"/>
  <c r="O412" i="100" s="1"/>
  <c r="L412" i="100"/>
  <c r="K412" i="100"/>
  <c r="J412" i="100"/>
  <c r="N411" i="100"/>
  <c r="M411" i="100"/>
  <c r="L411" i="100"/>
  <c r="K411" i="100"/>
  <c r="J411" i="100"/>
  <c r="N410" i="100"/>
  <c r="M410" i="100"/>
  <c r="L410" i="100"/>
  <c r="K410" i="100"/>
  <c r="J410" i="100"/>
  <c r="N409" i="100"/>
  <c r="M409" i="100"/>
  <c r="O409" i="100" s="1"/>
  <c r="L409" i="100"/>
  <c r="K409" i="100"/>
  <c r="J409" i="100"/>
  <c r="N408" i="100"/>
  <c r="M408" i="100"/>
  <c r="L408" i="100"/>
  <c r="K408" i="100"/>
  <c r="J408" i="100"/>
  <c r="N407" i="100"/>
  <c r="M407" i="100"/>
  <c r="L407" i="100"/>
  <c r="K407" i="100"/>
  <c r="J407" i="100"/>
  <c r="N406" i="100"/>
  <c r="M406" i="100"/>
  <c r="O406" i="100" s="1"/>
  <c r="L406" i="100"/>
  <c r="K406" i="100"/>
  <c r="J406" i="100"/>
  <c r="N405" i="100"/>
  <c r="M405" i="100"/>
  <c r="L405" i="100"/>
  <c r="K405" i="100"/>
  <c r="J405" i="100"/>
  <c r="N404" i="100"/>
  <c r="M404" i="100"/>
  <c r="O404" i="100" s="1"/>
  <c r="L404" i="100"/>
  <c r="K404" i="100"/>
  <c r="J404" i="100"/>
  <c r="N403" i="100"/>
  <c r="M403" i="100"/>
  <c r="L403" i="100"/>
  <c r="K403" i="100"/>
  <c r="J403" i="100"/>
  <c r="N402" i="100"/>
  <c r="M402" i="100"/>
  <c r="L402" i="100"/>
  <c r="K402" i="100"/>
  <c r="J402" i="100"/>
  <c r="N401" i="100"/>
  <c r="M401" i="100"/>
  <c r="O401" i="100" s="1"/>
  <c r="L401" i="100"/>
  <c r="K401" i="100"/>
  <c r="J401" i="100"/>
  <c r="N400" i="100"/>
  <c r="M400" i="100"/>
  <c r="L400" i="100"/>
  <c r="K400" i="100"/>
  <c r="J400" i="100"/>
  <c r="N399" i="100"/>
  <c r="M399" i="100"/>
  <c r="L399" i="100"/>
  <c r="K399" i="100"/>
  <c r="J399" i="100"/>
  <c r="N398" i="100"/>
  <c r="M398" i="100"/>
  <c r="O398" i="100" s="1"/>
  <c r="L398" i="100"/>
  <c r="K398" i="100"/>
  <c r="J398" i="100"/>
  <c r="N397" i="100"/>
  <c r="M397" i="100"/>
  <c r="L397" i="100"/>
  <c r="K397" i="100"/>
  <c r="J397" i="100"/>
  <c r="N396" i="100"/>
  <c r="M396" i="100"/>
  <c r="O396" i="100" s="1"/>
  <c r="L396" i="100"/>
  <c r="K396" i="100"/>
  <c r="J396" i="100"/>
  <c r="N395" i="100"/>
  <c r="M395" i="100"/>
  <c r="L395" i="100"/>
  <c r="K395" i="100"/>
  <c r="J395" i="100"/>
  <c r="N394" i="100"/>
  <c r="M394" i="100"/>
  <c r="L394" i="100"/>
  <c r="K394" i="100"/>
  <c r="J394" i="100"/>
  <c r="N393" i="100"/>
  <c r="M393" i="100"/>
  <c r="O393" i="100" s="1"/>
  <c r="L393" i="100"/>
  <c r="K393" i="100"/>
  <c r="J393" i="100"/>
  <c r="N392" i="100"/>
  <c r="M392" i="100"/>
  <c r="L392" i="100"/>
  <c r="K392" i="100"/>
  <c r="J392" i="100"/>
  <c r="N391" i="100"/>
  <c r="M391" i="100"/>
  <c r="L391" i="100"/>
  <c r="K391" i="100"/>
  <c r="J391" i="100"/>
  <c r="N390" i="100"/>
  <c r="M390" i="100"/>
  <c r="O390" i="100" s="1"/>
  <c r="L390" i="100"/>
  <c r="K390" i="100"/>
  <c r="J390" i="100"/>
  <c r="N389" i="100"/>
  <c r="M389" i="100"/>
  <c r="L389" i="100"/>
  <c r="K389" i="100"/>
  <c r="J389" i="100"/>
  <c r="N388" i="100"/>
  <c r="M388" i="100"/>
  <c r="O388" i="100" s="1"/>
  <c r="L388" i="100"/>
  <c r="K388" i="100"/>
  <c r="J388" i="100"/>
  <c r="N387" i="100"/>
  <c r="M387" i="100"/>
  <c r="L387" i="100"/>
  <c r="K387" i="100"/>
  <c r="J387" i="100"/>
  <c r="N386" i="100"/>
  <c r="M386" i="100"/>
  <c r="O386" i="100" s="1"/>
  <c r="L386" i="100"/>
  <c r="K386" i="100"/>
  <c r="J386" i="100"/>
  <c r="N385" i="100"/>
  <c r="M385" i="100"/>
  <c r="O385" i="100" s="1"/>
  <c r="L385" i="100"/>
  <c r="K385" i="100"/>
  <c r="J385" i="100"/>
  <c r="P384" i="100"/>
  <c r="N384" i="100"/>
  <c r="M384" i="100"/>
  <c r="L384" i="100"/>
  <c r="K384" i="100"/>
  <c r="J384" i="100"/>
  <c r="N383" i="100"/>
  <c r="M383" i="100"/>
  <c r="L383" i="100"/>
  <c r="K383" i="100"/>
  <c r="J383" i="100"/>
  <c r="N382" i="100"/>
  <c r="M382" i="100"/>
  <c r="O382" i="100" s="1"/>
  <c r="L382" i="100"/>
  <c r="K382" i="100"/>
  <c r="J382" i="100"/>
  <c r="N381" i="100"/>
  <c r="M381" i="100"/>
  <c r="L381" i="100"/>
  <c r="K381" i="100"/>
  <c r="J381" i="100"/>
  <c r="N380" i="100"/>
  <c r="M380" i="100"/>
  <c r="O380" i="100" s="1"/>
  <c r="L380" i="100"/>
  <c r="K380" i="100"/>
  <c r="J380" i="100"/>
  <c r="N379" i="100"/>
  <c r="M379" i="100"/>
  <c r="L379" i="100"/>
  <c r="K379" i="100"/>
  <c r="J379" i="100"/>
  <c r="N378" i="100"/>
  <c r="P378" i="100" s="1"/>
  <c r="M378" i="100"/>
  <c r="O378" i="100" s="1"/>
  <c r="L378" i="100"/>
  <c r="K378" i="100"/>
  <c r="J378" i="100"/>
  <c r="N377" i="100"/>
  <c r="M377" i="100"/>
  <c r="O377" i="100" s="1"/>
  <c r="L377" i="100"/>
  <c r="K377" i="100"/>
  <c r="J377" i="100"/>
  <c r="N376" i="100"/>
  <c r="M376" i="100"/>
  <c r="L376" i="100"/>
  <c r="K376" i="100"/>
  <c r="J376" i="100"/>
  <c r="N375" i="100"/>
  <c r="M375" i="100"/>
  <c r="L375" i="100"/>
  <c r="K375" i="100"/>
  <c r="J375" i="100"/>
  <c r="N374" i="100"/>
  <c r="M374" i="100"/>
  <c r="O374" i="100" s="1"/>
  <c r="L374" i="100"/>
  <c r="K374" i="100"/>
  <c r="J374" i="100"/>
  <c r="N373" i="100"/>
  <c r="M373" i="100"/>
  <c r="L373" i="100"/>
  <c r="K373" i="100"/>
  <c r="J373" i="100"/>
  <c r="N372" i="100"/>
  <c r="M372" i="100"/>
  <c r="O372" i="100" s="1"/>
  <c r="L372" i="100"/>
  <c r="K372" i="100"/>
  <c r="J372" i="100"/>
  <c r="N371" i="100"/>
  <c r="M371" i="100"/>
  <c r="L371" i="100"/>
  <c r="K371" i="100"/>
  <c r="J371" i="100"/>
  <c r="N370" i="100"/>
  <c r="P370" i="100" s="1"/>
  <c r="M370" i="100"/>
  <c r="O370" i="100" s="1"/>
  <c r="L370" i="100"/>
  <c r="K370" i="100"/>
  <c r="J370" i="100"/>
  <c r="N369" i="100"/>
  <c r="M369" i="100"/>
  <c r="L369" i="100"/>
  <c r="K369" i="100"/>
  <c r="J369" i="100"/>
  <c r="N368" i="100"/>
  <c r="M368" i="100"/>
  <c r="L368" i="100"/>
  <c r="K368" i="100"/>
  <c r="J368" i="100"/>
  <c r="N367" i="100"/>
  <c r="M367" i="100"/>
  <c r="O367" i="100" s="1"/>
  <c r="L367" i="100"/>
  <c r="K367" i="100"/>
  <c r="J367" i="100"/>
  <c r="N366" i="100"/>
  <c r="M366" i="100"/>
  <c r="O366" i="100" s="1"/>
  <c r="L366" i="100"/>
  <c r="K366" i="100"/>
  <c r="J366" i="100"/>
  <c r="N365" i="100"/>
  <c r="M365" i="100"/>
  <c r="L365" i="100"/>
  <c r="K365" i="100"/>
  <c r="J365" i="100"/>
  <c r="N364" i="100"/>
  <c r="M364" i="100"/>
  <c r="L364" i="100"/>
  <c r="K364" i="100"/>
  <c r="J364" i="100"/>
  <c r="N363" i="100"/>
  <c r="M363" i="100"/>
  <c r="O363" i="100" s="1"/>
  <c r="L363" i="100"/>
  <c r="K363" i="100"/>
  <c r="J363" i="100"/>
  <c r="N362" i="100"/>
  <c r="M362" i="100"/>
  <c r="O362" i="100" s="1"/>
  <c r="L362" i="100"/>
  <c r="K362" i="100"/>
  <c r="J362" i="100"/>
  <c r="N361" i="100"/>
  <c r="M361" i="100"/>
  <c r="O361" i="100" s="1"/>
  <c r="L361" i="100"/>
  <c r="K361" i="100"/>
  <c r="J361" i="100"/>
  <c r="N360" i="100"/>
  <c r="M360" i="100"/>
  <c r="L360" i="100"/>
  <c r="K360" i="100"/>
  <c r="J360" i="100"/>
  <c r="N359" i="100"/>
  <c r="M359" i="100"/>
  <c r="O359" i="100" s="1"/>
  <c r="L359" i="100"/>
  <c r="K359" i="100"/>
  <c r="J359" i="100"/>
  <c r="N358" i="100"/>
  <c r="M358" i="100"/>
  <c r="O358" i="100" s="1"/>
  <c r="L358" i="100"/>
  <c r="K358" i="100"/>
  <c r="J358" i="100"/>
  <c r="N357" i="100"/>
  <c r="M357" i="100"/>
  <c r="O357" i="100" s="1"/>
  <c r="L357" i="100"/>
  <c r="K357" i="100"/>
  <c r="J357" i="100"/>
  <c r="N356" i="100"/>
  <c r="M356" i="100"/>
  <c r="L356" i="100"/>
  <c r="K356" i="100"/>
  <c r="J356" i="100"/>
  <c r="N355" i="100"/>
  <c r="M355" i="100"/>
  <c r="O355" i="100" s="1"/>
  <c r="L355" i="100"/>
  <c r="K355" i="100"/>
  <c r="J355" i="100"/>
  <c r="N354" i="100"/>
  <c r="M354" i="100"/>
  <c r="O354" i="100" s="1"/>
  <c r="L354" i="100"/>
  <c r="K354" i="100"/>
  <c r="J354" i="100"/>
  <c r="N353" i="100"/>
  <c r="M353" i="100"/>
  <c r="L353" i="100"/>
  <c r="K353" i="100"/>
  <c r="J353" i="100"/>
  <c r="N352" i="100"/>
  <c r="M352" i="100"/>
  <c r="L352" i="100"/>
  <c r="K352" i="100"/>
  <c r="J352" i="100"/>
  <c r="N351" i="100"/>
  <c r="M351" i="100"/>
  <c r="O351" i="100" s="1"/>
  <c r="L351" i="100"/>
  <c r="K351" i="100"/>
  <c r="J351" i="100"/>
  <c r="N350" i="100"/>
  <c r="M350" i="100"/>
  <c r="O350" i="100" s="1"/>
  <c r="L350" i="100"/>
  <c r="K350" i="100"/>
  <c r="J350" i="100"/>
  <c r="N349" i="100"/>
  <c r="M349" i="100"/>
  <c r="L349" i="100"/>
  <c r="K349" i="100"/>
  <c r="J349" i="100"/>
  <c r="N348" i="100"/>
  <c r="M348" i="100"/>
  <c r="L348" i="100"/>
  <c r="K348" i="100"/>
  <c r="J348" i="100"/>
  <c r="N347" i="100"/>
  <c r="M347" i="100"/>
  <c r="O347" i="100" s="1"/>
  <c r="L347" i="100"/>
  <c r="K347" i="100"/>
  <c r="J347" i="100"/>
  <c r="N346" i="100"/>
  <c r="M346" i="100"/>
  <c r="O346" i="100" s="1"/>
  <c r="L346" i="100"/>
  <c r="K346" i="100"/>
  <c r="J346" i="100"/>
  <c r="N345" i="100"/>
  <c r="M345" i="100"/>
  <c r="O345" i="100" s="1"/>
  <c r="L345" i="100"/>
  <c r="K345" i="100"/>
  <c r="J345" i="100"/>
  <c r="N344" i="100"/>
  <c r="M344" i="100"/>
  <c r="L344" i="100"/>
  <c r="K344" i="100"/>
  <c r="J344" i="100"/>
  <c r="N343" i="100"/>
  <c r="M343" i="100"/>
  <c r="O343" i="100" s="1"/>
  <c r="L343" i="100"/>
  <c r="K343" i="100"/>
  <c r="J343" i="100"/>
  <c r="N342" i="100"/>
  <c r="M342" i="100"/>
  <c r="O342" i="100" s="1"/>
  <c r="L342" i="100"/>
  <c r="K342" i="100"/>
  <c r="J342" i="100"/>
  <c r="N341" i="100"/>
  <c r="M341" i="100"/>
  <c r="L341" i="100"/>
  <c r="K341" i="100"/>
  <c r="J341" i="100"/>
  <c r="N340" i="100"/>
  <c r="M340" i="100"/>
  <c r="L340" i="100"/>
  <c r="K340" i="100"/>
  <c r="J340" i="100"/>
  <c r="N339" i="100"/>
  <c r="P339" i="100" s="1"/>
  <c r="M339" i="100"/>
  <c r="O339" i="100" s="1"/>
  <c r="Q339" i="100" s="1"/>
  <c r="L339" i="100"/>
  <c r="K339" i="100"/>
  <c r="J339" i="100"/>
  <c r="N338" i="100"/>
  <c r="M338" i="100"/>
  <c r="O338" i="100" s="1"/>
  <c r="L338" i="100"/>
  <c r="K338" i="100"/>
  <c r="J338" i="100"/>
  <c r="N337" i="100"/>
  <c r="M337" i="100"/>
  <c r="L337" i="100"/>
  <c r="K337" i="100"/>
  <c r="J337" i="100"/>
  <c r="N336" i="100"/>
  <c r="M336" i="100"/>
  <c r="L336" i="100"/>
  <c r="K336" i="100"/>
  <c r="J336" i="100"/>
  <c r="N335" i="100"/>
  <c r="M335" i="100"/>
  <c r="O335" i="100" s="1"/>
  <c r="L335" i="100"/>
  <c r="K335" i="100"/>
  <c r="J335" i="100"/>
  <c r="N334" i="100"/>
  <c r="M334" i="100"/>
  <c r="O334" i="100" s="1"/>
  <c r="L334" i="100"/>
  <c r="K334" i="100"/>
  <c r="J334" i="100"/>
  <c r="N333" i="100"/>
  <c r="M333" i="100"/>
  <c r="L333" i="100"/>
  <c r="K333" i="100"/>
  <c r="J333" i="100"/>
  <c r="N332" i="100"/>
  <c r="M332" i="100"/>
  <c r="L332" i="100"/>
  <c r="K332" i="100"/>
  <c r="J332" i="100"/>
  <c r="N331" i="100"/>
  <c r="M331" i="100"/>
  <c r="O331" i="100" s="1"/>
  <c r="L331" i="100"/>
  <c r="K331" i="100"/>
  <c r="J331" i="100"/>
  <c r="N330" i="100"/>
  <c r="M330" i="100"/>
  <c r="O330" i="100" s="1"/>
  <c r="L330" i="100"/>
  <c r="K330" i="100"/>
  <c r="J330" i="100"/>
  <c r="N329" i="100"/>
  <c r="M329" i="100"/>
  <c r="L329" i="100"/>
  <c r="K329" i="100"/>
  <c r="J329" i="100"/>
  <c r="N328" i="100"/>
  <c r="M328" i="100"/>
  <c r="L328" i="100"/>
  <c r="K328" i="100"/>
  <c r="J328" i="100"/>
  <c r="N327" i="100"/>
  <c r="M327" i="100"/>
  <c r="O327" i="100" s="1"/>
  <c r="L327" i="100"/>
  <c r="K327" i="100"/>
  <c r="J327" i="100"/>
  <c r="N326" i="100"/>
  <c r="M326" i="100"/>
  <c r="O326" i="100" s="1"/>
  <c r="L326" i="100"/>
  <c r="K326" i="100"/>
  <c r="J326" i="100"/>
  <c r="N325" i="100"/>
  <c r="M325" i="100"/>
  <c r="L325" i="100"/>
  <c r="K325" i="100"/>
  <c r="J325" i="100"/>
  <c r="N324" i="100"/>
  <c r="M324" i="100"/>
  <c r="L324" i="100"/>
  <c r="K324" i="100"/>
  <c r="J324" i="100"/>
  <c r="N323" i="100"/>
  <c r="M323" i="100"/>
  <c r="O323" i="100" s="1"/>
  <c r="L323" i="100"/>
  <c r="K323" i="100"/>
  <c r="J323" i="100"/>
  <c r="N322" i="100"/>
  <c r="M322" i="100"/>
  <c r="O322" i="100" s="1"/>
  <c r="L322" i="100"/>
  <c r="K322" i="100"/>
  <c r="J322" i="100"/>
  <c r="N321" i="100"/>
  <c r="M321" i="100"/>
  <c r="L321" i="100"/>
  <c r="K321" i="100"/>
  <c r="J321" i="100"/>
  <c r="N320" i="100"/>
  <c r="P320" i="100" s="1"/>
  <c r="M320" i="100"/>
  <c r="L320" i="100"/>
  <c r="K320" i="100"/>
  <c r="J320" i="100"/>
  <c r="N319" i="100"/>
  <c r="M319" i="100"/>
  <c r="O319" i="100" s="1"/>
  <c r="L319" i="100"/>
  <c r="K319" i="100"/>
  <c r="J319" i="100"/>
  <c r="Q318" i="100"/>
  <c r="N318" i="100"/>
  <c r="P318" i="100" s="1"/>
  <c r="M318" i="100"/>
  <c r="O318" i="100" s="1"/>
  <c r="L318" i="100"/>
  <c r="K318" i="100"/>
  <c r="J318" i="100"/>
  <c r="N317" i="100"/>
  <c r="M317" i="100"/>
  <c r="L317" i="100"/>
  <c r="K317" i="100"/>
  <c r="J317" i="100"/>
  <c r="N316" i="100"/>
  <c r="P316" i="100" s="1"/>
  <c r="M316" i="100"/>
  <c r="L316" i="100"/>
  <c r="K316" i="100"/>
  <c r="J316" i="100"/>
  <c r="N315" i="100"/>
  <c r="M315" i="100"/>
  <c r="L315" i="100"/>
  <c r="K315" i="100"/>
  <c r="J315" i="100"/>
  <c r="N314" i="100"/>
  <c r="M314" i="100"/>
  <c r="O314" i="100" s="1"/>
  <c r="L314" i="100"/>
  <c r="K314" i="100"/>
  <c r="J314" i="100"/>
  <c r="N313" i="100"/>
  <c r="M313" i="100"/>
  <c r="L313" i="100"/>
  <c r="K313" i="100"/>
  <c r="J313" i="100"/>
  <c r="N312" i="100"/>
  <c r="M312" i="100"/>
  <c r="O312" i="100" s="1"/>
  <c r="L312" i="100"/>
  <c r="K312" i="100"/>
  <c r="J312" i="100"/>
  <c r="N311" i="100"/>
  <c r="M311" i="100"/>
  <c r="L311" i="100"/>
  <c r="K311" i="100"/>
  <c r="J311" i="100"/>
  <c r="N310" i="100"/>
  <c r="M310" i="100"/>
  <c r="L310" i="100"/>
  <c r="K310" i="100"/>
  <c r="J310" i="100"/>
  <c r="N309" i="100"/>
  <c r="M309" i="100"/>
  <c r="O309" i="100" s="1"/>
  <c r="L309" i="100"/>
  <c r="K309" i="100"/>
  <c r="J309" i="100"/>
  <c r="N308" i="100"/>
  <c r="M308" i="100"/>
  <c r="L308" i="100"/>
  <c r="K308" i="100"/>
  <c r="J308" i="100"/>
  <c r="N307" i="100"/>
  <c r="M307" i="100"/>
  <c r="L307" i="100"/>
  <c r="K307" i="100"/>
  <c r="J307" i="100"/>
  <c r="N306" i="100"/>
  <c r="M306" i="100"/>
  <c r="O306" i="100" s="1"/>
  <c r="L306" i="100"/>
  <c r="K306" i="100"/>
  <c r="J306" i="100"/>
  <c r="N305" i="100"/>
  <c r="M305" i="100"/>
  <c r="L305" i="100"/>
  <c r="K305" i="100"/>
  <c r="J305" i="100"/>
  <c r="P304" i="100"/>
  <c r="N304" i="100"/>
  <c r="M304" i="100"/>
  <c r="O304" i="100" s="1"/>
  <c r="Q304" i="100" s="1"/>
  <c r="L304" i="100"/>
  <c r="K304" i="100"/>
  <c r="J304" i="100"/>
  <c r="N303" i="100"/>
  <c r="M303" i="100"/>
  <c r="L303" i="100"/>
  <c r="K303" i="100"/>
  <c r="J303" i="100"/>
  <c r="N302" i="100"/>
  <c r="M302" i="100"/>
  <c r="L302" i="100"/>
  <c r="K302" i="100"/>
  <c r="J302" i="100"/>
  <c r="N301" i="100"/>
  <c r="M301" i="100"/>
  <c r="O301" i="100" s="1"/>
  <c r="L301" i="100"/>
  <c r="K301" i="100"/>
  <c r="J301" i="100"/>
  <c r="N300" i="100"/>
  <c r="M300" i="100"/>
  <c r="L300" i="100"/>
  <c r="K300" i="100"/>
  <c r="J300" i="100"/>
  <c r="N299" i="100"/>
  <c r="M299" i="100"/>
  <c r="L299" i="100"/>
  <c r="K299" i="100"/>
  <c r="J299" i="100"/>
  <c r="N298" i="100"/>
  <c r="M298" i="100"/>
  <c r="O298" i="100" s="1"/>
  <c r="L298" i="100"/>
  <c r="K298" i="100"/>
  <c r="J298" i="100"/>
  <c r="N297" i="100"/>
  <c r="M297" i="100"/>
  <c r="L297" i="100"/>
  <c r="K297" i="100"/>
  <c r="J297" i="100"/>
  <c r="P296" i="100"/>
  <c r="N296" i="100"/>
  <c r="M296" i="100"/>
  <c r="O296" i="100" s="1"/>
  <c r="Q296" i="100" s="1"/>
  <c r="L296" i="100"/>
  <c r="K296" i="100"/>
  <c r="J296" i="100"/>
  <c r="N295" i="100"/>
  <c r="M295" i="100"/>
  <c r="L295" i="100"/>
  <c r="K295" i="100"/>
  <c r="J295" i="100"/>
  <c r="N294" i="100"/>
  <c r="M294" i="100"/>
  <c r="L294" i="100"/>
  <c r="K294" i="100"/>
  <c r="J294" i="100"/>
  <c r="N293" i="100"/>
  <c r="M293" i="100"/>
  <c r="O293" i="100" s="1"/>
  <c r="L293" i="100"/>
  <c r="K293" i="100"/>
  <c r="J293" i="100"/>
  <c r="N292" i="100"/>
  <c r="M292" i="100"/>
  <c r="L292" i="100"/>
  <c r="K292" i="100"/>
  <c r="J292" i="100"/>
  <c r="N291" i="100"/>
  <c r="M291" i="100"/>
  <c r="L291" i="100"/>
  <c r="K291" i="100"/>
  <c r="J291" i="100"/>
  <c r="P290" i="100"/>
  <c r="N290" i="100"/>
  <c r="M290" i="100"/>
  <c r="O290" i="100" s="1"/>
  <c r="Q290" i="100" s="1"/>
  <c r="L290" i="100"/>
  <c r="K290" i="100"/>
  <c r="J290" i="100"/>
  <c r="N289" i="100"/>
  <c r="M289" i="100"/>
  <c r="L289" i="100"/>
  <c r="K289" i="100"/>
  <c r="J289" i="100"/>
  <c r="P288" i="100"/>
  <c r="N288" i="100"/>
  <c r="M288" i="100"/>
  <c r="O288" i="100" s="1"/>
  <c r="Q288" i="100" s="1"/>
  <c r="L288" i="100"/>
  <c r="K288" i="100"/>
  <c r="J288" i="100"/>
  <c r="N287" i="100"/>
  <c r="M287" i="100"/>
  <c r="L287" i="100"/>
  <c r="K287" i="100"/>
  <c r="J287" i="100"/>
  <c r="N286" i="100"/>
  <c r="M286" i="100"/>
  <c r="L286" i="100"/>
  <c r="K286" i="100"/>
  <c r="J286" i="100"/>
  <c r="N285" i="100"/>
  <c r="M285" i="100"/>
  <c r="O285" i="100" s="1"/>
  <c r="L285" i="100"/>
  <c r="K285" i="100"/>
  <c r="J285" i="100"/>
  <c r="N284" i="100"/>
  <c r="M284" i="100"/>
  <c r="L284" i="100"/>
  <c r="K284" i="100"/>
  <c r="J284" i="100"/>
  <c r="N283" i="100"/>
  <c r="M283" i="100"/>
  <c r="L283" i="100"/>
  <c r="K283" i="100"/>
  <c r="J283" i="100"/>
  <c r="N282" i="100"/>
  <c r="M282" i="100"/>
  <c r="O282" i="100" s="1"/>
  <c r="L282" i="100"/>
  <c r="K282" i="100"/>
  <c r="J282" i="100"/>
  <c r="N281" i="100"/>
  <c r="M281" i="100"/>
  <c r="L281" i="100"/>
  <c r="K281" i="100"/>
  <c r="J281" i="100"/>
  <c r="N280" i="100"/>
  <c r="M280" i="100"/>
  <c r="O280" i="100" s="1"/>
  <c r="L280" i="100"/>
  <c r="K280" i="100"/>
  <c r="J280" i="100"/>
  <c r="N279" i="100"/>
  <c r="M279" i="100"/>
  <c r="L279" i="100"/>
  <c r="K279" i="100"/>
  <c r="J279" i="100"/>
  <c r="N278" i="100"/>
  <c r="M278" i="100"/>
  <c r="L278" i="100"/>
  <c r="K278" i="100"/>
  <c r="J278" i="100"/>
  <c r="N277" i="100"/>
  <c r="M277" i="100"/>
  <c r="O277" i="100" s="1"/>
  <c r="L277" i="100"/>
  <c r="K277" i="100"/>
  <c r="J277" i="100"/>
  <c r="N276" i="100"/>
  <c r="M276" i="100"/>
  <c r="L276" i="100"/>
  <c r="K276" i="100"/>
  <c r="J276" i="100"/>
  <c r="N275" i="100"/>
  <c r="M275" i="100"/>
  <c r="L275" i="100"/>
  <c r="K275" i="100"/>
  <c r="J275" i="100"/>
  <c r="N274" i="100"/>
  <c r="M274" i="100"/>
  <c r="O274" i="100" s="1"/>
  <c r="L274" i="100"/>
  <c r="K274" i="100"/>
  <c r="J274" i="100"/>
  <c r="N273" i="100"/>
  <c r="M273" i="100"/>
  <c r="L273" i="100"/>
  <c r="K273" i="100"/>
  <c r="J273" i="100"/>
  <c r="N272" i="100"/>
  <c r="M272" i="100"/>
  <c r="L272" i="100"/>
  <c r="K272" i="100"/>
  <c r="J272" i="100"/>
  <c r="N271" i="100"/>
  <c r="M271" i="100"/>
  <c r="O271" i="100" s="1"/>
  <c r="L271" i="100"/>
  <c r="K271" i="100"/>
  <c r="J271" i="100"/>
  <c r="N270" i="100"/>
  <c r="P270" i="100" s="1"/>
  <c r="M270" i="100"/>
  <c r="L270" i="100"/>
  <c r="K270" i="100"/>
  <c r="J270" i="100"/>
  <c r="N269" i="100"/>
  <c r="M269" i="100"/>
  <c r="L269" i="100"/>
  <c r="K269" i="100"/>
  <c r="J269" i="100"/>
  <c r="N268" i="100"/>
  <c r="M268" i="100"/>
  <c r="L268" i="100"/>
  <c r="K268" i="100"/>
  <c r="J268" i="100"/>
  <c r="N267" i="100"/>
  <c r="M267" i="100"/>
  <c r="L267" i="100"/>
  <c r="K267" i="100"/>
  <c r="J267" i="100"/>
  <c r="N266" i="100"/>
  <c r="M266" i="100"/>
  <c r="L266" i="100"/>
  <c r="K266" i="100"/>
  <c r="J266" i="100"/>
  <c r="N265" i="100"/>
  <c r="M265" i="100"/>
  <c r="L265" i="100"/>
  <c r="K265" i="100"/>
  <c r="J265" i="100"/>
  <c r="N264" i="100"/>
  <c r="M264" i="100"/>
  <c r="L264" i="100"/>
  <c r="K264" i="100"/>
  <c r="J264" i="100"/>
  <c r="N263" i="100"/>
  <c r="M263" i="100"/>
  <c r="L263" i="100"/>
  <c r="K263" i="100"/>
  <c r="J263" i="100"/>
  <c r="N262" i="100"/>
  <c r="M262" i="100"/>
  <c r="L262" i="100"/>
  <c r="K262" i="100"/>
  <c r="J262" i="100"/>
  <c r="N261" i="100"/>
  <c r="M261" i="100"/>
  <c r="L261" i="100"/>
  <c r="K261" i="100"/>
  <c r="J261" i="100"/>
  <c r="N260" i="100"/>
  <c r="M260" i="100"/>
  <c r="L260" i="100"/>
  <c r="K260" i="100"/>
  <c r="J260" i="100"/>
  <c r="N259" i="100"/>
  <c r="M259" i="100"/>
  <c r="L259" i="100"/>
  <c r="K259" i="100"/>
  <c r="J259" i="100"/>
  <c r="N258" i="100"/>
  <c r="M258" i="100"/>
  <c r="L258" i="100"/>
  <c r="K258" i="100"/>
  <c r="J258" i="100"/>
  <c r="N257" i="100"/>
  <c r="M257" i="100"/>
  <c r="L257" i="100"/>
  <c r="K257" i="100"/>
  <c r="J257" i="100"/>
  <c r="N256" i="100"/>
  <c r="M256" i="100"/>
  <c r="L256" i="100"/>
  <c r="K256" i="100"/>
  <c r="J256" i="100"/>
  <c r="N255" i="100"/>
  <c r="M255" i="100"/>
  <c r="L255" i="100"/>
  <c r="K255" i="100"/>
  <c r="J255" i="100"/>
  <c r="N254" i="100"/>
  <c r="M254" i="100"/>
  <c r="L254" i="100"/>
  <c r="K254" i="100"/>
  <c r="J254" i="100"/>
  <c r="N253" i="100"/>
  <c r="M253" i="100"/>
  <c r="L253" i="100"/>
  <c r="K253" i="100"/>
  <c r="J253" i="100"/>
  <c r="N252" i="100"/>
  <c r="M252" i="100"/>
  <c r="O252" i="100" s="1"/>
  <c r="L252" i="100"/>
  <c r="K252" i="100"/>
  <c r="J252" i="100"/>
  <c r="N251" i="100"/>
  <c r="M251" i="100"/>
  <c r="L251" i="100"/>
  <c r="K251" i="100"/>
  <c r="J251" i="100"/>
  <c r="N250" i="100"/>
  <c r="M250" i="100"/>
  <c r="L250" i="100"/>
  <c r="K250" i="100"/>
  <c r="J250" i="100"/>
  <c r="N249" i="100"/>
  <c r="M249" i="100"/>
  <c r="L249" i="100"/>
  <c r="K249" i="100"/>
  <c r="J249" i="100"/>
  <c r="N248" i="100"/>
  <c r="M248" i="100"/>
  <c r="O248" i="100" s="1"/>
  <c r="L248" i="100"/>
  <c r="K248" i="100"/>
  <c r="J248" i="100"/>
  <c r="N247" i="100"/>
  <c r="M247" i="100"/>
  <c r="L247" i="100"/>
  <c r="K247" i="100"/>
  <c r="J247" i="100"/>
  <c r="N246" i="100"/>
  <c r="M246" i="100"/>
  <c r="L246" i="100"/>
  <c r="K246" i="100"/>
  <c r="J246" i="100"/>
  <c r="N245" i="100"/>
  <c r="P245" i="100" s="1"/>
  <c r="M245" i="100"/>
  <c r="L245" i="100"/>
  <c r="K245" i="100"/>
  <c r="J245" i="100"/>
  <c r="N244" i="100"/>
  <c r="M244" i="100"/>
  <c r="O244" i="100" s="1"/>
  <c r="L244" i="100"/>
  <c r="K244" i="100"/>
  <c r="J244" i="100"/>
  <c r="N243" i="100"/>
  <c r="M243" i="100"/>
  <c r="L243" i="100"/>
  <c r="K243" i="100"/>
  <c r="J243" i="100"/>
  <c r="N242" i="100"/>
  <c r="M242" i="100"/>
  <c r="L242" i="100"/>
  <c r="K242" i="100"/>
  <c r="J242" i="100"/>
  <c r="N241" i="100"/>
  <c r="M241" i="100"/>
  <c r="L241" i="100"/>
  <c r="K241" i="100"/>
  <c r="J241" i="100"/>
  <c r="N240" i="100"/>
  <c r="M240" i="100"/>
  <c r="L240" i="100"/>
  <c r="K240" i="100"/>
  <c r="J240" i="100"/>
  <c r="N239" i="100"/>
  <c r="M239" i="100"/>
  <c r="L239" i="100"/>
  <c r="K239" i="100"/>
  <c r="J239" i="100"/>
  <c r="N238" i="100"/>
  <c r="M238" i="100"/>
  <c r="L238" i="100"/>
  <c r="K238" i="100"/>
  <c r="J238" i="100"/>
  <c r="N237" i="100"/>
  <c r="P237" i="100" s="1"/>
  <c r="M237" i="100"/>
  <c r="L237" i="100"/>
  <c r="K237" i="100"/>
  <c r="J237" i="100"/>
  <c r="N236" i="100"/>
  <c r="M236" i="100"/>
  <c r="L236" i="100"/>
  <c r="K236" i="100"/>
  <c r="J236" i="100"/>
  <c r="N235" i="100"/>
  <c r="M235" i="100"/>
  <c r="L235" i="100"/>
  <c r="K235" i="100"/>
  <c r="J235" i="100"/>
  <c r="N234" i="100"/>
  <c r="M234" i="100"/>
  <c r="L234" i="100"/>
  <c r="K234" i="100"/>
  <c r="J234" i="100"/>
  <c r="N233" i="100"/>
  <c r="M233" i="100"/>
  <c r="L233" i="100"/>
  <c r="K233" i="100"/>
  <c r="J233" i="100"/>
  <c r="N232" i="100"/>
  <c r="M232" i="100"/>
  <c r="L232" i="100"/>
  <c r="K232" i="100"/>
  <c r="J232" i="100"/>
  <c r="N231" i="100"/>
  <c r="M231" i="100"/>
  <c r="L231" i="100"/>
  <c r="K231" i="100"/>
  <c r="J231" i="100"/>
  <c r="N230" i="100"/>
  <c r="M230" i="100"/>
  <c r="L230" i="100"/>
  <c r="K230" i="100"/>
  <c r="J230" i="100"/>
  <c r="N229" i="100"/>
  <c r="M229" i="100"/>
  <c r="L229" i="100"/>
  <c r="K229" i="100"/>
  <c r="J229" i="100"/>
  <c r="N228" i="100"/>
  <c r="P228" i="100" s="1"/>
  <c r="M228" i="100"/>
  <c r="L228" i="100"/>
  <c r="K228" i="100"/>
  <c r="J228" i="100"/>
  <c r="N227" i="100"/>
  <c r="M227" i="100"/>
  <c r="L227" i="100"/>
  <c r="K227" i="100"/>
  <c r="J227" i="100"/>
  <c r="N226" i="100"/>
  <c r="M226" i="100"/>
  <c r="L226" i="100"/>
  <c r="K226" i="100"/>
  <c r="J226" i="100"/>
  <c r="N225" i="100"/>
  <c r="M225" i="100"/>
  <c r="L225" i="100"/>
  <c r="K225" i="100"/>
  <c r="J225" i="100"/>
  <c r="N224" i="100"/>
  <c r="M224" i="100"/>
  <c r="L224" i="100"/>
  <c r="K224" i="100"/>
  <c r="J224" i="100"/>
  <c r="N223" i="100"/>
  <c r="M223" i="100"/>
  <c r="L223" i="100"/>
  <c r="K223" i="100"/>
  <c r="J223" i="100"/>
  <c r="N222" i="100"/>
  <c r="M222" i="100"/>
  <c r="O222" i="100" s="1"/>
  <c r="L222" i="100"/>
  <c r="K222" i="100"/>
  <c r="J222" i="100"/>
  <c r="N221" i="100"/>
  <c r="M221" i="100"/>
  <c r="L221" i="100"/>
  <c r="K221" i="100"/>
  <c r="J221" i="100"/>
  <c r="N220" i="100"/>
  <c r="M220" i="100"/>
  <c r="L220" i="100"/>
  <c r="K220" i="100"/>
  <c r="J220" i="100"/>
  <c r="N219" i="100"/>
  <c r="M219" i="100"/>
  <c r="O219" i="100" s="1"/>
  <c r="L219" i="100"/>
  <c r="K219" i="100"/>
  <c r="J219" i="100"/>
  <c r="N218" i="100"/>
  <c r="M218" i="100"/>
  <c r="O218" i="100" s="1"/>
  <c r="L218" i="100"/>
  <c r="K218" i="100"/>
  <c r="J218" i="100"/>
  <c r="N217" i="100"/>
  <c r="M217" i="100"/>
  <c r="L217" i="100"/>
  <c r="K217" i="100"/>
  <c r="J217" i="100"/>
  <c r="N216" i="100"/>
  <c r="M216" i="100"/>
  <c r="L216" i="100"/>
  <c r="K216" i="100"/>
  <c r="J216" i="100"/>
  <c r="N215" i="100"/>
  <c r="M215" i="100"/>
  <c r="O215" i="100" s="1"/>
  <c r="L215" i="100"/>
  <c r="K215" i="100"/>
  <c r="J215" i="100"/>
  <c r="N214" i="100"/>
  <c r="M214" i="100"/>
  <c r="O214" i="100" s="1"/>
  <c r="L214" i="100"/>
  <c r="K214" i="100"/>
  <c r="J214" i="100"/>
  <c r="N213" i="100"/>
  <c r="M213" i="100"/>
  <c r="L213" i="100"/>
  <c r="K213" i="100"/>
  <c r="J213" i="100"/>
  <c r="N212" i="100"/>
  <c r="M212" i="100"/>
  <c r="L212" i="100"/>
  <c r="K212" i="100"/>
  <c r="J212" i="100"/>
  <c r="N211" i="100"/>
  <c r="M211" i="100"/>
  <c r="O211" i="100" s="1"/>
  <c r="L211" i="100"/>
  <c r="K211" i="100"/>
  <c r="J211" i="100"/>
  <c r="N210" i="100"/>
  <c r="M210" i="100"/>
  <c r="O210" i="100" s="1"/>
  <c r="L210" i="100"/>
  <c r="K210" i="100"/>
  <c r="J210" i="100"/>
  <c r="N209" i="100"/>
  <c r="M209" i="100"/>
  <c r="L209" i="100"/>
  <c r="K209" i="100"/>
  <c r="J209" i="100"/>
  <c r="N208" i="100"/>
  <c r="M208" i="100"/>
  <c r="L208" i="100"/>
  <c r="K208" i="100"/>
  <c r="J208" i="100"/>
  <c r="N207" i="100"/>
  <c r="M207" i="100"/>
  <c r="L207" i="100"/>
  <c r="K207" i="100"/>
  <c r="J207" i="100"/>
  <c r="N206" i="100"/>
  <c r="M206" i="100"/>
  <c r="O206" i="100" s="1"/>
  <c r="L206" i="100"/>
  <c r="K206" i="100"/>
  <c r="J206" i="100"/>
  <c r="N205" i="100"/>
  <c r="M205" i="100"/>
  <c r="L205" i="100"/>
  <c r="K205" i="100"/>
  <c r="J205" i="100"/>
  <c r="N204" i="100"/>
  <c r="M204" i="100"/>
  <c r="L204" i="100"/>
  <c r="K204" i="100"/>
  <c r="J204" i="100"/>
  <c r="N203" i="100"/>
  <c r="P203" i="100" s="1"/>
  <c r="M203" i="100"/>
  <c r="O203" i="100" s="1"/>
  <c r="Q203" i="100" s="1"/>
  <c r="L203" i="100"/>
  <c r="K203" i="100"/>
  <c r="J203" i="100"/>
  <c r="N202" i="100"/>
  <c r="M202" i="100"/>
  <c r="O202" i="100" s="1"/>
  <c r="L202" i="100"/>
  <c r="K202" i="100"/>
  <c r="J202" i="100"/>
  <c r="N201" i="100"/>
  <c r="M201" i="100"/>
  <c r="L201" i="100"/>
  <c r="K201" i="100"/>
  <c r="J201" i="100"/>
  <c r="P200" i="100"/>
  <c r="N200" i="100"/>
  <c r="M200" i="100"/>
  <c r="L200" i="100"/>
  <c r="K200" i="100"/>
  <c r="J200" i="100"/>
  <c r="N199" i="100"/>
  <c r="M199" i="100"/>
  <c r="O199" i="100" s="1"/>
  <c r="L199" i="100"/>
  <c r="K199" i="100"/>
  <c r="J199" i="100"/>
  <c r="N198" i="100"/>
  <c r="M198" i="100"/>
  <c r="O198" i="100" s="1"/>
  <c r="L198" i="100"/>
  <c r="K198" i="100"/>
  <c r="J198" i="100"/>
  <c r="N197" i="100"/>
  <c r="M197" i="100"/>
  <c r="L197" i="100"/>
  <c r="K197" i="100"/>
  <c r="J197" i="100"/>
  <c r="N196" i="100"/>
  <c r="M196" i="100"/>
  <c r="L196" i="100"/>
  <c r="K196" i="100"/>
  <c r="J196" i="100"/>
  <c r="N195" i="100"/>
  <c r="M195" i="100"/>
  <c r="O195" i="100" s="1"/>
  <c r="L195" i="100"/>
  <c r="K195" i="100"/>
  <c r="J195" i="100"/>
  <c r="N194" i="100"/>
  <c r="M194" i="100"/>
  <c r="O194" i="100" s="1"/>
  <c r="L194" i="100"/>
  <c r="K194" i="100"/>
  <c r="J194" i="100"/>
  <c r="N193" i="100"/>
  <c r="M193" i="100"/>
  <c r="L193" i="100"/>
  <c r="K193" i="100"/>
  <c r="J193" i="100"/>
  <c r="N192" i="100"/>
  <c r="M192" i="100"/>
  <c r="L192" i="100"/>
  <c r="K192" i="100"/>
  <c r="J192" i="100"/>
  <c r="N191" i="100"/>
  <c r="M191" i="100"/>
  <c r="L191" i="100"/>
  <c r="K191" i="100"/>
  <c r="J191" i="100"/>
  <c r="N190" i="100"/>
  <c r="M190" i="100"/>
  <c r="O190" i="100" s="1"/>
  <c r="L190" i="100"/>
  <c r="K190" i="100"/>
  <c r="J190" i="100"/>
  <c r="N189" i="100"/>
  <c r="M189" i="100"/>
  <c r="L189" i="100"/>
  <c r="K189" i="100"/>
  <c r="J189" i="100"/>
  <c r="N188" i="100"/>
  <c r="M188" i="100"/>
  <c r="L188" i="100"/>
  <c r="K188" i="100"/>
  <c r="J188" i="100"/>
  <c r="N187" i="100"/>
  <c r="M187" i="100"/>
  <c r="O187" i="100" s="1"/>
  <c r="L187" i="100"/>
  <c r="K187" i="100"/>
  <c r="J187" i="100"/>
  <c r="N186" i="100"/>
  <c r="M186" i="100"/>
  <c r="O186" i="100" s="1"/>
  <c r="L186" i="100"/>
  <c r="K186" i="100"/>
  <c r="J186" i="100"/>
  <c r="N185" i="100"/>
  <c r="M185" i="100"/>
  <c r="L185" i="100"/>
  <c r="K185" i="100"/>
  <c r="J185" i="100"/>
  <c r="N184" i="100"/>
  <c r="M184" i="100"/>
  <c r="L184" i="100"/>
  <c r="K184" i="100"/>
  <c r="J184" i="100"/>
  <c r="N183" i="100"/>
  <c r="M183" i="100"/>
  <c r="L183" i="100"/>
  <c r="K183" i="100"/>
  <c r="J183" i="100"/>
  <c r="N182" i="100"/>
  <c r="M182" i="100"/>
  <c r="O182" i="100" s="1"/>
  <c r="L182" i="100"/>
  <c r="K182" i="100"/>
  <c r="J182" i="100"/>
  <c r="P181" i="100"/>
  <c r="N181" i="100"/>
  <c r="M181" i="100"/>
  <c r="L181" i="100"/>
  <c r="K181" i="100"/>
  <c r="J181" i="100"/>
  <c r="N180" i="100"/>
  <c r="M180" i="100"/>
  <c r="L180" i="100"/>
  <c r="K180" i="100"/>
  <c r="J180" i="100"/>
  <c r="N179" i="100"/>
  <c r="M179" i="100"/>
  <c r="O179" i="100" s="1"/>
  <c r="L179" i="100"/>
  <c r="K179" i="100"/>
  <c r="J179" i="100"/>
  <c r="N178" i="100"/>
  <c r="M178" i="100"/>
  <c r="O178" i="100" s="1"/>
  <c r="L178" i="100"/>
  <c r="K178" i="100"/>
  <c r="J178" i="100"/>
  <c r="N177" i="100"/>
  <c r="M177" i="100"/>
  <c r="L177" i="100"/>
  <c r="K177" i="100"/>
  <c r="J177" i="100"/>
  <c r="N176" i="100"/>
  <c r="M176" i="100"/>
  <c r="L176" i="100"/>
  <c r="K176" i="100"/>
  <c r="J176" i="100"/>
  <c r="N175" i="100"/>
  <c r="P175" i="100" s="1"/>
  <c r="M175" i="100"/>
  <c r="O175" i="100" s="1"/>
  <c r="L175" i="100"/>
  <c r="K175" i="100"/>
  <c r="J175" i="100"/>
  <c r="N174" i="100"/>
  <c r="M174" i="100"/>
  <c r="O174" i="100" s="1"/>
  <c r="L174" i="100"/>
  <c r="K174" i="100"/>
  <c r="J174" i="100"/>
  <c r="N173" i="100"/>
  <c r="M173" i="100"/>
  <c r="L173" i="100"/>
  <c r="K173" i="100"/>
  <c r="J173" i="100"/>
  <c r="N172" i="100"/>
  <c r="M172" i="100"/>
  <c r="L172" i="100"/>
  <c r="K172" i="100"/>
  <c r="J172" i="100"/>
  <c r="N171" i="100"/>
  <c r="M171" i="100"/>
  <c r="O171" i="100" s="1"/>
  <c r="L171" i="100"/>
  <c r="K171" i="100"/>
  <c r="J171" i="100"/>
  <c r="N170" i="100"/>
  <c r="M170" i="100"/>
  <c r="O170" i="100" s="1"/>
  <c r="L170" i="100"/>
  <c r="K170" i="100"/>
  <c r="J170" i="100"/>
  <c r="N169" i="100"/>
  <c r="M169" i="100"/>
  <c r="L169" i="100"/>
  <c r="K169" i="100"/>
  <c r="J169" i="100"/>
  <c r="N168" i="100"/>
  <c r="M168" i="100"/>
  <c r="L168" i="100"/>
  <c r="K168" i="100"/>
  <c r="J168" i="100"/>
  <c r="N167" i="100"/>
  <c r="M167" i="100"/>
  <c r="O167" i="100" s="1"/>
  <c r="L167" i="100"/>
  <c r="K167" i="100"/>
  <c r="J167" i="100"/>
  <c r="N166" i="100"/>
  <c r="M166" i="100"/>
  <c r="O166" i="100" s="1"/>
  <c r="L166" i="100"/>
  <c r="K166" i="100"/>
  <c r="J166" i="100"/>
  <c r="N165" i="100"/>
  <c r="M165" i="100"/>
  <c r="L165" i="100"/>
  <c r="K165" i="100"/>
  <c r="J165" i="100"/>
  <c r="N164" i="100"/>
  <c r="M164" i="100"/>
  <c r="L164" i="100"/>
  <c r="K164" i="100"/>
  <c r="J164" i="100"/>
  <c r="N163" i="100"/>
  <c r="M163" i="100"/>
  <c r="O163" i="100" s="1"/>
  <c r="L163" i="100"/>
  <c r="K163" i="100"/>
  <c r="J163" i="100"/>
  <c r="N162" i="100"/>
  <c r="M162" i="100"/>
  <c r="O162" i="100" s="1"/>
  <c r="L162" i="100"/>
  <c r="K162" i="100"/>
  <c r="J162" i="100"/>
  <c r="N161" i="100"/>
  <c r="M161" i="100"/>
  <c r="L161" i="100"/>
  <c r="K161" i="100"/>
  <c r="J161" i="100"/>
  <c r="N160" i="100"/>
  <c r="M160" i="100"/>
  <c r="L160" i="100"/>
  <c r="K160" i="100"/>
  <c r="J160" i="100"/>
  <c r="N159" i="100"/>
  <c r="M159" i="100"/>
  <c r="O159" i="100" s="1"/>
  <c r="L159" i="100"/>
  <c r="K159" i="100"/>
  <c r="J159" i="100"/>
  <c r="N158" i="100"/>
  <c r="M158" i="100"/>
  <c r="L158" i="100"/>
  <c r="K158" i="100"/>
  <c r="J158" i="100"/>
  <c r="N157" i="100"/>
  <c r="M157" i="100"/>
  <c r="L157" i="100"/>
  <c r="K157" i="100"/>
  <c r="J157" i="100"/>
  <c r="N156" i="100"/>
  <c r="M156" i="100"/>
  <c r="L156" i="100"/>
  <c r="K156" i="100"/>
  <c r="J156" i="100"/>
  <c r="N155" i="100"/>
  <c r="M155" i="100"/>
  <c r="O155" i="100" s="1"/>
  <c r="L155" i="100"/>
  <c r="K155" i="100"/>
  <c r="J155" i="100"/>
  <c r="N154" i="100"/>
  <c r="M154" i="100"/>
  <c r="L154" i="100"/>
  <c r="K154" i="100"/>
  <c r="J154" i="100"/>
  <c r="N153" i="100"/>
  <c r="M153" i="100"/>
  <c r="L153" i="100"/>
  <c r="K153" i="100"/>
  <c r="J153" i="100"/>
  <c r="N152" i="100"/>
  <c r="M152" i="100"/>
  <c r="L152" i="100"/>
  <c r="K152" i="100"/>
  <c r="J152" i="100"/>
  <c r="N151" i="100"/>
  <c r="M151" i="100"/>
  <c r="O151" i="100" s="1"/>
  <c r="L151" i="100"/>
  <c r="K151" i="100"/>
  <c r="J151" i="100"/>
  <c r="N150" i="100"/>
  <c r="M150" i="100"/>
  <c r="L150" i="100"/>
  <c r="K150" i="100"/>
  <c r="J150" i="100"/>
  <c r="N149" i="100"/>
  <c r="M149" i="100"/>
  <c r="L149" i="100"/>
  <c r="K149" i="100"/>
  <c r="J149" i="100"/>
  <c r="N148" i="100"/>
  <c r="M148" i="100"/>
  <c r="L148" i="100"/>
  <c r="K148" i="100"/>
  <c r="J148" i="100"/>
  <c r="N147" i="100"/>
  <c r="M147" i="100"/>
  <c r="O147" i="100" s="1"/>
  <c r="L147" i="100"/>
  <c r="K147" i="100"/>
  <c r="J147" i="100"/>
  <c r="N146" i="100"/>
  <c r="M146" i="100"/>
  <c r="L146" i="100"/>
  <c r="K146" i="100"/>
  <c r="J146" i="100"/>
  <c r="N145" i="100"/>
  <c r="M145" i="100"/>
  <c r="L145" i="100"/>
  <c r="K145" i="100"/>
  <c r="J145" i="100"/>
  <c r="N144" i="100"/>
  <c r="M144" i="100"/>
  <c r="L144" i="100"/>
  <c r="K144" i="100"/>
  <c r="J144" i="100"/>
  <c r="N143" i="100"/>
  <c r="M143" i="100"/>
  <c r="O143" i="100" s="1"/>
  <c r="L143" i="100"/>
  <c r="K143" i="100"/>
  <c r="J143" i="100"/>
  <c r="N142" i="100"/>
  <c r="M142" i="100"/>
  <c r="L142" i="100"/>
  <c r="K142" i="100"/>
  <c r="J142" i="100"/>
  <c r="N141" i="100"/>
  <c r="M141" i="100"/>
  <c r="L141" i="100"/>
  <c r="K141" i="100"/>
  <c r="J141" i="100"/>
  <c r="N140" i="100"/>
  <c r="M140" i="100"/>
  <c r="L140" i="100"/>
  <c r="K140" i="100"/>
  <c r="J140" i="100"/>
  <c r="N139" i="100"/>
  <c r="M139" i="100"/>
  <c r="O139" i="100" s="1"/>
  <c r="L139" i="100"/>
  <c r="K139" i="100"/>
  <c r="J139" i="100"/>
  <c r="N138" i="100"/>
  <c r="M138" i="100"/>
  <c r="L138" i="100"/>
  <c r="K138" i="100"/>
  <c r="J138" i="100"/>
  <c r="N137" i="100"/>
  <c r="M137" i="100"/>
  <c r="L137" i="100"/>
  <c r="K137" i="100"/>
  <c r="J137" i="100"/>
  <c r="N136" i="100"/>
  <c r="M136" i="100"/>
  <c r="L136" i="100"/>
  <c r="K136" i="100"/>
  <c r="J136" i="100"/>
  <c r="N135" i="100"/>
  <c r="M135" i="100"/>
  <c r="O135" i="100" s="1"/>
  <c r="L135" i="100"/>
  <c r="K135" i="100"/>
  <c r="J135" i="100"/>
  <c r="N134" i="100"/>
  <c r="M134" i="100"/>
  <c r="L134" i="100"/>
  <c r="K134" i="100"/>
  <c r="J134" i="100"/>
  <c r="N133" i="100"/>
  <c r="M133" i="100"/>
  <c r="L133" i="100"/>
  <c r="K133" i="100"/>
  <c r="J133" i="100"/>
  <c r="N132" i="100"/>
  <c r="M132" i="100"/>
  <c r="L132" i="100"/>
  <c r="K132" i="100"/>
  <c r="J132" i="100"/>
  <c r="N131" i="100"/>
  <c r="M131" i="100"/>
  <c r="O131" i="100" s="1"/>
  <c r="L131" i="100"/>
  <c r="K131" i="100"/>
  <c r="J131" i="100"/>
  <c r="N130" i="100"/>
  <c r="M130" i="100"/>
  <c r="L130" i="100"/>
  <c r="K130" i="100"/>
  <c r="J130" i="100"/>
  <c r="N129" i="100"/>
  <c r="M129" i="100"/>
  <c r="L129" i="100"/>
  <c r="K129" i="100"/>
  <c r="J129" i="100"/>
  <c r="N128" i="100"/>
  <c r="P128" i="100" s="1"/>
  <c r="M128" i="100"/>
  <c r="L128" i="100"/>
  <c r="K128" i="100"/>
  <c r="J128" i="100"/>
  <c r="N127" i="100"/>
  <c r="M127" i="100"/>
  <c r="O127" i="100" s="1"/>
  <c r="L127" i="100"/>
  <c r="K127" i="100"/>
  <c r="J127" i="100"/>
  <c r="N126" i="100"/>
  <c r="M126" i="100"/>
  <c r="L126" i="100"/>
  <c r="K126" i="100"/>
  <c r="J126" i="100"/>
  <c r="N125" i="100"/>
  <c r="M125" i="100"/>
  <c r="L125" i="100"/>
  <c r="K125" i="100"/>
  <c r="J125" i="100"/>
  <c r="N124" i="100"/>
  <c r="M124" i="100"/>
  <c r="L124" i="100"/>
  <c r="K124" i="100"/>
  <c r="J124" i="100"/>
  <c r="N123" i="100"/>
  <c r="M123" i="100"/>
  <c r="O123" i="100" s="1"/>
  <c r="L123" i="100"/>
  <c r="K123" i="100"/>
  <c r="J123" i="100"/>
  <c r="N122" i="100"/>
  <c r="M122" i="100"/>
  <c r="L122" i="100"/>
  <c r="K122" i="100"/>
  <c r="J122" i="100"/>
  <c r="N121" i="100"/>
  <c r="M121" i="100"/>
  <c r="L121" i="100"/>
  <c r="K121" i="100"/>
  <c r="J121" i="100"/>
  <c r="N120" i="100"/>
  <c r="M120" i="100"/>
  <c r="L120" i="100"/>
  <c r="K120" i="100"/>
  <c r="J120" i="100"/>
  <c r="N119" i="100"/>
  <c r="M119" i="100"/>
  <c r="O119" i="100" s="1"/>
  <c r="L119" i="100"/>
  <c r="K119" i="100"/>
  <c r="J119" i="100"/>
  <c r="N118" i="100"/>
  <c r="M118" i="100"/>
  <c r="L118" i="100"/>
  <c r="K118" i="100"/>
  <c r="J118" i="100"/>
  <c r="N117" i="100"/>
  <c r="M117" i="100"/>
  <c r="L117" i="100"/>
  <c r="K117" i="100"/>
  <c r="J117" i="100"/>
  <c r="N116" i="100"/>
  <c r="M116" i="100"/>
  <c r="L116" i="100"/>
  <c r="K116" i="100"/>
  <c r="J116" i="100"/>
  <c r="N115" i="100"/>
  <c r="M115" i="100"/>
  <c r="O115" i="100" s="1"/>
  <c r="L115" i="100"/>
  <c r="K115" i="100"/>
  <c r="J115" i="100"/>
  <c r="N114" i="100"/>
  <c r="P114" i="100" s="1"/>
  <c r="M114" i="100"/>
  <c r="L114" i="100"/>
  <c r="K114" i="100"/>
  <c r="J114" i="100"/>
  <c r="N113" i="100"/>
  <c r="M113" i="100"/>
  <c r="L113" i="100"/>
  <c r="K113" i="100"/>
  <c r="J113" i="100"/>
  <c r="N112" i="100"/>
  <c r="M112" i="100"/>
  <c r="L112" i="100"/>
  <c r="K112" i="100"/>
  <c r="J112" i="100"/>
  <c r="N111" i="100"/>
  <c r="P111" i="100" s="1"/>
  <c r="M111" i="100"/>
  <c r="O111" i="100" s="1"/>
  <c r="L111" i="100"/>
  <c r="K111" i="100"/>
  <c r="J111" i="100"/>
  <c r="N110" i="100"/>
  <c r="M110" i="100"/>
  <c r="L110" i="100"/>
  <c r="K110" i="100"/>
  <c r="J110" i="100"/>
  <c r="N109" i="100"/>
  <c r="M109" i="100"/>
  <c r="L109" i="100"/>
  <c r="K109" i="100"/>
  <c r="J109" i="100"/>
  <c r="N108" i="100"/>
  <c r="P108" i="100" s="1"/>
  <c r="M108" i="100"/>
  <c r="L108" i="100"/>
  <c r="K108" i="100"/>
  <c r="J108" i="100"/>
  <c r="N107" i="100"/>
  <c r="M107" i="100"/>
  <c r="O107" i="100" s="1"/>
  <c r="L107" i="100"/>
  <c r="K107" i="100"/>
  <c r="J107" i="100"/>
  <c r="N106" i="100"/>
  <c r="M106" i="100"/>
  <c r="L106" i="100"/>
  <c r="K106" i="100"/>
  <c r="J106" i="100"/>
  <c r="N105" i="100"/>
  <c r="M105" i="100"/>
  <c r="L105" i="100"/>
  <c r="K105" i="100"/>
  <c r="J105" i="100"/>
  <c r="N104" i="100"/>
  <c r="M104" i="100"/>
  <c r="L104" i="100"/>
  <c r="K104" i="100"/>
  <c r="J104" i="100"/>
  <c r="N103" i="100"/>
  <c r="M103" i="100"/>
  <c r="O103" i="100" s="1"/>
  <c r="L103" i="100"/>
  <c r="K103" i="100"/>
  <c r="J103" i="100"/>
  <c r="N102" i="100"/>
  <c r="M102" i="100"/>
  <c r="L102" i="100"/>
  <c r="K102" i="100"/>
  <c r="J102" i="100"/>
  <c r="N101" i="100"/>
  <c r="M101" i="100"/>
  <c r="L101" i="100"/>
  <c r="K101" i="100"/>
  <c r="J101" i="100"/>
  <c r="N100" i="100"/>
  <c r="M100" i="100"/>
  <c r="L100" i="100"/>
  <c r="K100" i="100"/>
  <c r="J100" i="100"/>
  <c r="N99" i="100"/>
  <c r="M99" i="100"/>
  <c r="O99" i="100" s="1"/>
  <c r="L99" i="100"/>
  <c r="K99" i="100"/>
  <c r="J99" i="100"/>
  <c r="N98" i="100"/>
  <c r="M98" i="100"/>
  <c r="L98" i="100"/>
  <c r="K98" i="100"/>
  <c r="J98" i="100"/>
  <c r="N97" i="100"/>
  <c r="M97" i="100"/>
  <c r="L97" i="100"/>
  <c r="K97" i="100"/>
  <c r="J97" i="100"/>
  <c r="N96" i="100"/>
  <c r="M96" i="100"/>
  <c r="L96" i="100"/>
  <c r="K96" i="100"/>
  <c r="J96" i="100"/>
  <c r="N95" i="100"/>
  <c r="M95" i="100"/>
  <c r="O95" i="100" s="1"/>
  <c r="L95" i="100"/>
  <c r="K95" i="100"/>
  <c r="J95" i="100"/>
  <c r="N94" i="100"/>
  <c r="M94" i="100"/>
  <c r="L94" i="100"/>
  <c r="K94" i="100"/>
  <c r="J94" i="100"/>
  <c r="N93" i="100"/>
  <c r="M93" i="100"/>
  <c r="L93" i="100"/>
  <c r="K93" i="100"/>
  <c r="J93" i="100"/>
  <c r="N92" i="100"/>
  <c r="M92" i="100"/>
  <c r="L92" i="100"/>
  <c r="K92" i="100"/>
  <c r="J92" i="100"/>
  <c r="N91" i="100"/>
  <c r="P91" i="100" s="1"/>
  <c r="M91" i="100"/>
  <c r="O91" i="100" s="1"/>
  <c r="L91" i="100"/>
  <c r="K91" i="100"/>
  <c r="J91" i="100"/>
  <c r="N90" i="100"/>
  <c r="M90" i="100"/>
  <c r="L90" i="100"/>
  <c r="K90" i="100"/>
  <c r="J90" i="100"/>
  <c r="N89" i="100"/>
  <c r="M89" i="100"/>
  <c r="L89" i="100"/>
  <c r="K89" i="100"/>
  <c r="J89" i="100"/>
  <c r="N88" i="100"/>
  <c r="M88" i="100"/>
  <c r="L88" i="100"/>
  <c r="K88" i="100"/>
  <c r="J88" i="100"/>
  <c r="N87" i="100"/>
  <c r="P87" i="100" s="1"/>
  <c r="M87" i="100"/>
  <c r="O87" i="100" s="1"/>
  <c r="L87" i="100"/>
  <c r="K87" i="100"/>
  <c r="J87" i="100"/>
  <c r="N86" i="100"/>
  <c r="P86" i="100" s="1"/>
  <c r="M86" i="100"/>
  <c r="L86" i="100"/>
  <c r="K86" i="100"/>
  <c r="J86" i="100"/>
  <c r="N85" i="100"/>
  <c r="M85" i="100"/>
  <c r="L85" i="100"/>
  <c r="K85" i="100"/>
  <c r="J85" i="100"/>
  <c r="N84" i="100"/>
  <c r="P84" i="100" s="1"/>
  <c r="M84" i="100"/>
  <c r="L84" i="100"/>
  <c r="K84" i="100"/>
  <c r="J84" i="100"/>
  <c r="N83" i="100"/>
  <c r="P83" i="100" s="1"/>
  <c r="M83" i="100"/>
  <c r="O83" i="100" s="1"/>
  <c r="L83" i="100"/>
  <c r="Q83" i="100" s="1"/>
  <c r="K83" i="100"/>
  <c r="J83" i="100"/>
  <c r="N82" i="100"/>
  <c r="M82" i="100"/>
  <c r="L82" i="100"/>
  <c r="K82" i="100"/>
  <c r="J82" i="100"/>
  <c r="N81" i="100"/>
  <c r="M81" i="100"/>
  <c r="L81" i="100"/>
  <c r="K81" i="100"/>
  <c r="J81" i="100"/>
  <c r="N80" i="100"/>
  <c r="M80" i="100"/>
  <c r="L80" i="100"/>
  <c r="K80" i="100"/>
  <c r="J80" i="100"/>
  <c r="N79" i="100"/>
  <c r="M79" i="100"/>
  <c r="O79" i="100" s="1"/>
  <c r="L79" i="100"/>
  <c r="K79" i="100"/>
  <c r="J79" i="100"/>
  <c r="N78" i="100"/>
  <c r="M78" i="100"/>
  <c r="L78" i="100"/>
  <c r="K78" i="100"/>
  <c r="J78" i="100"/>
  <c r="N77" i="100"/>
  <c r="M77" i="100"/>
  <c r="L77" i="100"/>
  <c r="K77" i="100"/>
  <c r="J77" i="100"/>
  <c r="N76" i="100"/>
  <c r="M76" i="100"/>
  <c r="L76" i="100"/>
  <c r="K76" i="100"/>
  <c r="J76" i="100"/>
  <c r="N75" i="100"/>
  <c r="M75" i="100"/>
  <c r="L75" i="100"/>
  <c r="K75" i="100"/>
  <c r="J75" i="100"/>
  <c r="N74" i="100"/>
  <c r="M74" i="100"/>
  <c r="L74" i="100"/>
  <c r="K74" i="100"/>
  <c r="J74" i="100"/>
  <c r="N73" i="100"/>
  <c r="P73" i="100" s="1"/>
  <c r="M73" i="100"/>
  <c r="L73" i="100"/>
  <c r="K73" i="100"/>
  <c r="J73" i="100"/>
  <c r="N72" i="100"/>
  <c r="P72" i="100" s="1"/>
  <c r="M72" i="100"/>
  <c r="L72" i="100"/>
  <c r="K72" i="100"/>
  <c r="J72" i="100"/>
  <c r="N71" i="100"/>
  <c r="P71" i="100" s="1"/>
  <c r="M71" i="100"/>
  <c r="L71" i="100"/>
  <c r="K71" i="100"/>
  <c r="J71" i="100"/>
  <c r="N70" i="100"/>
  <c r="M70" i="100"/>
  <c r="L70" i="100"/>
  <c r="K70" i="100"/>
  <c r="J70" i="100"/>
  <c r="N69" i="100"/>
  <c r="M69" i="100"/>
  <c r="L69" i="100"/>
  <c r="K69" i="100"/>
  <c r="J69" i="100"/>
  <c r="N68" i="100"/>
  <c r="M68" i="100"/>
  <c r="L68" i="100"/>
  <c r="K68" i="100"/>
  <c r="J68" i="100"/>
  <c r="N67" i="100"/>
  <c r="M67" i="100"/>
  <c r="L67" i="100"/>
  <c r="K67" i="100"/>
  <c r="J67" i="100"/>
  <c r="N66" i="100"/>
  <c r="M66" i="100"/>
  <c r="L66" i="100"/>
  <c r="K66" i="100"/>
  <c r="J66" i="100"/>
  <c r="N65" i="100"/>
  <c r="P65" i="100" s="1"/>
  <c r="M65" i="100"/>
  <c r="L65" i="100"/>
  <c r="K65" i="100"/>
  <c r="J65" i="100"/>
  <c r="N64" i="100"/>
  <c r="M64" i="100"/>
  <c r="L64" i="100"/>
  <c r="K64" i="100"/>
  <c r="J64" i="100"/>
  <c r="N63" i="100"/>
  <c r="M63" i="100"/>
  <c r="O63" i="100" s="1"/>
  <c r="L63" i="100"/>
  <c r="K63" i="100"/>
  <c r="J63" i="100"/>
  <c r="N62" i="100"/>
  <c r="M62" i="100"/>
  <c r="L62" i="100"/>
  <c r="K62" i="100"/>
  <c r="J62" i="100"/>
  <c r="N61" i="100"/>
  <c r="M61" i="100"/>
  <c r="L61" i="100"/>
  <c r="K61" i="100"/>
  <c r="J61" i="100"/>
  <c r="N60" i="100"/>
  <c r="M60" i="100"/>
  <c r="L60" i="100"/>
  <c r="K60" i="100"/>
  <c r="J60" i="100"/>
  <c r="N59" i="100"/>
  <c r="M59" i="100"/>
  <c r="L59" i="100"/>
  <c r="K59" i="100"/>
  <c r="J59" i="100"/>
  <c r="N58" i="100"/>
  <c r="M58" i="100"/>
  <c r="L58" i="100"/>
  <c r="K58" i="100"/>
  <c r="J58" i="100"/>
  <c r="N57" i="100"/>
  <c r="M57" i="100"/>
  <c r="L57" i="100"/>
  <c r="K57" i="100"/>
  <c r="J57" i="100"/>
  <c r="N56" i="100"/>
  <c r="M56" i="100"/>
  <c r="L56" i="100"/>
  <c r="K56" i="100"/>
  <c r="J56" i="100"/>
  <c r="N55" i="100"/>
  <c r="M55" i="100"/>
  <c r="O55" i="100" s="1"/>
  <c r="L55" i="100"/>
  <c r="K55" i="100"/>
  <c r="J55" i="100"/>
  <c r="N54" i="100"/>
  <c r="M54" i="100"/>
  <c r="L54" i="100"/>
  <c r="K54" i="100"/>
  <c r="J54" i="100"/>
  <c r="N53" i="100"/>
  <c r="M53" i="100"/>
  <c r="L53" i="100"/>
  <c r="K53" i="100"/>
  <c r="J53" i="100"/>
  <c r="N52" i="100"/>
  <c r="M52" i="100"/>
  <c r="O52" i="100" s="1"/>
  <c r="L52" i="100"/>
  <c r="K52" i="100"/>
  <c r="J52" i="100"/>
  <c r="N51" i="100"/>
  <c r="M51" i="100"/>
  <c r="O51" i="100" s="1"/>
  <c r="L51" i="100"/>
  <c r="K51" i="100"/>
  <c r="J51" i="100"/>
  <c r="N50" i="100"/>
  <c r="M50" i="100"/>
  <c r="L50" i="100"/>
  <c r="K50" i="100"/>
  <c r="J50" i="100"/>
  <c r="N49" i="100"/>
  <c r="M49" i="100"/>
  <c r="L49" i="100"/>
  <c r="K49" i="100"/>
  <c r="J49" i="100"/>
  <c r="N48" i="100"/>
  <c r="M48" i="100"/>
  <c r="O48" i="100" s="1"/>
  <c r="L48" i="100"/>
  <c r="K48" i="100"/>
  <c r="J48" i="100"/>
  <c r="N47" i="100"/>
  <c r="P47" i="100" s="1"/>
  <c r="M47" i="100"/>
  <c r="L47" i="100"/>
  <c r="K47" i="100"/>
  <c r="J47" i="100"/>
  <c r="N46" i="100"/>
  <c r="M46" i="100"/>
  <c r="L46" i="100"/>
  <c r="K46" i="100"/>
  <c r="J46" i="100"/>
  <c r="N45" i="100"/>
  <c r="M45" i="100"/>
  <c r="L45" i="100"/>
  <c r="K45" i="100"/>
  <c r="J45" i="100"/>
  <c r="N44" i="100"/>
  <c r="M44" i="100"/>
  <c r="O44" i="100" s="1"/>
  <c r="L44" i="100"/>
  <c r="K44" i="100"/>
  <c r="J44" i="100"/>
  <c r="N43" i="100"/>
  <c r="M43" i="100"/>
  <c r="L43" i="100"/>
  <c r="K43" i="100"/>
  <c r="J43" i="100"/>
  <c r="N42" i="100"/>
  <c r="M42" i="100"/>
  <c r="L42" i="100"/>
  <c r="K42" i="100"/>
  <c r="J42" i="100"/>
  <c r="P41" i="100"/>
  <c r="N41" i="100"/>
  <c r="M41" i="100"/>
  <c r="O41" i="100" s="1"/>
  <c r="Q41" i="100" s="1"/>
  <c r="L41" i="100"/>
  <c r="K41" i="100"/>
  <c r="J41" i="100"/>
  <c r="N40" i="100"/>
  <c r="M40" i="100"/>
  <c r="O40" i="100" s="1"/>
  <c r="L40" i="100"/>
  <c r="K40" i="100"/>
  <c r="J40" i="100"/>
  <c r="N39" i="100"/>
  <c r="M39" i="100"/>
  <c r="O39" i="100" s="1"/>
  <c r="L39" i="100"/>
  <c r="K39" i="100"/>
  <c r="J39" i="100"/>
  <c r="N38" i="100"/>
  <c r="M38" i="100"/>
  <c r="O38" i="100" s="1"/>
  <c r="L38" i="100"/>
  <c r="K38" i="100"/>
  <c r="J38" i="100"/>
  <c r="N37" i="100"/>
  <c r="M37" i="100"/>
  <c r="L37" i="100"/>
  <c r="K37" i="100"/>
  <c r="J37" i="100"/>
  <c r="N36" i="100"/>
  <c r="M36" i="100"/>
  <c r="L36" i="100"/>
  <c r="K36" i="100"/>
  <c r="J36" i="100"/>
  <c r="N35" i="100"/>
  <c r="M35" i="100"/>
  <c r="O35" i="100" s="1"/>
  <c r="L35" i="100"/>
  <c r="K35" i="100"/>
  <c r="J35" i="100"/>
  <c r="N34" i="100"/>
  <c r="M34" i="100"/>
  <c r="L34" i="100"/>
  <c r="K34" i="100"/>
  <c r="J34" i="100"/>
  <c r="N33" i="100"/>
  <c r="M33" i="100"/>
  <c r="O33" i="100" s="1"/>
  <c r="L33" i="100"/>
  <c r="K33" i="100"/>
  <c r="J33" i="100"/>
  <c r="N32" i="100"/>
  <c r="M32" i="100"/>
  <c r="O32" i="100" s="1"/>
  <c r="L32" i="100"/>
  <c r="K32" i="100"/>
  <c r="J32" i="100"/>
  <c r="N31" i="100"/>
  <c r="M31" i="100"/>
  <c r="L31" i="100"/>
  <c r="K31" i="100"/>
  <c r="J31" i="100"/>
  <c r="N30" i="100"/>
  <c r="M30" i="100"/>
  <c r="O30" i="100" s="1"/>
  <c r="L30" i="100"/>
  <c r="K30" i="100"/>
  <c r="J30" i="100"/>
  <c r="N29" i="100"/>
  <c r="M29" i="100"/>
  <c r="L29" i="100"/>
  <c r="K29" i="100"/>
  <c r="J29" i="100"/>
  <c r="N28" i="100"/>
  <c r="M28" i="100"/>
  <c r="L28" i="100"/>
  <c r="K28" i="100"/>
  <c r="J28" i="100"/>
  <c r="N27" i="100"/>
  <c r="M27" i="100"/>
  <c r="O27" i="100" s="1"/>
  <c r="L27" i="100"/>
  <c r="K27" i="100"/>
  <c r="J27" i="100"/>
  <c r="N26" i="100"/>
  <c r="M26" i="100"/>
  <c r="L26" i="100"/>
  <c r="K26" i="100"/>
  <c r="J26" i="100"/>
  <c r="N25" i="100"/>
  <c r="M25" i="100"/>
  <c r="O25" i="100" s="1"/>
  <c r="L25" i="100"/>
  <c r="K25" i="100"/>
  <c r="J25" i="100"/>
  <c r="N24" i="100"/>
  <c r="M24" i="100"/>
  <c r="L24" i="100"/>
  <c r="K24" i="100"/>
  <c r="J24" i="100"/>
  <c r="N23" i="100"/>
  <c r="M23" i="100"/>
  <c r="O23" i="100" s="1"/>
  <c r="L23" i="100"/>
  <c r="K23" i="100"/>
  <c r="J23" i="100"/>
  <c r="N22" i="100"/>
  <c r="M22" i="100"/>
  <c r="O22" i="100" s="1"/>
  <c r="L22" i="100"/>
  <c r="K22" i="100"/>
  <c r="J22" i="100"/>
  <c r="N21" i="100"/>
  <c r="M21" i="100"/>
  <c r="L21" i="100"/>
  <c r="K21" i="100"/>
  <c r="J21" i="100"/>
  <c r="N20" i="100"/>
  <c r="P20" i="100" s="1"/>
  <c r="M20" i="100"/>
  <c r="L20" i="100"/>
  <c r="K20" i="100"/>
  <c r="J20" i="100"/>
  <c r="N19" i="100"/>
  <c r="P19" i="100" s="1"/>
  <c r="M19" i="100"/>
  <c r="O19" i="100" s="1"/>
  <c r="L19" i="100"/>
  <c r="Q19" i="100" s="1"/>
  <c r="K19" i="100"/>
  <c r="J19" i="100"/>
  <c r="N18" i="100"/>
  <c r="M18" i="100"/>
  <c r="O18" i="100" s="1"/>
  <c r="L18" i="100"/>
  <c r="K18" i="100"/>
  <c r="J18" i="100"/>
  <c r="N17" i="100"/>
  <c r="M17" i="100"/>
  <c r="L17" i="100"/>
  <c r="K17" i="100"/>
  <c r="J17" i="100"/>
  <c r="N16" i="100"/>
  <c r="M16" i="100"/>
  <c r="O16" i="100" s="1"/>
  <c r="L16" i="100"/>
  <c r="K16" i="100"/>
  <c r="J16" i="100"/>
  <c r="N15" i="100"/>
  <c r="M15" i="100"/>
  <c r="O15" i="100" s="1"/>
  <c r="L15" i="100"/>
  <c r="K15" i="100"/>
  <c r="J15" i="100"/>
  <c r="N14" i="100"/>
  <c r="M14" i="100"/>
  <c r="O14" i="100" s="1"/>
  <c r="L14" i="100"/>
  <c r="K14" i="100"/>
  <c r="J14" i="100"/>
  <c r="N13" i="100"/>
  <c r="M13" i="100"/>
  <c r="L13" i="100"/>
  <c r="K13" i="100"/>
  <c r="J13" i="100"/>
  <c r="N12" i="100"/>
  <c r="M12" i="100"/>
  <c r="O12" i="100" s="1"/>
  <c r="L12" i="100"/>
  <c r="K12" i="100"/>
  <c r="J12" i="100"/>
  <c r="N11" i="100"/>
  <c r="M11" i="100"/>
  <c r="L11" i="100"/>
  <c r="K11" i="100"/>
  <c r="J11" i="100"/>
  <c r="N10" i="100"/>
  <c r="M10" i="100"/>
  <c r="L10" i="100"/>
  <c r="K10" i="100"/>
  <c r="J10" i="100"/>
  <c r="N9" i="100"/>
  <c r="M9" i="100"/>
  <c r="O9" i="100" s="1"/>
  <c r="L9" i="100"/>
  <c r="K9" i="100"/>
  <c r="J9" i="100"/>
  <c r="N8" i="100"/>
  <c r="M8" i="100"/>
  <c r="O8" i="100" s="1"/>
  <c r="L8" i="100"/>
  <c r="K8" i="100"/>
  <c r="J8" i="100"/>
  <c r="N7" i="100"/>
  <c r="M7" i="100"/>
  <c r="O7" i="100" s="1"/>
  <c r="L7" i="100"/>
  <c r="K7" i="100"/>
  <c r="J7" i="100"/>
  <c r="N6" i="100"/>
  <c r="M6" i="100"/>
  <c r="O6" i="100" s="1"/>
  <c r="L6" i="100"/>
  <c r="K6" i="100"/>
  <c r="J6" i="100"/>
  <c r="N5" i="100"/>
  <c r="M5" i="100"/>
  <c r="L5" i="100"/>
  <c r="K5" i="100"/>
  <c r="J5" i="100"/>
  <c r="N4" i="100"/>
  <c r="P4" i="100" s="1"/>
  <c r="M4" i="100"/>
  <c r="L4" i="100"/>
  <c r="K4" i="100"/>
  <c r="J4" i="100"/>
  <c r="N3" i="100"/>
  <c r="M3" i="100"/>
  <c r="O3" i="100" s="1"/>
  <c r="L3" i="100"/>
  <c r="K3" i="100"/>
  <c r="J3" i="100"/>
  <c r="G19" i="7"/>
  <c r="G18" i="7"/>
  <c r="G17" i="7"/>
  <c r="G16" i="7"/>
  <c r="G15" i="7"/>
  <c r="G14" i="7"/>
  <c r="G13" i="7"/>
  <c r="G12" i="7"/>
  <c r="G11" i="7"/>
  <c r="G10" i="7"/>
  <c r="G9" i="7"/>
  <c r="G8" i="7"/>
  <c r="G7" i="7"/>
  <c r="C65" i="97"/>
  <c r="D65" i="97"/>
  <c r="E65" i="97"/>
  <c r="F65" i="97"/>
  <c r="G65" i="97"/>
  <c r="H65" i="97"/>
  <c r="I65" i="97"/>
  <c r="J65" i="97"/>
  <c r="K65" i="97"/>
  <c r="L65" i="97"/>
  <c r="M65" i="97"/>
  <c r="N65" i="97"/>
  <c r="O65" i="97"/>
  <c r="P65" i="97"/>
  <c r="Q65" i="97"/>
  <c r="R65" i="97"/>
  <c r="S65" i="97"/>
  <c r="T65" i="97"/>
  <c r="U65" i="97"/>
  <c r="V65" i="97"/>
  <c r="W65" i="97"/>
  <c r="X65" i="97"/>
  <c r="Y65" i="97"/>
  <c r="Z65" i="97"/>
  <c r="AA65" i="97"/>
  <c r="AB65" i="97"/>
  <c r="AC65" i="97"/>
  <c r="AD65" i="97"/>
  <c r="AE65" i="97"/>
  <c r="AF65" i="97"/>
  <c r="AG65" i="97"/>
  <c r="AH65" i="97"/>
  <c r="AI65" i="97"/>
  <c r="AJ65" i="97"/>
  <c r="AK65" i="97"/>
  <c r="AL65" i="97"/>
  <c r="AM65" i="97"/>
  <c r="AN65" i="97"/>
  <c r="H3" i="97"/>
  <c r="J1097" i="485" l="1"/>
  <c r="B1098" i="485"/>
  <c r="J1085" i="484"/>
  <c r="B1086" i="484"/>
  <c r="J1085" i="486"/>
  <c r="B1086" i="486"/>
  <c r="P33" i="39"/>
  <c r="P25" i="39"/>
  <c r="P17" i="39"/>
  <c r="P39" i="39"/>
  <c r="P23" i="39"/>
  <c r="P46" i="39"/>
  <c r="P38" i="39"/>
  <c r="P24" i="39"/>
  <c r="P16" i="39"/>
  <c r="P47" i="39"/>
  <c r="P15" i="39"/>
  <c r="G167" i="152"/>
  <c r="H167" i="152" s="1"/>
  <c r="G89" i="152"/>
  <c r="H89" i="152" s="1"/>
  <c r="G238" i="152"/>
  <c r="H238" i="152" s="1"/>
  <c r="G37" i="152"/>
  <c r="H37" i="152" s="1"/>
  <c r="G196" i="152"/>
  <c r="H196" i="152" s="1"/>
  <c r="G6" i="152"/>
  <c r="H6" i="152" s="1"/>
  <c r="G75" i="152"/>
  <c r="H75" i="152" s="1"/>
  <c r="G265" i="152"/>
  <c r="H265" i="152" s="1"/>
  <c r="G65" i="152"/>
  <c r="H65" i="152" s="1"/>
  <c r="G180" i="152"/>
  <c r="H180" i="152" s="1"/>
  <c r="G148" i="152"/>
  <c r="H148" i="152" s="1"/>
  <c r="G322" i="152"/>
  <c r="H322" i="152" s="1"/>
  <c r="G141" i="152"/>
  <c r="H141" i="152" s="1"/>
  <c r="G14" i="152"/>
  <c r="H14" i="152" s="1"/>
  <c r="G78" i="152"/>
  <c r="H78" i="152" s="1"/>
  <c r="G29" i="152"/>
  <c r="H29" i="152" s="1"/>
  <c r="G158" i="152"/>
  <c r="H158" i="152" s="1"/>
  <c r="G150" i="152"/>
  <c r="H150" i="152" s="1"/>
  <c r="G182" i="152"/>
  <c r="H182" i="152" s="1"/>
  <c r="G468" i="152"/>
  <c r="H468" i="152" s="1"/>
  <c r="G200" i="152"/>
  <c r="H200" i="152" s="1"/>
  <c r="G142" i="152"/>
  <c r="H142" i="152" s="1"/>
  <c r="G226" i="152"/>
  <c r="H226" i="152" s="1"/>
  <c r="G290" i="152"/>
  <c r="H290" i="152" s="1"/>
  <c r="G194" i="152"/>
  <c r="H194" i="152" s="1"/>
  <c r="G458" i="152"/>
  <c r="H458" i="152" s="1"/>
  <c r="G134" i="152"/>
  <c r="H134" i="152" s="1"/>
  <c r="G432" i="152"/>
  <c r="H432" i="152" s="1"/>
  <c r="G452" i="152"/>
  <c r="H452" i="152" s="1"/>
  <c r="C504" i="152"/>
  <c r="G63" i="152" s="1"/>
  <c r="H63" i="152" s="1"/>
  <c r="G266" i="152"/>
  <c r="H266" i="152" s="1"/>
  <c r="G368" i="152"/>
  <c r="H368" i="152" s="1"/>
  <c r="G240" i="152"/>
  <c r="H240" i="152" s="1"/>
  <c r="G256" i="152"/>
  <c r="H256" i="152" s="1"/>
  <c r="G378" i="152"/>
  <c r="H378" i="152" s="1"/>
  <c r="G464" i="152"/>
  <c r="H464" i="152" s="1"/>
  <c r="G412" i="152"/>
  <c r="H412" i="152" s="1"/>
  <c r="G428" i="152"/>
  <c r="H428" i="152" s="1"/>
  <c r="G402" i="152"/>
  <c r="H402" i="152" s="1"/>
  <c r="G418" i="152"/>
  <c r="H418" i="152" s="1"/>
  <c r="G455" i="152"/>
  <c r="H455" i="152" s="1"/>
  <c r="G466" i="152"/>
  <c r="H466" i="152" s="1"/>
  <c r="G312" i="152"/>
  <c r="H312" i="152" s="1"/>
  <c r="G328" i="152"/>
  <c r="H328" i="152" s="1"/>
  <c r="G498" i="152"/>
  <c r="H498" i="152" s="1"/>
  <c r="G503" i="152"/>
  <c r="H503" i="152" s="1"/>
  <c r="O11" i="100"/>
  <c r="O17" i="100"/>
  <c r="O24" i="100"/>
  <c r="O31" i="100"/>
  <c r="O43" i="100"/>
  <c r="O71" i="100"/>
  <c r="Q91" i="100"/>
  <c r="O4" i="100"/>
  <c r="Q4" i="100" s="1"/>
  <c r="O10" i="100"/>
  <c r="O36" i="100"/>
  <c r="O42" i="100"/>
  <c r="O47" i="100"/>
  <c r="Q47" i="100" s="1"/>
  <c r="O59" i="100"/>
  <c r="Q111" i="100"/>
  <c r="Q114" i="100"/>
  <c r="Q175" i="100"/>
  <c r="O28" i="100"/>
  <c r="O34" i="100"/>
  <c r="O67" i="100"/>
  <c r="Q87" i="100"/>
  <c r="O228" i="100"/>
  <c r="Q71" i="100"/>
  <c r="O20" i="100"/>
  <c r="Q20" i="100" s="1"/>
  <c r="O26" i="100"/>
  <c r="O75" i="100"/>
  <c r="O260" i="100"/>
  <c r="O236" i="100"/>
  <c r="O268" i="100"/>
  <c r="O329" i="100"/>
  <c r="O46" i="100"/>
  <c r="O50" i="100"/>
  <c r="O54" i="100"/>
  <c r="O58" i="100"/>
  <c r="O62" i="100"/>
  <c r="O66" i="100"/>
  <c r="O70" i="100"/>
  <c r="O74" i="100"/>
  <c r="O78" i="100"/>
  <c r="O82" i="100"/>
  <c r="O86" i="100"/>
  <c r="Q86" i="100" s="1"/>
  <c r="O90" i="100"/>
  <c r="O94" i="100"/>
  <c r="O98" i="100"/>
  <c r="O102" i="100"/>
  <c r="O106" i="100"/>
  <c r="O110" i="100"/>
  <c r="O114" i="100"/>
  <c r="O118" i="100"/>
  <c r="O122" i="100"/>
  <c r="O126" i="100"/>
  <c r="O130" i="100"/>
  <c r="O134" i="100"/>
  <c r="O138" i="100"/>
  <c r="O142" i="100"/>
  <c r="O146" i="100"/>
  <c r="O150" i="100"/>
  <c r="O154" i="100"/>
  <c r="O158" i="100"/>
  <c r="O256" i="100"/>
  <c r="O5" i="100"/>
  <c r="O13" i="100"/>
  <c r="O21" i="100"/>
  <c r="O29" i="100"/>
  <c r="O37" i="100"/>
  <c r="O45" i="100"/>
  <c r="O49" i="100"/>
  <c r="O53" i="100"/>
  <c r="O57" i="100"/>
  <c r="O61" i="100"/>
  <c r="O65" i="100"/>
  <c r="Q65" i="100" s="1"/>
  <c r="O69" i="100"/>
  <c r="O73" i="100"/>
  <c r="Q73" i="100" s="1"/>
  <c r="O77" i="100"/>
  <c r="O81" i="100"/>
  <c r="O85" i="100"/>
  <c r="O89" i="100"/>
  <c r="O93" i="100"/>
  <c r="O97" i="100"/>
  <c r="O101" i="100"/>
  <c r="O105" i="100"/>
  <c r="O109" i="100"/>
  <c r="O113" i="100"/>
  <c r="O117" i="100"/>
  <c r="O121" i="100"/>
  <c r="O125" i="100"/>
  <c r="O129" i="100"/>
  <c r="O133" i="100"/>
  <c r="O137" i="100"/>
  <c r="O141" i="100"/>
  <c r="O145" i="100"/>
  <c r="O149" i="100"/>
  <c r="O153" i="100"/>
  <c r="O157" i="100"/>
  <c r="O191" i="100"/>
  <c r="O207" i="100"/>
  <c r="O223" i="100"/>
  <c r="O232" i="100"/>
  <c r="O264" i="100"/>
  <c r="Q316" i="100"/>
  <c r="O56" i="100"/>
  <c r="O60" i="100"/>
  <c r="O64" i="100"/>
  <c r="O68" i="100"/>
  <c r="O72" i="100"/>
  <c r="Q72" i="100" s="1"/>
  <c r="O76" i="100"/>
  <c r="O80" i="100"/>
  <c r="O84" i="100"/>
  <c r="Q84" i="100" s="1"/>
  <c r="O88" i="100"/>
  <c r="O92" i="100"/>
  <c r="O96" i="100"/>
  <c r="O100" i="100"/>
  <c r="O104" i="100"/>
  <c r="O108" i="100"/>
  <c r="Q108" i="100" s="1"/>
  <c r="O112" i="100"/>
  <c r="O116" i="100"/>
  <c r="O120" i="100"/>
  <c r="O124" i="100"/>
  <c r="O128" i="100"/>
  <c r="Q128" i="100" s="1"/>
  <c r="O132" i="100"/>
  <c r="O136" i="100"/>
  <c r="O140" i="100"/>
  <c r="O144" i="100"/>
  <c r="O148" i="100"/>
  <c r="O152" i="100"/>
  <c r="O156" i="100"/>
  <c r="O183" i="100"/>
  <c r="Q228" i="100"/>
  <c r="O240" i="100"/>
  <c r="O165" i="100"/>
  <c r="O173" i="100"/>
  <c r="O181" i="100"/>
  <c r="Q181" i="100" s="1"/>
  <c r="O189" i="100"/>
  <c r="O197" i="100"/>
  <c r="O205" i="100"/>
  <c r="O213" i="100"/>
  <c r="O221" i="100"/>
  <c r="O227" i="100"/>
  <c r="O231" i="100"/>
  <c r="O235" i="100"/>
  <c r="O239" i="100"/>
  <c r="O243" i="100"/>
  <c r="O247" i="100"/>
  <c r="O251" i="100"/>
  <c r="O255" i="100"/>
  <c r="O259" i="100"/>
  <c r="O263" i="100"/>
  <c r="O267" i="100"/>
  <c r="O325" i="100"/>
  <c r="O341" i="100"/>
  <c r="O365" i="100"/>
  <c r="O164" i="100"/>
  <c r="O172" i="100"/>
  <c r="O180" i="100"/>
  <c r="O188" i="100"/>
  <c r="O196" i="100"/>
  <c r="O204" i="100"/>
  <c r="O212" i="100"/>
  <c r="O220" i="100"/>
  <c r="O353" i="100"/>
  <c r="O226" i="100"/>
  <c r="O230" i="100"/>
  <c r="O234" i="100"/>
  <c r="O238" i="100"/>
  <c r="O242" i="100"/>
  <c r="O246" i="100"/>
  <c r="O250" i="100"/>
  <c r="O254" i="100"/>
  <c r="O258" i="100"/>
  <c r="O262" i="100"/>
  <c r="O266" i="100"/>
  <c r="O270" i="100"/>
  <c r="Q270" i="100" s="1"/>
  <c r="O321" i="100"/>
  <c r="O337" i="100"/>
  <c r="O402" i="100"/>
  <c r="O161" i="100"/>
  <c r="O169" i="100"/>
  <c r="O177" i="100"/>
  <c r="O185" i="100"/>
  <c r="O193" i="100"/>
  <c r="O201" i="100"/>
  <c r="O209" i="100"/>
  <c r="O217" i="100"/>
  <c r="O225" i="100"/>
  <c r="O229" i="100"/>
  <c r="O233" i="100"/>
  <c r="O237" i="100"/>
  <c r="Q237" i="100" s="1"/>
  <c r="O241" i="100"/>
  <c r="O245" i="100"/>
  <c r="Q245" i="100" s="1"/>
  <c r="O249" i="100"/>
  <c r="O253" i="100"/>
  <c r="O257" i="100"/>
  <c r="O261" i="100"/>
  <c r="O265" i="100"/>
  <c r="O269" i="100"/>
  <c r="O278" i="100"/>
  <c r="O286" i="100"/>
  <c r="O294" i="100"/>
  <c r="O302" i="100"/>
  <c r="O310" i="100"/>
  <c r="O317" i="100"/>
  <c r="O333" i="100"/>
  <c r="O349" i="100"/>
  <c r="O160" i="100"/>
  <c r="O168" i="100"/>
  <c r="O176" i="100"/>
  <c r="O184" i="100"/>
  <c r="O192" i="100"/>
  <c r="O200" i="100"/>
  <c r="Q200" i="100" s="1"/>
  <c r="O208" i="100"/>
  <c r="O216" i="100"/>
  <c r="O224" i="100"/>
  <c r="O272" i="100"/>
  <c r="O369" i="100"/>
  <c r="O276" i="100"/>
  <c r="O284" i="100"/>
  <c r="O292" i="100"/>
  <c r="O300" i="100"/>
  <c r="O308" i="100"/>
  <c r="O316" i="100"/>
  <c r="O320" i="100"/>
  <c r="Q320" i="100" s="1"/>
  <c r="O324" i="100"/>
  <c r="O328" i="100"/>
  <c r="O332" i="100"/>
  <c r="O336" i="100"/>
  <c r="O340" i="100"/>
  <c r="O344" i="100"/>
  <c r="O348" i="100"/>
  <c r="O352" i="100"/>
  <c r="O356" i="100"/>
  <c r="O360" i="100"/>
  <c r="O364" i="100"/>
  <c r="O368" i="100"/>
  <c r="O394" i="100"/>
  <c r="O418" i="100"/>
  <c r="Q418" i="100" s="1"/>
  <c r="O275" i="100"/>
  <c r="O283" i="100"/>
  <c r="O291" i="100"/>
  <c r="O299" i="100"/>
  <c r="O307" i="100"/>
  <c r="O315" i="100"/>
  <c r="O371" i="100"/>
  <c r="O434" i="100"/>
  <c r="O273" i="100"/>
  <c r="O281" i="100"/>
  <c r="O289" i="100"/>
  <c r="O297" i="100"/>
  <c r="O305" i="100"/>
  <c r="O313" i="100"/>
  <c r="Q370" i="100"/>
  <c r="Q378" i="100"/>
  <c r="O410" i="100"/>
  <c r="O279" i="100"/>
  <c r="O287" i="100"/>
  <c r="O295" i="100"/>
  <c r="O303" i="100"/>
  <c r="O311" i="100"/>
  <c r="O376" i="100"/>
  <c r="O384" i="100"/>
  <c r="Q384" i="100" s="1"/>
  <c r="O392" i="100"/>
  <c r="O400" i="100"/>
  <c r="O408" i="100"/>
  <c r="O416" i="100"/>
  <c r="Q497" i="100"/>
  <c r="O375" i="100"/>
  <c r="O383" i="100"/>
  <c r="O391" i="100"/>
  <c r="O399" i="100"/>
  <c r="O407" i="100"/>
  <c r="O415" i="100"/>
  <c r="Q420" i="100"/>
  <c r="O454" i="100"/>
  <c r="O470" i="100"/>
  <c r="O494" i="100"/>
  <c r="O373" i="100"/>
  <c r="O381" i="100"/>
  <c r="O389" i="100"/>
  <c r="O397" i="100"/>
  <c r="O405" i="100"/>
  <c r="O413" i="100"/>
  <c r="O447" i="100"/>
  <c r="O450" i="100"/>
  <c r="O466" i="100"/>
  <c r="O439" i="100"/>
  <c r="O379" i="100"/>
  <c r="O387" i="100"/>
  <c r="O395" i="100"/>
  <c r="O403" i="100"/>
  <c r="O411" i="100"/>
  <c r="O435" i="100"/>
  <c r="O442" i="100"/>
  <c r="O462" i="100"/>
  <c r="O478" i="100"/>
  <c r="O453" i="100"/>
  <c r="O457" i="100"/>
  <c r="O461" i="100"/>
  <c r="O465" i="100"/>
  <c r="O469" i="100"/>
  <c r="O473" i="100"/>
  <c r="O477" i="100"/>
  <c r="O481" i="100"/>
  <c r="O485" i="100"/>
  <c r="O489" i="100"/>
  <c r="O493" i="100"/>
  <c r="O497" i="100"/>
  <c r="Q496" i="100"/>
  <c r="Q500" i="100"/>
  <c r="Q419" i="100"/>
  <c r="Q426" i="100"/>
  <c r="Q434" i="100"/>
  <c r="B1087" i="486" l="1"/>
  <c r="J1086" i="486"/>
  <c r="B1087" i="484"/>
  <c r="J1086" i="484"/>
  <c r="B1099" i="485"/>
  <c r="J1098" i="485"/>
  <c r="G19" i="152"/>
  <c r="H19" i="152" s="1"/>
  <c r="G108" i="152"/>
  <c r="H108" i="152" s="1"/>
  <c r="G125" i="152"/>
  <c r="H125" i="152" s="1"/>
  <c r="G10" i="152"/>
  <c r="H10" i="152" s="1"/>
  <c r="G59" i="152"/>
  <c r="H59" i="152" s="1"/>
  <c r="G191" i="152"/>
  <c r="H191" i="152" s="1"/>
  <c r="G95" i="152"/>
  <c r="H95" i="152" s="1"/>
  <c r="G487" i="152"/>
  <c r="H487" i="152" s="1"/>
  <c r="G296" i="152"/>
  <c r="H296" i="152" s="1"/>
  <c r="G440" i="152"/>
  <c r="H440" i="152" s="1"/>
  <c r="G388" i="152"/>
  <c r="H388" i="152" s="1"/>
  <c r="G396" i="152"/>
  <c r="H396" i="152" s="1"/>
  <c r="G364" i="152"/>
  <c r="H364" i="152" s="1"/>
  <c r="G224" i="152"/>
  <c r="H224" i="152" s="1"/>
  <c r="G250" i="152"/>
  <c r="H250" i="152" s="1"/>
  <c r="G404" i="152"/>
  <c r="H404" i="152" s="1"/>
  <c r="G410" i="152"/>
  <c r="H410" i="152" s="1"/>
  <c r="G500" i="152"/>
  <c r="H500" i="152" s="1"/>
  <c r="G110" i="152"/>
  <c r="H110" i="152" s="1"/>
  <c r="G436" i="152"/>
  <c r="H436" i="152" s="1"/>
  <c r="G118" i="152"/>
  <c r="H118" i="152" s="1"/>
  <c r="G119" i="152"/>
  <c r="H119" i="152" s="1"/>
  <c r="G13" i="152"/>
  <c r="H13" i="152" s="1"/>
  <c r="G294" i="152"/>
  <c r="H294" i="152" s="1"/>
  <c r="G254" i="152"/>
  <c r="H254" i="152" s="1"/>
  <c r="G102" i="152"/>
  <c r="H102" i="152" s="1"/>
  <c r="G159" i="152"/>
  <c r="H159" i="152" s="1"/>
  <c r="G67" i="152"/>
  <c r="H67" i="152" s="1"/>
  <c r="G151" i="152"/>
  <c r="H151" i="152" s="1"/>
  <c r="G62" i="152"/>
  <c r="H62" i="152" s="1"/>
  <c r="G128" i="152"/>
  <c r="H128" i="152" s="1"/>
  <c r="G54" i="152"/>
  <c r="H54" i="152" s="1"/>
  <c r="G484" i="152"/>
  <c r="H484" i="152" s="1"/>
  <c r="G139" i="152"/>
  <c r="H139" i="152" s="1"/>
  <c r="G21" i="152"/>
  <c r="H21" i="152" s="1"/>
  <c r="G154" i="152"/>
  <c r="H154" i="152" s="1"/>
  <c r="G26" i="152"/>
  <c r="H26" i="152" s="1"/>
  <c r="G132" i="152"/>
  <c r="H132" i="152" s="1"/>
  <c r="G482" i="152"/>
  <c r="H482" i="152" s="1"/>
  <c r="G280" i="152"/>
  <c r="H280" i="152" s="1"/>
  <c r="G424" i="152"/>
  <c r="H424" i="152" s="1"/>
  <c r="G384" i="152"/>
  <c r="H384" i="152" s="1"/>
  <c r="G392" i="152"/>
  <c r="H392" i="152" s="1"/>
  <c r="G336" i="152"/>
  <c r="H336" i="152" s="1"/>
  <c r="G208" i="152"/>
  <c r="H208" i="152" s="1"/>
  <c r="G216" i="152"/>
  <c r="H216" i="152" s="1"/>
  <c r="G346" i="152"/>
  <c r="H346" i="152" s="1"/>
  <c r="G372" i="152"/>
  <c r="H372" i="152" s="1"/>
  <c r="G488" i="152"/>
  <c r="H488" i="152" s="1"/>
  <c r="G340" i="152"/>
  <c r="H340" i="152" s="1"/>
  <c r="G400" i="152"/>
  <c r="H400" i="152" s="1"/>
  <c r="G448" i="152"/>
  <c r="H448" i="152" s="1"/>
  <c r="G82" i="152"/>
  <c r="H82" i="152" s="1"/>
  <c r="G442" i="152"/>
  <c r="H442" i="152" s="1"/>
  <c r="G255" i="152"/>
  <c r="H255" i="152" s="1"/>
  <c r="G222" i="152"/>
  <c r="H222" i="152" s="1"/>
  <c r="G97" i="152"/>
  <c r="H97" i="152" s="1"/>
  <c r="G99" i="152"/>
  <c r="H99" i="152" s="1"/>
  <c r="G46" i="152"/>
  <c r="H46" i="152" s="1"/>
  <c r="G107" i="152"/>
  <c r="H107" i="152" s="1"/>
  <c r="G249" i="152"/>
  <c r="H249" i="152" s="1"/>
  <c r="G122" i="152"/>
  <c r="H122" i="152" s="1"/>
  <c r="G49" i="152"/>
  <c r="H49" i="152" s="1"/>
  <c r="G390" i="152"/>
  <c r="H390" i="152" s="1"/>
  <c r="G127" i="152"/>
  <c r="H127" i="152" s="1"/>
  <c r="G11" i="152"/>
  <c r="H11" i="152" s="1"/>
  <c r="G144" i="152"/>
  <c r="H144" i="152" s="1"/>
  <c r="G115" i="152"/>
  <c r="H115" i="152" s="1"/>
  <c r="G155" i="152"/>
  <c r="H155" i="152" s="1"/>
  <c r="G320" i="152"/>
  <c r="H320" i="152" s="1"/>
  <c r="G278" i="152"/>
  <c r="H278" i="152" s="1"/>
  <c r="G66" i="152"/>
  <c r="H66" i="152" s="1"/>
  <c r="G143" i="152"/>
  <c r="H143" i="152" s="1"/>
  <c r="G193" i="152"/>
  <c r="H193" i="152" s="1"/>
  <c r="G50" i="152"/>
  <c r="H50" i="152" s="1"/>
  <c r="G342" i="152"/>
  <c r="H342" i="152" s="1"/>
  <c r="G101" i="152"/>
  <c r="H101" i="152" s="1"/>
  <c r="G109" i="152"/>
  <c r="H109" i="152" s="1"/>
  <c r="G112" i="152"/>
  <c r="H112" i="152" s="1"/>
  <c r="G38" i="152"/>
  <c r="H38" i="152" s="1"/>
  <c r="G303" i="152"/>
  <c r="H303" i="152" s="1"/>
  <c r="G74" i="152"/>
  <c r="H74" i="152" s="1"/>
  <c r="G420" i="152"/>
  <c r="H420" i="152" s="1"/>
  <c r="G138" i="152"/>
  <c r="H138" i="152" s="1"/>
  <c r="G489" i="152"/>
  <c r="H489" i="152" s="1"/>
  <c r="G79" i="152"/>
  <c r="H79" i="152" s="1"/>
  <c r="G319" i="152"/>
  <c r="H319" i="152" s="1"/>
  <c r="G160" i="152"/>
  <c r="H160" i="152" s="1"/>
  <c r="G472" i="152"/>
  <c r="H472" i="152" s="1"/>
  <c r="G408" i="152"/>
  <c r="H408" i="152" s="1"/>
  <c r="G370" i="152"/>
  <c r="H370" i="152" s="1"/>
  <c r="G192" i="152"/>
  <c r="H192" i="152" s="1"/>
  <c r="G306" i="152"/>
  <c r="H306" i="152" s="1"/>
  <c r="G463" i="152"/>
  <c r="H463" i="152" s="1"/>
  <c r="G394" i="152"/>
  <c r="H394" i="152" s="1"/>
  <c r="G223" i="152"/>
  <c r="H223" i="152" s="1"/>
  <c r="G30" i="152"/>
  <c r="H30" i="152" s="1"/>
  <c r="G380" i="152"/>
  <c r="H380" i="152" s="1"/>
  <c r="G492" i="152"/>
  <c r="H492" i="152" s="1"/>
  <c r="G460" i="152"/>
  <c r="H460" i="152" s="1"/>
  <c r="G356" i="152"/>
  <c r="H356" i="152" s="1"/>
  <c r="G495" i="152"/>
  <c r="H495" i="152" s="1"/>
  <c r="G304" i="152"/>
  <c r="H304" i="152" s="1"/>
  <c r="G176" i="152"/>
  <c r="H176" i="152" s="1"/>
  <c r="G198" i="152"/>
  <c r="H198" i="152" s="1"/>
  <c r="G184" i="152"/>
  <c r="H184" i="152" s="1"/>
  <c r="G270" i="152"/>
  <c r="H270" i="152" s="1"/>
  <c r="G416" i="152"/>
  <c r="H416" i="152" s="1"/>
  <c r="G248" i="152"/>
  <c r="H248" i="152" s="1"/>
  <c r="G282" i="152"/>
  <c r="H282" i="152" s="1"/>
  <c r="G217" i="152"/>
  <c r="H217" i="152" s="1"/>
  <c r="G51" i="152"/>
  <c r="H51" i="152" s="1"/>
  <c r="G183" i="152"/>
  <c r="H183" i="152" s="1"/>
  <c r="G83" i="152"/>
  <c r="H83" i="152" s="1"/>
  <c r="G169" i="152"/>
  <c r="H169" i="152" s="1"/>
  <c r="G34" i="152"/>
  <c r="H34" i="152" s="1"/>
  <c r="G268" i="152"/>
  <c r="H268" i="152" s="1"/>
  <c r="G9" i="152"/>
  <c r="H9" i="152" s="1"/>
  <c r="G91" i="152"/>
  <c r="H91" i="152" s="1"/>
  <c r="G77" i="152"/>
  <c r="H77" i="152" s="1"/>
  <c r="G106" i="152"/>
  <c r="H106" i="152" s="1"/>
  <c r="G33" i="152"/>
  <c r="H33" i="152" s="1"/>
  <c r="G297" i="152"/>
  <c r="H297" i="152" s="1"/>
  <c r="G58" i="152"/>
  <c r="H58" i="152" s="1"/>
  <c r="G382" i="152"/>
  <c r="H382" i="152" s="1"/>
  <c r="G116" i="152"/>
  <c r="H116" i="152" s="1"/>
  <c r="G98" i="152"/>
  <c r="H98" i="152" s="1"/>
  <c r="G501" i="152"/>
  <c r="H501" i="152" s="1"/>
  <c r="G493" i="152"/>
  <c r="H493" i="152" s="1"/>
  <c r="G485" i="152"/>
  <c r="H485" i="152" s="1"/>
  <c r="G477" i="152"/>
  <c r="H477" i="152" s="1"/>
  <c r="G469" i="152"/>
  <c r="H469" i="152" s="1"/>
  <c r="G461" i="152"/>
  <c r="H461" i="152" s="1"/>
  <c r="G453" i="152"/>
  <c r="H453" i="152" s="1"/>
  <c r="G445" i="152"/>
  <c r="H445" i="152" s="1"/>
  <c r="G437" i="152"/>
  <c r="H437" i="152" s="1"/>
  <c r="G429" i="152"/>
  <c r="H429" i="152" s="1"/>
  <c r="G421" i="152"/>
  <c r="H421" i="152" s="1"/>
  <c r="G413" i="152"/>
  <c r="H413" i="152" s="1"/>
  <c r="G405" i="152"/>
  <c r="H405" i="152" s="1"/>
  <c r="G397" i="152"/>
  <c r="H397" i="152" s="1"/>
  <c r="G381" i="152"/>
  <c r="H381" i="152" s="1"/>
  <c r="G373" i="152"/>
  <c r="H373" i="152" s="1"/>
  <c r="G365" i="152"/>
  <c r="H365" i="152" s="1"/>
  <c r="G357" i="152"/>
  <c r="H357" i="152" s="1"/>
  <c r="G349" i="152"/>
  <c r="H349" i="152" s="1"/>
  <c r="G341" i="152"/>
  <c r="H341" i="152" s="1"/>
  <c r="G447" i="152"/>
  <c r="H447" i="152" s="1"/>
  <c r="G439" i="152"/>
  <c r="H439" i="152" s="1"/>
  <c r="G431" i="152"/>
  <c r="H431" i="152" s="1"/>
  <c r="G423" i="152"/>
  <c r="H423" i="152" s="1"/>
  <c r="G415" i="152"/>
  <c r="H415" i="152" s="1"/>
  <c r="G407" i="152"/>
  <c r="H407" i="152" s="1"/>
  <c r="G399" i="152"/>
  <c r="H399" i="152" s="1"/>
  <c r="G391" i="152"/>
  <c r="H391" i="152" s="1"/>
  <c r="G383" i="152"/>
  <c r="H383" i="152" s="1"/>
  <c r="G375" i="152"/>
  <c r="H375" i="152" s="1"/>
  <c r="G367" i="152"/>
  <c r="H367" i="152" s="1"/>
  <c r="G359" i="152"/>
  <c r="H359" i="152" s="1"/>
  <c r="G499" i="152"/>
  <c r="H499" i="152" s="1"/>
  <c r="G491" i="152"/>
  <c r="H491" i="152" s="1"/>
  <c r="G483" i="152"/>
  <c r="H483" i="152" s="1"/>
  <c r="G467" i="152"/>
  <c r="H467" i="152" s="1"/>
  <c r="G459" i="152"/>
  <c r="H459" i="152" s="1"/>
  <c r="G443" i="152"/>
  <c r="H443" i="152" s="1"/>
  <c r="G435" i="152"/>
  <c r="H435" i="152" s="1"/>
  <c r="G427" i="152"/>
  <c r="H427" i="152" s="1"/>
  <c r="G419" i="152"/>
  <c r="H419" i="152" s="1"/>
  <c r="G411" i="152"/>
  <c r="H411" i="152" s="1"/>
  <c r="G403" i="152"/>
  <c r="H403" i="152" s="1"/>
  <c r="G446" i="152"/>
  <c r="H446" i="152" s="1"/>
  <c r="G430" i="152"/>
  <c r="H430" i="152" s="1"/>
  <c r="G414" i="152"/>
  <c r="H414" i="152" s="1"/>
  <c r="G398" i="152"/>
  <c r="H398" i="152" s="1"/>
  <c r="G393" i="152"/>
  <c r="H393" i="152" s="1"/>
  <c r="G371" i="152"/>
  <c r="H371" i="152" s="1"/>
  <c r="G334" i="152"/>
  <c r="H334" i="152" s="1"/>
  <c r="G331" i="152"/>
  <c r="H331" i="152" s="1"/>
  <c r="G318" i="152"/>
  <c r="H318" i="152" s="1"/>
  <c r="G315" i="152"/>
  <c r="H315" i="152" s="1"/>
  <c r="G299" i="152"/>
  <c r="H299" i="152" s="1"/>
  <c r="G283" i="152"/>
  <c r="H283" i="152" s="1"/>
  <c r="G267" i="152"/>
  <c r="H267" i="152" s="1"/>
  <c r="G497" i="152"/>
  <c r="H497" i="152" s="1"/>
  <c r="G481" i="152"/>
  <c r="H481" i="152" s="1"/>
  <c r="G366" i="152"/>
  <c r="H366" i="152" s="1"/>
  <c r="G361" i="152"/>
  <c r="H361" i="152" s="1"/>
  <c r="G337" i="152"/>
  <c r="H337" i="152" s="1"/>
  <c r="G327" i="152"/>
  <c r="H327" i="152" s="1"/>
  <c r="G324" i="152"/>
  <c r="H324" i="152" s="1"/>
  <c r="G321" i="152"/>
  <c r="H321" i="152" s="1"/>
  <c r="G311" i="152"/>
  <c r="H311" i="152" s="1"/>
  <c r="G308" i="152"/>
  <c r="H308" i="152" s="1"/>
  <c r="G305" i="152"/>
  <c r="H305" i="152" s="1"/>
  <c r="G295" i="152"/>
  <c r="H295" i="152" s="1"/>
  <c r="G292" i="152"/>
  <c r="H292" i="152" s="1"/>
  <c r="G279" i="152"/>
  <c r="H279" i="152" s="1"/>
  <c r="G276" i="152"/>
  <c r="H276" i="152" s="1"/>
  <c r="G273" i="152"/>
  <c r="H273" i="152" s="1"/>
  <c r="G263" i="152"/>
  <c r="H263" i="152" s="1"/>
  <c r="G260" i="152"/>
  <c r="H260" i="152" s="1"/>
  <c r="G502" i="152"/>
  <c r="H502" i="152" s="1"/>
  <c r="G486" i="152"/>
  <c r="H486" i="152" s="1"/>
  <c r="G379" i="152"/>
  <c r="H379" i="152" s="1"/>
  <c r="G333" i="152"/>
  <c r="H333" i="152" s="1"/>
  <c r="G317" i="152"/>
  <c r="H317" i="152" s="1"/>
  <c r="G301" i="152"/>
  <c r="H301" i="152" s="1"/>
  <c r="G269" i="152"/>
  <c r="H269" i="152" s="1"/>
  <c r="G253" i="152"/>
  <c r="H253" i="152" s="1"/>
  <c r="G237" i="152"/>
  <c r="H237" i="152" s="1"/>
  <c r="G221" i="152"/>
  <c r="H221" i="152" s="1"/>
  <c r="G470" i="152"/>
  <c r="H470" i="152" s="1"/>
  <c r="G454" i="152"/>
  <c r="H454" i="152" s="1"/>
  <c r="G449" i="152"/>
  <c r="H449" i="152" s="1"/>
  <c r="G433" i="152"/>
  <c r="H433" i="152" s="1"/>
  <c r="G417" i="152"/>
  <c r="H417" i="152" s="1"/>
  <c r="G401" i="152"/>
  <c r="H401" i="152" s="1"/>
  <c r="G374" i="152"/>
  <c r="H374" i="152" s="1"/>
  <c r="G369" i="152"/>
  <c r="H369" i="152" s="1"/>
  <c r="G351" i="152"/>
  <c r="H351" i="152" s="1"/>
  <c r="G438" i="152"/>
  <c r="H438" i="152" s="1"/>
  <c r="G422" i="152"/>
  <c r="H422" i="152" s="1"/>
  <c r="G406" i="152"/>
  <c r="H406" i="152" s="1"/>
  <c r="G387" i="152"/>
  <c r="H387" i="152" s="1"/>
  <c r="G347" i="152"/>
  <c r="H347" i="152" s="1"/>
  <c r="G323" i="152"/>
  <c r="H323" i="152" s="1"/>
  <c r="G307" i="152"/>
  <c r="H307" i="152" s="1"/>
  <c r="G291" i="152"/>
  <c r="H291" i="152" s="1"/>
  <c r="G275" i="152"/>
  <c r="H275" i="152" s="1"/>
  <c r="G259" i="152"/>
  <c r="H259" i="152" s="1"/>
  <c r="G243" i="152"/>
  <c r="H243" i="152" s="1"/>
  <c r="G227" i="152"/>
  <c r="H227" i="152" s="1"/>
  <c r="G211" i="152"/>
  <c r="H211" i="152" s="1"/>
  <c r="G179" i="152"/>
  <c r="H179" i="152" s="1"/>
  <c r="G261" i="152"/>
  <c r="H261" i="152" s="1"/>
  <c r="G235" i="152"/>
  <c r="H235" i="152" s="1"/>
  <c r="G212" i="152"/>
  <c r="H212" i="152" s="1"/>
  <c r="G205" i="152"/>
  <c r="H205" i="152" s="1"/>
  <c r="G137" i="152"/>
  <c r="H137" i="152" s="1"/>
  <c r="G425" i="152"/>
  <c r="H425" i="152" s="1"/>
  <c r="G385" i="152"/>
  <c r="H385" i="152" s="1"/>
  <c r="G257" i="152"/>
  <c r="H257" i="152" s="1"/>
  <c r="G245" i="152"/>
  <c r="H245" i="152" s="1"/>
  <c r="G215" i="152"/>
  <c r="H215" i="152" s="1"/>
  <c r="G197" i="152"/>
  <c r="H197" i="152" s="1"/>
  <c r="G173" i="152"/>
  <c r="H173" i="152" s="1"/>
  <c r="G345" i="152"/>
  <c r="H345" i="152" s="1"/>
  <c r="G325" i="152"/>
  <c r="H325" i="152" s="1"/>
  <c r="G187" i="152"/>
  <c r="H187" i="152" s="1"/>
  <c r="G145" i="152"/>
  <c r="H145" i="152" s="1"/>
  <c r="G113" i="152"/>
  <c r="H113" i="152" s="1"/>
  <c r="G40" i="152"/>
  <c r="H40" i="152" s="1"/>
  <c r="G457" i="152"/>
  <c r="H457" i="152" s="1"/>
  <c r="G409" i="152"/>
  <c r="H409" i="152" s="1"/>
  <c r="G395" i="152"/>
  <c r="H395" i="152" s="1"/>
  <c r="G377" i="152"/>
  <c r="H377" i="152" s="1"/>
  <c r="G350" i="152"/>
  <c r="H350" i="152" s="1"/>
  <c r="G309" i="152"/>
  <c r="H309" i="152" s="1"/>
  <c r="G300" i="152"/>
  <c r="H300" i="152" s="1"/>
  <c r="G287" i="152"/>
  <c r="H287" i="152" s="1"/>
  <c r="G252" i="152"/>
  <c r="H252" i="152" s="1"/>
  <c r="G241" i="152"/>
  <c r="H241" i="152" s="1"/>
  <c r="G233" i="152"/>
  <c r="H233" i="152" s="1"/>
  <c r="G229" i="152"/>
  <c r="H229" i="152" s="1"/>
  <c r="G207" i="152"/>
  <c r="H207" i="152" s="1"/>
  <c r="G190" i="152"/>
  <c r="H190" i="152" s="1"/>
  <c r="G172" i="152"/>
  <c r="H172" i="152" s="1"/>
  <c r="G165" i="152"/>
  <c r="H165" i="152" s="1"/>
  <c r="G162" i="152"/>
  <c r="H162" i="152" s="1"/>
  <c r="G136" i="152"/>
  <c r="H136" i="152" s="1"/>
  <c r="G133" i="152"/>
  <c r="H133" i="152" s="1"/>
  <c r="G130" i="152"/>
  <c r="H130" i="152" s="1"/>
  <c r="G104" i="152"/>
  <c r="H104" i="152" s="1"/>
  <c r="G96" i="152"/>
  <c r="H96" i="152" s="1"/>
  <c r="G80" i="152"/>
  <c r="H80" i="152" s="1"/>
  <c r="G72" i="152"/>
  <c r="H72" i="152" s="1"/>
  <c r="G64" i="152"/>
  <c r="H64" i="152" s="1"/>
  <c r="G48" i="152"/>
  <c r="H48" i="152" s="1"/>
  <c r="G32" i="152"/>
  <c r="H32" i="152" s="1"/>
  <c r="G24" i="152"/>
  <c r="H24" i="152" s="1"/>
  <c r="G16" i="152"/>
  <c r="H16" i="152" s="1"/>
  <c r="G8" i="152"/>
  <c r="H8" i="152" s="1"/>
  <c r="G244" i="152"/>
  <c r="H244" i="152" s="1"/>
  <c r="G153" i="152"/>
  <c r="H153" i="152" s="1"/>
  <c r="G121" i="152"/>
  <c r="H121" i="152" s="1"/>
  <c r="G462" i="152"/>
  <c r="H462" i="152" s="1"/>
  <c r="G339" i="152"/>
  <c r="H339" i="152" s="1"/>
  <c r="G277" i="152"/>
  <c r="H277" i="152" s="1"/>
  <c r="G247" i="152"/>
  <c r="H247" i="152" s="1"/>
  <c r="G225" i="152"/>
  <c r="H225" i="152" s="1"/>
  <c r="G213" i="152"/>
  <c r="H213" i="152" s="1"/>
  <c r="G203" i="152"/>
  <c r="H203" i="152" s="1"/>
  <c r="G189" i="152"/>
  <c r="H189" i="152" s="1"/>
  <c r="G358" i="152"/>
  <c r="H358" i="152" s="1"/>
  <c r="G353" i="152"/>
  <c r="H353" i="152" s="1"/>
  <c r="G293" i="152"/>
  <c r="H293" i="152" s="1"/>
  <c r="G281" i="152"/>
  <c r="H281" i="152" s="1"/>
  <c r="G152" i="152"/>
  <c r="H152" i="152" s="1"/>
  <c r="G114" i="152"/>
  <c r="H114" i="152" s="1"/>
  <c r="G71" i="152"/>
  <c r="H71" i="152" s="1"/>
  <c r="G206" i="152"/>
  <c r="H206" i="152" s="1"/>
  <c r="G164" i="152"/>
  <c r="H164" i="152" s="1"/>
  <c r="G363" i="152"/>
  <c r="H363" i="152" s="1"/>
  <c r="G332" i="152"/>
  <c r="H332" i="152" s="1"/>
  <c r="G228" i="152"/>
  <c r="H228" i="152" s="1"/>
  <c r="G135" i="152"/>
  <c r="H135" i="152" s="1"/>
  <c r="G123" i="152"/>
  <c r="H123" i="152" s="1"/>
  <c r="G76" i="152"/>
  <c r="H76" i="152" s="1"/>
  <c r="G60" i="152"/>
  <c r="H60" i="152" s="1"/>
  <c r="G55" i="152"/>
  <c r="H55" i="152" s="1"/>
  <c r="G39" i="152"/>
  <c r="H39" i="152" s="1"/>
  <c r="G23" i="152"/>
  <c r="H23" i="152" s="1"/>
  <c r="G7" i="152"/>
  <c r="H7" i="152" s="1"/>
  <c r="G52" i="152"/>
  <c r="H52" i="152" s="1"/>
  <c r="G4" i="152"/>
  <c r="H4" i="152" s="1"/>
  <c r="G441" i="152"/>
  <c r="H441" i="152" s="1"/>
  <c r="G188" i="152"/>
  <c r="H188" i="152" s="1"/>
  <c r="G103" i="152"/>
  <c r="H103" i="152" s="1"/>
  <c r="G174" i="152"/>
  <c r="H174" i="152" s="1"/>
  <c r="G146" i="152"/>
  <c r="H146" i="152" s="1"/>
  <c r="G44" i="152"/>
  <c r="H44" i="152" s="1"/>
  <c r="G12" i="152"/>
  <c r="H12" i="152" s="1"/>
  <c r="G84" i="152"/>
  <c r="H84" i="152" s="1"/>
  <c r="G171" i="152"/>
  <c r="H171" i="152" s="1"/>
  <c r="G120" i="152"/>
  <c r="H120" i="152" s="1"/>
  <c r="G36" i="152"/>
  <c r="H36" i="152" s="1"/>
  <c r="G478" i="152"/>
  <c r="H478" i="152" s="1"/>
  <c r="G473" i="152"/>
  <c r="H473" i="152" s="1"/>
  <c r="G271" i="152"/>
  <c r="H271" i="152" s="1"/>
  <c r="G239" i="152"/>
  <c r="H239" i="152" s="1"/>
  <c r="G220" i="152"/>
  <c r="H220" i="152" s="1"/>
  <c r="G209" i="152"/>
  <c r="H209" i="152" s="1"/>
  <c r="G185" i="152"/>
  <c r="H185" i="152" s="1"/>
  <c r="G161" i="152"/>
  <c r="H161" i="152" s="1"/>
  <c r="G117" i="152"/>
  <c r="H117" i="152" s="1"/>
  <c r="G316" i="152"/>
  <c r="H316" i="152" s="1"/>
  <c r="G251" i="152"/>
  <c r="H251" i="152" s="1"/>
  <c r="G100" i="152"/>
  <c r="H100" i="152" s="1"/>
  <c r="G231" i="152"/>
  <c r="H231" i="152" s="1"/>
  <c r="G149" i="152"/>
  <c r="H149" i="152" s="1"/>
  <c r="G68" i="152"/>
  <c r="H68" i="152" s="1"/>
  <c r="G170" i="152"/>
  <c r="H170" i="152" s="1"/>
  <c r="G234" i="152"/>
  <c r="H234" i="152" s="1"/>
  <c r="G314" i="152"/>
  <c r="H314" i="152" s="1"/>
  <c r="G218" i="152"/>
  <c r="H218" i="152" s="1"/>
  <c r="G210" i="152"/>
  <c r="H210" i="152" s="1"/>
  <c r="G199" i="152"/>
  <c r="H199" i="152" s="1"/>
  <c r="G45" i="152"/>
  <c r="H45" i="152" s="1"/>
  <c r="G126" i="152"/>
  <c r="H126" i="152" s="1"/>
  <c r="G61" i="152"/>
  <c r="H61" i="152" s="1"/>
  <c r="G163" i="152"/>
  <c r="H163" i="152" s="1"/>
  <c r="G18" i="152"/>
  <c r="H18" i="152" s="1"/>
  <c r="G262" i="152"/>
  <c r="H262" i="152" s="1"/>
  <c r="G474" i="152"/>
  <c r="H474" i="152" s="1"/>
  <c r="G86" i="152"/>
  <c r="H86" i="152" s="1"/>
  <c r="G338" i="152"/>
  <c r="H338" i="152" s="1"/>
  <c r="G90" i="152"/>
  <c r="H90" i="152" s="1"/>
  <c r="G22" i="152"/>
  <c r="H22" i="152" s="1"/>
  <c r="G258" i="152"/>
  <c r="H258" i="152" s="1"/>
  <c r="G53" i="152"/>
  <c r="H53" i="152" s="1"/>
  <c r="G329" i="152"/>
  <c r="H329" i="152" s="1"/>
  <c r="G105" i="152"/>
  <c r="H105" i="152" s="1"/>
  <c r="G25" i="152"/>
  <c r="H25" i="152" s="1"/>
  <c r="G47" i="152"/>
  <c r="H47" i="152" s="1"/>
  <c r="G147" i="152"/>
  <c r="H147" i="152" s="1"/>
  <c r="G57" i="152"/>
  <c r="H57" i="152" s="1"/>
  <c r="G177" i="152"/>
  <c r="H177" i="152" s="1"/>
  <c r="G156" i="152"/>
  <c r="H156" i="152" s="1"/>
  <c r="G140" i="152"/>
  <c r="H140" i="152" s="1"/>
  <c r="G111" i="152"/>
  <c r="H111" i="152" s="1"/>
  <c r="G27" i="152"/>
  <c r="H27" i="152" s="1"/>
  <c r="G42" i="152"/>
  <c r="H42" i="152" s="1"/>
  <c r="G264" i="152"/>
  <c r="H264" i="152" s="1"/>
  <c r="G330" i="152"/>
  <c r="H330" i="152" s="1"/>
  <c r="G202" i="152"/>
  <c r="H202" i="152" s="1"/>
  <c r="G310" i="152"/>
  <c r="H310" i="152" s="1"/>
  <c r="G201" i="152"/>
  <c r="H201" i="152" s="1"/>
  <c r="G376" i="152"/>
  <c r="H376" i="152" s="1"/>
  <c r="G476" i="152"/>
  <c r="H476" i="152" s="1"/>
  <c r="G450" i="152"/>
  <c r="H450" i="152" s="1"/>
  <c r="G352" i="152"/>
  <c r="H352" i="152" s="1"/>
  <c r="G490" i="152"/>
  <c r="H490" i="152" s="1"/>
  <c r="G288" i="152"/>
  <c r="H288" i="152" s="1"/>
  <c r="G426" i="152"/>
  <c r="H426" i="152" s="1"/>
  <c r="G362" i="152"/>
  <c r="H362" i="152" s="1"/>
  <c r="G471" i="152"/>
  <c r="H471" i="152" s="1"/>
  <c r="G434" i="152"/>
  <c r="H434" i="152" s="1"/>
  <c r="G496" i="152"/>
  <c r="H496" i="152" s="1"/>
  <c r="G479" i="152"/>
  <c r="H479" i="152" s="1"/>
  <c r="G272" i="152"/>
  <c r="H272" i="152" s="1"/>
  <c r="G386" i="152"/>
  <c r="H386" i="152" s="1"/>
  <c r="G465" i="152"/>
  <c r="H465" i="152" s="1"/>
  <c r="G166" i="152"/>
  <c r="H166" i="152" s="1"/>
  <c r="G230" i="152"/>
  <c r="H230" i="152" s="1"/>
  <c r="G274" i="152"/>
  <c r="H274" i="152" s="1"/>
  <c r="G214" i="152"/>
  <c r="H214" i="152" s="1"/>
  <c r="G186" i="152"/>
  <c r="H186" i="152" s="1"/>
  <c r="G175" i="152"/>
  <c r="H175" i="152" s="1"/>
  <c r="G35" i="152"/>
  <c r="H35" i="152" s="1"/>
  <c r="G93" i="152"/>
  <c r="H93" i="152" s="1"/>
  <c r="G41" i="152"/>
  <c r="H41" i="152" s="1"/>
  <c r="G157" i="152"/>
  <c r="H157" i="152" s="1"/>
  <c r="G335" i="152"/>
  <c r="H335" i="152" s="1"/>
  <c r="G236" i="152"/>
  <c r="H236" i="152" s="1"/>
  <c r="G204" i="152"/>
  <c r="H204" i="152" s="1"/>
  <c r="G70" i="152"/>
  <c r="H70" i="152" s="1"/>
  <c r="G298" i="152"/>
  <c r="H298" i="152" s="1"/>
  <c r="G85" i="152"/>
  <c r="H85" i="152" s="1"/>
  <c r="G17" i="152"/>
  <c r="H17" i="152" s="1"/>
  <c r="G232" i="152"/>
  <c r="H232" i="152" s="1"/>
  <c r="G43" i="152"/>
  <c r="H43" i="152" s="1"/>
  <c r="G284" i="152"/>
  <c r="H284" i="152" s="1"/>
  <c r="G94" i="152"/>
  <c r="H94" i="152" s="1"/>
  <c r="G15" i="152"/>
  <c r="H15" i="152" s="1"/>
  <c r="G31" i="152"/>
  <c r="H31" i="152" s="1"/>
  <c r="J1087" i="484" l="1"/>
  <c r="B1088" i="484"/>
  <c r="J1099" i="485"/>
  <c r="B1100" i="485"/>
  <c r="J1087" i="486"/>
  <c r="B1088" i="486"/>
  <c r="H504" i="152"/>
  <c r="P469" i="100"/>
  <c r="Q469" i="100" s="1"/>
  <c r="P453" i="100"/>
  <c r="Q453" i="100" s="1"/>
  <c r="P428" i="100"/>
  <c r="Q428" i="100" s="1"/>
  <c r="P424" i="100"/>
  <c r="Q424" i="100" s="1"/>
  <c r="P463" i="100"/>
  <c r="Q463" i="100" s="1"/>
  <c r="P436" i="100"/>
  <c r="Q436" i="100" s="1"/>
  <c r="P414" i="100"/>
  <c r="Q414" i="100" s="1"/>
  <c r="P406" i="100"/>
  <c r="Q406" i="100" s="1"/>
  <c r="P398" i="100"/>
  <c r="Q398" i="100" s="1"/>
  <c r="P390" i="100"/>
  <c r="Q390" i="100" s="1"/>
  <c r="P382" i="100"/>
  <c r="Q382" i="100" s="1"/>
  <c r="P491" i="100"/>
  <c r="Q491" i="100" s="1"/>
  <c r="P444" i="100"/>
  <c r="Q444" i="100" s="1"/>
  <c r="P467" i="100"/>
  <c r="Q467" i="100" s="1"/>
  <c r="P451" i="100"/>
  <c r="Q451" i="100" s="1"/>
  <c r="P416" i="100"/>
  <c r="Q416" i="100" s="1"/>
  <c r="P483" i="100"/>
  <c r="Q483" i="100" s="1"/>
  <c r="P409" i="100"/>
  <c r="Q409" i="100" s="1"/>
  <c r="P401" i="100"/>
  <c r="Q401" i="100" s="1"/>
  <c r="P393" i="100"/>
  <c r="Q393" i="100" s="1"/>
  <c r="P385" i="100"/>
  <c r="Q385" i="100" s="1"/>
  <c r="P495" i="100"/>
  <c r="Q495" i="100" s="1"/>
  <c r="P471" i="100"/>
  <c r="Q471" i="100" s="1"/>
  <c r="P403" i="100"/>
  <c r="Q403" i="100" s="1"/>
  <c r="P396" i="100"/>
  <c r="Q396" i="100" s="1"/>
  <c r="P449" i="100"/>
  <c r="Q449" i="100" s="1"/>
  <c r="P400" i="100"/>
  <c r="Q400" i="100" s="1"/>
  <c r="P314" i="100"/>
  <c r="Q314" i="100" s="1"/>
  <c r="P404" i="100"/>
  <c r="Q404" i="100" s="1"/>
  <c r="P475" i="100"/>
  <c r="Q475" i="100" s="1"/>
  <c r="P411" i="100"/>
  <c r="Q411" i="100" s="1"/>
  <c r="P408" i="100"/>
  <c r="Q408" i="100" s="1"/>
  <c r="P387" i="100"/>
  <c r="Q387" i="100" s="1"/>
  <c r="P380" i="100"/>
  <c r="Q380" i="100" s="1"/>
  <c r="P372" i="100"/>
  <c r="Q372" i="100" s="1"/>
  <c r="P487" i="100"/>
  <c r="Q487" i="100" s="1"/>
  <c r="P459" i="100"/>
  <c r="Q459" i="100" s="1"/>
  <c r="P412" i="100"/>
  <c r="Q412" i="100" s="1"/>
  <c r="P274" i="100"/>
  <c r="Q274" i="100" s="1"/>
  <c r="P311" i="100"/>
  <c r="Q311" i="100" s="1"/>
  <c r="P303" i="100"/>
  <c r="Q303" i="100" s="1"/>
  <c r="P295" i="100"/>
  <c r="Q295" i="100" s="1"/>
  <c r="P287" i="100"/>
  <c r="Q287" i="100" s="1"/>
  <c r="P279" i="100"/>
  <c r="Q279" i="100" s="1"/>
  <c r="P465" i="100"/>
  <c r="Q465" i="100" s="1"/>
  <c r="P388" i="100"/>
  <c r="Q388" i="100" s="1"/>
  <c r="P312" i="100"/>
  <c r="Q312" i="100" s="1"/>
  <c r="P280" i="100"/>
  <c r="Q280" i="100" s="1"/>
  <c r="P374" i="100"/>
  <c r="Q374" i="100" s="1"/>
  <c r="P282" i="100"/>
  <c r="Q282" i="100" s="1"/>
  <c r="P273" i="100"/>
  <c r="Q273" i="100" s="1"/>
  <c r="P217" i="100"/>
  <c r="Q217" i="100" s="1"/>
  <c r="P201" i="100"/>
  <c r="Q201" i="100" s="1"/>
  <c r="P184" i="100"/>
  <c r="Q184" i="100" s="1"/>
  <c r="P177" i="100"/>
  <c r="Q177" i="100" s="1"/>
  <c r="P173" i="100"/>
  <c r="Q173" i="100" s="1"/>
  <c r="P169" i="100"/>
  <c r="Q169" i="100" s="1"/>
  <c r="P165" i="100"/>
  <c r="Q165" i="100" s="1"/>
  <c r="P161" i="100"/>
  <c r="Q161" i="100" s="1"/>
  <c r="P306" i="100"/>
  <c r="Q306" i="100" s="1"/>
  <c r="P395" i="100"/>
  <c r="Q395" i="100" s="1"/>
  <c r="P392" i="100"/>
  <c r="Q392" i="100" s="1"/>
  <c r="P224" i="100"/>
  <c r="Q224" i="100" s="1"/>
  <c r="P208" i="100"/>
  <c r="Q208" i="100" s="1"/>
  <c r="P192" i="100"/>
  <c r="Q192" i="100" s="1"/>
  <c r="P298" i="100"/>
  <c r="Q298" i="100" s="1"/>
  <c r="P209" i="100"/>
  <c r="Q209" i="100" s="1"/>
  <c r="P193" i="100"/>
  <c r="Q193" i="100" s="1"/>
  <c r="P160" i="100"/>
  <c r="Q160" i="100" s="1"/>
  <c r="P272" i="100"/>
  <c r="Q272" i="100" s="1"/>
  <c r="P172" i="100"/>
  <c r="Q172" i="100" s="1"/>
  <c r="P35" i="100"/>
  <c r="Q35" i="100" s="1"/>
  <c r="P29" i="100"/>
  <c r="Q29" i="100" s="1"/>
  <c r="P16" i="100"/>
  <c r="Q16" i="100" s="1"/>
  <c r="P9" i="100"/>
  <c r="Q9" i="100" s="1"/>
  <c r="P3" i="100"/>
  <c r="Q3" i="100" s="1"/>
  <c r="P40" i="100"/>
  <c r="Q40" i="100" s="1"/>
  <c r="P30" i="100"/>
  <c r="Q30" i="100" s="1"/>
  <c r="P33" i="100"/>
  <c r="Q33" i="100" s="1"/>
  <c r="P164" i="100"/>
  <c r="Q164" i="100" s="1"/>
  <c r="P176" i="100"/>
  <c r="Q176" i="100" s="1"/>
  <c r="P44" i="100"/>
  <c r="Q44" i="100" s="1"/>
  <c r="P12" i="100"/>
  <c r="Q12" i="100" s="1"/>
  <c r="P168" i="100"/>
  <c r="Q168" i="100" s="1"/>
  <c r="P14" i="100"/>
  <c r="Q14" i="100" s="1"/>
  <c r="P8" i="100"/>
  <c r="Q8" i="100" s="1"/>
  <c r="P216" i="100"/>
  <c r="Q216" i="100" s="1"/>
  <c r="P185" i="100"/>
  <c r="Q185" i="100" s="1"/>
  <c r="P499" i="100"/>
  <c r="Q499" i="100" s="1"/>
  <c r="P27" i="100"/>
  <c r="Q27" i="100" s="1"/>
  <c r="P21" i="100"/>
  <c r="Q21" i="100" s="1"/>
  <c r="P34" i="100"/>
  <c r="Q34" i="100" s="1"/>
  <c r="P132" i="100"/>
  <c r="Q132" i="100" s="1"/>
  <c r="P240" i="100"/>
  <c r="Q240" i="100" s="1"/>
  <c r="P59" i="100"/>
  <c r="Q59" i="100" s="1"/>
  <c r="P158" i="100"/>
  <c r="Q158" i="100" s="1"/>
  <c r="P101" i="100"/>
  <c r="Q101" i="100" s="1"/>
  <c r="P134" i="100"/>
  <c r="Q134" i="100" s="1"/>
  <c r="P49" i="100"/>
  <c r="Q49" i="100" s="1"/>
  <c r="P127" i="100"/>
  <c r="Q127" i="100" s="1"/>
  <c r="P159" i="100"/>
  <c r="Q159" i="100" s="1"/>
  <c r="P178" i="100"/>
  <c r="Q178" i="100" s="1"/>
  <c r="P218" i="100"/>
  <c r="Q218" i="100" s="1"/>
  <c r="P196" i="100"/>
  <c r="Q196" i="100" s="1"/>
  <c r="P117" i="100"/>
  <c r="Q117" i="100" s="1"/>
  <c r="P149" i="100"/>
  <c r="Q149" i="100" s="1"/>
  <c r="P232" i="100"/>
  <c r="Q232" i="100" s="1"/>
  <c r="P180" i="100"/>
  <c r="Q180" i="100" s="1"/>
  <c r="P222" i="100"/>
  <c r="Q222" i="100" s="1"/>
  <c r="P376" i="100"/>
  <c r="Q376" i="100" s="1"/>
  <c r="P251" i="100"/>
  <c r="Q251" i="100" s="1"/>
  <c r="P462" i="100"/>
  <c r="Q462" i="100" s="1"/>
  <c r="P353" i="100"/>
  <c r="Q353" i="100" s="1"/>
  <c r="P226" i="100"/>
  <c r="Q226" i="100" s="1"/>
  <c r="P258" i="100"/>
  <c r="Q258" i="100" s="1"/>
  <c r="P402" i="100"/>
  <c r="Q402" i="100" s="1"/>
  <c r="P225" i="100"/>
  <c r="Q225" i="100" s="1"/>
  <c r="P265" i="100"/>
  <c r="Q265" i="100" s="1"/>
  <c r="P294" i="100"/>
  <c r="Q294" i="100" s="1"/>
  <c r="P333" i="100"/>
  <c r="Q333" i="100" s="1"/>
  <c r="P336" i="100"/>
  <c r="Q336" i="100" s="1"/>
  <c r="P368" i="100"/>
  <c r="Q368" i="100" s="1"/>
  <c r="P347" i="100"/>
  <c r="Q347" i="100" s="1"/>
  <c r="P445" i="100"/>
  <c r="Q445" i="100" s="1"/>
  <c r="P330" i="100"/>
  <c r="Q330" i="100" s="1"/>
  <c r="P362" i="100"/>
  <c r="Q362" i="100" s="1"/>
  <c r="P485" i="100"/>
  <c r="Q485" i="100" s="1"/>
  <c r="P443" i="100"/>
  <c r="Q443" i="100" s="1"/>
  <c r="P476" i="100"/>
  <c r="Q476" i="100" s="1"/>
  <c r="P456" i="100"/>
  <c r="Q456" i="100" s="1"/>
  <c r="P22" i="100"/>
  <c r="Q22" i="100" s="1"/>
  <c r="P5" i="100"/>
  <c r="Q5" i="100" s="1"/>
  <c r="P112" i="100"/>
  <c r="Q112" i="100" s="1"/>
  <c r="P48" i="100"/>
  <c r="Q48" i="100" s="1"/>
  <c r="P6" i="100"/>
  <c r="Q6" i="100" s="1"/>
  <c r="P138" i="100"/>
  <c r="Q138" i="100" s="1"/>
  <c r="P62" i="100"/>
  <c r="Q62" i="100" s="1"/>
  <c r="P187" i="100"/>
  <c r="Q187" i="100" s="1"/>
  <c r="P104" i="100"/>
  <c r="Q104" i="100" s="1"/>
  <c r="P23" i="100"/>
  <c r="Q23" i="100" s="1"/>
  <c r="P39" i="100"/>
  <c r="Q39" i="100" s="1"/>
  <c r="P52" i="100"/>
  <c r="Q52" i="100" s="1"/>
  <c r="P90" i="100"/>
  <c r="Q90" i="100" s="1"/>
  <c r="P95" i="100"/>
  <c r="Q95" i="100" s="1"/>
  <c r="P131" i="100"/>
  <c r="Q131" i="100" s="1"/>
  <c r="P162" i="100"/>
  <c r="Q162" i="100" s="1"/>
  <c r="P179" i="100"/>
  <c r="Q179" i="100" s="1"/>
  <c r="P219" i="100"/>
  <c r="Q219" i="100" s="1"/>
  <c r="P300" i="100"/>
  <c r="Q300" i="100" s="1"/>
  <c r="P256" i="100"/>
  <c r="Q256" i="100" s="1"/>
  <c r="P188" i="100"/>
  <c r="Q188" i="100" s="1"/>
  <c r="P121" i="100"/>
  <c r="Q121" i="100" s="1"/>
  <c r="P153" i="100"/>
  <c r="Q153" i="100" s="1"/>
  <c r="P197" i="100"/>
  <c r="Q197" i="100" s="1"/>
  <c r="P468" i="100"/>
  <c r="Q468" i="100" s="1"/>
  <c r="P255" i="100"/>
  <c r="Q255" i="100" s="1"/>
  <c r="P230" i="100"/>
  <c r="Q230" i="100" s="1"/>
  <c r="P262" i="100"/>
  <c r="Q262" i="100" s="1"/>
  <c r="P299" i="100"/>
  <c r="Q299" i="100" s="1"/>
  <c r="P337" i="100"/>
  <c r="Q337" i="100" s="1"/>
  <c r="P438" i="100"/>
  <c r="Q438" i="100" s="1"/>
  <c r="P229" i="100"/>
  <c r="Q229" i="100" s="1"/>
  <c r="P269" i="100"/>
  <c r="Q269" i="100" s="1"/>
  <c r="P301" i="100"/>
  <c r="Q301" i="100" s="1"/>
  <c r="P437" i="100"/>
  <c r="Q437" i="100" s="1"/>
  <c r="P340" i="100"/>
  <c r="Q340" i="100" s="1"/>
  <c r="P351" i="100"/>
  <c r="Q351" i="100" s="1"/>
  <c r="P386" i="100"/>
  <c r="Q386" i="100" s="1"/>
  <c r="P448" i="100"/>
  <c r="Q448" i="100" s="1"/>
  <c r="P334" i="100"/>
  <c r="Q334" i="100" s="1"/>
  <c r="P366" i="100"/>
  <c r="Q366" i="100" s="1"/>
  <c r="P458" i="100"/>
  <c r="Q458" i="100" s="1"/>
  <c r="P447" i="100"/>
  <c r="Q447" i="100" s="1"/>
  <c r="P28" i="100"/>
  <c r="Q28" i="100" s="1"/>
  <c r="P17" i="100"/>
  <c r="Q17" i="100" s="1"/>
  <c r="P260" i="100"/>
  <c r="Q260" i="100" s="1"/>
  <c r="P118" i="100"/>
  <c r="Q118" i="100" s="1"/>
  <c r="P60" i="100"/>
  <c r="Q60" i="100" s="1"/>
  <c r="P142" i="100"/>
  <c r="Q142" i="100" s="1"/>
  <c r="P37" i="100"/>
  <c r="Q37" i="100" s="1"/>
  <c r="P186" i="100"/>
  <c r="Q186" i="100" s="1"/>
  <c r="P63" i="100"/>
  <c r="Q63" i="100" s="1"/>
  <c r="P55" i="100"/>
  <c r="Q55" i="100" s="1"/>
  <c r="P93" i="100"/>
  <c r="Q93" i="100" s="1"/>
  <c r="P99" i="100"/>
  <c r="Q99" i="100" s="1"/>
  <c r="P135" i="100"/>
  <c r="Q135" i="100" s="1"/>
  <c r="P163" i="100"/>
  <c r="Q163" i="100" s="1"/>
  <c r="P198" i="100"/>
  <c r="Q198" i="100" s="1"/>
  <c r="P329" i="100"/>
  <c r="Q329" i="100" s="1"/>
  <c r="P244" i="100"/>
  <c r="Q244" i="100" s="1"/>
  <c r="P308" i="100"/>
  <c r="Q308" i="100" s="1"/>
  <c r="P125" i="100"/>
  <c r="Q125" i="100" s="1"/>
  <c r="P157" i="100"/>
  <c r="Q157" i="100" s="1"/>
  <c r="P207" i="100"/>
  <c r="Q207" i="100" s="1"/>
  <c r="P227" i="100"/>
  <c r="Q227" i="100" s="1"/>
  <c r="P259" i="100"/>
  <c r="Q259" i="100" s="1"/>
  <c r="P341" i="100"/>
  <c r="Q341" i="100" s="1"/>
  <c r="P234" i="100"/>
  <c r="Q234" i="100" s="1"/>
  <c r="P266" i="100"/>
  <c r="Q266" i="100" s="1"/>
  <c r="P233" i="100"/>
  <c r="Q233" i="100" s="1"/>
  <c r="P302" i="100"/>
  <c r="Q302" i="100" s="1"/>
  <c r="P349" i="100"/>
  <c r="Q349" i="100" s="1"/>
  <c r="P344" i="100"/>
  <c r="Q344" i="100" s="1"/>
  <c r="P394" i="100"/>
  <c r="Q394" i="100" s="1"/>
  <c r="P319" i="100"/>
  <c r="Q319" i="100" s="1"/>
  <c r="P355" i="100"/>
  <c r="Q355" i="100" s="1"/>
  <c r="P397" i="100"/>
  <c r="Q397" i="100" s="1"/>
  <c r="P452" i="100"/>
  <c r="Q452" i="100" s="1"/>
  <c r="P338" i="100"/>
  <c r="Q338" i="100" s="1"/>
  <c r="P377" i="100"/>
  <c r="Q377" i="100" s="1"/>
  <c r="P432" i="100"/>
  <c r="Q432" i="100" s="1"/>
  <c r="P488" i="100"/>
  <c r="Q488" i="100" s="1"/>
  <c r="P472" i="100"/>
  <c r="Q472" i="100" s="1"/>
  <c r="P361" i="100"/>
  <c r="Q361" i="100" s="1"/>
  <c r="P241" i="100"/>
  <c r="Q241" i="100" s="1"/>
  <c r="P309" i="100"/>
  <c r="Q309" i="100" s="1"/>
  <c r="P36" i="100"/>
  <c r="Q36" i="100" s="1"/>
  <c r="P75" i="100"/>
  <c r="Q75" i="100" s="1"/>
  <c r="P7" i="100"/>
  <c r="Q7" i="100" s="1"/>
  <c r="P69" i="100"/>
  <c r="Q69" i="100" s="1"/>
  <c r="P100" i="100"/>
  <c r="Q100" i="100" s="1"/>
  <c r="P97" i="100"/>
  <c r="Q97" i="100" s="1"/>
  <c r="P189" i="100"/>
  <c r="Q189" i="100" s="1"/>
  <c r="P313" i="100"/>
  <c r="Q313" i="100" s="1"/>
  <c r="P56" i="100"/>
  <c r="Q56" i="100" s="1"/>
  <c r="P126" i="100"/>
  <c r="Q126" i="100" s="1"/>
  <c r="P96" i="100"/>
  <c r="Q96" i="100" s="1"/>
  <c r="P78" i="100"/>
  <c r="Q78" i="100" s="1"/>
  <c r="P15" i="100"/>
  <c r="Q15" i="100" s="1"/>
  <c r="P58" i="100"/>
  <c r="Q58" i="100" s="1"/>
  <c r="P148" i="100"/>
  <c r="Q148" i="100" s="1"/>
  <c r="P103" i="100"/>
  <c r="Q103" i="100" s="1"/>
  <c r="P139" i="100"/>
  <c r="Q139" i="100" s="1"/>
  <c r="P166" i="100"/>
  <c r="Q166" i="100" s="1"/>
  <c r="P199" i="100"/>
  <c r="Q199" i="100" s="1"/>
  <c r="P221" i="100"/>
  <c r="Q221" i="100" s="1"/>
  <c r="P212" i="100"/>
  <c r="Q212" i="100" s="1"/>
  <c r="P268" i="100"/>
  <c r="Q268" i="100" s="1"/>
  <c r="P129" i="100"/>
  <c r="Q129" i="100" s="1"/>
  <c r="P210" i="100"/>
  <c r="Q210" i="100" s="1"/>
  <c r="P204" i="100"/>
  <c r="Q204" i="100" s="1"/>
  <c r="P284" i="100"/>
  <c r="Q284" i="100" s="1"/>
  <c r="P231" i="100"/>
  <c r="Q231" i="100" s="1"/>
  <c r="P263" i="100"/>
  <c r="Q263" i="100" s="1"/>
  <c r="P373" i="100"/>
  <c r="Q373" i="100" s="1"/>
  <c r="P238" i="100"/>
  <c r="Q238" i="100" s="1"/>
  <c r="P275" i="100"/>
  <c r="Q275" i="100" s="1"/>
  <c r="P307" i="100"/>
  <c r="Q307" i="100" s="1"/>
  <c r="P277" i="100"/>
  <c r="Q277" i="100" s="1"/>
  <c r="P81" i="100"/>
  <c r="Q81" i="100" s="1"/>
  <c r="P66" i="100"/>
  <c r="Q66" i="100" s="1"/>
  <c r="P80" i="100"/>
  <c r="Q80" i="100" s="1"/>
  <c r="P18" i="100"/>
  <c r="Q18" i="100" s="1"/>
  <c r="P106" i="100"/>
  <c r="Q106" i="100" s="1"/>
  <c r="P292" i="100"/>
  <c r="Q292" i="100" s="1"/>
  <c r="P120" i="100"/>
  <c r="Q120" i="100" s="1"/>
  <c r="P76" i="100"/>
  <c r="Q76" i="100" s="1"/>
  <c r="P98" i="100"/>
  <c r="Q98" i="100" s="1"/>
  <c r="P102" i="100"/>
  <c r="Q102" i="100" s="1"/>
  <c r="P110" i="100"/>
  <c r="Q110" i="100" s="1"/>
  <c r="P61" i="100"/>
  <c r="Q61" i="100" s="1"/>
  <c r="P154" i="100"/>
  <c r="Q154" i="100" s="1"/>
  <c r="P107" i="100"/>
  <c r="Q107" i="100" s="1"/>
  <c r="P143" i="100"/>
  <c r="Q143" i="100" s="1"/>
  <c r="P167" i="100"/>
  <c r="Q167" i="100" s="1"/>
  <c r="P202" i="100"/>
  <c r="Q202" i="100" s="1"/>
  <c r="P345" i="100"/>
  <c r="Q345" i="100" s="1"/>
  <c r="P133" i="100"/>
  <c r="Q133" i="100" s="1"/>
  <c r="P190" i="100"/>
  <c r="Q190" i="100" s="1"/>
  <c r="P211" i="100"/>
  <c r="Q211" i="100" s="1"/>
  <c r="P264" i="100"/>
  <c r="Q264" i="100" s="1"/>
  <c r="P305" i="100"/>
  <c r="Q305" i="100" s="1"/>
  <c r="P235" i="100"/>
  <c r="Q235" i="100" s="1"/>
  <c r="P267" i="100"/>
  <c r="Q267" i="100" s="1"/>
  <c r="P242" i="100"/>
  <c r="Q242" i="100" s="1"/>
  <c r="P249" i="100"/>
  <c r="Q249" i="100" s="1"/>
  <c r="P278" i="100"/>
  <c r="Q278" i="100" s="1"/>
  <c r="P310" i="100"/>
  <c r="Q310" i="100" s="1"/>
  <c r="P391" i="100"/>
  <c r="Q391" i="100" s="1"/>
  <c r="P484" i="100"/>
  <c r="Q484" i="100" s="1"/>
  <c r="P352" i="100"/>
  <c r="Q352" i="100" s="1"/>
  <c r="P415" i="100"/>
  <c r="Q415" i="100" s="1"/>
  <c r="P327" i="100"/>
  <c r="Q327" i="100" s="1"/>
  <c r="P363" i="100"/>
  <c r="Q363" i="100" s="1"/>
  <c r="P346" i="100"/>
  <c r="Q346" i="100" s="1"/>
  <c r="P442" i="100"/>
  <c r="Q442" i="100" s="1"/>
  <c r="P422" i="100"/>
  <c r="Q422" i="100" s="1"/>
  <c r="P486" i="100"/>
  <c r="Q486" i="100" s="1"/>
  <c r="P464" i="100"/>
  <c r="Q464" i="100" s="1"/>
  <c r="P457" i="100"/>
  <c r="Q457" i="100" s="1"/>
  <c r="P493" i="100"/>
  <c r="Q493" i="100" s="1"/>
  <c r="P427" i="100"/>
  <c r="Q427" i="100" s="1"/>
  <c r="P490" i="100"/>
  <c r="Q490" i="100" s="1"/>
  <c r="P11" i="100"/>
  <c r="Q11" i="100" s="1"/>
  <c r="P32" i="100"/>
  <c r="Q32" i="100" s="1"/>
  <c r="P10" i="100"/>
  <c r="Q10" i="100" s="1"/>
  <c r="P51" i="100"/>
  <c r="Q51" i="100" s="1"/>
  <c r="P89" i="100"/>
  <c r="Q89" i="100" s="1"/>
  <c r="P124" i="100"/>
  <c r="Q124" i="100" s="1"/>
  <c r="P31" i="100"/>
  <c r="Q31" i="100" s="1"/>
  <c r="P68" i="100"/>
  <c r="Q68" i="100" s="1"/>
  <c r="P501" i="100"/>
  <c r="Q501" i="100" s="1"/>
  <c r="P79" i="100"/>
  <c r="Q79" i="100" s="1"/>
  <c r="P357" i="100"/>
  <c r="Q357" i="100" s="1"/>
  <c r="P64" i="100"/>
  <c r="Q64" i="100" s="1"/>
  <c r="P115" i="100"/>
  <c r="Q115" i="100" s="1"/>
  <c r="P147" i="100"/>
  <c r="Q147" i="100" s="1"/>
  <c r="P170" i="100"/>
  <c r="Q170" i="100" s="1"/>
  <c r="P214" i="100"/>
  <c r="Q214" i="100" s="1"/>
  <c r="P105" i="100"/>
  <c r="Q105" i="100" s="1"/>
  <c r="P137" i="100"/>
  <c r="Q137" i="100" s="1"/>
  <c r="P191" i="100"/>
  <c r="Q191" i="100" s="1"/>
  <c r="P369" i="100"/>
  <c r="Q369" i="100" s="1"/>
  <c r="P206" i="100"/>
  <c r="Q206" i="100" s="1"/>
  <c r="P252" i="100"/>
  <c r="Q252" i="100" s="1"/>
  <c r="P371" i="100"/>
  <c r="Q371" i="100" s="1"/>
  <c r="P239" i="100"/>
  <c r="Q239" i="100" s="1"/>
  <c r="P315" i="100"/>
  <c r="Q315" i="100" s="1"/>
  <c r="P413" i="100"/>
  <c r="Q413" i="100" s="1"/>
  <c r="P246" i="100"/>
  <c r="Q246" i="100" s="1"/>
  <c r="P283" i="100"/>
  <c r="Q283" i="100" s="1"/>
  <c r="P253" i="100"/>
  <c r="Q253" i="100" s="1"/>
  <c r="P285" i="100"/>
  <c r="Q285" i="100" s="1"/>
  <c r="P317" i="100"/>
  <c r="Q317" i="100" s="1"/>
  <c r="P324" i="100"/>
  <c r="Q324" i="100" s="1"/>
  <c r="P356" i="100"/>
  <c r="Q356" i="100" s="1"/>
  <c r="P331" i="100"/>
  <c r="Q331" i="100" s="1"/>
  <c r="P367" i="100"/>
  <c r="Q367" i="100" s="1"/>
  <c r="P407" i="100"/>
  <c r="Q407" i="100" s="1"/>
  <c r="P350" i="100"/>
  <c r="Q350" i="100" s="1"/>
  <c r="P492" i="100"/>
  <c r="Q492" i="100" s="1"/>
  <c r="P470" i="100"/>
  <c r="Q470" i="100" s="1"/>
  <c r="P421" i="100"/>
  <c r="Q421" i="100" s="1"/>
  <c r="P460" i="100"/>
  <c r="Q460" i="100" s="1"/>
  <c r="P435" i="100"/>
  <c r="Q435" i="100" s="1"/>
  <c r="P481" i="100"/>
  <c r="Q481" i="100" s="1"/>
  <c r="P431" i="100"/>
  <c r="Q431" i="100" s="1"/>
  <c r="P25" i="100"/>
  <c r="Q25" i="100" s="1"/>
  <c r="P38" i="100"/>
  <c r="Q38" i="100" s="1"/>
  <c r="P281" i="100"/>
  <c r="Q281" i="100" s="1"/>
  <c r="P146" i="100"/>
  <c r="Q146" i="100" s="1"/>
  <c r="P46" i="100"/>
  <c r="Q46" i="100" s="1"/>
  <c r="P215" i="100"/>
  <c r="Q215" i="100" s="1"/>
  <c r="P109" i="100"/>
  <c r="Q109" i="100" s="1"/>
  <c r="P276" i="100"/>
  <c r="Q276" i="100" s="1"/>
  <c r="P247" i="100"/>
  <c r="Q247" i="100" s="1"/>
  <c r="P254" i="100"/>
  <c r="Q254" i="100" s="1"/>
  <c r="P261" i="100"/>
  <c r="Q261" i="100" s="1"/>
  <c r="P461" i="100"/>
  <c r="Q461" i="100" s="1"/>
  <c r="P328" i="100"/>
  <c r="Q328" i="100" s="1"/>
  <c r="P478" i="100"/>
  <c r="Q478" i="100" s="1"/>
  <c r="P389" i="100"/>
  <c r="Q389" i="100" s="1"/>
  <c r="P482" i="100"/>
  <c r="Q482" i="100" s="1"/>
  <c r="P375" i="100"/>
  <c r="Q375" i="100" s="1"/>
  <c r="P289" i="100"/>
  <c r="Q289" i="100" s="1"/>
  <c r="P243" i="100"/>
  <c r="Q243" i="100" s="1"/>
  <c r="P24" i="100"/>
  <c r="Q24" i="100" s="1"/>
  <c r="P26" i="100"/>
  <c r="Q26" i="100" s="1"/>
  <c r="P144" i="100"/>
  <c r="Q144" i="100" s="1"/>
  <c r="P45" i="100"/>
  <c r="Q45" i="100" s="1"/>
  <c r="P50" i="100"/>
  <c r="Q50" i="100" s="1"/>
  <c r="P271" i="100"/>
  <c r="Q271" i="100" s="1"/>
  <c r="P119" i="100"/>
  <c r="Q119" i="100" s="1"/>
  <c r="P113" i="100"/>
  <c r="Q113" i="100" s="1"/>
  <c r="P489" i="100"/>
  <c r="Q489" i="100" s="1"/>
  <c r="P332" i="100"/>
  <c r="Q332" i="100" s="1"/>
  <c r="P383" i="100"/>
  <c r="Q383" i="100" s="1"/>
  <c r="P323" i="100"/>
  <c r="Q323" i="100" s="1"/>
  <c r="P433" i="100"/>
  <c r="Q433" i="100" s="1"/>
  <c r="P430" i="100"/>
  <c r="Q430" i="100" s="1"/>
  <c r="P494" i="100"/>
  <c r="Q494" i="100" s="1"/>
  <c r="P223" i="100"/>
  <c r="Q223" i="100" s="1"/>
  <c r="P250" i="100"/>
  <c r="Q250" i="100" s="1"/>
  <c r="P150" i="100"/>
  <c r="Q150" i="100" s="1"/>
  <c r="P92" i="100"/>
  <c r="Q92" i="100" s="1"/>
  <c r="P53" i="100"/>
  <c r="Q53" i="100" s="1"/>
  <c r="P123" i="100"/>
  <c r="Q123" i="100" s="1"/>
  <c r="P248" i="100"/>
  <c r="Q248" i="100" s="1"/>
  <c r="P141" i="100"/>
  <c r="Q141" i="100" s="1"/>
  <c r="P325" i="100"/>
  <c r="Q325" i="100" s="1"/>
  <c r="P291" i="100"/>
  <c r="Q291" i="100" s="1"/>
  <c r="P286" i="100"/>
  <c r="Q286" i="100" s="1"/>
  <c r="P348" i="100"/>
  <c r="Q348" i="100" s="1"/>
  <c r="P477" i="100"/>
  <c r="Q477" i="100" s="1"/>
  <c r="P335" i="100"/>
  <c r="Q335" i="100" s="1"/>
  <c r="P446" i="100"/>
  <c r="Q446" i="100" s="1"/>
  <c r="P474" i="100"/>
  <c r="Q474" i="100" s="1"/>
  <c r="P454" i="100"/>
  <c r="Q454" i="100" s="1"/>
  <c r="P425" i="100"/>
  <c r="Q425" i="100" s="1"/>
  <c r="P439" i="100"/>
  <c r="Q439" i="100" s="1"/>
  <c r="P293" i="100"/>
  <c r="Q293" i="100" s="1"/>
  <c r="P360" i="100"/>
  <c r="Q360" i="100" s="1"/>
  <c r="P343" i="100"/>
  <c r="Q343" i="100" s="1"/>
  <c r="P322" i="100"/>
  <c r="Q322" i="100" s="1"/>
  <c r="P423" i="100"/>
  <c r="Q423" i="100" s="1"/>
  <c r="P140" i="100"/>
  <c r="Q140" i="100" s="1"/>
  <c r="P205" i="100"/>
  <c r="Q205" i="100" s="1"/>
  <c r="P130" i="100"/>
  <c r="Q130" i="100" s="1"/>
  <c r="P88" i="100"/>
  <c r="Q88" i="100" s="1"/>
  <c r="P136" i="100"/>
  <c r="Q136" i="100" s="1"/>
  <c r="P151" i="100"/>
  <c r="Q151" i="100" s="1"/>
  <c r="P145" i="100"/>
  <c r="Q145" i="100" s="1"/>
  <c r="P321" i="100"/>
  <c r="Q321" i="100" s="1"/>
  <c r="P429" i="100"/>
  <c r="Q429" i="100" s="1"/>
  <c r="P405" i="100"/>
  <c r="Q405" i="100" s="1"/>
  <c r="P54" i="100"/>
  <c r="Q54" i="100" s="1"/>
  <c r="P156" i="100"/>
  <c r="Q156" i="100" s="1"/>
  <c r="P74" i="100"/>
  <c r="Q74" i="100" s="1"/>
  <c r="P43" i="100"/>
  <c r="Q43" i="100" s="1"/>
  <c r="P94" i="100"/>
  <c r="Q94" i="100" s="1"/>
  <c r="P82" i="100"/>
  <c r="Q82" i="100" s="1"/>
  <c r="P182" i="100"/>
  <c r="Q182" i="100" s="1"/>
  <c r="P116" i="100"/>
  <c r="Q116" i="100" s="1"/>
  <c r="P155" i="100"/>
  <c r="Q155" i="100" s="1"/>
  <c r="P236" i="100"/>
  <c r="Q236" i="100" s="1"/>
  <c r="P194" i="100"/>
  <c r="Q194" i="100" s="1"/>
  <c r="P365" i="100"/>
  <c r="Q365" i="100" s="1"/>
  <c r="P364" i="100"/>
  <c r="Q364" i="100" s="1"/>
  <c r="P359" i="100"/>
  <c r="Q359" i="100" s="1"/>
  <c r="P410" i="100"/>
  <c r="Q410" i="100" s="1"/>
  <c r="P326" i="100"/>
  <c r="Q326" i="100" s="1"/>
  <c r="P498" i="100"/>
  <c r="Q498" i="100" s="1"/>
  <c r="P450" i="100"/>
  <c r="Q450" i="100" s="1"/>
  <c r="P354" i="100"/>
  <c r="Q354" i="100" s="1"/>
  <c r="P502" i="100"/>
  <c r="Q502" i="100" s="1"/>
  <c r="P473" i="100"/>
  <c r="Q473" i="100" s="1"/>
  <c r="P42" i="100"/>
  <c r="Q42" i="100" s="1"/>
  <c r="P57" i="100"/>
  <c r="Q57" i="100" s="1"/>
  <c r="P77" i="100"/>
  <c r="Q77" i="100" s="1"/>
  <c r="P85" i="100"/>
  <c r="Q85" i="100" s="1"/>
  <c r="P67" i="100"/>
  <c r="Q67" i="100" s="1"/>
  <c r="P122" i="100"/>
  <c r="Q122" i="100" s="1"/>
  <c r="P171" i="100"/>
  <c r="Q171" i="100" s="1"/>
  <c r="P195" i="100"/>
  <c r="Q195" i="100" s="1"/>
  <c r="P220" i="100"/>
  <c r="Q220" i="100" s="1"/>
  <c r="P379" i="100"/>
  <c r="Q379" i="100" s="1"/>
  <c r="P381" i="100"/>
  <c r="Q381" i="100" s="1"/>
  <c r="P399" i="100"/>
  <c r="Q399" i="100" s="1"/>
  <c r="P342" i="100"/>
  <c r="Q342" i="100" s="1"/>
  <c r="P466" i="100"/>
  <c r="Q466" i="100" s="1"/>
  <c r="P152" i="100"/>
  <c r="Q152" i="100" s="1"/>
  <c r="P70" i="100"/>
  <c r="Q70" i="100" s="1"/>
  <c r="P174" i="100"/>
  <c r="Q174" i="100" s="1"/>
  <c r="P297" i="100"/>
  <c r="Q297" i="100" s="1"/>
  <c r="P213" i="100"/>
  <c r="Q213" i="100" s="1"/>
  <c r="P441" i="100"/>
  <c r="Q441" i="100" s="1"/>
  <c r="P13" i="100"/>
  <c r="Q13" i="100" s="1"/>
  <c r="P183" i="100"/>
  <c r="Q183" i="100" s="1"/>
  <c r="P257" i="100"/>
  <c r="Q257" i="100" s="1"/>
  <c r="P358" i="100"/>
  <c r="Q358" i="100" s="1"/>
  <c r="P480" i="100"/>
  <c r="Q480" i="100" s="1"/>
  <c r="B1101" i="485" l="1"/>
  <c r="J1100" i="485"/>
  <c r="B1089" i="486"/>
  <c r="J1088" i="486"/>
  <c r="B1089" i="484"/>
  <c r="J1088" i="484"/>
  <c r="Q504" i="100"/>
  <c r="N38" i="150" s="1"/>
  <c r="J1089" i="484" l="1"/>
  <c r="B1090" i="484"/>
  <c r="J1089" i="486"/>
  <c r="B1090" i="486"/>
  <c r="B1102" i="485"/>
  <c r="J1101" i="485"/>
  <c r="A5" i="120"/>
  <c r="A6" i="120"/>
  <c r="A7" i="120"/>
  <c r="A8" i="120"/>
  <c r="A9" i="120"/>
  <c r="A10" i="120"/>
  <c r="A11" i="120"/>
  <c r="A12" i="120"/>
  <c r="A13" i="120"/>
  <c r="A14" i="120"/>
  <c r="A15" i="120"/>
  <c r="A16" i="120"/>
  <c r="A17" i="120"/>
  <c r="A18" i="120"/>
  <c r="A19" i="120"/>
  <c r="A20" i="120"/>
  <c r="A21" i="120"/>
  <c r="A22" i="120"/>
  <c r="A23" i="120"/>
  <c r="A24" i="120"/>
  <c r="A25" i="120"/>
  <c r="A26" i="120"/>
  <c r="A27" i="120"/>
  <c r="A28" i="120"/>
  <c r="A29" i="120"/>
  <c r="A30" i="120"/>
  <c r="A31" i="120"/>
  <c r="A32" i="120"/>
  <c r="A33" i="120"/>
  <c r="A34" i="120"/>
  <c r="A35" i="120"/>
  <c r="A36" i="120"/>
  <c r="A37" i="120"/>
  <c r="A38" i="120"/>
  <c r="A39" i="120"/>
  <c r="A40" i="120"/>
  <c r="A41" i="120"/>
  <c r="A42" i="120"/>
  <c r="A4" i="120"/>
  <c r="C67" i="61"/>
  <c r="D67" i="61"/>
  <c r="E67" i="61"/>
  <c r="F67" i="61"/>
  <c r="G67" i="61"/>
  <c r="J1090" i="486" l="1"/>
  <c r="B1091" i="486"/>
  <c r="B1103" i="485"/>
  <c r="J1102" i="485"/>
  <c r="B1091" i="484"/>
  <c r="J1090" i="484"/>
  <c r="Q67" i="97"/>
  <c r="Q69" i="97" s="1"/>
  <c r="D24" i="39" s="1"/>
  <c r="S24" i="39" s="1"/>
  <c r="V24" i="39" s="1"/>
  <c r="Y67" i="97"/>
  <c r="Y69" i="97" s="1"/>
  <c r="D32" i="39" s="1"/>
  <c r="S32" i="39" s="1"/>
  <c r="V32" i="39" s="1"/>
  <c r="AG67" i="97"/>
  <c r="AG69" i="97" s="1"/>
  <c r="D40" i="39" s="1"/>
  <c r="S40" i="39" s="1"/>
  <c r="V40" i="39" s="1"/>
  <c r="C67" i="97"/>
  <c r="C69" i="97" s="1"/>
  <c r="D10" i="39" s="1"/>
  <c r="S10" i="39" s="1"/>
  <c r="V10" i="39" s="1"/>
  <c r="K67" i="97"/>
  <c r="K69" i="97" s="1"/>
  <c r="D18" i="39" s="1"/>
  <c r="S18" i="39" s="1"/>
  <c r="V18" i="39" s="1"/>
  <c r="AE67" i="97"/>
  <c r="AE69" i="97" s="1"/>
  <c r="D38" i="39" s="1"/>
  <c r="S38" i="39" s="1"/>
  <c r="V38" i="39" s="1"/>
  <c r="R67" i="97"/>
  <c r="R69" i="97" s="1"/>
  <c r="D25" i="39" s="1"/>
  <c r="S25" i="39" s="1"/>
  <c r="V25" i="39" s="1"/>
  <c r="Z67" i="97"/>
  <c r="Z69" i="97" s="1"/>
  <c r="D33" i="39" s="1"/>
  <c r="S33" i="39" s="1"/>
  <c r="V33" i="39" s="1"/>
  <c r="AH67" i="97"/>
  <c r="AH69" i="97" s="1"/>
  <c r="D41" i="39" s="1"/>
  <c r="S41" i="39" s="1"/>
  <c r="V41" i="39" s="1"/>
  <c r="D67" i="97"/>
  <c r="D69" i="97" s="1"/>
  <c r="D11" i="39" s="1"/>
  <c r="S11" i="39" s="1"/>
  <c r="V11" i="39" s="1"/>
  <c r="S67" i="97"/>
  <c r="S69" i="97" s="1"/>
  <c r="D26" i="39" s="1"/>
  <c r="S26" i="39" s="1"/>
  <c r="V26" i="39" s="1"/>
  <c r="AA67" i="97"/>
  <c r="AA69" i="97" s="1"/>
  <c r="D34" i="39" s="1"/>
  <c r="S34" i="39" s="1"/>
  <c r="V34" i="39" s="1"/>
  <c r="AI67" i="97"/>
  <c r="AI69" i="97" s="1"/>
  <c r="D42" i="39" s="1"/>
  <c r="S42" i="39" s="1"/>
  <c r="V42" i="39" s="1"/>
  <c r="E67" i="97"/>
  <c r="E69" i="97" s="1"/>
  <c r="D12" i="39" s="1"/>
  <c r="S12" i="39" s="1"/>
  <c r="V12" i="39" s="1"/>
  <c r="O67" i="97"/>
  <c r="O69" i="97" s="1"/>
  <c r="D22" i="39" s="1"/>
  <c r="S22" i="39" s="1"/>
  <c r="V22" i="39" s="1"/>
  <c r="I67" i="97"/>
  <c r="I69" i="97" s="1"/>
  <c r="D16" i="39" s="1"/>
  <c r="S16" i="39" s="1"/>
  <c r="V16" i="39" s="1"/>
  <c r="X67" i="97"/>
  <c r="X69" i="97" s="1"/>
  <c r="D31" i="39" s="1"/>
  <c r="S31" i="39" s="1"/>
  <c r="V31" i="39" s="1"/>
  <c r="AN67" i="97"/>
  <c r="AN69" i="97" s="1"/>
  <c r="D47" i="39" s="1"/>
  <c r="S47" i="39" s="1"/>
  <c r="V47" i="39" s="1"/>
  <c r="J67" i="97"/>
  <c r="J69" i="97" s="1"/>
  <c r="D17" i="39" s="1"/>
  <c r="S17" i="39" s="1"/>
  <c r="V17" i="39" s="1"/>
  <c r="L67" i="97"/>
  <c r="L69" i="97" s="1"/>
  <c r="D19" i="39" s="1"/>
  <c r="S19" i="39" s="1"/>
  <c r="V19" i="39" s="1"/>
  <c r="T67" i="97"/>
  <c r="T69" i="97" s="1"/>
  <c r="D27" i="39" s="1"/>
  <c r="S27" i="39" s="1"/>
  <c r="V27" i="39" s="1"/>
  <c r="AB67" i="97"/>
  <c r="AB69" i="97" s="1"/>
  <c r="D35" i="39" s="1"/>
  <c r="S35" i="39" s="1"/>
  <c r="V35" i="39" s="1"/>
  <c r="AJ67" i="97"/>
  <c r="AJ69" i="97" s="1"/>
  <c r="D43" i="39" s="1"/>
  <c r="S43" i="39" s="1"/>
  <c r="V43" i="39" s="1"/>
  <c r="F67" i="97"/>
  <c r="F69" i="97" s="1"/>
  <c r="D13" i="39" s="1"/>
  <c r="S13" i="39" s="1"/>
  <c r="V13" i="39" s="1"/>
  <c r="AM67" i="97"/>
  <c r="AM69" i="97" s="1"/>
  <c r="D46" i="39" s="1"/>
  <c r="S46" i="39" s="1"/>
  <c r="V46" i="39" s="1"/>
  <c r="M67" i="97"/>
  <c r="M69" i="97" s="1"/>
  <c r="D20" i="39" s="1"/>
  <c r="S20" i="39" s="1"/>
  <c r="V20" i="39" s="1"/>
  <c r="U67" i="97"/>
  <c r="U69" i="97" s="1"/>
  <c r="D28" i="39" s="1"/>
  <c r="S28" i="39" s="1"/>
  <c r="V28" i="39" s="1"/>
  <c r="AC67" i="97"/>
  <c r="AC69" i="97" s="1"/>
  <c r="D36" i="39" s="1"/>
  <c r="S36" i="39" s="1"/>
  <c r="V36" i="39" s="1"/>
  <c r="AK67" i="97"/>
  <c r="AK69" i="97" s="1"/>
  <c r="D44" i="39" s="1"/>
  <c r="S44" i="39" s="1"/>
  <c r="V44" i="39" s="1"/>
  <c r="G67" i="97"/>
  <c r="G69" i="97" s="1"/>
  <c r="D14" i="39" s="1"/>
  <c r="S14" i="39" s="1"/>
  <c r="V14" i="39" s="1"/>
  <c r="N67" i="97"/>
  <c r="N69" i="97" s="1"/>
  <c r="D21" i="39" s="1"/>
  <c r="S21" i="39" s="1"/>
  <c r="V21" i="39" s="1"/>
  <c r="V67" i="97"/>
  <c r="V69" i="97" s="1"/>
  <c r="D29" i="39" s="1"/>
  <c r="S29" i="39" s="1"/>
  <c r="V29" i="39" s="1"/>
  <c r="AD67" i="97"/>
  <c r="AD69" i="97" s="1"/>
  <c r="D37" i="39" s="1"/>
  <c r="S37" i="39" s="1"/>
  <c r="V37" i="39" s="1"/>
  <c r="AL67" i="97"/>
  <c r="AL69" i="97" s="1"/>
  <c r="D45" i="39" s="1"/>
  <c r="S45" i="39" s="1"/>
  <c r="V45" i="39" s="1"/>
  <c r="H67" i="97"/>
  <c r="H69" i="97" s="1"/>
  <c r="D15" i="39" s="1"/>
  <c r="S15" i="39" s="1"/>
  <c r="V15" i="39" s="1"/>
  <c r="W67" i="97"/>
  <c r="W69" i="97" s="1"/>
  <c r="D30" i="39" s="1"/>
  <c r="S30" i="39" s="1"/>
  <c r="V30" i="39" s="1"/>
  <c r="P67" i="97"/>
  <c r="P69" i="97" s="1"/>
  <c r="D23" i="39" s="1"/>
  <c r="S23" i="39" s="1"/>
  <c r="V23" i="39" s="1"/>
  <c r="AF67" i="97"/>
  <c r="AF69" i="97" s="1"/>
  <c r="D39" i="39" s="1"/>
  <c r="S39" i="39" s="1"/>
  <c r="V39" i="39" s="1"/>
  <c r="B1104" i="485" l="1"/>
  <c r="J1103" i="485"/>
  <c r="J1091" i="484"/>
  <c r="B1092" i="484"/>
  <c r="B1092" i="486"/>
  <c r="J1091" i="486"/>
  <c r="A1" i="413"/>
  <c r="I26" i="482"/>
  <c r="H26" i="482"/>
  <c r="G26" i="482"/>
  <c r="F26" i="482"/>
  <c r="E26" i="482"/>
  <c r="D26" i="482"/>
  <c r="K23" i="482"/>
  <c r="O10" i="482" s="1"/>
  <c r="K19" i="482"/>
  <c r="G14" i="482"/>
  <c r="I13" i="482"/>
  <c r="I14" i="482" s="1"/>
  <c r="H13" i="482"/>
  <c r="H14" i="482" s="1"/>
  <c r="G13" i="482"/>
  <c r="F13" i="482"/>
  <c r="F14" i="482" s="1"/>
  <c r="E13" i="482"/>
  <c r="E14" i="482" s="1"/>
  <c r="D13" i="482"/>
  <c r="D14" i="482" s="1"/>
  <c r="I6" i="482"/>
  <c r="I7" i="482" s="1"/>
  <c r="H6" i="482"/>
  <c r="H7" i="482" s="1"/>
  <c r="G6" i="482"/>
  <c r="G7" i="482" s="1"/>
  <c r="G16" i="482" s="1"/>
  <c r="F6" i="482"/>
  <c r="F7" i="482" s="1"/>
  <c r="F16" i="482" s="1"/>
  <c r="E6" i="482"/>
  <c r="E7" i="482" s="1"/>
  <c r="D6" i="482"/>
  <c r="D7" i="482" s="1"/>
  <c r="D9" i="482" s="1"/>
  <c r="B25" i="420"/>
  <c r="B26" i="420" s="1"/>
  <c r="B27" i="420" s="1"/>
  <c r="B28" i="420" s="1"/>
  <c r="B29" i="420" s="1"/>
  <c r="B30" i="420" s="1"/>
  <c r="B31" i="420" s="1"/>
  <c r="B32" i="420" s="1"/>
  <c r="B33" i="420" s="1"/>
  <c r="B34" i="420" s="1"/>
  <c r="S13" i="420"/>
  <c r="U12" i="420"/>
  <c r="S12" i="420"/>
  <c r="M13" i="420"/>
  <c r="O13" i="420" s="1"/>
  <c r="E14" i="420"/>
  <c r="S14" i="420" s="1"/>
  <c r="E13" i="420"/>
  <c r="E12" i="420"/>
  <c r="B1093" i="486" l="1"/>
  <c r="J1092" i="486"/>
  <c r="J1092" i="484"/>
  <c r="B1093" i="484"/>
  <c r="B1105" i="485"/>
  <c r="J1104" i="485"/>
  <c r="I9" i="482"/>
  <c r="I16" i="482"/>
  <c r="I23" i="482" s="1"/>
  <c r="O6" i="482" s="1"/>
  <c r="H9" i="482"/>
  <c r="H16" i="482"/>
  <c r="E9" i="482"/>
  <c r="E16" i="482"/>
  <c r="F9" i="482"/>
  <c r="F23" i="482" s="1"/>
  <c r="O8" i="482" s="1"/>
  <c r="G9" i="482"/>
  <c r="G23" i="482" s="1"/>
  <c r="O5" i="482" s="1"/>
  <c r="D16" i="482"/>
  <c r="D23" i="482" s="1"/>
  <c r="O9" i="482" s="1"/>
  <c r="U13" i="420"/>
  <c r="Q13" i="420"/>
  <c r="W13" i="420" s="1"/>
  <c r="M14" i="420"/>
  <c r="O14" i="420" s="1"/>
  <c r="Q14" i="420" s="1"/>
  <c r="W14" i="420" s="1"/>
  <c r="S15" i="420"/>
  <c r="Q12" i="420"/>
  <c r="Q15" i="420" s="1"/>
  <c r="J1093" i="484" l="1"/>
  <c r="B1094" i="484"/>
  <c r="B1106" i="485"/>
  <c r="J1105" i="485"/>
  <c r="B1094" i="486"/>
  <c r="J1093" i="486"/>
  <c r="H23" i="482"/>
  <c r="O4" i="482" s="1"/>
  <c r="E23" i="482"/>
  <c r="O7" i="482" s="1"/>
  <c r="U14" i="420"/>
  <c r="U15" i="420" s="1"/>
  <c r="W12" i="420"/>
  <c r="W15" i="420"/>
  <c r="B1107" i="485" l="1"/>
  <c r="J1106" i="485"/>
  <c r="B1095" i="486"/>
  <c r="J1094" i="486"/>
  <c r="J1094" i="484"/>
  <c r="B1095" i="484"/>
  <c r="O12" i="482"/>
  <c r="O14" i="482" s="1"/>
  <c r="O16" i="482" s="1"/>
  <c r="C60" i="39"/>
  <c r="C59" i="39"/>
  <c r="E31" i="36"/>
  <c r="E30" i="36"/>
  <c r="J1095" i="486" l="1"/>
  <c r="B1096" i="486"/>
  <c r="J1095" i="484"/>
  <c r="B1096" i="484"/>
  <c r="J1107" i="485"/>
  <c r="B1108" i="485"/>
  <c r="A41" i="118"/>
  <c r="C26" i="153"/>
  <c r="D26" i="153"/>
  <c r="E26" i="153"/>
  <c r="D25" i="101"/>
  <c r="J25" i="101" s="1"/>
  <c r="E25" i="101"/>
  <c r="K25" i="101" s="1"/>
  <c r="F25" i="101"/>
  <c r="L25" i="101" s="1"/>
  <c r="G25" i="101"/>
  <c r="H25" i="101"/>
  <c r="B1109" i="485" l="1"/>
  <c r="J1108" i="485"/>
  <c r="B1097" i="484"/>
  <c r="J1096" i="484"/>
  <c r="J1096" i="486"/>
  <c r="B1097" i="486"/>
  <c r="F26" i="153"/>
  <c r="G26" i="153" s="1"/>
  <c r="H26" i="153" s="1"/>
  <c r="M25" i="101"/>
  <c r="B1098" i="486" l="1"/>
  <c r="J1097" i="486"/>
  <c r="J1097" i="484"/>
  <c r="B1098" i="484"/>
  <c r="J1109" i="485"/>
  <c r="B1110" i="485"/>
  <c r="A3" i="480"/>
  <c r="A1" i="480"/>
  <c r="B1099" i="484" l="1"/>
  <c r="J1098" i="484"/>
  <c r="B1111" i="485"/>
  <c r="J1110" i="485"/>
  <c r="B1099" i="486"/>
  <c r="J1098" i="486"/>
  <c r="C32" i="10"/>
  <c r="H23" i="417"/>
  <c r="H22" i="417"/>
  <c r="H21" i="417"/>
  <c r="A3" i="31"/>
  <c r="C1" i="416"/>
  <c r="J1099" i="486" l="1"/>
  <c r="B1100" i="486"/>
  <c r="J1111" i="485"/>
  <c r="B1112" i="485"/>
  <c r="J1099" i="484"/>
  <c r="B1100" i="484"/>
  <c r="E11" i="10"/>
  <c r="F9" i="23" s="1"/>
  <c r="E7" i="10"/>
  <c r="O10" i="478"/>
  <c r="O11" i="478"/>
  <c r="O5" i="478"/>
  <c r="B1101" i="484" l="1"/>
  <c r="J1100" i="484"/>
  <c r="J1100" i="486"/>
  <c r="B1101" i="486"/>
  <c r="B1113" i="485"/>
  <c r="J1112" i="485"/>
  <c r="C41" i="363"/>
  <c r="J1113" i="485" l="1"/>
  <c r="B1114" i="485"/>
  <c r="B1102" i="486"/>
  <c r="J1101" i="486"/>
  <c r="J1101" i="484"/>
  <c r="B1102" i="484"/>
  <c r="C42" i="363"/>
  <c r="J1102" i="486" l="1"/>
  <c r="B1103" i="486"/>
  <c r="B1103" i="484"/>
  <c r="J1102" i="484"/>
  <c r="B1115" i="485"/>
  <c r="J1114" i="485"/>
  <c r="C42" i="358"/>
  <c r="C41" i="358"/>
  <c r="C41" i="361"/>
  <c r="C42" i="361"/>
  <c r="E60" i="358"/>
  <c r="J1103" i="486" l="1"/>
  <c r="B1104" i="486"/>
  <c r="J1115" i="485"/>
  <c r="B1116" i="485"/>
  <c r="J1103" i="484"/>
  <c r="B1104" i="484"/>
  <c r="C60" i="358"/>
  <c r="B1105" i="484" l="1"/>
  <c r="J1104" i="484"/>
  <c r="B1117" i="485"/>
  <c r="J1116" i="485"/>
  <c r="B1105" i="486"/>
  <c r="J1104" i="486"/>
  <c r="L47" i="417"/>
  <c r="L46" i="417"/>
  <c r="L45" i="417"/>
  <c r="J47" i="417"/>
  <c r="J46" i="417"/>
  <c r="J45" i="417"/>
  <c r="H47" i="417"/>
  <c r="H46" i="417"/>
  <c r="H45" i="417"/>
  <c r="F47" i="417"/>
  <c r="F46" i="417"/>
  <c r="F45" i="417"/>
  <c r="Q41" i="148"/>
  <c r="Q42" i="148"/>
  <c r="Q43" i="148"/>
  <c r="Q44" i="148"/>
  <c r="Q45" i="148"/>
  <c r="Q46" i="148"/>
  <c r="Q47" i="148"/>
  <c r="Q48" i="148"/>
  <c r="Q49" i="148"/>
  <c r="Q50" i="148"/>
  <c r="Q51" i="148"/>
  <c r="Q52" i="148"/>
  <c r="Q53" i="148"/>
  <c r="Q54" i="148"/>
  <c r="Q55" i="148"/>
  <c r="Q56" i="148"/>
  <c r="Q57" i="148"/>
  <c r="Q58" i="148"/>
  <c r="Q59" i="148"/>
  <c r="Q60" i="148"/>
  <c r="Q61" i="148"/>
  <c r="Q62" i="148"/>
  <c r="Q63" i="148"/>
  <c r="Q64" i="148"/>
  <c r="Q65" i="148"/>
  <c r="Q66" i="148"/>
  <c r="Q67" i="148"/>
  <c r="Q68" i="148"/>
  <c r="Q69" i="148"/>
  <c r="Q70" i="148"/>
  <c r="Q71" i="148"/>
  <c r="Q72" i="148"/>
  <c r="Q73" i="148"/>
  <c r="Q74" i="148"/>
  <c r="Q75" i="148"/>
  <c r="Q76" i="148"/>
  <c r="Q77" i="148"/>
  <c r="Q78" i="148"/>
  <c r="Q79" i="148"/>
  <c r="Q80" i="148"/>
  <c r="Q81" i="148"/>
  <c r="Q82" i="148"/>
  <c r="Q83" i="148"/>
  <c r="Q84" i="148"/>
  <c r="Q85" i="148"/>
  <c r="Q86" i="148"/>
  <c r="Q87" i="148"/>
  <c r="Q88" i="148"/>
  <c r="Q89" i="148"/>
  <c r="Q90" i="148"/>
  <c r="Q91" i="148"/>
  <c r="Q92" i="148"/>
  <c r="Q93" i="148"/>
  <c r="Q94" i="148"/>
  <c r="Q95" i="148"/>
  <c r="Q96" i="148"/>
  <c r="Q97" i="148"/>
  <c r="Q98" i="148"/>
  <c r="Q99" i="148"/>
  <c r="Q100" i="148"/>
  <c r="Q101" i="148"/>
  <c r="Q102" i="148"/>
  <c r="Q103" i="148"/>
  <c r="Q104" i="148"/>
  <c r="Q105" i="148"/>
  <c r="Q106" i="148"/>
  <c r="Q107" i="148"/>
  <c r="Q108" i="148"/>
  <c r="Q109" i="148"/>
  <c r="Q110" i="148"/>
  <c r="Q111" i="148"/>
  <c r="Q112" i="148"/>
  <c r="Q113" i="148"/>
  <c r="Q114" i="148"/>
  <c r="Q115" i="148"/>
  <c r="Q116" i="148"/>
  <c r="Q117" i="148"/>
  <c r="Q118" i="148"/>
  <c r="Q119" i="148"/>
  <c r="Q120" i="148"/>
  <c r="Q121" i="148"/>
  <c r="Q122" i="148"/>
  <c r="Q123" i="148"/>
  <c r="Q124" i="148"/>
  <c r="Q125" i="148"/>
  <c r="Q126" i="148"/>
  <c r="Q127" i="148"/>
  <c r="Q128" i="148"/>
  <c r="Q129" i="148"/>
  <c r="Q130" i="148"/>
  <c r="Q131" i="148"/>
  <c r="Q132" i="148"/>
  <c r="Q133" i="148"/>
  <c r="Q134" i="148"/>
  <c r="Q135" i="148"/>
  <c r="Q136" i="148"/>
  <c r="Q137" i="148"/>
  <c r="Q138" i="148"/>
  <c r="Q139" i="148"/>
  <c r="Q140" i="148"/>
  <c r="Q141" i="148"/>
  <c r="Q142" i="148"/>
  <c r="Q143" i="148"/>
  <c r="Q144" i="148"/>
  <c r="Q145" i="148"/>
  <c r="Q146" i="148"/>
  <c r="Q147" i="148"/>
  <c r="Q148" i="148"/>
  <c r="Q149" i="148"/>
  <c r="Q150" i="148"/>
  <c r="Q151" i="148"/>
  <c r="Q152" i="148"/>
  <c r="Q153" i="148"/>
  <c r="Q154" i="148"/>
  <c r="Q155" i="148"/>
  <c r="Q156" i="148"/>
  <c r="Q157" i="148"/>
  <c r="Q158" i="148"/>
  <c r="Q159" i="148"/>
  <c r="Q160" i="148"/>
  <c r="Q161" i="148"/>
  <c r="Q162" i="148"/>
  <c r="Q163" i="148"/>
  <c r="Q164" i="148"/>
  <c r="Q165" i="148"/>
  <c r="Q166" i="148"/>
  <c r="Q167" i="148"/>
  <c r="Q168" i="148"/>
  <c r="Q169" i="148"/>
  <c r="Q170" i="148"/>
  <c r="Q171" i="148"/>
  <c r="Q172" i="148"/>
  <c r="Q173" i="148"/>
  <c r="Q174" i="148"/>
  <c r="Q175" i="148"/>
  <c r="Q176" i="148"/>
  <c r="Q177" i="148"/>
  <c r="Q178" i="148"/>
  <c r="Q179" i="148"/>
  <c r="Q180" i="148"/>
  <c r="Q181" i="148"/>
  <c r="Q182" i="148"/>
  <c r="Q183" i="148"/>
  <c r="Q184" i="148"/>
  <c r="Q185" i="148"/>
  <c r="Q186" i="148"/>
  <c r="Q187" i="148"/>
  <c r="Q188" i="148"/>
  <c r="Q189" i="148"/>
  <c r="Q190" i="148"/>
  <c r="Q191" i="148"/>
  <c r="Q192" i="148"/>
  <c r="Q193" i="148"/>
  <c r="Q194" i="148"/>
  <c r="Q195" i="148"/>
  <c r="Q196" i="148"/>
  <c r="Q197" i="148"/>
  <c r="Q198" i="148"/>
  <c r="Q199" i="148"/>
  <c r="Q200" i="148"/>
  <c r="Q201" i="148"/>
  <c r="Q202" i="148"/>
  <c r="Q203" i="148"/>
  <c r="Q204" i="148"/>
  <c r="Q205" i="148"/>
  <c r="Q206" i="148"/>
  <c r="Q207" i="148"/>
  <c r="Q208" i="148"/>
  <c r="Q209" i="148"/>
  <c r="Q210" i="148"/>
  <c r="Q211" i="148"/>
  <c r="Q212" i="148"/>
  <c r="Q213" i="148"/>
  <c r="Q214" i="148"/>
  <c r="Q215" i="148"/>
  <c r="Q216" i="148"/>
  <c r="Q217" i="148"/>
  <c r="Q218" i="148"/>
  <c r="Q219" i="148"/>
  <c r="Q220" i="148"/>
  <c r="Q221" i="148"/>
  <c r="Q222" i="148"/>
  <c r="Q223" i="148"/>
  <c r="Q224" i="148"/>
  <c r="Q225" i="148"/>
  <c r="Q226" i="148"/>
  <c r="Q227" i="148"/>
  <c r="Q228" i="148"/>
  <c r="Q229" i="148"/>
  <c r="Q230" i="148"/>
  <c r="Q231" i="148"/>
  <c r="Q232" i="148"/>
  <c r="Q233" i="148"/>
  <c r="Q234" i="148"/>
  <c r="Q235" i="148"/>
  <c r="Q236" i="148"/>
  <c r="Q237" i="148"/>
  <c r="Q238" i="148"/>
  <c r="Q239" i="148"/>
  <c r="Q240" i="148"/>
  <c r="Q241" i="148"/>
  <c r="Q242" i="148"/>
  <c r="Q243" i="148"/>
  <c r="Q244" i="148"/>
  <c r="Q245" i="148"/>
  <c r="Q246" i="148"/>
  <c r="Q247" i="148"/>
  <c r="Q248" i="148"/>
  <c r="Q249" i="148"/>
  <c r="Q250" i="148"/>
  <c r="Q251" i="148"/>
  <c r="Q252" i="148"/>
  <c r="Q253" i="148"/>
  <c r="Q254" i="148"/>
  <c r="Q255" i="148"/>
  <c r="Q256" i="148"/>
  <c r="Q257" i="148"/>
  <c r="Q258" i="148"/>
  <c r="Q259" i="148"/>
  <c r="Q260" i="148"/>
  <c r="Q261" i="148"/>
  <c r="Q262" i="148"/>
  <c r="Q263" i="148"/>
  <c r="Q264" i="148"/>
  <c r="Q265" i="148"/>
  <c r="Q266" i="148"/>
  <c r="Q267" i="148"/>
  <c r="Q268" i="148"/>
  <c r="Q269" i="148"/>
  <c r="Q270" i="148"/>
  <c r="Q271" i="148"/>
  <c r="Q272" i="148"/>
  <c r="Q273" i="148"/>
  <c r="Q274" i="148"/>
  <c r="Q275" i="148"/>
  <c r="Q276" i="148"/>
  <c r="Q277" i="148"/>
  <c r="Q278" i="148"/>
  <c r="Q279" i="148"/>
  <c r="Q280" i="148"/>
  <c r="Q281" i="148"/>
  <c r="Q282" i="148"/>
  <c r="Q283" i="148"/>
  <c r="Q284" i="148"/>
  <c r="Q285" i="148"/>
  <c r="Q286" i="148"/>
  <c r="Q287" i="148"/>
  <c r="Q288" i="148"/>
  <c r="Q289" i="148"/>
  <c r="Q290" i="148"/>
  <c r="Q291" i="148"/>
  <c r="Q292" i="148"/>
  <c r="Q293" i="148"/>
  <c r="Q294" i="148"/>
  <c r="Q295" i="148"/>
  <c r="Q296" i="148"/>
  <c r="Q297" i="148"/>
  <c r="Q298" i="148"/>
  <c r="Q299" i="148"/>
  <c r="Q300" i="148"/>
  <c r="Q301" i="148"/>
  <c r="Q302" i="148"/>
  <c r="Q303" i="148"/>
  <c r="Q304" i="148"/>
  <c r="Q305" i="148"/>
  <c r="Q306" i="148"/>
  <c r="Q307" i="148"/>
  <c r="Q308" i="148"/>
  <c r="Q309" i="148"/>
  <c r="Q310" i="148"/>
  <c r="Q311" i="148"/>
  <c r="Q312" i="148"/>
  <c r="Q313" i="148"/>
  <c r="Q314" i="148"/>
  <c r="Q315" i="148"/>
  <c r="Q316" i="148"/>
  <c r="Q317" i="148"/>
  <c r="Q318" i="148"/>
  <c r="Q319" i="148"/>
  <c r="Q320" i="148"/>
  <c r="Q321" i="148"/>
  <c r="Q322" i="148"/>
  <c r="Q323" i="148"/>
  <c r="Q324" i="148"/>
  <c r="Q325" i="148"/>
  <c r="Q326" i="148"/>
  <c r="Q327" i="148"/>
  <c r="Q328" i="148"/>
  <c r="Q329" i="148"/>
  <c r="Q330" i="148"/>
  <c r="Q331" i="148"/>
  <c r="Q332" i="148"/>
  <c r="Q333" i="148"/>
  <c r="Q334" i="148"/>
  <c r="Q335" i="148"/>
  <c r="Q336" i="148"/>
  <c r="Q337" i="148"/>
  <c r="Q338" i="148"/>
  <c r="Q339" i="148"/>
  <c r="Q340" i="148"/>
  <c r="Q341" i="148"/>
  <c r="Q342" i="148"/>
  <c r="Q343" i="148"/>
  <c r="Q344" i="148"/>
  <c r="Q345" i="148"/>
  <c r="Q346" i="148"/>
  <c r="Q347" i="148"/>
  <c r="Q348" i="148"/>
  <c r="Q349" i="148"/>
  <c r="Q350" i="148"/>
  <c r="Q351" i="148"/>
  <c r="Q352" i="148"/>
  <c r="Q353" i="148"/>
  <c r="Q354" i="148"/>
  <c r="Q355" i="148"/>
  <c r="Q356" i="148"/>
  <c r="Q357" i="148"/>
  <c r="Q358" i="148"/>
  <c r="Q359" i="148"/>
  <c r="Q360" i="148"/>
  <c r="Q361" i="148"/>
  <c r="Q362" i="148"/>
  <c r="Q363" i="148"/>
  <c r="Q364" i="148"/>
  <c r="Q365" i="148"/>
  <c r="Q366" i="148"/>
  <c r="Q367" i="148"/>
  <c r="Q368" i="148"/>
  <c r="Q369" i="148"/>
  <c r="Q370" i="148"/>
  <c r="Q371" i="148"/>
  <c r="Q372" i="148"/>
  <c r="Q373" i="148"/>
  <c r="Q374" i="148"/>
  <c r="Q375" i="148"/>
  <c r="Q376" i="148"/>
  <c r="Q377" i="148"/>
  <c r="Q378" i="148"/>
  <c r="Q379" i="148"/>
  <c r="Q380" i="148"/>
  <c r="Q381" i="148"/>
  <c r="Q382" i="148"/>
  <c r="Q383" i="148"/>
  <c r="Q384" i="148"/>
  <c r="Q385" i="148"/>
  <c r="Q386" i="148"/>
  <c r="Q387" i="148"/>
  <c r="Q388" i="148"/>
  <c r="Q389" i="148"/>
  <c r="Q390" i="148"/>
  <c r="Q391" i="148"/>
  <c r="Q392" i="148"/>
  <c r="Q393" i="148"/>
  <c r="Q394" i="148"/>
  <c r="Q395" i="148"/>
  <c r="Q396" i="148"/>
  <c r="Q397" i="148"/>
  <c r="Q398" i="148"/>
  <c r="Q399" i="148"/>
  <c r="Q400" i="148"/>
  <c r="Q401" i="148"/>
  <c r="Q402" i="148"/>
  <c r="Q403" i="148"/>
  <c r="Q404" i="148"/>
  <c r="Q405" i="148"/>
  <c r="Q406" i="148"/>
  <c r="Q407" i="148"/>
  <c r="Q408" i="148"/>
  <c r="Q409" i="148"/>
  <c r="Q410" i="148"/>
  <c r="Q411" i="148"/>
  <c r="Q412" i="148"/>
  <c r="Q413" i="148"/>
  <c r="Q414" i="148"/>
  <c r="Q415" i="148"/>
  <c r="Q416" i="148"/>
  <c r="Q417" i="148"/>
  <c r="Q418" i="148"/>
  <c r="Q419" i="148"/>
  <c r="Q420" i="148"/>
  <c r="Q421" i="148"/>
  <c r="Q422" i="148"/>
  <c r="Q423" i="148"/>
  <c r="Q424" i="148"/>
  <c r="Q425" i="148"/>
  <c r="Q426" i="148"/>
  <c r="Q427" i="148"/>
  <c r="Q428" i="148"/>
  <c r="Q429" i="148"/>
  <c r="Q430" i="148"/>
  <c r="Q431" i="148"/>
  <c r="Q432" i="148"/>
  <c r="Q433" i="148"/>
  <c r="Q434" i="148"/>
  <c r="Q435" i="148"/>
  <c r="Q436" i="148"/>
  <c r="Q437" i="148"/>
  <c r="Q438" i="148"/>
  <c r="Q439" i="148"/>
  <c r="Q440" i="148"/>
  <c r="Q441" i="148"/>
  <c r="Q442" i="148"/>
  <c r="Q443" i="148"/>
  <c r="Q444" i="148"/>
  <c r="Q445" i="148"/>
  <c r="Q446" i="148"/>
  <c r="Q447" i="148"/>
  <c r="Q448" i="148"/>
  <c r="Q449" i="148"/>
  <c r="Q450" i="148"/>
  <c r="Q451" i="148"/>
  <c r="Q452" i="148"/>
  <c r="Q453" i="148"/>
  <c r="Q454" i="148"/>
  <c r="Q455" i="148"/>
  <c r="Q456" i="148"/>
  <c r="Q457" i="148"/>
  <c r="Q458" i="148"/>
  <c r="Q459" i="148"/>
  <c r="Q460" i="148"/>
  <c r="Q461" i="148"/>
  <c r="Q462" i="148"/>
  <c r="Q463" i="148"/>
  <c r="Q464" i="148"/>
  <c r="Q465" i="148"/>
  <c r="Q466" i="148"/>
  <c r="Q467" i="148"/>
  <c r="Q468" i="148"/>
  <c r="Q469" i="148"/>
  <c r="Q470" i="148"/>
  <c r="Q471" i="148"/>
  <c r="Q472" i="148"/>
  <c r="Q473" i="148"/>
  <c r="Q474" i="148"/>
  <c r="Q475" i="148"/>
  <c r="Q476" i="148"/>
  <c r="Q477" i="148"/>
  <c r="Q478" i="148"/>
  <c r="Q479" i="148"/>
  <c r="Q480" i="148"/>
  <c r="Q481" i="148"/>
  <c r="Q482" i="148"/>
  <c r="Q483" i="148"/>
  <c r="Q484" i="148"/>
  <c r="Q485" i="148"/>
  <c r="Q486" i="148"/>
  <c r="Q487" i="148"/>
  <c r="Q488" i="148"/>
  <c r="Q489" i="148"/>
  <c r="Q490" i="148"/>
  <c r="Q491" i="148"/>
  <c r="Q492" i="148"/>
  <c r="Q493" i="148"/>
  <c r="Q494" i="148"/>
  <c r="Q495" i="148"/>
  <c r="Q496" i="148"/>
  <c r="Q497" i="148"/>
  <c r="Q498" i="148"/>
  <c r="Q499" i="148"/>
  <c r="Q500" i="148"/>
  <c r="Q501" i="148"/>
  <c r="Q502" i="148"/>
  <c r="Q503" i="148"/>
  <c r="Q504" i="148"/>
  <c r="Q505" i="148"/>
  <c r="Q506" i="148"/>
  <c r="Q507" i="148"/>
  <c r="Q508" i="148"/>
  <c r="Q509" i="148"/>
  <c r="Q510" i="148"/>
  <c r="Q511" i="148"/>
  <c r="Q512" i="148"/>
  <c r="Q513" i="148"/>
  <c r="Q514" i="148"/>
  <c r="Q515" i="148"/>
  <c r="Q516" i="148"/>
  <c r="Q517" i="148"/>
  <c r="Q518" i="148"/>
  <c r="Q519" i="148"/>
  <c r="Q520" i="148"/>
  <c r="Q521" i="148"/>
  <c r="Q522" i="148"/>
  <c r="Q523" i="148"/>
  <c r="Q524" i="148"/>
  <c r="Q525" i="148"/>
  <c r="Q526" i="148"/>
  <c r="Q527" i="148"/>
  <c r="Q528" i="148"/>
  <c r="Q529" i="148"/>
  <c r="Q530" i="148"/>
  <c r="Q531" i="148"/>
  <c r="Q532" i="148"/>
  <c r="Q533" i="148"/>
  <c r="Q534" i="148"/>
  <c r="Q535" i="148"/>
  <c r="Q536" i="148"/>
  <c r="Q537" i="148"/>
  <c r="Q538" i="148"/>
  <c r="Q539" i="148"/>
  <c r="Q540" i="148"/>
  <c r="Q541" i="148"/>
  <c r="Q542" i="148"/>
  <c r="Q543" i="148"/>
  <c r="Q544" i="148"/>
  <c r="Q545" i="148"/>
  <c r="Q546" i="148"/>
  <c r="Q547" i="148"/>
  <c r="Q548" i="148"/>
  <c r="Q549" i="148"/>
  <c r="Q550" i="148"/>
  <c r="Q551" i="148"/>
  <c r="Q552" i="148"/>
  <c r="Q553" i="148"/>
  <c r="Q554" i="148"/>
  <c r="Q555" i="148"/>
  <c r="Q556" i="148"/>
  <c r="Q557" i="148"/>
  <c r="Q558" i="148"/>
  <c r="Q559" i="148"/>
  <c r="Q560" i="148"/>
  <c r="Q561" i="148"/>
  <c r="Q562" i="148"/>
  <c r="Q563" i="148"/>
  <c r="Q564" i="148"/>
  <c r="Q565" i="148"/>
  <c r="Q566" i="148"/>
  <c r="Q567" i="148"/>
  <c r="Q568" i="148"/>
  <c r="Q569" i="148"/>
  <c r="Q570" i="148"/>
  <c r="Q571" i="148"/>
  <c r="Q572" i="148"/>
  <c r="Q573" i="148"/>
  <c r="Q574" i="148"/>
  <c r="Q575" i="148"/>
  <c r="Q576" i="148"/>
  <c r="Q577" i="148"/>
  <c r="Q578" i="148"/>
  <c r="Q579" i="148"/>
  <c r="Q580" i="148"/>
  <c r="Q581" i="148"/>
  <c r="Q582" i="148"/>
  <c r="Q583" i="148"/>
  <c r="Q584" i="148"/>
  <c r="Q585" i="148"/>
  <c r="Q586" i="148"/>
  <c r="Q587" i="148"/>
  <c r="Q588" i="148"/>
  <c r="Q589" i="148"/>
  <c r="Q590" i="148"/>
  <c r="Q591" i="148"/>
  <c r="Q592" i="148"/>
  <c r="Q593" i="148"/>
  <c r="Q594" i="148"/>
  <c r="Q595" i="148"/>
  <c r="Q596" i="148"/>
  <c r="Q597" i="148"/>
  <c r="Q598" i="148"/>
  <c r="Q599" i="148"/>
  <c r="Q600" i="148"/>
  <c r="Q601" i="148"/>
  <c r="Q602" i="148"/>
  <c r="Q603" i="148"/>
  <c r="Q604" i="148"/>
  <c r="Q605" i="148"/>
  <c r="Q606" i="148"/>
  <c r="Q607" i="148"/>
  <c r="Q608" i="148"/>
  <c r="Q609" i="148"/>
  <c r="Q610" i="148"/>
  <c r="Q611" i="148"/>
  <c r="Q612" i="148"/>
  <c r="Q613" i="148"/>
  <c r="Q614" i="148"/>
  <c r="Q615" i="148"/>
  <c r="Q616" i="148"/>
  <c r="Q617" i="148"/>
  <c r="Q618" i="148"/>
  <c r="Q619" i="148"/>
  <c r="Q620" i="148"/>
  <c r="Q621" i="148"/>
  <c r="Q622" i="148"/>
  <c r="Q623" i="148"/>
  <c r="Q624" i="148"/>
  <c r="Q625" i="148"/>
  <c r="Q626" i="148"/>
  <c r="Q627" i="148"/>
  <c r="Q628" i="148"/>
  <c r="Q629" i="148"/>
  <c r="Q630" i="148"/>
  <c r="Q631" i="148"/>
  <c r="Q632" i="148"/>
  <c r="Q633" i="148"/>
  <c r="Q634" i="148"/>
  <c r="Q635" i="148"/>
  <c r="Q636" i="148"/>
  <c r="Q637" i="148"/>
  <c r="Q638" i="148"/>
  <c r="Q639" i="148"/>
  <c r="Q640" i="148"/>
  <c r="Q641" i="148"/>
  <c r="Q642" i="148"/>
  <c r="Q643" i="148"/>
  <c r="Q644" i="148"/>
  <c r="Q645" i="148"/>
  <c r="Q646" i="148"/>
  <c r="Q647" i="148"/>
  <c r="Q648" i="148"/>
  <c r="Q649" i="148"/>
  <c r="Q650" i="148"/>
  <c r="Q651" i="148"/>
  <c r="Q652" i="148"/>
  <c r="Q653" i="148"/>
  <c r="Q654" i="148"/>
  <c r="Q655" i="148"/>
  <c r="Q656" i="148"/>
  <c r="Q657" i="148"/>
  <c r="Q658" i="148"/>
  <c r="Q659" i="148"/>
  <c r="Q660" i="148"/>
  <c r="Q661" i="148"/>
  <c r="Q662" i="148"/>
  <c r="Q663" i="148"/>
  <c r="Q664" i="148"/>
  <c r="Q665" i="148"/>
  <c r="Q666" i="148"/>
  <c r="Q667" i="148"/>
  <c r="Q668" i="148"/>
  <c r="Q669" i="148"/>
  <c r="Q670" i="148"/>
  <c r="Q671" i="148"/>
  <c r="Q672" i="148"/>
  <c r="Q673" i="148"/>
  <c r="Q674" i="148"/>
  <c r="Q675" i="148"/>
  <c r="Q676" i="148"/>
  <c r="Q677" i="148"/>
  <c r="Q678" i="148"/>
  <c r="Q679" i="148"/>
  <c r="Q680" i="148"/>
  <c r="Q681" i="148"/>
  <c r="Q682" i="148"/>
  <c r="Q683" i="148"/>
  <c r="Q684" i="148"/>
  <c r="Q685" i="148"/>
  <c r="Q686" i="148"/>
  <c r="Q687" i="148"/>
  <c r="Q688" i="148"/>
  <c r="Q689" i="148"/>
  <c r="Q690" i="148"/>
  <c r="Q691" i="148"/>
  <c r="Q692" i="148"/>
  <c r="Q693" i="148"/>
  <c r="Q694" i="148"/>
  <c r="Q695" i="148"/>
  <c r="Q696" i="148"/>
  <c r="Q697" i="148"/>
  <c r="Q698" i="148"/>
  <c r="Q699" i="148"/>
  <c r="Q700" i="148"/>
  <c r="Q701" i="148"/>
  <c r="Q702" i="148"/>
  <c r="Q703" i="148"/>
  <c r="Q704" i="148"/>
  <c r="Q705" i="148"/>
  <c r="Q706" i="148"/>
  <c r="Q707" i="148"/>
  <c r="Q708" i="148"/>
  <c r="Q709" i="148"/>
  <c r="Q710" i="148"/>
  <c r="Q711" i="148"/>
  <c r="Q712" i="148"/>
  <c r="Q713" i="148"/>
  <c r="Q714" i="148"/>
  <c r="Q715" i="148"/>
  <c r="Q716" i="148"/>
  <c r="Q717" i="148"/>
  <c r="Q718" i="148"/>
  <c r="Q719" i="148"/>
  <c r="Q720" i="148"/>
  <c r="Q721" i="148"/>
  <c r="Q722" i="148"/>
  <c r="Q723" i="148"/>
  <c r="Q724" i="148"/>
  <c r="Q725" i="148"/>
  <c r="Q726" i="148"/>
  <c r="Q727" i="148"/>
  <c r="Q728" i="148"/>
  <c r="Q729" i="148"/>
  <c r="Q730" i="148"/>
  <c r="Q731" i="148"/>
  <c r="Q732" i="148"/>
  <c r="Q733" i="148"/>
  <c r="Q734" i="148"/>
  <c r="Q735" i="148"/>
  <c r="Q736" i="148"/>
  <c r="Q737" i="148"/>
  <c r="Q738" i="148"/>
  <c r="Q739" i="148"/>
  <c r="Q740" i="148"/>
  <c r="Q741" i="148"/>
  <c r="Q742" i="148"/>
  <c r="Q743" i="148"/>
  <c r="Q744" i="148"/>
  <c r="Q745" i="148"/>
  <c r="Q746" i="148"/>
  <c r="Q747" i="148"/>
  <c r="Q748" i="148"/>
  <c r="Q749" i="148"/>
  <c r="Q750" i="148"/>
  <c r="Q751" i="148"/>
  <c r="Q752" i="148"/>
  <c r="Q753" i="148"/>
  <c r="Q754" i="148"/>
  <c r="Q755" i="148"/>
  <c r="Q756" i="148"/>
  <c r="Q757" i="148"/>
  <c r="Q758" i="148"/>
  <c r="Q759" i="148"/>
  <c r="Q760" i="148"/>
  <c r="Q761" i="148"/>
  <c r="Q762" i="148"/>
  <c r="Q763" i="148"/>
  <c r="Q764" i="148"/>
  <c r="Q765" i="148"/>
  <c r="Q766" i="148"/>
  <c r="Q767" i="148"/>
  <c r="Q768" i="148"/>
  <c r="Q769" i="148"/>
  <c r="Q770" i="148"/>
  <c r="Q771" i="148"/>
  <c r="Q772" i="148"/>
  <c r="Q773" i="148"/>
  <c r="Q774" i="148"/>
  <c r="Q775" i="148"/>
  <c r="Q776" i="148"/>
  <c r="Q777" i="148"/>
  <c r="Q778" i="148"/>
  <c r="Q779" i="148"/>
  <c r="Q780" i="148"/>
  <c r="Q781" i="148"/>
  <c r="Q782" i="148"/>
  <c r="Q783" i="148"/>
  <c r="Q784" i="148"/>
  <c r="Q785" i="148"/>
  <c r="Q786" i="148"/>
  <c r="Q787" i="148"/>
  <c r="Q788" i="148"/>
  <c r="Q789" i="148"/>
  <c r="Q790" i="148"/>
  <c r="Q791" i="148"/>
  <c r="Q792" i="148"/>
  <c r="Q793" i="148"/>
  <c r="Q794" i="148"/>
  <c r="Q795" i="148"/>
  <c r="Q796" i="148"/>
  <c r="Q797" i="148"/>
  <c r="Q798" i="148"/>
  <c r="Q799" i="148"/>
  <c r="Q800" i="148"/>
  <c r="Q801" i="148"/>
  <c r="Q802" i="148"/>
  <c r="Q803" i="148"/>
  <c r="Q804" i="148"/>
  <c r="Q805" i="148"/>
  <c r="Q806" i="148"/>
  <c r="Q807" i="148"/>
  <c r="Q808" i="148"/>
  <c r="Q809" i="148"/>
  <c r="Q810" i="148"/>
  <c r="Q811" i="148"/>
  <c r="Q812" i="148"/>
  <c r="Q813" i="148"/>
  <c r="Q814" i="148"/>
  <c r="Q815" i="148"/>
  <c r="Q816" i="148"/>
  <c r="Q817" i="148"/>
  <c r="Q818" i="148"/>
  <c r="Q819" i="148"/>
  <c r="Q820" i="148"/>
  <c r="Q821" i="148"/>
  <c r="Q822" i="148"/>
  <c r="Q823" i="148"/>
  <c r="Q824" i="148"/>
  <c r="Q825" i="148"/>
  <c r="Q826" i="148"/>
  <c r="Q827" i="148"/>
  <c r="Q828" i="148"/>
  <c r="Q829" i="148"/>
  <c r="Q830" i="148"/>
  <c r="Q831" i="148"/>
  <c r="Q832" i="148"/>
  <c r="Q833" i="148"/>
  <c r="Q834" i="148"/>
  <c r="Q835" i="148"/>
  <c r="Q836" i="148"/>
  <c r="Q837" i="148"/>
  <c r="Q838" i="148"/>
  <c r="Q839" i="148"/>
  <c r="Q840" i="148"/>
  <c r="Q841" i="148"/>
  <c r="Q842" i="148"/>
  <c r="Q843" i="148"/>
  <c r="Q844" i="148"/>
  <c r="Q845" i="148"/>
  <c r="Q846" i="148"/>
  <c r="Q847" i="148"/>
  <c r="Q848" i="148"/>
  <c r="Q849" i="148"/>
  <c r="Q850" i="148"/>
  <c r="Q851" i="148"/>
  <c r="Q852" i="148"/>
  <c r="Q853" i="148"/>
  <c r="Q854" i="148"/>
  <c r="Q855" i="148"/>
  <c r="Q856" i="148"/>
  <c r="Q857" i="148"/>
  <c r="Q858" i="148"/>
  <c r="Q859" i="148"/>
  <c r="Q860" i="148"/>
  <c r="Q861" i="148"/>
  <c r="Q862" i="148"/>
  <c r="Q863" i="148"/>
  <c r="Q864" i="148"/>
  <c r="Q865" i="148"/>
  <c r="Q866" i="148"/>
  <c r="Q867" i="148"/>
  <c r="Q868" i="148"/>
  <c r="Q869" i="148"/>
  <c r="Q870" i="148"/>
  <c r="Q871" i="148"/>
  <c r="Q872" i="148"/>
  <c r="Q873" i="148"/>
  <c r="Q874" i="148"/>
  <c r="Q875" i="148"/>
  <c r="Q876" i="148"/>
  <c r="Q877" i="148"/>
  <c r="Q878" i="148"/>
  <c r="Q879" i="148"/>
  <c r="Q880" i="148"/>
  <c r="Q881" i="148"/>
  <c r="Q882" i="148"/>
  <c r="Q883" i="148"/>
  <c r="Q884" i="148"/>
  <c r="Q885" i="148"/>
  <c r="Q886" i="148"/>
  <c r="Q887" i="148"/>
  <c r="Q888" i="148"/>
  <c r="Q889" i="148"/>
  <c r="Q890" i="148"/>
  <c r="Q891" i="148"/>
  <c r="Q892" i="148"/>
  <c r="Q893" i="148"/>
  <c r="Q894" i="148"/>
  <c r="Q895" i="148"/>
  <c r="Q896" i="148"/>
  <c r="Q897" i="148"/>
  <c r="Q898" i="148"/>
  <c r="Q899" i="148"/>
  <c r="Q900" i="148"/>
  <c r="Q901" i="148"/>
  <c r="Q902" i="148"/>
  <c r="Q903" i="148"/>
  <c r="Q904" i="148"/>
  <c r="Q905" i="148"/>
  <c r="Q906" i="148"/>
  <c r="Q907" i="148"/>
  <c r="Q908" i="148"/>
  <c r="Q909" i="148"/>
  <c r="Q910" i="148"/>
  <c r="Q911" i="148"/>
  <c r="Q912" i="148"/>
  <c r="Q913" i="148"/>
  <c r="Q914" i="148"/>
  <c r="Q915" i="148"/>
  <c r="Q916" i="148"/>
  <c r="Q917" i="148"/>
  <c r="Q918" i="148"/>
  <c r="Q919" i="148"/>
  <c r="Q920" i="148"/>
  <c r="Q921" i="148"/>
  <c r="Q922" i="148"/>
  <c r="Q923" i="148"/>
  <c r="Q924" i="148"/>
  <c r="Q925" i="148"/>
  <c r="Q926" i="148"/>
  <c r="Q927" i="148"/>
  <c r="Q928" i="148"/>
  <c r="Q929" i="148"/>
  <c r="Q930" i="148"/>
  <c r="Q931" i="148"/>
  <c r="Q932" i="148"/>
  <c r="Q933" i="148"/>
  <c r="Q934" i="148"/>
  <c r="Q935" i="148"/>
  <c r="Q936" i="148"/>
  <c r="Q937" i="148"/>
  <c r="Q938" i="148"/>
  <c r="Q939" i="148"/>
  <c r="Q940" i="148"/>
  <c r="Q941" i="148"/>
  <c r="Q942" i="148"/>
  <c r="Q943" i="148"/>
  <c r="Q944" i="148"/>
  <c r="Q945" i="148"/>
  <c r="Q946" i="148"/>
  <c r="Q947" i="148"/>
  <c r="Q948" i="148"/>
  <c r="Q949" i="148"/>
  <c r="Q950" i="148"/>
  <c r="Q951" i="148"/>
  <c r="Q952" i="148"/>
  <c r="Q953" i="148"/>
  <c r="Q954" i="148"/>
  <c r="Q955" i="148"/>
  <c r="Q956" i="148"/>
  <c r="Q957" i="148"/>
  <c r="Q958" i="148"/>
  <c r="Q959" i="148"/>
  <c r="Q960" i="148"/>
  <c r="Q961" i="148"/>
  <c r="Q962" i="148"/>
  <c r="Q963" i="148"/>
  <c r="Q964" i="148"/>
  <c r="Q965" i="148"/>
  <c r="Q966" i="148"/>
  <c r="Q967" i="148"/>
  <c r="Q968" i="148"/>
  <c r="Q969" i="148"/>
  <c r="Q970" i="148"/>
  <c r="Q971" i="148"/>
  <c r="Q972" i="148"/>
  <c r="Q973" i="148"/>
  <c r="Q974" i="148"/>
  <c r="Q975" i="148"/>
  <c r="Q976" i="148"/>
  <c r="Q977" i="148"/>
  <c r="Q978" i="148"/>
  <c r="Q979" i="148"/>
  <c r="Q980" i="148"/>
  <c r="Q981" i="148"/>
  <c r="Q982" i="148"/>
  <c r="Q983" i="148"/>
  <c r="Q984" i="148"/>
  <c r="Q985" i="148"/>
  <c r="Q986" i="148"/>
  <c r="Q987" i="148"/>
  <c r="Q988" i="148"/>
  <c r="Q989" i="148"/>
  <c r="Q990" i="148"/>
  <c r="Q991" i="148"/>
  <c r="Q992" i="148"/>
  <c r="Q993" i="148"/>
  <c r="Q994" i="148"/>
  <c r="Q995" i="148"/>
  <c r="Q996" i="148"/>
  <c r="Q997" i="148"/>
  <c r="Q998" i="148"/>
  <c r="Q999" i="148"/>
  <c r="Q1000" i="148"/>
  <c r="Q1001" i="148"/>
  <c r="Q1002" i="148"/>
  <c r="Q1003" i="148"/>
  <c r="Q1004" i="148"/>
  <c r="Q1005" i="148"/>
  <c r="Q1006" i="148"/>
  <c r="Q1007" i="148"/>
  <c r="Q1008" i="148"/>
  <c r="Q1009" i="148"/>
  <c r="Q1010" i="148"/>
  <c r="Q1011" i="148"/>
  <c r="Q1012" i="148"/>
  <c r="Q1013" i="148"/>
  <c r="Q1014" i="148"/>
  <c r="Q1015" i="148"/>
  <c r="Q1016" i="148"/>
  <c r="Q1017" i="148"/>
  <c r="Q1018" i="148"/>
  <c r="Q1019" i="148"/>
  <c r="Q1020" i="148"/>
  <c r="Q1021" i="148"/>
  <c r="Q1022" i="148"/>
  <c r="Q1023" i="148"/>
  <c r="Q1024" i="148"/>
  <c r="Q1025" i="148"/>
  <c r="Q1026" i="148"/>
  <c r="Q1027" i="148"/>
  <c r="Q1028" i="148"/>
  <c r="Q1029" i="148"/>
  <c r="Q1030" i="148"/>
  <c r="Q1031" i="148"/>
  <c r="Q1032" i="148"/>
  <c r="Q1033" i="148"/>
  <c r="Q1034" i="148"/>
  <c r="Q1035" i="148"/>
  <c r="Q1036" i="148"/>
  <c r="Q1037" i="148"/>
  <c r="Q1038" i="148"/>
  <c r="Q1039" i="148"/>
  <c r="Q1040" i="148"/>
  <c r="Q1041" i="148"/>
  <c r="Q1042" i="148"/>
  <c r="Q1043" i="148"/>
  <c r="Q1044" i="148"/>
  <c r="Q1045" i="148"/>
  <c r="Q1046" i="148"/>
  <c r="Q1047" i="148"/>
  <c r="Q1048" i="148"/>
  <c r="Q1049" i="148"/>
  <c r="Q1050" i="148"/>
  <c r="Q1051" i="148"/>
  <c r="Q1052" i="148"/>
  <c r="Q1053" i="148"/>
  <c r="Q1054" i="148"/>
  <c r="Q1055" i="148"/>
  <c r="Q1056" i="148"/>
  <c r="Q1057" i="148"/>
  <c r="Q1058" i="148"/>
  <c r="Q1059" i="148"/>
  <c r="Q1060" i="148"/>
  <c r="Q1061" i="148"/>
  <c r="Q1062" i="148"/>
  <c r="Q1063" i="148"/>
  <c r="Q1064" i="148"/>
  <c r="Q1065" i="148"/>
  <c r="Q1066" i="148"/>
  <c r="Q1067" i="148"/>
  <c r="Q1068" i="148"/>
  <c r="Q1069" i="148"/>
  <c r="Q1070" i="148"/>
  <c r="Q1071" i="148"/>
  <c r="Q1072" i="148"/>
  <c r="Q1073" i="148"/>
  <c r="Q1074" i="148"/>
  <c r="Q1075" i="148"/>
  <c r="Q1076" i="148"/>
  <c r="Q1077" i="148"/>
  <c r="Q1078" i="148"/>
  <c r="Q1079" i="148"/>
  <c r="Q1080" i="148"/>
  <c r="Q1081" i="148"/>
  <c r="Q1082" i="148"/>
  <c r="Q1083" i="148"/>
  <c r="Q1084" i="148"/>
  <c r="Q1085" i="148"/>
  <c r="Q1086" i="148"/>
  <c r="Q1087" i="148"/>
  <c r="Q1088" i="148"/>
  <c r="Q1089" i="148"/>
  <c r="Q1090" i="148"/>
  <c r="Q1091" i="148"/>
  <c r="Q1092" i="148"/>
  <c r="Q1093" i="148"/>
  <c r="Q1094" i="148"/>
  <c r="Q1095" i="148"/>
  <c r="Q1096" i="148"/>
  <c r="Q1097" i="148"/>
  <c r="Q1098" i="148"/>
  <c r="Q1099" i="148"/>
  <c r="Q1100" i="148"/>
  <c r="Q1101" i="148"/>
  <c r="Q1102" i="148"/>
  <c r="Q1103" i="148"/>
  <c r="Q1104" i="148"/>
  <c r="Q1105" i="148"/>
  <c r="Q1106" i="148"/>
  <c r="Q1107" i="148"/>
  <c r="Q1108" i="148"/>
  <c r="Q1109" i="148"/>
  <c r="Q1110" i="148"/>
  <c r="Q1111" i="148"/>
  <c r="Q1112" i="148"/>
  <c r="Q1113" i="148"/>
  <c r="Q1114" i="148"/>
  <c r="Q1115" i="148"/>
  <c r="Q1116" i="148"/>
  <c r="Q1117" i="148"/>
  <c r="Q1118" i="148"/>
  <c r="Q1119" i="148"/>
  <c r="Q1120" i="148"/>
  <c r="Q1121" i="148"/>
  <c r="Q1122" i="148"/>
  <c r="Q1123" i="148"/>
  <c r="Q1124" i="148"/>
  <c r="Q1125" i="148"/>
  <c r="Q1126" i="148"/>
  <c r="Q1127" i="148"/>
  <c r="Q1128" i="148"/>
  <c r="Q1129" i="148"/>
  <c r="Q1130" i="148"/>
  <c r="Q1131" i="148"/>
  <c r="Q1132" i="148"/>
  <c r="Q1133" i="148"/>
  <c r="Q1134" i="148"/>
  <c r="Q1135" i="148"/>
  <c r="Q1136" i="148"/>
  <c r="Q1137" i="148"/>
  <c r="Q1138" i="148"/>
  <c r="Q1139" i="148"/>
  <c r="Q1140" i="148"/>
  <c r="Q1141" i="148"/>
  <c r="Q1142" i="148"/>
  <c r="Q1143" i="148"/>
  <c r="Q1144" i="148"/>
  <c r="Q1145" i="148"/>
  <c r="Q1146" i="148"/>
  <c r="Q1147" i="148"/>
  <c r="Q1148" i="148"/>
  <c r="Q1149" i="148"/>
  <c r="Q1150" i="148"/>
  <c r="Q1151" i="148"/>
  <c r="Q1152" i="148"/>
  <c r="Q1153" i="148"/>
  <c r="Q1154" i="148"/>
  <c r="Q1155" i="148"/>
  <c r="Q1156" i="148"/>
  <c r="L73" i="148"/>
  <c r="L74" i="148"/>
  <c r="L75" i="148"/>
  <c r="L76" i="148"/>
  <c r="L77" i="148"/>
  <c r="L78" i="148"/>
  <c r="L79" i="148"/>
  <c r="L80" i="148"/>
  <c r="L81" i="148"/>
  <c r="L82" i="148"/>
  <c r="L83" i="148"/>
  <c r="L55" i="148"/>
  <c r="L56" i="148"/>
  <c r="L57" i="148"/>
  <c r="L58" i="148"/>
  <c r="L59" i="148"/>
  <c r="L60" i="148"/>
  <c r="L61" i="148"/>
  <c r="L62" i="148"/>
  <c r="L63" i="148"/>
  <c r="L64" i="148"/>
  <c r="L65" i="148"/>
  <c r="L66" i="148"/>
  <c r="L67" i="148"/>
  <c r="L68" i="148"/>
  <c r="L69" i="148"/>
  <c r="L70" i="148"/>
  <c r="L71" i="148"/>
  <c r="L72" i="148"/>
  <c r="L52" i="148"/>
  <c r="L53" i="148"/>
  <c r="L54" i="148"/>
  <c r="L48" i="148"/>
  <c r="L49" i="148"/>
  <c r="L50" i="148"/>
  <c r="L51" i="148"/>
  <c r="L47" i="148"/>
  <c r="R46" i="148"/>
  <c r="N46" i="148"/>
  <c r="M46" i="148"/>
  <c r="L46" i="148"/>
  <c r="P46" i="148" s="1"/>
  <c r="K46" i="148"/>
  <c r="J46" i="148"/>
  <c r="I46" i="148"/>
  <c r="R45" i="148"/>
  <c r="N45" i="148"/>
  <c r="M45" i="148"/>
  <c r="L45" i="148"/>
  <c r="K45" i="148"/>
  <c r="J45" i="148"/>
  <c r="I45" i="148"/>
  <c r="R44" i="148"/>
  <c r="N44" i="148"/>
  <c r="M44" i="148"/>
  <c r="L44" i="148"/>
  <c r="K44" i="148"/>
  <c r="J44" i="148"/>
  <c r="I44" i="148"/>
  <c r="J1105" i="486" l="1"/>
  <c r="B1106" i="486"/>
  <c r="J1117" i="485"/>
  <c r="B1118" i="485"/>
  <c r="J1105" i="484"/>
  <c r="B1106" i="484"/>
  <c r="O45" i="148"/>
  <c r="S44" i="148"/>
  <c r="O44" i="148"/>
  <c r="P44" i="148"/>
  <c r="P45" i="148"/>
  <c r="S45" i="148"/>
  <c r="S46" i="148"/>
  <c r="O46" i="148"/>
  <c r="B1107" i="484" l="1"/>
  <c r="J1106" i="484"/>
  <c r="B1119" i="485"/>
  <c r="J1118" i="485"/>
  <c r="J1106" i="486"/>
  <c r="B1107" i="486"/>
  <c r="M62" i="363"/>
  <c r="K62" i="363"/>
  <c r="E62" i="363"/>
  <c r="M60" i="363"/>
  <c r="K60" i="363"/>
  <c r="M58" i="363"/>
  <c r="K58" i="363"/>
  <c r="I58" i="363"/>
  <c r="G58" i="363"/>
  <c r="E58" i="363"/>
  <c r="C58" i="363"/>
  <c r="M54" i="363"/>
  <c r="K54" i="363"/>
  <c r="M52" i="363"/>
  <c r="K52" i="363"/>
  <c r="I52" i="363"/>
  <c r="G52" i="363"/>
  <c r="E52" i="363"/>
  <c r="C52" i="363"/>
  <c r="M50" i="363"/>
  <c r="M56" i="363" s="1"/>
  <c r="K50" i="363"/>
  <c r="K56" i="363" s="1"/>
  <c r="G50" i="363"/>
  <c r="G56" i="363" s="1"/>
  <c r="M48" i="363"/>
  <c r="K48" i="363"/>
  <c r="I48" i="363"/>
  <c r="G48" i="363"/>
  <c r="C48" i="363"/>
  <c r="I42" i="363"/>
  <c r="I60" i="363" s="1"/>
  <c r="G42" i="363"/>
  <c r="G60" i="363" s="1"/>
  <c r="E42" i="363"/>
  <c r="E60" i="363" s="1"/>
  <c r="C60" i="363"/>
  <c r="I40" i="363"/>
  <c r="I62" i="363" s="1"/>
  <c r="G40" i="363"/>
  <c r="G62" i="363" s="1"/>
  <c r="E40" i="363"/>
  <c r="C40" i="363"/>
  <c r="C62" i="363" s="1"/>
  <c r="E38" i="363"/>
  <c r="C38" i="363"/>
  <c r="G16" i="363"/>
  <c r="E16" i="363"/>
  <c r="E48" i="363" s="1"/>
  <c r="C16" i="363"/>
  <c r="C50" i="363" s="1"/>
  <c r="C56" i="363" s="1"/>
  <c r="I12" i="363"/>
  <c r="I54" i="363" s="1"/>
  <c r="G12" i="363"/>
  <c r="G54" i="363" s="1"/>
  <c r="E12" i="363"/>
  <c r="E50" i="363" s="1"/>
  <c r="E56" i="363" s="1"/>
  <c r="C12" i="363"/>
  <c r="C54" i="363" s="1"/>
  <c r="M62" i="361"/>
  <c r="K62" i="361"/>
  <c r="E62" i="361"/>
  <c r="M60" i="361"/>
  <c r="K60" i="361"/>
  <c r="M58" i="361"/>
  <c r="K58" i="361"/>
  <c r="I58" i="361"/>
  <c r="G58" i="361"/>
  <c r="E58" i="361"/>
  <c r="C58" i="361"/>
  <c r="I56" i="361"/>
  <c r="E56" i="361"/>
  <c r="M54" i="361"/>
  <c r="K54" i="361"/>
  <c r="I54" i="361"/>
  <c r="G54" i="361"/>
  <c r="E54" i="361"/>
  <c r="C54" i="361"/>
  <c r="M52" i="361"/>
  <c r="K52" i="361"/>
  <c r="I52" i="361"/>
  <c r="G52" i="361"/>
  <c r="E52" i="361"/>
  <c r="C52" i="361"/>
  <c r="M50" i="361"/>
  <c r="M56" i="361" s="1"/>
  <c r="K50" i="361"/>
  <c r="K56" i="361" s="1"/>
  <c r="I50" i="361"/>
  <c r="G50" i="361"/>
  <c r="G56" i="361" s="1"/>
  <c r="E50" i="361"/>
  <c r="C50" i="361"/>
  <c r="C56" i="361" s="1"/>
  <c r="M48" i="361"/>
  <c r="K48" i="361"/>
  <c r="E48" i="361"/>
  <c r="C48" i="361"/>
  <c r="I42" i="361"/>
  <c r="I60" i="361" s="1"/>
  <c r="G42" i="361"/>
  <c r="G60" i="361" s="1"/>
  <c r="E42" i="361"/>
  <c r="E60" i="361" s="1"/>
  <c r="C60" i="361"/>
  <c r="I40" i="361"/>
  <c r="I62" i="361" s="1"/>
  <c r="G40" i="361"/>
  <c r="G62" i="361" s="1"/>
  <c r="E40" i="361"/>
  <c r="C40" i="361"/>
  <c r="C62" i="361" s="1"/>
  <c r="I34" i="361"/>
  <c r="G34" i="361"/>
  <c r="E34" i="361"/>
  <c r="C34" i="361"/>
  <c r="I15" i="361"/>
  <c r="I48" i="361" s="1"/>
  <c r="G15" i="361"/>
  <c r="G48" i="361" s="1"/>
  <c r="M62" i="360"/>
  <c r="K62" i="360"/>
  <c r="M60" i="360"/>
  <c r="K60" i="360"/>
  <c r="M58" i="360"/>
  <c r="K58" i="360"/>
  <c r="I58" i="360"/>
  <c r="G58" i="360"/>
  <c r="E58" i="360"/>
  <c r="C58" i="360"/>
  <c r="M54" i="360"/>
  <c r="K54" i="360"/>
  <c r="M52" i="360"/>
  <c r="K52" i="360"/>
  <c r="I52" i="360"/>
  <c r="G52" i="360"/>
  <c r="E52" i="360"/>
  <c r="C52" i="360"/>
  <c r="M50" i="360"/>
  <c r="M56" i="360" s="1"/>
  <c r="K50" i="360"/>
  <c r="K56" i="360" s="1"/>
  <c r="M48" i="360"/>
  <c r="K48" i="360"/>
  <c r="I48" i="360"/>
  <c r="G48" i="360"/>
  <c r="E48" i="360"/>
  <c r="C48" i="360"/>
  <c r="I42" i="360"/>
  <c r="I60" i="360" s="1"/>
  <c r="G42" i="360"/>
  <c r="G60" i="360" s="1"/>
  <c r="E42" i="360"/>
  <c r="E60" i="360" s="1"/>
  <c r="C42" i="360"/>
  <c r="C60" i="360" s="1"/>
  <c r="E40" i="360"/>
  <c r="E62" i="360" s="1"/>
  <c r="I34" i="360"/>
  <c r="I40" i="360" s="1"/>
  <c r="I62" i="360" s="1"/>
  <c r="G34" i="360"/>
  <c r="G40" i="360" s="1"/>
  <c r="G62" i="360" s="1"/>
  <c r="E34" i="360"/>
  <c r="C34" i="360"/>
  <c r="C40" i="360" s="1"/>
  <c r="C62" i="360" s="1"/>
  <c r="I28" i="360"/>
  <c r="G28" i="360"/>
  <c r="I12" i="360"/>
  <c r="I50" i="360" s="1"/>
  <c r="I56" i="360" s="1"/>
  <c r="G12" i="360"/>
  <c r="G54" i="360" s="1"/>
  <c r="E12" i="360"/>
  <c r="E50" i="360" s="1"/>
  <c r="E56" i="360" s="1"/>
  <c r="C50" i="360"/>
  <c r="C56" i="360" s="1"/>
  <c r="M62" i="359"/>
  <c r="K62" i="359"/>
  <c r="G62" i="359"/>
  <c r="E62" i="359"/>
  <c r="M60" i="359"/>
  <c r="K60" i="359"/>
  <c r="I60" i="359"/>
  <c r="G60" i="359"/>
  <c r="E60" i="359"/>
  <c r="C60" i="359"/>
  <c r="M58" i="359"/>
  <c r="K58" i="359"/>
  <c r="I58" i="359"/>
  <c r="G58" i="359"/>
  <c r="E58" i="359"/>
  <c r="C58" i="359"/>
  <c r="C56" i="359"/>
  <c r="M54" i="359"/>
  <c r="K54" i="359"/>
  <c r="C54" i="359"/>
  <c r="M52" i="359"/>
  <c r="K52" i="359"/>
  <c r="I52" i="359"/>
  <c r="G52" i="359"/>
  <c r="E52" i="359"/>
  <c r="C52" i="359"/>
  <c r="M50" i="359"/>
  <c r="M56" i="359" s="1"/>
  <c r="K50" i="359"/>
  <c r="K56" i="359" s="1"/>
  <c r="G50" i="359"/>
  <c r="G56" i="359" s="1"/>
  <c r="C50" i="359"/>
  <c r="M48" i="359"/>
  <c r="K48" i="359"/>
  <c r="G48" i="359"/>
  <c r="E48" i="359"/>
  <c r="C48" i="359"/>
  <c r="I40" i="359"/>
  <c r="I62" i="359" s="1"/>
  <c r="C40" i="359"/>
  <c r="C62" i="359" s="1"/>
  <c r="I34" i="359"/>
  <c r="I15" i="359"/>
  <c r="I48" i="359" s="1"/>
  <c r="G15" i="359"/>
  <c r="I12" i="359"/>
  <c r="I54" i="359" s="1"/>
  <c r="G12" i="359"/>
  <c r="G54" i="359" s="1"/>
  <c r="E12" i="359"/>
  <c r="E50" i="359" s="1"/>
  <c r="E56" i="359" s="1"/>
  <c r="C12" i="359"/>
  <c r="M62" i="358"/>
  <c r="K62" i="358"/>
  <c r="C62" i="358"/>
  <c r="M60" i="358"/>
  <c r="K60" i="358"/>
  <c r="M58" i="358"/>
  <c r="K58" i="358"/>
  <c r="I58" i="358"/>
  <c r="G58" i="358"/>
  <c r="E58" i="358"/>
  <c r="C58" i="358"/>
  <c r="G56" i="358"/>
  <c r="M54" i="358"/>
  <c r="K54" i="358"/>
  <c r="G54" i="358"/>
  <c r="M52" i="358"/>
  <c r="K52" i="358"/>
  <c r="I52" i="358"/>
  <c r="G52" i="358"/>
  <c r="E52" i="358"/>
  <c r="C52" i="358"/>
  <c r="M50" i="358"/>
  <c r="M56" i="358" s="1"/>
  <c r="K50" i="358"/>
  <c r="K56" i="358" s="1"/>
  <c r="I50" i="358"/>
  <c r="I56" i="358" s="1"/>
  <c r="G50" i="358"/>
  <c r="M48" i="358"/>
  <c r="K48" i="358"/>
  <c r="I48" i="358"/>
  <c r="G48" i="358"/>
  <c r="E48" i="358"/>
  <c r="C48" i="358"/>
  <c r="I42" i="358"/>
  <c r="I60" i="358" s="1"/>
  <c r="G42" i="358"/>
  <c r="G60" i="358" s="1"/>
  <c r="E42" i="358"/>
  <c r="I40" i="358"/>
  <c r="I62" i="358" s="1"/>
  <c r="G40" i="358"/>
  <c r="G62" i="358" s="1"/>
  <c r="E40" i="358"/>
  <c r="E62" i="358" s="1"/>
  <c r="C40" i="358"/>
  <c r="I34" i="358"/>
  <c r="G34" i="358"/>
  <c r="E34" i="358"/>
  <c r="C34" i="358"/>
  <c r="I12" i="358"/>
  <c r="I54" i="358" s="1"/>
  <c r="E12" i="358"/>
  <c r="E50" i="358" s="1"/>
  <c r="E56" i="358" s="1"/>
  <c r="C50" i="358"/>
  <c r="C56" i="358" s="1"/>
  <c r="B1108" i="486" l="1"/>
  <c r="J1107" i="486"/>
  <c r="J1119" i="485"/>
  <c r="B1120" i="485"/>
  <c r="J1107" i="484"/>
  <c r="B1108" i="484"/>
  <c r="I50" i="363"/>
  <c r="I56" i="363" s="1"/>
  <c r="E54" i="363"/>
  <c r="G50" i="360"/>
  <c r="G56" i="360" s="1"/>
  <c r="C54" i="360"/>
  <c r="E54" i="360"/>
  <c r="I54" i="360"/>
  <c r="I50" i="359"/>
  <c r="I56" i="359" s="1"/>
  <c r="E54" i="359"/>
  <c r="C54" i="358"/>
  <c r="Q52" i="358" s="1"/>
  <c r="E54" i="358"/>
  <c r="J1108" i="484" l="1"/>
  <c r="B1109" i="484"/>
  <c r="B1121" i="485"/>
  <c r="J1120" i="485"/>
  <c r="B1109" i="486"/>
  <c r="J1108" i="486"/>
  <c r="G13" i="480"/>
  <c r="E13" i="480"/>
  <c r="K11" i="478"/>
  <c r="I11" i="478"/>
  <c r="K10" i="478"/>
  <c r="G12" i="480" s="1"/>
  <c r="I10" i="478"/>
  <c r="E12" i="480" s="1"/>
  <c r="K9" i="478"/>
  <c r="G11" i="480" s="1"/>
  <c r="I9" i="478"/>
  <c r="O9" i="478" s="1"/>
  <c r="K8" i="478"/>
  <c r="G10" i="480" s="1"/>
  <c r="I8" i="478"/>
  <c r="K7" i="478"/>
  <c r="G9" i="480" s="1"/>
  <c r="I7" i="478"/>
  <c r="O7" i="478" s="1"/>
  <c r="K6" i="478"/>
  <c r="G8" i="480" s="1"/>
  <c r="I6" i="478"/>
  <c r="O6" i="478" s="1"/>
  <c r="K5" i="478"/>
  <c r="G7" i="480" s="1"/>
  <c r="I5" i="478"/>
  <c r="J1121" i="485" l="1"/>
  <c r="B1122" i="485"/>
  <c r="B1110" i="486"/>
  <c r="J1109" i="486"/>
  <c r="J1109" i="484"/>
  <c r="B1110" i="484"/>
  <c r="E11" i="480"/>
  <c r="E10" i="480"/>
  <c r="I10" i="480" s="1"/>
  <c r="O8" i="478"/>
  <c r="G17" i="480"/>
  <c r="G15" i="480"/>
  <c r="E8" i="480"/>
  <c r="I8" i="480" s="1"/>
  <c r="I13" i="480"/>
  <c r="I12" i="480"/>
  <c r="I11" i="480"/>
  <c r="E7" i="480"/>
  <c r="E9" i="480"/>
  <c r="I9" i="480" s="1"/>
  <c r="J1110" i="484" l="1"/>
  <c r="B1111" i="484"/>
  <c r="J1110" i="486"/>
  <c r="B1111" i="486"/>
  <c r="B1123" i="485"/>
  <c r="J1122" i="485"/>
  <c r="E15" i="480"/>
  <c r="E17" i="480"/>
  <c r="K7" i="480"/>
  <c r="I7" i="480"/>
  <c r="K8" i="480"/>
  <c r="J1123" i="485" l="1"/>
  <c r="B1124" i="485"/>
  <c r="J1111" i="486"/>
  <c r="B1112" i="486"/>
  <c r="J1111" i="484"/>
  <c r="B1112" i="484"/>
  <c r="D29" i="53"/>
  <c r="B1113" i="484" l="1"/>
  <c r="J1112" i="484"/>
  <c r="J1112" i="486"/>
  <c r="B1113" i="486"/>
  <c r="B1125" i="485"/>
  <c r="J1124" i="485"/>
  <c r="B16" i="254"/>
  <c r="D10" i="53"/>
  <c r="D11" i="53"/>
  <c r="D12" i="53"/>
  <c r="D13" i="53"/>
  <c r="D14" i="53"/>
  <c r="D15" i="53"/>
  <c r="D16" i="53"/>
  <c r="D17" i="53"/>
  <c r="D18" i="53"/>
  <c r="D19" i="53"/>
  <c r="D20" i="53"/>
  <c r="D21" i="53"/>
  <c r="D22" i="53"/>
  <c r="D23" i="53"/>
  <c r="D24" i="53"/>
  <c r="D25" i="53"/>
  <c r="D26" i="53"/>
  <c r="D27" i="53"/>
  <c r="D28" i="53"/>
  <c r="D30" i="53"/>
  <c r="D31" i="53"/>
  <c r="D32" i="53"/>
  <c r="D33" i="53"/>
  <c r="D34" i="53"/>
  <c r="D35" i="53"/>
  <c r="D36" i="53"/>
  <c r="D37" i="53"/>
  <c r="D38" i="53"/>
  <c r="D39" i="53"/>
  <c r="D40" i="53"/>
  <c r="D41" i="53"/>
  <c r="D42" i="53"/>
  <c r="D43" i="53"/>
  <c r="D44" i="53"/>
  <c r="D45" i="53"/>
  <c r="D46" i="53"/>
  <c r="D47" i="53"/>
  <c r="C10" i="34"/>
  <c r="C11" i="34"/>
  <c r="C12" i="34"/>
  <c r="C13" i="34"/>
  <c r="C14" i="34"/>
  <c r="C9" i="34"/>
  <c r="B10" i="36"/>
  <c r="B11" i="36"/>
  <c r="B12" i="36"/>
  <c r="B13" i="36"/>
  <c r="B14" i="36"/>
  <c r="B9" i="36"/>
  <c r="B11" i="55"/>
  <c r="B12" i="55"/>
  <c r="B13" i="55"/>
  <c r="B14" i="55"/>
  <c r="B15" i="55"/>
  <c r="B10" i="55"/>
  <c r="B14" i="18"/>
  <c r="B15" i="18"/>
  <c r="B16" i="18"/>
  <c r="B17" i="18"/>
  <c r="B18" i="18"/>
  <c r="B13" i="18"/>
  <c r="B10" i="37"/>
  <c r="B11" i="37"/>
  <c r="B12" i="37"/>
  <c r="B13" i="37"/>
  <c r="B14" i="37"/>
  <c r="B9" i="37"/>
  <c r="B18" i="254"/>
  <c r="B19" i="254"/>
  <c r="B20" i="254"/>
  <c r="B21" i="254"/>
  <c r="B22" i="254"/>
  <c r="B17" i="254"/>
  <c r="J1125" i="485" l="1"/>
  <c r="B1126" i="485"/>
  <c r="B1114" i="486"/>
  <c r="J1113" i="486"/>
  <c r="J1113" i="484"/>
  <c r="B1114" i="484"/>
  <c r="F1464" i="316"/>
  <c r="B2" i="417"/>
  <c r="L23" i="417"/>
  <c r="L22" i="417"/>
  <c r="L21" i="417"/>
  <c r="J23" i="417"/>
  <c r="J22" i="417"/>
  <c r="J21" i="417"/>
  <c r="F23" i="417"/>
  <c r="F24" i="417" s="1"/>
  <c r="F22" i="417"/>
  <c r="F21" i="417"/>
  <c r="D23" i="417"/>
  <c r="D22" i="417"/>
  <c r="D21" i="417"/>
  <c r="A38" i="417"/>
  <c r="A14" i="417"/>
  <c r="A8" i="417"/>
  <c r="E14" i="18"/>
  <c r="E15" i="18"/>
  <c r="E16" i="18"/>
  <c r="E17" i="18"/>
  <c r="E18" i="18"/>
  <c r="M9" i="39"/>
  <c r="J9" i="39"/>
  <c r="G9" i="39"/>
  <c r="A10" i="39"/>
  <c r="B10" i="39" s="1"/>
  <c r="A11" i="39"/>
  <c r="B11" i="39" s="1"/>
  <c r="A12" i="39"/>
  <c r="B12" i="39" s="1"/>
  <c r="A13" i="39"/>
  <c r="B13" i="39" s="1"/>
  <c r="A14" i="39"/>
  <c r="B14" i="39" s="1"/>
  <c r="A15" i="39"/>
  <c r="B15" i="39" s="1"/>
  <c r="A16" i="39"/>
  <c r="B16" i="39" s="1"/>
  <c r="A17" i="39"/>
  <c r="B17" i="39" s="1"/>
  <c r="A18" i="39"/>
  <c r="B18" i="39" s="1"/>
  <c r="A19" i="39"/>
  <c r="B19" i="39" s="1"/>
  <c r="A20" i="39"/>
  <c r="B20" i="39" s="1"/>
  <c r="A21" i="39"/>
  <c r="B21" i="39" s="1"/>
  <c r="A22" i="39"/>
  <c r="B22" i="39" s="1"/>
  <c r="A23" i="39"/>
  <c r="B23" i="39" s="1"/>
  <c r="A24" i="39"/>
  <c r="B24" i="39" s="1"/>
  <c r="A25" i="39"/>
  <c r="B25" i="39" s="1"/>
  <c r="A26" i="39"/>
  <c r="B26" i="39" s="1"/>
  <c r="A27" i="39"/>
  <c r="B27" i="39" s="1"/>
  <c r="A28" i="39"/>
  <c r="B28" i="39" s="1"/>
  <c r="A29" i="39"/>
  <c r="A30" i="39"/>
  <c r="B30" i="39" s="1"/>
  <c r="A31" i="39"/>
  <c r="B31" i="39" s="1"/>
  <c r="A32" i="39"/>
  <c r="A33" i="39"/>
  <c r="B33" i="39" s="1"/>
  <c r="A34" i="39"/>
  <c r="B34" i="39" s="1"/>
  <c r="A35" i="39"/>
  <c r="B35" i="39" s="1"/>
  <c r="A36" i="39"/>
  <c r="B36" i="39" s="1"/>
  <c r="A37" i="39"/>
  <c r="B37" i="39" s="1"/>
  <c r="A38" i="39"/>
  <c r="B38" i="39" s="1"/>
  <c r="A39" i="39"/>
  <c r="B39" i="39" s="1"/>
  <c r="A40" i="39"/>
  <c r="B40" i="39" s="1"/>
  <c r="A41" i="39"/>
  <c r="B41" i="39" s="1"/>
  <c r="A42" i="39"/>
  <c r="B42" i="39" s="1"/>
  <c r="A43" i="39"/>
  <c r="B43" i="39" s="1"/>
  <c r="A44" i="39"/>
  <c r="B44" i="39" s="1"/>
  <c r="A45" i="39"/>
  <c r="B45" i="39" s="1"/>
  <c r="A46" i="39"/>
  <c r="B46" i="39" s="1"/>
  <c r="A47" i="39"/>
  <c r="B47" i="39" s="1"/>
  <c r="B29" i="39"/>
  <c r="B32" i="39"/>
  <c r="F40" i="25"/>
  <c r="F39" i="25"/>
  <c r="F38" i="25"/>
  <c r="D40" i="25"/>
  <c r="D39" i="25"/>
  <c r="D38" i="25"/>
  <c r="C38" i="25"/>
  <c r="C34" i="25" s="1"/>
  <c r="D48" i="38"/>
  <c r="F48" i="38" s="1"/>
  <c r="H48" i="38"/>
  <c r="J48" i="38" s="1"/>
  <c r="D11" i="38"/>
  <c r="F11" i="38" s="1"/>
  <c r="H11" i="38"/>
  <c r="J11" i="38" s="1"/>
  <c r="D12" i="38"/>
  <c r="F12" i="38" s="1"/>
  <c r="H12" i="38"/>
  <c r="J12" i="38" s="1"/>
  <c r="D13" i="38"/>
  <c r="F13" i="38" s="1"/>
  <c r="H13" i="38"/>
  <c r="J13" i="38" s="1"/>
  <c r="D14" i="38"/>
  <c r="F14" i="38" s="1"/>
  <c r="H14" i="38"/>
  <c r="J14" i="38" s="1"/>
  <c r="D15" i="38"/>
  <c r="F15" i="38" s="1"/>
  <c r="H15" i="38"/>
  <c r="J15" i="38" s="1"/>
  <c r="D16" i="38"/>
  <c r="F16" i="38" s="1"/>
  <c r="H16" i="38"/>
  <c r="J16" i="38" s="1"/>
  <c r="D17" i="38"/>
  <c r="F17" i="38" s="1"/>
  <c r="H17" i="38"/>
  <c r="J17" i="38" s="1"/>
  <c r="D18" i="38"/>
  <c r="F18" i="38" s="1"/>
  <c r="H18" i="38"/>
  <c r="J18" i="38" s="1"/>
  <c r="D19" i="38"/>
  <c r="F19" i="38" s="1"/>
  <c r="H19" i="38"/>
  <c r="J19" i="38" s="1"/>
  <c r="D20" i="38"/>
  <c r="F20" i="38" s="1"/>
  <c r="H20" i="38"/>
  <c r="J20" i="38" s="1"/>
  <c r="D21" i="38"/>
  <c r="F21" i="38" s="1"/>
  <c r="H21" i="38"/>
  <c r="J21" i="38" s="1"/>
  <c r="D22" i="38"/>
  <c r="F22" i="38" s="1"/>
  <c r="H22" i="38"/>
  <c r="J22" i="38" s="1"/>
  <c r="D23" i="38"/>
  <c r="F23" i="38" s="1"/>
  <c r="H23" i="38"/>
  <c r="J23" i="38" s="1"/>
  <c r="D24" i="38"/>
  <c r="F24" i="38" s="1"/>
  <c r="H24" i="38"/>
  <c r="J24" i="38" s="1"/>
  <c r="D25" i="38"/>
  <c r="F25" i="38" s="1"/>
  <c r="H25" i="38"/>
  <c r="J25" i="38" s="1"/>
  <c r="D26" i="38"/>
  <c r="F26" i="38" s="1"/>
  <c r="H26" i="38"/>
  <c r="J26" i="38" s="1"/>
  <c r="D27" i="38"/>
  <c r="F27" i="38" s="1"/>
  <c r="H27" i="38"/>
  <c r="J27" i="38" s="1"/>
  <c r="D28" i="38"/>
  <c r="F28" i="38" s="1"/>
  <c r="H28" i="38"/>
  <c r="J28" i="38" s="1"/>
  <c r="D29" i="38"/>
  <c r="F29" i="38" s="1"/>
  <c r="H29" i="38"/>
  <c r="J29" i="38" s="1"/>
  <c r="D30" i="38"/>
  <c r="F30" i="38" s="1"/>
  <c r="H30" i="38"/>
  <c r="J30" i="38" s="1"/>
  <c r="D31" i="38"/>
  <c r="F31" i="38" s="1"/>
  <c r="H31" i="38"/>
  <c r="J31" i="38" s="1"/>
  <c r="D32" i="38"/>
  <c r="F32" i="38" s="1"/>
  <c r="H32" i="38"/>
  <c r="J32" i="38" s="1"/>
  <c r="D33" i="38"/>
  <c r="F33" i="38" s="1"/>
  <c r="H33" i="38"/>
  <c r="J33" i="38" s="1"/>
  <c r="D34" i="38"/>
  <c r="F34" i="38" s="1"/>
  <c r="H34" i="38"/>
  <c r="J34" i="38" s="1"/>
  <c r="D35" i="38"/>
  <c r="F35" i="38" s="1"/>
  <c r="H35" i="38"/>
  <c r="J35" i="38" s="1"/>
  <c r="D36" i="38"/>
  <c r="F36" i="38" s="1"/>
  <c r="H36" i="38"/>
  <c r="J36" i="38" s="1"/>
  <c r="D37" i="38"/>
  <c r="F37" i="38" s="1"/>
  <c r="H37" i="38"/>
  <c r="J37" i="38" s="1"/>
  <c r="D38" i="38"/>
  <c r="F38" i="38" s="1"/>
  <c r="H38" i="38"/>
  <c r="J38" i="38" s="1"/>
  <c r="D39" i="38"/>
  <c r="F39" i="38" s="1"/>
  <c r="H39" i="38"/>
  <c r="J39" i="38" s="1"/>
  <c r="D40" i="38"/>
  <c r="F40" i="38" s="1"/>
  <c r="H40" i="38"/>
  <c r="J40" i="38" s="1"/>
  <c r="D41" i="38"/>
  <c r="F41" i="38" s="1"/>
  <c r="H41" i="38"/>
  <c r="J41" i="38" s="1"/>
  <c r="D42" i="38"/>
  <c r="F42" i="38" s="1"/>
  <c r="H42" i="38"/>
  <c r="J42" i="38" s="1"/>
  <c r="D43" i="38"/>
  <c r="F43" i="38" s="1"/>
  <c r="H43" i="38"/>
  <c r="J43" i="38" s="1"/>
  <c r="D44" i="38"/>
  <c r="F44" i="38" s="1"/>
  <c r="H44" i="38"/>
  <c r="J44" i="38" s="1"/>
  <c r="D45" i="38"/>
  <c r="F45" i="38" s="1"/>
  <c r="H45" i="38"/>
  <c r="J45" i="38" s="1"/>
  <c r="D46" i="38"/>
  <c r="F46" i="38" s="1"/>
  <c r="H46" i="38"/>
  <c r="J46" i="38" s="1"/>
  <c r="D47" i="38"/>
  <c r="F47" i="38" s="1"/>
  <c r="H47" i="38"/>
  <c r="J47" i="38" s="1"/>
  <c r="H10" i="38"/>
  <c r="D10" i="38"/>
  <c r="V5" i="119"/>
  <c r="U5" i="119"/>
  <c r="B1115" i="484" l="1"/>
  <c r="J1114" i="484"/>
  <c r="B1115" i="486"/>
  <c r="J1114" i="486"/>
  <c r="B1127" i="485"/>
  <c r="J1126" i="485"/>
  <c r="L24" i="417"/>
  <c r="N23" i="417"/>
  <c r="J24" i="417"/>
  <c r="H24" i="417"/>
  <c r="N21" i="417"/>
  <c r="N22" i="417"/>
  <c r="P9" i="39"/>
  <c r="H40" i="25"/>
  <c r="H39" i="25"/>
  <c r="H38" i="25"/>
  <c r="D9" i="53"/>
  <c r="A10" i="53"/>
  <c r="B10" i="53" s="1"/>
  <c r="A11" i="53"/>
  <c r="B11" i="53" s="1"/>
  <c r="A12" i="53"/>
  <c r="B12" i="53" s="1"/>
  <c r="A13" i="53"/>
  <c r="B13" i="53" s="1"/>
  <c r="A14" i="53"/>
  <c r="B14" i="53" s="1"/>
  <c r="A15" i="53"/>
  <c r="B15" i="53" s="1"/>
  <c r="A16" i="53"/>
  <c r="B16" i="53" s="1"/>
  <c r="A17" i="53"/>
  <c r="B17" i="53" s="1"/>
  <c r="A18" i="53"/>
  <c r="B18" i="53" s="1"/>
  <c r="A19" i="53"/>
  <c r="B19" i="53" s="1"/>
  <c r="A20" i="53"/>
  <c r="B20" i="53" s="1"/>
  <c r="A21" i="53"/>
  <c r="B21" i="53" s="1"/>
  <c r="A22" i="53"/>
  <c r="B22" i="53" s="1"/>
  <c r="A23" i="53"/>
  <c r="B23" i="53" s="1"/>
  <c r="A24" i="53"/>
  <c r="B24" i="53" s="1"/>
  <c r="A25" i="53"/>
  <c r="B25" i="53" s="1"/>
  <c r="A26" i="53"/>
  <c r="B26" i="53" s="1"/>
  <c r="A27" i="53"/>
  <c r="B27" i="53" s="1"/>
  <c r="A28" i="53"/>
  <c r="B28" i="53" s="1"/>
  <c r="A29" i="53"/>
  <c r="B29" i="53" s="1"/>
  <c r="A30" i="53"/>
  <c r="B30" i="53" s="1"/>
  <c r="A31" i="53"/>
  <c r="B31" i="53" s="1"/>
  <c r="A32" i="53"/>
  <c r="B32" i="53" s="1"/>
  <c r="A33" i="53"/>
  <c r="B33" i="53" s="1"/>
  <c r="A34" i="53"/>
  <c r="B34" i="53" s="1"/>
  <c r="A35" i="53"/>
  <c r="B35" i="53" s="1"/>
  <c r="A36" i="53"/>
  <c r="B36" i="53" s="1"/>
  <c r="A37" i="53"/>
  <c r="B37" i="53" s="1"/>
  <c r="A38" i="53"/>
  <c r="B38" i="53" s="1"/>
  <c r="A39" i="53"/>
  <c r="B39" i="53" s="1"/>
  <c r="A40" i="53"/>
  <c r="B40" i="53" s="1"/>
  <c r="A41" i="53"/>
  <c r="B41" i="53" s="1"/>
  <c r="A42" i="53"/>
  <c r="B42" i="53" s="1"/>
  <c r="A43" i="53"/>
  <c r="B43" i="53" s="1"/>
  <c r="A44" i="53"/>
  <c r="B44" i="53" s="1"/>
  <c r="A45" i="53"/>
  <c r="B45" i="53" s="1"/>
  <c r="A46" i="53"/>
  <c r="B46" i="53" s="1"/>
  <c r="A47" i="53"/>
  <c r="B47" i="53" s="1"/>
  <c r="K16" i="253"/>
  <c r="K14" i="253"/>
  <c r="J1115" i="486" l="1"/>
  <c r="B1116" i="486"/>
  <c r="J1127" i="485"/>
  <c r="B1128" i="485"/>
  <c r="J1115" i="484"/>
  <c r="B1116" i="484"/>
  <c r="H41" i="25"/>
  <c r="H42" i="25" s="1"/>
  <c r="H12" i="25" s="1"/>
  <c r="N24" i="417"/>
  <c r="B1117" i="484" l="1"/>
  <c r="J1116" i="484"/>
  <c r="B1129" i="485"/>
  <c r="J1128" i="485"/>
  <c r="B1117" i="486"/>
  <c r="J1116" i="486"/>
  <c r="M62" i="473"/>
  <c r="K62" i="473"/>
  <c r="E62" i="473"/>
  <c r="M60" i="473"/>
  <c r="K60" i="473"/>
  <c r="Y52" i="473" s="1"/>
  <c r="M58" i="473"/>
  <c r="K58" i="473"/>
  <c r="I58" i="473"/>
  <c r="G58" i="473"/>
  <c r="S23" i="473" s="1"/>
  <c r="E58" i="473"/>
  <c r="C58" i="473"/>
  <c r="M54" i="473"/>
  <c r="K54" i="473"/>
  <c r="Y50" i="473" s="1"/>
  <c r="I54" i="473"/>
  <c r="M52" i="473"/>
  <c r="K52" i="473"/>
  <c r="I52" i="473"/>
  <c r="W45" i="473" s="1"/>
  <c r="G52" i="473"/>
  <c r="E52" i="473"/>
  <c r="C52" i="473"/>
  <c r="M50" i="473"/>
  <c r="M56" i="473" s="1"/>
  <c r="K50" i="473"/>
  <c r="K56" i="473" s="1"/>
  <c r="Y48" i="473"/>
  <c r="U48" i="473"/>
  <c r="M48" i="473"/>
  <c r="K48" i="473"/>
  <c r="C48" i="473"/>
  <c r="Y46" i="473"/>
  <c r="U46" i="473"/>
  <c r="Q46" i="473"/>
  <c r="AA46" i="473" s="1"/>
  <c r="Y45" i="473"/>
  <c r="U45" i="473"/>
  <c r="Y44" i="473"/>
  <c r="Y43" i="473"/>
  <c r="W43" i="473"/>
  <c r="U43" i="473"/>
  <c r="S43" i="473"/>
  <c r="Q43" i="473"/>
  <c r="AA43" i="473" s="1"/>
  <c r="I42" i="473"/>
  <c r="I60" i="473" s="1"/>
  <c r="W52" i="473" s="1"/>
  <c r="G42" i="473"/>
  <c r="G60" i="473" s="1"/>
  <c r="E42" i="473"/>
  <c r="E60" i="473" s="1"/>
  <c r="C42" i="473"/>
  <c r="C60" i="473" s="1"/>
  <c r="I40" i="473"/>
  <c r="I62" i="473" s="1"/>
  <c r="W50" i="473" s="1"/>
  <c r="G40" i="473"/>
  <c r="G62" i="473" s="1"/>
  <c r="C40" i="473"/>
  <c r="C62" i="473" s="1"/>
  <c r="I28" i="473"/>
  <c r="G28" i="473"/>
  <c r="E28" i="473"/>
  <c r="C28" i="473"/>
  <c r="Q23" i="473"/>
  <c r="Y18" i="473"/>
  <c r="W18" i="473"/>
  <c r="U18" i="473"/>
  <c r="S18" i="473"/>
  <c r="Q18" i="473"/>
  <c r="I16" i="473"/>
  <c r="I50" i="473" s="1"/>
  <c r="G16" i="473"/>
  <c r="E16" i="473"/>
  <c r="S48" i="473" s="1"/>
  <c r="C16" i="473"/>
  <c r="Q48" i="473" s="1"/>
  <c r="Y12" i="473"/>
  <c r="W12" i="473"/>
  <c r="U12" i="473"/>
  <c r="S12" i="473"/>
  <c r="Q12" i="473"/>
  <c r="G12" i="473"/>
  <c r="E12" i="473"/>
  <c r="E54" i="473" s="1"/>
  <c r="C12" i="473"/>
  <c r="O7" i="473"/>
  <c r="O6" i="473"/>
  <c r="A18" i="254"/>
  <c r="A19" i="254"/>
  <c r="A20" i="254"/>
  <c r="A21" i="254"/>
  <c r="A22" i="254"/>
  <c r="A17" i="254"/>
  <c r="D18" i="254"/>
  <c r="D19" i="254"/>
  <c r="D20" i="254"/>
  <c r="D21" i="254"/>
  <c r="D22" i="254"/>
  <c r="D17" i="254"/>
  <c r="F22" i="254" a="1"/>
  <c r="J17" i="254" a="1"/>
  <c r="F20" i="254" a="1"/>
  <c r="F17" i="254" a="1"/>
  <c r="J21" i="254" a="1"/>
  <c r="F18" i="254" a="1"/>
  <c r="J19" i="254" a="1"/>
  <c r="J18" i="254" a="1"/>
  <c r="J22" i="254" a="1"/>
  <c r="F21" i="254" a="1"/>
  <c r="F19" i="254" a="1"/>
  <c r="J20" i="254" a="1"/>
  <c r="J1129" i="485" l="1"/>
  <c r="B1130" i="485"/>
  <c r="B1118" i="486"/>
  <c r="J1117" i="486"/>
  <c r="J1117" i="484"/>
  <c r="B1118" i="484"/>
  <c r="J19" i="254"/>
  <c r="J18" i="254"/>
  <c r="J20" i="254"/>
  <c r="J17" i="254"/>
  <c r="J22" i="254"/>
  <c r="J21" i="254"/>
  <c r="Y33" i="473"/>
  <c r="Y34" i="473"/>
  <c r="Y35" i="473"/>
  <c r="S50" i="473"/>
  <c r="U27" i="473"/>
  <c r="S52" i="473"/>
  <c r="I56" i="473"/>
  <c r="W28" i="473"/>
  <c r="W17" i="473"/>
  <c r="W19" i="473" s="1"/>
  <c r="W29" i="473"/>
  <c r="W27" i="473"/>
  <c r="W30" i="473" s="1"/>
  <c r="W22" i="473"/>
  <c r="Y27" i="473"/>
  <c r="Y30" i="473" s="1"/>
  <c r="Y29" i="473"/>
  <c r="E48" i="473"/>
  <c r="S44" i="473" s="1"/>
  <c r="W48" i="473"/>
  <c r="AA48" i="473" s="1"/>
  <c r="Y22" i="473"/>
  <c r="G48" i="473"/>
  <c r="Y17" i="473"/>
  <c r="Y19" i="473" s="1"/>
  <c r="Y28" i="473"/>
  <c r="I48" i="473"/>
  <c r="W44" i="473" s="1"/>
  <c r="Q45" i="473"/>
  <c r="AA45" i="473" s="1"/>
  <c r="C50" i="473"/>
  <c r="Q29" i="473" s="1"/>
  <c r="C54" i="473"/>
  <c r="Q52" i="473" s="1"/>
  <c r="S45" i="473"/>
  <c r="E50" i="473"/>
  <c r="G50" i="473"/>
  <c r="G54" i="473"/>
  <c r="S22" i="473" s="1"/>
  <c r="U29" i="473"/>
  <c r="F21" i="254"/>
  <c r="F20" i="254"/>
  <c r="F19" i="254"/>
  <c r="F22" i="254"/>
  <c r="F18" i="254"/>
  <c r="F17" i="254"/>
  <c r="J1118" i="486" l="1"/>
  <c r="B1119" i="486"/>
  <c r="J1118" i="484"/>
  <c r="B1119" i="484"/>
  <c r="B1131" i="485"/>
  <c r="J1130" i="485"/>
  <c r="Q44" i="473"/>
  <c r="G56" i="473"/>
  <c r="U28" i="473"/>
  <c r="U17" i="473"/>
  <c r="U19" i="473" s="1"/>
  <c r="S29" i="473"/>
  <c r="AA29" i="473" s="1"/>
  <c r="S27" i="473"/>
  <c r="S30" i="473" s="1"/>
  <c r="S28" i="473"/>
  <c r="S17" i="473"/>
  <c r="S19" i="473" s="1"/>
  <c r="E56" i="473"/>
  <c r="W33" i="473"/>
  <c r="W34" i="473"/>
  <c r="W35" i="473"/>
  <c r="U44" i="473"/>
  <c r="Q27" i="473"/>
  <c r="U50" i="473"/>
  <c r="U22" i="473"/>
  <c r="U52" i="473"/>
  <c r="AA52" i="473" s="1"/>
  <c r="Q22" i="473"/>
  <c r="Q50" i="473"/>
  <c r="AA50" i="473" s="1"/>
  <c r="U30" i="473"/>
  <c r="Q28" i="473"/>
  <c r="AA28" i="473" s="1"/>
  <c r="Q17" i="473"/>
  <c r="Q19" i="473" s="1"/>
  <c r="C56" i="473"/>
  <c r="Y36" i="473"/>
  <c r="Y54" i="473"/>
  <c r="J1131" i="485" l="1"/>
  <c r="B1132" i="485"/>
  <c r="J1119" i="484"/>
  <c r="B1120" i="484"/>
  <c r="B1120" i="486"/>
  <c r="J1119" i="486"/>
  <c r="Q30" i="473"/>
  <c r="AA27" i="473"/>
  <c r="AA30" i="473" s="1"/>
  <c r="W36" i="473"/>
  <c r="W54" i="473"/>
  <c r="S35" i="473"/>
  <c r="S34" i="473"/>
  <c r="S33" i="473"/>
  <c r="AA44" i="473"/>
  <c r="U33" i="473"/>
  <c r="U34" i="473"/>
  <c r="U35" i="473"/>
  <c r="Q34" i="473"/>
  <c r="Q33" i="473"/>
  <c r="Q35" i="473"/>
  <c r="AA35" i="473" s="1"/>
  <c r="B1121" i="486" l="1"/>
  <c r="J1120" i="486"/>
  <c r="B1121" i="484"/>
  <c r="J1120" i="484"/>
  <c r="B1133" i="485"/>
  <c r="J1132" i="485"/>
  <c r="AA33" i="473"/>
  <c r="Q36" i="473"/>
  <c r="Q54" i="473"/>
  <c r="S36" i="473"/>
  <c r="S54" i="473"/>
  <c r="AA34" i="473"/>
  <c r="U36" i="473"/>
  <c r="U54" i="473"/>
  <c r="J1133" i="485" l="1"/>
  <c r="B1134" i="485"/>
  <c r="J1121" i="484"/>
  <c r="B1122" i="484"/>
  <c r="J1121" i="486"/>
  <c r="B1122" i="486"/>
  <c r="AA54" i="473"/>
  <c r="AA36" i="473"/>
  <c r="J1122" i="486" l="1"/>
  <c r="B1123" i="486"/>
  <c r="B1123" i="484"/>
  <c r="J1122" i="484"/>
  <c r="B1135" i="485"/>
  <c r="J1134" i="485"/>
  <c r="L1145" i="148"/>
  <c r="M1145" i="148"/>
  <c r="R1145" i="148"/>
  <c r="S1145" i="148"/>
  <c r="L1146" i="148"/>
  <c r="M1146" i="148"/>
  <c r="R1146" i="148"/>
  <c r="L1147" i="148"/>
  <c r="M1147" i="148"/>
  <c r="R1147" i="148"/>
  <c r="S1147" i="148"/>
  <c r="L1148" i="148"/>
  <c r="M1148" i="148"/>
  <c r="R1148" i="148"/>
  <c r="S1148" i="148"/>
  <c r="L1149" i="148"/>
  <c r="M1149" i="148"/>
  <c r="R1149" i="148"/>
  <c r="L1150" i="148"/>
  <c r="M1150" i="148"/>
  <c r="R1150" i="148"/>
  <c r="L1151" i="148"/>
  <c r="M1151" i="148"/>
  <c r="R1151" i="148"/>
  <c r="L1152" i="148"/>
  <c r="M1152" i="148"/>
  <c r="R1152" i="148"/>
  <c r="S1152" i="148"/>
  <c r="L1153" i="148"/>
  <c r="M1153" i="148"/>
  <c r="R1153" i="148"/>
  <c r="L1154" i="148"/>
  <c r="M1154" i="148"/>
  <c r="R1154" i="148"/>
  <c r="S1154" i="148" s="1"/>
  <c r="L1155" i="148"/>
  <c r="M1155" i="148"/>
  <c r="S1155" i="148"/>
  <c r="R1155" i="148"/>
  <c r="L1156" i="148"/>
  <c r="M1156" i="148"/>
  <c r="R1156" i="148"/>
  <c r="K1145" i="148"/>
  <c r="K1146" i="148"/>
  <c r="K1147" i="148"/>
  <c r="K1148" i="148"/>
  <c r="K1149" i="148"/>
  <c r="K1150" i="148"/>
  <c r="K1151" i="148"/>
  <c r="K1152" i="148"/>
  <c r="K1153" i="148"/>
  <c r="K1154" i="148"/>
  <c r="K1155" i="148"/>
  <c r="K1156" i="148"/>
  <c r="I1145" i="148"/>
  <c r="I1146" i="148"/>
  <c r="I1147" i="148"/>
  <c r="I1148" i="148"/>
  <c r="I1149" i="148"/>
  <c r="I1150" i="148"/>
  <c r="I1151" i="148"/>
  <c r="I1152" i="148"/>
  <c r="I1153" i="148"/>
  <c r="I1154" i="148"/>
  <c r="I1155" i="148"/>
  <c r="J1155" i="148"/>
  <c r="I1156" i="148"/>
  <c r="G1145" i="148"/>
  <c r="J1145" i="148" s="1"/>
  <c r="G1146" i="148"/>
  <c r="N1146" i="148" s="1"/>
  <c r="G1147" i="148"/>
  <c r="N1147" i="148" s="1"/>
  <c r="G1148" i="148"/>
  <c r="N1148" i="148" s="1"/>
  <c r="G1149" i="148"/>
  <c r="J1149" i="148" s="1"/>
  <c r="G1150" i="148"/>
  <c r="J1150" i="148" s="1"/>
  <c r="G1151" i="148"/>
  <c r="N1151" i="148" s="1"/>
  <c r="P1151" i="148" s="1"/>
  <c r="G1152" i="148"/>
  <c r="J1152" i="148" s="1"/>
  <c r="G1153" i="148"/>
  <c r="J1153" i="148" s="1"/>
  <c r="G1154" i="148"/>
  <c r="N1154" i="148" s="1"/>
  <c r="G1155" i="148"/>
  <c r="N1155" i="148" s="1"/>
  <c r="G1156" i="148"/>
  <c r="J1156" i="148" s="1"/>
  <c r="D8" i="101"/>
  <c r="J8" i="101" s="1"/>
  <c r="E8" i="101"/>
  <c r="K8" i="101" s="1"/>
  <c r="F8" i="101"/>
  <c r="L8" i="101" s="1"/>
  <c r="G8" i="101"/>
  <c r="H8" i="101"/>
  <c r="D9" i="153"/>
  <c r="C9" i="153"/>
  <c r="J1135" i="485" l="1"/>
  <c r="B1136" i="485"/>
  <c r="J1123" i="484"/>
  <c r="B1124" i="484"/>
  <c r="B1124" i="486"/>
  <c r="J1123" i="486"/>
  <c r="M8" i="101"/>
  <c r="J1146" i="148"/>
  <c r="S1151" i="148"/>
  <c r="S1149" i="148"/>
  <c r="S1156" i="148"/>
  <c r="N1156" i="148"/>
  <c r="O1146" i="148"/>
  <c r="O1149" i="148"/>
  <c r="J1148" i="148"/>
  <c r="S1150" i="148"/>
  <c r="J1154" i="148"/>
  <c r="O1154" i="148"/>
  <c r="J1147" i="148"/>
  <c r="S1153" i="148"/>
  <c r="S1146" i="148"/>
  <c r="O1155" i="148"/>
  <c r="N1149" i="148"/>
  <c r="P1149" i="148" s="1"/>
  <c r="O1147" i="148"/>
  <c r="J1151" i="148"/>
  <c r="O1156" i="148"/>
  <c r="N1150" i="148"/>
  <c r="P1150" i="148" s="1"/>
  <c r="O1148" i="148"/>
  <c r="N1152" i="148"/>
  <c r="P1152" i="148" s="1"/>
  <c r="O1150" i="148"/>
  <c r="P1154" i="148"/>
  <c r="N1153" i="148"/>
  <c r="P1153" i="148" s="1"/>
  <c r="O1151" i="148"/>
  <c r="P1146" i="148"/>
  <c r="N1145" i="148"/>
  <c r="P1145" i="148" s="1"/>
  <c r="P1155" i="148"/>
  <c r="O1152" i="148"/>
  <c r="P1147" i="148"/>
  <c r="P1156" i="148"/>
  <c r="O1153" i="148"/>
  <c r="P1148" i="148"/>
  <c r="O1145" i="148"/>
  <c r="E9" i="153"/>
  <c r="F9" i="153" s="1"/>
  <c r="G9" i="153" s="1"/>
  <c r="H9" i="153" s="1"/>
  <c r="B1125" i="486" l="1"/>
  <c r="J1124" i="486"/>
  <c r="J1124" i="484"/>
  <c r="B1125" i="484"/>
  <c r="B1137" i="485"/>
  <c r="J1136" i="485"/>
  <c r="B2" i="97"/>
  <c r="B67" i="97" s="1"/>
  <c r="C2" i="97"/>
  <c r="D2" i="97"/>
  <c r="E2" i="97"/>
  <c r="F2" i="97"/>
  <c r="G2" i="97"/>
  <c r="H2" i="97"/>
  <c r="I2" i="97"/>
  <c r="J2" i="97"/>
  <c r="K2" i="97"/>
  <c r="L2" i="97"/>
  <c r="M2" i="97"/>
  <c r="N2" i="97"/>
  <c r="O2" i="97"/>
  <c r="P2" i="97"/>
  <c r="Q2" i="97"/>
  <c r="R2" i="97"/>
  <c r="S2" i="97"/>
  <c r="T2" i="97"/>
  <c r="U2" i="97"/>
  <c r="V2" i="97"/>
  <c r="W2" i="97"/>
  <c r="X2" i="97"/>
  <c r="Y2" i="97"/>
  <c r="Z2" i="97"/>
  <c r="AA2" i="97"/>
  <c r="AB2" i="97"/>
  <c r="AC2" i="97"/>
  <c r="AD2" i="97"/>
  <c r="AE2" i="97"/>
  <c r="AF2" i="97"/>
  <c r="AG2" i="97"/>
  <c r="AH2" i="97"/>
  <c r="AI2" i="97"/>
  <c r="AJ2" i="97"/>
  <c r="AK2" i="97"/>
  <c r="AL2" i="97"/>
  <c r="AM2" i="97"/>
  <c r="AN2" i="97"/>
  <c r="J1137" i="485" l="1"/>
  <c r="B1138" i="485"/>
  <c r="J1125" i="484"/>
  <c r="B1126" i="484"/>
  <c r="J1125" i="486"/>
  <c r="B1126" i="486"/>
  <c r="B4" i="61"/>
  <c r="C4" i="61"/>
  <c r="D4" i="61"/>
  <c r="E4" i="61"/>
  <c r="F4" i="61"/>
  <c r="G4" i="61"/>
  <c r="D2" i="122"/>
  <c r="E2" i="122"/>
  <c r="F2" i="122"/>
  <c r="G2" i="122"/>
  <c r="H2" i="122"/>
  <c r="I2" i="122"/>
  <c r="V7" i="119"/>
  <c r="U7" i="119"/>
  <c r="V3" i="119"/>
  <c r="U3" i="119"/>
  <c r="B1127" i="486" l="1"/>
  <c r="J1126" i="486"/>
  <c r="J1126" i="484"/>
  <c r="B1127" i="484"/>
  <c r="B1139" i="485"/>
  <c r="J1138" i="485"/>
  <c r="F5" i="61"/>
  <c r="L21" i="254"/>
  <c r="P21" i="254" s="1"/>
  <c r="B5" i="61"/>
  <c r="L17" i="254"/>
  <c r="P17" i="254" s="1"/>
  <c r="G5" i="61"/>
  <c r="L22" i="254"/>
  <c r="P22" i="254" s="1"/>
  <c r="E5" i="61"/>
  <c r="L20" i="254"/>
  <c r="P20" i="254" s="1"/>
  <c r="D5" i="61"/>
  <c r="L19" i="254"/>
  <c r="P19" i="254" s="1"/>
  <c r="C5" i="61"/>
  <c r="L18" i="254"/>
  <c r="P18" i="254" s="1"/>
  <c r="V10" i="119"/>
  <c r="U10" i="119"/>
  <c r="V9" i="119"/>
  <c r="U9" i="119"/>
  <c r="J1139" i="485" l="1"/>
  <c r="B1140" i="485"/>
  <c r="J1127" i="484"/>
  <c r="B1128" i="484"/>
  <c r="J1127" i="486"/>
  <c r="B1128" i="486"/>
  <c r="A4" i="119"/>
  <c r="A5" i="119"/>
  <c r="A6" i="119"/>
  <c r="A7" i="119"/>
  <c r="A8" i="119"/>
  <c r="A3" i="119"/>
  <c r="C1" i="121"/>
  <c r="J1128" i="486" l="1"/>
  <c r="B1129" i="486"/>
  <c r="B1129" i="484"/>
  <c r="J1128" i="484"/>
  <c r="B1141" i="485"/>
  <c r="J1140" i="485"/>
  <c r="B20" i="417"/>
  <c r="B8" i="417"/>
  <c r="B26" i="417"/>
  <c r="B32" i="417"/>
  <c r="B38" i="417"/>
  <c r="B14" i="417"/>
  <c r="D1" i="121"/>
  <c r="C40" i="25" s="1"/>
  <c r="C39" i="25"/>
  <c r="C69" i="61"/>
  <c r="D69" i="61"/>
  <c r="F69" i="61"/>
  <c r="G69" i="61"/>
  <c r="B69" i="61"/>
  <c r="E69" i="61"/>
  <c r="B7" i="39"/>
  <c r="B7" i="53"/>
  <c r="B3" i="18"/>
  <c r="J1141" i="485" l="1"/>
  <c r="B1142" i="485"/>
  <c r="J1129" i="484"/>
  <c r="B1130" i="484"/>
  <c r="B1130" i="486"/>
  <c r="J1129" i="486"/>
  <c r="C38" i="254"/>
  <c r="B1131" i="486" l="1"/>
  <c r="J1130" i="486"/>
  <c r="B1131" i="484"/>
  <c r="J1130" i="484"/>
  <c r="B1143" i="485"/>
  <c r="J1142" i="485"/>
  <c r="C52" i="52"/>
  <c r="B8" i="55"/>
  <c r="D5" i="31"/>
  <c r="J1143" i="485" l="1"/>
  <c r="B1144" i="485"/>
  <c r="J1131" i="484"/>
  <c r="B1132" i="484"/>
  <c r="J1131" i="486"/>
  <c r="B1132" i="486"/>
  <c r="A4" i="10"/>
  <c r="A3" i="11"/>
  <c r="C4" i="52"/>
  <c r="B1133" i="484" l="1"/>
  <c r="J1132" i="484"/>
  <c r="J1132" i="486"/>
  <c r="B1133" i="486"/>
  <c r="B1145" i="485"/>
  <c r="J1144" i="485"/>
  <c r="B3" i="36"/>
  <c r="A1" i="466"/>
  <c r="E7" i="58"/>
  <c r="A5" i="58"/>
  <c r="B3" i="39"/>
  <c r="B3" i="38"/>
  <c r="A5" i="23"/>
  <c r="A3" i="254"/>
  <c r="J1133" i="484" l="1"/>
  <c r="B1134" i="484"/>
  <c r="J1145" i="485"/>
  <c r="B1146" i="485"/>
  <c r="B1134" i="486"/>
  <c r="J1133" i="486"/>
  <c r="F23" i="36"/>
  <c r="G41" i="466"/>
  <c r="E40" i="466"/>
  <c r="G37" i="466"/>
  <c r="E36" i="466"/>
  <c r="G33" i="466"/>
  <c r="E32" i="466"/>
  <c r="G29" i="466"/>
  <c r="I29" i="466" s="1"/>
  <c r="E28" i="466"/>
  <c r="G25" i="466"/>
  <c r="E24" i="466"/>
  <c r="E22" i="466"/>
  <c r="G21" i="466"/>
  <c r="E20" i="466"/>
  <c r="E18" i="466"/>
  <c r="G17" i="466"/>
  <c r="I17" i="466" s="1"/>
  <c r="E16" i="466"/>
  <c r="E14" i="466"/>
  <c r="G13" i="466"/>
  <c r="E12" i="466"/>
  <c r="G9" i="466"/>
  <c r="G43" i="466"/>
  <c r="E43" i="466"/>
  <c r="I43" i="466" s="1"/>
  <c r="G42" i="466"/>
  <c r="E42" i="466"/>
  <c r="E41" i="466"/>
  <c r="G40" i="466"/>
  <c r="G39" i="466"/>
  <c r="E39" i="466"/>
  <c r="I39" i="466" s="1"/>
  <c r="G38" i="466"/>
  <c r="E38" i="466"/>
  <c r="E37" i="466"/>
  <c r="G36" i="466"/>
  <c r="G35" i="466"/>
  <c r="E35" i="466"/>
  <c r="G34" i="466"/>
  <c r="E34" i="466"/>
  <c r="E33" i="466"/>
  <c r="G32" i="466"/>
  <c r="G31" i="466"/>
  <c r="E31" i="466"/>
  <c r="G30" i="466"/>
  <c r="E30" i="466"/>
  <c r="E29" i="466"/>
  <c r="G28" i="466"/>
  <c r="G27" i="466"/>
  <c r="E27" i="466"/>
  <c r="I27" i="466" s="1"/>
  <c r="G26" i="466"/>
  <c r="E26" i="466"/>
  <c r="E25" i="466"/>
  <c r="G24" i="466"/>
  <c r="G23" i="466"/>
  <c r="E23" i="466"/>
  <c r="I23" i="466" s="1"/>
  <c r="G22" i="466"/>
  <c r="E21" i="466"/>
  <c r="G20" i="466"/>
  <c r="E19" i="466"/>
  <c r="G18" i="466"/>
  <c r="E17" i="466"/>
  <c r="G16" i="466"/>
  <c r="E15" i="466"/>
  <c r="G14" i="466"/>
  <c r="E13" i="466"/>
  <c r="G12" i="466"/>
  <c r="E11" i="466"/>
  <c r="G10" i="466"/>
  <c r="E10" i="466"/>
  <c r="E9" i="466"/>
  <c r="G8" i="466"/>
  <c r="G7" i="466"/>
  <c r="E7" i="466"/>
  <c r="I7" i="466" s="1"/>
  <c r="J1134" i="486" l="1"/>
  <c r="B1135" i="486"/>
  <c r="B1147" i="485"/>
  <c r="J1146" i="485"/>
  <c r="J1134" i="484"/>
  <c r="B1135" i="484"/>
  <c r="I10" i="466"/>
  <c r="I30" i="466"/>
  <c r="I14" i="466"/>
  <c r="I25" i="466"/>
  <c r="I41" i="466"/>
  <c r="I31" i="466"/>
  <c r="I16" i="466"/>
  <c r="I28" i="466"/>
  <c r="I18" i="466"/>
  <c r="I32" i="466"/>
  <c r="I26" i="466"/>
  <c r="I33" i="466"/>
  <c r="I21" i="466"/>
  <c r="I34" i="466"/>
  <c r="I12" i="466"/>
  <c r="I22" i="466"/>
  <c r="I37" i="466"/>
  <c r="I42" i="466"/>
  <c r="I38" i="466"/>
  <c r="I20" i="466"/>
  <c r="I36" i="466"/>
  <c r="I35" i="466"/>
  <c r="I13" i="466"/>
  <c r="I24" i="466"/>
  <c r="I40" i="466"/>
  <c r="I9" i="466"/>
  <c r="K7" i="466"/>
  <c r="G11" i="466"/>
  <c r="I11" i="466" s="1"/>
  <c r="G15" i="466"/>
  <c r="I15" i="466" s="1"/>
  <c r="G19" i="466"/>
  <c r="I19" i="466" s="1"/>
  <c r="E8" i="466"/>
  <c r="I8" i="466" s="1"/>
  <c r="E49" i="466"/>
  <c r="J1135" i="484" l="1"/>
  <c r="B1136" i="484"/>
  <c r="J1147" i="485"/>
  <c r="B1148" i="485"/>
  <c r="J1135" i="486"/>
  <c r="B1136" i="486"/>
  <c r="G45" i="466"/>
  <c r="G49" i="466"/>
  <c r="I49" i="466" s="1"/>
  <c r="E45" i="466"/>
  <c r="K8" i="466"/>
  <c r="B1137" i="486" l="1"/>
  <c r="J1136" i="486"/>
  <c r="B1149" i="485"/>
  <c r="J1148" i="485"/>
  <c r="J1136" i="484"/>
  <c r="B1137" i="484"/>
  <c r="I45" i="466"/>
  <c r="J1137" i="484" l="1"/>
  <c r="B1138" i="484"/>
  <c r="J1149" i="485"/>
  <c r="B1150" i="485"/>
  <c r="J1137" i="486"/>
  <c r="B1138" i="486"/>
  <c r="L41" i="417"/>
  <c r="J41" i="417"/>
  <c r="H41" i="417"/>
  <c r="F41" i="417"/>
  <c r="D41" i="417"/>
  <c r="L40" i="417"/>
  <c r="J40" i="417"/>
  <c r="H40" i="417"/>
  <c r="F40" i="417"/>
  <c r="D40" i="417"/>
  <c r="L39" i="417"/>
  <c r="J39" i="417"/>
  <c r="H39" i="417"/>
  <c r="F39" i="417"/>
  <c r="D39" i="417"/>
  <c r="L35" i="417"/>
  <c r="J35" i="417"/>
  <c r="H35" i="417"/>
  <c r="F35" i="417"/>
  <c r="D35" i="417"/>
  <c r="L34" i="417"/>
  <c r="J34" i="417"/>
  <c r="H34" i="417"/>
  <c r="F34" i="417"/>
  <c r="D34" i="417"/>
  <c r="L33" i="417"/>
  <c r="J33" i="417"/>
  <c r="H33" i="417"/>
  <c r="F33" i="417"/>
  <c r="D33" i="417"/>
  <c r="L29" i="417"/>
  <c r="J29" i="417"/>
  <c r="H29" i="417"/>
  <c r="F29" i="417"/>
  <c r="D29" i="417"/>
  <c r="L28" i="417"/>
  <c r="J28" i="417"/>
  <c r="H28" i="417"/>
  <c r="F28" i="417"/>
  <c r="D28" i="417"/>
  <c r="L27" i="417"/>
  <c r="J27" i="417"/>
  <c r="H27" i="417"/>
  <c r="F27" i="417"/>
  <c r="D27" i="417"/>
  <c r="L17" i="417"/>
  <c r="J17" i="417"/>
  <c r="H17" i="417"/>
  <c r="F17" i="417"/>
  <c r="D17" i="417"/>
  <c r="L16" i="417"/>
  <c r="J16" i="417"/>
  <c r="H16" i="417"/>
  <c r="F16" i="417"/>
  <c r="D16" i="417"/>
  <c r="L15" i="417"/>
  <c r="J15" i="417"/>
  <c r="H15" i="417"/>
  <c r="F15" i="417"/>
  <c r="D15" i="417"/>
  <c r="L11" i="417"/>
  <c r="L10" i="417"/>
  <c r="L9" i="417"/>
  <c r="J11" i="417"/>
  <c r="J10" i="417"/>
  <c r="J9" i="417"/>
  <c r="H11" i="417"/>
  <c r="H10" i="417"/>
  <c r="H9" i="417"/>
  <c r="F11" i="417"/>
  <c r="F10" i="417"/>
  <c r="F9" i="417"/>
  <c r="D11" i="417"/>
  <c r="D47" i="417" s="1"/>
  <c r="D10" i="417"/>
  <c r="D9" i="417"/>
  <c r="A21" i="420"/>
  <c r="M16" i="253"/>
  <c r="E37" i="253" s="1"/>
  <c r="E5" i="13"/>
  <c r="M9" i="36"/>
  <c r="J9" i="36"/>
  <c r="G9" i="36"/>
  <c r="I14" i="18"/>
  <c r="I15" i="18"/>
  <c r="I16" i="18"/>
  <c r="I17" i="18"/>
  <c r="I18" i="18"/>
  <c r="I13" i="18"/>
  <c r="K13" i="18" s="1"/>
  <c r="E13" i="18"/>
  <c r="G13" i="18" s="1"/>
  <c r="I11" i="18"/>
  <c r="F10" i="37"/>
  <c r="F11" i="37"/>
  <c r="F12" i="37"/>
  <c r="F13" i="37"/>
  <c r="F14" i="37"/>
  <c r="F9" i="37"/>
  <c r="D10" i="37"/>
  <c r="D11" i="37"/>
  <c r="D12" i="37"/>
  <c r="D13" i="37"/>
  <c r="D14" i="37"/>
  <c r="D9" i="37"/>
  <c r="G9" i="34"/>
  <c r="G10" i="34"/>
  <c r="G11" i="34"/>
  <c r="G12" i="34"/>
  <c r="G13" i="34"/>
  <c r="G14" i="34"/>
  <c r="E10" i="34"/>
  <c r="E11" i="34"/>
  <c r="E12" i="34"/>
  <c r="E13" i="34"/>
  <c r="E14" i="34"/>
  <c r="E9" i="34"/>
  <c r="C7" i="34"/>
  <c r="A10" i="34"/>
  <c r="A10" i="37" s="1"/>
  <c r="A14" i="18" s="1"/>
  <c r="A11" i="34"/>
  <c r="A11" i="37" s="1"/>
  <c r="A15" i="18" s="1"/>
  <c r="A12" i="34"/>
  <c r="A12" i="37" s="1"/>
  <c r="A16" i="18" s="1"/>
  <c r="A13" i="34"/>
  <c r="A13" i="37" s="1"/>
  <c r="A17" i="18" s="1"/>
  <c r="A14" i="34"/>
  <c r="A14" i="37" s="1"/>
  <c r="A18" i="18" s="1"/>
  <c r="A9" i="34"/>
  <c r="A9" i="37" s="1"/>
  <c r="A13" i="18" s="1"/>
  <c r="A10" i="55" s="1"/>
  <c r="H23" i="25"/>
  <c r="A15" i="52"/>
  <c r="C26" i="52"/>
  <c r="C34" i="52"/>
  <c r="C38" i="52"/>
  <c r="C41" i="52"/>
  <c r="C42" i="52"/>
  <c r="A9" i="39"/>
  <c r="B9" i="39" s="1"/>
  <c r="J10" i="38"/>
  <c r="F10" i="38"/>
  <c r="D7" i="38"/>
  <c r="B8" i="38"/>
  <c r="C8" i="52" s="1"/>
  <c r="A11" i="38"/>
  <c r="B11" i="38" s="1"/>
  <c r="A12" i="38"/>
  <c r="B12" i="38" s="1"/>
  <c r="A13" i="38"/>
  <c r="B13" i="38" s="1"/>
  <c r="A14" i="38"/>
  <c r="B14" i="38" s="1"/>
  <c r="A15" i="38"/>
  <c r="B15" i="38" s="1"/>
  <c r="A16" i="38"/>
  <c r="B16" i="38" s="1"/>
  <c r="A17" i="38"/>
  <c r="B17" i="38" s="1"/>
  <c r="A18" i="38"/>
  <c r="B18" i="38" s="1"/>
  <c r="A19" i="38"/>
  <c r="B19" i="38" s="1"/>
  <c r="A20" i="38"/>
  <c r="B20" i="38" s="1"/>
  <c r="A21" i="38"/>
  <c r="B21" i="38" s="1"/>
  <c r="A22" i="38"/>
  <c r="B22" i="38" s="1"/>
  <c r="A23" i="38"/>
  <c r="B23" i="38" s="1"/>
  <c r="A24" i="38"/>
  <c r="B24" i="38" s="1"/>
  <c r="A25" i="38"/>
  <c r="B25" i="38" s="1"/>
  <c r="A26" i="38"/>
  <c r="B26" i="38" s="1"/>
  <c r="A27" i="38"/>
  <c r="B27" i="38" s="1"/>
  <c r="A28" i="38"/>
  <c r="B28" i="38" s="1"/>
  <c r="A29" i="38"/>
  <c r="B29" i="38" s="1"/>
  <c r="A30" i="38"/>
  <c r="B30" i="38" s="1"/>
  <c r="A31" i="38"/>
  <c r="B31" i="38" s="1"/>
  <c r="A32" i="38"/>
  <c r="B32" i="38" s="1"/>
  <c r="A33" i="38"/>
  <c r="B33" i="38" s="1"/>
  <c r="A34" i="38"/>
  <c r="B34" i="38" s="1"/>
  <c r="A35" i="38"/>
  <c r="B35" i="38" s="1"/>
  <c r="A36" i="38"/>
  <c r="B36" i="38" s="1"/>
  <c r="A37" i="38"/>
  <c r="B37" i="38" s="1"/>
  <c r="A38" i="38"/>
  <c r="B38" i="38" s="1"/>
  <c r="A39" i="38"/>
  <c r="B39" i="38" s="1"/>
  <c r="A40" i="38"/>
  <c r="B40" i="38" s="1"/>
  <c r="A41" i="38"/>
  <c r="B41" i="38" s="1"/>
  <c r="A42" i="38"/>
  <c r="B42" i="38" s="1"/>
  <c r="A43" i="38"/>
  <c r="B43" i="38" s="1"/>
  <c r="A44" i="38"/>
  <c r="B44" i="38" s="1"/>
  <c r="A45" i="38"/>
  <c r="B45" i="38" s="1"/>
  <c r="A46" i="38"/>
  <c r="B46" i="38" s="1"/>
  <c r="A47" i="38"/>
  <c r="B47" i="38" s="1"/>
  <c r="A48" i="38"/>
  <c r="B48" i="38" s="1"/>
  <c r="A10" i="38"/>
  <c r="B10" i="38" s="1"/>
  <c r="H8" i="38"/>
  <c r="F7" i="23"/>
  <c r="A9" i="53"/>
  <c r="B13" i="254"/>
  <c r="P24" i="254"/>
  <c r="E16" i="253" s="1"/>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F5" i="97"/>
  <c r="G5" i="97"/>
  <c r="H5" i="97"/>
  <c r="I5" i="97"/>
  <c r="J5" i="97"/>
  <c r="K5" i="97"/>
  <c r="L5" i="97"/>
  <c r="M5" i="97"/>
  <c r="N5" i="97"/>
  <c r="O5" i="97"/>
  <c r="P5" i="97"/>
  <c r="Q5" i="97"/>
  <c r="R5" i="97"/>
  <c r="S5" i="97"/>
  <c r="T5" i="97"/>
  <c r="U5" i="97"/>
  <c r="V5" i="97"/>
  <c r="W5" i="97"/>
  <c r="X5" i="97"/>
  <c r="Y5" i="97"/>
  <c r="Z5" i="97"/>
  <c r="AA5" i="97"/>
  <c r="AB5" i="97"/>
  <c r="AC5" i="97"/>
  <c r="AD5" i="97"/>
  <c r="AE5" i="97"/>
  <c r="AF5" i="97"/>
  <c r="AG5" i="97"/>
  <c r="AH5" i="97"/>
  <c r="AI5" i="97"/>
  <c r="AJ5" i="97"/>
  <c r="AK5" i="97"/>
  <c r="AL5" i="97"/>
  <c r="AM5" i="97"/>
  <c r="AN5"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F7" i="97"/>
  <c r="G7" i="97"/>
  <c r="H7" i="97"/>
  <c r="I7" i="97"/>
  <c r="J7" i="97"/>
  <c r="K7" i="97"/>
  <c r="L7" i="97"/>
  <c r="M7" i="97"/>
  <c r="N7" i="97"/>
  <c r="O7" i="97"/>
  <c r="P7" i="97"/>
  <c r="Q7" i="97"/>
  <c r="R7" i="97"/>
  <c r="S7" i="97"/>
  <c r="T7" i="97"/>
  <c r="U7" i="97"/>
  <c r="V7" i="97"/>
  <c r="W7" i="97"/>
  <c r="X7" i="97"/>
  <c r="Y7" i="97"/>
  <c r="Z7" i="97"/>
  <c r="AA7" i="97"/>
  <c r="AB7" i="97"/>
  <c r="AC7" i="97"/>
  <c r="AD7" i="97"/>
  <c r="AE7" i="97"/>
  <c r="AF7" i="97"/>
  <c r="AG7" i="97"/>
  <c r="AH7" i="97"/>
  <c r="AI7" i="97"/>
  <c r="AJ7" i="97"/>
  <c r="AK7" i="97"/>
  <c r="AL7" i="97"/>
  <c r="AM7" i="97"/>
  <c r="AN7" i="97"/>
  <c r="F8" i="97"/>
  <c r="G8" i="97"/>
  <c r="H8" i="97"/>
  <c r="I8" i="97"/>
  <c r="J8" i="97"/>
  <c r="K8" i="97"/>
  <c r="L8" i="97"/>
  <c r="M8" i="97"/>
  <c r="N8" i="97"/>
  <c r="O8" i="97"/>
  <c r="P8" i="97"/>
  <c r="Q8" i="97"/>
  <c r="R8" i="97"/>
  <c r="S8" i="97"/>
  <c r="T8" i="97"/>
  <c r="U8" i="97"/>
  <c r="V8" i="97"/>
  <c r="W8" i="97"/>
  <c r="X8" i="97"/>
  <c r="Y8" i="97"/>
  <c r="Z8" i="97"/>
  <c r="AA8" i="97"/>
  <c r="AB8" i="97"/>
  <c r="AC8" i="97"/>
  <c r="AD8" i="97"/>
  <c r="AE8" i="97"/>
  <c r="AF8" i="97"/>
  <c r="AG8" i="97"/>
  <c r="AH8" i="97"/>
  <c r="AI8" i="97"/>
  <c r="AJ8" i="97"/>
  <c r="AK8" i="97"/>
  <c r="AL8" i="97"/>
  <c r="AM8" i="97"/>
  <c r="AN8" i="97"/>
  <c r="F9" i="97"/>
  <c r="G9" i="97"/>
  <c r="H9" i="97"/>
  <c r="I9" i="97"/>
  <c r="J9" i="97"/>
  <c r="K9" i="97"/>
  <c r="L9" i="97"/>
  <c r="M9" i="97"/>
  <c r="N9" i="97"/>
  <c r="O9" i="97"/>
  <c r="P9" i="97"/>
  <c r="Q9" i="97"/>
  <c r="R9" i="97"/>
  <c r="S9" i="97"/>
  <c r="T9" i="97"/>
  <c r="U9" i="97"/>
  <c r="V9" i="97"/>
  <c r="W9" i="97"/>
  <c r="X9" i="97"/>
  <c r="Y9" i="97"/>
  <c r="Z9" i="97"/>
  <c r="AA9" i="97"/>
  <c r="AB9" i="97"/>
  <c r="AC9" i="97"/>
  <c r="AD9" i="97"/>
  <c r="AE9" i="97"/>
  <c r="AF9" i="97"/>
  <c r="AG9" i="97"/>
  <c r="AH9" i="97"/>
  <c r="AI9" i="97"/>
  <c r="AJ9" i="97"/>
  <c r="AK9" i="97"/>
  <c r="AL9" i="97"/>
  <c r="AM9" i="97"/>
  <c r="AN9" i="97"/>
  <c r="F10" i="97"/>
  <c r="G10" i="97"/>
  <c r="H10" i="97"/>
  <c r="I10" i="97"/>
  <c r="J10" i="97"/>
  <c r="K10" i="97"/>
  <c r="L10" i="97"/>
  <c r="M10" i="97"/>
  <c r="N10" i="97"/>
  <c r="O10" i="97"/>
  <c r="P10" i="97"/>
  <c r="Q10" i="97"/>
  <c r="R10" i="97"/>
  <c r="S10" i="97"/>
  <c r="T10" i="97"/>
  <c r="U10" i="97"/>
  <c r="V10" i="97"/>
  <c r="W10" i="97"/>
  <c r="X10" i="97"/>
  <c r="Y10" i="97"/>
  <c r="Z10" i="97"/>
  <c r="AA10" i="97"/>
  <c r="AB10" i="97"/>
  <c r="AC10" i="97"/>
  <c r="AD10" i="97"/>
  <c r="AE10" i="97"/>
  <c r="AF10" i="97"/>
  <c r="AG10" i="97"/>
  <c r="AH10" i="97"/>
  <c r="AI10" i="97"/>
  <c r="AJ10" i="97"/>
  <c r="AK10" i="97"/>
  <c r="AL10" i="97"/>
  <c r="AM10" i="97"/>
  <c r="AN10" i="97"/>
  <c r="F11" i="97"/>
  <c r="G11" i="97"/>
  <c r="H11" i="97"/>
  <c r="I11" i="97"/>
  <c r="J11" i="97"/>
  <c r="K11" i="97"/>
  <c r="L11" i="97"/>
  <c r="M11" i="97"/>
  <c r="N11" i="97"/>
  <c r="O11" i="97"/>
  <c r="P11" i="97"/>
  <c r="Q11" i="97"/>
  <c r="R11" i="97"/>
  <c r="S11" i="97"/>
  <c r="T11" i="97"/>
  <c r="U11" i="97"/>
  <c r="V11" i="97"/>
  <c r="W11" i="97"/>
  <c r="X11" i="97"/>
  <c r="Y11" i="97"/>
  <c r="Z11" i="97"/>
  <c r="AA11" i="97"/>
  <c r="AB11" i="97"/>
  <c r="AC11" i="97"/>
  <c r="AD11" i="97"/>
  <c r="AE11" i="97"/>
  <c r="AF11" i="97"/>
  <c r="AG11" i="97"/>
  <c r="AH11" i="97"/>
  <c r="AI11" i="97"/>
  <c r="AJ11" i="97"/>
  <c r="AK11" i="97"/>
  <c r="AL11" i="97"/>
  <c r="AM11" i="97"/>
  <c r="AN11" i="97"/>
  <c r="F12" i="97"/>
  <c r="G12" i="97"/>
  <c r="H12" i="97"/>
  <c r="I12" i="97"/>
  <c r="J12" i="97"/>
  <c r="K12" i="97"/>
  <c r="L12" i="97"/>
  <c r="M12" i="97"/>
  <c r="N12" i="97"/>
  <c r="O12" i="97"/>
  <c r="P12" i="97"/>
  <c r="Q12" i="97"/>
  <c r="R12" i="97"/>
  <c r="S12" i="97"/>
  <c r="T12" i="97"/>
  <c r="U12" i="97"/>
  <c r="V12" i="97"/>
  <c r="W12" i="97"/>
  <c r="X12" i="97"/>
  <c r="Y12" i="97"/>
  <c r="Z12" i="97"/>
  <c r="AA12" i="97"/>
  <c r="AB12" i="97"/>
  <c r="AC12" i="97"/>
  <c r="AD12" i="97"/>
  <c r="AE12" i="97"/>
  <c r="AF12" i="97"/>
  <c r="AG12" i="97"/>
  <c r="AH12" i="97"/>
  <c r="AI12" i="97"/>
  <c r="AJ12" i="97"/>
  <c r="AK12" i="97"/>
  <c r="AL12" i="97"/>
  <c r="AM12" i="97"/>
  <c r="AN12" i="97"/>
  <c r="F13" i="97"/>
  <c r="G13" i="97"/>
  <c r="H13" i="97"/>
  <c r="I13" i="97"/>
  <c r="J13" i="97"/>
  <c r="K13" i="97"/>
  <c r="L13" i="97"/>
  <c r="M13" i="97"/>
  <c r="N13" i="97"/>
  <c r="O13" i="97"/>
  <c r="P13" i="97"/>
  <c r="Q13" i="97"/>
  <c r="R13" i="97"/>
  <c r="S13" i="97"/>
  <c r="T13" i="97"/>
  <c r="U13" i="97"/>
  <c r="V13" i="97"/>
  <c r="W13" i="97"/>
  <c r="X13" i="97"/>
  <c r="Y13" i="97"/>
  <c r="Z13" i="97"/>
  <c r="AA13" i="97"/>
  <c r="AB13" i="97"/>
  <c r="AC13" i="97"/>
  <c r="AD13" i="97"/>
  <c r="AE13" i="97"/>
  <c r="AF13" i="97"/>
  <c r="AG13" i="97"/>
  <c r="AH13" i="97"/>
  <c r="AI13" i="97"/>
  <c r="AJ13" i="97"/>
  <c r="AK13" i="97"/>
  <c r="AL13" i="97"/>
  <c r="AM13" i="97"/>
  <c r="AN13" i="97"/>
  <c r="F14" i="97"/>
  <c r="G14" i="97"/>
  <c r="H14" i="97"/>
  <c r="I14" i="97"/>
  <c r="J14" i="97"/>
  <c r="K14" i="97"/>
  <c r="L14" i="97"/>
  <c r="M14" i="97"/>
  <c r="N14" i="97"/>
  <c r="O14" i="97"/>
  <c r="P14" i="97"/>
  <c r="Q14" i="97"/>
  <c r="R14" i="97"/>
  <c r="S14" i="97"/>
  <c r="T14" i="97"/>
  <c r="U14" i="97"/>
  <c r="V14" i="97"/>
  <c r="W14" i="97"/>
  <c r="X14" i="97"/>
  <c r="Y14" i="97"/>
  <c r="Z14" i="97"/>
  <c r="AA14" i="97"/>
  <c r="AB14" i="97"/>
  <c r="AC14" i="97"/>
  <c r="AD14" i="97"/>
  <c r="AE14" i="97"/>
  <c r="AF14" i="97"/>
  <c r="AG14" i="97"/>
  <c r="AH14" i="97"/>
  <c r="AI14" i="97"/>
  <c r="AJ14" i="97"/>
  <c r="AK14" i="97"/>
  <c r="AL14" i="97"/>
  <c r="AM14" i="97"/>
  <c r="AN14" i="97"/>
  <c r="F15" i="97"/>
  <c r="G15" i="97"/>
  <c r="H15" i="97"/>
  <c r="I15" i="97"/>
  <c r="J15" i="97"/>
  <c r="K15" i="97"/>
  <c r="L15" i="97"/>
  <c r="M15" i="97"/>
  <c r="N15" i="97"/>
  <c r="O15" i="97"/>
  <c r="P15" i="97"/>
  <c r="Q15" i="97"/>
  <c r="R15" i="97"/>
  <c r="S15" i="97"/>
  <c r="T15" i="97"/>
  <c r="U15" i="97"/>
  <c r="V15" i="97"/>
  <c r="W15" i="97"/>
  <c r="X15" i="97"/>
  <c r="Y15" i="97"/>
  <c r="Z15" i="97"/>
  <c r="AA15" i="97"/>
  <c r="AB15" i="97"/>
  <c r="AC15" i="97"/>
  <c r="AD15" i="97"/>
  <c r="AE15" i="97"/>
  <c r="AF15" i="97"/>
  <c r="AG15" i="97"/>
  <c r="AH15" i="97"/>
  <c r="AI15" i="97"/>
  <c r="AJ15" i="97"/>
  <c r="AK15" i="97"/>
  <c r="AL15" i="97"/>
  <c r="AM15" i="97"/>
  <c r="AN15" i="97"/>
  <c r="F16" i="97"/>
  <c r="G16" i="97"/>
  <c r="H16" i="97"/>
  <c r="I16" i="97"/>
  <c r="J16" i="97"/>
  <c r="K16" i="97"/>
  <c r="L16" i="97"/>
  <c r="M16" i="97"/>
  <c r="N16" i="97"/>
  <c r="O16" i="97"/>
  <c r="P16" i="97"/>
  <c r="Q16" i="97"/>
  <c r="R16" i="97"/>
  <c r="S16" i="97"/>
  <c r="T16" i="97"/>
  <c r="U16" i="97"/>
  <c r="V16" i="97"/>
  <c r="W16" i="97"/>
  <c r="X16" i="97"/>
  <c r="Y16" i="97"/>
  <c r="Z16" i="97"/>
  <c r="AA16" i="97"/>
  <c r="AB16" i="97"/>
  <c r="AC16" i="97"/>
  <c r="AD16" i="97"/>
  <c r="AE16" i="97"/>
  <c r="AF16" i="97"/>
  <c r="AG16" i="97"/>
  <c r="AH16" i="97"/>
  <c r="AI16" i="97"/>
  <c r="AJ16" i="97"/>
  <c r="AK16" i="97"/>
  <c r="AL16" i="97"/>
  <c r="AM16" i="97"/>
  <c r="AN16" i="97"/>
  <c r="F17" i="97"/>
  <c r="G17" i="97"/>
  <c r="H17" i="97"/>
  <c r="I17" i="97"/>
  <c r="J17" i="97"/>
  <c r="K17" i="97"/>
  <c r="L17" i="97"/>
  <c r="M17" i="97"/>
  <c r="N17" i="97"/>
  <c r="O17" i="97"/>
  <c r="P17" i="97"/>
  <c r="Q17" i="97"/>
  <c r="R17" i="97"/>
  <c r="S17" i="97"/>
  <c r="T17" i="97"/>
  <c r="U17" i="97"/>
  <c r="V17" i="97"/>
  <c r="W17" i="97"/>
  <c r="X17" i="97"/>
  <c r="Y17" i="97"/>
  <c r="Z17" i="97"/>
  <c r="AA17" i="97"/>
  <c r="AB17" i="97"/>
  <c r="AC17" i="97"/>
  <c r="AD17" i="97"/>
  <c r="AE17" i="97"/>
  <c r="AF17" i="97"/>
  <c r="AG17" i="97"/>
  <c r="AH17" i="97"/>
  <c r="AI17" i="97"/>
  <c r="AJ17" i="97"/>
  <c r="AK17" i="97"/>
  <c r="AL17" i="97"/>
  <c r="AM17" i="97"/>
  <c r="AN17" i="97"/>
  <c r="F18" i="97"/>
  <c r="G18" i="97"/>
  <c r="H18" i="97"/>
  <c r="I18" i="97"/>
  <c r="J18" i="97"/>
  <c r="K18" i="97"/>
  <c r="L18" i="97"/>
  <c r="M18" i="97"/>
  <c r="N18" i="97"/>
  <c r="O18" i="97"/>
  <c r="P18" i="97"/>
  <c r="Q18" i="97"/>
  <c r="R18" i="97"/>
  <c r="S18" i="97"/>
  <c r="T18" i="97"/>
  <c r="U18" i="97"/>
  <c r="V18" i="97"/>
  <c r="W18" i="97"/>
  <c r="X18" i="97"/>
  <c r="Y18" i="97"/>
  <c r="Z18" i="97"/>
  <c r="AA18" i="97"/>
  <c r="AB18" i="97"/>
  <c r="AC18" i="97"/>
  <c r="AD18" i="97"/>
  <c r="AE18" i="97"/>
  <c r="AF18" i="97"/>
  <c r="AG18" i="97"/>
  <c r="AH18" i="97"/>
  <c r="AI18" i="97"/>
  <c r="AJ18" i="97"/>
  <c r="AK18" i="97"/>
  <c r="AL18" i="97"/>
  <c r="AM18" i="97"/>
  <c r="AN18" i="97"/>
  <c r="F19" i="97"/>
  <c r="G19" i="97"/>
  <c r="H19" i="97"/>
  <c r="I19" i="97"/>
  <c r="J19" i="97"/>
  <c r="K19" i="97"/>
  <c r="L19" i="97"/>
  <c r="M19" i="97"/>
  <c r="N19" i="97"/>
  <c r="O19" i="97"/>
  <c r="P19" i="97"/>
  <c r="Q19" i="97"/>
  <c r="R19" i="97"/>
  <c r="S19" i="97"/>
  <c r="T19" i="97"/>
  <c r="U19" i="97"/>
  <c r="V19" i="97"/>
  <c r="W19" i="97"/>
  <c r="X19" i="97"/>
  <c r="Y19" i="97"/>
  <c r="Z19" i="97"/>
  <c r="AA19" i="97"/>
  <c r="AB19" i="97"/>
  <c r="AC19" i="97"/>
  <c r="AD19" i="97"/>
  <c r="AE19" i="97"/>
  <c r="AF19" i="97"/>
  <c r="AG19" i="97"/>
  <c r="AH19" i="97"/>
  <c r="AI19" i="97"/>
  <c r="AJ19" i="97"/>
  <c r="AK19" i="97"/>
  <c r="AL19" i="97"/>
  <c r="AM19" i="97"/>
  <c r="AN19" i="97"/>
  <c r="F20" i="97"/>
  <c r="G20" i="97"/>
  <c r="H20" i="97"/>
  <c r="I20" i="97"/>
  <c r="J20" i="97"/>
  <c r="K20" i="97"/>
  <c r="L20" i="97"/>
  <c r="M20" i="97"/>
  <c r="N20" i="97"/>
  <c r="O20" i="97"/>
  <c r="P20" i="97"/>
  <c r="Q20" i="97"/>
  <c r="R20" i="97"/>
  <c r="S20" i="97"/>
  <c r="T20" i="97"/>
  <c r="U20" i="97"/>
  <c r="V20" i="97"/>
  <c r="W20" i="97"/>
  <c r="X20" i="97"/>
  <c r="Y20" i="97"/>
  <c r="Z20" i="97"/>
  <c r="AA20" i="97"/>
  <c r="AB20" i="97"/>
  <c r="AC20" i="97"/>
  <c r="AD20" i="97"/>
  <c r="AE20" i="97"/>
  <c r="AF20" i="97"/>
  <c r="AG20" i="97"/>
  <c r="AH20" i="97"/>
  <c r="AI20" i="97"/>
  <c r="AJ20" i="97"/>
  <c r="AK20" i="97"/>
  <c r="AL20" i="97"/>
  <c r="AM20" i="97"/>
  <c r="AN20" i="97"/>
  <c r="F21" i="97"/>
  <c r="G21" i="97"/>
  <c r="H21" i="97"/>
  <c r="I21" i="97"/>
  <c r="J21" i="97"/>
  <c r="K21" i="97"/>
  <c r="L21" i="97"/>
  <c r="M21" i="97"/>
  <c r="N21" i="97"/>
  <c r="O21" i="97"/>
  <c r="P21" i="97"/>
  <c r="Q21" i="97"/>
  <c r="R21" i="97"/>
  <c r="S21" i="97"/>
  <c r="T21" i="97"/>
  <c r="U21" i="97"/>
  <c r="V21" i="97"/>
  <c r="W21" i="97"/>
  <c r="X21" i="97"/>
  <c r="Y21" i="97"/>
  <c r="Z21" i="97"/>
  <c r="AA21" i="97"/>
  <c r="AB21" i="97"/>
  <c r="AC21" i="97"/>
  <c r="AD21" i="97"/>
  <c r="AE21" i="97"/>
  <c r="AF21" i="97"/>
  <c r="AG21" i="97"/>
  <c r="AH21" i="97"/>
  <c r="AI21" i="97"/>
  <c r="AJ21" i="97"/>
  <c r="AK21" i="97"/>
  <c r="AL21" i="97"/>
  <c r="AM21" i="97"/>
  <c r="AN21" i="97"/>
  <c r="F22" i="97"/>
  <c r="G22" i="97"/>
  <c r="H22" i="97"/>
  <c r="I22" i="97"/>
  <c r="J22" i="97"/>
  <c r="K22" i="97"/>
  <c r="L22" i="97"/>
  <c r="M22" i="97"/>
  <c r="N22" i="97"/>
  <c r="O22" i="97"/>
  <c r="P22" i="97"/>
  <c r="Q22" i="97"/>
  <c r="R22" i="97"/>
  <c r="S22" i="97"/>
  <c r="T22" i="97"/>
  <c r="U22" i="97"/>
  <c r="V22" i="97"/>
  <c r="W22" i="97"/>
  <c r="X22" i="97"/>
  <c r="Y22" i="97"/>
  <c r="Z22" i="97"/>
  <c r="AA22" i="97"/>
  <c r="AB22" i="97"/>
  <c r="AC22" i="97"/>
  <c r="AD22" i="97"/>
  <c r="AE22" i="97"/>
  <c r="AF22" i="97"/>
  <c r="AG22" i="97"/>
  <c r="AH22" i="97"/>
  <c r="AI22" i="97"/>
  <c r="AJ22" i="97"/>
  <c r="AK22" i="97"/>
  <c r="AL22" i="97"/>
  <c r="AM22" i="97"/>
  <c r="AN22" i="97"/>
  <c r="F23" i="97"/>
  <c r="G23" i="97"/>
  <c r="H23" i="97"/>
  <c r="I23" i="97"/>
  <c r="J23" i="97"/>
  <c r="K23" i="97"/>
  <c r="L23" i="97"/>
  <c r="M23" i="97"/>
  <c r="N23" i="97"/>
  <c r="O23" i="97"/>
  <c r="P23" i="97"/>
  <c r="Q23" i="97"/>
  <c r="R23" i="97"/>
  <c r="S23" i="97"/>
  <c r="T23" i="97"/>
  <c r="U23" i="97"/>
  <c r="V23" i="97"/>
  <c r="W23" i="97"/>
  <c r="X23" i="97"/>
  <c r="Y23" i="97"/>
  <c r="Z23" i="97"/>
  <c r="AA23" i="97"/>
  <c r="AB23" i="97"/>
  <c r="AC23" i="97"/>
  <c r="AD23" i="97"/>
  <c r="AE23" i="97"/>
  <c r="AF23" i="97"/>
  <c r="AG23" i="97"/>
  <c r="AH23" i="97"/>
  <c r="AI23" i="97"/>
  <c r="AJ23" i="97"/>
  <c r="AK23" i="97"/>
  <c r="AL23" i="97"/>
  <c r="AM23" i="97"/>
  <c r="AN23" i="97"/>
  <c r="F24" i="97"/>
  <c r="G24" i="97"/>
  <c r="H24" i="97"/>
  <c r="I24" i="97"/>
  <c r="J24" i="97"/>
  <c r="K24" i="97"/>
  <c r="L24" i="97"/>
  <c r="M24" i="97"/>
  <c r="N24" i="97"/>
  <c r="O24" i="97"/>
  <c r="P24" i="97"/>
  <c r="Q24" i="97"/>
  <c r="R24" i="97"/>
  <c r="S24" i="97"/>
  <c r="T24" i="97"/>
  <c r="U24" i="97"/>
  <c r="V24" i="97"/>
  <c r="W24" i="97"/>
  <c r="X24" i="97"/>
  <c r="Y24" i="97"/>
  <c r="Z24" i="97"/>
  <c r="AA24" i="97"/>
  <c r="AB24" i="97"/>
  <c r="AC24" i="97"/>
  <c r="AD24" i="97"/>
  <c r="AE24" i="97"/>
  <c r="AF24" i="97"/>
  <c r="AG24" i="97"/>
  <c r="AH24" i="97"/>
  <c r="AI24" i="97"/>
  <c r="AJ24" i="97"/>
  <c r="AK24" i="97"/>
  <c r="AL24" i="97"/>
  <c r="AM24" i="97"/>
  <c r="AN24" i="97"/>
  <c r="F25" i="97"/>
  <c r="G25" i="97"/>
  <c r="H25" i="97"/>
  <c r="I25" i="97"/>
  <c r="J25" i="97"/>
  <c r="K25" i="97"/>
  <c r="L25" i="97"/>
  <c r="M25" i="97"/>
  <c r="N25" i="97"/>
  <c r="O25" i="97"/>
  <c r="P25" i="97"/>
  <c r="Q25" i="97"/>
  <c r="R25" i="97"/>
  <c r="S25" i="97"/>
  <c r="T25" i="97"/>
  <c r="U25" i="97"/>
  <c r="V25" i="97"/>
  <c r="W25" i="97"/>
  <c r="X25" i="97"/>
  <c r="Y25" i="97"/>
  <c r="Z25" i="97"/>
  <c r="AA25" i="97"/>
  <c r="AB25" i="97"/>
  <c r="AC25" i="97"/>
  <c r="AD25" i="97"/>
  <c r="AE25" i="97"/>
  <c r="AF25" i="97"/>
  <c r="AG25" i="97"/>
  <c r="AH25" i="97"/>
  <c r="AI25" i="97"/>
  <c r="AJ25" i="97"/>
  <c r="AK25" i="97"/>
  <c r="AL25" i="97"/>
  <c r="AM25" i="97"/>
  <c r="AN25" i="97"/>
  <c r="F26" i="97"/>
  <c r="G26" i="97"/>
  <c r="H26" i="97"/>
  <c r="I26" i="97"/>
  <c r="J26" i="97"/>
  <c r="K26" i="97"/>
  <c r="L26" i="97"/>
  <c r="M26" i="97"/>
  <c r="N26" i="97"/>
  <c r="O26" i="97"/>
  <c r="P26" i="97"/>
  <c r="Q26" i="97"/>
  <c r="R26" i="97"/>
  <c r="S26" i="97"/>
  <c r="T26" i="97"/>
  <c r="U26" i="97"/>
  <c r="V26" i="97"/>
  <c r="W26" i="97"/>
  <c r="X26" i="97"/>
  <c r="Y26" i="97"/>
  <c r="Z26" i="97"/>
  <c r="AA26" i="97"/>
  <c r="AB26" i="97"/>
  <c r="AC26" i="97"/>
  <c r="AD26" i="97"/>
  <c r="AE26" i="97"/>
  <c r="AF26" i="97"/>
  <c r="AG26" i="97"/>
  <c r="AH26" i="97"/>
  <c r="AI26" i="97"/>
  <c r="AJ26" i="97"/>
  <c r="AK26" i="97"/>
  <c r="AL26" i="97"/>
  <c r="AM26" i="97"/>
  <c r="AN26" i="97"/>
  <c r="F27" i="97"/>
  <c r="G27" i="97"/>
  <c r="H27" i="97"/>
  <c r="I27" i="97"/>
  <c r="J27" i="97"/>
  <c r="K27" i="97"/>
  <c r="L27" i="97"/>
  <c r="M27" i="97"/>
  <c r="N27" i="97"/>
  <c r="O27" i="97"/>
  <c r="P27" i="97"/>
  <c r="Q27" i="97"/>
  <c r="R27" i="97"/>
  <c r="S27" i="97"/>
  <c r="T27" i="97"/>
  <c r="U27" i="97"/>
  <c r="V27" i="97"/>
  <c r="W27" i="97"/>
  <c r="X27" i="97"/>
  <c r="Y27" i="97"/>
  <c r="Z27" i="97"/>
  <c r="AA27" i="97"/>
  <c r="AB27" i="97"/>
  <c r="AC27" i="97"/>
  <c r="AD27" i="97"/>
  <c r="AE27" i="97"/>
  <c r="AF27" i="97"/>
  <c r="AG27" i="97"/>
  <c r="AH27" i="97"/>
  <c r="AI27" i="97"/>
  <c r="AJ27" i="97"/>
  <c r="AK27" i="97"/>
  <c r="AL27" i="97"/>
  <c r="AM27" i="97"/>
  <c r="AN27" i="97"/>
  <c r="F28" i="97"/>
  <c r="G28" i="97"/>
  <c r="H28" i="97"/>
  <c r="I28" i="97"/>
  <c r="J28" i="97"/>
  <c r="K28" i="97"/>
  <c r="L28" i="97"/>
  <c r="M28" i="97"/>
  <c r="N28" i="97"/>
  <c r="O28" i="97"/>
  <c r="P28" i="97"/>
  <c r="Q28" i="97"/>
  <c r="R28" i="97"/>
  <c r="S28" i="97"/>
  <c r="T28" i="97"/>
  <c r="U28" i="97"/>
  <c r="V28" i="97"/>
  <c r="W28" i="97"/>
  <c r="X28" i="97"/>
  <c r="Y28" i="97"/>
  <c r="Z28" i="97"/>
  <c r="AA28" i="97"/>
  <c r="AB28" i="97"/>
  <c r="AC28" i="97"/>
  <c r="AD28" i="97"/>
  <c r="AE28" i="97"/>
  <c r="AF28" i="97"/>
  <c r="AG28" i="97"/>
  <c r="AH28" i="97"/>
  <c r="AI28" i="97"/>
  <c r="AJ28" i="97"/>
  <c r="AK28" i="97"/>
  <c r="AL28" i="97"/>
  <c r="AM28" i="97"/>
  <c r="AN28" i="97"/>
  <c r="F29" i="97"/>
  <c r="G29" i="97"/>
  <c r="H29" i="97"/>
  <c r="I29" i="97"/>
  <c r="J29" i="97"/>
  <c r="K29" i="97"/>
  <c r="L29" i="97"/>
  <c r="M29" i="97"/>
  <c r="N29" i="97"/>
  <c r="O29" i="97"/>
  <c r="P29" i="97"/>
  <c r="Q29" i="97"/>
  <c r="R29" i="97"/>
  <c r="S29" i="97"/>
  <c r="T29" i="97"/>
  <c r="U29" i="97"/>
  <c r="V29" i="97"/>
  <c r="W29" i="97"/>
  <c r="X29" i="97"/>
  <c r="Y29" i="97"/>
  <c r="Z29" i="97"/>
  <c r="AA29" i="97"/>
  <c r="AB29" i="97"/>
  <c r="AC29" i="97"/>
  <c r="AD29" i="97"/>
  <c r="AE29" i="97"/>
  <c r="AF29" i="97"/>
  <c r="AG29" i="97"/>
  <c r="AH29" i="97"/>
  <c r="AI29" i="97"/>
  <c r="AJ29" i="97"/>
  <c r="AK29" i="97"/>
  <c r="AL29" i="97"/>
  <c r="AM29" i="97"/>
  <c r="AN29" i="97"/>
  <c r="F30" i="97"/>
  <c r="G30" i="97"/>
  <c r="H30" i="97"/>
  <c r="I30" i="97"/>
  <c r="J30" i="97"/>
  <c r="K30" i="97"/>
  <c r="L30" i="97"/>
  <c r="M30" i="97"/>
  <c r="N30" i="97"/>
  <c r="O30" i="97"/>
  <c r="P30" i="97"/>
  <c r="Q30" i="97"/>
  <c r="R30" i="97"/>
  <c r="S30" i="97"/>
  <c r="T30" i="97"/>
  <c r="U30" i="97"/>
  <c r="V30" i="97"/>
  <c r="W30" i="97"/>
  <c r="X30" i="97"/>
  <c r="Y30" i="97"/>
  <c r="Z30" i="97"/>
  <c r="AA30" i="97"/>
  <c r="AB30" i="97"/>
  <c r="AC30" i="97"/>
  <c r="AD30" i="97"/>
  <c r="AE30" i="97"/>
  <c r="AF30" i="97"/>
  <c r="AG30" i="97"/>
  <c r="AH30" i="97"/>
  <c r="AI30" i="97"/>
  <c r="AJ30" i="97"/>
  <c r="AK30" i="97"/>
  <c r="AL30" i="97"/>
  <c r="AM30" i="97"/>
  <c r="AN30" i="97"/>
  <c r="F31" i="97"/>
  <c r="G31" i="97"/>
  <c r="H31" i="97"/>
  <c r="I31" i="97"/>
  <c r="J31" i="97"/>
  <c r="K31" i="97"/>
  <c r="L31" i="97"/>
  <c r="M31" i="97"/>
  <c r="N31" i="97"/>
  <c r="O31" i="97"/>
  <c r="P31" i="97"/>
  <c r="Q31" i="97"/>
  <c r="R31" i="97"/>
  <c r="S31" i="97"/>
  <c r="T31" i="97"/>
  <c r="U31" i="97"/>
  <c r="V31" i="97"/>
  <c r="W31" i="97"/>
  <c r="X31" i="97"/>
  <c r="Y31" i="97"/>
  <c r="Z31" i="97"/>
  <c r="AA31" i="97"/>
  <c r="AB31" i="97"/>
  <c r="AC31" i="97"/>
  <c r="AD31" i="97"/>
  <c r="AE31" i="97"/>
  <c r="AF31" i="97"/>
  <c r="AG31" i="97"/>
  <c r="AH31" i="97"/>
  <c r="AI31" i="97"/>
  <c r="AJ31" i="97"/>
  <c r="AK31" i="97"/>
  <c r="AL31" i="97"/>
  <c r="AM31" i="97"/>
  <c r="AN31" i="97"/>
  <c r="F32" i="97"/>
  <c r="G32" i="97"/>
  <c r="H32" i="97"/>
  <c r="I32" i="97"/>
  <c r="J32" i="97"/>
  <c r="K32" i="97"/>
  <c r="L32" i="97"/>
  <c r="M32" i="97"/>
  <c r="N32" i="97"/>
  <c r="O32" i="97"/>
  <c r="P32" i="97"/>
  <c r="Q32" i="97"/>
  <c r="R32" i="97"/>
  <c r="S32" i="97"/>
  <c r="T32" i="97"/>
  <c r="U32" i="97"/>
  <c r="V32" i="97"/>
  <c r="W32" i="97"/>
  <c r="X32" i="97"/>
  <c r="Y32" i="97"/>
  <c r="Z32" i="97"/>
  <c r="AA32" i="97"/>
  <c r="AB32" i="97"/>
  <c r="AC32" i="97"/>
  <c r="AD32" i="97"/>
  <c r="AE32" i="97"/>
  <c r="AF32" i="97"/>
  <c r="AG32" i="97"/>
  <c r="AH32" i="97"/>
  <c r="AI32" i="97"/>
  <c r="AJ32" i="97"/>
  <c r="AK32" i="97"/>
  <c r="AL32" i="97"/>
  <c r="AM32" i="97"/>
  <c r="AN32" i="97"/>
  <c r="F33" i="97"/>
  <c r="G33" i="97"/>
  <c r="H33" i="97"/>
  <c r="I33" i="97"/>
  <c r="J33" i="97"/>
  <c r="K33" i="97"/>
  <c r="L33" i="97"/>
  <c r="M33" i="97"/>
  <c r="N33" i="97"/>
  <c r="O33" i="97"/>
  <c r="P33" i="97"/>
  <c r="Q33" i="97"/>
  <c r="R33" i="97"/>
  <c r="S33" i="97"/>
  <c r="T33" i="97"/>
  <c r="U33" i="97"/>
  <c r="V33" i="97"/>
  <c r="W33" i="97"/>
  <c r="X33" i="97"/>
  <c r="Y33" i="97"/>
  <c r="Z33" i="97"/>
  <c r="AA33" i="97"/>
  <c r="AB33" i="97"/>
  <c r="AC33" i="97"/>
  <c r="AD33" i="97"/>
  <c r="AE33" i="97"/>
  <c r="AF33" i="97"/>
  <c r="AG33" i="97"/>
  <c r="AH33" i="97"/>
  <c r="AI33" i="97"/>
  <c r="AJ33" i="97"/>
  <c r="AK33" i="97"/>
  <c r="AL33" i="97"/>
  <c r="AM33" i="97"/>
  <c r="AN33" i="97"/>
  <c r="F34" i="97"/>
  <c r="G34" i="97"/>
  <c r="H34" i="97"/>
  <c r="I34" i="97"/>
  <c r="J34" i="97"/>
  <c r="K34" i="97"/>
  <c r="L34" i="97"/>
  <c r="M34" i="97"/>
  <c r="N34" i="97"/>
  <c r="O34" i="97"/>
  <c r="P34" i="97"/>
  <c r="Q34" i="97"/>
  <c r="R34" i="97"/>
  <c r="S34" i="97"/>
  <c r="T34" i="97"/>
  <c r="U34" i="97"/>
  <c r="V34" i="97"/>
  <c r="W34" i="97"/>
  <c r="X34" i="97"/>
  <c r="Y34" i="97"/>
  <c r="Z34" i="97"/>
  <c r="AA34" i="97"/>
  <c r="AB34" i="97"/>
  <c r="AC34" i="97"/>
  <c r="AD34" i="97"/>
  <c r="AE34" i="97"/>
  <c r="AF34" i="97"/>
  <c r="AG34" i="97"/>
  <c r="AH34" i="97"/>
  <c r="AI34" i="97"/>
  <c r="AJ34" i="97"/>
  <c r="AK34" i="97"/>
  <c r="AL34" i="97"/>
  <c r="AM34" i="97"/>
  <c r="AN34" i="97"/>
  <c r="F35" i="97"/>
  <c r="G35" i="97"/>
  <c r="H35" i="97"/>
  <c r="I35" i="97"/>
  <c r="J35" i="97"/>
  <c r="K35" i="97"/>
  <c r="L35" i="97"/>
  <c r="M35" i="97"/>
  <c r="N35" i="97"/>
  <c r="O35" i="97"/>
  <c r="P35" i="97"/>
  <c r="Q35" i="97"/>
  <c r="R35" i="97"/>
  <c r="S35" i="97"/>
  <c r="T35" i="97"/>
  <c r="U35" i="97"/>
  <c r="V35" i="97"/>
  <c r="W35" i="97"/>
  <c r="X35" i="97"/>
  <c r="Y35" i="97"/>
  <c r="Z35" i="97"/>
  <c r="AA35" i="97"/>
  <c r="AB35" i="97"/>
  <c r="AC35" i="97"/>
  <c r="AD35" i="97"/>
  <c r="AE35" i="97"/>
  <c r="AF35" i="97"/>
  <c r="AG35" i="97"/>
  <c r="AH35" i="97"/>
  <c r="AI35" i="97"/>
  <c r="AJ35" i="97"/>
  <c r="AK35" i="97"/>
  <c r="AL35" i="97"/>
  <c r="AM35" i="97"/>
  <c r="AN35" i="97"/>
  <c r="F36" i="97"/>
  <c r="G36" i="97"/>
  <c r="H36" i="97"/>
  <c r="I36" i="97"/>
  <c r="J36" i="97"/>
  <c r="K36" i="97"/>
  <c r="L36" i="97"/>
  <c r="M36" i="97"/>
  <c r="N36" i="97"/>
  <c r="O36" i="97"/>
  <c r="P36" i="97"/>
  <c r="Q36" i="97"/>
  <c r="R36" i="97"/>
  <c r="S36" i="97"/>
  <c r="T36" i="97"/>
  <c r="U36" i="97"/>
  <c r="V36" i="97"/>
  <c r="W36" i="97"/>
  <c r="X36" i="97"/>
  <c r="Y36" i="97"/>
  <c r="Z36" i="97"/>
  <c r="AA36" i="97"/>
  <c r="AB36" i="97"/>
  <c r="AC36" i="97"/>
  <c r="AD36" i="97"/>
  <c r="AE36" i="97"/>
  <c r="AF36" i="97"/>
  <c r="AG36" i="97"/>
  <c r="AH36" i="97"/>
  <c r="AI36" i="97"/>
  <c r="AJ36" i="97"/>
  <c r="AK36" i="97"/>
  <c r="AL36" i="97"/>
  <c r="AM36" i="97"/>
  <c r="AN36" i="97"/>
  <c r="F37" i="97"/>
  <c r="G37" i="97"/>
  <c r="H37" i="97"/>
  <c r="I37" i="97"/>
  <c r="J37" i="97"/>
  <c r="K37" i="97"/>
  <c r="L37" i="97"/>
  <c r="M37" i="97"/>
  <c r="N37" i="97"/>
  <c r="O37" i="97"/>
  <c r="P37" i="97"/>
  <c r="Q37" i="97"/>
  <c r="R37" i="97"/>
  <c r="S37" i="97"/>
  <c r="T37" i="97"/>
  <c r="U37" i="97"/>
  <c r="V37" i="97"/>
  <c r="W37" i="97"/>
  <c r="X37" i="97"/>
  <c r="Y37" i="97"/>
  <c r="Z37" i="97"/>
  <c r="AA37" i="97"/>
  <c r="AB37" i="97"/>
  <c r="AC37" i="97"/>
  <c r="AD37" i="97"/>
  <c r="AE37" i="97"/>
  <c r="AF37" i="97"/>
  <c r="AG37" i="97"/>
  <c r="AH37" i="97"/>
  <c r="AI37" i="97"/>
  <c r="AJ37" i="97"/>
  <c r="AK37" i="97"/>
  <c r="AL37" i="97"/>
  <c r="AM37" i="97"/>
  <c r="AN37" i="97"/>
  <c r="F38" i="97"/>
  <c r="G38" i="97"/>
  <c r="H38" i="97"/>
  <c r="I38" i="97"/>
  <c r="J38" i="97"/>
  <c r="K38" i="97"/>
  <c r="L38" i="97"/>
  <c r="M38" i="97"/>
  <c r="N38" i="97"/>
  <c r="O38" i="97"/>
  <c r="P38" i="97"/>
  <c r="Q38" i="97"/>
  <c r="R38" i="97"/>
  <c r="S38" i="97"/>
  <c r="T38" i="97"/>
  <c r="U38" i="97"/>
  <c r="V38" i="97"/>
  <c r="W38" i="97"/>
  <c r="X38" i="97"/>
  <c r="Y38" i="97"/>
  <c r="Z38" i="97"/>
  <c r="AA38" i="97"/>
  <c r="AB38" i="97"/>
  <c r="AC38" i="97"/>
  <c r="AD38" i="97"/>
  <c r="AE38" i="97"/>
  <c r="AF38" i="97"/>
  <c r="AG38" i="97"/>
  <c r="AH38" i="97"/>
  <c r="AI38" i="97"/>
  <c r="AJ38" i="97"/>
  <c r="AK38" i="97"/>
  <c r="AL38" i="97"/>
  <c r="AM38" i="97"/>
  <c r="AN38" i="97"/>
  <c r="F39" i="97"/>
  <c r="G39" i="97"/>
  <c r="H39" i="97"/>
  <c r="I39" i="97"/>
  <c r="J39" i="97"/>
  <c r="K39" i="97"/>
  <c r="L39" i="97"/>
  <c r="M39" i="97"/>
  <c r="N39" i="97"/>
  <c r="O39" i="97"/>
  <c r="P39" i="97"/>
  <c r="Q39" i="97"/>
  <c r="R39" i="97"/>
  <c r="S39" i="97"/>
  <c r="T39" i="97"/>
  <c r="U39" i="97"/>
  <c r="V39" i="97"/>
  <c r="W39" i="97"/>
  <c r="X39" i="97"/>
  <c r="Y39" i="97"/>
  <c r="Z39" i="97"/>
  <c r="AA39" i="97"/>
  <c r="AB39" i="97"/>
  <c r="AC39" i="97"/>
  <c r="AD39" i="97"/>
  <c r="AE39" i="97"/>
  <c r="AF39" i="97"/>
  <c r="AG39" i="97"/>
  <c r="AH39" i="97"/>
  <c r="AI39" i="97"/>
  <c r="AJ39" i="97"/>
  <c r="AK39" i="97"/>
  <c r="AL39" i="97"/>
  <c r="AM39" i="97"/>
  <c r="AN39" i="97"/>
  <c r="F40" i="97"/>
  <c r="G40" i="97"/>
  <c r="H40" i="97"/>
  <c r="I40" i="97"/>
  <c r="J40" i="97"/>
  <c r="K40" i="97"/>
  <c r="L40" i="97"/>
  <c r="M40" i="97"/>
  <c r="N40" i="97"/>
  <c r="O40" i="97"/>
  <c r="P40" i="97"/>
  <c r="Q40" i="97"/>
  <c r="R40" i="97"/>
  <c r="S40" i="97"/>
  <c r="T40" i="97"/>
  <c r="U40" i="97"/>
  <c r="V40" i="97"/>
  <c r="W40" i="97"/>
  <c r="X40" i="97"/>
  <c r="Y40" i="97"/>
  <c r="Z40" i="97"/>
  <c r="AA40" i="97"/>
  <c r="AB40" i="97"/>
  <c r="AC40" i="97"/>
  <c r="AD40" i="97"/>
  <c r="AE40" i="97"/>
  <c r="AF40" i="97"/>
  <c r="AG40" i="97"/>
  <c r="AH40" i="97"/>
  <c r="AI40" i="97"/>
  <c r="AJ40" i="97"/>
  <c r="AK40" i="97"/>
  <c r="AL40" i="97"/>
  <c r="AM40" i="97"/>
  <c r="AN40" i="97"/>
  <c r="F41" i="97"/>
  <c r="G41" i="97"/>
  <c r="H41" i="97"/>
  <c r="I41" i="97"/>
  <c r="J41" i="97"/>
  <c r="K41" i="97"/>
  <c r="L41" i="97"/>
  <c r="M41" i="97"/>
  <c r="N41" i="97"/>
  <c r="O41" i="97"/>
  <c r="P41" i="97"/>
  <c r="Q41" i="97"/>
  <c r="R41" i="97"/>
  <c r="S41" i="97"/>
  <c r="T41" i="97"/>
  <c r="U41" i="97"/>
  <c r="V41" i="97"/>
  <c r="W41" i="97"/>
  <c r="X41" i="97"/>
  <c r="Y41" i="97"/>
  <c r="Z41" i="97"/>
  <c r="AA41" i="97"/>
  <c r="AB41" i="97"/>
  <c r="AC41" i="97"/>
  <c r="AD41" i="97"/>
  <c r="AE41" i="97"/>
  <c r="AF41" i="97"/>
  <c r="AG41" i="97"/>
  <c r="AH41" i="97"/>
  <c r="AI41" i="97"/>
  <c r="AJ41" i="97"/>
  <c r="AK41" i="97"/>
  <c r="AL41" i="97"/>
  <c r="AM41" i="97"/>
  <c r="AN41" i="97"/>
  <c r="F42" i="97"/>
  <c r="G42" i="97"/>
  <c r="H42" i="97"/>
  <c r="I42" i="97"/>
  <c r="J42" i="97"/>
  <c r="K42" i="97"/>
  <c r="L42" i="97"/>
  <c r="M42" i="97"/>
  <c r="N42" i="97"/>
  <c r="O42" i="97"/>
  <c r="P42" i="97"/>
  <c r="Q42" i="97"/>
  <c r="R42" i="97"/>
  <c r="S42" i="97"/>
  <c r="T42" i="97"/>
  <c r="U42" i="97"/>
  <c r="V42" i="97"/>
  <c r="W42" i="97"/>
  <c r="X42" i="97"/>
  <c r="Y42" i="97"/>
  <c r="Z42" i="97"/>
  <c r="AA42" i="97"/>
  <c r="AB42" i="97"/>
  <c r="AC42" i="97"/>
  <c r="AD42" i="97"/>
  <c r="AE42" i="97"/>
  <c r="AF42" i="97"/>
  <c r="AG42" i="97"/>
  <c r="AH42" i="97"/>
  <c r="AI42" i="97"/>
  <c r="AJ42" i="97"/>
  <c r="AK42" i="97"/>
  <c r="AL42" i="97"/>
  <c r="AM42" i="97"/>
  <c r="AN42" i="97"/>
  <c r="F43" i="97"/>
  <c r="G43" i="97"/>
  <c r="H43" i="97"/>
  <c r="I43" i="97"/>
  <c r="J43" i="97"/>
  <c r="K43" i="97"/>
  <c r="L43" i="97"/>
  <c r="M43" i="97"/>
  <c r="N43" i="97"/>
  <c r="O43" i="97"/>
  <c r="P43" i="97"/>
  <c r="Q43" i="97"/>
  <c r="R43" i="97"/>
  <c r="S43" i="97"/>
  <c r="T43" i="97"/>
  <c r="U43" i="97"/>
  <c r="V43" i="97"/>
  <c r="W43" i="97"/>
  <c r="X43" i="97"/>
  <c r="Y43" i="97"/>
  <c r="Z43" i="97"/>
  <c r="AA43" i="97"/>
  <c r="AB43" i="97"/>
  <c r="AC43" i="97"/>
  <c r="AD43" i="97"/>
  <c r="AE43" i="97"/>
  <c r="AF43" i="97"/>
  <c r="AG43" i="97"/>
  <c r="AH43" i="97"/>
  <c r="AI43" i="97"/>
  <c r="AJ43" i="97"/>
  <c r="AK43" i="97"/>
  <c r="AL43" i="97"/>
  <c r="AM43" i="97"/>
  <c r="AN43" i="97"/>
  <c r="F44" i="97"/>
  <c r="G44" i="97"/>
  <c r="H44" i="97"/>
  <c r="I44" i="97"/>
  <c r="J44" i="97"/>
  <c r="K44" i="97"/>
  <c r="L44" i="97"/>
  <c r="M44" i="97"/>
  <c r="N44" i="97"/>
  <c r="O44" i="97"/>
  <c r="P44" i="97"/>
  <c r="Q44" i="97"/>
  <c r="R44" i="97"/>
  <c r="S44" i="97"/>
  <c r="T44" i="97"/>
  <c r="U44" i="97"/>
  <c r="V44" i="97"/>
  <c r="W44" i="97"/>
  <c r="X44" i="97"/>
  <c r="Y44" i="97"/>
  <c r="Z44" i="97"/>
  <c r="AA44" i="97"/>
  <c r="AB44" i="97"/>
  <c r="AC44" i="97"/>
  <c r="AD44" i="97"/>
  <c r="AE44" i="97"/>
  <c r="AF44" i="97"/>
  <c r="AG44" i="97"/>
  <c r="AH44" i="97"/>
  <c r="AI44" i="97"/>
  <c r="AJ44" i="97"/>
  <c r="AK44" i="97"/>
  <c r="AL44" i="97"/>
  <c r="AM44" i="97"/>
  <c r="AN44" i="97"/>
  <c r="F45" i="97"/>
  <c r="G45" i="97"/>
  <c r="H45" i="97"/>
  <c r="I45" i="97"/>
  <c r="J45" i="97"/>
  <c r="K45" i="97"/>
  <c r="L45" i="97"/>
  <c r="M45" i="97"/>
  <c r="N45" i="97"/>
  <c r="O45" i="97"/>
  <c r="P45" i="97"/>
  <c r="Q45" i="97"/>
  <c r="R45" i="97"/>
  <c r="S45" i="97"/>
  <c r="T45" i="97"/>
  <c r="U45" i="97"/>
  <c r="V45" i="97"/>
  <c r="W45" i="97"/>
  <c r="X45" i="97"/>
  <c r="Y45" i="97"/>
  <c r="Z45" i="97"/>
  <c r="AA45" i="97"/>
  <c r="AB45" i="97"/>
  <c r="AC45" i="97"/>
  <c r="AD45" i="97"/>
  <c r="AE45" i="97"/>
  <c r="AF45" i="97"/>
  <c r="AG45" i="97"/>
  <c r="AH45" i="97"/>
  <c r="AI45" i="97"/>
  <c r="AJ45" i="97"/>
  <c r="AK45" i="97"/>
  <c r="AL45" i="97"/>
  <c r="AM45" i="97"/>
  <c r="AN45" i="97"/>
  <c r="F46" i="97"/>
  <c r="G46" i="97"/>
  <c r="H46" i="97"/>
  <c r="I46" i="97"/>
  <c r="J46" i="97"/>
  <c r="K46" i="97"/>
  <c r="L46" i="97"/>
  <c r="M46" i="97"/>
  <c r="N46" i="97"/>
  <c r="O46" i="97"/>
  <c r="P46" i="97"/>
  <c r="Q46" i="97"/>
  <c r="R46" i="97"/>
  <c r="S46" i="97"/>
  <c r="T46" i="97"/>
  <c r="U46" i="97"/>
  <c r="V46" i="97"/>
  <c r="W46" i="97"/>
  <c r="X46" i="97"/>
  <c r="Y46" i="97"/>
  <c r="Z46" i="97"/>
  <c r="AA46" i="97"/>
  <c r="AB46" i="97"/>
  <c r="AC46" i="97"/>
  <c r="AD46" i="97"/>
  <c r="AE46" i="97"/>
  <c r="AF46" i="97"/>
  <c r="AG46" i="97"/>
  <c r="AH46" i="97"/>
  <c r="AI46" i="97"/>
  <c r="AJ46" i="97"/>
  <c r="AK46" i="97"/>
  <c r="AL46" i="97"/>
  <c r="AM46" i="97"/>
  <c r="AN46" i="97"/>
  <c r="F47" i="97"/>
  <c r="G47" i="97"/>
  <c r="H47" i="97"/>
  <c r="I47" i="97"/>
  <c r="J47" i="97"/>
  <c r="K47" i="97"/>
  <c r="L47" i="97"/>
  <c r="M47" i="97"/>
  <c r="N47" i="97"/>
  <c r="O47" i="97"/>
  <c r="P47" i="97"/>
  <c r="Q47" i="97"/>
  <c r="R47" i="97"/>
  <c r="S47" i="97"/>
  <c r="T47" i="97"/>
  <c r="U47" i="97"/>
  <c r="V47" i="97"/>
  <c r="W47" i="97"/>
  <c r="X47" i="97"/>
  <c r="Y47" i="97"/>
  <c r="Z47" i="97"/>
  <c r="AA47" i="97"/>
  <c r="AB47" i="97"/>
  <c r="AC47" i="97"/>
  <c r="AD47" i="97"/>
  <c r="AE47" i="97"/>
  <c r="AF47" i="97"/>
  <c r="AG47" i="97"/>
  <c r="AH47" i="97"/>
  <c r="AI47" i="97"/>
  <c r="AJ47" i="97"/>
  <c r="AK47" i="97"/>
  <c r="AL47" i="97"/>
  <c r="AM47" i="97"/>
  <c r="AN47" i="97"/>
  <c r="F48" i="97"/>
  <c r="G48" i="97"/>
  <c r="H48" i="97"/>
  <c r="I48" i="97"/>
  <c r="J48" i="97"/>
  <c r="K48" i="97"/>
  <c r="L48" i="97"/>
  <c r="M48" i="97"/>
  <c r="N48" i="97"/>
  <c r="O48" i="97"/>
  <c r="P48" i="97"/>
  <c r="Q48" i="97"/>
  <c r="R48" i="97"/>
  <c r="S48" i="97"/>
  <c r="T48" i="97"/>
  <c r="U48" i="97"/>
  <c r="V48" i="97"/>
  <c r="W48" i="97"/>
  <c r="X48" i="97"/>
  <c r="Y48" i="97"/>
  <c r="Z48" i="97"/>
  <c r="AA48" i="97"/>
  <c r="AB48" i="97"/>
  <c r="AC48" i="97"/>
  <c r="AD48" i="97"/>
  <c r="AE48" i="97"/>
  <c r="AF48" i="97"/>
  <c r="AG48" i="97"/>
  <c r="AH48" i="97"/>
  <c r="AI48" i="97"/>
  <c r="AJ48" i="97"/>
  <c r="AK48" i="97"/>
  <c r="AL48" i="97"/>
  <c r="AM48" i="97"/>
  <c r="AN48" i="97"/>
  <c r="F49" i="97"/>
  <c r="G49" i="97"/>
  <c r="H49" i="97"/>
  <c r="I49" i="97"/>
  <c r="J49" i="97"/>
  <c r="K49" i="97"/>
  <c r="L49" i="97"/>
  <c r="M49" i="97"/>
  <c r="N49" i="97"/>
  <c r="O49" i="97"/>
  <c r="P49" i="97"/>
  <c r="Q49" i="97"/>
  <c r="R49" i="97"/>
  <c r="S49" i="97"/>
  <c r="T49" i="97"/>
  <c r="U49" i="97"/>
  <c r="V49" i="97"/>
  <c r="W49" i="97"/>
  <c r="X49" i="97"/>
  <c r="Y49" i="97"/>
  <c r="Z49" i="97"/>
  <c r="AA49" i="97"/>
  <c r="AB49" i="97"/>
  <c r="AC49" i="97"/>
  <c r="AD49" i="97"/>
  <c r="AE49" i="97"/>
  <c r="AF49" i="97"/>
  <c r="AG49" i="97"/>
  <c r="AH49" i="97"/>
  <c r="AI49" i="97"/>
  <c r="AJ49" i="97"/>
  <c r="AK49" i="97"/>
  <c r="AL49" i="97"/>
  <c r="AM49" i="97"/>
  <c r="AN49" i="97"/>
  <c r="F50" i="97"/>
  <c r="G50" i="97"/>
  <c r="H50" i="97"/>
  <c r="I50" i="97"/>
  <c r="J50" i="97"/>
  <c r="K50" i="97"/>
  <c r="L50" i="97"/>
  <c r="M50" i="97"/>
  <c r="N50" i="97"/>
  <c r="O50" i="97"/>
  <c r="P50" i="97"/>
  <c r="Q50" i="97"/>
  <c r="R50" i="97"/>
  <c r="S50" i="97"/>
  <c r="T50" i="97"/>
  <c r="U50" i="97"/>
  <c r="V50" i="97"/>
  <c r="W50" i="97"/>
  <c r="X50" i="97"/>
  <c r="Y50" i="97"/>
  <c r="Z50" i="97"/>
  <c r="AA50" i="97"/>
  <c r="AB50" i="97"/>
  <c r="AC50" i="97"/>
  <c r="AD50" i="97"/>
  <c r="AE50" i="97"/>
  <c r="AF50" i="97"/>
  <c r="AG50" i="97"/>
  <c r="AH50" i="97"/>
  <c r="AI50" i="97"/>
  <c r="AJ50" i="97"/>
  <c r="AK50" i="97"/>
  <c r="AL50" i="97"/>
  <c r="AM50" i="97"/>
  <c r="AN50" i="97"/>
  <c r="F51" i="97"/>
  <c r="G51" i="97"/>
  <c r="H51" i="97"/>
  <c r="I51" i="97"/>
  <c r="J51" i="97"/>
  <c r="K51" i="97"/>
  <c r="L51" i="97"/>
  <c r="M51" i="97"/>
  <c r="N51" i="97"/>
  <c r="O51" i="97"/>
  <c r="P51" i="97"/>
  <c r="Q51" i="97"/>
  <c r="R51" i="97"/>
  <c r="S51" i="97"/>
  <c r="T51" i="97"/>
  <c r="U51" i="97"/>
  <c r="V51" i="97"/>
  <c r="W51" i="97"/>
  <c r="X51" i="97"/>
  <c r="Y51" i="97"/>
  <c r="Z51" i="97"/>
  <c r="AA51" i="97"/>
  <c r="AB51" i="97"/>
  <c r="AC51" i="97"/>
  <c r="AD51" i="97"/>
  <c r="AE51" i="97"/>
  <c r="AF51" i="97"/>
  <c r="AG51" i="97"/>
  <c r="AH51" i="97"/>
  <c r="AI51" i="97"/>
  <c r="AJ51" i="97"/>
  <c r="AK51" i="97"/>
  <c r="AL51" i="97"/>
  <c r="AM51" i="97"/>
  <c r="AN51" i="97"/>
  <c r="F52" i="97"/>
  <c r="G52" i="97"/>
  <c r="H52" i="97"/>
  <c r="I52" i="97"/>
  <c r="J52" i="97"/>
  <c r="K52" i="97"/>
  <c r="L52" i="97"/>
  <c r="M52" i="97"/>
  <c r="N52" i="97"/>
  <c r="O52" i="97"/>
  <c r="P52" i="97"/>
  <c r="Q52" i="97"/>
  <c r="R52" i="97"/>
  <c r="S52" i="97"/>
  <c r="T52" i="97"/>
  <c r="U52" i="97"/>
  <c r="V52" i="97"/>
  <c r="W52" i="97"/>
  <c r="X52" i="97"/>
  <c r="Y52" i="97"/>
  <c r="Z52" i="97"/>
  <c r="AA52" i="97"/>
  <c r="AB52" i="97"/>
  <c r="AC52" i="97"/>
  <c r="AD52" i="97"/>
  <c r="AE52" i="97"/>
  <c r="AF52" i="97"/>
  <c r="AG52" i="97"/>
  <c r="AH52" i="97"/>
  <c r="AI52" i="97"/>
  <c r="AJ52" i="97"/>
  <c r="AK52" i="97"/>
  <c r="AL52" i="97"/>
  <c r="AM52" i="97"/>
  <c r="AN52" i="97"/>
  <c r="F53" i="97"/>
  <c r="G53" i="97"/>
  <c r="H53" i="97"/>
  <c r="I53" i="97"/>
  <c r="J53" i="97"/>
  <c r="K53" i="97"/>
  <c r="L53" i="97"/>
  <c r="M53" i="97"/>
  <c r="N53" i="97"/>
  <c r="O53" i="97"/>
  <c r="P53" i="97"/>
  <c r="Q53" i="97"/>
  <c r="R53" i="97"/>
  <c r="S53" i="97"/>
  <c r="T53" i="97"/>
  <c r="U53" i="97"/>
  <c r="V53" i="97"/>
  <c r="W53" i="97"/>
  <c r="X53" i="97"/>
  <c r="Y53" i="97"/>
  <c r="Z53" i="97"/>
  <c r="AA53" i="97"/>
  <c r="AB53" i="97"/>
  <c r="AC53" i="97"/>
  <c r="AD53" i="97"/>
  <c r="AE53" i="97"/>
  <c r="AF53" i="97"/>
  <c r="AG53" i="97"/>
  <c r="AH53" i="97"/>
  <c r="AI53" i="97"/>
  <c r="AJ53" i="97"/>
  <c r="AK53" i="97"/>
  <c r="AL53" i="97"/>
  <c r="AM53" i="97"/>
  <c r="AN53" i="97"/>
  <c r="F54" i="97"/>
  <c r="G54" i="97"/>
  <c r="H54" i="97"/>
  <c r="I54" i="97"/>
  <c r="J54" i="97"/>
  <c r="K54" i="97"/>
  <c r="L54" i="97"/>
  <c r="M54" i="97"/>
  <c r="N54" i="97"/>
  <c r="O54" i="97"/>
  <c r="P54" i="97"/>
  <c r="Q54" i="97"/>
  <c r="R54" i="97"/>
  <c r="S54" i="97"/>
  <c r="T54" i="97"/>
  <c r="U54" i="97"/>
  <c r="V54" i="97"/>
  <c r="W54" i="97"/>
  <c r="X54" i="97"/>
  <c r="Y54" i="97"/>
  <c r="Z54" i="97"/>
  <c r="AA54" i="97"/>
  <c r="AB54" i="97"/>
  <c r="AC54" i="97"/>
  <c r="AD54" i="97"/>
  <c r="AE54" i="97"/>
  <c r="AF54" i="97"/>
  <c r="AG54" i="97"/>
  <c r="AH54" i="97"/>
  <c r="AI54" i="97"/>
  <c r="AJ54" i="97"/>
  <c r="AK54" i="97"/>
  <c r="AL54" i="97"/>
  <c r="AM54" i="97"/>
  <c r="AN54" i="97"/>
  <c r="F55" i="97"/>
  <c r="G55" i="97"/>
  <c r="H55" i="97"/>
  <c r="I55" i="97"/>
  <c r="J55" i="97"/>
  <c r="K55" i="97"/>
  <c r="L55" i="97"/>
  <c r="M55" i="97"/>
  <c r="N55" i="97"/>
  <c r="O55" i="97"/>
  <c r="P55" i="97"/>
  <c r="Q55" i="97"/>
  <c r="R55" i="97"/>
  <c r="S55" i="97"/>
  <c r="T55" i="97"/>
  <c r="U55" i="97"/>
  <c r="V55" i="97"/>
  <c r="W55" i="97"/>
  <c r="X55" i="97"/>
  <c r="Y55" i="97"/>
  <c r="Z55" i="97"/>
  <c r="AA55" i="97"/>
  <c r="AB55" i="97"/>
  <c r="AC55" i="97"/>
  <c r="AD55" i="97"/>
  <c r="AE55" i="97"/>
  <c r="AF55" i="97"/>
  <c r="AG55" i="97"/>
  <c r="AH55" i="97"/>
  <c r="AI55" i="97"/>
  <c r="AJ55" i="97"/>
  <c r="AK55" i="97"/>
  <c r="AL55" i="97"/>
  <c r="AM55" i="97"/>
  <c r="AN55" i="97"/>
  <c r="F56" i="97"/>
  <c r="G56" i="97"/>
  <c r="H56" i="97"/>
  <c r="I56" i="97"/>
  <c r="J56" i="97"/>
  <c r="K56" i="97"/>
  <c r="L56" i="97"/>
  <c r="M56" i="97"/>
  <c r="N56" i="97"/>
  <c r="O56" i="97"/>
  <c r="P56" i="97"/>
  <c r="Q56" i="97"/>
  <c r="R56" i="97"/>
  <c r="S56" i="97"/>
  <c r="T56" i="97"/>
  <c r="U56" i="97"/>
  <c r="V56" i="97"/>
  <c r="W56" i="97"/>
  <c r="X56" i="97"/>
  <c r="Y56" i="97"/>
  <c r="Z56" i="97"/>
  <c r="AA56" i="97"/>
  <c r="AB56" i="97"/>
  <c r="AC56" i="97"/>
  <c r="AD56" i="97"/>
  <c r="AE56" i="97"/>
  <c r="AF56" i="97"/>
  <c r="AG56" i="97"/>
  <c r="AH56" i="97"/>
  <c r="AI56" i="97"/>
  <c r="AJ56" i="97"/>
  <c r="AK56" i="97"/>
  <c r="AL56" i="97"/>
  <c r="AM56" i="97"/>
  <c r="AN56" i="97"/>
  <c r="F57" i="97"/>
  <c r="G57" i="97"/>
  <c r="H57" i="97"/>
  <c r="I57" i="97"/>
  <c r="J57" i="97"/>
  <c r="K57" i="97"/>
  <c r="L57" i="97"/>
  <c r="M57" i="97"/>
  <c r="N57" i="97"/>
  <c r="O57" i="97"/>
  <c r="P57" i="97"/>
  <c r="Q57" i="97"/>
  <c r="R57" i="97"/>
  <c r="S57" i="97"/>
  <c r="T57" i="97"/>
  <c r="U57" i="97"/>
  <c r="V57" i="97"/>
  <c r="W57" i="97"/>
  <c r="X57" i="97"/>
  <c r="Y57" i="97"/>
  <c r="Z57" i="97"/>
  <c r="AA57" i="97"/>
  <c r="AB57" i="97"/>
  <c r="AC57" i="97"/>
  <c r="AD57" i="97"/>
  <c r="AE57" i="97"/>
  <c r="AF57" i="97"/>
  <c r="AG57" i="97"/>
  <c r="AH57" i="97"/>
  <c r="AI57" i="97"/>
  <c r="AJ57" i="97"/>
  <c r="AK57" i="97"/>
  <c r="AL57" i="97"/>
  <c r="AM57" i="97"/>
  <c r="AN57" i="97"/>
  <c r="F58" i="97"/>
  <c r="G58" i="97"/>
  <c r="H58" i="97"/>
  <c r="I58" i="97"/>
  <c r="J58" i="97"/>
  <c r="K58" i="97"/>
  <c r="L58" i="97"/>
  <c r="M58" i="97"/>
  <c r="N58" i="97"/>
  <c r="O58" i="97"/>
  <c r="P58" i="97"/>
  <c r="Q58" i="97"/>
  <c r="R58" i="97"/>
  <c r="S58" i="97"/>
  <c r="T58" i="97"/>
  <c r="U58" i="97"/>
  <c r="V58" i="97"/>
  <c r="W58" i="97"/>
  <c r="X58" i="97"/>
  <c r="Y58" i="97"/>
  <c r="Z58" i="97"/>
  <c r="AA58" i="97"/>
  <c r="AB58" i="97"/>
  <c r="AC58" i="97"/>
  <c r="AD58" i="97"/>
  <c r="AE58" i="97"/>
  <c r="AF58" i="97"/>
  <c r="AG58" i="97"/>
  <c r="AH58" i="97"/>
  <c r="AI58" i="97"/>
  <c r="AJ58" i="97"/>
  <c r="AK58" i="97"/>
  <c r="AL58" i="97"/>
  <c r="AM58" i="97"/>
  <c r="AN58" i="97"/>
  <c r="F59" i="97"/>
  <c r="G59" i="97"/>
  <c r="H59" i="97"/>
  <c r="I59" i="97"/>
  <c r="J59" i="97"/>
  <c r="K59" i="97"/>
  <c r="L59" i="97"/>
  <c r="M59" i="97"/>
  <c r="N59" i="97"/>
  <c r="O59" i="97"/>
  <c r="P59" i="97"/>
  <c r="Q59" i="97"/>
  <c r="R59" i="97"/>
  <c r="S59" i="97"/>
  <c r="T59" i="97"/>
  <c r="U59" i="97"/>
  <c r="V59" i="97"/>
  <c r="W59" i="97"/>
  <c r="X59" i="97"/>
  <c r="Y59" i="97"/>
  <c r="Z59" i="97"/>
  <c r="AA59" i="97"/>
  <c r="AB59" i="97"/>
  <c r="AC59" i="97"/>
  <c r="AD59" i="97"/>
  <c r="AE59" i="97"/>
  <c r="AF59" i="97"/>
  <c r="AG59" i="97"/>
  <c r="AH59" i="97"/>
  <c r="AI59" i="97"/>
  <c r="AJ59" i="97"/>
  <c r="AK59" i="97"/>
  <c r="AL59" i="97"/>
  <c r="AM59" i="97"/>
  <c r="AN59" i="97"/>
  <c r="F60" i="97"/>
  <c r="G60" i="97"/>
  <c r="H60" i="97"/>
  <c r="I60" i="97"/>
  <c r="J60" i="97"/>
  <c r="K60" i="97"/>
  <c r="L60" i="97"/>
  <c r="M60" i="97"/>
  <c r="N60" i="97"/>
  <c r="O60" i="97"/>
  <c r="P60" i="97"/>
  <c r="Q60" i="97"/>
  <c r="R60" i="97"/>
  <c r="S60" i="97"/>
  <c r="T60" i="97"/>
  <c r="U60" i="97"/>
  <c r="V60" i="97"/>
  <c r="W60" i="97"/>
  <c r="X60" i="97"/>
  <c r="Y60" i="97"/>
  <c r="Z60" i="97"/>
  <c r="AA60" i="97"/>
  <c r="AB60" i="97"/>
  <c r="AC60" i="97"/>
  <c r="AD60" i="97"/>
  <c r="AE60" i="97"/>
  <c r="AF60" i="97"/>
  <c r="AG60" i="97"/>
  <c r="AH60" i="97"/>
  <c r="AI60" i="97"/>
  <c r="AJ60" i="97"/>
  <c r="AK60" i="97"/>
  <c r="AL60" i="97"/>
  <c r="AM60" i="97"/>
  <c r="AN60" i="97"/>
  <c r="F61" i="97"/>
  <c r="G61" i="97"/>
  <c r="H61" i="97"/>
  <c r="I61" i="97"/>
  <c r="J61" i="97"/>
  <c r="K61" i="97"/>
  <c r="L61" i="97"/>
  <c r="M61" i="97"/>
  <c r="N61" i="97"/>
  <c r="O61" i="97"/>
  <c r="P61" i="97"/>
  <c r="Q61" i="97"/>
  <c r="R61" i="97"/>
  <c r="S61" i="97"/>
  <c r="T61" i="97"/>
  <c r="U61" i="97"/>
  <c r="V61" i="97"/>
  <c r="W61" i="97"/>
  <c r="X61" i="97"/>
  <c r="Y61" i="97"/>
  <c r="Z61" i="97"/>
  <c r="AA61" i="97"/>
  <c r="AB61" i="97"/>
  <c r="AC61" i="97"/>
  <c r="AD61" i="97"/>
  <c r="AE61" i="97"/>
  <c r="AF61" i="97"/>
  <c r="AG61" i="97"/>
  <c r="AH61" i="97"/>
  <c r="AI61" i="97"/>
  <c r="AJ61" i="97"/>
  <c r="AK61" i="97"/>
  <c r="AL61" i="97"/>
  <c r="AM61" i="97"/>
  <c r="AN61" i="97"/>
  <c r="F62" i="97"/>
  <c r="G62" i="97"/>
  <c r="H62" i="97"/>
  <c r="I62" i="97"/>
  <c r="J62" i="97"/>
  <c r="K62" i="97"/>
  <c r="L62" i="97"/>
  <c r="M62" i="97"/>
  <c r="N62" i="97"/>
  <c r="O62" i="97"/>
  <c r="P62" i="97"/>
  <c r="Q62" i="97"/>
  <c r="R62" i="97"/>
  <c r="S62" i="97"/>
  <c r="T62" i="97"/>
  <c r="U62" i="97"/>
  <c r="V62" i="97"/>
  <c r="W62" i="97"/>
  <c r="X62" i="97"/>
  <c r="Y62" i="97"/>
  <c r="Z62" i="97"/>
  <c r="AA62" i="97"/>
  <c r="AB62" i="97"/>
  <c r="AC62" i="97"/>
  <c r="AD62" i="97"/>
  <c r="AE62" i="97"/>
  <c r="AF62" i="97"/>
  <c r="AG62" i="97"/>
  <c r="AH62" i="97"/>
  <c r="AI62" i="97"/>
  <c r="AJ62" i="97"/>
  <c r="AK62" i="97"/>
  <c r="AL62" i="97"/>
  <c r="AM62" i="97"/>
  <c r="AN62" i="97"/>
  <c r="F63" i="97"/>
  <c r="G63" i="97"/>
  <c r="H63" i="97"/>
  <c r="I63" i="97"/>
  <c r="J63" i="97"/>
  <c r="K63" i="97"/>
  <c r="L63" i="97"/>
  <c r="M63" i="97"/>
  <c r="N63" i="97"/>
  <c r="O63" i="97"/>
  <c r="P63" i="97"/>
  <c r="Q63" i="97"/>
  <c r="R63" i="97"/>
  <c r="S63" i="97"/>
  <c r="T63" i="97"/>
  <c r="U63" i="97"/>
  <c r="V63" i="97"/>
  <c r="W63" i="97"/>
  <c r="X63" i="97"/>
  <c r="Y63" i="97"/>
  <c r="Z63" i="97"/>
  <c r="AA63" i="97"/>
  <c r="AB63" i="97"/>
  <c r="AC63" i="97"/>
  <c r="AD63" i="97"/>
  <c r="AE63" i="97"/>
  <c r="AF63" i="97"/>
  <c r="AG63" i="97"/>
  <c r="AH63" i="97"/>
  <c r="AI63" i="97"/>
  <c r="AJ63" i="97"/>
  <c r="AK63" i="97"/>
  <c r="AL63" i="97"/>
  <c r="AM63" i="97"/>
  <c r="AN63" i="97"/>
  <c r="G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B6" i="61"/>
  <c r="C6" i="61"/>
  <c r="D6" i="61"/>
  <c r="E6" i="61"/>
  <c r="F6" i="61"/>
  <c r="G6" i="61"/>
  <c r="B7" i="61"/>
  <c r="C7" i="61"/>
  <c r="D7" i="61"/>
  <c r="E7" i="61"/>
  <c r="F7" i="61"/>
  <c r="G7" i="61"/>
  <c r="B8" i="61"/>
  <c r="C8" i="61"/>
  <c r="D8" i="61"/>
  <c r="E8" i="61"/>
  <c r="F8" i="61"/>
  <c r="G8" i="61"/>
  <c r="B9" i="61"/>
  <c r="C9" i="61"/>
  <c r="D9" i="61"/>
  <c r="E9" i="61"/>
  <c r="F9" i="61"/>
  <c r="G9" i="61"/>
  <c r="B10" i="61"/>
  <c r="C10" i="61"/>
  <c r="D10" i="61"/>
  <c r="E10" i="61"/>
  <c r="F10" i="61"/>
  <c r="G10" i="61"/>
  <c r="B11" i="61"/>
  <c r="C11" i="61"/>
  <c r="D11" i="61"/>
  <c r="E11" i="61"/>
  <c r="F11" i="61"/>
  <c r="G11" i="61"/>
  <c r="B12" i="61"/>
  <c r="C12" i="61"/>
  <c r="D12" i="61"/>
  <c r="E12" i="61"/>
  <c r="F12" i="61"/>
  <c r="G12" i="61"/>
  <c r="B13" i="61"/>
  <c r="C13" i="61"/>
  <c r="D13" i="61"/>
  <c r="E13" i="61"/>
  <c r="F13" i="61"/>
  <c r="G13" i="61"/>
  <c r="B14" i="61"/>
  <c r="C14" i="61"/>
  <c r="D14" i="61"/>
  <c r="E14" i="61"/>
  <c r="F14" i="61"/>
  <c r="G14" i="61"/>
  <c r="B15" i="61"/>
  <c r="C15" i="61"/>
  <c r="D15" i="61"/>
  <c r="E15" i="61"/>
  <c r="F15" i="61"/>
  <c r="G15" i="61"/>
  <c r="B16" i="61"/>
  <c r="C16" i="61"/>
  <c r="D16" i="61"/>
  <c r="E16" i="61"/>
  <c r="F16" i="61"/>
  <c r="G16" i="61"/>
  <c r="B17" i="61"/>
  <c r="C17" i="61"/>
  <c r="D17" i="61"/>
  <c r="E17" i="61"/>
  <c r="F17" i="61"/>
  <c r="G17" i="61"/>
  <c r="B18" i="61"/>
  <c r="C18" i="61"/>
  <c r="D18" i="61"/>
  <c r="E18" i="61"/>
  <c r="F18" i="61"/>
  <c r="G18" i="61"/>
  <c r="B19" i="61"/>
  <c r="C19" i="61"/>
  <c r="D19" i="61"/>
  <c r="E19" i="61"/>
  <c r="F19" i="61"/>
  <c r="G19" i="61"/>
  <c r="B20" i="61"/>
  <c r="C20" i="61"/>
  <c r="D20" i="61"/>
  <c r="E20" i="61"/>
  <c r="F20" i="61"/>
  <c r="G20" i="61"/>
  <c r="B21" i="61"/>
  <c r="C21" i="61"/>
  <c r="D21" i="61"/>
  <c r="E21" i="61"/>
  <c r="F21" i="61"/>
  <c r="G21" i="61"/>
  <c r="B22" i="61"/>
  <c r="C22" i="61"/>
  <c r="D22" i="61"/>
  <c r="E22" i="61"/>
  <c r="F22" i="61"/>
  <c r="G22" i="61"/>
  <c r="B23" i="61"/>
  <c r="C23" i="61"/>
  <c r="D23" i="61"/>
  <c r="E23" i="61"/>
  <c r="F23" i="61"/>
  <c r="G23" i="61"/>
  <c r="B24" i="61"/>
  <c r="C24" i="61"/>
  <c r="D24" i="61"/>
  <c r="E24" i="61"/>
  <c r="F24" i="61"/>
  <c r="G24" i="61"/>
  <c r="B25" i="61"/>
  <c r="C25" i="61"/>
  <c r="D25" i="61"/>
  <c r="E25" i="61"/>
  <c r="F25" i="61"/>
  <c r="G25" i="61"/>
  <c r="B26" i="61"/>
  <c r="C26" i="61"/>
  <c r="D26" i="61"/>
  <c r="E26" i="61"/>
  <c r="F26" i="61"/>
  <c r="G26" i="61"/>
  <c r="B27" i="61"/>
  <c r="C27" i="61"/>
  <c r="D27" i="61"/>
  <c r="E27" i="61"/>
  <c r="F27" i="61"/>
  <c r="G27" i="61"/>
  <c r="B28" i="61"/>
  <c r="C28" i="61"/>
  <c r="D28" i="61"/>
  <c r="E28" i="61"/>
  <c r="F28" i="61"/>
  <c r="G28" i="61"/>
  <c r="B29" i="61"/>
  <c r="C29" i="61"/>
  <c r="D29" i="61"/>
  <c r="E29" i="61"/>
  <c r="F29" i="61"/>
  <c r="G29" i="61"/>
  <c r="B30" i="61"/>
  <c r="C30" i="61"/>
  <c r="D30" i="61"/>
  <c r="E30" i="61"/>
  <c r="F30" i="61"/>
  <c r="G30" i="61"/>
  <c r="B31" i="61"/>
  <c r="C31" i="61"/>
  <c r="D31" i="61"/>
  <c r="E31" i="61"/>
  <c r="F31" i="61"/>
  <c r="G31" i="61"/>
  <c r="B32" i="61"/>
  <c r="C32" i="61"/>
  <c r="D32" i="61"/>
  <c r="E32" i="61"/>
  <c r="F32" i="61"/>
  <c r="G32" i="61"/>
  <c r="B33" i="61"/>
  <c r="C33" i="61"/>
  <c r="D33" i="61"/>
  <c r="E33" i="61"/>
  <c r="F33" i="61"/>
  <c r="G33" i="61"/>
  <c r="B34" i="61"/>
  <c r="C34" i="61"/>
  <c r="D34" i="61"/>
  <c r="E34" i="61"/>
  <c r="F34" i="61"/>
  <c r="G34" i="61"/>
  <c r="B35" i="61"/>
  <c r="C35" i="61"/>
  <c r="D35" i="61"/>
  <c r="E35" i="61"/>
  <c r="F35" i="61"/>
  <c r="G35" i="61"/>
  <c r="B36" i="61"/>
  <c r="C36" i="61"/>
  <c r="D36" i="61"/>
  <c r="E36" i="61"/>
  <c r="F36" i="61"/>
  <c r="G36" i="61"/>
  <c r="B37" i="61"/>
  <c r="C37" i="61"/>
  <c r="D37" i="61"/>
  <c r="E37" i="61"/>
  <c r="F37" i="61"/>
  <c r="G37" i="61"/>
  <c r="B38" i="61"/>
  <c r="C38" i="61"/>
  <c r="D38" i="61"/>
  <c r="E38" i="61"/>
  <c r="F38" i="61"/>
  <c r="G38" i="61"/>
  <c r="B39" i="61"/>
  <c r="C39" i="61"/>
  <c r="D39" i="61"/>
  <c r="E39" i="61"/>
  <c r="F39" i="61"/>
  <c r="G39" i="61"/>
  <c r="B40" i="61"/>
  <c r="C40" i="61"/>
  <c r="D40" i="61"/>
  <c r="E40" i="61"/>
  <c r="F40" i="61"/>
  <c r="G40" i="61"/>
  <c r="B41" i="61"/>
  <c r="C41" i="61"/>
  <c r="D41" i="61"/>
  <c r="E41" i="61"/>
  <c r="F41" i="61"/>
  <c r="G41" i="61"/>
  <c r="B42" i="61"/>
  <c r="C42" i="61"/>
  <c r="D42" i="61"/>
  <c r="E42" i="61"/>
  <c r="F42" i="61"/>
  <c r="G42" i="61"/>
  <c r="B43" i="61"/>
  <c r="C43" i="61"/>
  <c r="D43" i="61"/>
  <c r="E43" i="61"/>
  <c r="F43" i="61"/>
  <c r="G43" i="61"/>
  <c r="B44" i="61"/>
  <c r="C44" i="61"/>
  <c r="D44" i="61"/>
  <c r="E44" i="61"/>
  <c r="F44" i="61"/>
  <c r="G44" i="61"/>
  <c r="B45" i="61"/>
  <c r="C45" i="61"/>
  <c r="D45" i="61"/>
  <c r="E45" i="61"/>
  <c r="F45" i="61"/>
  <c r="G45" i="61"/>
  <c r="B46" i="61"/>
  <c r="C46" i="61"/>
  <c r="D46" i="61"/>
  <c r="E46" i="61"/>
  <c r="F46" i="61"/>
  <c r="G46" i="61"/>
  <c r="B47" i="61"/>
  <c r="C47" i="61"/>
  <c r="D47" i="61"/>
  <c r="E47" i="61"/>
  <c r="F47" i="61"/>
  <c r="G47" i="61"/>
  <c r="B48" i="61"/>
  <c r="C48" i="61"/>
  <c r="D48" i="61"/>
  <c r="E48" i="61"/>
  <c r="F48" i="61"/>
  <c r="G48" i="61"/>
  <c r="B49" i="61"/>
  <c r="C49" i="61"/>
  <c r="D49" i="61"/>
  <c r="E49" i="61"/>
  <c r="F49" i="61"/>
  <c r="G49" i="61"/>
  <c r="B50" i="61"/>
  <c r="C50" i="61"/>
  <c r="D50" i="61"/>
  <c r="E50" i="61"/>
  <c r="F50" i="61"/>
  <c r="G50" i="61"/>
  <c r="B51" i="61"/>
  <c r="C51" i="61"/>
  <c r="D51" i="61"/>
  <c r="E51" i="61"/>
  <c r="F51" i="61"/>
  <c r="G51" i="61"/>
  <c r="B52" i="61"/>
  <c r="C52" i="61"/>
  <c r="D52" i="61"/>
  <c r="E52" i="61"/>
  <c r="F52" i="61"/>
  <c r="G52" i="61"/>
  <c r="B53" i="61"/>
  <c r="C53" i="61"/>
  <c r="D53" i="61"/>
  <c r="E53" i="61"/>
  <c r="F53" i="61"/>
  <c r="G53" i="61"/>
  <c r="B54" i="61"/>
  <c r="C54" i="61"/>
  <c r="D54" i="61"/>
  <c r="E54" i="61"/>
  <c r="F54" i="61"/>
  <c r="G54" i="61"/>
  <c r="B55" i="61"/>
  <c r="C55" i="61"/>
  <c r="D55" i="61"/>
  <c r="E55" i="61"/>
  <c r="F55" i="61"/>
  <c r="G55" i="61"/>
  <c r="B56" i="61"/>
  <c r="C56" i="61"/>
  <c r="D56" i="61"/>
  <c r="E56" i="61"/>
  <c r="F56" i="61"/>
  <c r="G56" i="61"/>
  <c r="B57" i="61"/>
  <c r="C57" i="61"/>
  <c r="D57" i="61"/>
  <c r="E57" i="61"/>
  <c r="F57" i="61"/>
  <c r="G57" i="61"/>
  <c r="B58" i="61"/>
  <c r="C58" i="61"/>
  <c r="D58" i="61"/>
  <c r="E58" i="61"/>
  <c r="F58" i="61"/>
  <c r="G58" i="61"/>
  <c r="B59" i="61"/>
  <c r="C59" i="61"/>
  <c r="D59" i="61"/>
  <c r="E59" i="61"/>
  <c r="F59" i="61"/>
  <c r="G59" i="61"/>
  <c r="B60" i="61"/>
  <c r="C60" i="61"/>
  <c r="D60" i="61"/>
  <c r="E60" i="61"/>
  <c r="F60" i="61"/>
  <c r="G60" i="61"/>
  <c r="B61" i="61"/>
  <c r="C61" i="61"/>
  <c r="D61" i="61"/>
  <c r="E61" i="61"/>
  <c r="F61" i="61"/>
  <c r="G61" i="61"/>
  <c r="B62" i="61"/>
  <c r="C62" i="61"/>
  <c r="D62" i="61"/>
  <c r="E62" i="61"/>
  <c r="F62" i="61"/>
  <c r="G62" i="61"/>
  <c r="B63" i="61"/>
  <c r="C63" i="61"/>
  <c r="D63" i="61"/>
  <c r="E63" i="61"/>
  <c r="F63" i="61"/>
  <c r="G63" i="61"/>
  <c r="B64" i="61"/>
  <c r="C64" i="61"/>
  <c r="D64" i="61"/>
  <c r="E64" i="61"/>
  <c r="F64" i="61"/>
  <c r="G64" i="61"/>
  <c r="B65" i="61"/>
  <c r="C65" i="61"/>
  <c r="D65" i="61"/>
  <c r="E65" i="61"/>
  <c r="F65" i="61"/>
  <c r="G65" i="61"/>
  <c r="C41" i="118"/>
  <c r="B1151" i="485" l="1"/>
  <c r="J1150" i="485"/>
  <c r="J1138" i="486"/>
  <c r="B1139" i="486"/>
  <c r="J1138" i="484"/>
  <c r="B1139" i="484"/>
  <c r="D46" i="417"/>
  <c r="D45" i="417"/>
  <c r="D48" i="417" s="1"/>
  <c r="C71" i="61"/>
  <c r="G71" i="61"/>
  <c r="F71" i="61"/>
  <c r="E71" i="61"/>
  <c r="D71" i="61"/>
  <c r="B67" i="61"/>
  <c r="B71" i="61" s="1"/>
  <c r="E15" i="52"/>
  <c r="G15" i="52"/>
  <c r="I15" i="52"/>
  <c r="K15" i="52"/>
  <c r="S10" i="417"/>
  <c r="S9" i="417"/>
  <c r="A9" i="36"/>
  <c r="A15" i="55"/>
  <c r="A12" i="55"/>
  <c r="A11" i="36" s="1"/>
  <c r="D11" i="36" s="1"/>
  <c r="A14" i="55"/>
  <c r="A13" i="36" s="1"/>
  <c r="D13" i="36" s="1"/>
  <c r="A11" i="55"/>
  <c r="A10" i="36" s="1"/>
  <c r="D10" i="36" s="1"/>
  <c r="A13" i="55"/>
  <c r="N9" i="417"/>
  <c r="N10" i="417"/>
  <c r="F21" i="53"/>
  <c r="H21" i="53" s="1"/>
  <c r="F44" i="53"/>
  <c r="H44" i="53" s="1"/>
  <c r="F36" i="53"/>
  <c r="H36" i="53" s="1"/>
  <c r="F12" i="53"/>
  <c r="H12" i="53" s="1"/>
  <c r="F25" i="53"/>
  <c r="H25" i="53" s="1"/>
  <c r="F32" i="53"/>
  <c r="H32" i="53" s="1"/>
  <c r="H9" i="37"/>
  <c r="P9" i="36"/>
  <c r="E16" i="34"/>
  <c r="E52" i="52" s="1"/>
  <c r="G16" i="34"/>
  <c r="C44" i="52"/>
  <c r="C36" i="52"/>
  <c r="C28" i="52"/>
  <c r="A20" i="52"/>
  <c r="C20" i="52"/>
  <c r="C43" i="52"/>
  <c r="A35" i="52"/>
  <c r="C35" i="52"/>
  <c r="C27" i="52"/>
  <c r="A19" i="52"/>
  <c r="C19" i="52"/>
  <c r="A11" i="52"/>
  <c r="C11" i="52"/>
  <c r="C18" i="52"/>
  <c r="A33" i="52"/>
  <c r="C33" i="52"/>
  <c r="A25" i="52"/>
  <c r="C25" i="52"/>
  <c r="A17" i="52"/>
  <c r="C17" i="52"/>
  <c r="A48" i="52"/>
  <c r="C48" i="52"/>
  <c r="A24" i="52"/>
  <c r="C24" i="52"/>
  <c r="A47" i="52"/>
  <c r="C47" i="52"/>
  <c r="A39" i="52"/>
  <c r="C39" i="52"/>
  <c r="A31" i="52"/>
  <c r="C31" i="52"/>
  <c r="A23" i="52"/>
  <c r="C23" i="52"/>
  <c r="C46" i="52"/>
  <c r="A30" i="52"/>
  <c r="C30" i="52"/>
  <c r="C22" i="52"/>
  <c r="C14" i="52"/>
  <c r="C45" i="52"/>
  <c r="A37" i="52"/>
  <c r="C37" i="52"/>
  <c r="A29" i="52"/>
  <c r="C29" i="52"/>
  <c r="A21" i="52"/>
  <c r="C21" i="52"/>
  <c r="A13" i="52"/>
  <c r="C13" i="52"/>
  <c r="F43" i="53"/>
  <c r="H43" i="53" s="1"/>
  <c r="F28" i="53"/>
  <c r="H28" i="53" s="1"/>
  <c r="F41" i="53"/>
  <c r="H41" i="53" s="1"/>
  <c r="F33" i="53"/>
  <c r="H33" i="53" s="1"/>
  <c r="F26" i="53"/>
  <c r="H26" i="53" s="1"/>
  <c r="F18" i="53"/>
  <c r="H18" i="53" s="1"/>
  <c r="F10" i="53"/>
  <c r="H10" i="53" s="1"/>
  <c r="F17" i="53"/>
  <c r="H17" i="53" s="1"/>
  <c r="F47" i="53"/>
  <c r="H47" i="53" s="1"/>
  <c r="F39" i="53"/>
  <c r="H39" i="53" s="1"/>
  <c r="F31" i="53"/>
  <c r="H31" i="53" s="1"/>
  <c r="F24" i="53"/>
  <c r="H24" i="53" s="1"/>
  <c r="F16" i="53"/>
  <c r="H16" i="53" s="1"/>
  <c r="F40" i="53"/>
  <c r="H40" i="53" s="1"/>
  <c r="F46" i="53"/>
  <c r="H46" i="53" s="1"/>
  <c r="F38" i="53"/>
  <c r="H38" i="53" s="1"/>
  <c r="F30" i="53"/>
  <c r="H30" i="53" s="1"/>
  <c r="F23" i="53"/>
  <c r="H23" i="53" s="1"/>
  <c r="F15" i="53"/>
  <c r="H15" i="53" s="1"/>
  <c r="F45" i="53"/>
  <c r="H45" i="53" s="1"/>
  <c r="F37" i="53"/>
  <c r="H37" i="53" s="1"/>
  <c r="F29" i="53"/>
  <c r="H29" i="53" s="1"/>
  <c r="F22" i="53"/>
  <c r="H22" i="53" s="1"/>
  <c r="F14" i="53"/>
  <c r="H14" i="53" s="1"/>
  <c r="F13" i="53"/>
  <c r="H13" i="53" s="1"/>
  <c r="B9" i="53"/>
  <c r="F9" i="53"/>
  <c r="H9" i="53" s="1"/>
  <c r="F35" i="53"/>
  <c r="H35" i="53" s="1"/>
  <c r="F20" i="53"/>
  <c r="H20" i="53" s="1"/>
  <c r="F42" i="53"/>
  <c r="H42" i="53" s="1"/>
  <c r="F34" i="53"/>
  <c r="H34" i="53" s="1"/>
  <c r="F27" i="53"/>
  <c r="H27" i="53" s="1"/>
  <c r="F19" i="53"/>
  <c r="H19" i="53" s="1"/>
  <c r="F11" i="53"/>
  <c r="H11" i="53" s="1"/>
  <c r="C40" i="52"/>
  <c r="C16" i="52"/>
  <c r="C32" i="52"/>
  <c r="A34" i="52"/>
  <c r="A32" i="52"/>
  <c r="A26" i="52"/>
  <c r="A18" i="52"/>
  <c r="A16" i="52"/>
  <c r="A42" i="52"/>
  <c r="A40" i="52"/>
  <c r="C10" i="52"/>
  <c r="A10" i="52"/>
  <c r="K10" i="52" s="1"/>
  <c r="A46" i="52"/>
  <c r="A38" i="52"/>
  <c r="A22" i="52"/>
  <c r="A14" i="52"/>
  <c r="A45" i="52"/>
  <c r="C12" i="52"/>
  <c r="A44" i="52"/>
  <c r="A36" i="52"/>
  <c r="A28" i="52"/>
  <c r="A12" i="52"/>
  <c r="A43" i="52"/>
  <c r="A27" i="52"/>
  <c r="A41" i="52"/>
  <c r="N11" i="417"/>
  <c r="J50" i="38"/>
  <c r="H6" i="25"/>
  <c r="B7" i="37"/>
  <c r="D12" i="417"/>
  <c r="C15" i="52"/>
  <c r="F50" i="38"/>
  <c r="F24" i="254"/>
  <c r="J24" i="254"/>
  <c r="H21" i="254"/>
  <c r="N21" i="254" s="1"/>
  <c r="H20" i="254"/>
  <c r="N20" i="254" s="1"/>
  <c r="H22" i="254"/>
  <c r="N22" i="254" s="1"/>
  <c r="H18" i="254"/>
  <c r="N18" i="254" s="1"/>
  <c r="H17" i="254"/>
  <c r="N17" i="254" s="1"/>
  <c r="H19" i="254"/>
  <c r="N19" i="254" s="1"/>
  <c r="A1" i="420"/>
  <c r="J1139" i="484" l="1"/>
  <c r="B1140" i="484"/>
  <c r="B1140" i="486"/>
  <c r="J1139" i="486"/>
  <c r="J1151" i="485"/>
  <c r="B1152" i="485"/>
  <c r="S11" i="36"/>
  <c r="V11" i="36" s="1"/>
  <c r="I10" i="52"/>
  <c r="A14" i="36"/>
  <c r="A12" i="36"/>
  <c r="E23" i="52"/>
  <c r="G23" i="52"/>
  <c r="I23" i="52"/>
  <c r="K23" i="52"/>
  <c r="E33" i="52"/>
  <c r="G33" i="52"/>
  <c r="I33" i="52"/>
  <c r="K33" i="52"/>
  <c r="I40" i="52"/>
  <c r="K40" i="52"/>
  <c r="G40" i="52"/>
  <c r="E40" i="52"/>
  <c r="I44" i="52"/>
  <c r="K44" i="52"/>
  <c r="G44" i="52"/>
  <c r="E44" i="52"/>
  <c r="E37" i="52"/>
  <c r="G37" i="52"/>
  <c r="I37" i="52"/>
  <c r="K37" i="52"/>
  <c r="I24" i="52"/>
  <c r="K24" i="52"/>
  <c r="G24" i="52"/>
  <c r="E24" i="52"/>
  <c r="E35" i="52"/>
  <c r="G35" i="52"/>
  <c r="I35" i="52"/>
  <c r="K35" i="52"/>
  <c r="E41" i="52"/>
  <c r="G41" i="52"/>
  <c r="I41" i="52"/>
  <c r="K41" i="52"/>
  <c r="E45" i="52"/>
  <c r="G45" i="52"/>
  <c r="I45" i="52"/>
  <c r="K45" i="52"/>
  <c r="I42" i="52"/>
  <c r="K42" i="52"/>
  <c r="E42" i="52"/>
  <c r="G42" i="52"/>
  <c r="E13" i="52"/>
  <c r="G13" i="52"/>
  <c r="I13" i="52"/>
  <c r="K13" i="52"/>
  <c r="E31" i="52"/>
  <c r="G31" i="52"/>
  <c r="I31" i="52"/>
  <c r="K31" i="52"/>
  <c r="I48" i="52"/>
  <c r="K48" i="52"/>
  <c r="G48" i="52"/>
  <c r="E48" i="52"/>
  <c r="I14" i="52"/>
  <c r="K14" i="52"/>
  <c r="E14" i="52"/>
  <c r="G14" i="52"/>
  <c r="I20" i="52"/>
  <c r="K20" i="52"/>
  <c r="G20" i="52"/>
  <c r="E20" i="52"/>
  <c r="E21" i="52"/>
  <c r="G21" i="52"/>
  <c r="I21" i="52"/>
  <c r="K21" i="52"/>
  <c r="I22" i="52"/>
  <c r="K22" i="52"/>
  <c r="E22" i="52"/>
  <c r="G22" i="52"/>
  <c r="E39" i="52"/>
  <c r="G39" i="52"/>
  <c r="I39" i="52"/>
  <c r="K39" i="52"/>
  <c r="E17" i="52"/>
  <c r="G17" i="52"/>
  <c r="I17" i="52"/>
  <c r="K17" i="52"/>
  <c r="I12" i="52"/>
  <c r="K12" i="52"/>
  <c r="G12" i="52"/>
  <c r="E12" i="52"/>
  <c r="I38" i="52"/>
  <c r="K38" i="52"/>
  <c r="E38" i="52"/>
  <c r="G38" i="52"/>
  <c r="E19" i="52"/>
  <c r="G19" i="52"/>
  <c r="I19" i="52"/>
  <c r="K19" i="52"/>
  <c r="I28" i="52"/>
  <c r="K28" i="52"/>
  <c r="G28" i="52"/>
  <c r="E28" i="52"/>
  <c r="I46" i="52"/>
  <c r="K46" i="52"/>
  <c r="E46" i="52"/>
  <c r="G46" i="52"/>
  <c r="I32" i="52"/>
  <c r="K32" i="52"/>
  <c r="G32" i="52"/>
  <c r="E32" i="52"/>
  <c r="E29" i="52"/>
  <c r="G29" i="52"/>
  <c r="I29" i="52"/>
  <c r="K29" i="52"/>
  <c r="E47" i="52"/>
  <c r="G47" i="52"/>
  <c r="I47" i="52"/>
  <c r="K47" i="52"/>
  <c r="E25" i="52"/>
  <c r="G25" i="52"/>
  <c r="I25" i="52"/>
  <c r="K25" i="52"/>
  <c r="E27" i="52"/>
  <c r="G27" i="52"/>
  <c r="I27" i="52"/>
  <c r="K27" i="52"/>
  <c r="I16" i="52"/>
  <c r="K16" i="52"/>
  <c r="G16" i="52"/>
  <c r="E16" i="52"/>
  <c r="E11" i="52"/>
  <c r="G11" i="52"/>
  <c r="I11" i="52"/>
  <c r="K11" i="52"/>
  <c r="E43" i="52"/>
  <c r="G43" i="52"/>
  <c r="I43" i="52"/>
  <c r="K43" i="52"/>
  <c r="I18" i="52"/>
  <c r="K18" i="52"/>
  <c r="E18" i="52"/>
  <c r="G18" i="52"/>
  <c r="I26" i="52"/>
  <c r="K26" i="52"/>
  <c r="E26" i="52"/>
  <c r="G26" i="52"/>
  <c r="I30" i="52"/>
  <c r="K30" i="52"/>
  <c r="E30" i="52"/>
  <c r="G30" i="52"/>
  <c r="I36" i="52"/>
  <c r="K36" i="52"/>
  <c r="G36" i="52"/>
  <c r="E36" i="52"/>
  <c r="I34" i="52"/>
  <c r="K34" i="52"/>
  <c r="E34" i="52"/>
  <c r="G34" i="52"/>
  <c r="H49" i="53"/>
  <c r="S10" i="36"/>
  <c r="S13" i="36"/>
  <c r="N24" i="254"/>
  <c r="N13" i="254" s="1"/>
  <c r="P13" i="254" s="1"/>
  <c r="H16" i="37"/>
  <c r="H18" i="37"/>
  <c r="G10" i="52"/>
  <c r="E10" i="52"/>
  <c r="A50" i="52"/>
  <c r="B11" i="18"/>
  <c r="E6" i="11"/>
  <c r="E21" i="420"/>
  <c r="H51" i="53"/>
  <c r="H24" i="254"/>
  <c r="B1141" i="486" l="1"/>
  <c r="J1140" i="486"/>
  <c r="B1153" i="485"/>
  <c r="J1152" i="485"/>
  <c r="J1140" i="484"/>
  <c r="B1141" i="484"/>
  <c r="D12" i="36"/>
  <c r="S12" i="36" s="1"/>
  <c r="D14" i="36"/>
  <c r="S14" i="36" s="1"/>
  <c r="K50" i="52"/>
  <c r="I50" i="52"/>
  <c r="H20" i="37"/>
  <c r="E25" i="10" s="1"/>
  <c r="G50" i="52"/>
  <c r="E50" i="52"/>
  <c r="G6" i="12"/>
  <c r="H53" i="53"/>
  <c r="F23" i="23" s="1"/>
  <c r="J1153" i="485" l="1"/>
  <c r="B1154" i="485"/>
  <c r="J1141" i="484"/>
  <c r="B1142" i="484"/>
  <c r="B1142" i="486"/>
  <c r="J1141" i="486"/>
  <c r="B7" i="36"/>
  <c r="B1143" i="486" l="1"/>
  <c r="J1142" i="486"/>
  <c r="B1155" i="485"/>
  <c r="J1154" i="485"/>
  <c r="J1142" i="484"/>
  <c r="B1143" i="484"/>
  <c r="E9" i="14"/>
  <c r="J1155" i="485" l="1"/>
  <c r="B1156" i="485"/>
  <c r="J1143" i="484"/>
  <c r="B1144" i="484"/>
  <c r="J1143" i="486"/>
  <c r="B1144" i="486"/>
  <c r="E14" i="253"/>
  <c r="G16" i="253" s="1"/>
  <c r="B1157" i="485" l="1"/>
  <c r="J1156" i="485"/>
  <c r="J1144" i="486"/>
  <c r="B1145" i="486"/>
  <c r="J1144" i="484"/>
  <c r="B1145" i="484"/>
  <c r="F10" i="413"/>
  <c r="H10" i="413" s="1"/>
  <c r="M16" i="418"/>
  <c r="K16" i="418"/>
  <c r="I16" i="418"/>
  <c r="O16" i="418" s="1"/>
  <c r="M13" i="418"/>
  <c r="K13" i="418"/>
  <c r="I13" i="418"/>
  <c r="M11" i="418"/>
  <c r="K11" i="418"/>
  <c r="I11" i="418"/>
  <c r="O11" i="418" s="1"/>
  <c r="M9" i="418"/>
  <c r="K9" i="418"/>
  <c r="I9" i="418"/>
  <c r="M8" i="418"/>
  <c r="K8" i="418"/>
  <c r="I8" i="418"/>
  <c r="O8" i="418" s="1"/>
  <c r="M7" i="418"/>
  <c r="K7" i="418"/>
  <c r="I7" i="418"/>
  <c r="M6" i="418"/>
  <c r="K6" i="418"/>
  <c r="I6" i="418"/>
  <c r="O6" i="418" s="1"/>
  <c r="I1" i="418"/>
  <c r="K1" i="418" s="1"/>
  <c r="C1" i="418"/>
  <c r="D1" i="418" s="1"/>
  <c r="E1" i="418" s="1"/>
  <c r="J1145" i="484" l="1"/>
  <c r="B1146" i="484"/>
  <c r="B1146" i="486"/>
  <c r="J1145" i="486"/>
  <c r="J1157" i="485"/>
  <c r="B1158" i="485"/>
  <c r="O7" i="418"/>
  <c r="O13" i="418"/>
  <c r="O9" i="418"/>
  <c r="B1147" i="486" l="1"/>
  <c r="J1146" i="486"/>
  <c r="J1146" i="484"/>
  <c r="B1147" i="484"/>
  <c r="B1159" i="485"/>
  <c r="J1158" i="485"/>
  <c r="Q1" i="416"/>
  <c r="F6" i="417"/>
  <c r="H6" i="417" s="1"/>
  <c r="J6" i="417" s="1"/>
  <c r="L6" i="417" s="1"/>
  <c r="B3" i="417"/>
  <c r="B44" i="417"/>
  <c r="S7" i="416"/>
  <c r="E5" i="416"/>
  <c r="U7" i="416" s="1"/>
  <c r="Q3" i="416"/>
  <c r="Q2" i="416"/>
  <c r="N33" i="417"/>
  <c r="N17" i="417"/>
  <c r="N15" i="417"/>
  <c r="J1147" i="484" l="1"/>
  <c r="B1148" i="484"/>
  <c r="J1159" i="485"/>
  <c r="B1160" i="485"/>
  <c r="J1147" i="486"/>
  <c r="B1148" i="486"/>
  <c r="G5" i="416"/>
  <c r="W7" i="416" s="1"/>
  <c r="F18" i="417"/>
  <c r="H18" i="417"/>
  <c r="F12" i="417"/>
  <c r="J18" i="417"/>
  <c r="H12" i="417"/>
  <c r="L18" i="417"/>
  <c r="N41" i="417"/>
  <c r="D18" i="417"/>
  <c r="J12" i="417"/>
  <c r="N16" i="417"/>
  <c r="N35" i="417"/>
  <c r="L12" i="417"/>
  <c r="D36" i="417"/>
  <c r="F42" i="417"/>
  <c r="H36" i="417"/>
  <c r="J42" i="417"/>
  <c r="L36" i="417"/>
  <c r="L42" i="417"/>
  <c r="I5" i="416"/>
  <c r="N29" i="417"/>
  <c r="N27" i="417"/>
  <c r="N45" i="417" s="1"/>
  <c r="B1161" i="485" l="1"/>
  <c r="J1160" i="485"/>
  <c r="J1148" i="486"/>
  <c r="B1149" i="486"/>
  <c r="J1148" i="484"/>
  <c r="B1149" i="484"/>
  <c r="N47" i="417"/>
  <c r="N34" i="417"/>
  <c r="N36" i="417" s="1"/>
  <c r="F36" i="417"/>
  <c r="D30" i="417"/>
  <c r="N28" i="417"/>
  <c r="N46" i="417" s="1"/>
  <c r="N40" i="417"/>
  <c r="H42" i="417"/>
  <c r="N39" i="417"/>
  <c r="D42" i="417"/>
  <c r="F30" i="417"/>
  <c r="L30" i="417"/>
  <c r="H30" i="417"/>
  <c r="J30" i="417"/>
  <c r="J36" i="417"/>
  <c r="N12" i="417"/>
  <c r="N18" i="417"/>
  <c r="N30" i="417"/>
  <c r="K5" i="416"/>
  <c r="Y7" i="416"/>
  <c r="J1149" i="484" l="1"/>
  <c r="B1150" i="484"/>
  <c r="B1150" i="486"/>
  <c r="J1149" i="486"/>
  <c r="J1161" i="485"/>
  <c r="B1162" i="485"/>
  <c r="H48" i="417"/>
  <c r="N42" i="417"/>
  <c r="L48" i="417"/>
  <c r="J48" i="417"/>
  <c r="F48" i="417"/>
  <c r="AA7" i="416"/>
  <c r="M5" i="416"/>
  <c r="J1150" i="486" l="1"/>
  <c r="B1151" i="486"/>
  <c r="B1163" i="485"/>
  <c r="J1162" i="485"/>
  <c r="J1150" i="484"/>
  <c r="B1151" i="484"/>
  <c r="N48" i="417"/>
  <c r="Z21" i="316"/>
  <c r="AB21" i="316"/>
  <c r="J1151" i="484" l="1"/>
  <c r="B1152" i="484"/>
  <c r="B1152" i="486"/>
  <c r="J1151" i="486"/>
  <c r="J1163" i="485"/>
  <c r="B1164" i="485"/>
  <c r="H24" i="25"/>
  <c r="H25" i="25"/>
  <c r="H26" i="25"/>
  <c r="H27" i="25"/>
  <c r="H28" i="25"/>
  <c r="H29" i="25"/>
  <c r="H30" i="25"/>
  <c r="F32" i="101"/>
  <c r="B1165" i="485" l="1"/>
  <c r="J1165" i="485" s="1"/>
  <c r="J1164" i="485"/>
  <c r="B1153" i="486"/>
  <c r="J1152" i="486"/>
  <c r="J1152" i="484"/>
  <c r="B1153" i="484"/>
  <c r="H32" i="25"/>
  <c r="M37" i="7"/>
  <c r="O37" i="7"/>
  <c r="M8" i="7"/>
  <c r="M9" i="7"/>
  <c r="M10" i="7"/>
  <c r="M11" i="7"/>
  <c r="M12" i="7"/>
  <c r="M13" i="7"/>
  <c r="M14" i="7"/>
  <c r="M15" i="7"/>
  <c r="M16" i="7"/>
  <c r="M17" i="7"/>
  <c r="M18" i="7"/>
  <c r="M19" i="7"/>
  <c r="M7" i="7"/>
  <c r="J1153" i="486" l="1"/>
  <c r="B1154" i="486"/>
  <c r="J1153" i="484"/>
  <c r="B1154" i="484"/>
  <c r="E21" i="10"/>
  <c r="C42" i="10" s="1"/>
  <c r="G10" i="12"/>
  <c r="E19" i="10"/>
  <c r="F19" i="23"/>
  <c r="H9" i="25"/>
  <c r="H15" i="25" s="1"/>
  <c r="J1154" i="484" l="1"/>
  <c r="B1155" i="484"/>
  <c r="J1154" i="486"/>
  <c r="B1155" i="486"/>
  <c r="F17" i="23"/>
  <c r="C40" i="10"/>
  <c r="F13" i="23"/>
  <c r="B1156" i="486" l="1"/>
  <c r="J1155" i="486"/>
  <c r="J1155" i="484"/>
  <c r="B1156" i="484"/>
  <c r="F37" i="7"/>
  <c r="H61" i="7" s="1"/>
  <c r="J1156" i="484" l="1"/>
  <c r="B1157" i="484"/>
  <c r="B1157" i="486"/>
  <c r="J1156" i="486"/>
  <c r="N12" i="55"/>
  <c r="N15" i="55"/>
  <c r="N13" i="55"/>
  <c r="N11" i="55"/>
  <c r="N10" i="55"/>
  <c r="N14" i="55"/>
  <c r="M10" i="37"/>
  <c r="M41" i="53"/>
  <c r="M33" i="53"/>
  <c r="M26" i="53"/>
  <c r="M18" i="53"/>
  <c r="M10" i="53"/>
  <c r="M11" i="37"/>
  <c r="M40" i="53"/>
  <c r="M32" i="53"/>
  <c r="M25" i="53"/>
  <c r="M17" i="53"/>
  <c r="M9" i="53"/>
  <c r="M12" i="37"/>
  <c r="M47" i="53"/>
  <c r="M39" i="53"/>
  <c r="M31" i="53"/>
  <c r="M24" i="53"/>
  <c r="M16" i="53"/>
  <c r="M13" i="37"/>
  <c r="M46" i="53"/>
  <c r="M38" i="53"/>
  <c r="M30" i="53"/>
  <c r="M23" i="53"/>
  <c r="M15" i="53"/>
  <c r="M14" i="37"/>
  <c r="M9" i="37"/>
  <c r="M45" i="53"/>
  <c r="M37" i="53"/>
  <c r="M29" i="53"/>
  <c r="M22" i="53"/>
  <c r="M14" i="53"/>
  <c r="M44" i="53"/>
  <c r="M36" i="53"/>
  <c r="M21" i="53"/>
  <c r="M13" i="53"/>
  <c r="M43" i="53"/>
  <c r="M35" i="53"/>
  <c r="M28" i="53"/>
  <c r="M20" i="53"/>
  <c r="M12" i="53"/>
  <c r="M42" i="53"/>
  <c r="M34" i="53"/>
  <c r="M27" i="53"/>
  <c r="M19" i="53"/>
  <c r="M11" i="53"/>
  <c r="C5" i="97"/>
  <c r="D5" i="97"/>
  <c r="E5" i="97"/>
  <c r="C6" i="97"/>
  <c r="D6" i="97"/>
  <c r="E6" i="97"/>
  <c r="C7" i="97"/>
  <c r="D7" i="97"/>
  <c r="E7" i="97"/>
  <c r="C8" i="97"/>
  <c r="D8" i="97"/>
  <c r="E8" i="97"/>
  <c r="C9" i="97"/>
  <c r="D9" i="97"/>
  <c r="E9" i="97"/>
  <c r="C10" i="97"/>
  <c r="D10" i="97"/>
  <c r="E10" i="97"/>
  <c r="C11" i="97"/>
  <c r="D11" i="97"/>
  <c r="E11" i="97"/>
  <c r="C12" i="97"/>
  <c r="D12" i="97"/>
  <c r="E12" i="97"/>
  <c r="C13" i="97"/>
  <c r="D13" i="97"/>
  <c r="E13" i="97"/>
  <c r="C14" i="97"/>
  <c r="D14" i="97"/>
  <c r="E14" i="97"/>
  <c r="C15" i="97"/>
  <c r="D15" i="97"/>
  <c r="E15" i="97"/>
  <c r="C16" i="97"/>
  <c r="D16" i="97"/>
  <c r="E16" i="97"/>
  <c r="C17" i="97"/>
  <c r="D17" i="97"/>
  <c r="E17" i="97"/>
  <c r="C18" i="97"/>
  <c r="D18" i="97"/>
  <c r="E18" i="97"/>
  <c r="C19" i="97"/>
  <c r="D19" i="97"/>
  <c r="E19" i="97"/>
  <c r="C20" i="97"/>
  <c r="D20" i="97"/>
  <c r="E20" i="97"/>
  <c r="C21" i="97"/>
  <c r="D21" i="97"/>
  <c r="E21" i="97"/>
  <c r="C22" i="97"/>
  <c r="D22" i="97"/>
  <c r="E22" i="97"/>
  <c r="C23" i="97"/>
  <c r="D23" i="97"/>
  <c r="E23" i="97"/>
  <c r="C24" i="97"/>
  <c r="D24" i="97"/>
  <c r="E24" i="97"/>
  <c r="C25" i="97"/>
  <c r="D25" i="97"/>
  <c r="E25" i="97"/>
  <c r="C26" i="97"/>
  <c r="D26" i="97"/>
  <c r="E26" i="97"/>
  <c r="C27" i="97"/>
  <c r="D27" i="97"/>
  <c r="E27" i="97"/>
  <c r="C28" i="97"/>
  <c r="D28" i="97"/>
  <c r="E28" i="97"/>
  <c r="C29" i="97"/>
  <c r="D29" i="97"/>
  <c r="E29" i="97"/>
  <c r="C30" i="97"/>
  <c r="D30" i="97"/>
  <c r="E30" i="97"/>
  <c r="C31" i="97"/>
  <c r="D31" i="97"/>
  <c r="E31" i="97"/>
  <c r="C32" i="97"/>
  <c r="D32" i="97"/>
  <c r="E32" i="97"/>
  <c r="C33" i="97"/>
  <c r="D33" i="97"/>
  <c r="E33" i="97"/>
  <c r="C34" i="97"/>
  <c r="D34" i="97"/>
  <c r="E34" i="97"/>
  <c r="C35" i="97"/>
  <c r="D35" i="97"/>
  <c r="E35" i="97"/>
  <c r="C36" i="97"/>
  <c r="D36" i="97"/>
  <c r="E36" i="97"/>
  <c r="C37" i="97"/>
  <c r="D37" i="97"/>
  <c r="E37" i="97"/>
  <c r="C38" i="97"/>
  <c r="D38" i="97"/>
  <c r="E38" i="97"/>
  <c r="C39" i="97"/>
  <c r="D39" i="97"/>
  <c r="E39" i="97"/>
  <c r="C40" i="97"/>
  <c r="D40" i="97"/>
  <c r="E40" i="97"/>
  <c r="C41" i="97"/>
  <c r="D41" i="97"/>
  <c r="E41" i="97"/>
  <c r="C42" i="97"/>
  <c r="D42" i="97"/>
  <c r="E42" i="97"/>
  <c r="C43" i="97"/>
  <c r="D43" i="97"/>
  <c r="E43" i="97"/>
  <c r="C44" i="97"/>
  <c r="D44" i="97"/>
  <c r="E44" i="97"/>
  <c r="C45" i="97"/>
  <c r="D45" i="97"/>
  <c r="E45" i="97"/>
  <c r="C46" i="97"/>
  <c r="D46" i="97"/>
  <c r="E46" i="97"/>
  <c r="C47" i="97"/>
  <c r="D47" i="97"/>
  <c r="E47" i="97"/>
  <c r="C48" i="97"/>
  <c r="D48" i="97"/>
  <c r="E48" i="97"/>
  <c r="C49" i="97"/>
  <c r="D49" i="97"/>
  <c r="E49" i="97"/>
  <c r="C50" i="97"/>
  <c r="D50" i="97"/>
  <c r="E50" i="97"/>
  <c r="C51" i="97"/>
  <c r="D51" i="97"/>
  <c r="E51" i="97"/>
  <c r="C52" i="97"/>
  <c r="D52" i="97"/>
  <c r="E52" i="97"/>
  <c r="C53" i="97"/>
  <c r="D53" i="97"/>
  <c r="E53" i="97"/>
  <c r="C54" i="97"/>
  <c r="D54" i="97"/>
  <c r="E54" i="97"/>
  <c r="C55" i="97"/>
  <c r="D55" i="97"/>
  <c r="E55" i="97"/>
  <c r="C56" i="97"/>
  <c r="D56" i="97"/>
  <c r="E56" i="97"/>
  <c r="C57" i="97"/>
  <c r="D57" i="97"/>
  <c r="E57" i="97"/>
  <c r="C58" i="97"/>
  <c r="D58" i="97"/>
  <c r="E58" i="97"/>
  <c r="C59" i="97"/>
  <c r="D59" i="97"/>
  <c r="E59" i="97"/>
  <c r="C60" i="97"/>
  <c r="D60" i="97"/>
  <c r="E60" i="97"/>
  <c r="C61" i="97"/>
  <c r="D61" i="97"/>
  <c r="E61" i="97"/>
  <c r="C62" i="97"/>
  <c r="D62" i="97"/>
  <c r="E62" i="97"/>
  <c r="C63" i="97"/>
  <c r="D63" i="97"/>
  <c r="E63" i="97"/>
  <c r="C4" i="97"/>
  <c r="D4" i="97"/>
  <c r="E4" i="97"/>
  <c r="C3" i="97"/>
  <c r="D3" i="97"/>
  <c r="E3" i="97"/>
  <c r="F3" i="97"/>
  <c r="J1157" i="486" l="1"/>
  <c r="B1158" i="486"/>
  <c r="J1157" i="484"/>
  <c r="B1158" i="484"/>
  <c r="P17" i="55"/>
  <c r="P19" i="55"/>
  <c r="J1158" i="486" l="1"/>
  <c r="B1159" i="486"/>
  <c r="J1158" i="484"/>
  <c r="B1159" i="484"/>
  <c r="P21" i="55"/>
  <c r="D6" i="31" s="1"/>
  <c r="J1159" i="484" l="1"/>
  <c r="B1160" i="484"/>
  <c r="J1159" i="486"/>
  <c r="B1160" i="486"/>
  <c r="C5" i="153"/>
  <c r="D5" i="153"/>
  <c r="E5" i="153"/>
  <c r="C6" i="153"/>
  <c r="D6" i="153"/>
  <c r="E6" i="153"/>
  <c r="C7" i="153"/>
  <c r="D7" i="153"/>
  <c r="E7" i="153"/>
  <c r="C8" i="153"/>
  <c r="D8" i="153"/>
  <c r="E8" i="153"/>
  <c r="C10" i="153"/>
  <c r="D10" i="153"/>
  <c r="E10" i="153"/>
  <c r="C11" i="153"/>
  <c r="D11" i="153"/>
  <c r="E11" i="153"/>
  <c r="C12" i="153"/>
  <c r="D12" i="153"/>
  <c r="E12" i="153"/>
  <c r="C13" i="153"/>
  <c r="D13" i="153"/>
  <c r="E13" i="153"/>
  <c r="C14" i="153"/>
  <c r="D14" i="153"/>
  <c r="E14" i="153"/>
  <c r="C15" i="153"/>
  <c r="D15" i="153"/>
  <c r="E15" i="153"/>
  <c r="C16" i="153"/>
  <c r="D16" i="153"/>
  <c r="E16" i="153"/>
  <c r="C17" i="153"/>
  <c r="D17" i="153"/>
  <c r="E17" i="153"/>
  <c r="C18" i="153"/>
  <c r="D18" i="153"/>
  <c r="E18" i="153"/>
  <c r="C19" i="153"/>
  <c r="D19" i="153"/>
  <c r="E19" i="153"/>
  <c r="C20" i="153"/>
  <c r="D20" i="153"/>
  <c r="E20" i="153"/>
  <c r="C21" i="153"/>
  <c r="D21" i="153"/>
  <c r="E21" i="153"/>
  <c r="C22" i="153"/>
  <c r="D22" i="153"/>
  <c r="E22" i="153"/>
  <c r="C23" i="153"/>
  <c r="D23" i="153"/>
  <c r="E23" i="153"/>
  <c r="C24" i="153"/>
  <c r="D24" i="153"/>
  <c r="E24" i="153"/>
  <c r="C25" i="153"/>
  <c r="D25" i="153"/>
  <c r="E25" i="153"/>
  <c r="C27" i="153"/>
  <c r="D27" i="153"/>
  <c r="E27" i="153"/>
  <c r="C28" i="153"/>
  <c r="D28" i="153"/>
  <c r="E28" i="153"/>
  <c r="C29" i="153"/>
  <c r="D29" i="153"/>
  <c r="E29" i="153"/>
  <c r="C30" i="153"/>
  <c r="D30" i="153"/>
  <c r="E30" i="153"/>
  <c r="C31" i="153"/>
  <c r="D31" i="153"/>
  <c r="E31" i="153"/>
  <c r="C32" i="153"/>
  <c r="D32" i="153"/>
  <c r="E32" i="153"/>
  <c r="C33" i="153"/>
  <c r="D33" i="153"/>
  <c r="E33" i="153"/>
  <c r="D4" i="101"/>
  <c r="J4" i="101" s="1"/>
  <c r="E4" i="101"/>
  <c r="K4" i="101" s="1"/>
  <c r="F4" i="101"/>
  <c r="L4" i="101" s="1"/>
  <c r="G4" i="101"/>
  <c r="H4" i="101"/>
  <c r="D5" i="101"/>
  <c r="J5" i="101" s="1"/>
  <c r="E5" i="101"/>
  <c r="K5" i="101" s="1"/>
  <c r="F5" i="101"/>
  <c r="L5" i="101" s="1"/>
  <c r="G5" i="101"/>
  <c r="H5" i="101"/>
  <c r="D6" i="101"/>
  <c r="J6" i="101" s="1"/>
  <c r="E6" i="101"/>
  <c r="K6" i="101" s="1"/>
  <c r="F6" i="101"/>
  <c r="L6" i="101" s="1"/>
  <c r="G6" i="101"/>
  <c r="H6" i="101"/>
  <c r="D7" i="101"/>
  <c r="J7" i="101" s="1"/>
  <c r="E7" i="101"/>
  <c r="K7" i="101" s="1"/>
  <c r="F7" i="101"/>
  <c r="L7" i="101" s="1"/>
  <c r="G7" i="101"/>
  <c r="H7" i="101"/>
  <c r="D9" i="101"/>
  <c r="J9" i="101" s="1"/>
  <c r="E9" i="101"/>
  <c r="K9" i="101" s="1"/>
  <c r="F9" i="101"/>
  <c r="L9" i="101" s="1"/>
  <c r="G9" i="101"/>
  <c r="H9" i="101"/>
  <c r="D10" i="101"/>
  <c r="J10" i="101" s="1"/>
  <c r="E10" i="101"/>
  <c r="K10" i="101" s="1"/>
  <c r="F10" i="101"/>
  <c r="L10" i="101" s="1"/>
  <c r="G10" i="101"/>
  <c r="H10" i="101"/>
  <c r="D11" i="101"/>
  <c r="J11" i="101" s="1"/>
  <c r="E11" i="101"/>
  <c r="K11" i="101" s="1"/>
  <c r="F11" i="101"/>
  <c r="L11" i="101" s="1"/>
  <c r="G11" i="101"/>
  <c r="H11" i="101"/>
  <c r="D12" i="101"/>
  <c r="J12" i="101" s="1"/>
  <c r="E12" i="101"/>
  <c r="K12" i="101" s="1"/>
  <c r="F12" i="101"/>
  <c r="L12" i="101" s="1"/>
  <c r="G12" i="101"/>
  <c r="H12" i="101"/>
  <c r="D13" i="101"/>
  <c r="J13" i="101" s="1"/>
  <c r="E13" i="101"/>
  <c r="K13" i="101" s="1"/>
  <c r="F13" i="101"/>
  <c r="L13" i="101" s="1"/>
  <c r="G13" i="101"/>
  <c r="H13" i="101"/>
  <c r="D14" i="101"/>
  <c r="J14" i="101" s="1"/>
  <c r="E14" i="101"/>
  <c r="K14" i="101" s="1"/>
  <c r="F14" i="101"/>
  <c r="L14" i="101" s="1"/>
  <c r="G14" i="101"/>
  <c r="H14" i="101"/>
  <c r="D15" i="101"/>
  <c r="J15" i="101" s="1"/>
  <c r="E15" i="101"/>
  <c r="K15" i="101" s="1"/>
  <c r="F15" i="101"/>
  <c r="L15" i="101" s="1"/>
  <c r="G15" i="101"/>
  <c r="H15" i="101"/>
  <c r="D16" i="101"/>
  <c r="J16" i="101" s="1"/>
  <c r="E16" i="101"/>
  <c r="K16" i="101" s="1"/>
  <c r="F16" i="101"/>
  <c r="L16" i="101" s="1"/>
  <c r="G16" i="101"/>
  <c r="H16" i="101"/>
  <c r="D17" i="101"/>
  <c r="J17" i="101" s="1"/>
  <c r="E17" i="101"/>
  <c r="K17" i="101" s="1"/>
  <c r="F17" i="101"/>
  <c r="L17" i="101" s="1"/>
  <c r="G17" i="101"/>
  <c r="H17" i="101"/>
  <c r="D18" i="101"/>
  <c r="J18" i="101" s="1"/>
  <c r="E18" i="101"/>
  <c r="K18" i="101" s="1"/>
  <c r="F18" i="101"/>
  <c r="L18" i="101" s="1"/>
  <c r="G18" i="101"/>
  <c r="H18" i="101"/>
  <c r="D19" i="101"/>
  <c r="J19" i="101" s="1"/>
  <c r="E19" i="101"/>
  <c r="K19" i="101" s="1"/>
  <c r="F19" i="101"/>
  <c r="L19" i="101" s="1"/>
  <c r="G19" i="101"/>
  <c r="H19" i="101"/>
  <c r="D20" i="101"/>
  <c r="J20" i="101" s="1"/>
  <c r="E20" i="101"/>
  <c r="K20" i="101" s="1"/>
  <c r="F20" i="101"/>
  <c r="L20" i="101" s="1"/>
  <c r="G20" i="101"/>
  <c r="H20" i="101"/>
  <c r="D21" i="101"/>
  <c r="J21" i="101" s="1"/>
  <c r="E21" i="101"/>
  <c r="K21" i="101" s="1"/>
  <c r="F21" i="101"/>
  <c r="L21" i="101" s="1"/>
  <c r="G21" i="101"/>
  <c r="H21" i="101"/>
  <c r="D22" i="101"/>
  <c r="J22" i="101" s="1"/>
  <c r="E22" i="101"/>
  <c r="K22" i="101" s="1"/>
  <c r="F22" i="101"/>
  <c r="L22" i="101" s="1"/>
  <c r="G22" i="101"/>
  <c r="H22" i="101"/>
  <c r="D23" i="101"/>
  <c r="J23" i="101" s="1"/>
  <c r="E23" i="101"/>
  <c r="K23" i="101" s="1"/>
  <c r="F23" i="101"/>
  <c r="L23" i="101" s="1"/>
  <c r="G23" i="101"/>
  <c r="H23" i="101"/>
  <c r="D24" i="101"/>
  <c r="J24" i="101" s="1"/>
  <c r="E24" i="101"/>
  <c r="K24" i="101" s="1"/>
  <c r="F24" i="101"/>
  <c r="L24" i="101" s="1"/>
  <c r="G24" i="101"/>
  <c r="H24" i="101"/>
  <c r="D26" i="101"/>
  <c r="J26" i="101" s="1"/>
  <c r="E26" i="101"/>
  <c r="K26" i="101" s="1"/>
  <c r="F26" i="101"/>
  <c r="L26" i="101" s="1"/>
  <c r="G26" i="101"/>
  <c r="H26" i="101"/>
  <c r="D27" i="101"/>
  <c r="J27" i="101" s="1"/>
  <c r="E27" i="101"/>
  <c r="K27" i="101" s="1"/>
  <c r="F27" i="101"/>
  <c r="L27" i="101" s="1"/>
  <c r="G27" i="101"/>
  <c r="H27" i="101"/>
  <c r="D28" i="101"/>
  <c r="J28" i="101" s="1"/>
  <c r="E28" i="101"/>
  <c r="K28" i="101" s="1"/>
  <c r="F28" i="101"/>
  <c r="L28" i="101" s="1"/>
  <c r="N28" i="101" s="1"/>
  <c r="G28" i="101"/>
  <c r="H28" i="101"/>
  <c r="D29" i="101"/>
  <c r="J29" i="101" s="1"/>
  <c r="E29" i="101"/>
  <c r="K29" i="101" s="1"/>
  <c r="F29" i="101"/>
  <c r="L29" i="101" s="1"/>
  <c r="G29" i="101"/>
  <c r="H29" i="101"/>
  <c r="D30" i="101"/>
  <c r="J30" i="101" s="1"/>
  <c r="E30" i="101"/>
  <c r="K30" i="101" s="1"/>
  <c r="F30" i="101"/>
  <c r="L30" i="101" s="1"/>
  <c r="G30" i="101"/>
  <c r="H30" i="101"/>
  <c r="D31" i="101"/>
  <c r="J31" i="101" s="1"/>
  <c r="E31" i="101"/>
  <c r="K31" i="101" s="1"/>
  <c r="F31" i="101"/>
  <c r="L31" i="101" s="1"/>
  <c r="G31" i="101"/>
  <c r="H31" i="101"/>
  <c r="D32" i="101"/>
  <c r="J32" i="101" s="1"/>
  <c r="E32" i="101"/>
  <c r="K32" i="101" s="1"/>
  <c r="L32" i="101"/>
  <c r="G32" i="101"/>
  <c r="H32" i="101"/>
  <c r="J1160" i="486" l="1"/>
  <c r="B1161" i="486"/>
  <c r="J1160" i="484"/>
  <c r="B1161" i="484"/>
  <c r="F16" i="153"/>
  <c r="F7" i="153"/>
  <c r="F33" i="153"/>
  <c r="F24" i="153"/>
  <c r="F29" i="153"/>
  <c r="F20" i="153"/>
  <c r="F30" i="153"/>
  <c r="F21" i="153"/>
  <c r="F13" i="153"/>
  <c r="F27" i="153"/>
  <c r="F18" i="153"/>
  <c r="F10" i="153"/>
  <c r="F23" i="153"/>
  <c r="F15" i="153"/>
  <c r="F6" i="153"/>
  <c r="F12" i="153"/>
  <c r="F25" i="153"/>
  <c r="F17" i="153"/>
  <c r="F8" i="153"/>
  <c r="F22" i="153"/>
  <c r="F14" i="153"/>
  <c r="F5" i="153"/>
  <c r="F19" i="153"/>
  <c r="F11" i="153"/>
  <c r="M29" i="101"/>
  <c r="F28" i="153"/>
  <c r="F31" i="153"/>
  <c r="F32" i="153"/>
  <c r="M24" i="101"/>
  <c r="M32" i="101"/>
  <c r="M20" i="101"/>
  <c r="M7" i="101"/>
  <c r="M26" i="101"/>
  <c r="M19" i="101"/>
  <c r="M6" i="101"/>
  <c r="M23" i="101"/>
  <c r="M11" i="101"/>
  <c r="M13" i="101"/>
  <c r="M30" i="101"/>
  <c r="M27" i="101"/>
  <c r="M14" i="101"/>
  <c r="M21" i="101"/>
  <c r="M9" i="101"/>
  <c r="M16" i="101"/>
  <c r="M31" i="101"/>
  <c r="M18" i="101"/>
  <c r="M5" i="101"/>
  <c r="M28" i="101"/>
  <c r="M15" i="101"/>
  <c r="M22" i="101"/>
  <c r="M10" i="101"/>
  <c r="M17" i="101"/>
  <c r="M4" i="101"/>
  <c r="M12" i="101"/>
  <c r="J1161" i="484" l="1"/>
  <c r="B1162" i="484"/>
  <c r="B1162" i="486"/>
  <c r="J1161" i="486"/>
  <c r="H12" i="413"/>
  <c r="D12" i="413"/>
  <c r="B1163" i="486" l="1"/>
  <c r="J1162" i="486"/>
  <c r="J1162" i="484"/>
  <c r="B1163" i="484"/>
  <c r="C26" i="14"/>
  <c r="J1163" i="484" l="1"/>
  <c r="B1164" i="484"/>
  <c r="J1163" i="486"/>
  <c r="B1164" i="486"/>
  <c r="J46" i="150"/>
  <c r="B60" i="150"/>
  <c r="C39" i="23" s="1"/>
  <c r="F8" i="254"/>
  <c r="B1165" i="486" l="1"/>
  <c r="J1165" i="486" s="1"/>
  <c r="J1164" i="486"/>
  <c r="J1164" i="484"/>
  <c r="B1165" i="484"/>
  <c r="J1165" i="484" s="1"/>
  <c r="O6" i="363"/>
  <c r="O7" i="363"/>
  <c r="O8" i="363"/>
  <c r="Q12" i="363"/>
  <c r="S12" i="363"/>
  <c r="U12" i="363"/>
  <c r="W12" i="363"/>
  <c r="Y12" i="363"/>
  <c r="Q18" i="363"/>
  <c r="S18" i="363"/>
  <c r="U18" i="363"/>
  <c r="W18" i="363"/>
  <c r="Y18" i="363"/>
  <c r="Q46" i="363"/>
  <c r="U44" i="363"/>
  <c r="S46" i="363"/>
  <c r="U46" i="363"/>
  <c r="W46" i="363"/>
  <c r="Y46" i="363"/>
  <c r="Q48" i="363"/>
  <c r="AA48" i="363" s="1"/>
  <c r="S48" i="363"/>
  <c r="U48" i="363"/>
  <c r="W48" i="363"/>
  <c r="Y48" i="363"/>
  <c r="S27" i="363"/>
  <c r="U27" i="363"/>
  <c r="W28" i="363"/>
  <c r="Y28" i="363"/>
  <c r="S43" i="363"/>
  <c r="U43" i="363"/>
  <c r="W43" i="363"/>
  <c r="Y43" i="363"/>
  <c r="Q22" i="363"/>
  <c r="W22" i="363"/>
  <c r="Y22" i="363"/>
  <c r="W34" i="363"/>
  <c r="Y34" i="363"/>
  <c r="Q23" i="363"/>
  <c r="S18" i="416" s="1"/>
  <c r="S23" i="363"/>
  <c r="U18" i="416" s="1"/>
  <c r="U52" i="363"/>
  <c r="W52" i="363"/>
  <c r="Y52" i="363"/>
  <c r="Q50" i="363"/>
  <c r="U50" i="363"/>
  <c r="O6" i="361"/>
  <c r="O7" i="361"/>
  <c r="O8" i="361"/>
  <c r="Q12" i="361"/>
  <c r="S12" i="361"/>
  <c r="U12" i="361"/>
  <c r="W12" i="361"/>
  <c r="Y12" i="361"/>
  <c r="U44" i="361"/>
  <c r="Q18" i="361"/>
  <c r="S18" i="361"/>
  <c r="U18" i="361"/>
  <c r="W18" i="361"/>
  <c r="Y18" i="361"/>
  <c r="Q46" i="361"/>
  <c r="S48" i="361"/>
  <c r="S46" i="361"/>
  <c r="U46" i="361"/>
  <c r="W46" i="361"/>
  <c r="Y46" i="361"/>
  <c r="Q48" i="361"/>
  <c r="U48" i="361"/>
  <c r="W48" i="361"/>
  <c r="Y48" i="361"/>
  <c r="Q28" i="361"/>
  <c r="S28" i="361"/>
  <c r="U17" i="361"/>
  <c r="W17" i="361"/>
  <c r="Y17" i="361"/>
  <c r="Q43" i="361"/>
  <c r="S43" i="361"/>
  <c r="U43" i="361"/>
  <c r="W44" i="361"/>
  <c r="Y44" i="361"/>
  <c r="Q22" i="361"/>
  <c r="S22" i="361"/>
  <c r="U22" i="361"/>
  <c r="W22" i="361"/>
  <c r="Q34" i="361"/>
  <c r="U34" i="361"/>
  <c r="W35" i="361"/>
  <c r="Y35" i="361"/>
  <c r="U52" i="361"/>
  <c r="W52" i="361"/>
  <c r="Y52" i="361"/>
  <c r="U50" i="361"/>
  <c r="W50" i="361"/>
  <c r="Y50" i="361"/>
  <c r="O6" i="360"/>
  <c r="O7" i="360"/>
  <c r="O8" i="360"/>
  <c r="Q12" i="360"/>
  <c r="S12" i="360"/>
  <c r="U12" i="360"/>
  <c r="W12" i="360"/>
  <c r="Y12" i="360"/>
  <c r="Q18" i="360"/>
  <c r="S18" i="360"/>
  <c r="U18" i="360"/>
  <c r="W18" i="360"/>
  <c r="Y18" i="360"/>
  <c r="U52" i="360"/>
  <c r="U48" i="360"/>
  <c r="U46" i="360"/>
  <c r="W46" i="360"/>
  <c r="Y46" i="360"/>
  <c r="Q48" i="360"/>
  <c r="S48" i="360"/>
  <c r="W48" i="360"/>
  <c r="Y48" i="360"/>
  <c r="U27" i="360"/>
  <c r="W27" i="360"/>
  <c r="Y27" i="360"/>
  <c r="Q44" i="360"/>
  <c r="S44" i="360"/>
  <c r="U43" i="360"/>
  <c r="W43" i="360"/>
  <c r="Y43" i="360"/>
  <c r="Y22" i="360"/>
  <c r="U33" i="360"/>
  <c r="W34" i="360"/>
  <c r="Y34" i="360"/>
  <c r="W52" i="360"/>
  <c r="Y52" i="360"/>
  <c r="W50" i="360"/>
  <c r="Y50" i="360"/>
  <c r="O6" i="359"/>
  <c r="O7" i="359"/>
  <c r="O8" i="359"/>
  <c r="Q12" i="359"/>
  <c r="S12" i="359"/>
  <c r="U12" i="359"/>
  <c r="W12" i="359"/>
  <c r="Y12" i="359"/>
  <c r="Q18" i="359"/>
  <c r="S18" i="359"/>
  <c r="U18" i="359"/>
  <c r="W18" i="359"/>
  <c r="Y18" i="359"/>
  <c r="Q46" i="359"/>
  <c r="S46" i="359"/>
  <c r="U46" i="359"/>
  <c r="W46" i="359"/>
  <c r="Y46" i="359"/>
  <c r="Q48" i="359"/>
  <c r="S48" i="359"/>
  <c r="U48" i="359"/>
  <c r="W48" i="359"/>
  <c r="Y48" i="359"/>
  <c r="Q28" i="359"/>
  <c r="U17" i="359"/>
  <c r="W17" i="359"/>
  <c r="W19" i="359" s="1"/>
  <c r="Y17" i="359"/>
  <c r="Y19" i="359" s="1"/>
  <c r="W45" i="359"/>
  <c r="Y43" i="359"/>
  <c r="U22" i="359"/>
  <c r="W22" i="359"/>
  <c r="Y22" i="359"/>
  <c r="Y34" i="359"/>
  <c r="Y52" i="359"/>
  <c r="Q50" i="359"/>
  <c r="U50" i="359"/>
  <c r="Y50" i="359"/>
  <c r="O6" i="358"/>
  <c r="O7" i="358"/>
  <c r="O8" i="358"/>
  <c r="S22" i="358"/>
  <c r="Q12" i="358"/>
  <c r="S12" i="358"/>
  <c r="U12" i="358"/>
  <c r="W12" i="358"/>
  <c r="Y12" i="358"/>
  <c r="Q18" i="358"/>
  <c r="S18" i="358"/>
  <c r="U13" i="416" s="1"/>
  <c r="U18" i="358"/>
  <c r="Y18" i="358"/>
  <c r="AA13" i="416" s="1"/>
  <c r="Y27" i="358"/>
  <c r="Y28" i="358"/>
  <c r="U50" i="358"/>
  <c r="Y44" i="358"/>
  <c r="Q46" i="358"/>
  <c r="S46" i="358"/>
  <c r="Y46" i="358"/>
  <c r="Y48" i="358"/>
  <c r="AA43" i="416" s="1"/>
  <c r="S28" i="358"/>
  <c r="U17" i="358"/>
  <c r="Y29" i="358"/>
  <c r="Q43" i="358"/>
  <c r="U43" i="358"/>
  <c r="W45" i="358"/>
  <c r="Y43" i="358"/>
  <c r="Y22" i="358"/>
  <c r="S33" i="358"/>
  <c r="U52" i="358"/>
  <c r="Y52" i="358"/>
  <c r="AA46" i="363" l="1"/>
  <c r="U19" i="361"/>
  <c r="S13" i="416"/>
  <c r="U19" i="359"/>
  <c r="AA46" i="359"/>
  <c r="AA47" i="416"/>
  <c r="Y30" i="358"/>
  <c r="Q29" i="360"/>
  <c r="Q33" i="360"/>
  <c r="Q54" i="360" s="1"/>
  <c r="S28" i="359"/>
  <c r="S34" i="359"/>
  <c r="AA34" i="359" s="1"/>
  <c r="S17" i="359"/>
  <c r="S19" i="359" s="1"/>
  <c r="S29" i="360"/>
  <c r="S33" i="360"/>
  <c r="S27" i="360"/>
  <c r="S50" i="363"/>
  <c r="AA41" i="416"/>
  <c r="S27" i="358"/>
  <c r="S50" i="359"/>
  <c r="S22" i="359"/>
  <c r="S46" i="360"/>
  <c r="U41" i="416" s="1"/>
  <c r="U35" i="361"/>
  <c r="U46" i="358"/>
  <c r="W41" i="416" s="1"/>
  <c r="S34" i="358"/>
  <c r="Q22" i="359"/>
  <c r="Q46" i="360"/>
  <c r="U19" i="358"/>
  <c r="AA48" i="360"/>
  <c r="AA46" i="361"/>
  <c r="U28" i="363"/>
  <c r="S41" i="416"/>
  <c r="Q52" i="360"/>
  <c r="AA48" i="361"/>
  <c r="W13" i="416"/>
  <c r="W52" i="359"/>
  <c r="W34" i="359"/>
  <c r="S52" i="361"/>
  <c r="S34" i="361"/>
  <c r="S52" i="363"/>
  <c r="AA52" i="363" s="1"/>
  <c r="S33" i="363"/>
  <c r="Q52" i="361"/>
  <c r="Q52" i="363"/>
  <c r="S48" i="358"/>
  <c r="U43" i="416" s="1"/>
  <c r="U44" i="359"/>
  <c r="S52" i="359"/>
  <c r="S44" i="359"/>
  <c r="AA48" i="359"/>
  <c r="W22" i="360"/>
  <c r="Q44" i="363"/>
  <c r="U52" i="359"/>
  <c r="W47" i="416" s="1"/>
  <c r="Y50" i="358"/>
  <c r="Q48" i="358"/>
  <c r="S43" i="416" s="1"/>
  <c r="Y17" i="358"/>
  <c r="Q52" i="359"/>
  <c r="AA52" i="359" s="1"/>
  <c r="Q34" i="359"/>
  <c r="Q44" i="359"/>
  <c r="Y35" i="359"/>
  <c r="U50" i="360"/>
  <c r="W45" i="416" s="1"/>
  <c r="Y22" i="361"/>
  <c r="AA17" i="416" s="1"/>
  <c r="S52" i="358"/>
  <c r="S17" i="358"/>
  <c r="S22" i="360"/>
  <c r="Y19" i="361"/>
  <c r="W50" i="363"/>
  <c r="U34" i="359"/>
  <c r="U34" i="358"/>
  <c r="S29" i="358"/>
  <c r="S30" i="358" s="1"/>
  <c r="W19" i="361"/>
  <c r="S17" i="361"/>
  <c r="S19" i="361" s="1"/>
  <c r="U22" i="363"/>
  <c r="S54" i="360"/>
  <c r="S54" i="363"/>
  <c r="S54" i="358"/>
  <c r="S43" i="358"/>
  <c r="S45" i="358"/>
  <c r="S44" i="358"/>
  <c r="U54" i="360"/>
  <c r="U34" i="360"/>
  <c r="S45" i="363"/>
  <c r="U45" i="359"/>
  <c r="U43" i="359"/>
  <c r="W38" i="416" s="1"/>
  <c r="W35" i="359"/>
  <c r="Y33" i="359"/>
  <c r="Y29" i="359"/>
  <c r="Y27" i="359"/>
  <c r="AA22" i="416" s="1"/>
  <c r="Q17" i="359"/>
  <c r="Q19" i="359" s="1"/>
  <c r="S45" i="360"/>
  <c r="S43" i="360"/>
  <c r="S34" i="360"/>
  <c r="Y28" i="360"/>
  <c r="Q27" i="360"/>
  <c r="S50" i="361"/>
  <c r="S44" i="361"/>
  <c r="S35" i="361"/>
  <c r="Y33" i="361"/>
  <c r="Y29" i="361"/>
  <c r="Y27" i="361"/>
  <c r="Q17" i="361"/>
  <c r="Q19" i="361" s="1"/>
  <c r="Q45" i="363"/>
  <c r="Q43" i="363"/>
  <c r="AA43" i="363" s="1"/>
  <c r="S34" i="363"/>
  <c r="S28" i="363"/>
  <c r="S45" i="359"/>
  <c r="S43" i="359"/>
  <c r="U35" i="359"/>
  <c r="W33" i="359"/>
  <c r="W29" i="359"/>
  <c r="W27" i="359"/>
  <c r="Q45" i="360"/>
  <c r="Q43" i="360"/>
  <c r="Q34" i="360"/>
  <c r="W28" i="360"/>
  <c r="Q50" i="361"/>
  <c r="Q44" i="361"/>
  <c r="Q35" i="361"/>
  <c r="W33" i="361"/>
  <c r="W29" i="361"/>
  <c r="W27" i="361"/>
  <c r="Q28" i="363"/>
  <c r="AA28" i="363" s="1"/>
  <c r="S22" i="363"/>
  <c r="Y17" i="363"/>
  <c r="Y19" i="363" s="1"/>
  <c r="Q45" i="359"/>
  <c r="Q43" i="359"/>
  <c r="S35" i="359"/>
  <c r="U33" i="359"/>
  <c r="U29" i="359"/>
  <c r="U27" i="359"/>
  <c r="U28" i="360"/>
  <c r="U33" i="361"/>
  <c r="U29" i="361"/>
  <c r="U27" i="361"/>
  <c r="Y50" i="363"/>
  <c r="Y44" i="363"/>
  <c r="W17" i="363"/>
  <c r="W19" i="363" s="1"/>
  <c r="U45" i="360"/>
  <c r="Q44" i="358"/>
  <c r="Q35" i="359"/>
  <c r="S33" i="359"/>
  <c r="S29" i="359"/>
  <c r="S27" i="359"/>
  <c r="Y44" i="360"/>
  <c r="Y35" i="360"/>
  <c r="S28" i="360"/>
  <c r="U22" i="360"/>
  <c r="Y45" i="361"/>
  <c r="Y43" i="361"/>
  <c r="AA38" i="416" s="1"/>
  <c r="Y34" i="361"/>
  <c r="S33" i="361"/>
  <c r="S29" i="361"/>
  <c r="S27" i="361"/>
  <c r="S30" i="361" s="1"/>
  <c r="W44" i="363"/>
  <c r="Y35" i="363"/>
  <c r="Y33" i="363"/>
  <c r="Y29" i="363"/>
  <c r="Y27" i="363"/>
  <c r="U17" i="363"/>
  <c r="U19" i="363" s="1"/>
  <c r="U35" i="358"/>
  <c r="U28" i="358"/>
  <c r="Y44" i="359"/>
  <c r="Q33" i="359"/>
  <c r="Q29" i="359"/>
  <c r="Q27" i="359"/>
  <c r="W44" i="360"/>
  <c r="W35" i="360"/>
  <c r="Q28" i="360"/>
  <c r="Y17" i="360"/>
  <c r="Y19" i="360" s="1"/>
  <c r="W45" i="361"/>
  <c r="W43" i="361"/>
  <c r="W34" i="361"/>
  <c r="Q33" i="361"/>
  <c r="Q29" i="361"/>
  <c r="Q27" i="361"/>
  <c r="W35" i="363"/>
  <c r="W33" i="363"/>
  <c r="W29" i="363"/>
  <c r="W27" i="363"/>
  <c r="S17" i="363"/>
  <c r="S19" i="363" s="1"/>
  <c r="W43" i="359"/>
  <c r="S50" i="358"/>
  <c r="Y45" i="358"/>
  <c r="S35" i="358"/>
  <c r="W50" i="359"/>
  <c r="W44" i="359"/>
  <c r="U44" i="360"/>
  <c r="U35" i="360"/>
  <c r="W17" i="360"/>
  <c r="W19" i="360" s="1"/>
  <c r="U45" i="361"/>
  <c r="S44" i="363"/>
  <c r="U35" i="363"/>
  <c r="U29" i="363"/>
  <c r="U30" i="363" s="1"/>
  <c r="Q17" i="363"/>
  <c r="Q19" i="363" s="1"/>
  <c r="Y28" i="359"/>
  <c r="S35" i="360"/>
  <c r="Y33" i="360"/>
  <c r="Y29" i="360"/>
  <c r="U17" i="360"/>
  <c r="U19" i="360" s="1"/>
  <c r="S45" i="361"/>
  <c r="Y28" i="361"/>
  <c r="S35" i="363"/>
  <c r="S29" i="363"/>
  <c r="U45" i="358"/>
  <c r="W28" i="359"/>
  <c r="Q35" i="360"/>
  <c r="W33" i="360"/>
  <c r="AA33" i="360" s="1"/>
  <c r="W29" i="360"/>
  <c r="S17" i="360"/>
  <c r="S19" i="360" s="1"/>
  <c r="Q45" i="361"/>
  <c r="W28" i="361"/>
  <c r="Q29" i="363"/>
  <c r="U28" i="359"/>
  <c r="U29" i="360"/>
  <c r="Q17" i="360"/>
  <c r="Q19" i="360" s="1"/>
  <c r="U28" i="361"/>
  <c r="Y45" i="363"/>
  <c r="Q27" i="358"/>
  <c r="Q45" i="358"/>
  <c r="Y45" i="360"/>
  <c r="W45" i="363"/>
  <c r="U29" i="358"/>
  <c r="U27" i="358"/>
  <c r="W22" i="416" s="1"/>
  <c r="Y45" i="359"/>
  <c r="W45" i="360"/>
  <c r="Y40" i="416" s="1"/>
  <c r="U45" i="363"/>
  <c r="AA52" i="361" l="1"/>
  <c r="AA44" i="363"/>
  <c r="AA24" i="416"/>
  <c r="S38" i="416"/>
  <c r="W24" i="416"/>
  <c r="U23" i="416"/>
  <c r="AA28" i="361"/>
  <c r="AA44" i="361"/>
  <c r="AA50" i="361"/>
  <c r="AA34" i="361"/>
  <c r="AA43" i="361"/>
  <c r="AA35" i="361"/>
  <c r="U28" i="416"/>
  <c r="AA45" i="361"/>
  <c r="AA44" i="360"/>
  <c r="W30" i="360"/>
  <c r="AA23" i="416"/>
  <c r="AA39" i="416"/>
  <c r="S30" i="360"/>
  <c r="Q36" i="360"/>
  <c r="U17" i="416"/>
  <c r="AA46" i="360"/>
  <c r="U38" i="416"/>
  <c r="AA44" i="359"/>
  <c r="AA50" i="359"/>
  <c r="W23" i="416"/>
  <c r="U40" i="416"/>
  <c r="S50" i="360"/>
  <c r="U45" i="416" s="1"/>
  <c r="S22" i="416"/>
  <c r="U29" i="416"/>
  <c r="AA45" i="358"/>
  <c r="S40" i="416"/>
  <c r="S39" i="416"/>
  <c r="Q27" i="363"/>
  <c r="Q30" i="363" s="1"/>
  <c r="U33" i="358"/>
  <c r="S30" i="363"/>
  <c r="S36" i="363"/>
  <c r="U30" i="360"/>
  <c r="Q22" i="360"/>
  <c r="S19" i="358"/>
  <c r="U12" i="416"/>
  <c r="U14" i="416" s="1"/>
  <c r="Y19" i="358"/>
  <c r="AA12" i="416"/>
  <c r="AA14" i="416" s="1"/>
  <c r="S52" i="360"/>
  <c r="AA52" i="360" s="1"/>
  <c r="U36" i="358"/>
  <c r="W30" i="416"/>
  <c r="AA50" i="363"/>
  <c r="U30" i="359"/>
  <c r="Y30" i="360"/>
  <c r="U36" i="360"/>
  <c r="U24" i="416"/>
  <c r="W12" i="416"/>
  <c r="W14" i="416" s="1"/>
  <c r="AA29" i="360"/>
  <c r="S36" i="360"/>
  <c r="Y33" i="358"/>
  <c r="Y35" i="358"/>
  <c r="AA30" i="416" s="1"/>
  <c r="Y34" i="358"/>
  <c r="AA29" i="416" s="1"/>
  <c r="AA45" i="416"/>
  <c r="Q50" i="360"/>
  <c r="AA50" i="360" s="1"/>
  <c r="AA28" i="359"/>
  <c r="W40" i="416"/>
  <c r="S36" i="358"/>
  <c r="U30" i="416"/>
  <c r="W29" i="416"/>
  <c r="AA40" i="416"/>
  <c r="U39" i="416"/>
  <c r="U33" i="363"/>
  <c r="U34" i="363"/>
  <c r="U22" i="416"/>
  <c r="AA33" i="361"/>
  <c r="Q36" i="361"/>
  <c r="Q54" i="361"/>
  <c r="U30" i="361"/>
  <c r="AA27" i="360"/>
  <c r="Q30" i="360"/>
  <c r="W30" i="361"/>
  <c r="W36" i="359"/>
  <c r="W54" i="359"/>
  <c r="AA45" i="363"/>
  <c r="U36" i="361"/>
  <c r="U54" i="361"/>
  <c r="U30" i="358"/>
  <c r="W30" i="363"/>
  <c r="S30" i="359"/>
  <c r="W54" i="361"/>
  <c r="W36" i="361"/>
  <c r="W36" i="363"/>
  <c r="W54" i="363"/>
  <c r="AA28" i="360"/>
  <c r="S36" i="359"/>
  <c r="S54" i="359"/>
  <c r="U49" i="416" s="1"/>
  <c r="W36" i="360"/>
  <c r="W54" i="360"/>
  <c r="Y30" i="363"/>
  <c r="AA35" i="359"/>
  <c r="U36" i="359"/>
  <c r="U54" i="359"/>
  <c r="Y30" i="361"/>
  <c r="Y30" i="359"/>
  <c r="AA35" i="360"/>
  <c r="S36" i="361"/>
  <c r="S54" i="361"/>
  <c r="Q30" i="359"/>
  <c r="AA27" i="359"/>
  <c r="Y36" i="363"/>
  <c r="Y54" i="363"/>
  <c r="AA43" i="359"/>
  <c r="AA34" i="360"/>
  <c r="AA36" i="360" s="1"/>
  <c r="Y54" i="361"/>
  <c r="Y36" i="361"/>
  <c r="Y36" i="359"/>
  <c r="Y54" i="359"/>
  <c r="Y36" i="360"/>
  <c r="Y54" i="360"/>
  <c r="AA29" i="359"/>
  <c r="AA45" i="359"/>
  <c r="AA43" i="360"/>
  <c r="AA27" i="363"/>
  <c r="AA30" i="363" s="1"/>
  <c r="Q28" i="358"/>
  <c r="S23" i="416" s="1"/>
  <c r="Q17" i="358"/>
  <c r="Q29" i="358"/>
  <c r="S24" i="416" s="1"/>
  <c r="AA29" i="363"/>
  <c r="Q30" i="361"/>
  <c r="AA27" i="361"/>
  <c r="Q36" i="359"/>
  <c r="Q54" i="359"/>
  <c r="AA33" i="359"/>
  <c r="AA36" i="359" s="1"/>
  <c r="AA45" i="360"/>
  <c r="Q22" i="358"/>
  <c r="S17" i="416" s="1"/>
  <c r="Q50" i="358"/>
  <c r="AA29" i="361"/>
  <c r="W30" i="359"/>
  <c r="AA25" i="416" l="1"/>
  <c r="S45" i="416"/>
  <c r="W25" i="416"/>
  <c r="AA36" i="361"/>
  <c r="AA30" i="361"/>
  <c r="U25" i="416"/>
  <c r="U31" i="416"/>
  <c r="W28" i="416"/>
  <c r="W31" i="416" s="1"/>
  <c r="U54" i="358"/>
  <c r="W49" i="416" s="1"/>
  <c r="S25" i="416"/>
  <c r="AA54" i="359"/>
  <c r="AA28" i="416"/>
  <c r="AA31" i="416" s="1"/>
  <c r="Y54" i="358"/>
  <c r="AA49" i="416" s="1"/>
  <c r="Y36" i="358"/>
  <c r="Q33" i="363"/>
  <c r="Q34" i="363"/>
  <c r="AA34" i="363" s="1"/>
  <c r="Q35" i="363"/>
  <c r="AA35" i="363" s="1"/>
  <c r="AA54" i="361"/>
  <c r="U47" i="416"/>
  <c r="U36" i="363"/>
  <c r="U54" i="363"/>
  <c r="AC40" i="416"/>
  <c r="AA30" i="359"/>
  <c r="AA54" i="360"/>
  <c r="S47" i="416"/>
  <c r="Q19" i="358"/>
  <c r="S12" i="416"/>
  <c r="S14" i="416" s="1"/>
  <c r="AA30" i="360"/>
  <c r="Q30" i="358"/>
  <c r="Q35" i="358"/>
  <c r="Q34" i="358"/>
  <c r="Q33" i="358"/>
  <c r="S28" i="416" s="1"/>
  <c r="S30" i="416" l="1"/>
  <c r="S29" i="416"/>
  <c r="Q54" i="363"/>
  <c r="AA54" i="363" s="1"/>
  <c r="AA33" i="363"/>
  <c r="AA36" i="363" s="1"/>
  <c r="Q36" i="363"/>
  <c r="Q54" i="358"/>
  <c r="S49" i="416" s="1"/>
  <c r="Q36" i="358"/>
  <c r="S31" i="416" l="1"/>
  <c r="W43" i="358"/>
  <c r="AA43" i="358" l="1"/>
  <c r="Y38" i="416"/>
  <c r="AC38" i="416" s="1"/>
  <c r="U48" i="358"/>
  <c r="W48" i="358"/>
  <c r="Y43" i="416" s="1"/>
  <c r="W18" i="358"/>
  <c r="Y13" i="416" s="1"/>
  <c r="W52" i="358"/>
  <c r="W22" i="358"/>
  <c r="Y17" i="416" s="1"/>
  <c r="W46" i="358"/>
  <c r="AA46" i="358" l="1"/>
  <c r="Y41" i="416"/>
  <c r="AC41" i="416" s="1"/>
  <c r="AA52" i="358"/>
  <c r="Y47" i="416"/>
  <c r="AC47" i="416" s="1"/>
  <c r="AA48" i="358"/>
  <c r="W43" i="416"/>
  <c r="AC43" i="416" s="1"/>
  <c r="W50" i="358"/>
  <c r="U22" i="358"/>
  <c r="W17" i="416" s="1"/>
  <c r="W17" i="358"/>
  <c r="W28" i="358"/>
  <c r="W27" i="358"/>
  <c r="Y22" i="416" s="1"/>
  <c r="U44" i="358"/>
  <c r="W44" i="358"/>
  <c r="Y39" i="416" s="1"/>
  <c r="W29" i="358"/>
  <c r="AA28" i="358" l="1"/>
  <c r="Y23" i="416"/>
  <c r="AC23" i="416" s="1"/>
  <c r="W19" i="358"/>
  <c r="Y12" i="416"/>
  <c r="Y14" i="416" s="1"/>
  <c r="AA29" i="358"/>
  <c r="Y24" i="416"/>
  <c r="AC24" i="416" s="1"/>
  <c r="AA44" i="358"/>
  <c r="W39" i="416"/>
  <c r="AC39" i="416" s="1"/>
  <c r="AA50" i="358"/>
  <c r="Y45" i="416"/>
  <c r="AC45" i="416" s="1"/>
  <c r="AC22" i="416"/>
  <c r="W30" i="358"/>
  <c r="AA27" i="358"/>
  <c r="W34" i="358"/>
  <c r="W35" i="358"/>
  <c r="W33" i="358"/>
  <c r="Y28" i="416" s="1"/>
  <c r="AC25" i="416" l="1"/>
  <c r="Y25" i="416"/>
  <c r="AC28" i="416"/>
  <c r="AA35" i="358"/>
  <c r="Y30" i="416"/>
  <c r="AC30" i="416" s="1"/>
  <c r="AA34" i="358"/>
  <c r="Y29" i="416"/>
  <c r="AC29" i="416" s="1"/>
  <c r="AA30" i="358"/>
  <c r="W36" i="358"/>
  <c r="W54" i="358"/>
  <c r="AA33" i="358"/>
  <c r="AA36" i="358" l="1"/>
  <c r="AA54" i="358"/>
  <c r="Y49" i="416"/>
  <c r="AC49" i="416" s="1"/>
  <c r="AC31" i="416"/>
  <c r="Y31" i="416"/>
  <c r="R1144" i="148"/>
  <c r="S1144" i="148"/>
  <c r="M1144" i="148"/>
  <c r="L1144" i="148"/>
  <c r="K1144" i="148"/>
  <c r="I1144" i="148"/>
  <c r="G1144" i="148"/>
  <c r="N1144" i="148" s="1"/>
  <c r="R1143" i="148"/>
  <c r="M1143" i="148"/>
  <c r="L1143" i="148"/>
  <c r="K1143" i="148"/>
  <c r="I1143" i="148"/>
  <c r="G1143" i="148"/>
  <c r="N1143" i="148" s="1"/>
  <c r="R1142" i="148"/>
  <c r="S1142" i="148"/>
  <c r="M1142" i="148"/>
  <c r="L1142" i="148"/>
  <c r="K1142" i="148"/>
  <c r="I1142" i="148"/>
  <c r="G1142" i="148"/>
  <c r="N1142" i="148" s="1"/>
  <c r="R1141" i="148"/>
  <c r="S1141" i="148"/>
  <c r="M1141" i="148"/>
  <c r="L1141" i="148"/>
  <c r="K1141" i="148"/>
  <c r="I1141" i="148"/>
  <c r="G1141" i="148"/>
  <c r="N1141" i="148" s="1"/>
  <c r="R1140" i="148"/>
  <c r="M1140" i="148"/>
  <c r="L1140" i="148"/>
  <c r="K1140" i="148"/>
  <c r="I1140" i="148"/>
  <c r="G1140" i="148"/>
  <c r="N1140" i="148" s="1"/>
  <c r="R1139" i="148"/>
  <c r="M1139" i="148"/>
  <c r="L1139" i="148"/>
  <c r="K1139" i="148"/>
  <c r="I1139" i="148"/>
  <c r="G1139" i="148"/>
  <c r="N1139" i="148" s="1"/>
  <c r="R1138" i="148"/>
  <c r="M1138" i="148"/>
  <c r="L1138" i="148"/>
  <c r="K1138" i="148"/>
  <c r="I1138" i="148"/>
  <c r="G1138" i="148"/>
  <c r="N1138" i="148" s="1"/>
  <c r="R1137" i="148"/>
  <c r="M1137" i="148"/>
  <c r="L1137" i="148"/>
  <c r="K1137" i="148"/>
  <c r="I1137" i="148"/>
  <c r="G1137" i="148"/>
  <c r="N1137" i="148" s="1"/>
  <c r="R1136" i="148"/>
  <c r="M1136" i="148"/>
  <c r="L1136" i="148"/>
  <c r="K1136" i="148"/>
  <c r="I1136" i="148"/>
  <c r="G1136" i="148"/>
  <c r="J1136" i="148" s="1"/>
  <c r="R1135" i="148"/>
  <c r="S1135" i="148"/>
  <c r="M1135" i="148"/>
  <c r="L1135" i="148"/>
  <c r="K1135" i="148"/>
  <c r="I1135" i="148"/>
  <c r="G1135" i="148"/>
  <c r="N1135" i="148" s="1"/>
  <c r="R1134" i="148"/>
  <c r="M1134" i="148"/>
  <c r="L1134" i="148"/>
  <c r="K1134" i="148"/>
  <c r="I1134" i="148"/>
  <c r="G1134" i="148"/>
  <c r="N1134" i="148" s="1"/>
  <c r="R1133" i="148"/>
  <c r="S1133" i="148"/>
  <c r="M1133" i="148"/>
  <c r="L1133" i="148"/>
  <c r="K1133" i="148"/>
  <c r="I1133" i="148"/>
  <c r="G1133" i="148"/>
  <c r="N1133" i="148" s="1"/>
  <c r="G1132" i="148"/>
  <c r="J1132" i="148" s="1"/>
  <c r="I1132" i="148"/>
  <c r="K1132" i="148"/>
  <c r="L1132" i="148"/>
  <c r="M1132" i="148"/>
  <c r="R1132" i="148"/>
  <c r="O1132" i="148" l="1"/>
  <c r="S1132" i="148"/>
  <c r="S1143" i="148"/>
  <c r="S1134" i="148"/>
  <c r="P1143" i="148"/>
  <c r="S1136" i="148"/>
  <c r="P1138" i="148"/>
  <c r="S1138" i="148"/>
  <c r="S1140" i="148"/>
  <c r="S1137" i="148"/>
  <c r="S1139" i="148"/>
  <c r="P1140" i="148"/>
  <c r="P1137" i="148"/>
  <c r="P1142" i="148"/>
  <c r="P1144" i="148"/>
  <c r="P1139" i="148"/>
  <c r="P1135" i="148"/>
  <c r="P1134" i="148"/>
  <c r="P1133" i="148"/>
  <c r="P1141" i="148"/>
  <c r="J1134" i="148"/>
  <c r="J1137" i="148"/>
  <c r="J1139" i="148"/>
  <c r="J1141" i="148"/>
  <c r="J1142" i="148"/>
  <c r="J1144" i="148"/>
  <c r="J1133" i="148"/>
  <c r="J1135" i="148"/>
  <c r="J1138" i="148"/>
  <c r="J1140" i="148"/>
  <c r="J1143" i="148"/>
  <c r="N1136" i="148"/>
  <c r="P1136" i="148" s="1"/>
  <c r="O1133" i="148"/>
  <c r="O1134" i="148"/>
  <c r="O1135" i="148"/>
  <c r="O1136" i="148"/>
  <c r="O1137" i="148"/>
  <c r="O1138" i="148"/>
  <c r="O1139" i="148"/>
  <c r="O1140" i="148"/>
  <c r="O1141" i="148"/>
  <c r="O1142" i="148"/>
  <c r="O1143" i="148"/>
  <c r="O1144" i="148"/>
  <c r="N1132" i="148"/>
  <c r="P1132" i="148" s="1"/>
  <c r="B5" i="97" l="1"/>
  <c r="B6" i="97"/>
  <c r="B7" i="97"/>
  <c r="B8" i="97"/>
  <c r="B9" i="97"/>
  <c r="B10" i="97"/>
  <c r="B11" i="97"/>
  <c r="B12" i="97"/>
  <c r="B13" i="97"/>
  <c r="B14" i="97"/>
  <c r="B15" i="97"/>
  <c r="B16" i="97"/>
  <c r="B17" i="97"/>
  <c r="B18" i="97"/>
  <c r="B19" i="97"/>
  <c r="B20" i="97"/>
  <c r="B21" i="97"/>
  <c r="B22" i="97"/>
  <c r="B23" i="97"/>
  <c r="B24" i="97"/>
  <c r="B25" i="97"/>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4" i="97"/>
  <c r="B3" i="97"/>
  <c r="B65" i="97" l="1"/>
  <c r="B69" i="97" s="1"/>
  <c r="I14" i="15" l="1"/>
  <c r="F14" i="15"/>
  <c r="C14" i="15"/>
  <c r="A14" i="15"/>
  <c r="I13" i="15"/>
  <c r="F13" i="15"/>
  <c r="C13" i="15"/>
  <c r="I12" i="15"/>
  <c r="F12" i="15"/>
  <c r="C12" i="15"/>
  <c r="A13" i="15"/>
  <c r="A12" i="15"/>
  <c r="H41" i="7" l="1"/>
  <c r="C27" i="12" l="1"/>
  <c r="G15" i="12"/>
  <c r="H50" i="7"/>
  <c r="G18" i="12" l="1"/>
  <c r="B23" i="150"/>
  <c r="AD21" i="316" l="1"/>
  <c r="AS42" i="148"/>
  <c r="A6" i="61"/>
  <c r="A7" i="6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A64" i="61"/>
  <c r="A65" i="61"/>
  <c r="V10" i="36" l="1"/>
  <c r="B1" i="101" l="1"/>
  <c r="A63" i="97" l="1"/>
  <c r="A62" i="97"/>
  <c r="A61" i="97"/>
  <c r="A60" i="97"/>
  <c r="A59" i="97"/>
  <c r="A58" i="97"/>
  <c r="A57" i="97"/>
  <c r="A56" i="97"/>
  <c r="A55" i="97"/>
  <c r="A54" i="97"/>
  <c r="A53" i="97"/>
  <c r="A52" i="97"/>
  <c r="A51" i="97"/>
  <c r="A50" i="97"/>
  <c r="A49" i="97"/>
  <c r="A48" i="97"/>
  <c r="A47" i="97"/>
  <c r="A46" i="97"/>
  <c r="A45" i="97"/>
  <c r="A44" i="97"/>
  <c r="A43" i="97"/>
  <c r="A42" i="97"/>
  <c r="A41" i="97"/>
  <c r="A40" i="97"/>
  <c r="A39" i="97"/>
  <c r="A38" i="97"/>
  <c r="A37" i="97"/>
  <c r="A36" i="97"/>
  <c r="A35" i="97"/>
  <c r="A34" i="97"/>
  <c r="A33" i="97"/>
  <c r="A32" i="97"/>
  <c r="A31" i="97"/>
  <c r="A30" i="97"/>
  <c r="A29" i="97"/>
  <c r="A28" i="97"/>
  <c r="A27" i="97"/>
  <c r="A26" i="97"/>
  <c r="A25" i="97"/>
  <c r="A24" i="97"/>
  <c r="A23" i="97"/>
  <c r="A22" i="97"/>
  <c r="A21" i="97"/>
  <c r="A20" i="97"/>
  <c r="A19" i="97"/>
  <c r="A18" i="97"/>
  <c r="A17" i="97"/>
  <c r="A16" i="97"/>
  <c r="A15" i="97"/>
  <c r="A14" i="97"/>
  <c r="A13" i="97"/>
  <c r="A12" i="97"/>
  <c r="A11" i="97"/>
  <c r="A10" i="97"/>
  <c r="A9" i="97"/>
  <c r="A8" i="97"/>
  <c r="A7" i="97"/>
  <c r="A6" i="97"/>
  <c r="A5" i="97"/>
  <c r="A4" i="97"/>
  <c r="D9" i="39" l="1"/>
  <c r="S9" i="39" s="1"/>
  <c r="V9" i="39" s="1"/>
  <c r="Z1" i="316" l="1"/>
  <c r="V11" i="119" l="1"/>
  <c r="B1" i="36" l="1"/>
  <c r="C1" i="153" l="1"/>
  <c r="F3" i="101"/>
  <c r="E3" i="101"/>
  <c r="D3" i="101"/>
  <c r="A3" i="97" l="1"/>
  <c r="V12" i="36" l="1"/>
  <c r="L24" i="254" l="1"/>
  <c r="D9" i="36"/>
  <c r="V14" i="36"/>
  <c r="V13" i="36"/>
  <c r="C21" i="420" l="1"/>
  <c r="G21" i="420" s="1"/>
  <c r="K21" i="420" s="1"/>
  <c r="V51" i="39"/>
  <c r="V49" i="39"/>
  <c r="S9" i="36"/>
  <c r="V9" i="36" s="1"/>
  <c r="F26" i="36" l="1"/>
  <c r="Z10" i="36"/>
  <c r="Z9" i="36"/>
  <c r="V18" i="36"/>
  <c r="V16" i="36"/>
  <c r="I21" i="420"/>
  <c r="V53" i="39"/>
  <c r="E9" i="58" s="1"/>
  <c r="V20" i="36" l="1"/>
  <c r="E7" i="13" s="1"/>
  <c r="Z11" i="36"/>
  <c r="Z12" i="36"/>
  <c r="H52" i="7"/>
  <c r="K7" i="13" l="1"/>
  <c r="H54" i="7"/>
  <c r="Y42" i="148"/>
  <c r="AA42" i="148" s="1"/>
  <c r="N32" i="150"/>
  <c r="D4" i="153"/>
  <c r="H3" i="101"/>
  <c r="G3" i="101"/>
  <c r="J3" i="101"/>
  <c r="H56" i="7" l="1"/>
  <c r="N16" i="150"/>
  <c r="C38" i="10" l="1"/>
  <c r="E17" i="10" l="1"/>
  <c r="H37" i="7"/>
  <c r="F15" i="23"/>
  <c r="AF21" i="316"/>
  <c r="E23" i="11" s="1"/>
  <c r="N25" i="150"/>
  <c r="H43" i="7" l="1"/>
  <c r="H65" i="7"/>
  <c r="J13" i="37" l="1"/>
  <c r="J12" i="53"/>
  <c r="J16" i="53"/>
  <c r="J20" i="53"/>
  <c r="J24" i="53"/>
  <c r="J28" i="53"/>
  <c r="J31" i="53"/>
  <c r="J35" i="53"/>
  <c r="J39" i="53"/>
  <c r="J43" i="53"/>
  <c r="J47" i="53"/>
  <c r="J11" i="53"/>
  <c r="J27" i="53"/>
  <c r="J38" i="53"/>
  <c r="J42" i="53"/>
  <c r="J10" i="37"/>
  <c r="J14" i="37"/>
  <c r="J9" i="37"/>
  <c r="J13" i="53"/>
  <c r="J17" i="53"/>
  <c r="J21" i="53"/>
  <c r="J25" i="53"/>
  <c r="J32" i="53"/>
  <c r="J36" i="53"/>
  <c r="J40" i="53"/>
  <c r="J44" i="53"/>
  <c r="J9" i="53"/>
  <c r="J12" i="37"/>
  <c r="J19" i="53"/>
  <c r="J30" i="53"/>
  <c r="J46" i="53"/>
  <c r="J11" i="37"/>
  <c r="J10" i="53"/>
  <c r="J14" i="53"/>
  <c r="J18" i="53"/>
  <c r="J22" i="53"/>
  <c r="J26" i="53"/>
  <c r="J29" i="53"/>
  <c r="J33" i="53"/>
  <c r="J37" i="53"/>
  <c r="J41" i="53"/>
  <c r="J45" i="53"/>
  <c r="J15" i="53"/>
  <c r="J23" i="53"/>
  <c r="J34" i="53"/>
  <c r="E4" i="153"/>
  <c r="F4" i="153" s="1"/>
  <c r="C4" i="153"/>
  <c r="P14" i="53" l="1"/>
  <c r="S14" i="53"/>
  <c r="P44" i="53"/>
  <c r="S44" i="53"/>
  <c r="S43" i="53"/>
  <c r="P43" i="53"/>
  <c r="P12" i="53"/>
  <c r="S12" i="53"/>
  <c r="S10" i="53"/>
  <c r="P10" i="53"/>
  <c r="P36" i="53"/>
  <c r="S36" i="53"/>
  <c r="S35" i="53"/>
  <c r="P35" i="53"/>
  <c r="P28" i="53"/>
  <c r="S28" i="53"/>
  <c r="P46" i="53"/>
  <c r="S46" i="53"/>
  <c r="P31" i="53"/>
  <c r="S31" i="53"/>
  <c r="P30" i="53"/>
  <c r="S30" i="53"/>
  <c r="S26" i="53"/>
  <c r="P26" i="53"/>
  <c r="P24" i="53"/>
  <c r="S24" i="53"/>
  <c r="P40" i="53"/>
  <c r="S40" i="53"/>
  <c r="P37" i="53"/>
  <c r="S37" i="53"/>
  <c r="P25" i="53"/>
  <c r="S25" i="53"/>
  <c r="S19" i="53"/>
  <c r="P19" i="53"/>
  <c r="S27" i="53"/>
  <c r="P27" i="53"/>
  <c r="P23" i="53"/>
  <c r="S23" i="53"/>
  <c r="P22" i="53"/>
  <c r="S22" i="53"/>
  <c r="P17" i="53"/>
  <c r="S17" i="53"/>
  <c r="S11" i="53"/>
  <c r="P11" i="53"/>
  <c r="P20" i="53"/>
  <c r="S20" i="53"/>
  <c r="P45" i="53"/>
  <c r="S45" i="53"/>
  <c r="P41" i="53"/>
  <c r="S41" i="53"/>
  <c r="P39" i="53"/>
  <c r="S39" i="53"/>
  <c r="P33" i="53"/>
  <c r="S33" i="53"/>
  <c r="P32" i="53"/>
  <c r="S32" i="53"/>
  <c r="S42" i="53"/>
  <c r="P42" i="53"/>
  <c r="P29" i="53"/>
  <c r="S29" i="53"/>
  <c r="P38" i="53"/>
  <c r="S38" i="53"/>
  <c r="S34" i="53"/>
  <c r="P34" i="53"/>
  <c r="P21" i="53"/>
  <c r="S21" i="53"/>
  <c r="P15" i="53"/>
  <c r="S15" i="53"/>
  <c r="S18" i="53"/>
  <c r="P18" i="53"/>
  <c r="P13" i="53"/>
  <c r="S13" i="53"/>
  <c r="P47" i="53"/>
  <c r="S47" i="53"/>
  <c r="P16" i="53"/>
  <c r="S16" i="53"/>
  <c r="S9" i="53"/>
  <c r="P9" i="53"/>
  <c r="S10" i="37"/>
  <c r="P10" i="37"/>
  <c r="S9" i="37"/>
  <c r="P9" i="37"/>
  <c r="S13" i="37"/>
  <c r="P13" i="37"/>
  <c r="S11" i="37"/>
  <c r="P11" i="37"/>
  <c r="S12" i="37"/>
  <c r="P12" i="37"/>
  <c r="P14" i="37"/>
  <c r="S14" i="37"/>
  <c r="C34" i="153"/>
  <c r="V11" i="53" l="1"/>
  <c r="V27" i="53"/>
  <c r="V26" i="53"/>
  <c r="V19" i="53"/>
  <c r="V25" i="53"/>
  <c r="V20" i="53"/>
  <c r="V31" i="53"/>
  <c r="V32" i="53"/>
  <c r="V23" i="53"/>
  <c r="V15" i="53"/>
  <c r="V12" i="53"/>
  <c r="V16" i="53"/>
  <c r="V24" i="53"/>
  <c r="V43" i="53"/>
  <c r="V42" i="53"/>
  <c r="V10" i="53"/>
  <c r="V34" i="53"/>
  <c r="V45" i="53"/>
  <c r="V37" i="53"/>
  <c r="V46" i="53"/>
  <c r="V36" i="53"/>
  <c r="V29" i="53"/>
  <c r="V17" i="53"/>
  <c r="V40" i="53"/>
  <c r="V30" i="53"/>
  <c r="V28" i="53"/>
  <c r="V44" i="53"/>
  <c r="V38" i="53"/>
  <c r="V21" i="53"/>
  <c r="V18" i="53"/>
  <c r="V47" i="53"/>
  <c r="V33" i="53"/>
  <c r="V13" i="53"/>
  <c r="V41" i="53"/>
  <c r="V22" i="53"/>
  <c r="V14" i="53"/>
  <c r="V39" i="53"/>
  <c r="V35" i="53"/>
  <c r="S51" i="53"/>
  <c r="P51" i="53"/>
  <c r="P49" i="53"/>
  <c r="S49" i="53"/>
  <c r="V14" i="37"/>
  <c r="V12" i="37"/>
  <c r="V13" i="37"/>
  <c r="P18" i="37"/>
  <c r="P16" i="37"/>
  <c r="S18" i="37"/>
  <c r="S16" i="37"/>
  <c r="V10" i="37"/>
  <c r="V9" i="37"/>
  <c r="V9" i="53"/>
  <c r="V11" i="37"/>
  <c r="G22" i="153"/>
  <c r="H22" i="153" s="1"/>
  <c r="G5" i="153"/>
  <c r="H5" i="153" s="1"/>
  <c r="G14" i="153"/>
  <c r="H14" i="153" s="1"/>
  <c r="G31" i="153"/>
  <c r="H31" i="153" s="1"/>
  <c r="G16" i="153"/>
  <c r="H16" i="153" s="1"/>
  <c r="G33" i="153"/>
  <c r="H33" i="153" s="1"/>
  <c r="G23" i="153"/>
  <c r="H23" i="153" s="1"/>
  <c r="G32" i="153"/>
  <c r="H32" i="153" s="1"/>
  <c r="G7" i="153"/>
  <c r="H7" i="153" s="1"/>
  <c r="G24" i="153"/>
  <c r="H24" i="153" s="1"/>
  <c r="G6" i="153"/>
  <c r="H6" i="153" s="1"/>
  <c r="G28" i="153"/>
  <c r="H28" i="153" s="1"/>
  <c r="G10" i="153"/>
  <c r="H10" i="153" s="1"/>
  <c r="G13" i="153"/>
  <c r="H13" i="153" s="1"/>
  <c r="G19" i="153"/>
  <c r="H19" i="153" s="1"/>
  <c r="G30" i="153"/>
  <c r="H30" i="153" s="1"/>
  <c r="G18" i="153"/>
  <c r="H18" i="153" s="1"/>
  <c r="G29" i="153"/>
  <c r="H29" i="153" s="1"/>
  <c r="G11" i="153"/>
  <c r="H11" i="153" s="1"/>
  <c r="G8" i="153"/>
  <c r="H8" i="153" s="1"/>
  <c r="G20" i="153"/>
  <c r="H20" i="153" s="1"/>
  <c r="G25" i="153"/>
  <c r="H25" i="153" s="1"/>
  <c r="G12" i="153"/>
  <c r="H12" i="153" s="1"/>
  <c r="G17" i="153"/>
  <c r="H17" i="153" s="1"/>
  <c r="G27" i="153"/>
  <c r="H27" i="153" s="1"/>
  <c r="G15" i="153"/>
  <c r="H15" i="153" s="1"/>
  <c r="G21" i="153"/>
  <c r="H21" i="153" s="1"/>
  <c r="G4" i="153"/>
  <c r="H4" i="153" s="1"/>
  <c r="V51" i="53" l="1"/>
  <c r="V49" i="53"/>
  <c r="V18" i="37"/>
  <c r="V16" i="37"/>
  <c r="P20" i="37"/>
  <c r="S20" i="37"/>
  <c r="P53" i="53"/>
  <c r="S53" i="53"/>
  <c r="H34" i="153"/>
  <c r="E15" i="14" s="1"/>
  <c r="V53" i="53" l="1"/>
  <c r="E13" i="58" s="1"/>
  <c r="V20" i="37"/>
  <c r="E11" i="13" s="1"/>
  <c r="E15" i="13" s="1"/>
  <c r="L3" i="101"/>
  <c r="K3" i="101"/>
  <c r="R1131" i="148"/>
  <c r="S1131" i="148"/>
  <c r="M1131" i="148"/>
  <c r="L1131" i="148"/>
  <c r="K1131" i="148"/>
  <c r="I1131" i="148"/>
  <c r="G1131" i="148"/>
  <c r="R1130" i="148"/>
  <c r="S1130" i="148"/>
  <c r="M1130" i="148"/>
  <c r="L1130" i="148"/>
  <c r="K1130" i="148"/>
  <c r="I1130" i="148"/>
  <c r="G1130" i="148"/>
  <c r="R1129" i="148"/>
  <c r="M1129" i="148"/>
  <c r="L1129" i="148"/>
  <c r="K1129" i="148"/>
  <c r="I1129" i="148"/>
  <c r="G1129" i="148"/>
  <c r="R1128" i="148"/>
  <c r="M1128" i="148"/>
  <c r="L1128" i="148"/>
  <c r="O1128" i="148" s="1"/>
  <c r="K1128" i="148"/>
  <c r="I1128" i="148"/>
  <c r="G1128" i="148"/>
  <c r="R1127" i="148"/>
  <c r="S1127" i="148"/>
  <c r="M1127" i="148"/>
  <c r="L1127" i="148"/>
  <c r="K1127" i="148"/>
  <c r="I1127" i="148"/>
  <c r="G1127" i="148"/>
  <c r="R1126" i="148"/>
  <c r="M1126" i="148"/>
  <c r="L1126" i="148"/>
  <c r="K1126" i="148"/>
  <c r="I1126" i="148"/>
  <c r="G1126" i="148"/>
  <c r="R1125" i="148"/>
  <c r="M1125" i="148"/>
  <c r="L1125" i="148"/>
  <c r="K1125" i="148"/>
  <c r="I1125" i="148"/>
  <c r="G1125" i="148"/>
  <c r="R1124" i="148"/>
  <c r="S1124" i="148"/>
  <c r="M1124" i="148"/>
  <c r="L1124" i="148"/>
  <c r="K1124" i="148"/>
  <c r="I1124" i="148"/>
  <c r="G1124" i="148"/>
  <c r="R1123" i="148"/>
  <c r="M1123" i="148"/>
  <c r="L1123" i="148"/>
  <c r="K1123" i="148"/>
  <c r="I1123" i="148"/>
  <c r="G1123" i="148"/>
  <c r="R1122" i="148"/>
  <c r="M1122" i="148"/>
  <c r="L1122" i="148"/>
  <c r="K1122" i="148"/>
  <c r="I1122" i="148"/>
  <c r="G1122" i="148"/>
  <c r="R1121" i="148"/>
  <c r="S1121" i="148"/>
  <c r="M1121" i="148"/>
  <c r="L1121" i="148"/>
  <c r="K1121" i="148"/>
  <c r="I1121" i="148"/>
  <c r="G1121" i="148"/>
  <c r="R1120" i="148"/>
  <c r="M1120" i="148"/>
  <c r="L1120" i="148"/>
  <c r="K1120" i="148"/>
  <c r="I1120" i="148"/>
  <c r="G1120" i="148"/>
  <c r="R1119" i="148"/>
  <c r="M1119" i="148"/>
  <c r="L1119" i="148"/>
  <c r="O1119" i="148" s="1"/>
  <c r="K1119" i="148"/>
  <c r="I1119" i="148"/>
  <c r="G1119" i="148"/>
  <c r="R1118" i="148"/>
  <c r="M1118" i="148"/>
  <c r="L1118" i="148"/>
  <c r="K1118" i="148"/>
  <c r="I1118" i="148"/>
  <c r="G1118" i="148"/>
  <c r="R1117" i="148"/>
  <c r="M1117" i="148"/>
  <c r="L1117" i="148"/>
  <c r="K1117" i="148"/>
  <c r="I1117" i="148"/>
  <c r="G1117" i="148"/>
  <c r="R1116" i="148"/>
  <c r="M1116" i="148"/>
  <c r="L1116" i="148"/>
  <c r="K1116" i="148"/>
  <c r="I1116" i="148"/>
  <c r="G1116" i="148"/>
  <c r="R1115" i="148"/>
  <c r="M1115" i="148"/>
  <c r="L1115" i="148"/>
  <c r="K1115" i="148"/>
  <c r="I1115" i="148"/>
  <c r="G1115" i="148"/>
  <c r="R1114" i="148"/>
  <c r="M1114" i="148"/>
  <c r="L1114" i="148"/>
  <c r="O1114" i="148" s="1"/>
  <c r="K1114" i="148"/>
  <c r="I1114" i="148"/>
  <c r="G1114" i="148"/>
  <c r="R1113" i="148"/>
  <c r="M1113" i="148"/>
  <c r="L1113" i="148"/>
  <c r="K1113" i="148"/>
  <c r="I1113" i="148"/>
  <c r="G1113" i="148"/>
  <c r="R1112" i="148"/>
  <c r="M1112" i="148"/>
  <c r="L1112" i="148"/>
  <c r="K1112" i="148"/>
  <c r="I1112" i="148"/>
  <c r="G1112" i="148"/>
  <c r="R1111" i="148"/>
  <c r="M1111" i="148"/>
  <c r="L1111" i="148"/>
  <c r="K1111" i="148"/>
  <c r="I1111" i="148"/>
  <c r="G1111" i="148"/>
  <c r="R1110" i="148"/>
  <c r="M1110" i="148"/>
  <c r="L1110" i="148"/>
  <c r="K1110" i="148"/>
  <c r="I1110" i="148"/>
  <c r="G1110" i="148"/>
  <c r="R1109" i="148"/>
  <c r="S1109" i="148"/>
  <c r="M1109" i="148"/>
  <c r="L1109" i="148"/>
  <c r="K1109" i="148"/>
  <c r="I1109" i="148"/>
  <c r="G1109" i="148"/>
  <c r="R1108" i="148"/>
  <c r="M1108" i="148"/>
  <c r="L1108" i="148"/>
  <c r="K1108" i="148"/>
  <c r="I1108" i="148"/>
  <c r="G1108" i="148"/>
  <c r="R1107" i="148"/>
  <c r="M1107" i="148"/>
  <c r="L1107" i="148"/>
  <c r="K1107" i="148"/>
  <c r="I1107" i="148"/>
  <c r="G1107" i="148"/>
  <c r="R1106" i="148"/>
  <c r="M1106" i="148"/>
  <c r="L1106" i="148"/>
  <c r="K1106" i="148"/>
  <c r="I1106" i="148"/>
  <c r="G1106" i="148"/>
  <c r="R1105" i="148"/>
  <c r="M1105" i="148"/>
  <c r="L1105" i="148"/>
  <c r="K1105" i="148"/>
  <c r="I1105" i="148"/>
  <c r="G1105" i="148"/>
  <c r="R1104" i="148"/>
  <c r="M1104" i="148"/>
  <c r="L1104" i="148"/>
  <c r="K1104" i="148"/>
  <c r="I1104" i="148"/>
  <c r="G1104" i="148"/>
  <c r="R1103" i="148"/>
  <c r="S1103" i="148"/>
  <c r="M1103" i="148"/>
  <c r="L1103" i="148"/>
  <c r="K1103" i="148"/>
  <c r="I1103" i="148"/>
  <c r="G1103" i="148"/>
  <c r="R1102" i="148"/>
  <c r="M1102" i="148"/>
  <c r="L1102" i="148"/>
  <c r="K1102" i="148"/>
  <c r="I1102" i="148"/>
  <c r="G1102" i="148"/>
  <c r="R1101" i="148"/>
  <c r="S1101" i="148"/>
  <c r="M1101" i="148"/>
  <c r="L1101" i="148"/>
  <c r="K1101" i="148"/>
  <c r="I1101" i="148"/>
  <c r="G1101" i="148"/>
  <c r="R1100" i="148"/>
  <c r="M1100" i="148"/>
  <c r="L1100" i="148"/>
  <c r="K1100" i="148"/>
  <c r="I1100" i="148"/>
  <c r="G1100" i="148"/>
  <c r="R1099" i="148"/>
  <c r="M1099" i="148"/>
  <c r="L1099" i="148"/>
  <c r="K1099" i="148"/>
  <c r="I1099" i="148"/>
  <c r="G1099" i="148"/>
  <c r="R1098" i="148"/>
  <c r="M1098" i="148"/>
  <c r="L1098" i="148"/>
  <c r="K1098" i="148"/>
  <c r="I1098" i="148"/>
  <c r="G1098" i="148"/>
  <c r="R1097" i="148"/>
  <c r="M1097" i="148"/>
  <c r="L1097" i="148"/>
  <c r="K1097" i="148"/>
  <c r="I1097" i="148"/>
  <c r="G1097" i="148"/>
  <c r="R1096" i="148"/>
  <c r="M1096" i="148"/>
  <c r="L1096" i="148"/>
  <c r="K1096" i="148"/>
  <c r="I1096" i="148"/>
  <c r="G1096" i="148"/>
  <c r="R1095" i="148"/>
  <c r="S1095" i="148"/>
  <c r="M1095" i="148"/>
  <c r="L1095" i="148"/>
  <c r="K1095" i="148"/>
  <c r="I1095" i="148"/>
  <c r="G1095" i="148"/>
  <c r="R1094" i="148"/>
  <c r="M1094" i="148"/>
  <c r="L1094" i="148"/>
  <c r="K1094" i="148"/>
  <c r="I1094" i="148"/>
  <c r="G1094" i="148"/>
  <c r="R1093" i="148"/>
  <c r="S1093" i="148"/>
  <c r="M1093" i="148"/>
  <c r="L1093" i="148"/>
  <c r="K1093" i="148"/>
  <c r="I1093" i="148"/>
  <c r="G1093" i="148"/>
  <c r="R1092" i="148"/>
  <c r="M1092" i="148"/>
  <c r="L1092" i="148"/>
  <c r="K1092" i="148"/>
  <c r="I1092" i="148"/>
  <c r="G1092" i="148"/>
  <c r="R1091" i="148"/>
  <c r="M1091" i="148"/>
  <c r="L1091" i="148"/>
  <c r="K1091" i="148"/>
  <c r="I1091" i="148"/>
  <c r="G1091" i="148"/>
  <c r="R1090" i="148"/>
  <c r="M1090" i="148"/>
  <c r="L1090" i="148"/>
  <c r="K1090" i="148"/>
  <c r="I1090" i="148"/>
  <c r="G1090" i="148"/>
  <c r="N1090" i="148" s="1"/>
  <c r="R1089" i="148"/>
  <c r="S1089" i="148"/>
  <c r="M1089" i="148"/>
  <c r="L1089" i="148"/>
  <c r="K1089" i="148"/>
  <c r="I1089" i="148"/>
  <c r="G1089" i="148"/>
  <c r="N1089" i="148" s="1"/>
  <c r="R1088" i="148"/>
  <c r="M1088" i="148"/>
  <c r="L1088" i="148"/>
  <c r="K1088" i="148"/>
  <c r="I1088" i="148"/>
  <c r="G1088" i="148"/>
  <c r="N1088" i="148" s="1"/>
  <c r="R1087" i="148"/>
  <c r="M1087" i="148"/>
  <c r="L1087" i="148"/>
  <c r="K1087" i="148"/>
  <c r="I1087" i="148"/>
  <c r="G1087" i="148"/>
  <c r="N1087" i="148" s="1"/>
  <c r="R1086" i="148"/>
  <c r="M1086" i="148"/>
  <c r="L1086" i="148"/>
  <c r="K1086" i="148"/>
  <c r="I1086" i="148"/>
  <c r="G1086" i="148"/>
  <c r="N1086" i="148" s="1"/>
  <c r="R1085" i="148"/>
  <c r="S1085" i="148"/>
  <c r="M1085" i="148"/>
  <c r="L1085" i="148"/>
  <c r="K1085" i="148"/>
  <c r="I1085" i="148"/>
  <c r="G1085" i="148"/>
  <c r="N1085" i="148" s="1"/>
  <c r="R1084" i="148"/>
  <c r="M1084" i="148"/>
  <c r="L1084" i="148"/>
  <c r="K1084" i="148"/>
  <c r="I1084" i="148"/>
  <c r="G1084" i="148"/>
  <c r="N1084" i="148" s="1"/>
  <c r="R1083" i="148"/>
  <c r="M1083" i="148"/>
  <c r="L1083" i="148"/>
  <c r="K1083" i="148"/>
  <c r="I1083" i="148"/>
  <c r="G1083" i="148"/>
  <c r="N1083" i="148" s="1"/>
  <c r="R1082" i="148"/>
  <c r="M1082" i="148"/>
  <c r="L1082" i="148"/>
  <c r="K1082" i="148"/>
  <c r="I1082" i="148"/>
  <c r="G1082" i="148"/>
  <c r="N1082" i="148" s="1"/>
  <c r="R1081" i="148"/>
  <c r="S1081" i="148"/>
  <c r="M1081" i="148"/>
  <c r="L1081" i="148"/>
  <c r="K1081" i="148"/>
  <c r="I1081" i="148"/>
  <c r="G1081" i="148"/>
  <c r="N1081" i="148" s="1"/>
  <c r="R1080" i="148"/>
  <c r="M1080" i="148"/>
  <c r="L1080" i="148"/>
  <c r="K1080" i="148"/>
  <c r="I1080" i="148"/>
  <c r="G1080" i="148"/>
  <c r="N1080" i="148" s="1"/>
  <c r="R1079" i="148"/>
  <c r="S1079" i="148"/>
  <c r="M1079" i="148"/>
  <c r="L1079" i="148"/>
  <c r="K1079" i="148"/>
  <c r="I1079" i="148"/>
  <c r="G1079" i="148"/>
  <c r="N1079" i="148" s="1"/>
  <c r="R1078" i="148"/>
  <c r="M1078" i="148"/>
  <c r="L1078" i="148"/>
  <c r="K1078" i="148"/>
  <c r="I1078" i="148"/>
  <c r="G1078" i="148"/>
  <c r="N1078" i="148" s="1"/>
  <c r="R1077" i="148"/>
  <c r="S1077" i="148"/>
  <c r="N1077" i="148"/>
  <c r="M1077" i="148"/>
  <c r="L1077" i="148"/>
  <c r="K1077" i="148"/>
  <c r="J1077" i="148"/>
  <c r="I1077" i="148"/>
  <c r="R1076" i="148"/>
  <c r="N1076" i="148"/>
  <c r="M1076" i="148"/>
  <c r="L1076" i="148"/>
  <c r="P1076" i="148" s="1"/>
  <c r="K1076" i="148"/>
  <c r="J1076" i="148"/>
  <c r="I1076" i="148"/>
  <c r="R1075" i="148"/>
  <c r="N1075" i="148"/>
  <c r="M1075" i="148"/>
  <c r="L1075" i="148"/>
  <c r="K1075" i="148"/>
  <c r="J1075" i="148"/>
  <c r="I1075" i="148"/>
  <c r="R1074" i="148"/>
  <c r="S1074" i="148"/>
  <c r="N1074" i="148"/>
  <c r="M1074" i="148"/>
  <c r="L1074" i="148"/>
  <c r="K1074" i="148"/>
  <c r="J1074" i="148"/>
  <c r="I1074" i="148"/>
  <c r="R1073" i="148"/>
  <c r="S1073" i="148"/>
  <c r="N1073" i="148"/>
  <c r="M1073" i="148"/>
  <c r="L1073" i="148"/>
  <c r="K1073" i="148"/>
  <c r="J1073" i="148"/>
  <c r="I1073" i="148"/>
  <c r="R1072" i="148"/>
  <c r="N1072" i="148"/>
  <c r="M1072" i="148"/>
  <c r="L1072" i="148"/>
  <c r="P1072" i="148" s="1"/>
  <c r="K1072" i="148"/>
  <c r="J1072" i="148"/>
  <c r="I1072" i="148"/>
  <c r="R1071" i="148"/>
  <c r="N1071" i="148"/>
  <c r="M1071" i="148"/>
  <c r="L1071" i="148"/>
  <c r="K1071" i="148"/>
  <c r="J1071" i="148"/>
  <c r="I1071" i="148"/>
  <c r="R1070" i="148"/>
  <c r="N1070" i="148"/>
  <c r="M1070" i="148"/>
  <c r="L1070" i="148"/>
  <c r="K1070" i="148"/>
  <c r="J1070" i="148"/>
  <c r="I1070" i="148"/>
  <c r="R1069" i="148"/>
  <c r="N1069" i="148"/>
  <c r="M1069" i="148"/>
  <c r="L1069" i="148"/>
  <c r="P1069" i="148" s="1"/>
  <c r="K1069" i="148"/>
  <c r="J1069" i="148"/>
  <c r="I1069" i="148"/>
  <c r="R1068" i="148"/>
  <c r="N1068" i="148"/>
  <c r="M1068" i="148"/>
  <c r="L1068" i="148"/>
  <c r="K1068" i="148"/>
  <c r="J1068" i="148"/>
  <c r="I1068" i="148"/>
  <c r="R1067" i="148"/>
  <c r="N1067" i="148"/>
  <c r="M1067" i="148"/>
  <c r="L1067" i="148"/>
  <c r="K1067" i="148"/>
  <c r="J1067" i="148"/>
  <c r="I1067" i="148"/>
  <c r="R1066" i="148"/>
  <c r="N1066" i="148"/>
  <c r="M1066" i="148"/>
  <c r="L1066" i="148"/>
  <c r="K1066" i="148"/>
  <c r="J1066" i="148"/>
  <c r="I1066" i="148"/>
  <c r="R1065" i="148"/>
  <c r="N1065" i="148"/>
  <c r="M1065" i="148"/>
  <c r="L1065" i="148"/>
  <c r="K1065" i="148"/>
  <c r="J1065" i="148"/>
  <c r="I1065" i="148"/>
  <c r="R1064" i="148"/>
  <c r="N1064" i="148"/>
  <c r="M1064" i="148"/>
  <c r="L1064" i="148"/>
  <c r="P1064" i="148" s="1"/>
  <c r="K1064" i="148"/>
  <c r="J1064" i="148"/>
  <c r="I1064" i="148"/>
  <c r="R1063" i="148"/>
  <c r="N1063" i="148"/>
  <c r="M1063" i="148"/>
  <c r="L1063" i="148"/>
  <c r="K1063" i="148"/>
  <c r="J1063" i="148"/>
  <c r="I1063" i="148"/>
  <c r="R1062" i="148"/>
  <c r="N1062" i="148"/>
  <c r="M1062" i="148"/>
  <c r="L1062" i="148"/>
  <c r="K1062" i="148"/>
  <c r="J1062" i="148"/>
  <c r="I1062" i="148"/>
  <c r="R1061" i="148"/>
  <c r="N1061" i="148"/>
  <c r="M1061" i="148"/>
  <c r="L1061" i="148"/>
  <c r="P1061" i="148" s="1"/>
  <c r="K1061" i="148"/>
  <c r="J1061" i="148"/>
  <c r="I1061" i="148"/>
  <c r="R1060" i="148"/>
  <c r="N1060" i="148"/>
  <c r="M1060" i="148"/>
  <c r="L1060" i="148"/>
  <c r="K1060" i="148"/>
  <c r="J1060" i="148"/>
  <c r="I1060" i="148"/>
  <c r="R1059" i="148"/>
  <c r="N1059" i="148"/>
  <c r="M1059" i="148"/>
  <c r="L1059" i="148"/>
  <c r="K1059" i="148"/>
  <c r="J1059" i="148"/>
  <c r="I1059" i="148"/>
  <c r="R1058" i="148"/>
  <c r="N1058" i="148"/>
  <c r="M1058" i="148"/>
  <c r="L1058" i="148"/>
  <c r="K1058" i="148"/>
  <c r="J1058" i="148"/>
  <c r="I1058" i="148"/>
  <c r="R1057" i="148"/>
  <c r="N1057" i="148"/>
  <c r="M1057" i="148"/>
  <c r="L1057" i="148"/>
  <c r="K1057" i="148"/>
  <c r="J1057" i="148"/>
  <c r="I1057" i="148"/>
  <c r="R1056" i="148"/>
  <c r="N1056" i="148"/>
  <c r="M1056" i="148"/>
  <c r="L1056" i="148"/>
  <c r="K1056" i="148"/>
  <c r="J1056" i="148"/>
  <c r="I1056" i="148"/>
  <c r="R1055" i="148"/>
  <c r="N1055" i="148"/>
  <c r="M1055" i="148"/>
  <c r="L1055" i="148"/>
  <c r="P1055" i="148" s="1"/>
  <c r="K1055" i="148"/>
  <c r="J1055" i="148"/>
  <c r="I1055" i="148"/>
  <c r="R1054" i="148"/>
  <c r="N1054" i="148"/>
  <c r="M1054" i="148"/>
  <c r="L1054" i="148"/>
  <c r="K1054" i="148"/>
  <c r="J1054" i="148"/>
  <c r="I1054" i="148"/>
  <c r="R1053" i="148"/>
  <c r="N1053" i="148"/>
  <c r="M1053" i="148"/>
  <c r="L1053" i="148"/>
  <c r="K1053" i="148"/>
  <c r="J1053" i="148"/>
  <c r="I1053" i="148"/>
  <c r="R1052" i="148"/>
  <c r="N1052" i="148"/>
  <c r="M1052" i="148"/>
  <c r="L1052" i="148"/>
  <c r="P1052" i="148" s="1"/>
  <c r="K1052" i="148"/>
  <c r="J1052" i="148"/>
  <c r="I1052" i="148"/>
  <c r="R1051" i="148"/>
  <c r="S1051" i="148"/>
  <c r="N1051" i="148"/>
  <c r="M1051" i="148"/>
  <c r="L1051" i="148"/>
  <c r="P1051" i="148" s="1"/>
  <c r="K1051" i="148"/>
  <c r="J1051" i="148"/>
  <c r="I1051" i="148"/>
  <c r="R1050" i="148"/>
  <c r="N1050" i="148"/>
  <c r="M1050" i="148"/>
  <c r="L1050" i="148"/>
  <c r="K1050" i="148"/>
  <c r="J1050" i="148"/>
  <c r="I1050" i="148"/>
  <c r="R1049" i="148"/>
  <c r="N1049" i="148"/>
  <c r="M1049" i="148"/>
  <c r="L1049" i="148"/>
  <c r="P1049" i="148" s="1"/>
  <c r="K1049" i="148"/>
  <c r="J1049" i="148"/>
  <c r="I1049" i="148"/>
  <c r="R1048" i="148"/>
  <c r="N1048" i="148"/>
  <c r="M1048" i="148"/>
  <c r="L1048" i="148"/>
  <c r="K1048" i="148"/>
  <c r="J1048" i="148"/>
  <c r="I1048" i="148"/>
  <c r="R1047" i="148"/>
  <c r="N1047" i="148"/>
  <c r="M1047" i="148"/>
  <c r="L1047" i="148"/>
  <c r="K1047" i="148"/>
  <c r="J1047" i="148"/>
  <c r="I1047" i="148"/>
  <c r="R1046" i="148"/>
  <c r="N1046" i="148"/>
  <c r="M1046" i="148"/>
  <c r="L1046" i="148"/>
  <c r="K1046" i="148"/>
  <c r="J1046" i="148"/>
  <c r="I1046" i="148"/>
  <c r="R1045" i="148"/>
  <c r="N1045" i="148"/>
  <c r="M1045" i="148"/>
  <c r="L1045" i="148"/>
  <c r="K1045" i="148"/>
  <c r="J1045" i="148"/>
  <c r="I1045" i="148"/>
  <c r="R1044" i="148"/>
  <c r="N1044" i="148"/>
  <c r="M1044" i="148"/>
  <c r="L1044" i="148"/>
  <c r="K1044" i="148"/>
  <c r="J1044" i="148"/>
  <c r="I1044" i="148"/>
  <c r="R1043" i="148"/>
  <c r="N1043" i="148"/>
  <c r="M1043" i="148"/>
  <c r="L1043" i="148"/>
  <c r="K1043" i="148"/>
  <c r="J1043" i="148"/>
  <c r="I1043" i="148"/>
  <c r="R1042" i="148"/>
  <c r="S1042" i="148"/>
  <c r="N1042" i="148"/>
  <c r="M1042" i="148"/>
  <c r="L1042" i="148"/>
  <c r="K1042" i="148"/>
  <c r="J1042" i="148"/>
  <c r="I1042" i="148"/>
  <c r="R1041" i="148"/>
  <c r="N1041" i="148"/>
  <c r="M1041" i="148"/>
  <c r="L1041" i="148"/>
  <c r="K1041" i="148"/>
  <c r="J1041" i="148"/>
  <c r="I1041" i="148"/>
  <c r="R1040" i="148"/>
  <c r="N1040" i="148"/>
  <c r="M1040" i="148"/>
  <c r="L1040" i="148"/>
  <c r="P1040" i="148" s="1"/>
  <c r="K1040" i="148"/>
  <c r="J1040" i="148"/>
  <c r="I1040" i="148"/>
  <c r="R1039" i="148"/>
  <c r="N1039" i="148"/>
  <c r="M1039" i="148"/>
  <c r="L1039" i="148"/>
  <c r="P1039" i="148" s="1"/>
  <c r="K1039" i="148"/>
  <c r="J1039" i="148"/>
  <c r="I1039" i="148"/>
  <c r="R1038" i="148"/>
  <c r="N1038" i="148"/>
  <c r="M1038" i="148"/>
  <c r="L1038" i="148"/>
  <c r="K1038" i="148"/>
  <c r="J1038" i="148"/>
  <c r="I1038" i="148"/>
  <c r="R1037" i="148"/>
  <c r="N1037" i="148"/>
  <c r="M1037" i="148"/>
  <c r="L1037" i="148"/>
  <c r="K1037" i="148"/>
  <c r="J1037" i="148"/>
  <c r="I1037" i="148"/>
  <c r="R1036" i="148"/>
  <c r="N1036" i="148"/>
  <c r="M1036" i="148"/>
  <c r="L1036" i="148"/>
  <c r="K1036" i="148"/>
  <c r="J1036" i="148"/>
  <c r="I1036" i="148"/>
  <c r="R1035" i="148"/>
  <c r="N1035" i="148"/>
  <c r="M1035" i="148"/>
  <c r="L1035" i="148"/>
  <c r="K1035" i="148"/>
  <c r="J1035" i="148"/>
  <c r="I1035" i="148"/>
  <c r="R1034" i="148"/>
  <c r="N1034" i="148"/>
  <c r="M1034" i="148"/>
  <c r="L1034" i="148"/>
  <c r="K1034" i="148"/>
  <c r="J1034" i="148"/>
  <c r="I1034" i="148"/>
  <c r="R1033" i="148"/>
  <c r="N1033" i="148"/>
  <c r="M1033" i="148"/>
  <c r="L1033" i="148"/>
  <c r="K1033" i="148"/>
  <c r="J1033" i="148"/>
  <c r="I1033" i="148"/>
  <c r="R1032" i="148"/>
  <c r="N1032" i="148"/>
  <c r="M1032" i="148"/>
  <c r="L1032" i="148"/>
  <c r="K1032" i="148"/>
  <c r="J1032" i="148"/>
  <c r="I1032" i="148"/>
  <c r="R1031" i="148"/>
  <c r="N1031" i="148"/>
  <c r="M1031" i="148"/>
  <c r="L1031" i="148"/>
  <c r="K1031" i="148"/>
  <c r="J1031" i="148"/>
  <c r="I1031" i="148"/>
  <c r="R1030" i="148"/>
  <c r="S1030" i="148"/>
  <c r="N1030" i="148"/>
  <c r="M1030" i="148"/>
  <c r="L1030" i="148"/>
  <c r="K1030" i="148"/>
  <c r="J1030" i="148"/>
  <c r="I1030" i="148"/>
  <c r="R1029" i="148"/>
  <c r="N1029" i="148"/>
  <c r="M1029" i="148"/>
  <c r="L1029" i="148"/>
  <c r="K1029" i="148"/>
  <c r="J1029" i="148"/>
  <c r="I1029" i="148"/>
  <c r="R1028" i="148"/>
  <c r="N1028" i="148"/>
  <c r="M1028" i="148"/>
  <c r="L1028" i="148"/>
  <c r="P1028" i="148" s="1"/>
  <c r="K1028" i="148"/>
  <c r="J1028" i="148"/>
  <c r="I1028" i="148"/>
  <c r="R1027" i="148"/>
  <c r="N1027" i="148"/>
  <c r="M1027" i="148"/>
  <c r="L1027" i="148"/>
  <c r="K1027" i="148"/>
  <c r="J1027" i="148"/>
  <c r="I1027" i="148"/>
  <c r="R1026" i="148"/>
  <c r="N1026" i="148"/>
  <c r="M1026" i="148"/>
  <c r="L1026" i="148"/>
  <c r="K1026" i="148"/>
  <c r="J1026" i="148"/>
  <c r="I1026" i="148"/>
  <c r="R1025" i="148"/>
  <c r="N1025" i="148"/>
  <c r="M1025" i="148"/>
  <c r="L1025" i="148"/>
  <c r="K1025" i="148"/>
  <c r="J1025" i="148"/>
  <c r="I1025" i="148"/>
  <c r="R1024" i="148"/>
  <c r="S1024" i="148"/>
  <c r="N1024" i="148"/>
  <c r="M1024" i="148"/>
  <c r="L1024" i="148"/>
  <c r="K1024" i="148"/>
  <c r="J1024" i="148"/>
  <c r="I1024" i="148"/>
  <c r="R1023" i="148"/>
  <c r="N1023" i="148"/>
  <c r="M1023" i="148"/>
  <c r="L1023" i="148"/>
  <c r="K1023" i="148"/>
  <c r="J1023" i="148"/>
  <c r="I1023" i="148"/>
  <c r="R1022" i="148"/>
  <c r="N1022" i="148"/>
  <c r="M1022" i="148"/>
  <c r="L1022" i="148"/>
  <c r="K1022" i="148"/>
  <c r="J1022" i="148"/>
  <c r="I1022" i="148"/>
  <c r="R1021" i="148"/>
  <c r="N1021" i="148"/>
  <c r="M1021" i="148"/>
  <c r="L1021" i="148"/>
  <c r="K1021" i="148"/>
  <c r="J1021" i="148"/>
  <c r="I1021" i="148"/>
  <c r="R1020" i="148"/>
  <c r="N1020" i="148"/>
  <c r="M1020" i="148"/>
  <c r="L1020" i="148"/>
  <c r="K1020" i="148"/>
  <c r="J1020" i="148"/>
  <c r="I1020" i="148"/>
  <c r="R1019" i="148"/>
  <c r="N1019" i="148"/>
  <c r="M1019" i="148"/>
  <c r="L1019" i="148"/>
  <c r="K1019" i="148"/>
  <c r="J1019" i="148"/>
  <c r="I1019" i="148"/>
  <c r="R1018" i="148"/>
  <c r="N1018" i="148"/>
  <c r="M1018" i="148"/>
  <c r="L1018" i="148"/>
  <c r="P1018" i="148" s="1"/>
  <c r="K1018" i="148"/>
  <c r="J1018" i="148"/>
  <c r="I1018" i="148"/>
  <c r="R1017" i="148"/>
  <c r="N1017" i="148"/>
  <c r="M1017" i="148"/>
  <c r="L1017" i="148"/>
  <c r="K1017" i="148"/>
  <c r="J1017" i="148"/>
  <c r="I1017" i="148"/>
  <c r="R1016" i="148"/>
  <c r="N1016" i="148"/>
  <c r="M1016" i="148"/>
  <c r="L1016" i="148"/>
  <c r="P1016" i="148" s="1"/>
  <c r="K1016" i="148"/>
  <c r="J1016" i="148"/>
  <c r="I1016" i="148"/>
  <c r="R1015" i="148"/>
  <c r="N1015" i="148"/>
  <c r="M1015" i="148"/>
  <c r="L1015" i="148"/>
  <c r="O1015" i="148" s="1"/>
  <c r="K1015" i="148"/>
  <c r="J1015" i="148"/>
  <c r="I1015" i="148"/>
  <c r="R1014" i="148"/>
  <c r="N1014" i="148"/>
  <c r="M1014" i="148"/>
  <c r="L1014" i="148"/>
  <c r="K1014" i="148"/>
  <c r="J1014" i="148"/>
  <c r="I1014" i="148"/>
  <c r="R1013" i="148"/>
  <c r="N1013" i="148"/>
  <c r="M1013" i="148"/>
  <c r="L1013" i="148"/>
  <c r="K1013" i="148"/>
  <c r="J1013" i="148"/>
  <c r="I1013" i="148"/>
  <c r="R1012" i="148"/>
  <c r="N1012" i="148"/>
  <c r="M1012" i="148"/>
  <c r="L1012" i="148"/>
  <c r="K1012" i="148"/>
  <c r="J1012" i="148"/>
  <c r="I1012" i="148"/>
  <c r="R1011" i="148"/>
  <c r="N1011" i="148"/>
  <c r="M1011" i="148"/>
  <c r="L1011" i="148"/>
  <c r="K1011" i="148"/>
  <c r="J1011" i="148"/>
  <c r="I1011" i="148"/>
  <c r="R1010" i="148"/>
  <c r="N1010" i="148"/>
  <c r="M1010" i="148"/>
  <c r="L1010" i="148"/>
  <c r="P1010" i="148" s="1"/>
  <c r="K1010" i="148"/>
  <c r="J1010" i="148"/>
  <c r="I1010" i="148"/>
  <c r="R1009" i="148"/>
  <c r="N1009" i="148"/>
  <c r="M1009" i="148"/>
  <c r="L1009" i="148"/>
  <c r="K1009" i="148"/>
  <c r="J1009" i="148"/>
  <c r="I1009" i="148"/>
  <c r="R1008" i="148"/>
  <c r="N1008" i="148"/>
  <c r="M1008" i="148"/>
  <c r="L1008" i="148"/>
  <c r="K1008" i="148"/>
  <c r="J1008" i="148"/>
  <c r="I1008" i="148"/>
  <c r="R1007" i="148"/>
  <c r="N1007" i="148"/>
  <c r="M1007" i="148"/>
  <c r="L1007" i="148"/>
  <c r="K1007" i="148"/>
  <c r="J1007" i="148"/>
  <c r="I1007" i="148"/>
  <c r="R1006" i="148"/>
  <c r="N1006" i="148"/>
  <c r="M1006" i="148"/>
  <c r="L1006" i="148"/>
  <c r="K1006" i="148"/>
  <c r="J1006" i="148"/>
  <c r="I1006" i="148"/>
  <c r="R1005" i="148"/>
  <c r="N1005" i="148"/>
  <c r="M1005" i="148"/>
  <c r="L1005" i="148"/>
  <c r="K1005" i="148"/>
  <c r="J1005" i="148"/>
  <c r="I1005" i="148"/>
  <c r="R1004" i="148"/>
  <c r="N1004" i="148"/>
  <c r="M1004" i="148"/>
  <c r="L1004" i="148"/>
  <c r="P1004" i="148" s="1"/>
  <c r="K1004" i="148"/>
  <c r="J1004" i="148"/>
  <c r="I1004" i="148"/>
  <c r="R1003" i="148"/>
  <c r="N1003" i="148"/>
  <c r="M1003" i="148"/>
  <c r="L1003" i="148"/>
  <c r="K1003" i="148"/>
  <c r="J1003" i="148"/>
  <c r="I1003" i="148"/>
  <c r="R1002" i="148"/>
  <c r="N1002" i="148"/>
  <c r="M1002" i="148"/>
  <c r="L1002" i="148"/>
  <c r="K1002" i="148"/>
  <c r="J1002" i="148"/>
  <c r="I1002" i="148"/>
  <c r="R1001" i="148"/>
  <c r="N1001" i="148"/>
  <c r="M1001" i="148"/>
  <c r="L1001" i="148"/>
  <c r="K1001" i="148"/>
  <c r="J1001" i="148"/>
  <c r="I1001" i="148"/>
  <c r="R1000" i="148"/>
  <c r="N1000" i="148"/>
  <c r="M1000" i="148"/>
  <c r="L1000" i="148"/>
  <c r="K1000" i="148"/>
  <c r="J1000" i="148"/>
  <c r="I1000" i="148"/>
  <c r="R999" i="148"/>
  <c r="N999" i="148"/>
  <c r="M999" i="148"/>
  <c r="L999" i="148"/>
  <c r="K999" i="148"/>
  <c r="J999" i="148"/>
  <c r="I999" i="148"/>
  <c r="R998" i="148"/>
  <c r="N998" i="148"/>
  <c r="M998" i="148"/>
  <c r="L998" i="148"/>
  <c r="K998" i="148"/>
  <c r="J998" i="148"/>
  <c r="I998" i="148"/>
  <c r="R997" i="148"/>
  <c r="N997" i="148"/>
  <c r="M997" i="148"/>
  <c r="L997" i="148"/>
  <c r="K997" i="148"/>
  <c r="J997" i="148"/>
  <c r="I997" i="148"/>
  <c r="R996" i="148"/>
  <c r="N996" i="148"/>
  <c r="M996" i="148"/>
  <c r="L996" i="148"/>
  <c r="K996" i="148"/>
  <c r="J996" i="148"/>
  <c r="I996" i="148"/>
  <c r="R995" i="148"/>
  <c r="N995" i="148"/>
  <c r="M995" i="148"/>
  <c r="L995" i="148"/>
  <c r="K995" i="148"/>
  <c r="J995" i="148"/>
  <c r="I995" i="148"/>
  <c r="R994" i="148"/>
  <c r="N994" i="148"/>
  <c r="M994" i="148"/>
  <c r="L994" i="148"/>
  <c r="K994" i="148"/>
  <c r="J994" i="148"/>
  <c r="I994" i="148"/>
  <c r="R993" i="148"/>
  <c r="N993" i="148"/>
  <c r="M993" i="148"/>
  <c r="L993" i="148"/>
  <c r="K993" i="148"/>
  <c r="J993" i="148"/>
  <c r="I993" i="148"/>
  <c r="R992" i="148"/>
  <c r="N992" i="148"/>
  <c r="M992" i="148"/>
  <c r="L992" i="148"/>
  <c r="K992" i="148"/>
  <c r="J992" i="148"/>
  <c r="I992" i="148"/>
  <c r="R991" i="148"/>
  <c r="N991" i="148"/>
  <c r="M991" i="148"/>
  <c r="L991" i="148"/>
  <c r="K991" i="148"/>
  <c r="J991" i="148"/>
  <c r="I991" i="148"/>
  <c r="R990" i="148"/>
  <c r="N990" i="148"/>
  <c r="M990" i="148"/>
  <c r="L990" i="148"/>
  <c r="K990" i="148"/>
  <c r="J990" i="148"/>
  <c r="I990" i="148"/>
  <c r="R989" i="148"/>
  <c r="N989" i="148"/>
  <c r="M989" i="148"/>
  <c r="L989" i="148"/>
  <c r="K989" i="148"/>
  <c r="J989" i="148"/>
  <c r="I989" i="148"/>
  <c r="R988" i="148"/>
  <c r="S988" i="148"/>
  <c r="N988" i="148"/>
  <c r="M988" i="148"/>
  <c r="L988" i="148"/>
  <c r="K988" i="148"/>
  <c r="J988" i="148"/>
  <c r="I988" i="148"/>
  <c r="R987" i="148"/>
  <c r="N987" i="148"/>
  <c r="M987" i="148"/>
  <c r="L987" i="148"/>
  <c r="K987" i="148"/>
  <c r="J987" i="148"/>
  <c r="I987" i="148"/>
  <c r="R986" i="148"/>
  <c r="N986" i="148"/>
  <c r="M986" i="148"/>
  <c r="L986" i="148"/>
  <c r="K986" i="148"/>
  <c r="J986" i="148"/>
  <c r="I986" i="148"/>
  <c r="R985" i="148"/>
  <c r="N985" i="148"/>
  <c r="M985" i="148"/>
  <c r="L985" i="148"/>
  <c r="K985" i="148"/>
  <c r="J985" i="148"/>
  <c r="I985" i="148"/>
  <c r="R984" i="148"/>
  <c r="N984" i="148"/>
  <c r="M984" i="148"/>
  <c r="L984" i="148"/>
  <c r="K984" i="148"/>
  <c r="J984" i="148"/>
  <c r="I984" i="148"/>
  <c r="R983" i="148"/>
  <c r="N983" i="148"/>
  <c r="M983" i="148"/>
  <c r="L983" i="148"/>
  <c r="K983" i="148"/>
  <c r="J983" i="148"/>
  <c r="I983" i="148"/>
  <c r="R982" i="148"/>
  <c r="S982" i="148"/>
  <c r="N982" i="148"/>
  <c r="M982" i="148"/>
  <c r="L982" i="148"/>
  <c r="K982" i="148"/>
  <c r="J982" i="148"/>
  <c r="I982" i="148"/>
  <c r="R981" i="148"/>
  <c r="N981" i="148"/>
  <c r="M981" i="148"/>
  <c r="L981" i="148"/>
  <c r="K981" i="148"/>
  <c r="J981" i="148"/>
  <c r="I981" i="148"/>
  <c r="R980" i="148"/>
  <c r="N980" i="148"/>
  <c r="M980" i="148"/>
  <c r="L980" i="148"/>
  <c r="K980" i="148"/>
  <c r="J980" i="148"/>
  <c r="I980" i="148"/>
  <c r="R979" i="148"/>
  <c r="N979" i="148"/>
  <c r="M979" i="148"/>
  <c r="L979" i="148"/>
  <c r="P979" i="148" s="1"/>
  <c r="K979" i="148"/>
  <c r="J979" i="148"/>
  <c r="I979" i="148"/>
  <c r="R978" i="148"/>
  <c r="N978" i="148"/>
  <c r="M978" i="148"/>
  <c r="L978" i="148"/>
  <c r="K978" i="148"/>
  <c r="J978" i="148"/>
  <c r="I978" i="148"/>
  <c r="R977" i="148"/>
  <c r="N977" i="148"/>
  <c r="M977" i="148"/>
  <c r="L977" i="148"/>
  <c r="K977" i="148"/>
  <c r="J977" i="148"/>
  <c r="I977" i="148"/>
  <c r="R976" i="148"/>
  <c r="S976" i="148"/>
  <c r="N976" i="148"/>
  <c r="M976" i="148"/>
  <c r="L976" i="148"/>
  <c r="K976" i="148"/>
  <c r="J976" i="148"/>
  <c r="I976" i="148"/>
  <c r="R975" i="148"/>
  <c r="N975" i="148"/>
  <c r="M975" i="148"/>
  <c r="L975" i="148"/>
  <c r="K975" i="148"/>
  <c r="J975" i="148"/>
  <c r="I975" i="148"/>
  <c r="R974" i="148"/>
  <c r="N974" i="148"/>
  <c r="M974" i="148"/>
  <c r="L974" i="148"/>
  <c r="K974" i="148"/>
  <c r="J974" i="148"/>
  <c r="I974" i="148"/>
  <c r="R973" i="148"/>
  <c r="N973" i="148"/>
  <c r="M973" i="148"/>
  <c r="L973" i="148"/>
  <c r="K973" i="148"/>
  <c r="J973" i="148"/>
  <c r="I973" i="148"/>
  <c r="R972" i="148"/>
  <c r="N972" i="148"/>
  <c r="M972" i="148"/>
  <c r="L972" i="148"/>
  <c r="K972" i="148"/>
  <c r="J972" i="148"/>
  <c r="I972" i="148"/>
  <c r="R971" i="148"/>
  <c r="N971" i="148"/>
  <c r="M971" i="148"/>
  <c r="L971" i="148"/>
  <c r="K971" i="148"/>
  <c r="J971" i="148"/>
  <c r="I971" i="148"/>
  <c r="R970" i="148"/>
  <c r="S970" i="148"/>
  <c r="N970" i="148"/>
  <c r="M970" i="148"/>
  <c r="L970" i="148"/>
  <c r="O970" i="148" s="1"/>
  <c r="K970" i="148"/>
  <c r="J970" i="148"/>
  <c r="I970" i="148"/>
  <c r="R969" i="148"/>
  <c r="N969" i="148"/>
  <c r="M969" i="148"/>
  <c r="L969" i="148"/>
  <c r="K969" i="148"/>
  <c r="J969" i="148"/>
  <c r="I969" i="148"/>
  <c r="R968" i="148"/>
  <c r="N968" i="148"/>
  <c r="M968" i="148"/>
  <c r="L968" i="148"/>
  <c r="K968" i="148"/>
  <c r="J968" i="148"/>
  <c r="I968" i="148"/>
  <c r="R967" i="148"/>
  <c r="N967" i="148"/>
  <c r="M967" i="148"/>
  <c r="L967" i="148"/>
  <c r="O967" i="148" s="1"/>
  <c r="K967" i="148"/>
  <c r="J967" i="148"/>
  <c r="I967" i="148"/>
  <c r="R966" i="148"/>
  <c r="N966" i="148"/>
  <c r="M966" i="148"/>
  <c r="L966" i="148"/>
  <c r="K966" i="148"/>
  <c r="J966" i="148"/>
  <c r="I966" i="148"/>
  <c r="R965" i="148"/>
  <c r="N965" i="148"/>
  <c r="M965" i="148"/>
  <c r="L965" i="148"/>
  <c r="K965" i="148"/>
  <c r="J965" i="148"/>
  <c r="I965" i="148"/>
  <c r="R964" i="148"/>
  <c r="N964" i="148"/>
  <c r="M964" i="148"/>
  <c r="L964" i="148"/>
  <c r="P964" i="148" s="1"/>
  <c r="K964" i="148"/>
  <c r="J964" i="148"/>
  <c r="I964" i="148"/>
  <c r="R963" i="148"/>
  <c r="N963" i="148"/>
  <c r="M963" i="148"/>
  <c r="L963" i="148"/>
  <c r="K963" i="148"/>
  <c r="J963" i="148"/>
  <c r="I963" i="148"/>
  <c r="R962" i="148"/>
  <c r="N962" i="148"/>
  <c r="M962" i="148"/>
  <c r="L962" i="148"/>
  <c r="K962" i="148"/>
  <c r="J962" i="148"/>
  <c r="I962" i="148"/>
  <c r="R961" i="148"/>
  <c r="N961" i="148"/>
  <c r="M961" i="148"/>
  <c r="L961" i="148"/>
  <c r="K961" i="148"/>
  <c r="J961" i="148"/>
  <c r="I961" i="148"/>
  <c r="R960" i="148"/>
  <c r="N960" i="148"/>
  <c r="M960" i="148"/>
  <c r="L960" i="148"/>
  <c r="K960" i="148"/>
  <c r="J960" i="148"/>
  <c r="I960" i="148"/>
  <c r="R959" i="148"/>
  <c r="N959" i="148"/>
  <c r="M959" i="148"/>
  <c r="L959" i="148"/>
  <c r="K959" i="148"/>
  <c r="J959" i="148"/>
  <c r="I959" i="148"/>
  <c r="R958" i="148"/>
  <c r="N958" i="148"/>
  <c r="M958" i="148"/>
  <c r="L958" i="148"/>
  <c r="O958" i="148" s="1"/>
  <c r="K958" i="148"/>
  <c r="J958" i="148"/>
  <c r="I958" i="148"/>
  <c r="R957" i="148"/>
  <c r="N957" i="148"/>
  <c r="M957" i="148"/>
  <c r="L957" i="148"/>
  <c r="K957" i="148"/>
  <c r="J957" i="148"/>
  <c r="I957" i="148"/>
  <c r="R956" i="148"/>
  <c r="N956" i="148"/>
  <c r="M956" i="148"/>
  <c r="L956" i="148"/>
  <c r="K956" i="148"/>
  <c r="J956" i="148"/>
  <c r="I956" i="148"/>
  <c r="R955" i="148"/>
  <c r="N955" i="148"/>
  <c r="M955" i="148"/>
  <c r="L955" i="148"/>
  <c r="K955" i="148"/>
  <c r="J955" i="148"/>
  <c r="I955" i="148"/>
  <c r="R954" i="148"/>
  <c r="N954" i="148"/>
  <c r="M954" i="148"/>
  <c r="L954" i="148"/>
  <c r="K954" i="148"/>
  <c r="J954" i="148"/>
  <c r="I954" i="148"/>
  <c r="R953" i="148"/>
  <c r="N953" i="148"/>
  <c r="M953" i="148"/>
  <c r="L953" i="148"/>
  <c r="O953" i="148" s="1"/>
  <c r="K953" i="148"/>
  <c r="J953" i="148"/>
  <c r="I953" i="148"/>
  <c r="R952" i="148"/>
  <c r="N952" i="148"/>
  <c r="M952" i="148"/>
  <c r="L952" i="148"/>
  <c r="K952" i="148"/>
  <c r="J952" i="148"/>
  <c r="I952" i="148"/>
  <c r="R951" i="148"/>
  <c r="N951" i="148"/>
  <c r="M951" i="148"/>
  <c r="L951" i="148"/>
  <c r="O951" i="148" s="1"/>
  <c r="K951" i="148"/>
  <c r="J951" i="148"/>
  <c r="I951" i="148"/>
  <c r="R950" i="148"/>
  <c r="N950" i="148"/>
  <c r="M950" i="148"/>
  <c r="L950" i="148"/>
  <c r="P950" i="148" s="1"/>
  <c r="K950" i="148"/>
  <c r="J950" i="148"/>
  <c r="I950" i="148"/>
  <c r="R949" i="148"/>
  <c r="N949" i="148"/>
  <c r="M949" i="148"/>
  <c r="L949" i="148"/>
  <c r="K949" i="148"/>
  <c r="J949" i="148"/>
  <c r="I949" i="148"/>
  <c r="R948" i="148"/>
  <c r="N948" i="148"/>
  <c r="M948" i="148"/>
  <c r="L948" i="148"/>
  <c r="K948" i="148"/>
  <c r="J948" i="148"/>
  <c r="I948" i="148"/>
  <c r="R947" i="148"/>
  <c r="N947" i="148"/>
  <c r="M947" i="148"/>
  <c r="L947" i="148"/>
  <c r="K947" i="148"/>
  <c r="J947" i="148"/>
  <c r="I947" i="148"/>
  <c r="R946" i="148"/>
  <c r="N946" i="148"/>
  <c r="M946" i="148"/>
  <c r="L946" i="148"/>
  <c r="P946" i="148" s="1"/>
  <c r="K946" i="148"/>
  <c r="J946" i="148"/>
  <c r="I946" i="148"/>
  <c r="R945" i="148"/>
  <c r="N945" i="148"/>
  <c r="M945" i="148"/>
  <c r="L945" i="148"/>
  <c r="K945" i="148"/>
  <c r="J945" i="148"/>
  <c r="I945" i="148"/>
  <c r="R944" i="148"/>
  <c r="N944" i="148"/>
  <c r="M944" i="148"/>
  <c r="L944" i="148"/>
  <c r="K944" i="148"/>
  <c r="J944" i="148"/>
  <c r="I944" i="148"/>
  <c r="R943" i="148"/>
  <c r="N943" i="148"/>
  <c r="M943" i="148"/>
  <c r="L943" i="148"/>
  <c r="K943" i="148"/>
  <c r="J943" i="148"/>
  <c r="I943" i="148"/>
  <c r="R942" i="148"/>
  <c r="N942" i="148"/>
  <c r="M942" i="148"/>
  <c r="L942" i="148"/>
  <c r="K942" i="148"/>
  <c r="J942" i="148"/>
  <c r="I942" i="148"/>
  <c r="R941" i="148"/>
  <c r="N941" i="148"/>
  <c r="M941" i="148"/>
  <c r="L941" i="148"/>
  <c r="K941" i="148"/>
  <c r="J941" i="148"/>
  <c r="I941" i="148"/>
  <c r="R940" i="148"/>
  <c r="N940" i="148"/>
  <c r="M940" i="148"/>
  <c r="L940" i="148"/>
  <c r="K940" i="148"/>
  <c r="J940" i="148"/>
  <c r="I940" i="148"/>
  <c r="R939" i="148"/>
  <c r="N939" i="148"/>
  <c r="M939" i="148"/>
  <c r="L939" i="148"/>
  <c r="K939" i="148"/>
  <c r="J939" i="148"/>
  <c r="I939" i="148"/>
  <c r="R938" i="148"/>
  <c r="N938" i="148"/>
  <c r="M938" i="148"/>
  <c r="L938" i="148"/>
  <c r="K938" i="148"/>
  <c r="J938" i="148"/>
  <c r="I938" i="148"/>
  <c r="R937" i="148"/>
  <c r="N937" i="148"/>
  <c r="M937" i="148"/>
  <c r="L937" i="148"/>
  <c r="K937" i="148"/>
  <c r="J937" i="148"/>
  <c r="I937" i="148"/>
  <c r="R936" i="148"/>
  <c r="N936" i="148"/>
  <c r="M936" i="148"/>
  <c r="L936" i="148"/>
  <c r="K936" i="148"/>
  <c r="J936" i="148"/>
  <c r="I936" i="148"/>
  <c r="R935" i="148"/>
  <c r="N935" i="148"/>
  <c r="M935" i="148"/>
  <c r="L935" i="148"/>
  <c r="K935" i="148"/>
  <c r="J935" i="148"/>
  <c r="I935" i="148"/>
  <c r="R934" i="148"/>
  <c r="N934" i="148"/>
  <c r="M934" i="148"/>
  <c r="L934" i="148"/>
  <c r="K934" i="148"/>
  <c r="J934" i="148"/>
  <c r="I934" i="148"/>
  <c r="R933" i="148"/>
  <c r="N933" i="148"/>
  <c r="M933" i="148"/>
  <c r="L933" i="148"/>
  <c r="K933" i="148"/>
  <c r="J933" i="148"/>
  <c r="I933" i="148"/>
  <c r="R932" i="148"/>
  <c r="N932" i="148"/>
  <c r="M932" i="148"/>
  <c r="L932" i="148"/>
  <c r="K932" i="148"/>
  <c r="J932" i="148"/>
  <c r="I932" i="148"/>
  <c r="R931" i="148"/>
  <c r="N931" i="148"/>
  <c r="M931" i="148"/>
  <c r="L931" i="148"/>
  <c r="K931" i="148"/>
  <c r="J931" i="148"/>
  <c r="I931" i="148"/>
  <c r="R930" i="148"/>
  <c r="N930" i="148"/>
  <c r="M930" i="148"/>
  <c r="L930" i="148"/>
  <c r="K930" i="148"/>
  <c r="J930" i="148"/>
  <c r="I930" i="148"/>
  <c r="R929" i="148"/>
  <c r="N929" i="148"/>
  <c r="M929" i="148"/>
  <c r="L929" i="148"/>
  <c r="P929" i="148" s="1"/>
  <c r="K929" i="148"/>
  <c r="J929" i="148"/>
  <c r="I929" i="148"/>
  <c r="R928" i="148"/>
  <c r="N928" i="148"/>
  <c r="M928" i="148"/>
  <c r="L928" i="148"/>
  <c r="K928" i="148"/>
  <c r="J928" i="148"/>
  <c r="I928" i="148"/>
  <c r="R927" i="148"/>
  <c r="N927" i="148"/>
  <c r="M927" i="148"/>
  <c r="L927" i="148"/>
  <c r="K927" i="148"/>
  <c r="J927" i="148"/>
  <c r="I927" i="148"/>
  <c r="R926" i="148"/>
  <c r="N926" i="148"/>
  <c r="M926" i="148"/>
  <c r="L926" i="148"/>
  <c r="K926" i="148"/>
  <c r="J926" i="148"/>
  <c r="I926" i="148"/>
  <c r="R925" i="148"/>
  <c r="N925" i="148"/>
  <c r="M925" i="148"/>
  <c r="L925" i="148"/>
  <c r="K925" i="148"/>
  <c r="J925" i="148"/>
  <c r="I925" i="148"/>
  <c r="R924" i="148"/>
  <c r="N924" i="148"/>
  <c r="M924" i="148"/>
  <c r="L924" i="148"/>
  <c r="K924" i="148"/>
  <c r="J924" i="148"/>
  <c r="I924" i="148"/>
  <c r="R923" i="148"/>
  <c r="N923" i="148"/>
  <c r="M923" i="148"/>
  <c r="L923" i="148"/>
  <c r="K923" i="148"/>
  <c r="J923" i="148"/>
  <c r="I923" i="148"/>
  <c r="R922" i="148"/>
  <c r="N922" i="148"/>
  <c r="M922" i="148"/>
  <c r="L922" i="148"/>
  <c r="K922" i="148"/>
  <c r="J922" i="148"/>
  <c r="I922" i="148"/>
  <c r="R921" i="148"/>
  <c r="N921" i="148"/>
  <c r="M921" i="148"/>
  <c r="L921" i="148"/>
  <c r="K921" i="148"/>
  <c r="J921" i="148"/>
  <c r="I921" i="148"/>
  <c r="R920" i="148"/>
  <c r="N920" i="148"/>
  <c r="M920" i="148"/>
  <c r="L920" i="148"/>
  <c r="K920" i="148"/>
  <c r="J920" i="148"/>
  <c r="I920" i="148"/>
  <c r="R919" i="148"/>
  <c r="N919" i="148"/>
  <c r="M919" i="148"/>
  <c r="L919" i="148"/>
  <c r="K919" i="148"/>
  <c r="J919" i="148"/>
  <c r="I919" i="148"/>
  <c r="R918" i="148"/>
  <c r="N918" i="148"/>
  <c r="M918" i="148"/>
  <c r="L918" i="148"/>
  <c r="K918" i="148"/>
  <c r="J918" i="148"/>
  <c r="I918" i="148"/>
  <c r="R917" i="148"/>
  <c r="N917" i="148"/>
  <c r="M917" i="148"/>
  <c r="L917" i="148"/>
  <c r="K917" i="148"/>
  <c r="J917" i="148"/>
  <c r="I917" i="148"/>
  <c r="R916" i="148"/>
  <c r="N916" i="148"/>
  <c r="M916" i="148"/>
  <c r="L916" i="148"/>
  <c r="K916" i="148"/>
  <c r="J916" i="148"/>
  <c r="I916" i="148"/>
  <c r="R915" i="148"/>
  <c r="N915" i="148"/>
  <c r="M915" i="148"/>
  <c r="L915" i="148"/>
  <c r="K915" i="148"/>
  <c r="J915" i="148"/>
  <c r="I915" i="148"/>
  <c r="R914" i="148"/>
  <c r="N914" i="148"/>
  <c r="M914" i="148"/>
  <c r="L914" i="148"/>
  <c r="K914" i="148"/>
  <c r="J914" i="148"/>
  <c r="I914" i="148"/>
  <c r="R913" i="148"/>
  <c r="N913" i="148"/>
  <c r="M913" i="148"/>
  <c r="L913" i="148"/>
  <c r="P913" i="148" s="1"/>
  <c r="K913" i="148"/>
  <c r="J913" i="148"/>
  <c r="I913" i="148"/>
  <c r="R912" i="148"/>
  <c r="N912" i="148"/>
  <c r="M912" i="148"/>
  <c r="L912" i="148"/>
  <c r="K912" i="148"/>
  <c r="J912" i="148"/>
  <c r="I912" i="148"/>
  <c r="R911" i="148"/>
  <c r="N911" i="148"/>
  <c r="M911" i="148"/>
  <c r="L911" i="148"/>
  <c r="K911" i="148"/>
  <c r="J911" i="148"/>
  <c r="I911" i="148"/>
  <c r="R910" i="148"/>
  <c r="N910" i="148"/>
  <c r="M910" i="148"/>
  <c r="L910" i="148"/>
  <c r="K910" i="148"/>
  <c r="J910" i="148"/>
  <c r="I910" i="148"/>
  <c r="R909" i="148"/>
  <c r="N909" i="148"/>
  <c r="M909" i="148"/>
  <c r="L909" i="148"/>
  <c r="K909" i="148"/>
  <c r="J909" i="148"/>
  <c r="I909" i="148"/>
  <c r="R908" i="148"/>
  <c r="N908" i="148"/>
  <c r="M908" i="148"/>
  <c r="L908" i="148"/>
  <c r="K908" i="148"/>
  <c r="J908" i="148"/>
  <c r="I908" i="148"/>
  <c r="R907" i="148"/>
  <c r="N907" i="148"/>
  <c r="M907" i="148"/>
  <c r="L907" i="148"/>
  <c r="K907" i="148"/>
  <c r="J907" i="148"/>
  <c r="I907" i="148"/>
  <c r="R906" i="148"/>
  <c r="N906" i="148"/>
  <c r="M906" i="148"/>
  <c r="L906" i="148"/>
  <c r="K906" i="148"/>
  <c r="J906" i="148"/>
  <c r="I906" i="148"/>
  <c r="R905" i="148"/>
  <c r="N905" i="148"/>
  <c r="M905" i="148"/>
  <c r="L905" i="148"/>
  <c r="K905" i="148"/>
  <c r="J905" i="148"/>
  <c r="I905" i="148"/>
  <c r="R904" i="148"/>
  <c r="N904" i="148"/>
  <c r="M904" i="148"/>
  <c r="L904" i="148"/>
  <c r="K904" i="148"/>
  <c r="J904" i="148"/>
  <c r="I904" i="148"/>
  <c r="R903" i="148"/>
  <c r="N903" i="148"/>
  <c r="M903" i="148"/>
  <c r="L903" i="148"/>
  <c r="K903" i="148"/>
  <c r="J903" i="148"/>
  <c r="I903" i="148"/>
  <c r="R902" i="148"/>
  <c r="N902" i="148"/>
  <c r="M902" i="148"/>
  <c r="L902" i="148"/>
  <c r="K902" i="148"/>
  <c r="J902" i="148"/>
  <c r="I902" i="148"/>
  <c r="R901" i="148"/>
  <c r="N901" i="148"/>
  <c r="M901" i="148"/>
  <c r="L901" i="148"/>
  <c r="P901" i="148" s="1"/>
  <c r="K901" i="148"/>
  <c r="J901" i="148"/>
  <c r="I901" i="148"/>
  <c r="R900" i="148"/>
  <c r="N900" i="148"/>
  <c r="M900" i="148"/>
  <c r="L900" i="148"/>
  <c r="K900" i="148"/>
  <c r="J900" i="148"/>
  <c r="I900" i="148"/>
  <c r="R899" i="148"/>
  <c r="N899" i="148"/>
  <c r="M899" i="148"/>
  <c r="L899" i="148"/>
  <c r="K899" i="148"/>
  <c r="J899" i="148"/>
  <c r="I899" i="148"/>
  <c r="R898" i="148"/>
  <c r="N898" i="148"/>
  <c r="M898" i="148"/>
  <c r="L898" i="148"/>
  <c r="K898" i="148"/>
  <c r="J898" i="148"/>
  <c r="I898" i="148"/>
  <c r="R897" i="148"/>
  <c r="N897" i="148"/>
  <c r="M897" i="148"/>
  <c r="L897" i="148"/>
  <c r="K897" i="148"/>
  <c r="J897" i="148"/>
  <c r="I897" i="148"/>
  <c r="R896" i="148"/>
  <c r="N896" i="148"/>
  <c r="M896" i="148"/>
  <c r="L896" i="148"/>
  <c r="P896" i="148" s="1"/>
  <c r="K896" i="148"/>
  <c r="J896" i="148"/>
  <c r="I896" i="148"/>
  <c r="R895" i="148"/>
  <c r="N895" i="148"/>
  <c r="M895" i="148"/>
  <c r="L895" i="148"/>
  <c r="K895" i="148"/>
  <c r="J895" i="148"/>
  <c r="I895" i="148"/>
  <c r="R894" i="148"/>
  <c r="N894" i="148"/>
  <c r="M894" i="148"/>
  <c r="L894" i="148"/>
  <c r="K894" i="148"/>
  <c r="J894" i="148"/>
  <c r="I894" i="148"/>
  <c r="R893" i="148"/>
  <c r="N893" i="148"/>
  <c r="M893" i="148"/>
  <c r="L893" i="148"/>
  <c r="P893" i="148" s="1"/>
  <c r="K893" i="148"/>
  <c r="J893" i="148"/>
  <c r="I893" i="148"/>
  <c r="R892" i="148"/>
  <c r="N892" i="148"/>
  <c r="M892" i="148"/>
  <c r="L892" i="148"/>
  <c r="K892" i="148"/>
  <c r="J892" i="148"/>
  <c r="I892" i="148"/>
  <c r="R891" i="148"/>
  <c r="N891" i="148"/>
  <c r="M891" i="148"/>
  <c r="L891" i="148"/>
  <c r="O891" i="148" s="1"/>
  <c r="K891" i="148"/>
  <c r="J891" i="148"/>
  <c r="I891" i="148"/>
  <c r="R890" i="148"/>
  <c r="N890" i="148"/>
  <c r="M890" i="148"/>
  <c r="L890" i="148"/>
  <c r="K890" i="148"/>
  <c r="J890" i="148"/>
  <c r="I890" i="148"/>
  <c r="R889" i="148"/>
  <c r="N889" i="148"/>
  <c r="M889" i="148"/>
  <c r="L889" i="148"/>
  <c r="K889" i="148"/>
  <c r="J889" i="148"/>
  <c r="I889" i="148"/>
  <c r="R888" i="148"/>
  <c r="N888" i="148"/>
  <c r="M888" i="148"/>
  <c r="L888" i="148"/>
  <c r="K888" i="148"/>
  <c r="J888" i="148"/>
  <c r="I888" i="148"/>
  <c r="R887" i="148"/>
  <c r="N887" i="148"/>
  <c r="M887" i="148"/>
  <c r="L887" i="148"/>
  <c r="K887" i="148"/>
  <c r="J887" i="148"/>
  <c r="I887" i="148"/>
  <c r="R886" i="148"/>
  <c r="N886" i="148"/>
  <c r="M886" i="148"/>
  <c r="L886" i="148"/>
  <c r="K886" i="148"/>
  <c r="J886" i="148"/>
  <c r="I886" i="148"/>
  <c r="R885" i="148"/>
  <c r="N885" i="148"/>
  <c r="M885" i="148"/>
  <c r="L885" i="148"/>
  <c r="K885" i="148"/>
  <c r="J885" i="148"/>
  <c r="I885" i="148"/>
  <c r="R884" i="148"/>
  <c r="N884" i="148"/>
  <c r="M884" i="148"/>
  <c r="L884" i="148"/>
  <c r="K884" i="148"/>
  <c r="J884" i="148"/>
  <c r="I884" i="148"/>
  <c r="R883" i="148"/>
  <c r="N883" i="148"/>
  <c r="M883" i="148"/>
  <c r="L883" i="148"/>
  <c r="K883" i="148"/>
  <c r="J883" i="148"/>
  <c r="I883" i="148"/>
  <c r="R882" i="148"/>
  <c r="N882" i="148"/>
  <c r="M882" i="148"/>
  <c r="L882" i="148"/>
  <c r="K882" i="148"/>
  <c r="J882" i="148"/>
  <c r="I882" i="148"/>
  <c r="R881" i="148"/>
  <c r="N881" i="148"/>
  <c r="M881" i="148"/>
  <c r="L881" i="148"/>
  <c r="K881" i="148"/>
  <c r="J881" i="148"/>
  <c r="I881" i="148"/>
  <c r="R880" i="148"/>
  <c r="N880" i="148"/>
  <c r="M880" i="148"/>
  <c r="L880" i="148"/>
  <c r="K880" i="148"/>
  <c r="J880" i="148"/>
  <c r="I880" i="148"/>
  <c r="R879" i="148"/>
  <c r="N879" i="148"/>
  <c r="M879" i="148"/>
  <c r="L879" i="148"/>
  <c r="K879" i="148"/>
  <c r="J879" i="148"/>
  <c r="I879" i="148"/>
  <c r="R878" i="148"/>
  <c r="N878" i="148"/>
  <c r="M878" i="148"/>
  <c r="L878" i="148"/>
  <c r="K878" i="148"/>
  <c r="J878" i="148"/>
  <c r="I878" i="148"/>
  <c r="R877" i="148"/>
  <c r="N877" i="148"/>
  <c r="M877" i="148"/>
  <c r="L877" i="148"/>
  <c r="K877" i="148"/>
  <c r="J877" i="148"/>
  <c r="I877" i="148"/>
  <c r="R876" i="148"/>
  <c r="N876" i="148"/>
  <c r="M876" i="148"/>
  <c r="L876" i="148"/>
  <c r="K876" i="148"/>
  <c r="J876" i="148"/>
  <c r="I876" i="148"/>
  <c r="R875" i="148"/>
  <c r="N875" i="148"/>
  <c r="M875" i="148"/>
  <c r="L875" i="148"/>
  <c r="K875" i="148"/>
  <c r="J875" i="148"/>
  <c r="I875" i="148"/>
  <c r="R874" i="148"/>
  <c r="N874" i="148"/>
  <c r="M874" i="148"/>
  <c r="L874" i="148"/>
  <c r="K874" i="148"/>
  <c r="J874" i="148"/>
  <c r="I874" i="148"/>
  <c r="R873" i="148"/>
  <c r="N873" i="148"/>
  <c r="M873" i="148"/>
  <c r="L873" i="148"/>
  <c r="K873" i="148"/>
  <c r="J873" i="148"/>
  <c r="I873" i="148"/>
  <c r="R872" i="148"/>
  <c r="N872" i="148"/>
  <c r="M872" i="148"/>
  <c r="L872" i="148"/>
  <c r="K872" i="148"/>
  <c r="J872" i="148"/>
  <c r="I872" i="148"/>
  <c r="R871" i="148"/>
  <c r="N871" i="148"/>
  <c r="M871" i="148"/>
  <c r="L871" i="148"/>
  <c r="K871" i="148"/>
  <c r="J871" i="148"/>
  <c r="I871" i="148"/>
  <c r="R870" i="148"/>
  <c r="N870" i="148"/>
  <c r="M870" i="148"/>
  <c r="L870" i="148"/>
  <c r="K870" i="148"/>
  <c r="J870" i="148"/>
  <c r="I870" i="148"/>
  <c r="R869" i="148"/>
  <c r="N869" i="148"/>
  <c r="M869" i="148"/>
  <c r="L869" i="148"/>
  <c r="K869" i="148"/>
  <c r="J869" i="148"/>
  <c r="I869" i="148"/>
  <c r="R868" i="148"/>
  <c r="N868" i="148"/>
  <c r="M868" i="148"/>
  <c r="L868" i="148"/>
  <c r="K868" i="148"/>
  <c r="J868" i="148"/>
  <c r="I868" i="148"/>
  <c r="R867" i="148"/>
  <c r="N867" i="148"/>
  <c r="M867" i="148"/>
  <c r="L867" i="148"/>
  <c r="K867" i="148"/>
  <c r="J867" i="148"/>
  <c r="I867" i="148"/>
  <c r="R866" i="148"/>
  <c r="N866" i="148"/>
  <c r="M866" i="148"/>
  <c r="L866" i="148"/>
  <c r="K866" i="148"/>
  <c r="J866" i="148"/>
  <c r="I866" i="148"/>
  <c r="R865" i="148"/>
  <c r="N865" i="148"/>
  <c r="M865" i="148"/>
  <c r="L865" i="148"/>
  <c r="K865" i="148"/>
  <c r="J865" i="148"/>
  <c r="I865" i="148"/>
  <c r="R864" i="148"/>
  <c r="N864" i="148"/>
  <c r="M864" i="148"/>
  <c r="L864" i="148"/>
  <c r="K864" i="148"/>
  <c r="J864" i="148"/>
  <c r="I864" i="148"/>
  <c r="R863" i="148"/>
  <c r="N863" i="148"/>
  <c r="M863" i="148"/>
  <c r="L863" i="148"/>
  <c r="K863" i="148"/>
  <c r="J863" i="148"/>
  <c r="I863" i="148"/>
  <c r="R862" i="148"/>
  <c r="N862" i="148"/>
  <c r="M862" i="148"/>
  <c r="L862" i="148"/>
  <c r="K862" i="148"/>
  <c r="J862" i="148"/>
  <c r="I862" i="148"/>
  <c r="R861" i="148"/>
  <c r="N861" i="148"/>
  <c r="M861" i="148"/>
  <c r="L861" i="148"/>
  <c r="K861" i="148"/>
  <c r="J861" i="148"/>
  <c r="I861" i="148"/>
  <c r="R860" i="148"/>
  <c r="N860" i="148"/>
  <c r="M860" i="148"/>
  <c r="L860" i="148"/>
  <c r="K860" i="148"/>
  <c r="J860" i="148"/>
  <c r="I860" i="148"/>
  <c r="R859" i="148"/>
  <c r="N859" i="148"/>
  <c r="M859" i="148"/>
  <c r="L859" i="148"/>
  <c r="K859" i="148"/>
  <c r="J859" i="148"/>
  <c r="I859" i="148"/>
  <c r="R858" i="148"/>
  <c r="N858" i="148"/>
  <c r="M858" i="148"/>
  <c r="L858" i="148"/>
  <c r="K858" i="148"/>
  <c r="J858" i="148"/>
  <c r="I858" i="148"/>
  <c r="R857" i="148"/>
  <c r="N857" i="148"/>
  <c r="M857" i="148"/>
  <c r="L857" i="148"/>
  <c r="K857" i="148"/>
  <c r="J857" i="148"/>
  <c r="I857" i="148"/>
  <c r="R856" i="148"/>
  <c r="N856" i="148"/>
  <c r="M856" i="148"/>
  <c r="L856" i="148"/>
  <c r="K856" i="148"/>
  <c r="J856" i="148"/>
  <c r="I856" i="148"/>
  <c r="R855" i="148"/>
  <c r="N855" i="148"/>
  <c r="M855" i="148"/>
  <c r="L855" i="148"/>
  <c r="K855" i="148"/>
  <c r="J855" i="148"/>
  <c r="I855" i="148"/>
  <c r="R854" i="148"/>
  <c r="N854" i="148"/>
  <c r="M854" i="148"/>
  <c r="L854" i="148"/>
  <c r="K854" i="148"/>
  <c r="J854" i="148"/>
  <c r="I854" i="148"/>
  <c r="R853" i="148"/>
  <c r="N853" i="148"/>
  <c r="M853" i="148"/>
  <c r="L853" i="148"/>
  <c r="K853" i="148"/>
  <c r="J853" i="148"/>
  <c r="I853" i="148"/>
  <c r="R852" i="148"/>
  <c r="N852" i="148"/>
  <c r="M852" i="148"/>
  <c r="L852" i="148"/>
  <c r="K852" i="148"/>
  <c r="J852" i="148"/>
  <c r="I852" i="148"/>
  <c r="R851" i="148"/>
  <c r="N851" i="148"/>
  <c r="M851" i="148"/>
  <c r="L851" i="148"/>
  <c r="K851" i="148"/>
  <c r="J851" i="148"/>
  <c r="I851" i="148"/>
  <c r="R850" i="148"/>
  <c r="N850" i="148"/>
  <c r="M850" i="148"/>
  <c r="L850" i="148"/>
  <c r="K850" i="148"/>
  <c r="J850" i="148"/>
  <c r="I850" i="148"/>
  <c r="R849" i="148"/>
  <c r="N849" i="148"/>
  <c r="M849" i="148"/>
  <c r="L849" i="148"/>
  <c r="K849" i="148"/>
  <c r="J849" i="148"/>
  <c r="I849" i="148"/>
  <c r="R848" i="148"/>
  <c r="N848" i="148"/>
  <c r="M848" i="148"/>
  <c r="L848" i="148"/>
  <c r="K848" i="148"/>
  <c r="J848" i="148"/>
  <c r="I848" i="148"/>
  <c r="R847" i="148"/>
  <c r="N847" i="148"/>
  <c r="M847" i="148"/>
  <c r="L847" i="148"/>
  <c r="K847" i="148"/>
  <c r="J847" i="148"/>
  <c r="I847" i="148"/>
  <c r="R846" i="148"/>
  <c r="N846" i="148"/>
  <c r="M846" i="148"/>
  <c r="L846" i="148"/>
  <c r="K846" i="148"/>
  <c r="J846" i="148"/>
  <c r="I846" i="148"/>
  <c r="R845" i="148"/>
  <c r="N845" i="148"/>
  <c r="M845" i="148"/>
  <c r="L845" i="148"/>
  <c r="K845" i="148"/>
  <c r="J845" i="148"/>
  <c r="I845" i="148"/>
  <c r="R844" i="148"/>
  <c r="N844" i="148"/>
  <c r="M844" i="148"/>
  <c r="L844" i="148"/>
  <c r="P844" i="148" s="1"/>
  <c r="K844" i="148"/>
  <c r="J844" i="148"/>
  <c r="I844" i="148"/>
  <c r="R843" i="148"/>
  <c r="N843" i="148"/>
  <c r="M843" i="148"/>
  <c r="L843" i="148"/>
  <c r="K843" i="148"/>
  <c r="J843" i="148"/>
  <c r="I843" i="148"/>
  <c r="R842" i="148"/>
  <c r="N842" i="148"/>
  <c r="M842" i="148"/>
  <c r="L842" i="148"/>
  <c r="K842" i="148"/>
  <c r="J842" i="148"/>
  <c r="I842" i="148"/>
  <c r="R841" i="148"/>
  <c r="N841" i="148"/>
  <c r="M841" i="148"/>
  <c r="L841" i="148"/>
  <c r="K841" i="148"/>
  <c r="J841" i="148"/>
  <c r="I841" i="148"/>
  <c r="R840" i="148"/>
  <c r="N840" i="148"/>
  <c r="M840" i="148"/>
  <c r="L840" i="148"/>
  <c r="K840" i="148"/>
  <c r="J840" i="148"/>
  <c r="I840" i="148"/>
  <c r="R839" i="148"/>
  <c r="N839" i="148"/>
  <c r="M839" i="148"/>
  <c r="L839" i="148"/>
  <c r="K839" i="148"/>
  <c r="J839" i="148"/>
  <c r="I839" i="148"/>
  <c r="R838" i="148"/>
  <c r="N838" i="148"/>
  <c r="M838" i="148"/>
  <c r="L838" i="148"/>
  <c r="K838" i="148"/>
  <c r="J838" i="148"/>
  <c r="I838" i="148"/>
  <c r="R837" i="148"/>
  <c r="N837" i="148"/>
  <c r="M837" i="148"/>
  <c r="L837" i="148"/>
  <c r="K837" i="148"/>
  <c r="J837" i="148"/>
  <c r="I837" i="148"/>
  <c r="R836" i="148"/>
  <c r="N836" i="148"/>
  <c r="M836" i="148"/>
  <c r="L836" i="148"/>
  <c r="K836" i="148"/>
  <c r="J836" i="148"/>
  <c r="I836" i="148"/>
  <c r="R835" i="148"/>
  <c r="N835" i="148"/>
  <c r="M835" i="148"/>
  <c r="L835" i="148"/>
  <c r="K835" i="148"/>
  <c r="J835" i="148"/>
  <c r="I835" i="148"/>
  <c r="R834" i="148"/>
  <c r="N834" i="148"/>
  <c r="M834" i="148"/>
  <c r="L834" i="148"/>
  <c r="K834" i="148"/>
  <c r="J834" i="148"/>
  <c r="I834" i="148"/>
  <c r="R833" i="148"/>
  <c r="N833" i="148"/>
  <c r="M833" i="148"/>
  <c r="L833" i="148"/>
  <c r="K833" i="148"/>
  <c r="J833" i="148"/>
  <c r="I833" i="148"/>
  <c r="R832" i="148"/>
  <c r="N832" i="148"/>
  <c r="M832" i="148"/>
  <c r="L832" i="148"/>
  <c r="K832" i="148"/>
  <c r="J832" i="148"/>
  <c r="I832" i="148"/>
  <c r="R831" i="148"/>
  <c r="N831" i="148"/>
  <c r="M831" i="148"/>
  <c r="L831" i="148"/>
  <c r="K831" i="148"/>
  <c r="J831" i="148"/>
  <c r="I831" i="148"/>
  <c r="R830" i="148"/>
  <c r="N830" i="148"/>
  <c r="M830" i="148"/>
  <c r="L830" i="148"/>
  <c r="K830" i="148"/>
  <c r="J830" i="148"/>
  <c r="I830" i="148"/>
  <c r="R829" i="148"/>
  <c r="N829" i="148"/>
  <c r="M829" i="148"/>
  <c r="L829" i="148"/>
  <c r="K829" i="148"/>
  <c r="J829" i="148"/>
  <c r="I829" i="148"/>
  <c r="R828" i="148"/>
  <c r="N828" i="148"/>
  <c r="M828" i="148"/>
  <c r="L828" i="148"/>
  <c r="K828" i="148"/>
  <c r="J828" i="148"/>
  <c r="I828" i="148"/>
  <c r="R827" i="148"/>
  <c r="N827" i="148"/>
  <c r="M827" i="148"/>
  <c r="L827" i="148"/>
  <c r="K827" i="148"/>
  <c r="J827" i="148"/>
  <c r="I827" i="148"/>
  <c r="R826" i="148"/>
  <c r="N826" i="148"/>
  <c r="M826" i="148"/>
  <c r="L826" i="148"/>
  <c r="K826" i="148"/>
  <c r="J826" i="148"/>
  <c r="I826" i="148"/>
  <c r="R825" i="148"/>
  <c r="N825" i="148"/>
  <c r="M825" i="148"/>
  <c r="L825" i="148"/>
  <c r="K825" i="148"/>
  <c r="J825" i="148"/>
  <c r="I825" i="148"/>
  <c r="R824" i="148"/>
  <c r="N824" i="148"/>
  <c r="M824" i="148"/>
  <c r="L824" i="148"/>
  <c r="K824" i="148"/>
  <c r="J824" i="148"/>
  <c r="I824" i="148"/>
  <c r="R823" i="148"/>
  <c r="N823" i="148"/>
  <c r="M823" i="148"/>
  <c r="L823" i="148"/>
  <c r="K823" i="148"/>
  <c r="J823" i="148"/>
  <c r="I823" i="148"/>
  <c r="R822" i="148"/>
  <c r="N822" i="148"/>
  <c r="M822" i="148"/>
  <c r="L822" i="148"/>
  <c r="K822" i="148"/>
  <c r="J822" i="148"/>
  <c r="I822" i="148"/>
  <c r="R821" i="148"/>
  <c r="N821" i="148"/>
  <c r="M821" i="148"/>
  <c r="L821" i="148"/>
  <c r="K821" i="148"/>
  <c r="J821" i="148"/>
  <c r="I821" i="148"/>
  <c r="R820" i="148"/>
  <c r="N820" i="148"/>
  <c r="M820" i="148"/>
  <c r="L820" i="148"/>
  <c r="K820" i="148"/>
  <c r="J820" i="148"/>
  <c r="I820" i="148"/>
  <c r="R819" i="148"/>
  <c r="N819" i="148"/>
  <c r="M819" i="148"/>
  <c r="L819" i="148"/>
  <c r="K819" i="148"/>
  <c r="J819" i="148"/>
  <c r="I819" i="148"/>
  <c r="R818" i="148"/>
  <c r="N818" i="148"/>
  <c r="M818" i="148"/>
  <c r="L818" i="148"/>
  <c r="K818" i="148"/>
  <c r="J818" i="148"/>
  <c r="I818" i="148"/>
  <c r="R817" i="148"/>
  <c r="N817" i="148"/>
  <c r="M817" i="148"/>
  <c r="L817" i="148"/>
  <c r="K817" i="148"/>
  <c r="J817" i="148"/>
  <c r="I817" i="148"/>
  <c r="R816" i="148"/>
  <c r="N816" i="148"/>
  <c r="M816" i="148"/>
  <c r="L816" i="148"/>
  <c r="K816" i="148"/>
  <c r="J816" i="148"/>
  <c r="I816" i="148"/>
  <c r="R815" i="148"/>
  <c r="N815" i="148"/>
  <c r="M815" i="148"/>
  <c r="L815" i="148"/>
  <c r="K815" i="148"/>
  <c r="J815" i="148"/>
  <c r="I815" i="148"/>
  <c r="R814" i="148"/>
  <c r="N814" i="148"/>
  <c r="M814" i="148"/>
  <c r="L814" i="148"/>
  <c r="K814" i="148"/>
  <c r="J814" i="148"/>
  <c r="I814" i="148"/>
  <c r="R813" i="148"/>
  <c r="N813" i="148"/>
  <c r="M813" i="148"/>
  <c r="L813" i="148"/>
  <c r="K813" i="148"/>
  <c r="J813" i="148"/>
  <c r="I813" i="148"/>
  <c r="R812" i="148"/>
  <c r="N812" i="148"/>
  <c r="M812" i="148"/>
  <c r="L812" i="148"/>
  <c r="K812" i="148"/>
  <c r="J812" i="148"/>
  <c r="I812" i="148"/>
  <c r="R811" i="148"/>
  <c r="N811" i="148"/>
  <c r="M811" i="148"/>
  <c r="L811" i="148"/>
  <c r="K811" i="148"/>
  <c r="J811" i="148"/>
  <c r="I811" i="148"/>
  <c r="R810" i="148"/>
  <c r="N810" i="148"/>
  <c r="M810" i="148"/>
  <c r="L810" i="148"/>
  <c r="O810" i="148" s="1"/>
  <c r="K810" i="148"/>
  <c r="J810" i="148"/>
  <c r="I810" i="148"/>
  <c r="R809" i="148"/>
  <c r="N809" i="148"/>
  <c r="M809" i="148"/>
  <c r="L809" i="148"/>
  <c r="K809" i="148"/>
  <c r="J809" i="148"/>
  <c r="I809" i="148"/>
  <c r="R808" i="148"/>
  <c r="N808" i="148"/>
  <c r="M808" i="148"/>
  <c r="L808" i="148"/>
  <c r="K808" i="148"/>
  <c r="J808" i="148"/>
  <c r="I808" i="148"/>
  <c r="R807" i="148"/>
  <c r="N807" i="148"/>
  <c r="M807" i="148"/>
  <c r="L807" i="148"/>
  <c r="K807" i="148"/>
  <c r="J807" i="148"/>
  <c r="I807" i="148"/>
  <c r="R806" i="148"/>
  <c r="N806" i="148"/>
  <c r="M806" i="148"/>
  <c r="L806" i="148"/>
  <c r="K806" i="148"/>
  <c r="J806" i="148"/>
  <c r="I806" i="148"/>
  <c r="R805" i="148"/>
  <c r="N805" i="148"/>
  <c r="M805" i="148"/>
  <c r="L805" i="148"/>
  <c r="P805" i="148" s="1"/>
  <c r="K805" i="148"/>
  <c r="J805" i="148"/>
  <c r="I805" i="148"/>
  <c r="R804" i="148"/>
  <c r="N804" i="148"/>
  <c r="M804" i="148"/>
  <c r="L804" i="148"/>
  <c r="K804" i="148"/>
  <c r="J804" i="148"/>
  <c r="I804" i="148"/>
  <c r="R803" i="148"/>
  <c r="N803" i="148"/>
  <c r="M803" i="148"/>
  <c r="L803" i="148"/>
  <c r="K803" i="148"/>
  <c r="J803" i="148"/>
  <c r="I803" i="148"/>
  <c r="R802" i="148"/>
  <c r="N802" i="148"/>
  <c r="M802" i="148"/>
  <c r="L802" i="148"/>
  <c r="K802" i="148"/>
  <c r="J802" i="148"/>
  <c r="I802" i="148"/>
  <c r="R801" i="148"/>
  <c r="S801" i="148"/>
  <c r="N801" i="148"/>
  <c r="M801" i="148"/>
  <c r="L801" i="148"/>
  <c r="K801" i="148"/>
  <c r="J801" i="148"/>
  <c r="I801" i="148"/>
  <c r="R800" i="148"/>
  <c r="N800" i="148"/>
  <c r="M800" i="148"/>
  <c r="L800" i="148"/>
  <c r="K800" i="148"/>
  <c r="J800" i="148"/>
  <c r="I800" i="148"/>
  <c r="R799" i="148"/>
  <c r="N799" i="148"/>
  <c r="M799" i="148"/>
  <c r="L799" i="148"/>
  <c r="K799" i="148"/>
  <c r="J799" i="148"/>
  <c r="I799" i="148"/>
  <c r="R798" i="148"/>
  <c r="N798" i="148"/>
  <c r="M798" i="148"/>
  <c r="L798" i="148"/>
  <c r="K798" i="148"/>
  <c r="J798" i="148"/>
  <c r="I798" i="148"/>
  <c r="R797" i="148"/>
  <c r="N797" i="148"/>
  <c r="M797" i="148"/>
  <c r="L797" i="148"/>
  <c r="K797" i="148"/>
  <c r="J797" i="148"/>
  <c r="I797" i="148"/>
  <c r="R796" i="148"/>
  <c r="N796" i="148"/>
  <c r="M796" i="148"/>
  <c r="L796" i="148"/>
  <c r="K796" i="148"/>
  <c r="J796" i="148"/>
  <c r="I796" i="148"/>
  <c r="R795" i="148"/>
  <c r="N795" i="148"/>
  <c r="M795" i="148"/>
  <c r="L795" i="148"/>
  <c r="K795" i="148"/>
  <c r="J795" i="148"/>
  <c r="I795" i="148"/>
  <c r="R794" i="148"/>
  <c r="N794" i="148"/>
  <c r="M794" i="148"/>
  <c r="L794" i="148"/>
  <c r="K794" i="148"/>
  <c r="J794" i="148"/>
  <c r="I794" i="148"/>
  <c r="R793" i="148"/>
  <c r="N793" i="148"/>
  <c r="M793" i="148"/>
  <c r="L793" i="148"/>
  <c r="K793" i="148"/>
  <c r="J793" i="148"/>
  <c r="I793" i="148"/>
  <c r="R792" i="148"/>
  <c r="N792" i="148"/>
  <c r="M792" i="148"/>
  <c r="L792" i="148"/>
  <c r="K792" i="148"/>
  <c r="J792" i="148"/>
  <c r="I792" i="148"/>
  <c r="R791" i="148"/>
  <c r="N791" i="148"/>
  <c r="M791" i="148"/>
  <c r="L791" i="148"/>
  <c r="P791" i="148" s="1"/>
  <c r="K791" i="148"/>
  <c r="J791" i="148"/>
  <c r="I791" i="148"/>
  <c r="R790" i="148"/>
  <c r="N790" i="148"/>
  <c r="M790" i="148"/>
  <c r="L790" i="148"/>
  <c r="K790" i="148"/>
  <c r="J790" i="148"/>
  <c r="I790" i="148"/>
  <c r="R789" i="148"/>
  <c r="S789" i="148"/>
  <c r="N789" i="148"/>
  <c r="M789" i="148"/>
  <c r="L789" i="148"/>
  <c r="K789" i="148"/>
  <c r="J789" i="148"/>
  <c r="I789" i="148"/>
  <c r="R788" i="148"/>
  <c r="N788" i="148"/>
  <c r="M788" i="148"/>
  <c r="L788" i="148"/>
  <c r="K788" i="148"/>
  <c r="J788" i="148"/>
  <c r="I788" i="148"/>
  <c r="R787" i="148"/>
  <c r="N787" i="148"/>
  <c r="M787" i="148"/>
  <c r="L787" i="148"/>
  <c r="K787" i="148"/>
  <c r="J787" i="148"/>
  <c r="I787" i="148"/>
  <c r="R786" i="148"/>
  <c r="N786" i="148"/>
  <c r="M786" i="148"/>
  <c r="L786" i="148"/>
  <c r="K786" i="148"/>
  <c r="J786" i="148"/>
  <c r="I786" i="148"/>
  <c r="R785" i="148"/>
  <c r="N785" i="148"/>
  <c r="M785" i="148"/>
  <c r="L785" i="148"/>
  <c r="K785" i="148"/>
  <c r="J785" i="148"/>
  <c r="I785" i="148"/>
  <c r="R784" i="148"/>
  <c r="N784" i="148"/>
  <c r="M784" i="148"/>
  <c r="L784" i="148"/>
  <c r="K784" i="148"/>
  <c r="J784" i="148"/>
  <c r="I784" i="148"/>
  <c r="R783" i="148"/>
  <c r="S783" i="148"/>
  <c r="N783" i="148"/>
  <c r="M783" i="148"/>
  <c r="L783" i="148"/>
  <c r="K783" i="148"/>
  <c r="J783" i="148"/>
  <c r="I783" i="148"/>
  <c r="R782" i="148"/>
  <c r="N782" i="148"/>
  <c r="M782" i="148"/>
  <c r="L782" i="148"/>
  <c r="P782" i="148" s="1"/>
  <c r="K782" i="148"/>
  <c r="J782" i="148"/>
  <c r="I782" i="148"/>
  <c r="R781" i="148"/>
  <c r="N781" i="148"/>
  <c r="M781" i="148"/>
  <c r="L781" i="148"/>
  <c r="K781" i="148"/>
  <c r="J781" i="148"/>
  <c r="I781" i="148"/>
  <c r="R780" i="148"/>
  <c r="N780" i="148"/>
  <c r="M780" i="148"/>
  <c r="L780" i="148"/>
  <c r="K780" i="148"/>
  <c r="J780" i="148"/>
  <c r="I780" i="148"/>
  <c r="R779" i="148"/>
  <c r="N779" i="148"/>
  <c r="M779" i="148"/>
  <c r="L779" i="148"/>
  <c r="K779" i="148"/>
  <c r="J779" i="148"/>
  <c r="I779" i="148"/>
  <c r="R778" i="148"/>
  <c r="N778" i="148"/>
  <c r="M778" i="148"/>
  <c r="L778" i="148"/>
  <c r="O778" i="148" s="1"/>
  <c r="K778" i="148"/>
  <c r="J778" i="148"/>
  <c r="I778" i="148"/>
  <c r="R777" i="148"/>
  <c r="N777" i="148"/>
  <c r="M777" i="148"/>
  <c r="L777" i="148"/>
  <c r="K777" i="148"/>
  <c r="J777" i="148"/>
  <c r="I777" i="148"/>
  <c r="R776" i="148"/>
  <c r="N776" i="148"/>
  <c r="M776" i="148"/>
  <c r="L776" i="148"/>
  <c r="K776" i="148"/>
  <c r="J776" i="148"/>
  <c r="I776" i="148"/>
  <c r="R775" i="148"/>
  <c r="N775" i="148"/>
  <c r="M775" i="148"/>
  <c r="L775" i="148"/>
  <c r="K775" i="148"/>
  <c r="J775" i="148"/>
  <c r="I775" i="148"/>
  <c r="R774" i="148"/>
  <c r="N774" i="148"/>
  <c r="M774" i="148"/>
  <c r="L774" i="148"/>
  <c r="K774" i="148"/>
  <c r="J774" i="148"/>
  <c r="I774" i="148"/>
  <c r="R773" i="148"/>
  <c r="N773" i="148"/>
  <c r="M773" i="148"/>
  <c r="L773" i="148"/>
  <c r="K773" i="148"/>
  <c r="J773" i="148"/>
  <c r="I773" i="148"/>
  <c r="R772" i="148"/>
  <c r="N772" i="148"/>
  <c r="M772" i="148"/>
  <c r="L772" i="148"/>
  <c r="K772" i="148"/>
  <c r="J772" i="148"/>
  <c r="I772" i="148"/>
  <c r="R771" i="148"/>
  <c r="S771" i="148"/>
  <c r="N771" i="148"/>
  <c r="M771" i="148"/>
  <c r="L771" i="148"/>
  <c r="K771" i="148"/>
  <c r="J771" i="148"/>
  <c r="I771" i="148"/>
  <c r="R770" i="148"/>
  <c r="N770" i="148"/>
  <c r="M770" i="148"/>
  <c r="L770" i="148"/>
  <c r="K770" i="148"/>
  <c r="J770" i="148"/>
  <c r="I770" i="148"/>
  <c r="R769" i="148"/>
  <c r="N769" i="148"/>
  <c r="M769" i="148"/>
  <c r="L769" i="148"/>
  <c r="K769" i="148"/>
  <c r="J769" i="148"/>
  <c r="I769" i="148"/>
  <c r="R768" i="148"/>
  <c r="N768" i="148"/>
  <c r="M768" i="148"/>
  <c r="L768" i="148"/>
  <c r="K768" i="148"/>
  <c r="J768" i="148"/>
  <c r="I768" i="148"/>
  <c r="R767" i="148"/>
  <c r="N767" i="148"/>
  <c r="M767" i="148"/>
  <c r="L767" i="148"/>
  <c r="O767" i="148" s="1"/>
  <c r="K767" i="148"/>
  <c r="J767" i="148"/>
  <c r="I767" i="148"/>
  <c r="R766" i="148"/>
  <c r="N766" i="148"/>
  <c r="M766" i="148"/>
  <c r="L766" i="148"/>
  <c r="P766" i="148" s="1"/>
  <c r="K766" i="148"/>
  <c r="J766" i="148"/>
  <c r="I766" i="148"/>
  <c r="R765" i="148"/>
  <c r="N765" i="148"/>
  <c r="M765" i="148"/>
  <c r="L765" i="148"/>
  <c r="P765" i="148" s="1"/>
  <c r="K765" i="148"/>
  <c r="J765" i="148"/>
  <c r="I765" i="148"/>
  <c r="R764" i="148"/>
  <c r="N764" i="148"/>
  <c r="M764" i="148"/>
  <c r="L764" i="148"/>
  <c r="K764" i="148"/>
  <c r="J764" i="148"/>
  <c r="I764" i="148"/>
  <c r="R763" i="148"/>
  <c r="N763" i="148"/>
  <c r="M763" i="148"/>
  <c r="L763" i="148"/>
  <c r="P763" i="148" s="1"/>
  <c r="K763" i="148"/>
  <c r="J763" i="148"/>
  <c r="I763" i="148"/>
  <c r="R762" i="148"/>
  <c r="N762" i="148"/>
  <c r="M762" i="148"/>
  <c r="L762" i="148"/>
  <c r="K762" i="148"/>
  <c r="J762" i="148"/>
  <c r="I762" i="148"/>
  <c r="R761" i="148"/>
  <c r="N761" i="148"/>
  <c r="M761" i="148"/>
  <c r="L761" i="148"/>
  <c r="K761" i="148"/>
  <c r="J761" i="148"/>
  <c r="I761" i="148"/>
  <c r="R760" i="148"/>
  <c r="N760" i="148"/>
  <c r="M760" i="148"/>
  <c r="L760" i="148"/>
  <c r="K760" i="148"/>
  <c r="J760" i="148"/>
  <c r="I760" i="148"/>
  <c r="R759" i="148"/>
  <c r="S759" i="148"/>
  <c r="N759" i="148"/>
  <c r="M759" i="148"/>
  <c r="L759" i="148"/>
  <c r="P759" i="148" s="1"/>
  <c r="K759" i="148"/>
  <c r="J759" i="148"/>
  <c r="I759" i="148"/>
  <c r="R758" i="148"/>
  <c r="N758" i="148"/>
  <c r="M758" i="148"/>
  <c r="L758" i="148"/>
  <c r="K758" i="148"/>
  <c r="J758" i="148"/>
  <c r="I758" i="148"/>
  <c r="R757" i="148"/>
  <c r="N757" i="148"/>
  <c r="M757" i="148"/>
  <c r="L757" i="148"/>
  <c r="K757" i="148"/>
  <c r="J757" i="148"/>
  <c r="I757" i="148"/>
  <c r="R756" i="148"/>
  <c r="S756" i="148"/>
  <c r="N756" i="148"/>
  <c r="M756" i="148"/>
  <c r="L756" i="148"/>
  <c r="K756" i="148"/>
  <c r="J756" i="148"/>
  <c r="I756" i="148"/>
  <c r="R755" i="148"/>
  <c r="N755" i="148"/>
  <c r="M755" i="148"/>
  <c r="L755" i="148"/>
  <c r="K755" i="148"/>
  <c r="J755" i="148"/>
  <c r="I755" i="148"/>
  <c r="R754" i="148"/>
  <c r="N754" i="148"/>
  <c r="M754" i="148"/>
  <c r="L754" i="148"/>
  <c r="K754" i="148"/>
  <c r="J754" i="148"/>
  <c r="I754" i="148"/>
  <c r="R753" i="148"/>
  <c r="S753" i="148"/>
  <c r="N753" i="148"/>
  <c r="M753" i="148"/>
  <c r="L753" i="148"/>
  <c r="K753" i="148"/>
  <c r="J753" i="148"/>
  <c r="I753" i="148"/>
  <c r="R752" i="148"/>
  <c r="N752" i="148"/>
  <c r="M752" i="148"/>
  <c r="L752" i="148"/>
  <c r="K752" i="148"/>
  <c r="J752" i="148"/>
  <c r="I752" i="148"/>
  <c r="R751" i="148"/>
  <c r="N751" i="148"/>
  <c r="M751" i="148"/>
  <c r="L751" i="148"/>
  <c r="K751" i="148"/>
  <c r="J751" i="148"/>
  <c r="I751" i="148"/>
  <c r="R750" i="148"/>
  <c r="N750" i="148"/>
  <c r="M750" i="148"/>
  <c r="L750" i="148"/>
  <c r="P750" i="148" s="1"/>
  <c r="K750" i="148"/>
  <c r="J750" i="148"/>
  <c r="I750" i="148"/>
  <c r="R749" i="148"/>
  <c r="N749" i="148"/>
  <c r="M749" i="148"/>
  <c r="L749" i="148"/>
  <c r="K749" i="148"/>
  <c r="J749" i="148"/>
  <c r="I749" i="148"/>
  <c r="R748" i="148"/>
  <c r="N748" i="148"/>
  <c r="M748" i="148"/>
  <c r="L748" i="148"/>
  <c r="K748" i="148"/>
  <c r="J748" i="148"/>
  <c r="I748" i="148"/>
  <c r="R747" i="148"/>
  <c r="N747" i="148"/>
  <c r="M747" i="148"/>
  <c r="L747" i="148"/>
  <c r="K747" i="148"/>
  <c r="J747" i="148"/>
  <c r="I747" i="148"/>
  <c r="R746" i="148"/>
  <c r="N746" i="148"/>
  <c r="M746" i="148"/>
  <c r="L746" i="148"/>
  <c r="O746" i="148" s="1"/>
  <c r="K746" i="148"/>
  <c r="J746" i="148"/>
  <c r="I746" i="148"/>
  <c r="R745" i="148"/>
  <c r="N745" i="148"/>
  <c r="M745" i="148"/>
  <c r="L745" i="148"/>
  <c r="K745" i="148"/>
  <c r="J745" i="148"/>
  <c r="I745" i="148"/>
  <c r="R744" i="148"/>
  <c r="N744" i="148"/>
  <c r="M744" i="148"/>
  <c r="L744" i="148"/>
  <c r="K744" i="148"/>
  <c r="J744" i="148"/>
  <c r="I744" i="148"/>
  <c r="R743" i="148"/>
  <c r="N743" i="148"/>
  <c r="M743" i="148"/>
  <c r="L743" i="148"/>
  <c r="K743" i="148"/>
  <c r="J743" i="148"/>
  <c r="I743" i="148"/>
  <c r="R742" i="148"/>
  <c r="N742" i="148"/>
  <c r="M742" i="148"/>
  <c r="L742" i="148"/>
  <c r="K742" i="148"/>
  <c r="J742" i="148"/>
  <c r="I742" i="148"/>
  <c r="R741" i="148"/>
  <c r="N741" i="148"/>
  <c r="M741" i="148"/>
  <c r="L741" i="148"/>
  <c r="P741" i="148" s="1"/>
  <c r="K741" i="148"/>
  <c r="J741" i="148"/>
  <c r="I741" i="148"/>
  <c r="R740" i="148"/>
  <c r="N740" i="148"/>
  <c r="M740" i="148"/>
  <c r="L740" i="148"/>
  <c r="K740" i="148"/>
  <c r="J740" i="148"/>
  <c r="I740" i="148"/>
  <c r="R739" i="148"/>
  <c r="N739" i="148"/>
  <c r="M739" i="148"/>
  <c r="L739" i="148"/>
  <c r="K739" i="148"/>
  <c r="J739" i="148"/>
  <c r="I739" i="148"/>
  <c r="R738" i="148"/>
  <c r="N738" i="148"/>
  <c r="M738" i="148"/>
  <c r="L738" i="148"/>
  <c r="K738" i="148"/>
  <c r="J738" i="148"/>
  <c r="I738" i="148"/>
  <c r="R737" i="148"/>
  <c r="N737" i="148"/>
  <c r="M737" i="148"/>
  <c r="L737" i="148"/>
  <c r="K737" i="148"/>
  <c r="J737" i="148"/>
  <c r="I737" i="148"/>
  <c r="R736" i="148"/>
  <c r="N736" i="148"/>
  <c r="M736" i="148"/>
  <c r="L736" i="148"/>
  <c r="K736" i="148"/>
  <c r="J736" i="148"/>
  <c r="I736" i="148"/>
  <c r="R735" i="148"/>
  <c r="N735" i="148"/>
  <c r="M735" i="148"/>
  <c r="L735" i="148"/>
  <c r="K735" i="148"/>
  <c r="J735" i="148"/>
  <c r="I735" i="148"/>
  <c r="R734" i="148"/>
  <c r="N734" i="148"/>
  <c r="M734" i="148"/>
  <c r="L734" i="148"/>
  <c r="K734" i="148"/>
  <c r="J734" i="148"/>
  <c r="I734" i="148"/>
  <c r="R733" i="148"/>
  <c r="N733" i="148"/>
  <c r="M733" i="148"/>
  <c r="L733" i="148"/>
  <c r="K733" i="148"/>
  <c r="J733" i="148"/>
  <c r="I733" i="148"/>
  <c r="R732" i="148"/>
  <c r="N732" i="148"/>
  <c r="M732" i="148"/>
  <c r="L732" i="148"/>
  <c r="K732" i="148"/>
  <c r="J732" i="148"/>
  <c r="I732" i="148"/>
  <c r="R731" i="148"/>
  <c r="N731" i="148"/>
  <c r="M731" i="148"/>
  <c r="L731" i="148"/>
  <c r="P731" i="148" s="1"/>
  <c r="K731" i="148"/>
  <c r="J731" i="148"/>
  <c r="I731" i="148"/>
  <c r="R730" i="148"/>
  <c r="N730" i="148"/>
  <c r="M730" i="148"/>
  <c r="L730" i="148"/>
  <c r="K730" i="148"/>
  <c r="J730" i="148"/>
  <c r="I730" i="148"/>
  <c r="R729" i="148"/>
  <c r="N729" i="148"/>
  <c r="M729" i="148"/>
  <c r="L729" i="148"/>
  <c r="K729" i="148"/>
  <c r="J729" i="148"/>
  <c r="I729" i="148"/>
  <c r="R728" i="148"/>
  <c r="N728" i="148"/>
  <c r="M728" i="148"/>
  <c r="L728" i="148"/>
  <c r="K728" i="148"/>
  <c r="J728" i="148"/>
  <c r="I728" i="148"/>
  <c r="R727" i="148"/>
  <c r="N727" i="148"/>
  <c r="M727" i="148"/>
  <c r="L727" i="148"/>
  <c r="K727" i="148"/>
  <c r="J727" i="148"/>
  <c r="I727" i="148"/>
  <c r="R726" i="148"/>
  <c r="N726" i="148"/>
  <c r="M726" i="148"/>
  <c r="L726" i="148"/>
  <c r="K726" i="148"/>
  <c r="J726" i="148"/>
  <c r="I726" i="148"/>
  <c r="R725" i="148"/>
  <c r="N725" i="148"/>
  <c r="M725" i="148"/>
  <c r="L725" i="148"/>
  <c r="K725" i="148"/>
  <c r="J725" i="148"/>
  <c r="I725" i="148"/>
  <c r="R724" i="148"/>
  <c r="N724" i="148"/>
  <c r="M724" i="148"/>
  <c r="L724" i="148"/>
  <c r="K724" i="148"/>
  <c r="J724" i="148"/>
  <c r="I724" i="148"/>
  <c r="R723" i="148"/>
  <c r="N723" i="148"/>
  <c r="M723" i="148"/>
  <c r="L723" i="148"/>
  <c r="K723" i="148"/>
  <c r="J723" i="148"/>
  <c r="I723" i="148"/>
  <c r="R722" i="148"/>
  <c r="N722" i="148"/>
  <c r="M722" i="148"/>
  <c r="L722" i="148"/>
  <c r="K722" i="148"/>
  <c r="J722" i="148"/>
  <c r="I722" i="148"/>
  <c r="R721" i="148"/>
  <c r="N721" i="148"/>
  <c r="M721" i="148"/>
  <c r="L721" i="148"/>
  <c r="K721" i="148"/>
  <c r="J721" i="148"/>
  <c r="I721" i="148"/>
  <c r="R720" i="148"/>
  <c r="N720" i="148"/>
  <c r="M720" i="148"/>
  <c r="L720" i="148"/>
  <c r="P720" i="148" s="1"/>
  <c r="K720" i="148"/>
  <c r="J720" i="148"/>
  <c r="I720" i="148"/>
  <c r="R719" i="148"/>
  <c r="N719" i="148"/>
  <c r="M719" i="148"/>
  <c r="L719" i="148"/>
  <c r="K719" i="148"/>
  <c r="J719" i="148"/>
  <c r="I719" i="148"/>
  <c r="R718" i="148"/>
  <c r="N718" i="148"/>
  <c r="M718" i="148"/>
  <c r="L718" i="148"/>
  <c r="K718" i="148"/>
  <c r="J718" i="148"/>
  <c r="I718" i="148"/>
  <c r="R717" i="148"/>
  <c r="N717" i="148"/>
  <c r="M717" i="148"/>
  <c r="L717" i="148"/>
  <c r="P717" i="148" s="1"/>
  <c r="K717" i="148"/>
  <c r="J717" i="148"/>
  <c r="I717" i="148"/>
  <c r="R716" i="148"/>
  <c r="N716" i="148"/>
  <c r="M716" i="148"/>
  <c r="L716" i="148"/>
  <c r="K716" i="148"/>
  <c r="J716" i="148"/>
  <c r="I716" i="148"/>
  <c r="R715" i="148"/>
  <c r="N715" i="148"/>
  <c r="M715" i="148"/>
  <c r="L715" i="148"/>
  <c r="K715" i="148"/>
  <c r="J715" i="148"/>
  <c r="I715" i="148"/>
  <c r="R714" i="148"/>
  <c r="N714" i="148"/>
  <c r="M714" i="148"/>
  <c r="L714" i="148"/>
  <c r="K714" i="148"/>
  <c r="J714" i="148"/>
  <c r="I714" i="148"/>
  <c r="R713" i="148"/>
  <c r="N713" i="148"/>
  <c r="M713" i="148"/>
  <c r="L713" i="148"/>
  <c r="K713" i="148"/>
  <c r="J713" i="148"/>
  <c r="I713" i="148"/>
  <c r="R712" i="148"/>
  <c r="N712" i="148"/>
  <c r="M712" i="148"/>
  <c r="L712" i="148"/>
  <c r="K712" i="148"/>
  <c r="J712" i="148"/>
  <c r="I712" i="148"/>
  <c r="R711" i="148"/>
  <c r="N711" i="148"/>
  <c r="M711" i="148"/>
  <c r="L711" i="148"/>
  <c r="K711" i="148"/>
  <c r="J711" i="148"/>
  <c r="I711" i="148"/>
  <c r="R710" i="148"/>
  <c r="N710" i="148"/>
  <c r="M710" i="148"/>
  <c r="L710" i="148"/>
  <c r="K710" i="148"/>
  <c r="J710" i="148"/>
  <c r="I710" i="148"/>
  <c r="R709" i="148"/>
  <c r="N709" i="148"/>
  <c r="M709" i="148"/>
  <c r="L709" i="148"/>
  <c r="K709" i="148"/>
  <c r="J709" i="148"/>
  <c r="I709" i="148"/>
  <c r="R708" i="148"/>
  <c r="N708" i="148"/>
  <c r="M708" i="148"/>
  <c r="L708" i="148"/>
  <c r="K708" i="148"/>
  <c r="J708" i="148"/>
  <c r="I708" i="148"/>
  <c r="R707" i="148"/>
  <c r="N707" i="148"/>
  <c r="M707" i="148"/>
  <c r="L707" i="148"/>
  <c r="K707" i="148"/>
  <c r="J707" i="148"/>
  <c r="I707" i="148"/>
  <c r="R706" i="148"/>
  <c r="N706" i="148"/>
  <c r="M706" i="148"/>
  <c r="L706" i="148"/>
  <c r="K706" i="148"/>
  <c r="J706" i="148"/>
  <c r="I706" i="148"/>
  <c r="R705" i="148"/>
  <c r="N705" i="148"/>
  <c r="M705" i="148"/>
  <c r="L705" i="148"/>
  <c r="K705" i="148"/>
  <c r="J705" i="148"/>
  <c r="I705" i="148"/>
  <c r="R704" i="148"/>
  <c r="N704" i="148"/>
  <c r="M704" i="148"/>
  <c r="L704" i="148"/>
  <c r="O704" i="148" s="1"/>
  <c r="K704" i="148"/>
  <c r="J704" i="148"/>
  <c r="I704" i="148"/>
  <c r="R703" i="148"/>
  <c r="N703" i="148"/>
  <c r="M703" i="148"/>
  <c r="L703" i="148"/>
  <c r="K703" i="148"/>
  <c r="J703" i="148"/>
  <c r="I703" i="148"/>
  <c r="R702" i="148"/>
  <c r="N702" i="148"/>
  <c r="M702" i="148"/>
  <c r="L702" i="148"/>
  <c r="P702" i="148" s="1"/>
  <c r="K702" i="148"/>
  <c r="J702" i="148"/>
  <c r="I702" i="148"/>
  <c r="R701" i="148"/>
  <c r="N701" i="148"/>
  <c r="M701" i="148"/>
  <c r="L701" i="148"/>
  <c r="K701" i="148"/>
  <c r="J701" i="148"/>
  <c r="I701" i="148"/>
  <c r="R700" i="148"/>
  <c r="N700" i="148"/>
  <c r="M700" i="148"/>
  <c r="L700" i="148"/>
  <c r="K700" i="148"/>
  <c r="J700" i="148"/>
  <c r="I700" i="148"/>
  <c r="R699" i="148"/>
  <c r="N699" i="148"/>
  <c r="M699" i="148"/>
  <c r="L699" i="148"/>
  <c r="K699" i="148"/>
  <c r="J699" i="148"/>
  <c r="I699" i="148"/>
  <c r="R698" i="148"/>
  <c r="N698" i="148"/>
  <c r="M698" i="148"/>
  <c r="L698" i="148"/>
  <c r="K698" i="148"/>
  <c r="J698" i="148"/>
  <c r="I698" i="148"/>
  <c r="R697" i="148"/>
  <c r="N697" i="148"/>
  <c r="M697" i="148"/>
  <c r="L697" i="148"/>
  <c r="K697" i="148"/>
  <c r="J697" i="148"/>
  <c r="I697" i="148"/>
  <c r="R696" i="148"/>
  <c r="N696" i="148"/>
  <c r="M696" i="148"/>
  <c r="L696" i="148"/>
  <c r="P696" i="148" s="1"/>
  <c r="K696" i="148"/>
  <c r="J696" i="148"/>
  <c r="I696" i="148"/>
  <c r="R695" i="148"/>
  <c r="N695" i="148"/>
  <c r="M695" i="148"/>
  <c r="L695" i="148"/>
  <c r="K695" i="148"/>
  <c r="J695" i="148"/>
  <c r="I695" i="148"/>
  <c r="R694" i="148"/>
  <c r="N694" i="148"/>
  <c r="M694" i="148"/>
  <c r="L694" i="148"/>
  <c r="K694" i="148"/>
  <c r="J694" i="148"/>
  <c r="I694" i="148"/>
  <c r="R693" i="148"/>
  <c r="N693" i="148"/>
  <c r="M693" i="148"/>
  <c r="L693" i="148"/>
  <c r="P693" i="148" s="1"/>
  <c r="K693" i="148"/>
  <c r="J693" i="148"/>
  <c r="I693" i="148"/>
  <c r="R692" i="148"/>
  <c r="N692" i="148"/>
  <c r="M692" i="148"/>
  <c r="L692" i="148"/>
  <c r="K692" i="148"/>
  <c r="J692" i="148"/>
  <c r="I692" i="148"/>
  <c r="R691" i="148"/>
  <c r="N691" i="148"/>
  <c r="M691" i="148"/>
  <c r="L691" i="148"/>
  <c r="K691" i="148"/>
  <c r="J691" i="148"/>
  <c r="I691" i="148"/>
  <c r="R690" i="148"/>
  <c r="N690" i="148"/>
  <c r="M690" i="148"/>
  <c r="L690" i="148"/>
  <c r="K690" i="148"/>
  <c r="J690" i="148"/>
  <c r="I690" i="148"/>
  <c r="R689" i="148"/>
  <c r="N689" i="148"/>
  <c r="M689" i="148"/>
  <c r="L689" i="148"/>
  <c r="K689" i="148"/>
  <c r="J689" i="148"/>
  <c r="I689" i="148"/>
  <c r="R688" i="148"/>
  <c r="N688" i="148"/>
  <c r="M688" i="148"/>
  <c r="L688" i="148"/>
  <c r="O688" i="148" s="1"/>
  <c r="K688" i="148"/>
  <c r="J688" i="148"/>
  <c r="I688" i="148"/>
  <c r="R687" i="148"/>
  <c r="N687" i="148"/>
  <c r="M687" i="148"/>
  <c r="L687" i="148"/>
  <c r="K687" i="148"/>
  <c r="J687" i="148"/>
  <c r="I687" i="148"/>
  <c r="R686" i="148"/>
  <c r="N686" i="148"/>
  <c r="M686" i="148"/>
  <c r="L686" i="148"/>
  <c r="P686" i="148" s="1"/>
  <c r="K686" i="148"/>
  <c r="J686" i="148"/>
  <c r="I686" i="148"/>
  <c r="R685" i="148"/>
  <c r="N685" i="148"/>
  <c r="M685" i="148"/>
  <c r="L685" i="148"/>
  <c r="K685" i="148"/>
  <c r="J685" i="148"/>
  <c r="I685" i="148"/>
  <c r="R684" i="148"/>
  <c r="N684" i="148"/>
  <c r="M684" i="148"/>
  <c r="L684" i="148"/>
  <c r="K684" i="148"/>
  <c r="J684" i="148"/>
  <c r="I684" i="148"/>
  <c r="R683" i="148"/>
  <c r="N683" i="148"/>
  <c r="M683" i="148"/>
  <c r="L683" i="148"/>
  <c r="K683" i="148"/>
  <c r="J683" i="148"/>
  <c r="I683" i="148"/>
  <c r="R682" i="148"/>
  <c r="N682" i="148"/>
  <c r="M682" i="148"/>
  <c r="L682" i="148"/>
  <c r="K682" i="148"/>
  <c r="J682" i="148"/>
  <c r="I682" i="148"/>
  <c r="R681" i="148"/>
  <c r="N681" i="148"/>
  <c r="M681" i="148"/>
  <c r="L681" i="148"/>
  <c r="K681" i="148"/>
  <c r="J681" i="148"/>
  <c r="I681" i="148"/>
  <c r="R680" i="148"/>
  <c r="N680" i="148"/>
  <c r="M680" i="148"/>
  <c r="L680" i="148"/>
  <c r="P680" i="148" s="1"/>
  <c r="K680" i="148"/>
  <c r="J680" i="148"/>
  <c r="I680" i="148"/>
  <c r="R679" i="148"/>
  <c r="N679" i="148"/>
  <c r="M679" i="148"/>
  <c r="L679" i="148"/>
  <c r="K679" i="148"/>
  <c r="J679" i="148"/>
  <c r="I679" i="148"/>
  <c r="R678" i="148"/>
  <c r="N678" i="148"/>
  <c r="M678" i="148"/>
  <c r="L678" i="148"/>
  <c r="P678" i="148" s="1"/>
  <c r="K678" i="148"/>
  <c r="J678" i="148"/>
  <c r="I678" i="148"/>
  <c r="R677" i="148"/>
  <c r="N677" i="148"/>
  <c r="M677" i="148"/>
  <c r="L677" i="148"/>
  <c r="P677" i="148" s="1"/>
  <c r="K677" i="148"/>
  <c r="J677" i="148"/>
  <c r="I677" i="148"/>
  <c r="R676" i="148"/>
  <c r="N676" i="148"/>
  <c r="M676" i="148"/>
  <c r="L676" i="148"/>
  <c r="K676" i="148"/>
  <c r="J676" i="148"/>
  <c r="I676" i="148"/>
  <c r="R675" i="148"/>
  <c r="N675" i="148"/>
  <c r="M675" i="148"/>
  <c r="L675" i="148"/>
  <c r="K675" i="148"/>
  <c r="J675" i="148"/>
  <c r="I675" i="148"/>
  <c r="R674" i="148"/>
  <c r="N674" i="148"/>
  <c r="M674" i="148"/>
  <c r="L674" i="148"/>
  <c r="K674" i="148"/>
  <c r="J674" i="148"/>
  <c r="I674" i="148"/>
  <c r="R673" i="148"/>
  <c r="N673" i="148"/>
  <c r="M673" i="148"/>
  <c r="L673" i="148"/>
  <c r="K673" i="148"/>
  <c r="J673" i="148"/>
  <c r="I673" i="148"/>
  <c r="R672" i="148"/>
  <c r="N672" i="148"/>
  <c r="M672" i="148"/>
  <c r="L672" i="148"/>
  <c r="K672" i="148"/>
  <c r="J672" i="148"/>
  <c r="I672" i="148"/>
  <c r="R671" i="148"/>
  <c r="N671" i="148"/>
  <c r="M671" i="148"/>
  <c r="L671" i="148"/>
  <c r="K671" i="148"/>
  <c r="J671" i="148"/>
  <c r="I671" i="148"/>
  <c r="R670" i="148"/>
  <c r="N670" i="148"/>
  <c r="M670" i="148"/>
  <c r="L670" i="148"/>
  <c r="P670" i="148" s="1"/>
  <c r="K670" i="148"/>
  <c r="J670" i="148"/>
  <c r="I670" i="148"/>
  <c r="R669" i="148"/>
  <c r="N669" i="148"/>
  <c r="M669" i="148"/>
  <c r="L669" i="148"/>
  <c r="K669" i="148"/>
  <c r="J669" i="148"/>
  <c r="I669" i="148"/>
  <c r="R668" i="148"/>
  <c r="N668" i="148"/>
  <c r="M668" i="148"/>
  <c r="L668" i="148"/>
  <c r="K668" i="148"/>
  <c r="J668" i="148"/>
  <c r="I668" i="148"/>
  <c r="R667" i="148"/>
  <c r="N667" i="148"/>
  <c r="M667" i="148"/>
  <c r="L667" i="148"/>
  <c r="K667" i="148"/>
  <c r="J667" i="148"/>
  <c r="I667" i="148"/>
  <c r="R666" i="148"/>
  <c r="N666" i="148"/>
  <c r="M666" i="148"/>
  <c r="L666" i="148"/>
  <c r="K666" i="148"/>
  <c r="J666" i="148"/>
  <c r="I666" i="148"/>
  <c r="R665" i="148"/>
  <c r="N665" i="148"/>
  <c r="M665" i="148"/>
  <c r="L665" i="148"/>
  <c r="K665" i="148"/>
  <c r="J665" i="148"/>
  <c r="I665" i="148"/>
  <c r="R664" i="148"/>
  <c r="N664" i="148"/>
  <c r="M664" i="148"/>
  <c r="L664" i="148"/>
  <c r="P664" i="148" s="1"/>
  <c r="K664" i="148"/>
  <c r="J664" i="148"/>
  <c r="I664" i="148"/>
  <c r="R663" i="148"/>
  <c r="N663" i="148"/>
  <c r="M663" i="148"/>
  <c r="L663" i="148"/>
  <c r="K663" i="148"/>
  <c r="J663" i="148"/>
  <c r="I663" i="148"/>
  <c r="R662" i="148"/>
  <c r="N662" i="148"/>
  <c r="M662" i="148"/>
  <c r="L662" i="148"/>
  <c r="P662" i="148" s="1"/>
  <c r="K662" i="148"/>
  <c r="J662" i="148"/>
  <c r="I662" i="148"/>
  <c r="R661" i="148"/>
  <c r="N661" i="148"/>
  <c r="M661" i="148"/>
  <c r="L661" i="148"/>
  <c r="P661" i="148" s="1"/>
  <c r="K661" i="148"/>
  <c r="J661" i="148"/>
  <c r="I661" i="148"/>
  <c r="R660" i="148"/>
  <c r="N660" i="148"/>
  <c r="M660" i="148"/>
  <c r="L660" i="148"/>
  <c r="K660" i="148"/>
  <c r="J660" i="148"/>
  <c r="I660" i="148"/>
  <c r="R659" i="148"/>
  <c r="N659" i="148"/>
  <c r="M659" i="148"/>
  <c r="L659" i="148"/>
  <c r="K659" i="148"/>
  <c r="J659" i="148"/>
  <c r="I659" i="148"/>
  <c r="R658" i="148"/>
  <c r="N658" i="148"/>
  <c r="M658" i="148"/>
  <c r="L658" i="148"/>
  <c r="K658" i="148"/>
  <c r="J658" i="148"/>
  <c r="I658" i="148"/>
  <c r="R657" i="148"/>
  <c r="N657" i="148"/>
  <c r="M657" i="148"/>
  <c r="L657" i="148"/>
  <c r="K657" i="148"/>
  <c r="J657" i="148"/>
  <c r="I657" i="148"/>
  <c r="R656" i="148"/>
  <c r="N656" i="148"/>
  <c r="M656" i="148"/>
  <c r="L656" i="148"/>
  <c r="P656" i="148" s="1"/>
  <c r="K656" i="148"/>
  <c r="J656" i="148"/>
  <c r="I656" i="148"/>
  <c r="R655" i="148"/>
  <c r="N655" i="148"/>
  <c r="M655" i="148"/>
  <c r="L655" i="148"/>
  <c r="K655" i="148"/>
  <c r="J655" i="148"/>
  <c r="I655" i="148"/>
  <c r="R654" i="148"/>
  <c r="N654" i="148"/>
  <c r="M654" i="148"/>
  <c r="L654" i="148"/>
  <c r="P654" i="148" s="1"/>
  <c r="K654" i="148"/>
  <c r="J654" i="148"/>
  <c r="I654" i="148"/>
  <c r="R653" i="148"/>
  <c r="N653" i="148"/>
  <c r="M653" i="148"/>
  <c r="L653" i="148"/>
  <c r="P653" i="148" s="1"/>
  <c r="K653" i="148"/>
  <c r="J653" i="148"/>
  <c r="I653" i="148"/>
  <c r="R652" i="148"/>
  <c r="N652" i="148"/>
  <c r="M652" i="148"/>
  <c r="L652" i="148"/>
  <c r="K652" i="148"/>
  <c r="J652" i="148"/>
  <c r="I652" i="148"/>
  <c r="R651" i="148"/>
  <c r="N651" i="148"/>
  <c r="M651" i="148"/>
  <c r="L651" i="148"/>
  <c r="K651" i="148"/>
  <c r="J651" i="148"/>
  <c r="I651" i="148"/>
  <c r="R650" i="148"/>
  <c r="N650" i="148"/>
  <c r="M650" i="148"/>
  <c r="L650" i="148"/>
  <c r="K650" i="148"/>
  <c r="J650" i="148"/>
  <c r="I650" i="148"/>
  <c r="R649" i="148"/>
  <c r="N649" i="148"/>
  <c r="M649" i="148"/>
  <c r="L649" i="148"/>
  <c r="K649" i="148"/>
  <c r="J649" i="148"/>
  <c r="I649" i="148"/>
  <c r="R648" i="148"/>
  <c r="N648" i="148"/>
  <c r="M648" i="148"/>
  <c r="L648" i="148"/>
  <c r="P648" i="148" s="1"/>
  <c r="K648" i="148"/>
  <c r="J648" i="148"/>
  <c r="I648" i="148"/>
  <c r="R647" i="148"/>
  <c r="N647" i="148"/>
  <c r="M647" i="148"/>
  <c r="L647" i="148"/>
  <c r="K647" i="148"/>
  <c r="J647" i="148"/>
  <c r="I647" i="148"/>
  <c r="R646" i="148"/>
  <c r="N646" i="148"/>
  <c r="M646" i="148"/>
  <c r="L646" i="148"/>
  <c r="K646" i="148"/>
  <c r="J646" i="148"/>
  <c r="I646" i="148"/>
  <c r="R645" i="148"/>
  <c r="N645" i="148"/>
  <c r="M645" i="148"/>
  <c r="L645" i="148"/>
  <c r="P645" i="148" s="1"/>
  <c r="K645" i="148"/>
  <c r="J645" i="148"/>
  <c r="I645" i="148"/>
  <c r="R644" i="148"/>
  <c r="N644" i="148"/>
  <c r="M644" i="148"/>
  <c r="L644" i="148"/>
  <c r="K644" i="148"/>
  <c r="J644" i="148"/>
  <c r="I644" i="148"/>
  <c r="R643" i="148"/>
  <c r="N643" i="148"/>
  <c r="M643" i="148"/>
  <c r="L643" i="148"/>
  <c r="K643" i="148"/>
  <c r="J643" i="148"/>
  <c r="I643" i="148"/>
  <c r="R642" i="148"/>
  <c r="N642" i="148"/>
  <c r="M642" i="148"/>
  <c r="L642" i="148"/>
  <c r="K642" i="148"/>
  <c r="J642" i="148"/>
  <c r="I642" i="148"/>
  <c r="R641" i="148"/>
  <c r="N641" i="148"/>
  <c r="M641" i="148"/>
  <c r="L641" i="148"/>
  <c r="K641" i="148"/>
  <c r="J641" i="148"/>
  <c r="I641" i="148"/>
  <c r="R640" i="148"/>
  <c r="N640" i="148"/>
  <c r="M640" i="148"/>
  <c r="L640" i="148"/>
  <c r="P640" i="148" s="1"/>
  <c r="K640" i="148"/>
  <c r="J640" i="148"/>
  <c r="I640" i="148"/>
  <c r="R639" i="148"/>
  <c r="N639" i="148"/>
  <c r="M639" i="148"/>
  <c r="L639" i="148"/>
  <c r="K639" i="148"/>
  <c r="J639" i="148"/>
  <c r="I639" i="148"/>
  <c r="R638" i="148"/>
  <c r="N638" i="148"/>
  <c r="M638" i="148"/>
  <c r="L638" i="148"/>
  <c r="K638" i="148"/>
  <c r="J638" i="148"/>
  <c r="I638" i="148"/>
  <c r="R637" i="148"/>
  <c r="N637" i="148"/>
  <c r="M637" i="148"/>
  <c r="L637" i="148"/>
  <c r="P637" i="148" s="1"/>
  <c r="K637" i="148"/>
  <c r="J637" i="148"/>
  <c r="I637" i="148"/>
  <c r="R636" i="148"/>
  <c r="N636" i="148"/>
  <c r="M636" i="148"/>
  <c r="L636" i="148"/>
  <c r="K636" i="148"/>
  <c r="J636" i="148"/>
  <c r="I636" i="148"/>
  <c r="R635" i="148"/>
  <c r="N635" i="148"/>
  <c r="M635" i="148"/>
  <c r="L635" i="148"/>
  <c r="K635" i="148"/>
  <c r="J635" i="148"/>
  <c r="I635" i="148"/>
  <c r="R634" i="148"/>
  <c r="N634" i="148"/>
  <c r="M634" i="148"/>
  <c r="L634" i="148"/>
  <c r="K634" i="148"/>
  <c r="J634" i="148"/>
  <c r="I634" i="148"/>
  <c r="R633" i="148"/>
  <c r="N633" i="148"/>
  <c r="M633" i="148"/>
  <c r="L633" i="148"/>
  <c r="K633" i="148"/>
  <c r="J633" i="148"/>
  <c r="I633" i="148"/>
  <c r="R632" i="148"/>
  <c r="N632" i="148"/>
  <c r="M632" i="148"/>
  <c r="L632" i="148"/>
  <c r="K632" i="148"/>
  <c r="J632" i="148"/>
  <c r="I632" i="148"/>
  <c r="R631" i="148"/>
  <c r="N631" i="148"/>
  <c r="M631" i="148"/>
  <c r="L631" i="148"/>
  <c r="K631" i="148"/>
  <c r="J631" i="148"/>
  <c r="I631" i="148"/>
  <c r="R630" i="148"/>
  <c r="N630" i="148"/>
  <c r="M630" i="148"/>
  <c r="L630" i="148"/>
  <c r="K630" i="148"/>
  <c r="J630" i="148"/>
  <c r="I630" i="148"/>
  <c r="R629" i="148"/>
  <c r="N629" i="148"/>
  <c r="M629" i="148"/>
  <c r="L629" i="148"/>
  <c r="K629" i="148"/>
  <c r="J629" i="148"/>
  <c r="I629" i="148"/>
  <c r="R628" i="148"/>
  <c r="N628" i="148"/>
  <c r="M628" i="148"/>
  <c r="L628" i="148"/>
  <c r="P628" i="148" s="1"/>
  <c r="K628" i="148"/>
  <c r="J628" i="148"/>
  <c r="I628" i="148"/>
  <c r="R627" i="148"/>
  <c r="N627" i="148"/>
  <c r="M627" i="148"/>
  <c r="L627" i="148"/>
  <c r="K627" i="148"/>
  <c r="J627" i="148"/>
  <c r="I627" i="148"/>
  <c r="R626" i="148"/>
  <c r="N626" i="148"/>
  <c r="M626" i="148"/>
  <c r="L626" i="148"/>
  <c r="K626" i="148"/>
  <c r="J626" i="148"/>
  <c r="I626" i="148"/>
  <c r="R625" i="148"/>
  <c r="N625" i="148"/>
  <c r="M625" i="148"/>
  <c r="L625" i="148"/>
  <c r="P625" i="148" s="1"/>
  <c r="K625" i="148"/>
  <c r="J625" i="148"/>
  <c r="I625" i="148"/>
  <c r="R624" i="148"/>
  <c r="N624" i="148"/>
  <c r="M624" i="148"/>
  <c r="L624" i="148"/>
  <c r="K624" i="148"/>
  <c r="J624" i="148"/>
  <c r="I624" i="148"/>
  <c r="R623" i="148"/>
  <c r="N623" i="148"/>
  <c r="M623" i="148"/>
  <c r="L623" i="148"/>
  <c r="K623" i="148"/>
  <c r="J623" i="148"/>
  <c r="I623" i="148"/>
  <c r="R622" i="148"/>
  <c r="N622" i="148"/>
  <c r="M622" i="148"/>
  <c r="L622" i="148"/>
  <c r="K622" i="148"/>
  <c r="J622" i="148"/>
  <c r="I622" i="148"/>
  <c r="R621" i="148"/>
  <c r="N621" i="148"/>
  <c r="M621" i="148"/>
  <c r="L621" i="148"/>
  <c r="K621" i="148"/>
  <c r="J621" i="148"/>
  <c r="I621" i="148"/>
  <c r="R620" i="148"/>
  <c r="N620" i="148"/>
  <c r="M620" i="148"/>
  <c r="L620" i="148"/>
  <c r="K620" i="148"/>
  <c r="J620" i="148"/>
  <c r="I620" i="148"/>
  <c r="R619" i="148"/>
  <c r="N619" i="148"/>
  <c r="M619" i="148"/>
  <c r="L619" i="148"/>
  <c r="O619" i="148" s="1"/>
  <c r="K619" i="148"/>
  <c r="J619" i="148"/>
  <c r="I619" i="148"/>
  <c r="R618" i="148"/>
  <c r="N618" i="148"/>
  <c r="M618" i="148"/>
  <c r="L618" i="148"/>
  <c r="K618" i="148"/>
  <c r="J618" i="148"/>
  <c r="I618" i="148"/>
  <c r="R617" i="148"/>
  <c r="N617" i="148"/>
  <c r="M617" i="148"/>
  <c r="L617" i="148"/>
  <c r="K617" i="148"/>
  <c r="J617" i="148"/>
  <c r="I617" i="148"/>
  <c r="R616" i="148"/>
  <c r="S616" i="148"/>
  <c r="N616" i="148"/>
  <c r="M616" i="148"/>
  <c r="L616" i="148"/>
  <c r="K616" i="148"/>
  <c r="J616" i="148"/>
  <c r="I616" i="148"/>
  <c r="R615" i="148"/>
  <c r="N615" i="148"/>
  <c r="M615" i="148"/>
  <c r="L615" i="148"/>
  <c r="K615" i="148"/>
  <c r="J615" i="148"/>
  <c r="I615" i="148"/>
  <c r="R614" i="148"/>
  <c r="N614" i="148"/>
  <c r="M614" i="148"/>
  <c r="L614" i="148"/>
  <c r="K614" i="148"/>
  <c r="J614" i="148"/>
  <c r="I614" i="148"/>
  <c r="R613" i="148"/>
  <c r="N613" i="148"/>
  <c r="M613" i="148"/>
  <c r="L613" i="148"/>
  <c r="K613" i="148"/>
  <c r="J613" i="148"/>
  <c r="I613" i="148"/>
  <c r="R612" i="148"/>
  <c r="N612" i="148"/>
  <c r="M612" i="148"/>
  <c r="L612" i="148"/>
  <c r="K612" i="148"/>
  <c r="J612" i="148"/>
  <c r="I612" i="148"/>
  <c r="R611" i="148"/>
  <c r="N611" i="148"/>
  <c r="M611" i="148"/>
  <c r="L611" i="148"/>
  <c r="K611" i="148"/>
  <c r="J611" i="148"/>
  <c r="I611" i="148"/>
  <c r="R610" i="148"/>
  <c r="N610" i="148"/>
  <c r="M610" i="148"/>
  <c r="L610" i="148"/>
  <c r="K610" i="148"/>
  <c r="J610" i="148"/>
  <c r="I610" i="148"/>
  <c r="R609" i="148"/>
  <c r="N609" i="148"/>
  <c r="M609" i="148"/>
  <c r="L609" i="148"/>
  <c r="K609" i="148"/>
  <c r="J609" i="148"/>
  <c r="I609" i="148"/>
  <c r="R608" i="148"/>
  <c r="N608" i="148"/>
  <c r="M608" i="148"/>
  <c r="L608" i="148"/>
  <c r="K608" i="148"/>
  <c r="J608" i="148"/>
  <c r="I608" i="148"/>
  <c r="R607" i="148"/>
  <c r="N607" i="148"/>
  <c r="M607" i="148"/>
  <c r="L607" i="148"/>
  <c r="K607" i="148"/>
  <c r="J607" i="148"/>
  <c r="I607" i="148"/>
  <c r="R606" i="148"/>
  <c r="N606" i="148"/>
  <c r="M606" i="148"/>
  <c r="L606" i="148"/>
  <c r="K606" i="148"/>
  <c r="J606" i="148"/>
  <c r="I606" i="148"/>
  <c r="R605" i="148"/>
  <c r="N605" i="148"/>
  <c r="M605" i="148"/>
  <c r="L605" i="148"/>
  <c r="K605" i="148"/>
  <c r="J605" i="148"/>
  <c r="I605" i="148"/>
  <c r="R604" i="148"/>
  <c r="N604" i="148"/>
  <c r="M604" i="148"/>
  <c r="L604" i="148"/>
  <c r="K604" i="148"/>
  <c r="J604" i="148"/>
  <c r="I604" i="148"/>
  <c r="R603" i="148"/>
  <c r="N603" i="148"/>
  <c r="M603" i="148"/>
  <c r="L603" i="148"/>
  <c r="K603" i="148"/>
  <c r="J603" i="148"/>
  <c r="I603" i="148"/>
  <c r="R602" i="148"/>
  <c r="N602" i="148"/>
  <c r="M602" i="148"/>
  <c r="L602" i="148"/>
  <c r="K602" i="148"/>
  <c r="J602" i="148"/>
  <c r="I602" i="148"/>
  <c r="R601" i="148"/>
  <c r="N601" i="148"/>
  <c r="M601" i="148"/>
  <c r="L601" i="148"/>
  <c r="K601" i="148"/>
  <c r="J601" i="148"/>
  <c r="I601" i="148"/>
  <c r="R600" i="148"/>
  <c r="N600" i="148"/>
  <c r="M600" i="148"/>
  <c r="L600" i="148"/>
  <c r="K600" i="148"/>
  <c r="J600" i="148"/>
  <c r="I600" i="148"/>
  <c r="R599" i="148"/>
  <c r="N599" i="148"/>
  <c r="M599" i="148"/>
  <c r="L599" i="148"/>
  <c r="K599" i="148"/>
  <c r="J599" i="148"/>
  <c r="I599" i="148"/>
  <c r="R598" i="148"/>
  <c r="N598" i="148"/>
  <c r="M598" i="148"/>
  <c r="L598" i="148"/>
  <c r="K598" i="148"/>
  <c r="J598" i="148"/>
  <c r="I598" i="148"/>
  <c r="R597" i="148"/>
  <c r="N597" i="148"/>
  <c r="M597" i="148"/>
  <c r="L597" i="148"/>
  <c r="K597" i="148"/>
  <c r="J597" i="148"/>
  <c r="I597" i="148"/>
  <c r="R596" i="148"/>
  <c r="N596" i="148"/>
  <c r="M596" i="148"/>
  <c r="L596" i="148"/>
  <c r="K596" i="148"/>
  <c r="J596" i="148"/>
  <c r="I596" i="148"/>
  <c r="R595" i="148"/>
  <c r="N595" i="148"/>
  <c r="M595" i="148"/>
  <c r="L595" i="148"/>
  <c r="K595" i="148"/>
  <c r="J595" i="148"/>
  <c r="I595" i="148"/>
  <c r="R594" i="148"/>
  <c r="N594" i="148"/>
  <c r="M594" i="148"/>
  <c r="L594" i="148"/>
  <c r="K594" i="148"/>
  <c r="J594" i="148"/>
  <c r="I594" i="148"/>
  <c r="R593" i="148"/>
  <c r="N593" i="148"/>
  <c r="M593" i="148"/>
  <c r="L593" i="148"/>
  <c r="K593" i="148"/>
  <c r="J593" i="148"/>
  <c r="I593" i="148"/>
  <c r="R592" i="148"/>
  <c r="N592" i="148"/>
  <c r="M592" i="148"/>
  <c r="L592" i="148"/>
  <c r="K592" i="148"/>
  <c r="J592" i="148"/>
  <c r="I592" i="148"/>
  <c r="R591" i="148"/>
  <c r="N591" i="148"/>
  <c r="M591" i="148"/>
  <c r="L591" i="148"/>
  <c r="K591" i="148"/>
  <c r="J591" i="148"/>
  <c r="I591" i="148"/>
  <c r="R590" i="148"/>
  <c r="N590" i="148"/>
  <c r="M590" i="148"/>
  <c r="L590" i="148"/>
  <c r="K590" i="148"/>
  <c r="J590" i="148"/>
  <c r="I590" i="148"/>
  <c r="R589" i="148"/>
  <c r="N589" i="148"/>
  <c r="M589" i="148"/>
  <c r="L589" i="148"/>
  <c r="K589" i="148"/>
  <c r="J589" i="148"/>
  <c r="I589" i="148"/>
  <c r="R588" i="148"/>
  <c r="N588" i="148"/>
  <c r="M588" i="148"/>
  <c r="L588" i="148"/>
  <c r="K588" i="148"/>
  <c r="J588" i="148"/>
  <c r="I588" i="148"/>
  <c r="R587" i="148"/>
  <c r="N587" i="148"/>
  <c r="M587" i="148"/>
  <c r="L587" i="148"/>
  <c r="K587" i="148"/>
  <c r="J587" i="148"/>
  <c r="I587" i="148"/>
  <c r="R586" i="148"/>
  <c r="N586" i="148"/>
  <c r="M586" i="148"/>
  <c r="L586" i="148"/>
  <c r="P586" i="148" s="1"/>
  <c r="K586" i="148"/>
  <c r="J586" i="148"/>
  <c r="I586" i="148"/>
  <c r="R585" i="148"/>
  <c r="N585" i="148"/>
  <c r="M585" i="148"/>
  <c r="L585" i="148"/>
  <c r="K585" i="148"/>
  <c r="J585" i="148"/>
  <c r="I585" i="148"/>
  <c r="R584" i="148"/>
  <c r="N584" i="148"/>
  <c r="M584" i="148"/>
  <c r="L584" i="148"/>
  <c r="K584" i="148"/>
  <c r="J584" i="148"/>
  <c r="I584" i="148"/>
  <c r="R583" i="148"/>
  <c r="N583" i="148"/>
  <c r="M583" i="148"/>
  <c r="L583" i="148"/>
  <c r="K583" i="148"/>
  <c r="J583" i="148"/>
  <c r="I583" i="148"/>
  <c r="R582" i="148"/>
  <c r="N582" i="148"/>
  <c r="M582" i="148"/>
  <c r="L582" i="148"/>
  <c r="K582" i="148"/>
  <c r="J582" i="148"/>
  <c r="I582" i="148"/>
  <c r="R581" i="148"/>
  <c r="N581" i="148"/>
  <c r="M581" i="148"/>
  <c r="L581" i="148"/>
  <c r="K581" i="148"/>
  <c r="J581" i="148"/>
  <c r="I581" i="148"/>
  <c r="R580" i="148"/>
  <c r="N580" i="148"/>
  <c r="M580" i="148"/>
  <c r="L580" i="148"/>
  <c r="K580" i="148"/>
  <c r="J580" i="148"/>
  <c r="I580" i="148"/>
  <c r="R579" i="148"/>
  <c r="N579" i="148"/>
  <c r="M579" i="148"/>
  <c r="L579" i="148"/>
  <c r="K579" i="148"/>
  <c r="J579" i="148"/>
  <c r="I579" i="148"/>
  <c r="R578" i="148"/>
  <c r="N578" i="148"/>
  <c r="M578" i="148"/>
  <c r="L578" i="148"/>
  <c r="P578" i="148" s="1"/>
  <c r="K578" i="148"/>
  <c r="J578" i="148"/>
  <c r="I578" i="148"/>
  <c r="R577" i="148"/>
  <c r="N577" i="148"/>
  <c r="M577" i="148"/>
  <c r="L577" i="148"/>
  <c r="K577" i="148"/>
  <c r="J577" i="148"/>
  <c r="I577" i="148"/>
  <c r="R576" i="148"/>
  <c r="N576" i="148"/>
  <c r="M576" i="148"/>
  <c r="L576" i="148"/>
  <c r="K576" i="148"/>
  <c r="J576" i="148"/>
  <c r="I576" i="148"/>
  <c r="R575" i="148"/>
  <c r="N575" i="148"/>
  <c r="M575" i="148"/>
  <c r="L575" i="148"/>
  <c r="K575" i="148"/>
  <c r="J575" i="148"/>
  <c r="I575" i="148"/>
  <c r="R574" i="148"/>
  <c r="N574" i="148"/>
  <c r="M574" i="148"/>
  <c r="L574" i="148"/>
  <c r="K574" i="148"/>
  <c r="J574" i="148"/>
  <c r="I574" i="148"/>
  <c r="R573" i="148"/>
  <c r="N573" i="148"/>
  <c r="M573" i="148"/>
  <c r="L573" i="148"/>
  <c r="K573" i="148"/>
  <c r="J573" i="148"/>
  <c r="I573" i="148"/>
  <c r="R572" i="148"/>
  <c r="N572" i="148"/>
  <c r="M572" i="148"/>
  <c r="L572" i="148"/>
  <c r="K572" i="148"/>
  <c r="J572" i="148"/>
  <c r="I572" i="148"/>
  <c r="R571" i="148"/>
  <c r="N571" i="148"/>
  <c r="M571" i="148"/>
  <c r="L571" i="148"/>
  <c r="K571" i="148"/>
  <c r="J571" i="148"/>
  <c r="I571" i="148"/>
  <c r="R570" i="148"/>
  <c r="N570" i="148"/>
  <c r="M570" i="148"/>
  <c r="L570" i="148"/>
  <c r="P570" i="148" s="1"/>
  <c r="K570" i="148"/>
  <c r="J570" i="148"/>
  <c r="I570" i="148"/>
  <c r="R569" i="148"/>
  <c r="N569" i="148"/>
  <c r="M569" i="148"/>
  <c r="L569" i="148"/>
  <c r="K569" i="148"/>
  <c r="J569" i="148"/>
  <c r="I569" i="148"/>
  <c r="R568" i="148"/>
  <c r="N568" i="148"/>
  <c r="M568" i="148"/>
  <c r="L568" i="148"/>
  <c r="K568" i="148"/>
  <c r="J568" i="148"/>
  <c r="I568" i="148"/>
  <c r="R567" i="148"/>
  <c r="N567" i="148"/>
  <c r="M567" i="148"/>
  <c r="L567" i="148"/>
  <c r="K567" i="148"/>
  <c r="J567" i="148"/>
  <c r="I567" i="148"/>
  <c r="R566" i="148"/>
  <c r="N566" i="148"/>
  <c r="M566" i="148"/>
  <c r="L566" i="148"/>
  <c r="K566" i="148"/>
  <c r="J566" i="148"/>
  <c r="I566" i="148"/>
  <c r="R565" i="148"/>
  <c r="N565" i="148"/>
  <c r="M565" i="148"/>
  <c r="L565" i="148"/>
  <c r="K565" i="148"/>
  <c r="J565" i="148"/>
  <c r="I565" i="148"/>
  <c r="R564" i="148"/>
  <c r="N564" i="148"/>
  <c r="M564" i="148"/>
  <c r="L564" i="148"/>
  <c r="K564" i="148"/>
  <c r="J564" i="148"/>
  <c r="I564" i="148"/>
  <c r="R563" i="148"/>
  <c r="N563" i="148"/>
  <c r="M563" i="148"/>
  <c r="L563" i="148"/>
  <c r="K563" i="148"/>
  <c r="J563" i="148"/>
  <c r="I563" i="148"/>
  <c r="R562" i="148"/>
  <c r="N562" i="148"/>
  <c r="M562" i="148"/>
  <c r="L562" i="148"/>
  <c r="K562" i="148"/>
  <c r="J562" i="148"/>
  <c r="I562" i="148"/>
  <c r="R561" i="148"/>
  <c r="N561" i="148"/>
  <c r="M561" i="148"/>
  <c r="L561" i="148"/>
  <c r="P561" i="148" s="1"/>
  <c r="K561" i="148"/>
  <c r="J561" i="148"/>
  <c r="I561" i="148"/>
  <c r="R560" i="148"/>
  <c r="N560" i="148"/>
  <c r="M560" i="148"/>
  <c r="L560" i="148"/>
  <c r="K560" i="148"/>
  <c r="J560" i="148"/>
  <c r="I560" i="148"/>
  <c r="R559" i="148"/>
  <c r="N559" i="148"/>
  <c r="M559" i="148"/>
  <c r="L559" i="148"/>
  <c r="K559" i="148"/>
  <c r="J559" i="148"/>
  <c r="I559" i="148"/>
  <c r="R558" i="148"/>
  <c r="N558" i="148"/>
  <c r="M558" i="148"/>
  <c r="L558" i="148"/>
  <c r="K558" i="148"/>
  <c r="J558" i="148"/>
  <c r="I558" i="148"/>
  <c r="R557" i="148"/>
  <c r="N557" i="148"/>
  <c r="M557" i="148"/>
  <c r="L557" i="148"/>
  <c r="K557" i="148"/>
  <c r="J557" i="148"/>
  <c r="I557" i="148"/>
  <c r="R556" i="148"/>
  <c r="N556" i="148"/>
  <c r="M556" i="148"/>
  <c r="L556" i="148"/>
  <c r="K556" i="148"/>
  <c r="J556" i="148"/>
  <c r="I556" i="148"/>
  <c r="R555" i="148"/>
  <c r="N555" i="148"/>
  <c r="M555" i="148"/>
  <c r="L555" i="148"/>
  <c r="K555" i="148"/>
  <c r="J555" i="148"/>
  <c r="I555" i="148"/>
  <c r="R554" i="148"/>
  <c r="N554" i="148"/>
  <c r="M554" i="148"/>
  <c r="L554" i="148"/>
  <c r="P554" i="148" s="1"/>
  <c r="K554" i="148"/>
  <c r="J554" i="148"/>
  <c r="I554" i="148"/>
  <c r="R553" i="148"/>
  <c r="N553" i="148"/>
  <c r="M553" i="148"/>
  <c r="L553" i="148"/>
  <c r="K553" i="148"/>
  <c r="J553" i="148"/>
  <c r="I553" i="148"/>
  <c r="R552" i="148"/>
  <c r="N552" i="148"/>
  <c r="M552" i="148"/>
  <c r="L552" i="148"/>
  <c r="K552" i="148"/>
  <c r="J552" i="148"/>
  <c r="I552" i="148"/>
  <c r="R551" i="148"/>
  <c r="N551" i="148"/>
  <c r="M551" i="148"/>
  <c r="L551" i="148"/>
  <c r="K551" i="148"/>
  <c r="J551" i="148"/>
  <c r="I551" i="148"/>
  <c r="R550" i="148"/>
  <c r="N550" i="148"/>
  <c r="M550" i="148"/>
  <c r="L550" i="148"/>
  <c r="K550" i="148"/>
  <c r="J550" i="148"/>
  <c r="I550" i="148"/>
  <c r="R549" i="148"/>
  <c r="N549" i="148"/>
  <c r="M549" i="148"/>
  <c r="L549" i="148"/>
  <c r="K549" i="148"/>
  <c r="J549" i="148"/>
  <c r="I549" i="148"/>
  <c r="R548" i="148"/>
  <c r="N548" i="148"/>
  <c r="M548" i="148"/>
  <c r="L548" i="148"/>
  <c r="K548" i="148"/>
  <c r="J548" i="148"/>
  <c r="I548" i="148"/>
  <c r="R547" i="148"/>
  <c r="N547" i="148"/>
  <c r="M547" i="148"/>
  <c r="L547" i="148"/>
  <c r="K547" i="148"/>
  <c r="J547" i="148"/>
  <c r="I547" i="148"/>
  <c r="R546" i="148"/>
  <c r="N546" i="148"/>
  <c r="M546" i="148"/>
  <c r="L546" i="148"/>
  <c r="K546" i="148"/>
  <c r="J546" i="148"/>
  <c r="I546" i="148"/>
  <c r="R545" i="148"/>
  <c r="N545" i="148"/>
  <c r="M545" i="148"/>
  <c r="L545" i="148"/>
  <c r="K545" i="148"/>
  <c r="J545" i="148"/>
  <c r="I545" i="148"/>
  <c r="R544" i="148"/>
  <c r="N544" i="148"/>
  <c r="M544" i="148"/>
  <c r="L544" i="148"/>
  <c r="K544" i="148"/>
  <c r="J544" i="148"/>
  <c r="I544" i="148"/>
  <c r="R543" i="148"/>
  <c r="N543" i="148"/>
  <c r="M543" i="148"/>
  <c r="L543" i="148"/>
  <c r="K543" i="148"/>
  <c r="J543" i="148"/>
  <c r="I543" i="148"/>
  <c r="R542" i="148"/>
  <c r="N542" i="148"/>
  <c r="M542" i="148"/>
  <c r="L542" i="148"/>
  <c r="K542" i="148"/>
  <c r="J542" i="148"/>
  <c r="I542" i="148"/>
  <c r="R541" i="148"/>
  <c r="N541" i="148"/>
  <c r="M541" i="148"/>
  <c r="L541" i="148"/>
  <c r="K541" i="148"/>
  <c r="J541" i="148"/>
  <c r="I541" i="148"/>
  <c r="R540" i="148"/>
  <c r="N540" i="148"/>
  <c r="M540" i="148"/>
  <c r="L540" i="148"/>
  <c r="K540" i="148"/>
  <c r="J540" i="148"/>
  <c r="I540" i="148"/>
  <c r="R539" i="148"/>
  <c r="N539" i="148"/>
  <c r="M539" i="148"/>
  <c r="L539" i="148"/>
  <c r="K539" i="148"/>
  <c r="J539" i="148"/>
  <c r="I539" i="148"/>
  <c r="R538" i="148"/>
  <c r="N538" i="148"/>
  <c r="M538" i="148"/>
  <c r="L538" i="148"/>
  <c r="K538" i="148"/>
  <c r="J538" i="148"/>
  <c r="I538" i="148"/>
  <c r="R537" i="148"/>
  <c r="N537" i="148"/>
  <c r="M537" i="148"/>
  <c r="L537" i="148"/>
  <c r="P537" i="148" s="1"/>
  <c r="K537" i="148"/>
  <c r="J537" i="148"/>
  <c r="I537" i="148"/>
  <c r="R536" i="148"/>
  <c r="N536" i="148"/>
  <c r="M536" i="148"/>
  <c r="L536" i="148"/>
  <c r="K536" i="148"/>
  <c r="J536" i="148"/>
  <c r="I536" i="148"/>
  <c r="R535" i="148"/>
  <c r="N535" i="148"/>
  <c r="M535" i="148"/>
  <c r="L535" i="148"/>
  <c r="K535" i="148"/>
  <c r="J535" i="148"/>
  <c r="I535" i="148"/>
  <c r="R534" i="148"/>
  <c r="N534" i="148"/>
  <c r="M534" i="148"/>
  <c r="L534" i="148"/>
  <c r="K534" i="148"/>
  <c r="J534" i="148"/>
  <c r="I534" i="148"/>
  <c r="R533" i="148"/>
  <c r="N533" i="148"/>
  <c r="M533" i="148"/>
  <c r="L533" i="148"/>
  <c r="K533" i="148"/>
  <c r="J533" i="148"/>
  <c r="I533" i="148"/>
  <c r="R532" i="148"/>
  <c r="N532" i="148"/>
  <c r="M532" i="148"/>
  <c r="L532" i="148"/>
  <c r="K532" i="148"/>
  <c r="J532" i="148"/>
  <c r="I532" i="148"/>
  <c r="R531" i="148"/>
  <c r="N531" i="148"/>
  <c r="M531" i="148"/>
  <c r="L531" i="148"/>
  <c r="K531" i="148"/>
  <c r="J531" i="148"/>
  <c r="I531" i="148"/>
  <c r="R530" i="148"/>
  <c r="N530" i="148"/>
  <c r="M530" i="148"/>
  <c r="L530" i="148"/>
  <c r="P530" i="148" s="1"/>
  <c r="K530" i="148"/>
  <c r="J530" i="148"/>
  <c r="I530" i="148"/>
  <c r="R529" i="148"/>
  <c r="N529" i="148"/>
  <c r="M529" i="148"/>
  <c r="L529" i="148"/>
  <c r="K529" i="148"/>
  <c r="J529" i="148"/>
  <c r="I529" i="148"/>
  <c r="R528" i="148"/>
  <c r="S528" i="148"/>
  <c r="N528" i="148"/>
  <c r="M528" i="148"/>
  <c r="L528" i="148"/>
  <c r="K528" i="148"/>
  <c r="J528" i="148"/>
  <c r="I528" i="148"/>
  <c r="R527" i="148"/>
  <c r="N527" i="148"/>
  <c r="M527" i="148"/>
  <c r="L527" i="148"/>
  <c r="K527" i="148"/>
  <c r="J527" i="148"/>
  <c r="I527" i="148"/>
  <c r="R526" i="148"/>
  <c r="N526" i="148"/>
  <c r="M526" i="148"/>
  <c r="L526" i="148"/>
  <c r="K526" i="148"/>
  <c r="J526" i="148"/>
  <c r="I526" i="148"/>
  <c r="R525" i="148"/>
  <c r="N525" i="148"/>
  <c r="M525" i="148"/>
  <c r="L525" i="148"/>
  <c r="K525" i="148"/>
  <c r="J525" i="148"/>
  <c r="I525" i="148"/>
  <c r="R524" i="148"/>
  <c r="N524" i="148"/>
  <c r="M524" i="148"/>
  <c r="L524" i="148"/>
  <c r="O524" i="148" s="1"/>
  <c r="K524" i="148"/>
  <c r="J524" i="148"/>
  <c r="I524" i="148"/>
  <c r="R523" i="148"/>
  <c r="N523" i="148"/>
  <c r="M523" i="148"/>
  <c r="L523" i="148"/>
  <c r="K523" i="148"/>
  <c r="J523" i="148"/>
  <c r="I523" i="148"/>
  <c r="R522" i="148"/>
  <c r="N522" i="148"/>
  <c r="M522" i="148"/>
  <c r="L522" i="148"/>
  <c r="K522" i="148"/>
  <c r="J522" i="148"/>
  <c r="I522" i="148"/>
  <c r="R521" i="148"/>
  <c r="N521" i="148"/>
  <c r="M521" i="148"/>
  <c r="L521" i="148"/>
  <c r="K521" i="148"/>
  <c r="J521" i="148"/>
  <c r="I521" i="148"/>
  <c r="R520" i="148"/>
  <c r="N520" i="148"/>
  <c r="M520" i="148"/>
  <c r="L520" i="148"/>
  <c r="K520" i="148"/>
  <c r="J520" i="148"/>
  <c r="I520" i="148"/>
  <c r="R519" i="148"/>
  <c r="N519" i="148"/>
  <c r="M519" i="148"/>
  <c r="L519" i="148"/>
  <c r="K519" i="148"/>
  <c r="J519" i="148"/>
  <c r="I519" i="148"/>
  <c r="R518" i="148"/>
  <c r="N518" i="148"/>
  <c r="M518" i="148"/>
  <c r="L518" i="148"/>
  <c r="K518" i="148"/>
  <c r="J518" i="148"/>
  <c r="I518" i="148"/>
  <c r="R517" i="148"/>
  <c r="N517" i="148"/>
  <c r="M517" i="148"/>
  <c r="L517" i="148"/>
  <c r="K517" i="148"/>
  <c r="J517" i="148"/>
  <c r="I517" i="148"/>
  <c r="R516" i="148"/>
  <c r="N516" i="148"/>
  <c r="M516" i="148"/>
  <c r="L516" i="148"/>
  <c r="K516" i="148"/>
  <c r="J516" i="148"/>
  <c r="I516" i="148"/>
  <c r="R515" i="148"/>
  <c r="N515" i="148"/>
  <c r="M515" i="148"/>
  <c r="L515" i="148"/>
  <c r="K515" i="148"/>
  <c r="J515" i="148"/>
  <c r="I515" i="148"/>
  <c r="R514" i="148"/>
  <c r="S514" i="148"/>
  <c r="N514" i="148"/>
  <c r="M514" i="148"/>
  <c r="L514" i="148"/>
  <c r="K514" i="148"/>
  <c r="J514" i="148"/>
  <c r="I514" i="148"/>
  <c r="R513" i="148"/>
  <c r="N513" i="148"/>
  <c r="M513" i="148"/>
  <c r="L513" i="148"/>
  <c r="K513" i="148"/>
  <c r="J513" i="148"/>
  <c r="I513" i="148"/>
  <c r="R512" i="148"/>
  <c r="S512" i="148"/>
  <c r="N512" i="148"/>
  <c r="M512" i="148"/>
  <c r="L512" i="148"/>
  <c r="K512" i="148"/>
  <c r="J512" i="148"/>
  <c r="I512" i="148"/>
  <c r="R511" i="148"/>
  <c r="N511" i="148"/>
  <c r="M511" i="148"/>
  <c r="L511" i="148"/>
  <c r="K511" i="148"/>
  <c r="J511" i="148"/>
  <c r="I511" i="148"/>
  <c r="R510" i="148"/>
  <c r="N510" i="148"/>
  <c r="M510" i="148"/>
  <c r="L510" i="148"/>
  <c r="K510" i="148"/>
  <c r="J510" i="148"/>
  <c r="I510" i="148"/>
  <c r="R509" i="148"/>
  <c r="S509" i="148"/>
  <c r="N509" i="148"/>
  <c r="M509" i="148"/>
  <c r="L509" i="148"/>
  <c r="K509" i="148"/>
  <c r="J509" i="148"/>
  <c r="I509" i="148"/>
  <c r="R508" i="148"/>
  <c r="N508" i="148"/>
  <c r="M508" i="148"/>
  <c r="L508" i="148"/>
  <c r="K508" i="148"/>
  <c r="J508" i="148"/>
  <c r="I508" i="148"/>
  <c r="R507" i="148"/>
  <c r="N507" i="148"/>
  <c r="M507" i="148"/>
  <c r="L507" i="148"/>
  <c r="K507" i="148"/>
  <c r="J507" i="148"/>
  <c r="I507" i="148"/>
  <c r="R506" i="148"/>
  <c r="S506" i="148"/>
  <c r="N506" i="148"/>
  <c r="M506" i="148"/>
  <c r="L506" i="148"/>
  <c r="K506" i="148"/>
  <c r="J506" i="148"/>
  <c r="I506" i="148"/>
  <c r="R505" i="148"/>
  <c r="S505" i="148"/>
  <c r="N505" i="148"/>
  <c r="M505" i="148"/>
  <c r="L505" i="148"/>
  <c r="K505" i="148"/>
  <c r="J505" i="148"/>
  <c r="I505" i="148"/>
  <c r="R504" i="148"/>
  <c r="N504" i="148"/>
  <c r="M504" i="148"/>
  <c r="L504" i="148"/>
  <c r="K504" i="148"/>
  <c r="J504" i="148"/>
  <c r="I504" i="148"/>
  <c r="R503" i="148"/>
  <c r="N503" i="148"/>
  <c r="M503" i="148"/>
  <c r="L503" i="148"/>
  <c r="K503" i="148"/>
  <c r="J503" i="148"/>
  <c r="I503" i="148"/>
  <c r="R502" i="148"/>
  <c r="N502" i="148"/>
  <c r="M502" i="148"/>
  <c r="L502" i="148"/>
  <c r="K502" i="148"/>
  <c r="J502" i="148"/>
  <c r="I502" i="148"/>
  <c r="R501" i="148"/>
  <c r="N501" i="148"/>
  <c r="M501" i="148"/>
  <c r="L501" i="148"/>
  <c r="K501" i="148"/>
  <c r="J501" i="148"/>
  <c r="I501" i="148"/>
  <c r="R500" i="148"/>
  <c r="S500" i="148"/>
  <c r="N500" i="148"/>
  <c r="M500" i="148"/>
  <c r="L500" i="148"/>
  <c r="K500" i="148"/>
  <c r="J500" i="148"/>
  <c r="I500" i="148"/>
  <c r="R499" i="148"/>
  <c r="N499" i="148"/>
  <c r="M499" i="148"/>
  <c r="L499" i="148"/>
  <c r="K499" i="148"/>
  <c r="J499" i="148"/>
  <c r="I499" i="148"/>
  <c r="R498" i="148"/>
  <c r="N498" i="148"/>
  <c r="M498" i="148"/>
  <c r="L498" i="148"/>
  <c r="K498" i="148"/>
  <c r="J498" i="148"/>
  <c r="I498" i="148"/>
  <c r="R497" i="148"/>
  <c r="N497" i="148"/>
  <c r="M497" i="148"/>
  <c r="L497" i="148"/>
  <c r="K497" i="148"/>
  <c r="J497" i="148"/>
  <c r="I497" i="148"/>
  <c r="R496" i="148"/>
  <c r="N496" i="148"/>
  <c r="M496" i="148"/>
  <c r="L496" i="148"/>
  <c r="K496" i="148"/>
  <c r="J496" i="148"/>
  <c r="I496" i="148"/>
  <c r="R495" i="148"/>
  <c r="N495" i="148"/>
  <c r="M495" i="148"/>
  <c r="L495" i="148"/>
  <c r="K495" i="148"/>
  <c r="J495" i="148"/>
  <c r="I495" i="148"/>
  <c r="R494" i="148"/>
  <c r="N494" i="148"/>
  <c r="M494" i="148"/>
  <c r="L494" i="148"/>
  <c r="K494" i="148"/>
  <c r="J494" i="148"/>
  <c r="I494" i="148"/>
  <c r="R493" i="148"/>
  <c r="N493" i="148"/>
  <c r="M493" i="148"/>
  <c r="L493" i="148"/>
  <c r="K493" i="148"/>
  <c r="J493" i="148"/>
  <c r="I493" i="148"/>
  <c r="R492" i="148"/>
  <c r="S492" i="148"/>
  <c r="N492" i="148"/>
  <c r="M492" i="148"/>
  <c r="L492" i="148"/>
  <c r="K492" i="148"/>
  <c r="J492" i="148"/>
  <c r="I492" i="148"/>
  <c r="R491" i="148"/>
  <c r="N491" i="148"/>
  <c r="M491" i="148"/>
  <c r="L491" i="148"/>
  <c r="K491" i="148"/>
  <c r="J491" i="148"/>
  <c r="I491" i="148"/>
  <c r="R490" i="148"/>
  <c r="N490" i="148"/>
  <c r="M490" i="148"/>
  <c r="L490" i="148"/>
  <c r="K490" i="148"/>
  <c r="J490" i="148"/>
  <c r="I490" i="148"/>
  <c r="R489" i="148"/>
  <c r="N489" i="148"/>
  <c r="M489" i="148"/>
  <c r="L489" i="148"/>
  <c r="K489" i="148"/>
  <c r="J489" i="148"/>
  <c r="I489" i="148"/>
  <c r="R488" i="148"/>
  <c r="S488" i="148"/>
  <c r="N488" i="148"/>
  <c r="M488" i="148"/>
  <c r="L488" i="148"/>
  <c r="K488" i="148"/>
  <c r="J488" i="148"/>
  <c r="I488" i="148"/>
  <c r="R487" i="148"/>
  <c r="N487" i="148"/>
  <c r="M487" i="148"/>
  <c r="L487" i="148"/>
  <c r="K487" i="148"/>
  <c r="J487" i="148"/>
  <c r="I487" i="148"/>
  <c r="R486" i="148"/>
  <c r="N486" i="148"/>
  <c r="M486" i="148"/>
  <c r="L486" i="148"/>
  <c r="K486" i="148"/>
  <c r="J486" i="148"/>
  <c r="I486" i="148"/>
  <c r="R485" i="148"/>
  <c r="N485" i="148"/>
  <c r="M485" i="148"/>
  <c r="L485" i="148"/>
  <c r="K485" i="148"/>
  <c r="J485" i="148"/>
  <c r="I485" i="148"/>
  <c r="R484" i="148"/>
  <c r="N484" i="148"/>
  <c r="M484" i="148"/>
  <c r="L484" i="148"/>
  <c r="K484" i="148"/>
  <c r="J484" i="148"/>
  <c r="I484" i="148"/>
  <c r="R483" i="148"/>
  <c r="N483" i="148"/>
  <c r="M483" i="148"/>
  <c r="L483" i="148"/>
  <c r="K483" i="148"/>
  <c r="J483" i="148"/>
  <c r="I483" i="148"/>
  <c r="R482" i="148"/>
  <c r="N482" i="148"/>
  <c r="M482" i="148"/>
  <c r="L482" i="148"/>
  <c r="K482" i="148"/>
  <c r="J482" i="148"/>
  <c r="I482" i="148"/>
  <c r="R481" i="148"/>
  <c r="N481" i="148"/>
  <c r="M481" i="148"/>
  <c r="L481" i="148"/>
  <c r="K481" i="148"/>
  <c r="J481" i="148"/>
  <c r="I481" i="148"/>
  <c r="R480" i="148"/>
  <c r="N480" i="148"/>
  <c r="M480" i="148"/>
  <c r="L480" i="148"/>
  <c r="K480" i="148"/>
  <c r="J480" i="148"/>
  <c r="I480" i="148"/>
  <c r="R479" i="148"/>
  <c r="N479" i="148"/>
  <c r="M479" i="148"/>
  <c r="L479" i="148"/>
  <c r="K479" i="148"/>
  <c r="J479" i="148"/>
  <c r="I479" i="148"/>
  <c r="R478" i="148"/>
  <c r="N478" i="148"/>
  <c r="M478" i="148"/>
  <c r="L478" i="148"/>
  <c r="K478" i="148"/>
  <c r="J478" i="148"/>
  <c r="I478" i="148"/>
  <c r="R477" i="148"/>
  <c r="N477" i="148"/>
  <c r="M477" i="148"/>
  <c r="L477" i="148"/>
  <c r="K477" i="148"/>
  <c r="J477" i="148"/>
  <c r="I477" i="148"/>
  <c r="R476" i="148"/>
  <c r="N476" i="148"/>
  <c r="M476" i="148"/>
  <c r="L476" i="148"/>
  <c r="K476" i="148"/>
  <c r="J476" i="148"/>
  <c r="I476" i="148"/>
  <c r="R475" i="148"/>
  <c r="N475" i="148"/>
  <c r="M475" i="148"/>
  <c r="L475" i="148"/>
  <c r="K475" i="148"/>
  <c r="J475" i="148"/>
  <c r="I475" i="148"/>
  <c r="R474" i="148"/>
  <c r="N474" i="148"/>
  <c r="M474" i="148"/>
  <c r="L474" i="148"/>
  <c r="K474" i="148"/>
  <c r="J474" i="148"/>
  <c r="I474" i="148"/>
  <c r="R473" i="148"/>
  <c r="N473" i="148"/>
  <c r="M473" i="148"/>
  <c r="L473" i="148"/>
  <c r="K473" i="148"/>
  <c r="J473" i="148"/>
  <c r="I473" i="148"/>
  <c r="R472" i="148"/>
  <c r="N472" i="148"/>
  <c r="M472" i="148"/>
  <c r="L472" i="148"/>
  <c r="K472" i="148"/>
  <c r="J472" i="148"/>
  <c r="I472" i="148"/>
  <c r="R471" i="148"/>
  <c r="N471" i="148"/>
  <c r="M471" i="148"/>
  <c r="L471" i="148"/>
  <c r="K471" i="148"/>
  <c r="J471" i="148"/>
  <c r="I471" i="148"/>
  <c r="R470" i="148"/>
  <c r="N470" i="148"/>
  <c r="M470" i="148"/>
  <c r="L470" i="148"/>
  <c r="K470" i="148"/>
  <c r="J470" i="148"/>
  <c r="I470" i="148"/>
  <c r="R469" i="148"/>
  <c r="N469" i="148"/>
  <c r="M469" i="148"/>
  <c r="L469" i="148"/>
  <c r="K469" i="148"/>
  <c r="J469" i="148"/>
  <c r="I469" i="148"/>
  <c r="R468" i="148"/>
  <c r="N468" i="148"/>
  <c r="M468" i="148"/>
  <c r="L468" i="148"/>
  <c r="K468" i="148"/>
  <c r="J468" i="148"/>
  <c r="I468" i="148"/>
  <c r="R467" i="148"/>
  <c r="N467" i="148"/>
  <c r="M467" i="148"/>
  <c r="L467" i="148"/>
  <c r="K467" i="148"/>
  <c r="J467" i="148"/>
  <c r="I467" i="148"/>
  <c r="R466" i="148"/>
  <c r="N466" i="148"/>
  <c r="M466" i="148"/>
  <c r="L466" i="148"/>
  <c r="K466" i="148"/>
  <c r="J466" i="148"/>
  <c r="I466" i="148"/>
  <c r="R465" i="148"/>
  <c r="N465" i="148"/>
  <c r="M465" i="148"/>
  <c r="L465" i="148"/>
  <c r="K465" i="148"/>
  <c r="J465" i="148"/>
  <c r="I465" i="148"/>
  <c r="R464" i="148"/>
  <c r="S464" i="148"/>
  <c r="N464" i="148"/>
  <c r="M464" i="148"/>
  <c r="L464" i="148"/>
  <c r="K464" i="148"/>
  <c r="J464" i="148"/>
  <c r="I464" i="148"/>
  <c r="R463" i="148"/>
  <c r="N463" i="148"/>
  <c r="M463" i="148"/>
  <c r="L463" i="148"/>
  <c r="K463" i="148"/>
  <c r="J463" i="148"/>
  <c r="I463" i="148"/>
  <c r="R462" i="148"/>
  <c r="N462" i="148"/>
  <c r="M462" i="148"/>
  <c r="L462" i="148"/>
  <c r="K462" i="148"/>
  <c r="J462" i="148"/>
  <c r="I462" i="148"/>
  <c r="R461" i="148"/>
  <c r="N461" i="148"/>
  <c r="M461" i="148"/>
  <c r="L461" i="148"/>
  <c r="K461" i="148"/>
  <c r="J461" i="148"/>
  <c r="I461" i="148"/>
  <c r="R460" i="148"/>
  <c r="N460" i="148"/>
  <c r="M460" i="148"/>
  <c r="L460" i="148"/>
  <c r="K460" i="148"/>
  <c r="J460" i="148"/>
  <c r="I460" i="148"/>
  <c r="R459" i="148"/>
  <c r="N459" i="148"/>
  <c r="M459" i="148"/>
  <c r="L459" i="148"/>
  <c r="K459" i="148"/>
  <c r="J459" i="148"/>
  <c r="I459" i="148"/>
  <c r="R458" i="148"/>
  <c r="N458" i="148"/>
  <c r="M458" i="148"/>
  <c r="L458" i="148"/>
  <c r="K458" i="148"/>
  <c r="J458" i="148"/>
  <c r="I458" i="148"/>
  <c r="R457" i="148"/>
  <c r="N457" i="148"/>
  <c r="M457" i="148"/>
  <c r="L457" i="148"/>
  <c r="K457" i="148"/>
  <c r="J457" i="148"/>
  <c r="I457" i="148"/>
  <c r="R456" i="148"/>
  <c r="N456" i="148"/>
  <c r="M456" i="148"/>
  <c r="L456" i="148"/>
  <c r="K456" i="148"/>
  <c r="J456" i="148"/>
  <c r="I456" i="148"/>
  <c r="R455" i="148"/>
  <c r="N455" i="148"/>
  <c r="M455" i="148"/>
  <c r="L455" i="148"/>
  <c r="K455" i="148"/>
  <c r="J455" i="148"/>
  <c r="I455" i="148"/>
  <c r="R454" i="148"/>
  <c r="N454" i="148"/>
  <c r="M454" i="148"/>
  <c r="L454" i="148"/>
  <c r="K454" i="148"/>
  <c r="J454" i="148"/>
  <c r="I454" i="148"/>
  <c r="R453" i="148"/>
  <c r="N453" i="148"/>
  <c r="M453" i="148"/>
  <c r="L453" i="148"/>
  <c r="K453" i="148"/>
  <c r="J453" i="148"/>
  <c r="I453" i="148"/>
  <c r="R452" i="148"/>
  <c r="S452" i="148"/>
  <c r="N452" i="148"/>
  <c r="M452" i="148"/>
  <c r="L452" i="148"/>
  <c r="K452" i="148"/>
  <c r="J452" i="148"/>
  <c r="I452" i="148"/>
  <c r="R451" i="148"/>
  <c r="N451" i="148"/>
  <c r="M451" i="148"/>
  <c r="L451" i="148"/>
  <c r="K451" i="148"/>
  <c r="J451" i="148"/>
  <c r="I451" i="148"/>
  <c r="R450" i="148"/>
  <c r="N450" i="148"/>
  <c r="M450" i="148"/>
  <c r="L450" i="148"/>
  <c r="K450" i="148"/>
  <c r="J450" i="148"/>
  <c r="I450" i="148"/>
  <c r="R449" i="148"/>
  <c r="N449" i="148"/>
  <c r="M449" i="148"/>
  <c r="L449" i="148"/>
  <c r="K449" i="148"/>
  <c r="J449" i="148"/>
  <c r="I449" i="148"/>
  <c r="R448" i="148"/>
  <c r="N448" i="148"/>
  <c r="M448" i="148"/>
  <c r="L448" i="148"/>
  <c r="K448" i="148"/>
  <c r="J448" i="148"/>
  <c r="I448" i="148"/>
  <c r="R447" i="148"/>
  <c r="N447" i="148"/>
  <c r="M447" i="148"/>
  <c r="L447" i="148"/>
  <c r="K447" i="148"/>
  <c r="J447" i="148"/>
  <c r="I447" i="148"/>
  <c r="R446" i="148"/>
  <c r="N446" i="148"/>
  <c r="M446" i="148"/>
  <c r="L446" i="148"/>
  <c r="K446" i="148"/>
  <c r="J446" i="148"/>
  <c r="I446" i="148"/>
  <c r="R445" i="148"/>
  <c r="N445" i="148"/>
  <c r="M445" i="148"/>
  <c r="L445" i="148"/>
  <c r="O445" i="148" s="1"/>
  <c r="K445" i="148"/>
  <c r="J445" i="148"/>
  <c r="I445" i="148"/>
  <c r="R444" i="148"/>
  <c r="N444" i="148"/>
  <c r="M444" i="148"/>
  <c r="L444" i="148"/>
  <c r="K444" i="148"/>
  <c r="J444" i="148"/>
  <c r="I444" i="148"/>
  <c r="R443" i="148"/>
  <c r="N443" i="148"/>
  <c r="M443" i="148"/>
  <c r="L443" i="148"/>
  <c r="K443" i="148"/>
  <c r="J443" i="148"/>
  <c r="I443" i="148"/>
  <c r="R442" i="148"/>
  <c r="N442" i="148"/>
  <c r="M442" i="148"/>
  <c r="L442" i="148"/>
  <c r="K442" i="148"/>
  <c r="J442" i="148"/>
  <c r="I442" i="148"/>
  <c r="R441" i="148"/>
  <c r="N441" i="148"/>
  <c r="M441" i="148"/>
  <c r="L441" i="148"/>
  <c r="O441" i="148" s="1"/>
  <c r="K441" i="148"/>
  <c r="J441" i="148"/>
  <c r="I441" i="148"/>
  <c r="R440" i="148"/>
  <c r="S440" i="148"/>
  <c r="N440" i="148"/>
  <c r="M440" i="148"/>
  <c r="L440" i="148"/>
  <c r="K440" i="148"/>
  <c r="J440" i="148"/>
  <c r="I440" i="148"/>
  <c r="R439" i="148"/>
  <c r="N439" i="148"/>
  <c r="M439" i="148"/>
  <c r="L439" i="148"/>
  <c r="K439" i="148"/>
  <c r="J439" i="148"/>
  <c r="I439" i="148"/>
  <c r="R438" i="148"/>
  <c r="N438" i="148"/>
  <c r="M438" i="148"/>
  <c r="L438" i="148"/>
  <c r="K438" i="148"/>
  <c r="J438" i="148"/>
  <c r="I438" i="148"/>
  <c r="R437" i="148"/>
  <c r="N437" i="148"/>
  <c r="M437" i="148"/>
  <c r="L437" i="148"/>
  <c r="O437" i="148" s="1"/>
  <c r="K437" i="148"/>
  <c r="J437" i="148"/>
  <c r="I437" i="148"/>
  <c r="R436" i="148"/>
  <c r="N436" i="148"/>
  <c r="M436" i="148"/>
  <c r="L436" i="148"/>
  <c r="K436" i="148"/>
  <c r="J436" i="148"/>
  <c r="I436" i="148"/>
  <c r="R435" i="148"/>
  <c r="N435" i="148"/>
  <c r="M435" i="148"/>
  <c r="L435" i="148"/>
  <c r="K435" i="148"/>
  <c r="J435" i="148"/>
  <c r="I435" i="148"/>
  <c r="R434" i="148"/>
  <c r="N434" i="148"/>
  <c r="M434" i="148"/>
  <c r="L434" i="148"/>
  <c r="K434" i="148"/>
  <c r="J434" i="148"/>
  <c r="I434" i="148"/>
  <c r="R433" i="148"/>
  <c r="N433" i="148"/>
  <c r="M433" i="148"/>
  <c r="L433" i="148"/>
  <c r="O433" i="148" s="1"/>
  <c r="K433" i="148"/>
  <c r="J433" i="148"/>
  <c r="I433" i="148"/>
  <c r="R432" i="148"/>
  <c r="S432" i="148"/>
  <c r="N432" i="148"/>
  <c r="M432" i="148"/>
  <c r="L432" i="148"/>
  <c r="K432" i="148"/>
  <c r="J432" i="148"/>
  <c r="I432" i="148"/>
  <c r="R431" i="148"/>
  <c r="N431" i="148"/>
  <c r="M431" i="148"/>
  <c r="L431" i="148"/>
  <c r="K431" i="148"/>
  <c r="J431" i="148"/>
  <c r="I431" i="148"/>
  <c r="R430" i="148"/>
  <c r="N430" i="148"/>
  <c r="M430" i="148"/>
  <c r="L430" i="148"/>
  <c r="K430" i="148"/>
  <c r="J430" i="148"/>
  <c r="I430" i="148"/>
  <c r="R429" i="148"/>
  <c r="N429" i="148"/>
  <c r="M429" i="148"/>
  <c r="L429" i="148"/>
  <c r="K429" i="148"/>
  <c r="J429" i="148"/>
  <c r="I429" i="148"/>
  <c r="R428" i="148"/>
  <c r="N428" i="148"/>
  <c r="M428" i="148"/>
  <c r="L428" i="148"/>
  <c r="K428" i="148"/>
  <c r="J428" i="148"/>
  <c r="I428" i="148"/>
  <c r="R427" i="148"/>
  <c r="N427" i="148"/>
  <c r="M427" i="148"/>
  <c r="L427" i="148"/>
  <c r="K427" i="148"/>
  <c r="J427" i="148"/>
  <c r="I427" i="148"/>
  <c r="R426" i="148"/>
  <c r="N426" i="148"/>
  <c r="M426" i="148"/>
  <c r="L426" i="148"/>
  <c r="K426" i="148"/>
  <c r="J426" i="148"/>
  <c r="I426" i="148"/>
  <c r="R425" i="148"/>
  <c r="N425" i="148"/>
  <c r="M425" i="148"/>
  <c r="L425" i="148"/>
  <c r="K425" i="148"/>
  <c r="J425" i="148"/>
  <c r="I425" i="148"/>
  <c r="R424" i="148"/>
  <c r="N424" i="148"/>
  <c r="M424" i="148"/>
  <c r="L424" i="148"/>
  <c r="K424" i="148"/>
  <c r="J424" i="148"/>
  <c r="I424" i="148"/>
  <c r="R423" i="148"/>
  <c r="N423" i="148"/>
  <c r="M423" i="148"/>
  <c r="L423" i="148"/>
  <c r="K423" i="148"/>
  <c r="J423" i="148"/>
  <c r="I423" i="148"/>
  <c r="R422" i="148"/>
  <c r="N422" i="148"/>
  <c r="M422" i="148"/>
  <c r="L422" i="148"/>
  <c r="K422" i="148"/>
  <c r="J422" i="148"/>
  <c r="I422" i="148"/>
  <c r="R421" i="148"/>
  <c r="N421" i="148"/>
  <c r="M421" i="148"/>
  <c r="L421" i="148"/>
  <c r="K421" i="148"/>
  <c r="J421" i="148"/>
  <c r="I421" i="148"/>
  <c r="R420" i="148"/>
  <c r="N420" i="148"/>
  <c r="M420" i="148"/>
  <c r="L420" i="148"/>
  <c r="K420" i="148"/>
  <c r="J420" i="148"/>
  <c r="I420" i="148"/>
  <c r="R419" i="148"/>
  <c r="N419" i="148"/>
  <c r="M419" i="148"/>
  <c r="L419" i="148"/>
  <c r="K419" i="148"/>
  <c r="J419" i="148"/>
  <c r="I419" i="148"/>
  <c r="R418" i="148"/>
  <c r="N418" i="148"/>
  <c r="M418" i="148"/>
  <c r="L418" i="148"/>
  <c r="K418" i="148"/>
  <c r="J418" i="148"/>
  <c r="I418" i="148"/>
  <c r="R417" i="148"/>
  <c r="N417" i="148"/>
  <c r="M417" i="148"/>
  <c r="L417" i="148"/>
  <c r="K417" i="148"/>
  <c r="J417" i="148"/>
  <c r="I417" i="148"/>
  <c r="R416" i="148"/>
  <c r="N416" i="148"/>
  <c r="M416" i="148"/>
  <c r="L416" i="148"/>
  <c r="K416" i="148"/>
  <c r="J416" i="148"/>
  <c r="I416" i="148"/>
  <c r="R415" i="148"/>
  <c r="N415" i="148"/>
  <c r="M415" i="148"/>
  <c r="L415" i="148"/>
  <c r="K415" i="148"/>
  <c r="J415" i="148"/>
  <c r="I415" i="148"/>
  <c r="R414" i="148"/>
  <c r="N414" i="148"/>
  <c r="M414" i="148"/>
  <c r="L414" i="148"/>
  <c r="K414" i="148"/>
  <c r="J414" i="148"/>
  <c r="I414" i="148"/>
  <c r="R413" i="148"/>
  <c r="N413" i="148"/>
  <c r="M413" i="148"/>
  <c r="L413" i="148"/>
  <c r="K413" i="148"/>
  <c r="J413" i="148"/>
  <c r="I413" i="148"/>
  <c r="R412" i="148"/>
  <c r="N412" i="148"/>
  <c r="M412" i="148"/>
  <c r="L412" i="148"/>
  <c r="K412" i="148"/>
  <c r="J412" i="148"/>
  <c r="I412" i="148"/>
  <c r="R411" i="148"/>
  <c r="N411" i="148"/>
  <c r="M411" i="148"/>
  <c r="L411" i="148"/>
  <c r="K411" i="148"/>
  <c r="J411" i="148"/>
  <c r="I411" i="148"/>
  <c r="R410" i="148"/>
  <c r="N410" i="148"/>
  <c r="M410" i="148"/>
  <c r="L410" i="148"/>
  <c r="K410" i="148"/>
  <c r="J410" i="148"/>
  <c r="I410" i="148"/>
  <c r="R409" i="148"/>
  <c r="N409" i="148"/>
  <c r="M409" i="148"/>
  <c r="L409" i="148"/>
  <c r="K409" i="148"/>
  <c r="J409" i="148"/>
  <c r="I409" i="148"/>
  <c r="R408" i="148"/>
  <c r="N408" i="148"/>
  <c r="M408" i="148"/>
  <c r="L408" i="148"/>
  <c r="K408" i="148"/>
  <c r="J408" i="148"/>
  <c r="I408" i="148"/>
  <c r="R407" i="148"/>
  <c r="N407" i="148"/>
  <c r="M407" i="148"/>
  <c r="L407" i="148"/>
  <c r="K407" i="148"/>
  <c r="J407" i="148"/>
  <c r="I407" i="148"/>
  <c r="R406" i="148"/>
  <c r="N406" i="148"/>
  <c r="M406" i="148"/>
  <c r="L406" i="148"/>
  <c r="K406" i="148"/>
  <c r="J406" i="148"/>
  <c r="I406" i="148"/>
  <c r="R405" i="148"/>
  <c r="N405" i="148"/>
  <c r="M405" i="148"/>
  <c r="L405" i="148"/>
  <c r="K405" i="148"/>
  <c r="J405" i="148"/>
  <c r="I405" i="148"/>
  <c r="R404" i="148"/>
  <c r="N404" i="148"/>
  <c r="M404" i="148"/>
  <c r="L404" i="148"/>
  <c r="K404" i="148"/>
  <c r="J404" i="148"/>
  <c r="I404" i="148"/>
  <c r="R403" i="148"/>
  <c r="N403" i="148"/>
  <c r="M403" i="148"/>
  <c r="L403" i="148"/>
  <c r="K403" i="148"/>
  <c r="J403" i="148"/>
  <c r="I403" i="148"/>
  <c r="R402" i="148"/>
  <c r="N402" i="148"/>
  <c r="M402" i="148"/>
  <c r="L402" i="148"/>
  <c r="K402" i="148"/>
  <c r="J402" i="148"/>
  <c r="I402" i="148"/>
  <c r="R401" i="148"/>
  <c r="N401" i="148"/>
  <c r="M401" i="148"/>
  <c r="L401" i="148"/>
  <c r="K401" i="148"/>
  <c r="J401" i="148"/>
  <c r="I401" i="148"/>
  <c r="R400" i="148"/>
  <c r="N400" i="148"/>
  <c r="M400" i="148"/>
  <c r="L400" i="148"/>
  <c r="K400" i="148"/>
  <c r="J400" i="148"/>
  <c r="I400" i="148"/>
  <c r="R399" i="148"/>
  <c r="N399" i="148"/>
  <c r="M399" i="148"/>
  <c r="L399" i="148"/>
  <c r="K399" i="148"/>
  <c r="J399" i="148"/>
  <c r="I399" i="148"/>
  <c r="R398" i="148"/>
  <c r="N398" i="148"/>
  <c r="M398" i="148"/>
  <c r="L398" i="148"/>
  <c r="K398" i="148"/>
  <c r="J398" i="148"/>
  <c r="I398" i="148"/>
  <c r="R397" i="148"/>
  <c r="N397" i="148"/>
  <c r="M397" i="148"/>
  <c r="L397" i="148"/>
  <c r="K397" i="148"/>
  <c r="J397" i="148"/>
  <c r="I397" i="148"/>
  <c r="R396" i="148"/>
  <c r="N396" i="148"/>
  <c r="M396" i="148"/>
  <c r="L396" i="148"/>
  <c r="K396" i="148"/>
  <c r="J396" i="148"/>
  <c r="I396" i="148"/>
  <c r="R395" i="148"/>
  <c r="N395" i="148"/>
  <c r="M395" i="148"/>
  <c r="L395" i="148"/>
  <c r="K395" i="148"/>
  <c r="J395" i="148"/>
  <c r="I395" i="148"/>
  <c r="R394" i="148"/>
  <c r="N394" i="148"/>
  <c r="M394" i="148"/>
  <c r="L394" i="148"/>
  <c r="K394" i="148"/>
  <c r="J394" i="148"/>
  <c r="I394" i="148"/>
  <c r="R393" i="148"/>
  <c r="N393" i="148"/>
  <c r="M393" i="148"/>
  <c r="L393" i="148"/>
  <c r="K393" i="148"/>
  <c r="J393" i="148"/>
  <c r="I393" i="148"/>
  <c r="R392" i="148"/>
  <c r="N392" i="148"/>
  <c r="M392" i="148"/>
  <c r="L392" i="148"/>
  <c r="K392" i="148"/>
  <c r="J392" i="148"/>
  <c r="I392" i="148"/>
  <c r="R391" i="148"/>
  <c r="N391" i="148"/>
  <c r="M391" i="148"/>
  <c r="L391" i="148"/>
  <c r="K391" i="148"/>
  <c r="J391" i="148"/>
  <c r="I391" i="148"/>
  <c r="R390" i="148"/>
  <c r="N390" i="148"/>
  <c r="M390" i="148"/>
  <c r="L390" i="148"/>
  <c r="K390" i="148"/>
  <c r="J390" i="148"/>
  <c r="I390" i="148"/>
  <c r="R389" i="148"/>
  <c r="N389" i="148"/>
  <c r="M389" i="148"/>
  <c r="L389" i="148"/>
  <c r="K389" i="148"/>
  <c r="J389" i="148"/>
  <c r="I389" i="148"/>
  <c r="R388" i="148"/>
  <c r="N388" i="148"/>
  <c r="M388" i="148"/>
  <c r="L388" i="148"/>
  <c r="K388" i="148"/>
  <c r="J388" i="148"/>
  <c r="I388" i="148"/>
  <c r="R387" i="148"/>
  <c r="N387" i="148"/>
  <c r="M387" i="148"/>
  <c r="L387" i="148"/>
  <c r="K387" i="148"/>
  <c r="J387" i="148"/>
  <c r="I387" i="148"/>
  <c r="R386" i="148"/>
  <c r="N386" i="148"/>
  <c r="M386" i="148"/>
  <c r="L386" i="148"/>
  <c r="K386" i="148"/>
  <c r="J386" i="148"/>
  <c r="I386" i="148"/>
  <c r="R385" i="148"/>
  <c r="N385" i="148"/>
  <c r="M385" i="148"/>
  <c r="L385" i="148"/>
  <c r="K385" i="148"/>
  <c r="J385" i="148"/>
  <c r="I385" i="148"/>
  <c r="R384" i="148"/>
  <c r="N384" i="148"/>
  <c r="M384" i="148"/>
  <c r="L384" i="148"/>
  <c r="K384" i="148"/>
  <c r="J384" i="148"/>
  <c r="I384" i="148"/>
  <c r="R383" i="148"/>
  <c r="N383" i="148"/>
  <c r="M383" i="148"/>
  <c r="L383" i="148"/>
  <c r="K383" i="148"/>
  <c r="J383" i="148"/>
  <c r="I383" i="148"/>
  <c r="R382" i="148"/>
  <c r="N382" i="148"/>
  <c r="M382" i="148"/>
  <c r="L382" i="148"/>
  <c r="K382" i="148"/>
  <c r="J382" i="148"/>
  <c r="I382" i="148"/>
  <c r="R381" i="148"/>
  <c r="N381" i="148"/>
  <c r="M381" i="148"/>
  <c r="L381" i="148"/>
  <c r="K381" i="148"/>
  <c r="J381" i="148"/>
  <c r="I381" i="148"/>
  <c r="R380" i="148"/>
  <c r="N380" i="148"/>
  <c r="M380" i="148"/>
  <c r="L380" i="148"/>
  <c r="K380" i="148"/>
  <c r="J380" i="148"/>
  <c r="I380" i="148"/>
  <c r="R379" i="148"/>
  <c r="N379" i="148"/>
  <c r="M379" i="148"/>
  <c r="L379" i="148"/>
  <c r="K379" i="148"/>
  <c r="J379" i="148"/>
  <c r="I379" i="148"/>
  <c r="R378" i="148"/>
  <c r="N378" i="148"/>
  <c r="M378" i="148"/>
  <c r="L378" i="148"/>
  <c r="K378" i="148"/>
  <c r="J378" i="148"/>
  <c r="I378" i="148"/>
  <c r="R377" i="148"/>
  <c r="N377" i="148"/>
  <c r="M377" i="148"/>
  <c r="L377" i="148"/>
  <c r="K377" i="148"/>
  <c r="J377" i="148"/>
  <c r="I377" i="148"/>
  <c r="R376" i="148"/>
  <c r="N376" i="148"/>
  <c r="M376" i="148"/>
  <c r="L376" i="148"/>
  <c r="K376" i="148"/>
  <c r="J376" i="148"/>
  <c r="I376" i="148"/>
  <c r="R375" i="148"/>
  <c r="N375" i="148"/>
  <c r="M375" i="148"/>
  <c r="L375" i="148"/>
  <c r="K375" i="148"/>
  <c r="J375" i="148"/>
  <c r="I375" i="148"/>
  <c r="R374" i="148"/>
  <c r="N374" i="148"/>
  <c r="M374" i="148"/>
  <c r="L374" i="148"/>
  <c r="K374" i="148"/>
  <c r="J374" i="148"/>
  <c r="I374" i="148"/>
  <c r="R373" i="148"/>
  <c r="N373" i="148"/>
  <c r="M373" i="148"/>
  <c r="L373" i="148"/>
  <c r="K373" i="148"/>
  <c r="J373" i="148"/>
  <c r="I373" i="148"/>
  <c r="R372" i="148"/>
  <c r="N372" i="148"/>
  <c r="M372" i="148"/>
  <c r="L372" i="148"/>
  <c r="K372" i="148"/>
  <c r="J372" i="148"/>
  <c r="I372" i="148"/>
  <c r="R371" i="148"/>
  <c r="N371" i="148"/>
  <c r="M371" i="148"/>
  <c r="L371" i="148"/>
  <c r="K371" i="148"/>
  <c r="J371" i="148"/>
  <c r="I371" i="148"/>
  <c r="R370" i="148"/>
  <c r="N370" i="148"/>
  <c r="M370" i="148"/>
  <c r="L370" i="148"/>
  <c r="K370" i="148"/>
  <c r="J370" i="148"/>
  <c r="I370" i="148"/>
  <c r="R369" i="148"/>
  <c r="N369" i="148"/>
  <c r="M369" i="148"/>
  <c r="L369" i="148"/>
  <c r="K369" i="148"/>
  <c r="J369" i="148"/>
  <c r="I369" i="148"/>
  <c r="R368" i="148"/>
  <c r="N368" i="148"/>
  <c r="M368" i="148"/>
  <c r="L368" i="148"/>
  <c r="K368" i="148"/>
  <c r="J368" i="148"/>
  <c r="I368" i="148"/>
  <c r="R367" i="148"/>
  <c r="N367" i="148"/>
  <c r="M367" i="148"/>
  <c r="L367" i="148"/>
  <c r="K367" i="148"/>
  <c r="J367" i="148"/>
  <c r="I367" i="148"/>
  <c r="R366" i="148"/>
  <c r="N366" i="148"/>
  <c r="M366" i="148"/>
  <c r="L366" i="148"/>
  <c r="K366" i="148"/>
  <c r="J366" i="148"/>
  <c r="I366" i="148"/>
  <c r="R365" i="148"/>
  <c r="N365" i="148"/>
  <c r="M365" i="148"/>
  <c r="L365" i="148"/>
  <c r="K365" i="148"/>
  <c r="J365" i="148"/>
  <c r="I365" i="148"/>
  <c r="R364" i="148"/>
  <c r="N364" i="148"/>
  <c r="M364" i="148"/>
  <c r="L364" i="148"/>
  <c r="K364" i="148"/>
  <c r="J364" i="148"/>
  <c r="I364" i="148"/>
  <c r="R363" i="148"/>
  <c r="N363" i="148"/>
  <c r="M363" i="148"/>
  <c r="L363" i="148"/>
  <c r="K363" i="148"/>
  <c r="J363" i="148"/>
  <c r="I363" i="148"/>
  <c r="R362" i="148"/>
  <c r="N362" i="148"/>
  <c r="M362" i="148"/>
  <c r="L362" i="148"/>
  <c r="K362" i="148"/>
  <c r="J362" i="148"/>
  <c r="I362" i="148"/>
  <c r="R361" i="148"/>
  <c r="N361" i="148"/>
  <c r="M361" i="148"/>
  <c r="L361" i="148"/>
  <c r="K361" i="148"/>
  <c r="J361" i="148"/>
  <c r="I361" i="148"/>
  <c r="R360" i="148"/>
  <c r="N360" i="148"/>
  <c r="M360" i="148"/>
  <c r="L360" i="148"/>
  <c r="K360" i="148"/>
  <c r="J360" i="148"/>
  <c r="I360" i="148"/>
  <c r="R359" i="148"/>
  <c r="N359" i="148"/>
  <c r="M359" i="148"/>
  <c r="L359" i="148"/>
  <c r="K359" i="148"/>
  <c r="J359" i="148"/>
  <c r="I359" i="148"/>
  <c r="R358" i="148"/>
  <c r="N358" i="148"/>
  <c r="M358" i="148"/>
  <c r="L358" i="148"/>
  <c r="K358" i="148"/>
  <c r="J358" i="148"/>
  <c r="I358" i="148"/>
  <c r="R357" i="148"/>
  <c r="N357" i="148"/>
  <c r="M357" i="148"/>
  <c r="L357" i="148"/>
  <c r="K357" i="148"/>
  <c r="J357" i="148"/>
  <c r="I357" i="148"/>
  <c r="R356" i="148"/>
  <c r="N356" i="148"/>
  <c r="M356" i="148"/>
  <c r="L356" i="148"/>
  <c r="K356" i="148"/>
  <c r="J356" i="148"/>
  <c r="I356" i="148"/>
  <c r="R355" i="148"/>
  <c r="N355" i="148"/>
  <c r="M355" i="148"/>
  <c r="L355" i="148"/>
  <c r="K355" i="148"/>
  <c r="J355" i="148"/>
  <c r="I355" i="148"/>
  <c r="R354" i="148"/>
  <c r="N354" i="148"/>
  <c r="M354" i="148"/>
  <c r="L354" i="148"/>
  <c r="K354" i="148"/>
  <c r="J354" i="148"/>
  <c r="I354" i="148"/>
  <c r="R353" i="148"/>
  <c r="N353" i="148"/>
  <c r="M353" i="148"/>
  <c r="L353" i="148"/>
  <c r="K353" i="148"/>
  <c r="J353" i="148"/>
  <c r="I353" i="148"/>
  <c r="R352" i="148"/>
  <c r="N352" i="148"/>
  <c r="M352" i="148"/>
  <c r="L352" i="148"/>
  <c r="K352" i="148"/>
  <c r="J352" i="148"/>
  <c r="I352" i="148"/>
  <c r="R351" i="148"/>
  <c r="N351" i="148"/>
  <c r="M351" i="148"/>
  <c r="L351" i="148"/>
  <c r="K351" i="148"/>
  <c r="J351" i="148"/>
  <c r="I351" i="148"/>
  <c r="R350" i="148"/>
  <c r="N350" i="148"/>
  <c r="M350" i="148"/>
  <c r="L350" i="148"/>
  <c r="K350" i="148"/>
  <c r="J350" i="148"/>
  <c r="I350" i="148"/>
  <c r="R349" i="148"/>
  <c r="N349" i="148"/>
  <c r="M349" i="148"/>
  <c r="L349" i="148"/>
  <c r="K349" i="148"/>
  <c r="J349" i="148"/>
  <c r="I349" i="148"/>
  <c r="R348" i="148"/>
  <c r="N348" i="148"/>
  <c r="M348" i="148"/>
  <c r="L348" i="148"/>
  <c r="K348" i="148"/>
  <c r="J348" i="148"/>
  <c r="I348" i="148"/>
  <c r="R347" i="148"/>
  <c r="N347" i="148"/>
  <c r="M347" i="148"/>
  <c r="L347" i="148"/>
  <c r="K347" i="148"/>
  <c r="J347" i="148"/>
  <c r="I347" i="148"/>
  <c r="R346" i="148"/>
  <c r="N346" i="148"/>
  <c r="M346" i="148"/>
  <c r="L346" i="148"/>
  <c r="K346" i="148"/>
  <c r="J346" i="148"/>
  <c r="I346" i="148"/>
  <c r="R345" i="148"/>
  <c r="N345" i="148"/>
  <c r="M345" i="148"/>
  <c r="L345" i="148"/>
  <c r="K345" i="148"/>
  <c r="J345" i="148"/>
  <c r="I345" i="148"/>
  <c r="R344" i="148"/>
  <c r="N344" i="148"/>
  <c r="M344" i="148"/>
  <c r="L344" i="148"/>
  <c r="K344" i="148"/>
  <c r="J344" i="148"/>
  <c r="I344" i="148"/>
  <c r="R343" i="148"/>
  <c r="N343" i="148"/>
  <c r="M343" i="148"/>
  <c r="L343" i="148"/>
  <c r="K343" i="148"/>
  <c r="J343" i="148"/>
  <c r="I343" i="148"/>
  <c r="R342" i="148"/>
  <c r="N342" i="148"/>
  <c r="M342" i="148"/>
  <c r="L342" i="148"/>
  <c r="K342" i="148"/>
  <c r="J342" i="148"/>
  <c r="I342" i="148"/>
  <c r="R341" i="148"/>
  <c r="N341" i="148"/>
  <c r="M341" i="148"/>
  <c r="L341" i="148"/>
  <c r="K341" i="148"/>
  <c r="J341" i="148"/>
  <c r="I341" i="148"/>
  <c r="R340" i="148"/>
  <c r="N340" i="148"/>
  <c r="M340" i="148"/>
  <c r="L340" i="148"/>
  <c r="K340" i="148"/>
  <c r="J340" i="148"/>
  <c r="I340" i="148"/>
  <c r="R339" i="148"/>
  <c r="N339" i="148"/>
  <c r="M339" i="148"/>
  <c r="L339" i="148"/>
  <c r="K339" i="148"/>
  <c r="J339" i="148"/>
  <c r="I339" i="148"/>
  <c r="R338" i="148"/>
  <c r="N338" i="148"/>
  <c r="M338" i="148"/>
  <c r="L338" i="148"/>
  <c r="K338" i="148"/>
  <c r="J338" i="148"/>
  <c r="I338" i="148"/>
  <c r="R337" i="148"/>
  <c r="N337" i="148"/>
  <c r="M337" i="148"/>
  <c r="L337" i="148"/>
  <c r="K337" i="148"/>
  <c r="J337" i="148"/>
  <c r="I337" i="148"/>
  <c r="R336" i="148"/>
  <c r="N336" i="148"/>
  <c r="M336" i="148"/>
  <c r="L336" i="148"/>
  <c r="K336" i="148"/>
  <c r="J336" i="148"/>
  <c r="I336" i="148"/>
  <c r="R335" i="148"/>
  <c r="N335" i="148"/>
  <c r="M335" i="148"/>
  <c r="L335" i="148"/>
  <c r="K335" i="148"/>
  <c r="J335" i="148"/>
  <c r="I335" i="148"/>
  <c r="R334" i="148"/>
  <c r="N334" i="148"/>
  <c r="M334" i="148"/>
  <c r="L334" i="148"/>
  <c r="K334" i="148"/>
  <c r="J334" i="148"/>
  <c r="I334" i="148"/>
  <c r="R333" i="148"/>
  <c r="N333" i="148"/>
  <c r="M333" i="148"/>
  <c r="L333" i="148"/>
  <c r="K333" i="148"/>
  <c r="J333" i="148"/>
  <c r="I333" i="148"/>
  <c r="R332" i="148"/>
  <c r="N332" i="148"/>
  <c r="M332" i="148"/>
  <c r="L332" i="148"/>
  <c r="K332" i="148"/>
  <c r="J332" i="148"/>
  <c r="I332" i="148"/>
  <c r="R331" i="148"/>
  <c r="N331" i="148"/>
  <c r="M331" i="148"/>
  <c r="L331" i="148"/>
  <c r="K331" i="148"/>
  <c r="J331" i="148"/>
  <c r="I331" i="148"/>
  <c r="R330" i="148"/>
  <c r="N330" i="148"/>
  <c r="M330" i="148"/>
  <c r="L330" i="148"/>
  <c r="K330" i="148"/>
  <c r="J330" i="148"/>
  <c r="I330" i="148"/>
  <c r="R329" i="148"/>
  <c r="N329" i="148"/>
  <c r="M329" i="148"/>
  <c r="L329" i="148"/>
  <c r="K329" i="148"/>
  <c r="J329" i="148"/>
  <c r="I329" i="148"/>
  <c r="R328" i="148"/>
  <c r="N328" i="148"/>
  <c r="M328" i="148"/>
  <c r="L328" i="148"/>
  <c r="K328" i="148"/>
  <c r="J328" i="148"/>
  <c r="I328" i="148"/>
  <c r="R327" i="148"/>
  <c r="N327" i="148"/>
  <c r="M327" i="148"/>
  <c r="L327" i="148"/>
  <c r="K327" i="148"/>
  <c r="J327" i="148"/>
  <c r="I327" i="148"/>
  <c r="R326" i="148"/>
  <c r="N326" i="148"/>
  <c r="M326" i="148"/>
  <c r="L326" i="148"/>
  <c r="K326" i="148"/>
  <c r="J326" i="148"/>
  <c r="I326" i="148"/>
  <c r="R325" i="148"/>
  <c r="N325" i="148"/>
  <c r="M325" i="148"/>
  <c r="L325" i="148"/>
  <c r="K325" i="148"/>
  <c r="J325" i="148"/>
  <c r="I325" i="148"/>
  <c r="R324" i="148"/>
  <c r="N324" i="148"/>
  <c r="M324" i="148"/>
  <c r="L324" i="148"/>
  <c r="K324" i="148"/>
  <c r="J324" i="148"/>
  <c r="I324" i="148"/>
  <c r="R323" i="148"/>
  <c r="N323" i="148"/>
  <c r="M323" i="148"/>
  <c r="L323" i="148"/>
  <c r="K323" i="148"/>
  <c r="J323" i="148"/>
  <c r="I323" i="148"/>
  <c r="R322" i="148"/>
  <c r="N322" i="148"/>
  <c r="M322" i="148"/>
  <c r="L322" i="148"/>
  <c r="K322" i="148"/>
  <c r="J322" i="148"/>
  <c r="I322" i="148"/>
  <c r="R321" i="148"/>
  <c r="N321" i="148"/>
  <c r="M321" i="148"/>
  <c r="L321" i="148"/>
  <c r="K321" i="148"/>
  <c r="J321" i="148"/>
  <c r="I321" i="148"/>
  <c r="R320" i="148"/>
  <c r="N320" i="148"/>
  <c r="M320" i="148"/>
  <c r="L320" i="148"/>
  <c r="K320" i="148"/>
  <c r="J320" i="148"/>
  <c r="I320" i="148"/>
  <c r="R319" i="148"/>
  <c r="N319" i="148"/>
  <c r="M319" i="148"/>
  <c r="L319" i="148"/>
  <c r="K319" i="148"/>
  <c r="J319" i="148"/>
  <c r="I319" i="148"/>
  <c r="R318" i="148"/>
  <c r="N318" i="148"/>
  <c r="M318" i="148"/>
  <c r="L318" i="148"/>
  <c r="K318" i="148"/>
  <c r="J318" i="148"/>
  <c r="I318" i="148"/>
  <c r="R317" i="148"/>
  <c r="N317" i="148"/>
  <c r="M317" i="148"/>
  <c r="L317" i="148"/>
  <c r="K317" i="148"/>
  <c r="J317" i="148"/>
  <c r="I317" i="148"/>
  <c r="R316" i="148"/>
  <c r="N316" i="148"/>
  <c r="M316" i="148"/>
  <c r="L316" i="148"/>
  <c r="K316" i="148"/>
  <c r="J316" i="148"/>
  <c r="I316" i="148"/>
  <c r="R315" i="148"/>
  <c r="N315" i="148"/>
  <c r="M315" i="148"/>
  <c r="L315" i="148"/>
  <c r="K315" i="148"/>
  <c r="J315" i="148"/>
  <c r="I315" i="148"/>
  <c r="R314" i="148"/>
  <c r="N314" i="148"/>
  <c r="M314" i="148"/>
  <c r="L314" i="148"/>
  <c r="K314" i="148"/>
  <c r="J314" i="148"/>
  <c r="I314" i="148"/>
  <c r="R313" i="148"/>
  <c r="N313" i="148"/>
  <c r="M313" i="148"/>
  <c r="L313" i="148"/>
  <c r="K313" i="148"/>
  <c r="J313" i="148"/>
  <c r="I313" i="148"/>
  <c r="R312" i="148"/>
  <c r="N312" i="148"/>
  <c r="M312" i="148"/>
  <c r="L312" i="148"/>
  <c r="K312" i="148"/>
  <c r="J312" i="148"/>
  <c r="I312" i="148"/>
  <c r="R311" i="148"/>
  <c r="N311" i="148"/>
  <c r="M311" i="148"/>
  <c r="L311" i="148"/>
  <c r="K311" i="148"/>
  <c r="J311" i="148"/>
  <c r="I311" i="148"/>
  <c r="R310" i="148"/>
  <c r="N310" i="148"/>
  <c r="M310" i="148"/>
  <c r="L310" i="148"/>
  <c r="K310" i="148"/>
  <c r="J310" i="148"/>
  <c r="I310" i="148"/>
  <c r="R309" i="148"/>
  <c r="N309" i="148"/>
  <c r="M309" i="148"/>
  <c r="L309" i="148"/>
  <c r="K309" i="148"/>
  <c r="J309" i="148"/>
  <c r="I309" i="148"/>
  <c r="R308" i="148"/>
  <c r="N308" i="148"/>
  <c r="M308" i="148"/>
  <c r="L308" i="148"/>
  <c r="K308" i="148"/>
  <c r="J308" i="148"/>
  <c r="I308" i="148"/>
  <c r="R307" i="148"/>
  <c r="N307" i="148"/>
  <c r="M307" i="148"/>
  <c r="L307" i="148"/>
  <c r="K307" i="148"/>
  <c r="J307" i="148"/>
  <c r="I307" i="148"/>
  <c r="R306" i="148"/>
  <c r="N306" i="148"/>
  <c r="M306" i="148"/>
  <c r="L306" i="148"/>
  <c r="K306" i="148"/>
  <c r="J306" i="148"/>
  <c r="I306" i="148"/>
  <c r="R305" i="148"/>
  <c r="N305" i="148"/>
  <c r="M305" i="148"/>
  <c r="L305" i="148"/>
  <c r="K305" i="148"/>
  <c r="J305" i="148"/>
  <c r="I305" i="148"/>
  <c r="R304" i="148"/>
  <c r="N304" i="148"/>
  <c r="M304" i="148"/>
  <c r="L304" i="148"/>
  <c r="K304" i="148"/>
  <c r="J304" i="148"/>
  <c r="I304" i="148"/>
  <c r="R303" i="148"/>
  <c r="N303" i="148"/>
  <c r="M303" i="148"/>
  <c r="L303" i="148"/>
  <c r="K303" i="148"/>
  <c r="J303" i="148"/>
  <c r="I303" i="148"/>
  <c r="R302" i="148"/>
  <c r="N302" i="148"/>
  <c r="M302" i="148"/>
  <c r="L302" i="148"/>
  <c r="K302" i="148"/>
  <c r="J302" i="148"/>
  <c r="I302" i="148"/>
  <c r="R301" i="148"/>
  <c r="N301" i="148"/>
  <c r="M301" i="148"/>
  <c r="L301" i="148"/>
  <c r="K301" i="148"/>
  <c r="J301" i="148"/>
  <c r="I301" i="148"/>
  <c r="R300" i="148"/>
  <c r="N300" i="148"/>
  <c r="M300" i="148"/>
  <c r="L300" i="148"/>
  <c r="K300" i="148"/>
  <c r="J300" i="148"/>
  <c r="I300" i="148"/>
  <c r="R299" i="148"/>
  <c r="N299" i="148"/>
  <c r="M299" i="148"/>
  <c r="L299" i="148"/>
  <c r="K299" i="148"/>
  <c r="J299" i="148"/>
  <c r="I299" i="148"/>
  <c r="R298" i="148"/>
  <c r="N298" i="148"/>
  <c r="M298" i="148"/>
  <c r="L298" i="148"/>
  <c r="K298" i="148"/>
  <c r="J298" i="148"/>
  <c r="I298" i="148"/>
  <c r="R297" i="148"/>
  <c r="N297" i="148"/>
  <c r="M297" i="148"/>
  <c r="L297" i="148"/>
  <c r="K297" i="148"/>
  <c r="J297" i="148"/>
  <c r="I297" i="148"/>
  <c r="R296" i="148"/>
  <c r="N296" i="148"/>
  <c r="M296" i="148"/>
  <c r="L296" i="148"/>
  <c r="K296" i="148"/>
  <c r="J296" i="148"/>
  <c r="I296" i="148"/>
  <c r="R295" i="148"/>
  <c r="N295" i="148"/>
  <c r="M295" i="148"/>
  <c r="L295" i="148"/>
  <c r="K295" i="148"/>
  <c r="J295" i="148"/>
  <c r="I295" i="148"/>
  <c r="R294" i="148"/>
  <c r="N294" i="148"/>
  <c r="M294" i="148"/>
  <c r="L294" i="148"/>
  <c r="K294" i="148"/>
  <c r="J294" i="148"/>
  <c r="I294" i="148"/>
  <c r="R293" i="148"/>
  <c r="N293" i="148"/>
  <c r="M293" i="148"/>
  <c r="L293" i="148"/>
  <c r="K293" i="148"/>
  <c r="J293" i="148"/>
  <c r="I293" i="148"/>
  <c r="R292" i="148"/>
  <c r="N292" i="148"/>
  <c r="M292" i="148"/>
  <c r="L292" i="148"/>
  <c r="K292" i="148"/>
  <c r="J292" i="148"/>
  <c r="I292" i="148"/>
  <c r="R291" i="148"/>
  <c r="N291" i="148"/>
  <c r="M291" i="148"/>
  <c r="L291" i="148"/>
  <c r="K291" i="148"/>
  <c r="J291" i="148"/>
  <c r="I291" i="148"/>
  <c r="R290" i="148"/>
  <c r="N290" i="148"/>
  <c r="M290" i="148"/>
  <c r="L290" i="148"/>
  <c r="K290" i="148"/>
  <c r="J290" i="148"/>
  <c r="I290" i="148"/>
  <c r="R289" i="148"/>
  <c r="N289" i="148"/>
  <c r="M289" i="148"/>
  <c r="L289" i="148"/>
  <c r="K289" i="148"/>
  <c r="J289" i="148"/>
  <c r="I289" i="148"/>
  <c r="R288" i="148"/>
  <c r="N288" i="148"/>
  <c r="M288" i="148"/>
  <c r="L288" i="148"/>
  <c r="K288" i="148"/>
  <c r="J288" i="148"/>
  <c r="I288" i="148"/>
  <c r="R287" i="148"/>
  <c r="N287" i="148"/>
  <c r="M287" i="148"/>
  <c r="L287" i="148"/>
  <c r="K287" i="148"/>
  <c r="J287" i="148"/>
  <c r="I287" i="148"/>
  <c r="R286" i="148"/>
  <c r="N286" i="148"/>
  <c r="M286" i="148"/>
  <c r="L286" i="148"/>
  <c r="K286" i="148"/>
  <c r="J286" i="148"/>
  <c r="I286" i="148"/>
  <c r="R285" i="148"/>
  <c r="N285" i="148"/>
  <c r="M285" i="148"/>
  <c r="L285" i="148"/>
  <c r="K285" i="148"/>
  <c r="J285" i="148"/>
  <c r="I285" i="148"/>
  <c r="R284" i="148"/>
  <c r="N284" i="148"/>
  <c r="M284" i="148"/>
  <c r="L284" i="148"/>
  <c r="K284" i="148"/>
  <c r="J284" i="148"/>
  <c r="I284" i="148"/>
  <c r="R283" i="148"/>
  <c r="N283" i="148"/>
  <c r="M283" i="148"/>
  <c r="L283" i="148"/>
  <c r="K283" i="148"/>
  <c r="J283" i="148"/>
  <c r="I283" i="148"/>
  <c r="R282" i="148"/>
  <c r="N282" i="148"/>
  <c r="M282" i="148"/>
  <c r="L282" i="148"/>
  <c r="K282" i="148"/>
  <c r="J282" i="148"/>
  <c r="I282" i="148"/>
  <c r="R281" i="148"/>
  <c r="N281" i="148"/>
  <c r="M281" i="148"/>
  <c r="L281" i="148"/>
  <c r="K281" i="148"/>
  <c r="J281" i="148"/>
  <c r="I281" i="148"/>
  <c r="R280" i="148"/>
  <c r="N280" i="148"/>
  <c r="M280" i="148"/>
  <c r="L280" i="148"/>
  <c r="K280" i="148"/>
  <c r="J280" i="148"/>
  <c r="I280" i="148"/>
  <c r="R279" i="148"/>
  <c r="N279" i="148"/>
  <c r="M279" i="148"/>
  <c r="L279" i="148"/>
  <c r="K279" i="148"/>
  <c r="J279" i="148"/>
  <c r="I279" i="148"/>
  <c r="R278" i="148"/>
  <c r="N278" i="148"/>
  <c r="M278" i="148"/>
  <c r="L278" i="148"/>
  <c r="K278" i="148"/>
  <c r="J278" i="148"/>
  <c r="I278" i="148"/>
  <c r="R277" i="148"/>
  <c r="N277" i="148"/>
  <c r="M277" i="148"/>
  <c r="L277" i="148"/>
  <c r="K277" i="148"/>
  <c r="J277" i="148"/>
  <c r="I277" i="148"/>
  <c r="R276" i="148"/>
  <c r="N276" i="148"/>
  <c r="M276" i="148"/>
  <c r="L276" i="148"/>
  <c r="K276" i="148"/>
  <c r="J276" i="148"/>
  <c r="I276" i="148"/>
  <c r="R275" i="148"/>
  <c r="N275" i="148"/>
  <c r="M275" i="148"/>
  <c r="L275" i="148"/>
  <c r="K275" i="148"/>
  <c r="J275" i="148"/>
  <c r="I275" i="148"/>
  <c r="R274" i="148"/>
  <c r="N274" i="148"/>
  <c r="M274" i="148"/>
  <c r="L274" i="148"/>
  <c r="K274" i="148"/>
  <c r="J274" i="148"/>
  <c r="I274" i="148"/>
  <c r="R273" i="148"/>
  <c r="N273" i="148"/>
  <c r="M273" i="148"/>
  <c r="L273" i="148"/>
  <c r="K273" i="148"/>
  <c r="J273" i="148"/>
  <c r="I273" i="148"/>
  <c r="R272" i="148"/>
  <c r="N272" i="148"/>
  <c r="M272" i="148"/>
  <c r="L272" i="148"/>
  <c r="K272" i="148"/>
  <c r="J272" i="148"/>
  <c r="I272" i="148"/>
  <c r="R271" i="148"/>
  <c r="N271" i="148"/>
  <c r="M271" i="148"/>
  <c r="L271" i="148"/>
  <c r="K271" i="148"/>
  <c r="J271" i="148"/>
  <c r="I271" i="148"/>
  <c r="R270" i="148"/>
  <c r="N270" i="148"/>
  <c r="M270" i="148"/>
  <c r="L270" i="148"/>
  <c r="K270" i="148"/>
  <c r="J270" i="148"/>
  <c r="I270" i="148"/>
  <c r="R269" i="148"/>
  <c r="N269" i="148"/>
  <c r="M269" i="148"/>
  <c r="L269" i="148"/>
  <c r="K269" i="148"/>
  <c r="J269" i="148"/>
  <c r="I269" i="148"/>
  <c r="R268" i="148"/>
  <c r="N268" i="148"/>
  <c r="M268" i="148"/>
  <c r="L268" i="148"/>
  <c r="K268" i="148"/>
  <c r="J268" i="148"/>
  <c r="I268" i="148"/>
  <c r="R267" i="148"/>
  <c r="N267" i="148"/>
  <c r="M267" i="148"/>
  <c r="L267" i="148"/>
  <c r="K267" i="148"/>
  <c r="J267" i="148"/>
  <c r="I267" i="148"/>
  <c r="R266" i="148"/>
  <c r="N266" i="148"/>
  <c r="M266" i="148"/>
  <c r="L266" i="148"/>
  <c r="K266" i="148"/>
  <c r="J266" i="148"/>
  <c r="I266" i="148"/>
  <c r="R265" i="148"/>
  <c r="N265" i="148"/>
  <c r="M265" i="148"/>
  <c r="L265" i="148"/>
  <c r="K265" i="148"/>
  <c r="J265" i="148"/>
  <c r="I265" i="148"/>
  <c r="R264" i="148"/>
  <c r="N264" i="148"/>
  <c r="M264" i="148"/>
  <c r="L264" i="148"/>
  <c r="K264" i="148"/>
  <c r="J264" i="148"/>
  <c r="I264" i="148"/>
  <c r="R263" i="148"/>
  <c r="N263" i="148"/>
  <c r="M263" i="148"/>
  <c r="L263" i="148"/>
  <c r="K263" i="148"/>
  <c r="J263" i="148"/>
  <c r="I263" i="148"/>
  <c r="R262" i="148"/>
  <c r="N262" i="148"/>
  <c r="M262" i="148"/>
  <c r="L262" i="148"/>
  <c r="K262" i="148"/>
  <c r="J262" i="148"/>
  <c r="I262" i="148"/>
  <c r="R261" i="148"/>
  <c r="N261" i="148"/>
  <c r="M261" i="148"/>
  <c r="L261" i="148"/>
  <c r="K261" i="148"/>
  <c r="J261" i="148"/>
  <c r="I261" i="148"/>
  <c r="R260" i="148"/>
  <c r="N260" i="148"/>
  <c r="M260" i="148"/>
  <c r="L260" i="148"/>
  <c r="K260" i="148"/>
  <c r="J260" i="148"/>
  <c r="I260" i="148"/>
  <c r="R259" i="148"/>
  <c r="N259" i="148"/>
  <c r="M259" i="148"/>
  <c r="L259" i="148"/>
  <c r="K259" i="148"/>
  <c r="J259" i="148"/>
  <c r="I259" i="148"/>
  <c r="R258" i="148"/>
  <c r="N258" i="148"/>
  <c r="M258" i="148"/>
  <c r="L258" i="148"/>
  <c r="K258" i="148"/>
  <c r="J258" i="148"/>
  <c r="I258" i="148"/>
  <c r="R257" i="148"/>
  <c r="N257" i="148"/>
  <c r="M257" i="148"/>
  <c r="L257" i="148"/>
  <c r="K257" i="148"/>
  <c r="J257" i="148"/>
  <c r="I257" i="148"/>
  <c r="R256" i="148"/>
  <c r="N256" i="148"/>
  <c r="M256" i="148"/>
  <c r="L256" i="148"/>
  <c r="K256" i="148"/>
  <c r="J256" i="148"/>
  <c r="I256" i="148"/>
  <c r="R255" i="148"/>
  <c r="N255" i="148"/>
  <c r="M255" i="148"/>
  <c r="L255" i="148"/>
  <c r="K255" i="148"/>
  <c r="J255" i="148"/>
  <c r="I255" i="148"/>
  <c r="R254" i="148"/>
  <c r="N254" i="148"/>
  <c r="M254" i="148"/>
  <c r="L254" i="148"/>
  <c r="K254" i="148"/>
  <c r="J254" i="148"/>
  <c r="I254" i="148"/>
  <c r="R253" i="148"/>
  <c r="N253" i="148"/>
  <c r="M253" i="148"/>
  <c r="L253" i="148"/>
  <c r="O253" i="148" s="1"/>
  <c r="K253" i="148"/>
  <c r="J253" i="148"/>
  <c r="I253" i="148"/>
  <c r="R252" i="148"/>
  <c r="N252" i="148"/>
  <c r="M252" i="148"/>
  <c r="L252" i="148"/>
  <c r="K252" i="148"/>
  <c r="J252" i="148"/>
  <c r="I252" i="148"/>
  <c r="R251" i="148"/>
  <c r="N251" i="148"/>
  <c r="M251" i="148"/>
  <c r="L251" i="148"/>
  <c r="K251" i="148"/>
  <c r="J251" i="148"/>
  <c r="I251" i="148"/>
  <c r="R250" i="148"/>
  <c r="N250" i="148"/>
  <c r="M250" i="148"/>
  <c r="L250" i="148"/>
  <c r="K250" i="148"/>
  <c r="J250" i="148"/>
  <c r="I250" i="148"/>
  <c r="R249" i="148"/>
  <c r="N249" i="148"/>
  <c r="M249" i="148"/>
  <c r="L249" i="148"/>
  <c r="K249" i="148"/>
  <c r="J249" i="148"/>
  <c r="I249" i="148"/>
  <c r="R248" i="148"/>
  <c r="N248" i="148"/>
  <c r="M248" i="148"/>
  <c r="L248" i="148"/>
  <c r="K248" i="148"/>
  <c r="J248" i="148"/>
  <c r="I248" i="148"/>
  <c r="R247" i="148"/>
  <c r="N247" i="148"/>
  <c r="M247" i="148"/>
  <c r="L247" i="148"/>
  <c r="K247" i="148"/>
  <c r="J247" i="148"/>
  <c r="I247" i="148"/>
  <c r="R246" i="148"/>
  <c r="N246" i="148"/>
  <c r="M246" i="148"/>
  <c r="L246" i="148"/>
  <c r="K246" i="148"/>
  <c r="J246" i="148"/>
  <c r="I246" i="148"/>
  <c r="R245" i="148"/>
  <c r="N245" i="148"/>
  <c r="M245" i="148"/>
  <c r="L245" i="148"/>
  <c r="K245" i="148"/>
  <c r="J245" i="148"/>
  <c r="I245" i="148"/>
  <c r="R244" i="148"/>
  <c r="N244" i="148"/>
  <c r="M244" i="148"/>
  <c r="L244" i="148"/>
  <c r="K244" i="148"/>
  <c r="J244" i="148"/>
  <c r="I244" i="148"/>
  <c r="R243" i="148"/>
  <c r="N243" i="148"/>
  <c r="M243" i="148"/>
  <c r="L243" i="148"/>
  <c r="K243" i="148"/>
  <c r="J243" i="148"/>
  <c r="I243" i="148"/>
  <c r="R242" i="148"/>
  <c r="N242" i="148"/>
  <c r="M242" i="148"/>
  <c r="L242" i="148"/>
  <c r="K242" i="148"/>
  <c r="J242" i="148"/>
  <c r="I242" i="148"/>
  <c r="R241" i="148"/>
  <c r="N241" i="148"/>
  <c r="M241" i="148"/>
  <c r="L241" i="148"/>
  <c r="K241" i="148"/>
  <c r="J241" i="148"/>
  <c r="I241" i="148"/>
  <c r="R240" i="148"/>
  <c r="N240" i="148"/>
  <c r="M240" i="148"/>
  <c r="L240" i="148"/>
  <c r="K240" i="148"/>
  <c r="J240" i="148"/>
  <c r="I240" i="148"/>
  <c r="R239" i="148"/>
  <c r="N239" i="148"/>
  <c r="M239" i="148"/>
  <c r="L239" i="148"/>
  <c r="K239" i="148"/>
  <c r="J239" i="148"/>
  <c r="I239" i="148"/>
  <c r="R238" i="148"/>
  <c r="N238" i="148"/>
  <c r="M238" i="148"/>
  <c r="L238" i="148"/>
  <c r="K238" i="148"/>
  <c r="J238" i="148"/>
  <c r="I238" i="148"/>
  <c r="R237" i="148"/>
  <c r="N237" i="148"/>
  <c r="M237" i="148"/>
  <c r="L237" i="148"/>
  <c r="K237" i="148"/>
  <c r="J237" i="148"/>
  <c r="I237" i="148"/>
  <c r="R236" i="148"/>
  <c r="N236" i="148"/>
  <c r="M236" i="148"/>
  <c r="L236" i="148"/>
  <c r="K236" i="148"/>
  <c r="J236" i="148"/>
  <c r="I236" i="148"/>
  <c r="R235" i="148"/>
  <c r="N235" i="148"/>
  <c r="M235" i="148"/>
  <c r="L235" i="148"/>
  <c r="K235" i="148"/>
  <c r="J235" i="148"/>
  <c r="I235" i="148"/>
  <c r="R234" i="148"/>
  <c r="N234" i="148"/>
  <c r="M234" i="148"/>
  <c r="L234" i="148"/>
  <c r="K234" i="148"/>
  <c r="J234" i="148"/>
  <c r="I234" i="148"/>
  <c r="R233" i="148"/>
  <c r="N233" i="148"/>
  <c r="M233" i="148"/>
  <c r="L233" i="148"/>
  <c r="K233" i="148"/>
  <c r="J233" i="148"/>
  <c r="I233" i="148"/>
  <c r="R232" i="148"/>
  <c r="N232" i="148"/>
  <c r="M232" i="148"/>
  <c r="L232" i="148"/>
  <c r="K232" i="148"/>
  <c r="J232" i="148"/>
  <c r="I232" i="148"/>
  <c r="R231" i="148"/>
  <c r="N231" i="148"/>
  <c r="M231" i="148"/>
  <c r="L231" i="148"/>
  <c r="K231" i="148"/>
  <c r="J231" i="148"/>
  <c r="I231" i="148"/>
  <c r="R230" i="148"/>
  <c r="N230" i="148"/>
  <c r="M230" i="148"/>
  <c r="L230" i="148"/>
  <c r="O230" i="148" s="1"/>
  <c r="K230" i="148"/>
  <c r="J230" i="148"/>
  <c r="I230" i="148"/>
  <c r="R229" i="148"/>
  <c r="N229" i="148"/>
  <c r="M229" i="148"/>
  <c r="L229" i="148"/>
  <c r="K229" i="148"/>
  <c r="J229" i="148"/>
  <c r="I229" i="148"/>
  <c r="R228" i="148"/>
  <c r="N228" i="148"/>
  <c r="M228" i="148"/>
  <c r="L228" i="148"/>
  <c r="K228" i="148"/>
  <c r="J228" i="148"/>
  <c r="I228" i="148"/>
  <c r="R227" i="148"/>
  <c r="N227" i="148"/>
  <c r="M227" i="148"/>
  <c r="L227" i="148"/>
  <c r="O227" i="148" s="1"/>
  <c r="K227" i="148"/>
  <c r="J227" i="148"/>
  <c r="I227" i="148"/>
  <c r="R226" i="148"/>
  <c r="N226" i="148"/>
  <c r="M226" i="148"/>
  <c r="L226" i="148"/>
  <c r="K226" i="148"/>
  <c r="J226" i="148"/>
  <c r="I226" i="148"/>
  <c r="R225" i="148"/>
  <c r="N225" i="148"/>
  <c r="M225" i="148"/>
  <c r="L225" i="148"/>
  <c r="K225" i="148"/>
  <c r="J225" i="148"/>
  <c r="I225" i="148"/>
  <c r="R224" i="148"/>
  <c r="N224" i="148"/>
  <c r="M224" i="148"/>
  <c r="L224" i="148"/>
  <c r="K224" i="148"/>
  <c r="J224" i="148"/>
  <c r="I224" i="148"/>
  <c r="R223" i="148"/>
  <c r="N223" i="148"/>
  <c r="M223" i="148"/>
  <c r="L223" i="148"/>
  <c r="K223" i="148"/>
  <c r="J223" i="148"/>
  <c r="I223" i="148"/>
  <c r="R222" i="148"/>
  <c r="N222" i="148"/>
  <c r="M222" i="148"/>
  <c r="L222" i="148"/>
  <c r="K222" i="148"/>
  <c r="J222" i="148"/>
  <c r="I222" i="148"/>
  <c r="R221" i="148"/>
  <c r="N221" i="148"/>
  <c r="M221" i="148"/>
  <c r="L221" i="148"/>
  <c r="K221" i="148"/>
  <c r="J221" i="148"/>
  <c r="I221" i="148"/>
  <c r="R220" i="148"/>
  <c r="N220" i="148"/>
  <c r="M220" i="148"/>
  <c r="L220" i="148"/>
  <c r="K220" i="148"/>
  <c r="J220" i="148"/>
  <c r="I220" i="148"/>
  <c r="R219" i="148"/>
  <c r="N219" i="148"/>
  <c r="M219" i="148"/>
  <c r="L219" i="148"/>
  <c r="K219" i="148"/>
  <c r="J219" i="148"/>
  <c r="I219" i="148"/>
  <c r="R218" i="148"/>
  <c r="N218" i="148"/>
  <c r="M218" i="148"/>
  <c r="L218" i="148"/>
  <c r="K218" i="148"/>
  <c r="J218" i="148"/>
  <c r="I218" i="148"/>
  <c r="R217" i="148"/>
  <c r="N217" i="148"/>
  <c r="M217" i="148"/>
  <c r="L217" i="148"/>
  <c r="K217" i="148"/>
  <c r="J217" i="148"/>
  <c r="I217" i="148"/>
  <c r="R216" i="148"/>
  <c r="N216" i="148"/>
  <c r="M216" i="148"/>
  <c r="L216" i="148"/>
  <c r="K216" i="148"/>
  <c r="J216" i="148"/>
  <c r="I216" i="148"/>
  <c r="R215" i="148"/>
  <c r="N215" i="148"/>
  <c r="M215" i="148"/>
  <c r="L215" i="148"/>
  <c r="K215" i="148"/>
  <c r="J215" i="148"/>
  <c r="I215" i="148"/>
  <c r="R214" i="148"/>
  <c r="N214" i="148"/>
  <c r="M214" i="148"/>
  <c r="L214" i="148"/>
  <c r="K214" i="148"/>
  <c r="J214" i="148"/>
  <c r="I214" i="148"/>
  <c r="R213" i="148"/>
  <c r="N213" i="148"/>
  <c r="M213" i="148"/>
  <c r="L213" i="148"/>
  <c r="K213" i="148"/>
  <c r="J213" i="148"/>
  <c r="I213" i="148"/>
  <c r="R212" i="148"/>
  <c r="N212" i="148"/>
  <c r="M212" i="148"/>
  <c r="L212" i="148"/>
  <c r="K212" i="148"/>
  <c r="J212" i="148"/>
  <c r="I212" i="148"/>
  <c r="R211" i="148"/>
  <c r="N211" i="148"/>
  <c r="M211" i="148"/>
  <c r="L211" i="148"/>
  <c r="K211" i="148"/>
  <c r="J211" i="148"/>
  <c r="I211" i="148"/>
  <c r="R210" i="148"/>
  <c r="N210" i="148"/>
  <c r="M210" i="148"/>
  <c r="L210" i="148"/>
  <c r="K210" i="148"/>
  <c r="J210" i="148"/>
  <c r="I210" i="148"/>
  <c r="R209" i="148"/>
  <c r="N209" i="148"/>
  <c r="M209" i="148"/>
  <c r="L209" i="148"/>
  <c r="K209" i="148"/>
  <c r="J209" i="148"/>
  <c r="I209" i="148"/>
  <c r="R208" i="148"/>
  <c r="N208" i="148"/>
  <c r="M208" i="148"/>
  <c r="L208" i="148"/>
  <c r="K208" i="148"/>
  <c r="J208" i="148"/>
  <c r="I208" i="148"/>
  <c r="R207" i="148"/>
  <c r="N207" i="148"/>
  <c r="M207" i="148"/>
  <c r="L207" i="148"/>
  <c r="K207" i="148"/>
  <c r="J207" i="148"/>
  <c r="I207" i="148"/>
  <c r="R206" i="148"/>
  <c r="N206" i="148"/>
  <c r="M206" i="148"/>
  <c r="L206" i="148"/>
  <c r="O206" i="148" s="1"/>
  <c r="K206" i="148"/>
  <c r="J206" i="148"/>
  <c r="I206" i="148"/>
  <c r="R205" i="148"/>
  <c r="N205" i="148"/>
  <c r="M205" i="148"/>
  <c r="L205" i="148"/>
  <c r="K205" i="148"/>
  <c r="J205" i="148"/>
  <c r="I205" i="148"/>
  <c r="R204" i="148"/>
  <c r="N204" i="148"/>
  <c r="M204" i="148"/>
  <c r="L204" i="148"/>
  <c r="K204" i="148"/>
  <c r="J204" i="148"/>
  <c r="I204" i="148"/>
  <c r="R203" i="148"/>
  <c r="N203" i="148"/>
  <c r="M203" i="148"/>
  <c r="L203" i="148"/>
  <c r="K203" i="148"/>
  <c r="J203" i="148"/>
  <c r="I203" i="148"/>
  <c r="R202" i="148"/>
  <c r="N202" i="148"/>
  <c r="M202" i="148"/>
  <c r="L202" i="148"/>
  <c r="K202" i="148"/>
  <c r="J202" i="148"/>
  <c r="I202" i="148"/>
  <c r="R201" i="148"/>
  <c r="N201" i="148"/>
  <c r="M201" i="148"/>
  <c r="L201" i="148"/>
  <c r="K201" i="148"/>
  <c r="J201" i="148"/>
  <c r="I201" i="148"/>
  <c r="R200" i="148"/>
  <c r="N200" i="148"/>
  <c r="M200" i="148"/>
  <c r="L200" i="148"/>
  <c r="K200" i="148"/>
  <c r="J200" i="148"/>
  <c r="I200" i="148"/>
  <c r="R199" i="148"/>
  <c r="N199" i="148"/>
  <c r="M199" i="148"/>
  <c r="L199" i="148"/>
  <c r="O199" i="148" s="1"/>
  <c r="K199" i="148"/>
  <c r="J199" i="148"/>
  <c r="I199" i="148"/>
  <c r="R198" i="148"/>
  <c r="N198" i="148"/>
  <c r="M198" i="148"/>
  <c r="L198" i="148"/>
  <c r="K198" i="148"/>
  <c r="J198" i="148"/>
  <c r="I198" i="148"/>
  <c r="R197" i="148"/>
  <c r="N197" i="148"/>
  <c r="M197" i="148"/>
  <c r="L197" i="148"/>
  <c r="K197" i="148"/>
  <c r="J197" i="148"/>
  <c r="I197" i="148"/>
  <c r="R196" i="148"/>
  <c r="N196" i="148"/>
  <c r="M196" i="148"/>
  <c r="L196" i="148"/>
  <c r="K196" i="148"/>
  <c r="J196" i="148"/>
  <c r="I196" i="148"/>
  <c r="R195" i="148"/>
  <c r="N195" i="148"/>
  <c r="M195" i="148"/>
  <c r="L195" i="148"/>
  <c r="K195" i="148"/>
  <c r="J195" i="148"/>
  <c r="I195" i="148"/>
  <c r="R194" i="148"/>
  <c r="N194" i="148"/>
  <c r="M194" i="148"/>
  <c r="L194" i="148"/>
  <c r="K194" i="148"/>
  <c r="J194" i="148"/>
  <c r="I194" i="148"/>
  <c r="R193" i="148"/>
  <c r="N193" i="148"/>
  <c r="M193" i="148"/>
  <c r="L193" i="148"/>
  <c r="K193" i="148"/>
  <c r="J193" i="148"/>
  <c r="I193" i="148"/>
  <c r="R192" i="148"/>
  <c r="N192" i="148"/>
  <c r="M192" i="148"/>
  <c r="L192" i="148"/>
  <c r="K192" i="148"/>
  <c r="J192" i="148"/>
  <c r="I192" i="148"/>
  <c r="R191" i="148"/>
  <c r="N191" i="148"/>
  <c r="M191" i="148"/>
  <c r="L191" i="148"/>
  <c r="K191" i="148"/>
  <c r="J191" i="148"/>
  <c r="I191" i="148"/>
  <c r="R190" i="148"/>
  <c r="N190" i="148"/>
  <c r="M190" i="148"/>
  <c r="L190" i="148"/>
  <c r="K190" i="148"/>
  <c r="J190" i="148"/>
  <c r="I190" i="148"/>
  <c r="R189" i="148"/>
  <c r="N189" i="148"/>
  <c r="M189" i="148"/>
  <c r="L189" i="148"/>
  <c r="O189" i="148" s="1"/>
  <c r="K189" i="148"/>
  <c r="J189" i="148"/>
  <c r="I189" i="148"/>
  <c r="R188" i="148"/>
  <c r="N188" i="148"/>
  <c r="M188" i="148"/>
  <c r="L188" i="148"/>
  <c r="K188" i="148"/>
  <c r="J188" i="148"/>
  <c r="I188" i="148"/>
  <c r="R187" i="148"/>
  <c r="N187" i="148"/>
  <c r="M187" i="148"/>
  <c r="L187" i="148"/>
  <c r="K187" i="148"/>
  <c r="J187" i="148"/>
  <c r="I187" i="148"/>
  <c r="R186" i="148"/>
  <c r="N186" i="148"/>
  <c r="M186" i="148"/>
  <c r="L186" i="148"/>
  <c r="K186" i="148"/>
  <c r="J186" i="148"/>
  <c r="I186" i="148"/>
  <c r="R185" i="148"/>
  <c r="N185" i="148"/>
  <c r="M185" i="148"/>
  <c r="L185" i="148"/>
  <c r="K185" i="148"/>
  <c r="J185" i="148"/>
  <c r="I185" i="148"/>
  <c r="R184" i="148"/>
  <c r="N184" i="148"/>
  <c r="M184" i="148"/>
  <c r="L184" i="148"/>
  <c r="K184" i="148"/>
  <c r="J184" i="148"/>
  <c r="I184" i="148"/>
  <c r="R183" i="148"/>
  <c r="N183" i="148"/>
  <c r="M183" i="148"/>
  <c r="L183" i="148"/>
  <c r="O183" i="148" s="1"/>
  <c r="K183" i="148"/>
  <c r="J183" i="148"/>
  <c r="I183" i="148"/>
  <c r="R182" i="148"/>
  <c r="N182" i="148"/>
  <c r="M182" i="148"/>
  <c r="L182" i="148"/>
  <c r="O182" i="148" s="1"/>
  <c r="K182" i="148"/>
  <c r="J182" i="148"/>
  <c r="I182" i="148"/>
  <c r="R181" i="148"/>
  <c r="N181" i="148"/>
  <c r="M181" i="148"/>
  <c r="L181" i="148"/>
  <c r="K181" i="148"/>
  <c r="J181" i="148"/>
  <c r="I181" i="148"/>
  <c r="R180" i="148"/>
  <c r="N180" i="148"/>
  <c r="M180" i="148"/>
  <c r="L180" i="148"/>
  <c r="K180" i="148"/>
  <c r="J180" i="148"/>
  <c r="I180" i="148"/>
  <c r="R179" i="148"/>
  <c r="N179" i="148"/>
  <c r="M179" i="148"/>
  <c r="L179" i="148"/>
  <c r="K179" i="148"/>
  <c r="J179" i="148"/>
  <c r="I179" i="148"/>
  <c r="R178" i="148"/>
  <c r="N178" i="148"/>
  <c r="M178" i="148"/>
  <c r="L178" i="148"/>
  <c r="K178" i="148"/>
  <c r="J178" i="148"/>
  <c r="I178" i="148"/>
  <c r="R177" i="148"/>
  <c r="N177" i="148"/>
  <c r="M177" i="148"/>
  <c r="L177" i="148"/>
  <c r="K177" i="148"/>
  <c r="J177" i="148"/>
  <c r="I177" i="148"/>
  <c r="R176" i="148"/>
  <c r="N176" i="148"/>
  <c r="M176" i="148"/>
  <c r="L176" i="148"/>
  <c r="K176" i="148"/>
  <c r="J176" i="148"/>
  <c r="I176" i="148"/>
  <c r="R175" i="148"/>
  <c r="N175" i="148"/>
  <c r="M175" i="148"/>
  <c r="L175" i="148"/>
  <c r="K175" i="148"/>
  <c r="J175" i="148"/>
  <c r="I175" i="148"/>
  <c r="R174" i="148"/>
  <c r="N174" i="148"/>
  <c r="M174" i="148"/>
  <c r="L174" i="148"/>
  <c r="K174" i="148"/>
  <c r="J174" i="148"/>
  <c r="I174" i="148"/>
  <c r="R173" i="148"/>
  <c r="N173" i="148"/>
  <c r="M173" i="148"/>
  <c r="L173" i="148"/>
  <c r="K173" i="148"/>
  <c r="J173" i="148"/>
  <c r="I173" i="148"/>
  <c r="R172" i="148"/>
  <c r="N172" i="148"/>
  <c r="M172" i="148"/>
  <c r="L172" i="148"/>
  <c r="K172" i="148"/>
  <c r="J172" i="148"/>
  <c r="I172" i="148"/>
  <c r="R171" i="148"/>
  <c r="N171" i="148"/>
  <c r="M171" i="148"/>
  <c r="L171" i="148"/>
  <c r="K171" i="148"/>
  <c r="J171" i="148"/>
  <c r="I171" i="148"/>
  <c r="R170" i="148"/>
  <c r="N170" i="148"/>
  <c r="M170" i="148"/>
  <c r="L170" i="148"/>
  <c r="K170" i="148"/>
  <c r="J170" i="148"/>
  <c r="I170" i="148"/>
  <c r="R169" i="148"/>
  <c r="N169" i="148"/>
  <c r="M169" i="148"/>
  <c r="L169" i="148"/>
  <c r="K169" i="148"/>
  <c r="J169" i="148"/>
  <c r="I169" i="148"/>
  <c r="R168" i="148"/>
  <c r="N168" i="148"/>
  <c r="M168" i="148"/>
  <c r="L168" i="148"/>
  <c r="K168" i="148"/>
  <c r="J168" i="148"/>
  <c r="I168" i="148"/>
  <c r="R167" i="148"/>
  <c r="N167" i="148"/>
  <c r="M167" i="148"/>
  <c r="L167" i="148"/>
  <c r="O167" i="148" s="1"/>
  <c r="K167" i="148"/>
  <c r="J167" i="148"/>
  <c r="I167" i="148"/>
  <c r="R166" i="148"/>
  <c r="N166" i="148"/>
  <c r="M166" i="148"/>
  <c r="L166" i="148"/>
  <c r="K166" i="148"/>
  <c r="J166" i="148"/>
  <c r="I166" i="148"/>
  <c r="R165" i="148"/>
  <c r="N165" i="148"/>
  <c r="M165" i="148"/>
  <c r="L165" i="148"/>
  <c r="K165" i="148"/>
  <c r="J165" i="148"/>
  <c r="I165" i="148"/>
  <c r="R164" i="148"/>
  <c r="N164" i="148"/>
  <c r="M164" i="148"/>
  <c r="L164" i="148"/>
  <c r="K164" i="148"/>
  <c r="J164" i="148"/>
  <c r="I164" i="148"/>
  <c r="R163" i="148"/>
  <c r="N163" i="148"/>
  <c r="M163" i="148"/>
  <c r="L163" i="148"/>
  <c r="K163" i="148"/>
  <c r="J163" i="148"/>
  <c r="I163" i="148"/>
  <c r="R162" i="148"/>
  <c r="N162" i="148"/>
  <c r="M162" i="148"/>
  <c r="L162" i="148"/>
  <c r="K162" i="148"/>
  <c r="J162" i="148"/>
  <c r="I162" i="148"/>
  <c r="R161" i="148"/>
  <c r="N161" i="148"/>
  <c r="M161" i="148"/>
  <c r="L161" i="148"/>
  <c r="K161" i="148"/>
  <c r="J161" i="148"/>
  <c r="I161" i="148"/>
  <c r="R160" i="148"/>
  <c r="N160" i="148"/>
  <c r="M160" i="148"/>
  <c r="L160" i="148"/>
  <c r="K160" i="148"/>
  <c r="J160" i="148"/>
  <c r="I160" i="148"/>
  <c r="R159" i="148"/>
  <c r="N159" i="148"/>
  <c r="M159" i="148"/>
  <c r="L159" i="148"/>
  <c r="K159" i="148"/>
  <c r="J159" i="148"/>
  <c r="I159" i="148"/>
  <c r="R158" i="148"/>
  <c r="N158" i="148"/>
  <c r="M158" i="148"/>
  <c r="L158" i="148"/>
  <c r="K158" i="148"/>
  <c r="J158" i="148"/>
  <c r="I158" i="148"/>
  <c r="R157" i="148"/>
  <c r="N157" i="148"/>
  <c r="M157" i="148"/>
  <c r="L157" i="148"/>
  <c r="K157" i="148"/>
  <c r="J157" i="148"/>
  <c r="I157" i="148"/>
  <c r="R156" i="148"/>
  <c r="N156" i="148"/>
  <c r="M156" i="148"/>
  <c r="L156" i="148"/>
  <c r="K156" i="148"/>
  <c r="J156" i="148"/>
  <c r="I156" i="148"/>
  <c r="R155" i="148"/>
  <c r="N155" i="148"/>
  <c r="M155" i="148"/>
  <c r="L155" i="148"/>
  <c r="K155" i="148"/>
  <c r="J155" i="148"/>
  <c r="I155" i="148"/>
  <c r="R154" i="148"/>
  <c r="N154" i="148"/>
  <c r="M154" i="148"/>
  <c r="L154" i="148"/>
  <c r="K154" i="148"/>
  <c r="J154" i="148"/>
  <c r="I154" i="148"/>
  <c r="R153" i="148"/>
  <c r="N153" i="148"/>
  <c r="M153" i="148"/>
  <c r="L153" i="148"/>
  <c r="K153" i="148"/>
  <c r="J153" i="148"/>
  <c r="I153" i="148"/>
  <c r="R152" i="148"/>
  <c r="N152" i="148"/>
  <c r="M152" i="148"/>
  <c r="L152" i="148"/>
  <c r="K152" i="148"/>
  <c r="J152" i="148"/>
  <c r="I152" i="148"/>
  <c r="R151" i="148"/>
  <c r="N151" i="148"/>
  <c r="M151" i="148"/>
  <c r="L151" i="148"/>
  <c r="K151" i="148"/>
  <c r="J151" i="148"/>
  <c r="I151" i="148"/>
  <c r="R150" i="148"/>
  <c r="N150" i="148"/>
  <c r="M150" i="148"/>
  <c r="L150" i="148"/>
  <c r="O150" i="148" s="1"/>
  <c r="K150" i="148"/>
  <c r="J150" i="148"/>
  <c r="I150" i="148"/>
  <c r="R149" i="148"/>
  <c r="N149" i="148"/>
  <c r="M149" i="148"/>
  <c r="L149" i="148"/>
  <c r="K149" i="148"/>
  <c r="J149" i="148"/>
  <c r="I149" i="148"/>
  <c r="R148" i="148"/>
  <c r="N148" i="148"/>
  <c r="M148" i="148"/>
  <c r="L148" i="148"/>
  <c r="K148" i="148"/>
  <c r="J148" i="148"/>
  <c r="I148" i="148"/>
  <c r="R147" i="148"/>
  <c r="N147" i="148"/>
  <c r="M147" i="148"/>
  <c r="L147" i="148"/>
  <c r="K147" i="148"/>
  <c r="J147" i="148"/>
  <c r="I147" i="148"/>
  <c r="R146" i="148"/>
  <c r="N146" i="148"/>
  <c r="M146" i="148"/>
  <c r="L146" i="148"/>
  <c r="K146" i="148"/>
  <c r="J146" i="148"/>
  <c r="I146" i="148"/>
  <c r="R145" i="148"/>
  <c r="N145" i="148"/>
  <c r="M145" i="148"/>
  <c r="L145" i="148"/>
  <c r="O145" i="148" s="1"/>
  <c r="K145" i="148"/>
  <c r="J145" i="148"/>
  <c r="I145" i="148"/>
  <c r="R144" i="148"/>
  <c r="N144" i="148"/>
  <c r="M144" i="148"/>
  <c r="L144" i="148"/>
  <c r="K144" i="148"/>
  <c r="J144" i="148"/>
  <c r="I144" i="148"/>
  <c r="R143" i="148"/>
  <c r="N143" i="148"/>
  <c r="M143" i="148"/>
  <c r="L143" i="148"/>
  <c r="K143" i="148"/>
  <c r="J143" i="148"/>
  <c r="I143" i="148"/>
  <c r="R142" i="148"/>
  <c r="N142" i="148"/>
  <c r="M142" i="148"/>
  <c r="L142" i="148"/>
  <c r="O142" i="148" s="1"/>
  <c r="K142" i="148"/>
  <c r="J142" i="148"/>
  <c r="I142" i="148"/>
  <c r="R141" i="148"/>
  <c r="N141" i="148"/>
  <c r="M141" i="148"/>
  <c r="L141" i="148"/>
  <c r="K141" i="148"/>
  <c r="J141" i="148"/>
  <c r="I141" i="148"/>
  <c r="R140" i="148"/>
  <c r="N140" i="148"/>
  <c r="M140" i="148"/>
  <c r="L140" i="148"/>
  <c r="K140" i="148"/>
  <c r="J140" i="148"/>
  <c r="I140" i="148"/>
  <c r="R139" i="148"/>
  <c r="N139" i="148"/>
  <c r="M139" i="148"/>
  <c r="L139" i="148"/>
  <c r="K139" i="148"/>
  <c r="J139" i="148"/>
  <c r="I139" i="148"/>
  <c r="R138" i="148"/>
  <c r="N138" i="148"/>
  <c r="M138" i="148"/>
  <c r="L138" i="148"/>
  <c r="K138" i="148"/>
  <c r="J138" i="148"/>
  <c r="I138" i="148"/>
  <c r="R137" i="148"/>
  <c r="N137" i="148"/>
  <c r="M137" i="148"/>
  <c r="L137" i="148"/>
  <c r="K137" i="148"/>
  <c r="J137" i="148"/>
  <c r="I137" i="148"/>
  <c r="R136" i="148"/>
  <c r="N136" i="148"/>
  <c r="M136" i="148"/>
  <c r="L136" i="148"/>
  <c r="O136" i="148" s="1"/>
  <c r="K136" i="148"/>
  <c r="J136" i="148"/>
  <c r="I136" i="148"/>
  <c r="R135" i="148"/>
  <c r="N135" i="148"/>
  <c r="M135" i="148"/>
  <c r="L135" i="148"/>
  <c r="O135" i="148" s="1"/>
  <c r="K135" i="148"/>
  <c r="J135" i="148"/>
  <c r="I135" i="148"/>
  <c r="R134" i="148"/>
  <c r="N134" i="148"/>
  <c r="M134" i="148"/>
  <c r="L134" i="148"/>
  <c r="K134" i="148"/>
  <c r="J134" i="148"/>
  <c r="I134" i="148"/>
  <c r="R133" i="148"/>
  <c r="N133" i="148"/>
  <c r="M133" i="148"/>
  <c r="L133" i="148"/>
  <c r="K133" i="148"/>
  <c r="J133" i="148"/>
  <c r="I133" i="148"/>
  <c r="R132" i="148"/>
  <c r="N132" i="148"/>
  <c r="M132" i="148"/>
  <c r="L132" i="148"/>
  <c r="K132" i="148"/>
  <c r="J132" i="148"/>
  <c r="I132" i="148"/>
  <c r="R131" i="148"/>
  <c r="N131" i="148"/>
  <c r="M131" i="148"/>
  <c r="L131" i="148"/>
  <c r="O131" i="148" s="1"/>
  <c r="K131" i="148"/>
  <c r="J131" i="148"/>
  <c r="I131" i="148"/>
  <c r="R130" i="148"/>
  <c r="N130" i="148"/>
  <c r="M130" i="148"/>
  <c r="L130" i="148"/>
  <c r="K130" i="148"/>
  <c r="J130" i="148"/>
  <c r="I130" i="148"/>
  <c r="R129" i="148"/>
  <c r="N129" i="148"/>
  <c r="M129" i="148"/>
  <c r="L129" i="148"/>
  <c r="K129" i="148"/>
  <c r="J129" i="148"/>
  <c r="I129" i="148"/>
  <c r="R128" i="148"/>
  <c r="N128" i="148"/>
  <c r="M128" i="148"/>
  <c r="L128" i="148"/>
  <c r="O128" i="148" s="1"/>
  <c r="K128" i="148"/>
  <c r="J128" i="148"/>
  <c r="I128" i="148"/>
  <c r="R127" i="148"/>
  <c r="N127" i="148"/>
  <c r="M127" i="148"/>
  <c r="L127" i="148"/>
  <c r="K127" i="148"/>
  <c r="J127" i="148"/>
  <c r="I127" i="148"/>
  <c r="R126" i="148"/>
  <c r="N126" i="148"/>
  <c r="M126" i="148"/>
  <c r="L126" i="148"/>
  <c r="K126" i="148"/>
  <c r="J126" i="148"/>
  <c r="I126" i="148"/>
  <c r="R125" i="148"/>
  <c r="N125" i="148"/>
  <c r="M125" i="148"/>
  <c r="L125" i="148"/>
  <c r="K125" i="148"/>
  <c r="J125" i="148"/>
  <c r="I125" i="148"/>
  <c r="R124" i="148"/>
  <c r="N124" i="148"/>
  <c r="M124" i="148"/>
  <c r="L124" i="148"/>
  <c r="K124" i="148"/>
  <c r="J124" i="148"/>
  <c r="I124" i="148"/>
  <c r="R123" i="148"/>
  <c r="N123" i="148"/>
  <c r="M123" i="148"/>
  <c r="L123" i="148"/>
  <c r="K123" i="148"/>
  <c r="J123" i="148"/>
  <c r="I123" i="148"/>
  <c r="R122" i="148"/>
  <c r="N122" i="148"/>
  <c r="M122" i="148"/>
  <c r="L122" i="148"/>
  <c r="K122" i="148"/>
  <c r="J122" i="148"/>
  <c r="I122" i="148"/>
  <c r="R121" i="148"/>
  <c r="N121" i="148"/>
  <c r="M121" i="148"/>
  <c r="L121" i="148"/>
  <c r="K121" i="148"/>
  <c r="J121" i="148"/>
  <c r="I121" i="148"/>
  <c r="R120" i="148"/>
  <c r="N120" i="148"/>
  <c r="M120" i="148"/>
  <c r="L120" i="148"/>
  <c r="K120" i="148"/>
  <c r="J120" i="148"/>
  <c r="I120" i="148"/>
  <c r="R119" i="148"/>
  <c r="N119" i="148"/>
  <c r="M119" i="148"/>
  <c r="L119" i="148"/>
  <c r="K119" i="148"/>
  <c r="J119" i="148"/>
  <c r="I119" i="148"/>
  <c r="R118" i="148"/>
  <c r="N118" i="148"/>
  <c r="M118" i="148"/>
  <c r="L118" i="148"/>
  <c r="K118" i="148"/>
  <c r="J118" i="148"/>
  <c r="I118" i="148"/>
  <c r="R117" i="148"/>
  <c r="N117" i="148"/>
  <c r="M117" i="148"/>
  <c r="L117" i="148"/>
  <c r="K117" i="148"/>
  <c r="J117" i="148"/>
  <c r="I117" i="148"/>
  <c r="R116" i="148"/>
  <c r="N116" i="148"/>
  <c r="M116" i="148"/>
  <c r="L116" i="148"/>
  <c r="K116" i="148"/>
  <c r="J116" i="148"/>
  <c r="I116" i="148"/>
  <c r="R115" i="148"/>
  <c r="N115" i="148"/>
  <c r="M115" i="148"/>
  <c r="L115" i="148"/>
  <c r="K115" i="148"/>
  <c r="J115" i="148"/>
  <c r="I115" i="148"/>
  <c r="R114" i="148"/>
  <c r="N114" i="148"/>
  <c r="M114" i="148"/>
  <c r="L114" i="148"/>
  <c r="K114" i="148"/>
  <c r="J114" i="148"/>
  <c r="I114" i="148"/>
  <c r="R113" i="148"/>
  <c r="N113" i="148"/>
  <c r="M113" i="148"/>
  <c r="L113" i="148"/>
  <c r="O113" i="148" s="1"/>
  <c r="K113" i="148"/>
  <c r="J113" i="148"/>
  <c r="I113" i="148"/>
  <c r="R112" i="148"/>
  <c r="N112" i="148"/>
  <c r="M112" i="148"/>
  <c r="L112" i="148"/>
  <c r="K112" i="148"/>
  <c r="J112" i="148"/>
  <c r="I112" i="148"/>
  <c r="R111" i="148"/>
  <c r="N111" i="148"/>
  <c r="M111" i="148"/>
  <c r="L111" i="148"/>
  <c r="K111" i="148"/>
  <c r="J111" i="148"/>
  <c r="I111" i="148"/>
  <c r="R110" i="148"/>
  <c r="N110" i="148"/>
  <c r="M110" i="148"/>
  <c r="L110" i="148"/>
  <c r="K110" i="148"/>
  <c r="J110" i="148"/>
  <c r="I110" i="148"/>
  <c r="R109" i="148"/>
  <c r="N109" i="148"/>
  <c r="M109" i="148"/>
  <c r="L109" i="148"/>
  <c r="K109" i="148"/>
  <c r="J109" i="148"/>
  <c r="I109" i="148"/>
  <c r="R108" i="148"/>
  <c r="N108" i="148"/>
  <c r="M108" i="148"/>
  <c r="L108" i="148"/>
  <c r="K108" i="148"/>
  <c r="J108" i="148"/>
  <c r="I108" i="148"/>
  <c r="R107" i="148"/>
  <c r="N107" i="148"/>
  <c r="M107" i="148"/>
  <c r="L107" i="148"/>
  <c r="K107" i="148"/>
  <c r="J107" i="148"/>
  <c r="I107" i="148"/>
  <c r="R106" i="148"/>
  <c r="N106" i="148"/>
  <c r="M106" i="148"/>
  <c r="L106" i="148"/>
  <c r="O106" i="148" s="1"/>
  <c r="K106" i="148"/>
  <c r="J106" i="148"/>
  <c r="I106" i="148"/>
  <c r="R105" i="148"/>
  <c r="N105" i="148"/>
  <c r="M105" i="148"/>
  <c r="L105" i="148"/>
  <c r="O105" i="148" s="1"/>
  <c r="K105" i="148"/>
  <c r="J105" i="148"/>
  <c r="I105" i="148"/>
  <c r="R104" i="148"/>
  <c r="N104" i="148"/>
  <c r="M104" i="148"/>
  <c r="L104" i="148"/>
  <c r="K104" i="148"/>
  <c r="J104" i="148"/>
  <c r="I104" i="148"/>
  <c r="R103" i="148"/>
  <c r="N103" i="148"/>
  <c r="M103" i="148"/>
  <c r="L103" i="148"/>
  <c r="K103" i="148"/>
  <c r="J103" i="148"/>
  <c r="I103" i="148"/>
  <c r="R102" i="148"/>
  <c r="N102" i="148"/>
  <c r="M102" i="148"/>
  <c r="L102" i="148"/>
  <c r="K102" i="148"/>
  <c r="J102" i="148"/>
  <c r="I102" i="148"/>
  <c r="R101" i="148"/>
  <c r="N101" i="148"/>
  <c r="M101" i="148"/>
  <c r="L101" i="148"/>
  <c r="K101" i="148"/>
  <c r="J101" i="148"/>
  <c r="I101" i="148"/>
  <c r="R100" i="148"/>
  <c r="N100" i="148"/>
  <c r="M100" i="148"/>
  <c r="L100" i="148"/>
  <c r="O100" i="148" s="1"/>
  <c r="K100" i="148"/>
  <c r="J100" i="148"/>
  <c r="I100" i="148"/>
  <c r="R99" i="148"/>
  <c r="N99" i="148"/>
  <c r="M99" i="148"/>
  <c r="L99" i="148"/>
  <c r="K99" i="148"/>
  <c r="J99" i="148"/>
  <c r="I99" i="148"/>
  <c r="R98" i="148"/>
  <c r="N98" i="148"/>
  <c r="M98" i="148"/>
  <c r="L98" i="148"/>
  <c r="K98" i="148"/>
  <c r="J98" i="148"/>
  <c r="I98" i="148"/>
  <c r="R97" i="148"/>
  <c r="N97" i="148"/>
  <c r="M97" i="148"/>
  <c r="L97" i="148"/>
  <c r="K97" i="148"/>
  <c r="J97" i="148"/>
  <c r="I97" i="148"/>
  <c r="R96" i="148"/>
  <c r="N96" i="148"/>
  <c r="M96" i="148"/>
  <c r="L96" i="148"/>
  <c r="K96" i="148"/>
  <c r="J96" i="148"/>
  <c r="I96" i="148"/>
  <c r="R95" i="148"/>
  <c r="N95" i="148"/>
  <c r="M95" i="148"/>
  <c r="L95" i="148"/>
  <c r="K95" i="148"/>
  <c r="J95" i="148"/>
  <c r="I95" i="148"/>
  <c r="R94" i="148"/>
  <c r="N94" i="148"/>
  <c r="M94" i="148"/>
  <c r="L94" i="148"/>
  <c r="K94" i="148"/>
  <c r="J94" i="148"/>
  <c r="I94" i="148"/>
  <c r="R93" i="148"/>
  <c r="N93" i="148"/>
  <c r="M93" i="148"/>
  <c r="L93" i="148"/>
  <c r="O93" i="148" s="1"/>
  <c r="K93" i="148"/>
  <c r="J93" i="148"/>
  <c r="I93" i="148"/>
  <c r="R92" i="148"/>
  <c r="N92" i="148"/>
  <c r="M92" i="148"/>
  <c r="L92" i="148"/>
  <c r="K92" i="148"/>
  <c r="J92" i="148"/>
  <c r="I92" i="148"/>
  <c r="R91" i="148"/>
  <c r="N91" i="148"/>
  <c r="M91" i="148"/>
  <c r="L91" i="148"/>
  <c r="K91" i="148"/>
  <c r="J91" i="148"/>
  <c r="I91" i="148"/>
  <c r="R90" i="148"/>
  <c r="N90" i="148"/>
  <c r="M90" i="148"/>
  <c r="L90" i="148"/>
  <c r="O90" i="148" s="1"/>
  <c r="K90" i="148"/>
  <c r="J90" i="148"/>
  <c r="I90" i="148"/>
  <c r="R89" i="148"/>
  <c r="N89" i="148"/>
  <c r="M89" i="148"/>
  <c r="L89" i="148"/>
  <c r="K89" i="148"/>
  <c r="J89" i="148"/>
  <c r="I89" i="148"/>
  <c r="R88" i="148"/>
  <c r="N88" i="148"/>
  <c r="M88" i="148"/>
  <c r="L88" i="148"/>
  <c r="K88" i="148"/>
  <c r="J88" i="148"/>
  <c r="I88" i="148"/>
  <c r="R87" i="148"/>
  <c r="N87" i="148"/>
  <c r="M87" i="148"/>
  <c r="L87" i="148"/>
  <c r="K87" i="148"/>
  <c r="J87" i="148"/>
  <c r="I87" i="148"/>
  <c r="R86" i="148"/>
  <c r="N86" i="148"/>
  <c r="M86" i="148"/>
  <c r="L86" i="148"/>
  <c r="K86" i="148"/>
  <c r="J86" i="148"/>
  <c r="I86" i="148"/>
  <c r="R85" i="148"/>
  <c r="N85" i="148"/>
  <c r="M85" i="148"/>
  <c r="L85" i="148"/>
  <c r="K85" i="148"/>
  <c r="J85" i="148"/>
  <c r="I85" i="148"/>
  <c r="R84" i="148"/>
  <c r="N84" i="148"/>
  <c r="M84" i="148"/>
  <c r="L84" i="148"/>
  <c r="K84" i="148"/>
  <c r="J84" i="148"/>
  <c r="I84" i="148"/>
  <c r="R83" i="148"/>
  <c r="N83" i="148"/>
  <c r="M83" i="148"/>
  <c r="K83" i="148"/>
  <c r="J83" i="148"/>
  <c r="I83" i="148"/>
  <c r="R82" i="148"/>
  <c r="N82" i="148"/>
  <c r="M82" i="148"/>
  <c r="K82" i="148"/>
  <c r="J82" i="148"/>
  <c r="I82" i="148"/>
  <c r="R81" i="148"/>
  <c r="N81" i="148"/>
  <c r="M81" i="148"/>
  <c r="K81" i="148"/>
  <c r="J81" i="148"/>
  <c r="I81" i="148"/>
  <c r="R80" i="148"/>
  <c r="N80" i="148"/>
  <c r="M80" i="148"/>
  <c r="K80" i="148"/>
  <c r="J80" i="148"/>
  <c r="I80" i="148"/>
  <c r="R79" i="148"/>
  <c r="N79" i="148"/>
  <c r="M79" i="148"/>
  <c r="K79" i="148"/>
  <c r="J79" i="148"/>
  <c r="I79" i="148"/>
  <c r="R78" i="148"/>
  <c r="N78" i="148"/>
  <c r="M78" i="148"/>
  <c r="K78" i="148"/>
  <c r="J78" i="148"/>
  <c r="I78" i="148"/>
  <c r="R77" i="148"/>
  <c r="N77" i="148"/>
  <c r="M77" i="148"/>
  <c r="K77" i="148"/>
  <c r="J77" i="148"/>
  <c r="I77" i="148"/>
  <c r="R76" i="148"/>
  <c r="N76" i="148"/>
  <c r="M76" i="148"/>
  <c r="K76" i="148"/>
  <c r="J76" i="148"/>
  <c r="I76" i="148"/>
  <c r="R75" i="148"/>
  <c r="N75" i="148"/>
  <c r="M75" i="148"/>
  <c r="K75" i="148"/>
  <c r="J75" i="148"/>
  <c r="I75" i="148"/>
  <c r="R74" i="148"/>
  <c r="N74" i="148"/>
  <c r="M74" i="148"/>
  <c r="K74" i="148"/>
  <c r="J74" i="148"/>
  <c r="I74" i="148"/>
  <c r="R73" i="148"/>
  <c r="N73" i="148"/>
  <c r="M73" i="148"/>
  <c r="K73" i="148"/>
  <c r="J73" i="148"/>
  <c r="I73" i="148"/>
  <c r="R72" i="148"/>
  <c r="N72" i="148"/>
  <c r="M72" i="148"/>
  <c r="K72" i="148"/>
  <c r="J72" i="148"/>
  <c r="I72" i="148"/>
  <c r="R71" i="148"/>
  <c r="N71" i="148"/>
  <c r="M71" i="148"/>
  <c r="K71" i="148"/>
  <c r="J71" i="148"/>
  <c r="I71" i="148"/>
  <c r="R70" i="148"/>
  <c r="N70" i="148"/>
  <c r="M70" i="148"/>
  <c r="K70" i="148"/>
  <c r="J70" i="148"/>
  <c r="I70" i="148"/>
  <c r="R69" i="148"/>
  <c r="N69" i="148"/>
  <c r="M69" i="148"/>
  <c r="K69" i="148"/>
  <c r="J69" i="148"/>
  <c r="I69" i="148"/>
  <c r="R68" i="148"/>
  <c r="N68" i="148"/>
  <c r="M68" i="148"/>
  <c r="O68" i="148" s="1"/>
  <c r="K68" i="148"/>
  <c r="J68" i="148"/>
  <c r="I68" i="148"/>
  <c r="R67" i="148"/>
  <c r="N67" i="148"/>
  <c r="M67" i="148"/>
  <c r="K67" i="148"/>
  <c r="J67" i="148"/>
  <c r="I67" i="148"/>
  <c r="R66" i="148"/>
  <c r="N66" i="148"/>
  <c r="M66" i="148"/>
  <c r="K66" i="148"/>
  <c r="J66" i="148"/>
  <c r="I66" i="148"/>
  <c r="R65" i="148"/>
  <c r="N65" i="148"/>
  <c r="M65" i="148"/>
  <c r="K65" i="148"/>
  <c r="J65" i="148"/>
  <c r="I65" i="148"/>
  <c r="R64" i="148"/>
  <c r="N64" i="148"/>
  <c r="M64" i="148"/>
  <c r="K64" i="148"/>
  <c r="J64" i="148"/>
  <c r="I64" i="148"/>
  <c r="R63" i="148"/>
  <c r="N63" i="148"/>
  <c r="M63" i="148"/>
  <c r="K63" i="148"/>
  <c r="J63" i="148"/>
  <c r="I63" i="148"/>
  <c r="R62" i="148"/>
  <c r="N62" i="148"/>
  <c r="M62" i="148"/>
  <c r="K62" i="148"/>
  <c r="J62" i="148"/>
  <c r="I62" i="148"/>
  <c r="R61" i="148"/>
  <c r="N61" i="148"/>
  <c r="M61" i="148"/>
  <c r="K61" i="148"/>
  <c r="J61" i="148"/>
  <c r="I61" i="148"/>
  <c r="R60" i="148"/>
  <c r="N60" i="148"/>
  <c r="M60" i="148"/>
  <c r="K60" i="148"/>
  <c r="J60" i="148"/>
  <c r="I60" i="148"/>
  <c r="R59" i="148"/>
  <c r="N59" i="148"/>
  <c r="M59" i="148"/>
  <c r="K59" i="148"/>
  <c r="J59" i="148"/>
  <c r="I59" i="148"/>
  <c r="R58" i="148"/>
  <c r="N58" i="148"/>
  <c r="M58" i="148"/>
  <c r="K58" i="148"/>
  <c r="J58" i="148"/>
  <c r="I58" i="148"/>
  <c r="R57" i="148"/>
  <c r="N57" i="148"/>
  <c r="M57" i="148"/>
  <c r="K57" i="148"/>
  <c r="J57" i="148"/>
  <c r="I57" i="148"/>
  <c r="R56" i="148"/>
  <c r="N56" i="148"/>
  <c r="M56" i="148"/>
  <c r="O56" i="148" s="1"/>
  <c r="K56" i="148"/>
  <c r="J56" i="148"/>
  <c r="I56" i="148"/>
  <c r="R55" i="148"/>
  <c r="N55" i="148"/>
  <c r="M55" i="148"/>
  <c r="K55" i="148"/>
  <c r="J55" i="148"/>
  <c r="I55" i="148"/>
  <c r="R54" i="148"/>
  <c r="N54" i="148"/>
  <c r="M54" i="148"/>
  <c r="K54" i="148"/>
  <c r="J54" i="148"/>
  <c r="I54" i="148"/>
  <c r="R53" i="148"/>
  <c r="N53" i="148"/>
  <c r="M53" i="148"/>
  <c r="K53" i="148"/>
  <c r="J53" i="148"/>
  <c r="I53" i="148"/>
  <c r="R52" i="148"/>
  <c r="N52" i="148"/>
  <c r="M52" i="148"/>
  <c r="K52" i="148"/>
  <c r="J52" i="148"/>
  <c r="I52" i="148"/>
  <c r="R51" i="148"/>
  <c r="N51" i="148"/>
  <c r="M51" i="148"/>
  <c r="K51" i="148"/>
  <c r="J51" i="148"/>
  <c r="I51" i="148"/>
  <c r="R50" i="148"/>
  <c r="N50" i="148"/>
  <c r="M50" i="148"/>
  <c r="K50" i="148"/>
  <c r="J50" i="148"/>
  <c r="I50" i="148"/>
  <c r="R49" i="148"/>
  <c r="N49" i="148"/>
  <c r="M49" i="148"/>
  <c r="K49" i="148"/>
  <c r="J49" i="148"/>
  <c r="I49" i="148"/>
  <c r="R48" i="148"/>
  <c r="N48" i="148"/>
  <c r="M48" i="148"/>
  <c r="K48" i="148"/>
  <c r="J48" i="148"/>
  <c r="I48" i="148"/>
  <c r="R47" i="148"/>
  <c r="N47" i="148"/>
  <c r="M47" i="148"/>
  <c r="O47" i="148" s="1"/>
  <c r="K47" i="148"/>
  <c r="J47" i="148"/>
  <c r="I47" i="148"/>
  <c r="R43" i="148"/>
  <c r="N43" i="148"/>
  <c r="M43" i="148"/>
  <c r="L43" i="148"/>
  <c r="K43" i="148"/>
  <c r="J43" i="148"/>
  <c r="I43" i="148"/>
  <c r="R42" i="148"/>
  <c r="N42" i="148"/>
  <c r="M42" i="148"/>
  <c r="L42" i="148"/>
  <c r="K42" i="148"/>
  <c r="J42" i="148"/>
  <c r="I42" i="148"/>
  <c r="R41" i="148"/>
  <c r="N41" i="148"/>
  <c r="M41" i="148"/>
  <c r="L41" i="148"/>
  <c r="K41" i="148"/>
  <c r="J41" i="148"/>
  <c r="I41" i="148"/>
  <c r="R40" i="148"/>
  <c r="Q40" i="148"/>
  <c r="N40" i="148"/>
  <c r="M40" i="148"/>
  <c r="L40" i="148"/>
  <c r="K40" i="148"/>
  <c r="J40" i="148"/>
  <c r="I40" i="148"/>
  <c r="M39" i="148"/>
  <c r="L39" i="148"/>
  <c r="K39" i="148"/>
  <c r="J39" i="148"/>
  <c r="I39" i="148"/>
  <c r="M38" i="148"/>
  <c r="L38" i="148"/>
  <c r="K38" i="148"/>
  <c r="J38" i="148"/>
  <c r="I38" i="148"/>
  <c r="M37" i="148"/>
  <c r="L37" i="148"/>
  <c r="K37" i="148"/>
  <c r="J37" i="148"/>
  <c r="I37" i="148"/>
  <c r="M36" i="148"/>
  <c r="L36" i="148"/>
  <c r="K36" i="148"/>
  <c r="J36" i="148"/>
  <c r="I36" i="148"/>
  <c r="M35" i="148"/>
  <c r="L35" i="148"/>
  <c r="K35" i="148"/>
  <c r="J35" i="148"/>
  <c r="I35" i="148"/>
  <c r="M34" i="148"/>
  <c r="L34" i="148"/>
  <c r="K34" i="148"/>
  <c r="J34" i="148"/>
  <c r="I34" i="148"/>
  <c r="M33" i="148"/>
  <c r="L33" i="148"/>
  <c r="K33" i="148"/>
  <c r="J33" i="148"/>
  <c r="I33" i="148"/>
  <c r="M32" i="148"/>
  <c r="L32" i="148"/>
  <c r="K32" i="148"/>
  <c r="J32" i="148"/>
  <c r="I32" i="148"/>
  <c r="M31" i="148"/>
  <c r="L31" i="148"/>
  <c r="K31" i="148"/>
  <c r="J31" i="148"/>
  <c r="I31" i="148"/>
  <c r="M30" i="148"/>
  <c r="L30" i="148"/>
  <c r="K30" i="148"/>
  <c r="J30" i="148"/>
  <c r="I30" i="148"/>
  <c r="M29" i="148"/>
  <c r="L29" i="148"/>
  <c r="K29" i="148"/>
  <c r="J29" i="148"/>
  <c r="I29" i="148"/>
  <c r="M28" i="148"/>
  <c r="L28" i="148"/>
  <c r="I28" i="148"/>
  <c r="M27" i="148"/>
  <c r="L27" i="148"/>
  <c r="I27" i="148"/>
  <c r="M26" i="148"/>
  <c r="L26" i="148"/>
  <c r="I26" i="148"/>
  <c r="M25" i="148"/>
  <c r="L25" i="148"/>
  <c r="I25" i="148"/>
  <c r="M24" i="148"/>
  <c r="L24" i="148"/>
  <c r="I24" i="148"/>
  <c r="M23" i="148"/>
  <c r="L23" i="148"/>
  <c r="I23" i="148"/>
  <c r="M22" i="148"/>
  <c r="L22" i="148"/>
  <c r="I22" i="148"/>
  <c r="M21" i="148"/>
  <c r="L21" i="148"/>
  <c r="I21" i="148"/>
  <c r="M20" i="148"/>
  <c r="L20" i="148"/>
  <c r="I20" i="148"/>
  <c r="M19" i="148"/>
  <c r="L19" i="148"/>
  <c r="I19" i="148"/>
  <c r="M18" i="148"/>
  <c r="L18" i="148"/>
  <c r="I18" i="148"/>
  <c r="M17" i="148"/>
  <c r="L17" i="148"/>
  <c r="I17" i="148"/>
  <c r="M16" i="148"/>
  <c r="L16" i="148"/>
  <c r="I16" i="148"/>
  <c r="I15" i="148"/>
  <c r="I14" i="148"/>
  <c r="I13" i="148"/>
  <c r="I12" i="148"/>
  <c r="I11" i="148"/>
  <c r="I10" i="148"/>
  <c r="I9" i="148"/>
  <c r="I8" i="148"/>
  <c r="I7" i="148"/>
  <c r="I6" i="148"/>
  <c r="S1117" i="148" l="1"/>
  <c r="O526" i="148"/>
  <c r="S533" i="148"/>
  <c r="S537" i="148"/>
  <c r="S544" i="148"/>
  <c r="S553" i="148"/>
  <c r="S557" i="148"/>
  <c r="S560" i="148"/>
  <c r="S568" i="148"/>
  <c r="S569" i="148"/>
  <c r="S585" i="148"/>
  <c r="S1083" i="148"/>
  <c r="S1091" i="148"/>
  <c r="S1107" i="148"/>
  <c r="P75" i="148"/>
  <c r="P88" i="148"/>
  <c r="P91" i="148"/>
  <c r="P108" i="148"/>
  <c r="P114" i="148"/>
  <c r="P126" i="148"/>
  <c r="P180" i="148"/>
  <c r="P224" i="148"/>
  <c r="P234" i="148"/>
  <c r="P244" i="148"/>
  <c r="P117" i="148"/>
  <c r="P138" i="148"/>
  <c r="P174" i="148"/>
  <c r="P268" i="148"/>
  <c r="O378" i="148"/>
  <c r="S1097" i="148"/>
  <c r="S522" i="148"/>
  <c r="S523" i="148"/>
  <c r="O550" i="148"/>
  <c r="O616" i="148"/>
  <c r="S219" i="148"/>
  <c r="S222" i="148"/>
  <c r="S223" i="148"/>
  <c r="S241" i="148"/>
  <c r="S245" i="148"/>
  <c r="S357" i="148"/>
  <c r="S385" i="148"/>
  <c r="S386" i="148"/>
  <c r="S403" i="148"/>
  <c r="S652" i="148"/>
  <c r="S676" i="148"/>
  <c r="S700" i="148"/>
  <c r="S716" i="148"/>
  <c r="S731" i="148"/>
  <c r="S746" i="148"/>
  <c r="S767" i="148"/>
  <c r="S799" i="148"/>
  <c r="S815" i="148"/>
  <c r="S891" i="148"/>
  <c r="O264" i="148"/>
  <c r="O282" i="148"/>
  <c r="O344" i="148"/>
  <c r="O360" i="148"/>
  <c r="P435" i="148"/>
  <c r="P439" i="148"/>
  <c r="S1123" i="148"/>
  <c r="O587" i="148"/>
  <c r="O1023" i="148"/>
  <c r="S436" i="148"/>
  <c r="O1116" i="148"/>
  <c r="S62" i="148"/>
  <c r="S65" i="148"/>
  <c r="S71" i="148"/>
  <c r="S134" i="148"/>
  <c r="S140" i="148"/>
  <c r="S170" i="148"/>
  <c r="S182" i="148"/>
  <c r="S242" i="148"/>
  <c r="S311" i="148"/>
  <c r="S525" i="148"/>
  <c r="O885" i="148"/>
  <c r="O1059" i="148"/>
  <c r="O1062" i="148"/>
  <c r="O376" i="148"/>
  <c r="S822" i="148"/>
  <c r="P181" i="148"/>
  <c r="P379" i="148"/>
  <c r="S1005" i="148"/>
  <c r="O1122" i="148"/>
  <c r="O34" i="148"/>
  <c r="S61" i="148"/>
  <c r="S70" i="148"/>
  <c r="S73" i="148"/>
  <c r="S118" i="148"/>
  <c r="S154" i="148"/>
  <c r="S157" i="148"/>
  <c r="S262" i="148"/>
  <c r="S274" i="148"/>
  <c r="S280" i="148"/>
  <c r="S286" i="148"/>
  <c r="S322" i="148"/>
  <c r="S334" i="148"/>
  <c r="O863" i="148"/>
  <c r="O893" i="148"/>
  <c r="S821" i="148"/>
  <c r="O19" i="148"/>
  <c r="O23" i="148"/>
  <c r="O27" i="148"/>
  <c r="O37" i="148"/>
  <c r="P438" i="148"/>
  <c r="S445" i="148"/>
  <c r="P1075" i="148"/>
  <c r="O1126" i="148"/>
  <c r="S186" i="148"/>
  <c r="S189" i="148"/>
  <c r="S204" i="148"/>
  <c r="S234" i="148"/>
  <c r="S258" i="148"/>
  <c r="S279" i="148"/>
  <c r="S306" i="148"/>
  <c r="O883" i="148"/>
  <c r="O287" i="148"/>
  <c r="O293" i="148"/>
  <c r="S841" i="148"/>
  <c r="P43" i="148"/>
  <c r="P299" i="148"/>
  <c r="P849" i="148"/>
  <c r="S922" i="148"/>
  <c r="P930" i="148"/>
  <c r="P933" i="148"/>
  <c r="S943" i="148"/>
  <c r="P1005" i="148"/>
  <c r="P1008" i="148"/>
  <c r="P1011" i="148"/>
  <c r="P1065" i="148"/>
  <c r="P1068" i="148"/>
  <c r="P95" i="148"/>
  <c r="P104" i="148"/>
  <c r="P107" i="148"/>
  <c r="P110" i="148"/>
  <c r="P116" i="148"/>
  <c r="S117" i="148"/>
  <c r="S129" i="148"/>
  <c r="S132" i="148"/>
  <c r="P146" i="148"/>
  <c r="S147" i="148"/>
  <c r="P149" i="148"/>
  <c r="P170" i="148"/>
  <c r="S180" i="148"/>
  <c r="P197" i="148"/>
  <c r="S301" i="148"/>
  <c r="O309" i="148"/>
  <c r="P315" i="148"/>
  <c r="O318" i="148"/>
  <c r="O321" i="148"/>
  <c r="O333" i="148"/>
  <c r="P363" i="148"/>
  <c r="O387" i="148"/>
  <c r="O399" i="148"/>
  <c r="O405" i="148"/>
  <c r="S596" i="148"/>
  <c r="S608" i="148"/>
  <c r="S614" i="148"/>
  <c r="S1087" i="148"/>
  <c r="S1099" i="148"/>
  <c r="S1111" i="148"/>
  <c r="S47" i="148"/>
  <c r="O77" i="148"/>
  <c r="O122" i="148"/>
  <c r="O188" i="148"/>
  <c r="S207" i="148"/>
  <c r="S216" i="148"/>
  <c r="O571" i="148"/>
  <c r="O592" i="148"/>
  <c r="O595" i="148"/>
  <c r="S656" i="148"/>
  <c r="S659" i="148"/>
  <c r="S662" i="148"/>
  <c r="S665" i="148"/>
  <c r="S689" i="148"/>
  <c r="S704" i="148"/>
  <c r="S707" i="148"/>
  <c r="S791" i="148"/>
  <c r="O920" i="148"/>
  <c r="O926" i="148"/>
  <c r="O935" i="148"/>
  <c r="O944" i="148"/>
  <c r="S975" i="148"/>
  <c r="S987" i="148"/>
  <c r="S996" i="148"/>
  <c r="S1014" i="148"/>
  <c r="S1029" i="148"/>
  <c r="S1032" i="148"/>
  <c r="S1041" i="148"/>
  <c r="O218" i="148"/>
  <c r="S420" i="148"/>
  <c r="S487" i="148"/>
  <c r="O489" i="148"/>
  <c r="O501" i="148"/>
  <c r="O706" i="148"/>
  <c r="O712" i="148"/>
  <c r="O730" i="148"/>
  <c r="O736" i="148"/>
  <c r="O757" i="148"/>
  <c r="O793" i="148"/>
  <c r="O805" i="148"/>
  <c r="P823" i="148"/>
  <c r="P829" i="148"/>
  <c r="P835" i="148"/>
  <c r="O838" i="148"/>
  <c r="S839" i="148"/>
  <c r="S851" i="148"/>
  <c r="S881" i="148"/>
  <c r="S887" i="148"/>
  <c r="O998" i="148"/>
  <c r="O1058" i="148"/>
  <c r="P124" i="148"/>
  <c r="P202" i="148"/>
  <c r="P251" i="148"/>
  <c r="S294" i="148"/>
  <c r="P296" i="148"/>
  <c r="P308" i="148"/>
  <c r="S309" i="148"/>
  <c r="O311" i="148"/>
  <c r="P332" i="148"/>
  <c r="S333" i="148"/>
  <c r="O353" i="148"/>
  <c r="O365" i="148"/>
  <c r="O371" i="148"/>
  <c r="P395" i="148"/>
  <c r="S580" i="148"/>
  <c r="S592" i="148"/>
  <c r="S905" i="148"/>
  <c r="S908" i="148"/>
  <c r="S935" i="148"/>
  <c r="S941" i="148"/>
  <c r="S947" i="148"/>
  <c r="O950" i="148"/>
  <c r="P953" i="148"/>
  <c r="P1081" i="148"/>
  <c r="S1120" i="148"/>
  <c r="S40" i="148"/>
  <c r="S49" i="148"/>
  <c r="S55" i="148"/>
  <c r="O160" i="148"/>
  <c r="O172" i="148"/>
  <c r="S215" i="148"/>
  <c r="S456" i="148"/>
  <c r="O555" i="148"/>
  <c r="O576" i="148"/>
  <c r="S769" i="148"/>
  <c r="S787" i="148"/>
  <c r="O916" i="148"/>
  <c r="O919" i="148"/>
  <c r="O928" i="148"/>
  <c r="O931" i="148"/>
  <c r="S995" i="148"/>
  <c r="S1058" i="148"/>
  <c r="S1061" i="148"/>
  <c r="P1083" i="148"/>
  <c r="S296" i="148"/>
  <c r="S326" i="148"/>
  <c r="S338" i="148"/>
  <c r="S344" i="148"/>
  <c r="S350" i="148"/>
  <c r="S374" i="148"/>
  <c r="S398" i="148"/>
  <c r="S416" i="148"/>
  <c r="S428" i="148"/>
  <c r="S480" i="148"/>
  <c r="O485" i="148"/>
  <c r="O488" i="148"/>
  <c r="O630" i="148"/>
  <c r="O636" i="148"/>
  <c r="O708" i="148"/>
  <c r="O723" i="148"/>
  <c r="O741" i="148"/>
  <c r="O789" i="148"/>
  <c r="O822" i="148"/>
  <c r="O825" i="148"/>
  <c r="P828" i="148"/>
  <c r="P831" i="148"/>
  <c r="O834" i="148"/>
  <c r="P837" i="148"/>
  <c r="P843" i="148"/>
  <c r="S853" i="148"/>
  <c r="S865" i="148"/>
  <c r="S871" i="148"/>
  <c r="S880" i="148"/>
  <c r="S883" i="148"/>
  <c r="S889" i="148"/>
  <c r="O1063" i="148"/>
  <c r="S1064" i="148"/>
  <c r="S1129" i="148"/>
  <c r="S190" i="148"/>
  <c r="O232" i="148"/>
  <c r="O271" i="148"/>
  <c r="O274" i="148"/>
  <c r="O277" i="148"/>
  <c r="O298" i="148"/>
  <c r="O301" i="148"/>
  <c r="S305" i="148"/>
  <c r="P331" i="148"/>
  <c r="O337" i="148"/>
  <c r="O394" i="148"/>
  <c r="P400" i="148"/>
  <c r="P403" i="148"/>
  <c r="P406" i="148"/>
  <c r="S600" i="148"/>
  <c r="S612" i="148"/>
  <c r="P798" i="148"/>
  <c r="P991" i="148"/>
  <c r="P1003" i="148"/>
  <c r="S1119" i="148"/>
  <c r="O69" i="148"/>
  <c r="S88" i="148"/>
  <c r="S54" i="148"/>
  <c r="S1057" i="148"/>
  <c r="P41" i="148"/>
  <c r="O50" i="148"/>
  <c r="P56" i="148"/>
  <c r="S57" i="148"/>
  <c r="P219" i="148"/>
  <c r="P283" i="148"/>
  <c r="O614" i="148"/>
  <c r="S624" i="148"/>
  <c r="S684" i="148"/>
  <c r="S738" i="148"/>
  <c r="O927" i="148"/>
  <c r="O942" i="148"/>
  <c r="S958" i="148"/>
  <c r="S1006" i="148"/>
  <c r="P1087" i="148"/>
  <c r="S1114" i="148"/>
  <c r="O1123" i="148"/>
  <c r="S343" i="148"/>
  <c r="S358" i="148"/>
  <c r="S376" i="148"/>
  <c r="P466" i="148"/>
  <c r="O493" i="148"/>
  <c r="O496" i="148"/>
  <c r="O632" i="148"/>
  <c r="O803" i="148"/>
  <c r="O821" i="148"/>
  <c r="S834" i="148"/>
  <c r="S861" i="148"/>
  <c r="S888" i="148"/>
  <c r="O978" i="148"/>
  <c r="O1008" i="148"/>
  <c r="P1071" i="148"/>
  <c r="P1077" i="148"/>
  <c r="O1118" i="148"/>
  <c r="S1128" i="148"/>
  <c r="O1130" i="148"/>
  <c r="N19" i="150"/>
  <c r="O82" i="148"/>
  <c r="S95" i="148"/>
  <c r="P131" i="148"/>
  <c r="O732" i="148"/>
  <c r="S751" i="148"/>
  <c r="S757" i="148"/>
  <c r="S760" i="148"/>
  <c r="O799" i="148"/>
  <c r="O817" i="148"/>
  <c r="S903" i="148"/>
  <c r="S909" i="148"/>
  <c r="S927" i="148"/>
  <c r="S936" i="148"/>
  <c r="O1002" i="148"/>
  <c r="P1048" i="148"/>
  <c r="S1105" i="148"/>
  <c r="S453" i="148"/>
  <c r="O743" i="148"/>
  <c r="S317" i="148"/>
  <c r="P490" i="148"/>
  <c r="S491" i="148"/>
  <c r="P499" i="148"/>
  <c r="P502" i="148"/>
  <c r="P593" i="148"/>
  <c r="O660" i="148"/>
  <c r="O666" i="148"/>
  <c r="O672" i="148"/>
  <c r="O31" i="148"/>
  <c r="P42" i="148"/>
  <c r="O112" i="148"/>
  <c r="P133" i="148"/>
  <c r="P148" i="148"/>
  <c r="O151" i="148"/>
  <c r="P154" i="148"/>
  <c r="O157" i="148"/>
  <c r="S158" i="148"/>
  <c r="P160" i="148"/>
  <c r="O163" i="148"/>
  <c r="S164" i="148"/>
  <c r="O243" i="148"/>
  <c r="S250" i="148"/>
  <c r="O255" i="148"/>
  <c r="O261" i="148"/>
  <c r="P267" i="148"/>
  <c r="O273" i="148"/>
  <c r="O328" i="148"/>
  <c r="O346" i="148"/>
  <c r="P352" i="148"/>
  <c r="O355" i="148"/>
  <c r="S362" i="148"/>
  <c r="P364" i="148"/>
  <c r="O367" i="148"/>
  <c r="O373" i="148"/>
  <c r="S405" i="148"/>
  <c r="P407" i="148"/>
  <c r="O413" i="148"/>
  <c r="S429" i="148"/>
  <c r="S457" i="148"/>
  <c r="P459" i="148"/>
  <c r="S472" i="148"/>
  <c r="S536" i="148"/>
  <c r="S548" i="148"/>
  <c r="P602" i="148"/>
  <c r="S630" i="148"/>
  <c r="S633" i="148"/>
  <c r="S639" i="148"/>
  <c r="S766" i="148"/>
  <c r="P771" i="148"/>
  <c r="S778" i="148"/>
  <c r="O780" i="148"/>
  <c r="O905" i="148"/>
  <c r="O911" i="148"/>
  <c r="O938" i="148"/>
  <c r="P1017" i="148"/>
  <c r="S1036" i="148"/>
  <c r="P1041" i="148"/>
  <c r="P1044" i="148"/>
  <c r="P1047" i="148"/>
  <c r="S1048" i="148"/>
  <c r="O1075" i="148"/>
  <c r="P1085" i="148"/>
  <c r="S1122" i="148"/>
  <c r="O1124" i="148"/>
  <c r="O662" i="148"/>
  <c r="O29" i="148"/>
  <c r="O66" i="148"/>
  <c r="S79" i="148"/>
  <c r="O193" i="148"/>
  <c r="S200" i="148"/>
  <c r="O221" i="148"/>
  <c r="S231" i="148"/>
  <c r="O234" i="148"/>
  <c r="P288" i="148"/>
  <c r="S298" i="148"/>
  <c r="O385" i="148"/>
  <c r="P388" i="148"/>
  <c r="P434" i="148"/>
  <c r="S444" i="148"/>
  <c r="O465" i="148"/>
  <c r="P529" i="148"/>
  <c r="O544" i="148"/>
  <c r="P562" i="148"/>
  <c r="S584" i="148"/>
  <c r="P617" i="148"/>
  <c r="P620" i="148"/>
  <c r="P626" i="148"/>
  <c r="P638" i="148"/>
  <c r="S657" i="148"/>
  <c r="S663" i="148"/>
  <c r="S666" i="148"/>
  <c r="S669" i="148"/>
  <c r="S690" i="148"/>
  <c r="S693" i="148"/>
  <c r="S705" i="148"/>
  <c r="S720" i="148"/>
  <c r="S729" i="148"/>
  <c r="S732" i="148"/>
  <c r="S741" i="148"/>
  <c r="S744" i="148"/>
  <c r="P756" i="148"/>
  <c r="O771" i="148"/>
  <c r="O777" i="148"/>
  <c r="S805" i="148"/>
  <c r="S808" i="148"/>
  <c r="O853" i="148"/>
  <c r="S854" i="148"/>
  <c r="S863" i="148"/>
  <c r="O871" i="148"/>
  <c r="P874" i="148"/>
  <c r="P962" i="148"/>
  <c r="O971" i="148"/>
  <c r="S978" i="148"/>
  <c r="P980" i="148"/>
  <c r="O983" i="148"/>
  <c r="P992" i="148"/>
  <c r="S993" i="148"/>
  <c r="P998" i="148"/>
  <c r="S1008" i="148"/>
  <c r="O1047" i="148"/>
  <c r="P1053" i="148"/>
  <c r="P1056" i="148"/>
  <c r="P1059" i="148"/>
  <c r="O1131" i="148"/>
  <c r="O722" i="148"/>
  <c r="O731" i="148"/>
  <c r="S899" i="148"/>
  <c r="O96" i="148"/>
  <c r="S133" i="148"/>
  <c r="S163" i="148"/>
  <c r="O168" i="148"/>
  <c r="S172" i="148"/>
  <c r="O177" i="148"/>
  <c r="O211" i="148"/>
  <c r="O245" i="148"/>
  <c r="O254" i="148"/>
  <c r="O266" i="148"/>
  <c r="O269" i="148"/>
  <c r="S285" i="148"/>
  <c r="O369" i="148"/>
  <c r="S391" i="148"/>
  <c r="S404" i="148"/>
  <c r="O409" i="148"/>
  <c r="P458" i="148"/>
  <c r="O461" i="148"/>
  <c r="O464" i="148"/>
  <c r="S468" i="148"/>
  <c r="O528" i="148"/>
  <c r="S532" i="148"/>
  <c r="O598" i="148"/>
  <c r="P601" i="148"/>
  <c r="P604" i="148"/>
  <c r="P610" i="148"/>
  <c r="S629" i="148"/>
  <c r="S635" i="148"/>
  <c r="S638" i="148"/>
  <c r="O755" i="148"/>
  <c r="O761" i="148"/>
  <c r="S792" i="148"/>
  <c r="O843" i="148"/>
  <c r="S847" i="148"/>
  <c r="O907" i="148"/>
  <c r="O937" i="148"/>
  <c r="S1020" i="148"/>
  <c r="S1062" i="148"/>
  <c r="O1074" i="148"/>
  <c r="P1089" i="148"/>
  <c r="S1116" i="148"/>
  <c r="O692" i="148"/>
  <c r="O710" i="148"/>
  <c r="O807" i="148"/>
  <c r="S69" i="148"/>
  <c r="S72" i="148"/>
  <c r="O144" i="148"/>
  <c r="O156" i="148"/>
  <c r="P186" i="148"/>
  <c r="P192" i="148"/>
  <c r="S710" i="148"/>
  <c r="S722" i="148"/>
  <c r="S740" i="148"/>
  <c r="O773" i="148"/>
  <c r="P867" i="148"/>
  <c r="P873" i="148"/>
  <c r="S874" i="148"/>
  <c r="S895" i="148"/>
  <c r="S965" i="148"/>
  <c r="S998" i="148"/>
  <c r="S1007" i="148"/>
  <c r="O1010" i="148"/>
  <c r="O1028" i="148"/>
  <c r="O1031" i="148"/>
  <c r="O1043" i="148"/>
  <c r="O1046" i="148"/>
  <c r="S1126" i="148"/>
  <c r="S349" i="148"/>
  <c r="O30" i="148"/>
  <c r="O89" i="148"/>
  <c r="S102" i="148"/>
  <c r="S105" i="148"/>
  <c r="S120" i="148"/>
  <c r="P165" i="148"/>
  <c r="P204" i="148"/>
  <c r="O223" i="148"/>
  <c r="S227" i="148"/>
  <c r="O229" i="148"/>
  <c r="S230" i="148"/>
  <c r="S318" i="148"/>
  <c r="S342" i="148"/>
  <c r="S483" i="148"/>
  <c r="O534" i="148"/>
  <c r="P585" i="148"/>
  <c r="S589" i="148"/>
  <c r="O634" i="148"/>
  <c r="S644" i="148"/>
  <c r="P685" i="148"/>
  <c r="P694" i="148"/>
  <c r="P718" i="148"/>
  <c r="P730" i="148"/>
  <c r="P736" i="148"/>
  <c r="P739" i="148"/>
  <c r="P745" i="148"/>
  <c r="S755" i="148"/>
  <c r="S798" i="148"/>
  <c r="O800" i="148"/>
  <c r="P803" i="148"/>
  <c r="P809" i="148"/>
  <c r="S810" i="148"/>
  <c r="O812" i="148"/>
  <c r="S843" i="148"/>
  <c r="O867" i="148"/>
  <c r="P894" i="148"/>
  <c r="S904" i="148"/>
  <c r="S919" i="148"/>
  <c r="S931" i="148"/>
  <c r="S937" i="148"/>
  <c r="S940" i="148"/>
  <c r="P955" i="148"/>
  <c r="O976" i="148"/>
  <c r="S1010" i="148"/>
  <c r="P1079" i="148"/>
  <c r="O1091" i="148"/>
  <c r="S1113" i="148"/>
  <c r="S496" i="148"/>
  <c r="O728" i="148"/>
  <c r="S138" i="148"/>
  <c r="S150" i="148"/>
  <c r="S156" i="148"/>
  <c r="S254" i="148"/>
  <c r="S278" i="148"/>
  <c r="O317" i="148"/>
  <c r="O335" i="148"/>
  <c r="O338" i="148"/>
  <c r="S366" i="148"/>
  <c r="S412" i="148"/>
  <c r="P491" i="148"/>
  <c r="O497" i="148"/>
  <c r="P503" i="148"/>
  <c r="P512" i="148"/>
  <c r="O518" i="148"/>
  <c r="O582" i="148"/>
  <c r="P594" i="148"/>
  <c r="O600" i="148"/>
  <c r="S613" i="148"/>
  <c r="O658" i="148"/>
  <c r="O664" i="148"/>
  <c r="O670" i="148"/>
  <c r="O694" i="148"/>
  <c r="O748" i="148"/>
  <c r="S773" i="148"/>
  <c r="S776" i="148"/>
  <c r="S785" i="148"/>
  <c r="O824" i="148"/>
  <c r="O836" i="148"/>
  <c r="O839" i="148"/>
  <c r="O900" i="148"/>
  <c r="O903" i="148"/>
  <c r="O924" i="148"/>
  <c r="P945" i="148"/>
  <c r="S952" i="148"/>
  <c r="S1046" i="148"/>
  <c r="S1068" i="148"/>
  <c r="O1115" i="148"/>
  <c r="S1118" i="148"/>
  <c r="O1120" i="148"/>
  <c r="S914" i="148"/>
  <c r="O101" i="148"/>
  <c r="P402" i="148"/>
  <c r="O429" i="148"/>
  <c r="S476" i="148"/>
  <c r="S552" i="148"/>
  <c r="O603" i="148"/>
  <c r="S628" i="148"/>
  <c r="S631" i="148"/>
  <c r="S634" i="148"/>
  <c r="O640" i="148"/>
  <c r="O668" i="148"/>
  <c r="S838" i="148"/>
  <c r="O33" i="148"/>
  <c r="S56" i="148"/>
  <c r="O58" i="148"/>
  <c r="P61" i="148"/>
  <c r="O73" i="148"/>
  <c r="S77" i="148"/>
  <c r="S86" i="148"/>
  <c r="S89" i="148"/>
  <c r="O140" i="148"/>
  <c r="O176" i="148"/>
  <c r="S198" i="148"/>
  <c r="O216" i="148"/>
  <c r="S232" i="148"/>
  <c r="P235" i="148"/>
  <c r="O250" i="148"/>
  <c r="O289" i="148"/>
  <c r="S293" i="148"/>
  <c r="P347" i="148"/>
  <c r="S381" i="148"/>
  <c r="O389" i="148"/>
  <c r="S390" i="148"/>
  <c r="S448" i="148"/>
  <c r="O469" i="148"/>
  <c r="O472" i="148"/>
  <c r="O539" i="148"/>
  <c r="O563" i="148"/>
  <c r="S576" i="148"/>
  <c r="S658" i="148"/>
  <c r="S667" i="148"/>
  <c r="S670" i="148"/>
  <c r="S688" i="148"/>
  <c r="S694" i="148"/>
  <c r="S706" i="148"/>
  <c r="S709" i="148"/>
  <c r="S721" i="148"/>
  <c r="S724" i="148"/>
  <c r="S730" i="148"/>
  <c r="O745" i="148"/>
  <c r="P748" i="148"/>
  <c r="P754" i="148"/>
  <c r="O775" i="148"/>
  <c r="O787" i="148"/>
  <c r="S803" i="148"/>
  <c r="O851" i="148"/>
  <c r="O854" i="148"/>
  <c r="O857" i="148"/>
  <c r="O872" i="148"/>
  <c r="P875" i="148"/>
  <c r="S879" i="148"/>
  <c r="P960" i="148"/>
  <c r="S961" i="148"/>
  <c r="P972" i="148"/>
  <c r="S973" i="148"/>
  <c r="O975" i="148"/>
  <c r="P984" i="148"/>
  <c r="O990" i="148"/>
  <c r="S994" i="148"/>
  <c r="P996" i="148"/>
  <c r="S1000" i="148"/>
  <c r="O1030" i="148"/>
  <c r="O1036" i="148"/>
  <c r="O1042" i="148"/>
  <c r="P1057" i="148"/>
  <c r="P1060" i="148"/>
  <c r="S1067" i="148"/>
  <c r="S1115" i="148"/>
  <c r="S1125" i="148"/>
  <c r="O1127" i="148"/>
  <c r="H58" i="7"/>
  <c r="O80" i="148"/>
  <c r="O124" i="148"/>
  <c r="O190" i="148"/>
  <c r="S197" i="148"/>
  <c r="O48" i="148"/>
  <c r="O57" i="148"/>
  <c r="O61" i="148"/>
  <c r="S93" i="148"/>
  <c r="S96" i="148"/>
  <c r="O98" i="148"/>
  <c r="S124" i="148"/>
  <c r="S127" i="148"/>
  <c r="O158" i="148"/>
  <c r="O161" i="148"/>
  <c r="S168" i="148"/>
  <c r="S184" i="148"/>
  <c r="O202" i="148"/>
  <c r="S80" i="148"/>
  <c r="O174" i="148"/>
  <c r="O42" i="148"/>
  <c r="S42" i="148"/>
  <c r="S64" i="148"/>
  <c r="P72" i="148"/>
  <c r="O85" i="148"/>
  <c r="S111" i="148"/>
  <c r="O126" i="148"/>
  <c r="O129" i="148"/>
  <c r="S136" i="148"/>
  <c r="S152" i="148"/>
  <c r="O170" i="148"/>
  <c r="S174" i="148"/>
  <c r="O186" i="148"/>
  <c r="O195" i="148"/>
  <c r="S196" i="148"/>
  <c r="O39" i="148"/>
  <c r="O41" i="148"/>
  <c r="S48" i="148"/>
  <c r="O104" i="148"/>
  <c r="O179" i="148"/>
  <c r="O53" i="148"/>
  <c r="O88" i="148"/>
  <c r="S101" i="148"/>
  <c r="P103" i="148"/>
  <c r="O138" i="148"/>
  <c r="O154" i="148"/>
  <c r="O192" i="148"/>
  <c r="P195" i="148"/>
  <c r="O64" i="148"/>
  <c r="S41" i="148"/>
  <c r="P59" i="148"/>
  <c r="S63" i="148"/>
  <c r="O72" i="148"/>
  <c r="O84" i="148"/>
  <c r="S85" i="148"/>
  <c r="P87" i="148"/>
  <c r="S104" i="148"/>
  <c r="O110" i="148"/>
  <c r="O119" i="148"/>
  <c r="P122" i="148"/>
  <c r="O125" i="148"/>
  <c r="S126" i="148"/>
  <c r="P128" i="148"/>
  <c r="S142" i="148"/>
  <c r="P144" i="148"/>
  <c r="O147" i="148"/>
  <c r="S148" i="148"/>
  <c r="S167" i="148"/>
  <c r="P172" i="148"/>
  <c r="S173" i="148"/>
  <c r="S183" i="148"/>
  <c r="P188" i="148"/>
  <c r="P71" i="148"/>
  <c r="P163" i="148"/>
  <c r="O17" i="148"/>
  <c r="O21" i="148"/>
  <c r="O25" i="148"/>
  <c r="O52" i="148"/>
  <c r="S53" i="148"/>
  <c r="P55" i="148"/>
  <c r="P93" i="148"/>
  <c r="S94" i="148"/>
  <c r="S97" i="148"/>
  <c r="S103" i="148"/>
  <c r="S110" i="148"/>
  <c r="P112" i="148"/>
  <c r="S113" i="148"/>
  <c r="O115" i="148"/>
  <c r="S116" i="148"/>
  <c r="P140" i="148"/>
  <c r="S141" i="148"/>
  <c r="S151" i="148"/>
  <c r="P156" i="148"/>
  <c r="P178" i="148"/>
  <c r="S179" i="148"/>
  <c r="O200" i="148"/>
  <c r="O225" i="148"/>
  <c r="O38" i="148"/>
  <c r="O74" i="148"/>
  <c r="P77" i="148"/>
  <c r="S78" i="148"/>
  <c r="S81" i="148"/>
  <c r="S87" i="148"/>
  <c r="O118" i="148"/>
  <c r="S122" i="148"/>
  <c r="S166" i="148"/>
  <c r="S188" i="148"/>
  <c r="S191" i="148"/>
  <c r="O247" i="148"/>
  <c r="S270" i="148"/>
  <c r="O291" i="148"/>
  <c r="O294" i="148"/>
  <c r="S295" i="148"/>
  <c r="O307" i="148"/>
  <c r="S314" i="148"/>
  <c r="O351" i="148"/>
  <c r="O357" i="148"/>
  <c r="S370" i="148"/>
  <c r="S389" i="148"/>
  <c r="S392" i="148"/>
  <c r="S399" i="148"/>
  <c r="O401" i="148"/>
  <c r="S408" i="148"/>
  <c r="S433" i="148"/>
  <c r="O457" i="148"/>
  <c r="S495" i="148"/>
  <c r="S504" i="148"/>
  <c r="S513" i="148"/>
  <c r="S516" i="148"/>
  <c r="S529" i="148"/>
  <c r="O531" i="148"/>
  <c r="O568" i="148"/>
  <c r="S572" i="148"/>
  <c r="O590" i="148"/>
  <c r="S597" i="148"/>
  <c r="S606" i="148"/>
  <c r="O624" i="148"/>
  <c r="O627" i="148"/>
  <c r="O639" i="148"/>
  <c r="S640" i="148"/>
  <c r="S643" i="148"/>
  <c r="S646" i="148"/>
  <c r="S655" i="148"/>
  <c r="O676" i="148"/>
  <c r="O682" i="148"/>
  <c r="S692" i="148"/>
  <c r="S698" i="148"/>
  <c r="S701" i="148"/>
  <c r="O716" i="148"/>
  <c r="S723" i="148"/>
  <c r="O725" i="148"/>
  <c r="O785" i="148"/>
  <c r="S855" i="148"/>
  <c r="S868" i="148"/>
  <c r="O877" i="148"/>
  <c r="O880" i="148"/>
  <c r="S894" i="148"/>
  <c r="O896" i="148"/>
  <c r="S897" i="148"/>
  <c r="S900" i="148"/>
  <c r="S925" i="148"/>
  <c r="O947" i="148"/>
  <c r="S948" i="148"/>
  <c r="S954" i="148"/>
  <c r="S986" i="148"/>
  <c r="S999" i="148"/>
  <c r="S1031" i="148"/>
  <c r="S1037" i="148"/>
  <c r="S1044" i="148"/>
  <c r="S1050" i="148"/>
  <c r="O1066" i="148"/>
  <c r="S1070" i="148"/>
  <c r="P912" i="148"/>
  <c r="P921" i="148"/>
  <c r="P963" i="148"/>
  <c r="P985" i="148"/>
  <c r="O209" i="148"/>
  <c r="P212" i="148"/>
  <c r="O215" i="148"/>
  <c r="S238" i="148"/>
  <c r="P256" i="148"/>
  <c r="S257" i="148"/>
  <c r="O259" i="148"/>
  <c r="O262" i="148"/>
  <c r="S263" i="148"/>
  <c r="O275" i="148"/>
  <c r="S282" i="148"/>
  <c r="O319" i="148"/>
  <c r="O325" i="148"/>
  <c r="O341" i="148"/>
  <c r="S382" i="148"/>
  <c r="P419" i="148"/>
  <c r="P450" i="148"/>
  <c r="P475" i="148"/>
  <c r="S479" i="148"/>
  <c r="O506" i="148"/>
  <c r="P521" i="148"/>
  <c r="P524" i="148"/>
  <c r="P546" i="148"/>
  <c r="O552" i="148"/>
  <c r="S556" i="148"/>
  <c r="O574" i="148"/>
  <c r="P577" i="148"/>
  <c r="S581" i="148"/>
  <c r="O608" i="148"/>
  <c r="O611" i="148"/>
  <c r="S621" i="148"/>
  <c r="O642" i="148"/>
  <c r="O648" i="148"/>
  <c r="O654" i="148"/>
  <c r="P669" i="148"/>
  <c r="P672" i="148"/>
  <c r="S673" i="148"/>
  <c r="S682" i="148"/>
  <c r="S685" i="148"/>
  <c r="O700" i="148"/>
  <c r="P709" i="148"/>
  <c r="P712" i="148"/>
  <c r="S713" i="148"/>
  <c r="O753" i="148"/>
  <c r="P788" i="148"/>
  <c r="O794" i="148"/>
  <c r="P797" i="148"/>
  <c r="S823" i="148"/>
  <c r="P841" i="148"/>
  <c r="S845" i="148"/>
  <c r="S858" i="148"/>
  <c r="S877" i="148"/>
  <c r="O899" i="148"/>
  <c r="O908" i="148"/>
  <c r="P911" i="148"/>
  <c r="S938" i="148"/>
  <c r="O940" i="148"/>
  <c r="S944" i="148"/>
  <c r="P947" i="148"/>
  <c r="S966" i="148"/>
  <c r="O988" i="148"/>
  <c r="S1002" i="148"/>
  <c r="S1021" i="148"/>
  <c r="O1039" i="148"/>
  <c r="S1040" i="148"/>
  <c r="S1043" i="148"/>
  <c r="S1053" i="148"/>
  <c r="S1060" i="148"/>
  <c r="S1066" i="148"/>
  <c r="O237" i="148"/>
  <c r="S247" i="148"/>
  <c r="S266" i="148"/>
  <c r="P300" i="148"/>
  <c r="O303" i="148"/>
  <c r="O306" i="148"/>
  <c r="S310" i="148"/>
  <c r="P328" i="148"/>
  <c r="O350" i="148"/>
  <c r="S354" i="148"/>
  <c r="S360" i="148"/>
  <c r="O381" i="148"/>
  <c r="O397" i="148"/>
  <c r="P422" i="148"/>
  <c r="O425" i="148"/>
  <c r="O453" i="148"/>
  <c r="O456" i="148"/>
  <c r="S460" i="148"/>
  <c r="O481" i="148"/>
  <c r="O536" i="148"/>
  <c r="S540" i="148"/>
  <c r="O558" i="148"/>
  <c r="S565" i="148"/>
  <c r="S593" i="148"/>
  <c r="S605" i="148"/>
  <c r="S636" i="148"/>
  <c r="S642" i="148"/>
  <c r="S651" i="148"/>
  <c r="S654" i="148"/>
  <c r="O678" i="148"/>
  <c r="O684" i="148"/>
  <c r="S697" i="148"/>
  <c r="S703" i="148"/>
  <c r="O718" i="148"/>
  <c r="O727" i="148"/>
  <c r="S728" i="148"/>
  <c r="O762" i="148"/>
  <c r="S782" i="148"/>
  <c r="O784" i="148"/>
  <c r="O791" i="148"/>
  <c r="O806" i="148"/>
  <c r="S807" i="148"/>
  <c r="S813" i="148"/>
  <c r="S829" i="148"/>
  <c r="O847" i="148"/>
  <c r="O850" i="148"/>
  <c r="O879" i="148"/>
  <c r="S896" i="148"/>
  <c r="S924" i="148"/>
  <c r="O943" i="148"/>
  <c r="O949" i="148"/>
  <c r="S950" i="148"/>
  <c r="S956" i="148"/>
  <c r="P975" i="148"/>
  <c r="O1020" i="148"/>
  <c r="P1045" i="148"/>
  <c r="S1049" i="148"/>
  <c r="O1055" i="148"/>
  <c r="S1056" i="148"/>
  <c r="S1059" i="148"/>
  <c r="S1069" i="148"/>
  <c r="S1076" i="148"/>
  <c r="O312" i="148"/>
  <c r="O362" i="148"/>
  <c r="S441" i="148"/>
  <c r="S469" i="148"/>
  <c r="S503" i="148"/>
  <c r="O690" i="148"/>
  <c r="S985" i="148"/>
  <c r="S206" i="148"/>
  <c r="P208" i="148"/>
  <c r="S209" i="148"/>
  <c r="S218" i="148"/>
  <c r="O296" i="148"/>
  <c r="S328" i="148"/>
  <c r="P340" i="148"/>
  <c r="S341" i="148"/>
  <c r="O343" i="148"/>
  <c r="S378" i="148"/>
  <c r="S394" i="148"/>
  <c r="P418" i="148"/>
  <c r="O449" i="148"/>
  <c r="P474" i="148"/>
  <c r="S475" i="148"/>
  <c r="O477" i="148"/>
  <c r="O480" i="148"/>
  <c r="S484" i="148"/>
  <c r="O508" i="148"/>
  <c r="O514" i="148"/>
  <c r="O520" i="148"/>
  <c r="O523" i="148"/>
  <c r="S524" i="148"/>
  <c r="O542" i="148"/>
  <c r="P545" i="148"/>
  <c r="S549" i="148"/>
  <c r="S577" i="148"/>
  <c r="O579" i="148"/>
  <c r="S611" i="148"/>
  <c r="S620" i="148"/>
  <c r="S623" i="148"/>
  <c r="O644" i="148"/>
  <c r="O650" i="148"/>
  <c r="S660" i="148"/>
  <c r="S672" i="148"/>
  <c r="S678" i="148"/>
  <c r="S681" i="148"/>
  <c r="O702" i="148"/>
  <c r="S712" i="148"/>
  <c r="S715" i="148"/>
  <c r="S718" i="148"/>
  <c r="O733" i="148"/>
  <c r="S737" i="148"/>
  <c r="S750" i="148"/>
  <c r="O752" i="148"/>
  <c r="O759" i="148"/>
  <c r="O768" i="148"/>
  <c r="O774" i="148"/>
  <c r="S775" i="148"/>
  <c r="P777" i="148"/>
  <c r="S781" i="148"/>
  <c r="S794" i="148"/>
  <c r="O796" i="148"/>
  <c r="S797" i="148"/>
  <c r="O815" i="148"/>
  <c r="O818" i="148"/>
  <c r="S825" i="148"/>
  <c r="O837" i="148"/>
  <c r="O840" i="148"/>
  <c r="O862" i="148"/>
  <c r="O869" i="148"/>
  <c r="S876" i="148"/>
  <c r="P885" i="148"/>
  <c r="S886" i="148"/>
  <c r="O888" i="148"/>
  <c r="P910" i="148"/>
  <c r="S911" i="148"/>
  <c r="S917" i="148"/>
  <c r="O933" i="148"/>
  <c r="O946" i="148"/>
  <c r="S962" i="148"/>
  <c r="S968" i="148"/>
  <c r="O1000" i="148"/>
  <c r="O1038" i="148"/>
  <c r="S1065" i="148"/>
  <c r="O1071" i="148"/>
  <c r="S1072" i="148"/>
  <c r="S1075" i="148"/>
  <c r="S202" i="148"/>
  <c r="O208" i="148"/>
  <c r="P236" i="148"/>
  <c r="O239" i="148"/>
  <c r="O242" i="148"/>
  <c r="S246" i="148"/>
  <c r="P264" i="148"/>
  <c r="O280" i="148"/>
  <c r="O286" i="148"/>
  <c r="S290" i="148"/>
  <c r="O305" i="148"/>
  <c r="S312" i="148"/>
  <c r="P330" i="148"/>
  <c r="O349" i="148"/>
  <c r="S359" i="148"/>
  <c r="O383" i="148"/>
  <c r="O421" i="148"/>
  <c r="P483" i="148"/>
  <c r="O560" i="148"/>
  <c r="S564" i="148"/>
  <c r="O696" i="148"/>
  <c r="P746" i="148"/>
  <c r="O809" i="148"/>
  <c r="P812" i="148"/>
  <c r="O831" i="148"/>
  <c r="S1045" i="148"/>
  <c r="S1052" i="148"/>
  <c r="P1067" i="148"/>
  <c r="S604" i="148"/>
  <c r="S607" i="148"/>
  <c r="O622" i="148"/>
  <c r="S647" i="148"/>
  <c r="S650" i="148"/>
  <c r="S653" i="148"/>
  <c r="O656" i="148"/>
  <c r="O674" i="148"/>
  <c r="O680" i="148"/>
  <c r="O686" i="148"/>
  <c r="S696" i="148"/>
  <c r="S699" i="148"/>
  <c r="S702" i="148"/>
  <c r="O714" i="148"/>
  <c r="O742" i="148"/>
  <c r="S743" i="148"/>
  <c r="S749" i="148"/>
  <c r="S762" i="148"/>
  <c r="O764" i="148"/>
  <c r="S765" i="148"/>
  <c r="O827" i="148"/>
  <c r="S831" i="148"/>
  <c r="S837" i="148"/>
  <c r="S850" i="148"/>
  <c r="S869" i="148"/>
  <c r="S901" i="148"/>
  <c r="S923" i="148"/>
  <c r="S981" i="148"/>
  <c r="O1022" i="148"/>
  <c r="S1023" i="148"/>
  <c r="S1038" i="148"/>
  <c r="O1051" i="148"/>
  <c r="O1054" i="148"/>
  <c r="O204" i="148"/>
  <c r="S214" i="148"/>
  <c r="P232" i="148"/>
  <c r="O248" i="148"/>
  <c r="P298" i="148"/>
  <c r="O314" i="148"/>
  <c r="S337" i="148"/>
  <c r="S365" i="148"/>
  <c r="S371" i="148"/>
  <c r="S437" i="148"/>
  <c r="S465" i="148"/>
  <c r="P467" i="148"/>
  <c r="P498" i="148"/>
  <c r="S499" i="148"/>
  <c r="P504" i="148"/>
  <c r="S508" i="148"/>
  <c r="P510" i="148"/>
  <c r="P538" i="148"/>
  <c r="O566" i="148"/>
  <c r="P569" i="148"/>
  <c r="S573" i="148"/>
  <c r="P646" i="148"/>
  <c r="P701" i="148"/>
  <c r="P704" i="148"/>
  <c r="P780" i="148"/>
  <c r="P817" i="148"/>
  <c r="P855" i="148"/>
  <c r="P903" i="148"/>
  <c r="P922" i="148"/>
  <c r="P935" i="148"/>
  <c r="O948" i="148"/>
  <c r="P973" i="148"/>
  <c r="S974" i="148"/>
  <c r="O996" i="148"/>
  <c r="P210" i="148"/>
  <c r="O213" i="148"/>
  <c r="O257" i="148"/>
  <c r="S264" i="148"/>
  <c r="P276" i="148"/>
  <c r="S277" i="148"/>
  <c r="O279" i="148"/>
  <c r="S302" i="148"/>
  <c r="P320" i="148"/>
  <c r="O323" i="148"/>
  <c r="O326" i="148"/>
  <c r="S327" i="148"/>
  <c r="O330" i="148"/>
  <c r="O339" i="148"/>
  <c r="S346" i="148"/>
  <c r="P376" i="148"/>
  <c r="O392" i="148"/>
  <c r="O417" i="148"/>
  <c r="S424" i="148"/>
  <c r="S449" i="148"/>
  <c r="P451" i="148"/>
  <c r="O473" i="148"/>
  <c r="O510" i="148"/>
  <c r="S520" i="148"/>
  <c r="P522" i="148"/>
  <c r="S545" i="148"/>
  <c r="O547" i="148"/>
  <c r="O584" i="148"/>
  <c r="S588" i="148"/>
  <c r="O606" i="148"/>
  <c r="P609" i="148"/>
  <c r="P612" i="148"/>
  <c r="S622" i="148"/>
  <c r="O646" i="148"/>
  <c r="O652" i="148"/>
  <c r="S668" i="148"/>
  <c r="S674" i="148"/>
  <c r="S677" i="148"/>
  <c r="S686" i="148"/>
  <c r="O698" i="148"/>
  <c r="S708" i="148"/>
  <c r="P710" i="148"/>
  <c r="S714" i="148"/>
  <c r="S717" i="148"/>
  <c r="O720" i="148"/>
  <c r="O735" i="148"/>
  <c r="P773" i="148"/>
  <c r="P795" i="148"/>
  <c r="S818" i="148"/>
  <c r="O820" i="148"/>
  <c r="S827" i="148"/>
  <c r="O833" i="148"/>
  <c r="O849" i="148"/>
  <c r="P852" i="148"/>
  <c r="O858" i="148"/>
  <c r="P861" i="148"/>
  <c r="S875" i="148"/>
  <c r="O897" i="148"/>
  <c r="S907" i="148"/>
  <c r="P909" i="148"/>
  <c r="S916" i="148"/>
  <c r="S945" i="148"/>
  <c r="S967" i="148"/>
  <c r="S990" i="148"/>
  <c r="S1013" i="148"/>
  <c r="S1022" i="148"/>
  <c r="P1043" i="148"/>
  <c r="O1050" i="148"/>
  <c r="S1054" i="148"/>
  <c r="P1063" i="148"/>
  <c r="O1067" i="148"/>
  <c r="O1070" i="148"/>
  <c r="P1073" i="148"/>
  <c r="O222" i="148"/>
  <c r="S226" i="148"/>
  <c r="O241" i="148"/>
  <c r="S248" i="148"/>
  <c r="P266" i="148"/>
  <c r="O285" i="148"/>
  <c r="S330" i="148"/>
  <c r="P423" i="148"/>
  <c r="P482" i="148"/>
  <c r="P553" i="148"/>
  <c r="P618" i="148"/>
  <c r="P688" i="148"/>
  <c r="P120" i="148"/>
  <c r="O120" i="148"/>
  <c r="P166" i="148"/>
  <c r="O166" i="148"/>
  <c r="P184" i="148"/>
  <c r="O184" i="148"/>
  <c r="P258" i="148"/>
  <c r="O258" i="148"/>
  <c r="P322" i="148"/>
  <c r="O322" i="148"/>
  <c r="P342" i="148"/>
  <c r="O342" i="148"/>
  <c r="P420" i="148"/>
  <c r="O420" i="148"/>
  <c r="P65" i="148"/>
  <c r="O65" i="148"/>
  <c r="P109" i="148"/>
  <c r="O109" i="148"/>
  <c r="O173" i="148"/>
  <c r="P173" i="148"/>
  <c r="P238" i="148"/>
  <c r="O238" i="148"/>
  <c r="O263" i="148"/>
  <c r="P263" i="148"/>
  <c r="P302" i="148"/>
  <c r="O302" i="148"/>
  <c r="O327" i="148"/>
  <c r="P327" i="148"/>
  <c r="P60" i="148"/>
  <c r="O60" i="148"/>
  <c r="P81" i="148"/>
  <c r="O81" i="148"/>
  <c r="P92" i="148"/>
  <c r="O92" i="148"/>
  <c r="P134" i="148"/>
  <c r="O134" i="148"/>
  <c r="P152" i="148"/>
  <c r="O152" i="148"/>
  <c r="P198" i="148"/>
  <c r="O198" i="148"/>
  <c r="P226" i="148"/>
  <c r="O226" i="148"/>
  <c r="P246" i="148"/>
  <c r="O246" i="148"/>
  <c r="P290" i="148"/>
  <c r="O290" i="148"/>
  <c r="P310" i="148"/>
  <c r="O310" i="148"/>
  <c r="P354" i="148"/>
  <c r="O354" i="148"/>
  <c r="P390" i="148"/>
  <c r="O390" i="148"/>
  <c r="P404" i="148"/>
  <c r="O404" i="148"/>
  <c r="P436" i="148"/>
  <c r="O436" i="148"/>
  <c r="P214" i="148"/>
  <c r="O214" i="148"/>
  <c r="P278" i="148"/>
  <c r="O278" i="148"/>
  <c r="O375" i="148"/>
  <c r="P375" i="148"/>
  <c r="P452" i="148"/>
  <c r="O452" i="148"/>
  <c r="P49" i="148"/>
  <c r="O49" i="148"/>
  <c r="O35" i="148"/>
  <c r="P76" i="148"/>
  <c r="O76" i="148"/>
  <c r="P97" i="148"/>
  <c r="O97" i="148"/>
  <c r="O141" i="148"/>
  <c r="P141" i="148"/>
  <c r="O205" i="148"/>
  <c r="P205" i="148"/>
  <c r="O231" i="148"/>
  <c r="P231" i="148"/>
  <c r="P270" i="148"/>
  <c r="O270" i="148"/>
  <c r="O295" i="148"/>
  <c r="P295" i="148"/>
  <c r="P334" i="148"/>
  <c r="O334" i="148"/>
  <c r="P476" i="148"/>
  <c r="O476" i="148"/>
  <c r="O16" i="148"/>
  <c r="O20" i="148"/>
  <c r="O24" i="148"/>
  <c r="O28" i="148"/>
  <c r="O36" i="148"/>
  <c r="S50" i="148"/>
  <c r="S51" i="148"/>
  <c r="O54" i="148"/>
  <c r="S60" i="148"/>
  <c r="S66" i="148"/>
  <c r="S67" i="148"/>
  <c r="O70" i="148"/>
  <c r="S76" i="148"/>
  <c r="S82" i="148"/>
  <c r="S83" i="148"/>
  <c r="O86" i="148"/>
  <c r="S92" i="148"/>
  <c r="S98" i="148"/>
  <c r="S99" i="148"/>
  <c r="O102" i="148"/>
  <c r="O108" i="148"/>
  <c r="S109" i="148"/>
  <c r="O114" i="148"/>
  <c r="O116" i="148"/>
  <c r="O117" i="148"/>
  <c r="O121" i="148"/>
  <c r="S121" i="148"/>
  <c r="O123" i="148"/>
  <c r="P125" i="148"/>
  <c r="O127" i="148"/>
  <c r="S128" i="148"/>
  <c r="S130" i="148"/>
  <c r="S135" i="148"/>
  <c r="P139" i="148"/>
  <c r="P142" i="148"/>
  <c r="O146" i="148"/>
  <c r="O148" i="148"/>
  <c r="O149" i="148"/>
  <c r="S149" i="148"/>
  <c r="O153" i="148"/>
  <c r="O155" i="148"/>
  <c r="S155" i="148"/>
  <c r="P157" i="148"/>
  <c r="O159" i="148"/>
  <c r="S159" i="148"/>
  <c r="S160" i="148"/>
  <c r="S162" i="148"/>
  <c r="P171" i="148"/>
  <c r="O178" i="148"/>
  <c r="O180" i="148"/>
  <c r="O181" i="148"/>
  <c r="S181" i="148"/>
  <c r="O185" i="148"/>
  <c r="O187" i="148"/>
  <c r="S187" i="148"/>
  <c r="P189" i="148"/>
  <c r="O191" i="148"/>
  <c r="S192" i="148"/>
  <c r="S194" i="148"/>
  <c r="S199" i="148"/>
  <c r="P203" i="148"/>
  <c r="S205" i="148"/>
  <c r="P206" i="148"/>
  <c r="O210" i="148"/>
  <c r="O212" i="148"/>
  <c r="P215" i="148"/>
  <c r="O219" i="148"/>
  <c r="S220" i="148"/>
  <c r="S221" i="148"/>
  <c r="O224" i="148"/>
  <c r="S228" i="148"/>
  <c r="O233" i="148"/>
  <c r="O236" i="148"/>
  <c r="S239" i="148"/>
  <c r="S240" i="148"/>
  <c r="O244" i="148"/>
  <c r="P247" i="148"/>
  <c r="O251" i="148"/>
  <c r="S251" i="148"/>
  <c r="S252" i="148"/>
  <c r="S253" i="148"/>
  <c r="O256" i="148"/>
  <c r="S259" i="148"/>
  <c r="S260" i="148"/>
  <c r="O265" i="148"/>
  <c r="S265" i="148"/>
  <c r="O268" i="148"/>
  <c r="S271" i="148"/>
  <c r="S272" i="148"/>
  <c r="S273" i="148"/>
  <c r="O276" i="148"/>
  <c r="P279" i="148"/>
  <c r="O283" i="148"/>
  <c r="S283" i="148"/>
  <c r="S284" i="148"/>
  <c r="O288" i="148"/>
  <c r="S291" i="148"/>
  <c r="S292" i="148"/>
  <c r="O297" i="148"/>
  <c r="S297" i="148"/>
  <c r="O300" i="148"/>
  <c r="S303" i="148"/>
  <c r="S304" i="148"/>
  <c r="O308" i="148"/>
  <c r="P311" i="148"/>
  <c r="O315" i="148"/>
  <c r="S315" i="148"/>
  <c r="S316" i="148"/>
  <c r="O320" i="148"/>
  <c r="S323" i="148"/>
  <c r="S324" i="148"/>
  <c r="O329" i="148"/>
  <c r="O332" i="148"/>
  <c r="S335" i="148"/>
  <c r="S336" i="148"/>
  <c r="O340" i="148"/>
  <c r="P343" i="148"/>
  <c r="O347" i="148"/>
  <c r="S347" i="148"/>
  <c r="S348" i="148"/>
  <c r="O352" i="148"/>
  <c r="S355" i="148"/>
  <c r="S356" i="148"/>
  <c r="P366" i="148"/>
  <c r="O366" i="148"/>
  <c r="O391" i="148"/>
  <c r="P391" i="148"/>
  <c r="P408" i="148"/>
  <c r="O408" i="148"/>
  <c r="P424" i="148"/>
  <c r="O424" i="148"/>
  <c r="P440" i="148"/>
  <c r="O440" i="148"/>
  <c r="P484" i="148"/>
  <c r="O484" i="148"/>
  <c r="P556" i="148"/>
  <c r="O556" i="148"/>
  <c r="P588" i="148"/>
  <c r="O588" i="148"/>
  <c r="P52" i="148"/>
  <c r="P57" i="148"/>
  <c r="P73" i="148"/>
  <c r="P84" i="148"/>
  <c r="P89" i="148"/>
  <c r="P130" i="148"/>
  <c r="P132" i="148"/>
  <c r="P136" i="148"/>
  <c r="P147" i="148"/>
  <c r="P150" i="148"/>
  <c r="P168" i="148"/>
  <c r="P179" i="148"/>
  <c r="P182" i="148"/>
  <c r="P194" i="148"/>
  <c r="P196" i="148"/>
  <c r="P200" i="148"/>
  <c r="P211" i="148"/>
  <c r="P220" i="148"/>
  <c r="P222" i="148"/>
  <c r="P228" i="148"/>
  <c r="P230" i="148"/>
  <c r="P240" i="148"/>
  <c r="P242" i="148"/>
  <c r="P252" i="148"/>
  <c r="P254" i="148"/>
  <c r="P260" i="148"/>
  <c r="P262" i="148"/>
  <c r="P272" i="148"/>
  <c r="P274" i="148"/>
  <c r="P284" i="148"/>
  <c r="P286" i="148"/>
  <c r="P292" i="148"/>
  <c r="P294" i="148"/>
  <c r="P304" i="148"/>
  <c r="P306" i="148"/>
  <c r="P316" i="148"/>
  <c r="P318" i="148"/>
  <c r="P324" i="148"/>
  <c r="P326" i="148"/>
  <c r="P336" i="148"/>
  <c r="P338" i="148"/>
  <c r="P348" i="148"/>
  <c r="P350" i="148"/>
  <c r="P356" i="148"/>
  <c r="P358" i="148"/>
  <c r="O358" i="148"/>
  <c r="P368" i="148"/>
  <c r="P370" i="148"/>
  <c r="O370" i="148"/>
  <c r="P380" i="148"/>
  <c r="P382" i="148"/>
  <c r="O382" i="148"/>
  <c r="P410" i="148"/>
  <c r="P411" i="148"/>
  <c r="P412" i="148"/>
  <c r="O412" i="148"/>
  <c r="P426" i="148"/>
  <c r="P427" i="148"/>
  <c r="P428" i="148"/>
  <c r="O428" i="148"/>
  <c r="P442" i="148"/>
  <c r="P443" i="148"/>
  <c r="P444" i="148"/>
  <c r="O444" i="148"/>
  <c r="P460" i="148"/>
  <c r="O460" i="148"/>
  <c r="P492" i="148"/>
  <c r="O492" i="148"/>
  <c r="P51" i="148"/>
  <c r="P67" i="148"/>
  <c r="P68" i="148"/>
  <c r="P83" i="148"/>
  <c r="P99" i="148"/>
  <c r="P100" i="148"/>
  <c r="P105" i="148"/>
  <c r="P115" i="148"/>
  <c r="P118" i="148"/>
  <c r="P162" i="148"/>
  <c r="P164" i="148"/>
  <c r="O18" i="148"/>
  <c r="O22" i="148"/>
  <c r="O26" i="148"/>
  <c r="O32" i="148"/>
  <c r="O40" i="148"/>
  <c r="S43" i="148"/>
  <c r="P47" i="148"/>
  <c r="P48" i="148"/>
  <c r="S52" i="148"/>
  <c r="P53" i="148"/>
  <c r="S58" i="148"/>
  <c r="S59" i="148"/>
  <c r="O62" i="148"/>
  <c r="P63" i="148"/>
  <c r="P64" i="148"/>
  <c r="S68" i="148"/>
  <c r="P69" i="148"/>
  <c r="S74" i="148"/>
  <c r="S75" i="148"/>
  <c r="O78" i="148"/>
  <c r="P79" i="148"/>
  <c r="P80" i="148"/>
  <c r="S84" i="148"/>
  <c r="P85" i="148"/>
  <c r="S90" i="148"/>
  <c r="S91" i="148"/>
  <c r="O94" i="148"/>
  <c r="P96" i="148"/>
  <c r="S100" i="148"/>
  <c r="P101" i="148"/>
  <c r="S106" i="148"/>
  <c r="S108" i="148"/>
  <c r="O111" i="148"/>
  <c r="S112" i="148"/>
  <c r="S114" i="148"/>
  <c r="S119" i="148"/>
  <c r="P123" i="148"/>
  <c r="S125" i="148"/>
  <c r="O130" i="148"/>
  <c r="O132" i="148"/>
  <c r="O133" i="148"/>
  <c r="O137" i="148"/>
  <c r="S137" i="148"/>
  <c r="O139" i="148"/>
  <c r="S139" i="148"/>
  <c r="O143" i="148"/>
  <c r="S143" i="148"/>
  <c r="S144" i="148"/>
  <c r="S146" i="148"/>
  <c r="P155" i="148"/>
  <c r="P158" i="148"/>
  <c r="O162" i="148"/>
  <c r="O164" i="148"/>
  <c r="O165" i="148"/>
  <c r="S165" i="148"/>
  <c r="O169" i="148"/>
  <c r="O171" i="148"/>
  <c r="S171" i="148"/>
  <c r="O175" i="148"/>
  <c r="S175" i="148"/>
  <c r="P176" i="148"/>
  <c r="S176" i="148"/>
  <c r="S178" i="148"/>
  <c r="P187" i="148"/>
  <c r="P190" i="148"/>
  <c r="O194" i="148"/>
  <c r="O196" i="148"/>
  <c r="O197" i="148"/>
  <c r="O201" i="148"/>
  <c r="S201" i="148"/>
  <c r="O203" i="148"/>
  <c r="O207" i="148"/>
  <c r="S208" i="148"/>
  <c r="S210" i="148"/>
  <c r="S212" i="148"/>
  <c r="P216" i="148"/>
  <c r="O217" i="148"/>
  <c r="P218" i="148"/>
  <c r="O220" i="148"/>
  <c r="S224" i="148"/>
  <c r="S225" i="148"/>
  <c r="O228" i="148"/>
  <c r="O235" i="148"/>
  <c r="S235" i="148"/>
  <c r="S236" i="148"/>
  <c r="S237" i="148"/>
  <c r="O240" i="148"/>
  <c r="S243" i="148"/>
  <c r="S244" i="148"/>
  <c r="P248" i="148"/>
  <c r="O249" i="148"/>
  <c r="S249" i="148"/>
  <c r="P250" i="148"/>
  <c r="O252" i="148"/>
  <c r="S255" i="148"/>
  <c r="S256" i="148"/>
  <c r="O260" i="148"/>
  <c r="O267" i="148"/>
  <c r="S267" i="148"/>
  <c r="S268" i="148"/>
  <c r="S269" i="148"/>
  <c r="O272" i="148"/>
  <c r="S275" i="148"/>
  <c r="S276" i="148"/>
  <c r="P280" i="148"/>
  <c r="O281" i="148"/>
  <c r="S281" i="148"/>
  <c r="P282" i="148"/>
  <c r="O284" i="148"/>
  <c r="S287" i="148"/>
  <c r="S288" i="148"/>
  <c r="S289" i="148"/>
  <c r="O292" i="148"/>
  <c r="O299" i="148"/>
  <c r="S299" i="148"/>
  <c r="S300" i="148"/>
  <c r="O304" i="148"/>
  <c r="S307" i="148"/>
  <c r="S308" i="148"/>
  <c r="P312" i="148"/>
  <c r="O313" i="148"/>
  <c r="S313" i="148"/>
  <c r="P314" i="148"/>
  <c r="O316" i="148"/>
  <c r="S319" i="148"/>
  <c r="S320" i="148"/>
  <c r="S321" i="148"/>
  <c r="O324" i="148"/>
  <c r="O331" i="148"/>
  <c r="S331" i="148"/>
  <c r="S332" i="148"/>
  <c r="O336" i="148"/>
  <c r="S339" i="148"/>
  <c r="S340" i="148"/>
  <c r="P344" i="148"/>
  <c r="O345" i="148"/>
  <c r="S345" i="148"/>
  <c r="P346" i="148"/>
  <c r="O348" i="148"/>
  <c r="S351" i="148"/>
  <c r="S352" i="148"/>
  <c r="S353" i="148"/>
  <c r="O356" i="148"/>
  <c r="O359" i="148"/>
  <c r="P359" i="148"/>
  <c r="P372" i="148"/>
  <c r="P374" i="148"/>
  <c r="O374" i="148"/>
  <c r="P384" i="148"/>
  <c r="P386" i="148"/>
  <c r="O386" i="148"/>
  <c r="P396" i="148"/>
  <c r="P398" i="148"/>
  <c r="O398" i="148"/>
  <c r="P414" i="148"/>
  <c r="P415" i="148"/>
  <c r="P416" i="148"/>
  <c r="O416" i="148"/>
  <c r="P430" i="148"/>
  <c r="P431" i="148"/>
  <c r="P432" i="148"/>
  <c r="O432" i="148"/>
  <c r="P446" i="148"/>
  <c r="P447" i="148"/>
  <c r="P448" i="148"/>
  <c r="O448" i="148"/>
  <c r="P468" i="148"/>
  <c r="O468" i="148"/>
  <c r="P500" i="148"/>
  <c r="O500" i="148"/>
  <c r="P360" i="148"/>
  <c r="O361" i="148"/>
  <c r="S361" i="148"/>
  <c r="P362" i="148"/>
  <c r="O364" i="148"/>
  <c r="S367" i="148"/>
  <c r="S368" i="148"/>
  <c r="S369" i="148"/>
  <c r="O372" i="148"/>
  <c r="O379" i="148"/>
  <c r="S379" i="148"/>
  <c r="S380" i="148"/>
  <c r="O384" i="148"/>
  <c r="S387" i="148"/>
  <c r="S388" i="148"/>
  <c r="P392" i="148"/>
  <c r="O393" i="148"/>
  <c r="S393" i="148"/>
  <c r="P394" i="148"/>
  <c r="O396" i="148"/>
  <c r="S400" i="148"/>
  <c r="S401" i="148"/>
  <c r="S402" i="148"/>
  <c r="O406" i="148"/>
  <c r="S409" i="148"/>
  <c r="S410" i="148"/>
  <c r="S411" i="148"/>
  <c r="O414" i="148"/>
  <c r="S417" i="148"/>
  <c r="S418" i="148"/>
  <c r="S419" i="148"/>
  <c r="O422" i="148"/>
  <c r="S425" i="148"/>
  <c r="S426" i="148"/>
  <c r="S427" i="148"/>
  <c r="O430" i="148"/>
  <c r="S434" i="148"/>
  <c r="S435" i="148"/>
  <c r="O438" i="148"/>
  <c r="S442" i="148"/>
  <c r="S443" i="148"/>
  <c r="O446" i="148"/>
  <c r="S450" i="148"/>
  <c r="S451" i="148"/>
  <c r="O454" i="148"/>
  <c r="S458" i="148"/>
  <c r="S459" i="148"/>
  <c r="O462" i="148"/>
  <c r="S466" i="148"/>
  <c r="S467" i="148"/>
  <c r="O470" i="148"/>
  <c r="S473" i="148"/>
  <c r="S474" i="148"/>
  <c r="O478" i="148"/>
  <c r="S481" i="148"/>
  <c r="S482" i="148"/>
  <c r="O486" i="148"/>
  <c r="S489" i="148"/>
  <c r="S490" i="148"/>
  <c r="O494" i="148"/>
  <c r="S497" i="148"/>
  <c r="S498" i="148"/>
  <c r="O502" i="148"/>
  <c r="S521" i="148"/>
  <c r="P548" i="148"/>
  <c r="O548" i="148"/>
  <c r="P580" i="148"/>
  <c r="O580" i="148"/>
  <c r="O363" i="148"/>
  <c r="S363" i="148"/>
  <c r="S364" i="148"/>
  <c r="O368" i="148"/>
  <c r="S372" i="148"/>
  <c r="S375" i="148"/>
  <c r="O377" i="148"/>
  <c r="P378" i="148"/>
  <c r="O380" i="148"/>
  <c r="S383" i="148"/>
  <c r="S384" i="148"/>
  <c r="O388" i="148"/>
  <c r="O395" i="148"/>
  <c r="S395" i="148"/>
  <c r="S396" i="148"/>
  <c r="S397" i="148"/>
  <c r="O400" i="148"/>
  <c r="O402" i="148"/>
  <c r="S406" i="148"/>
  <c r="S407" i="148"/>
  <c r="O410" i="148"/>
  <c r="S413" i="148"/>
  <c r="S414" i="148"/>
  <c r="S415" i="148"/>
  <c r="O418" i="148"/>
  <c r="S421" i="148"/>
  <c r="S422" i="148"/>
  <c r="S423" i="148"/>
  <c r="O426" i="148"/>
  <c r="S430" i="148"/>
  <c r="S431" i="148"/>
  <c r="O434" i="148"/>
  <c r="S438" i="148"/>
  <c r="S439" i="148"/>
  <c r="O442" i="148"/>
  <c r="S446" i="148"/>
  <c r="S447" i="148"/>
  <c r="O450" i="148"/>
  <c r="S454" i="148"/>
  <c r="S455" i="148"/>
  <c r="O458" i="148"/>
  <c r="S461" i="148"/>
  <c r="S462" i="148"/>
  <c r="S463" i="148"/>
  <c r="O466" i="148"/>
  <c r="S470" i="148"/>
  <c r="S471" i="148"/>
  <c r="O474" i="148"/>
  <c r="S477" i="148"/>
  <c r="S478" i="148"/>
  <c r="O482" i="148"/>
  <c r="S485" i="148"/>
  <c r="S486" i="148"/>
  <c r="O490" i="148"/>
  <c r="S493" i="148"/>
  <c r="S494" i="148"/>
  <c r="O498" i="148"/>
  <c r="S501" i="148"/>
  <c r="S502" i="148"/>
  <c r="O504" i="148"/>
  <c r="O509" i="148"/>
  <c r="O511" i="148"/>
  <c r="P511" i="148"/>
  <c r="P515" i="148"/>
  <c r="P516" i="148"/>
  <c r="O516" i="148"/>
  <c r="P532" i="148"/>
  <c r="O532" i="148"/>
  <c r="P564" i="148"/>
  <c r="O564" i="148"/>
  <c r="P596" i="148"/>
  <c r="O596" i="148"/>
  <c r="P454" i="148"/>
  <c r="P455" i="148"/>
  <c r="P456" i="148"/>
  <c r="P462" i="148"/>
  <c r="P463" i="148"/>
  <c r="P464" i="148"/>
  <c r="P470" i="148"/>
  <c r="P471" i="148"/>
  <c r="P472" i="148"/>
  <c r="P478" i="148"/>
  <c r="P479" i="148"/>
  <c r="P480" i="148"/>
  <c r="P486" i="148"/>
  <c r="P487" i="148"/>
  <c r="P488" i="148"/>
  <c r="P494" i="148"/>
  <c r="P495" i="148"/>
  <c r="P496" i="148"/>
  <c r="P540" i="148"/>
  <c r="O540" i="148"/>
  <c r="P572" i="148"/>
  <c r="O572" i="148"/>
  <c r="P751" i="148"/>
  <c r="O751" i="148"/>
  <c r="P769" i="148"/>
  <c r="O769" i="148"/>
  <c r="O505" i="148"/>
  <c r="P506" i="148"/>
  <c r="P507" i="148"/>
  <c r="S507" i="148"/>
  <c r="P508" i="148"/>
  <c r="O512" i="148"/>
  <c r="O513" i="148"/>
  <c r="P514" i="148"/>
  <c r="O517" i="148"/>
  <c r="S517" i="148"/>
  <c r="P518" i="148"/>
  <c r="S518" i="148"/>
  <c r="O522" i="148"/>
  <c r="S526" i="148"/>
  <c r="S527" i="148"/>
  <c r="O530" i="148"/>
  <c r="S534" i="148"/>
  <c r="S535" i="148"/>
  <c r="O538" i="148"/>
  <c r="S541" i="148"/>
  <c r="S542" i="148"/>
  <c r="S543" i="148"/>
  <c r="O546" i="148"/>
  <c r="S550" i="148"/>
  <c r="S551" i="148"/>
  <c r="O554" i="148"/>
  <c r="S558" i="148"/>
  <c r="S559" i="148"/>
  <c r="O562" i="148"/>
  <c r="S566" i="148"/>
  <c r="S567" i="148"/>
  <c r="O570" i="148"/>
  <c r="S574" i="148"/>
  <c r="S575" i="148"/>
  <c r="O578" i="148"/>
  <c r="S582" i="148"/>
  <c r="S583" i="148"/>
  <c r="O586" i="148"/>
  <c r="S590" i="148"/>
  <c r="S591" i="148"/>
  <c r="O594" i="148"/>
  <c r="S598" i="148"/>
  <c r="S599" i="148"/>
  <c r="O602" i="148"/>
  <c r="O610" i="148"/>
  <c r="O618" i="148"/>
  <c r="O626" i="148"/>
  <c r="S637" i="148"/>
  <c r="O758" i="148"/>
  <c r="P758" i="148"/>
  <c r="S510" i="148"/>
  <c r="O515" i="148"/>
  <c r="O519" i="148"/>
  <c r="P520" i="148"/>
  <c r="P525" i="148"/>
  <c r="P526" i="148"/>
  <c r="O527" i="148"/>
  <c r="P528" i="148"/>
  <c r="P533" i="148"/>
  <c r="P534" i="148"/>
  <c r="O535" i="148"/>
  <c r="P536" i="148"/>
  <c r="P541" i="148"/>
  <c r="P542" i="148"/>
  <c r="O543" i="148"/>
  <c r="P544" i="148"/>
  <c r="P549" i="148"/>
  <c r="P550" i="148"/>
  <c r="O551" i="148"/>
  <c r="P552" i="148"/>
  <c r="P557" i="148"/>
  <c r="P558" i="148"/>
  <c r="O559" i="148"/>
  <c r="P560" i="148"/>
  <c r="P565" i="148"/>
  <c r="P566" i="148"/>
  <c r="O567" i="148"/>
  <c r="P568" i="148"/>
  <c r="P573" i="148"/>
  <c r="P574" i="148"/>
  <c r="O575" i="148"/>
  <c r="P576" i="148"/>
  <c r="P581" i="148"/>
  <c r="P582" i="148"/>
  <c r="O583" i="148"/>
  <c r="P584" i="148"/>
  <c r="P589" i="148"/>
  <c r="P590" i="148"/>
  <c r="O591" i="148"/>
  <c r="P592" i="148"/>
  <c r="P597" i="148"/>
  <c r="P598" i="148"/>
  <c r="O599" i="148"/>
  <c r="P600" i="148"/>
  <c r="P605" i="148"/>
  <c r="P606" i="148"/>
  <c r="O607" i="148"/>
  <c r="P608" i="148"/>
  <c r="P613" i="148"/>
  <c r="P614" i="148"/>
  <c r="O615" i="148"/>
  <c r="S615" i="148"/>
  <c r="P616" i="148"/>
  <c r="P621" i="148"/>
  <c r="P622" i="148"/>
  <c r="O623" i="148"/>
  <c r="P624" i="148"/>
  <c r="P629" i="148"/>
  <c r="P630" i="148"/>
  <c r="O631" i="148"/>
  <c r="P632" i="148"/>
  <c r="S632" i="148"/>
  <c r="O638" i="148"/>
  <c r="P724" i="148"/>
  <c r="O724" i="148"/>
  <c r="O740" i="148"/>
  <c r="P740" i="148"/>
  <c r="P783" i="148"/>
  <c r="O783" i="148"/>
  <c r="P801" i="148"/>
  <c r="O801" i="148"/>
  <c r="S530" i="148"/>
  <c r="S531" i="148"/>
  <c r="S538" i="148"/>
  <c r="S539" i="148"/>
  <c r="S546" i="148"/>
  <c r="S547" i="148"/>
  <c r="S554" i="148"/>
  <c r="S555" i="148"/>
  <c r="S561" i="148"/>
  <c r="S562" i="148"/>
  <c r="S563" i="148"/>
  <c r="S570" i="148"/>
  <c r="S571" i="148"/>
  <c r="S578" i="148"/>
  <c r="S579" i="148"/>
  <c r="S586" i="148"/>
  <c r="S587" i="148"/>
  <c r="S594" i="148"/>
  <c r="S595" i="148"/>
  <c r="S601" i="148"/>
  <c r="S602" i="148"/>
  <c r="S603" i="148"/>
  <c r="O604" i="148"/>
  <c r="S609" i="148"/>
  <c r="S610" i="148"/>
  <c r="O612" i="148"/>
  <c r="S617" i="148"/>
  <c r="S618" i="148"/>
  <c r="S619" i="148"/>
  <c r="O620" i="148"/>
  <c r="S625" i="148"/>
  <c r="S626" i="148"/>
  <c r="S627" i="148"/>
  <c r="O628" i="148"/>
  <c r="S648" i="148"/>
  <c r="S664" i="148"/>
  <c r="S680" i="148"/>
  <c r="O790" i="148"/>
  <c r="P790" i="148"/>
  <c r="P915" i="148"/>
  <c r="O915" i="148"/>
  <c r="P939" i="148"/>
  <c r="O939" i="148"/>
  <c r="O959" i="148"/>
  <c r="P959" i="148"/>
  <c r="S645" i="148"/>
  <c r="O647" i="148"/>
  <c r="O655" i="148"/>
  <c r="S661" i="148"/>
  <c r="O663" i="148"/>
  <c r="O671" i="148"/>
  <c r="S671" i="148"/>
  <c r="O679" i="148"/>
  <c r="S679" i="148"/>
  <c r="O687" i="148"/>
  <c r="S687" i="148"/>
  <c r="O695" i="148"/>
  <c r="S695" i="148"/>
  <c r="O703" i="148"/>
  <c r="O711" i="148"/>
  <c r="S711" i="148"/>
  <c r="O719" i="148"/>
  <c r="S719" i="148"/>
  <c r="S725" i="148"/>
  <c r="S726" i="148"/>
  <c r="O729" i="148"/>
  <c r="O734" i="148"/>
  <c r="S735" i="148"/>
  <c r="S736" i="148"/>
  <c r="O739" i="148"/>
  <c r="P742" i="148"/>
  <c r="S745" i="148"/>
  <c r="S747" i="148"/>
  <c r="S748" i="148"/>
  <c r="S752" i="148"/>
  <c r="S758" i="148"/>
  <c r="O763" i="148"/>
  <c r="O765" i="148"/>
  <c r="O766" i="148"/>
  <c r="O770" i="148"/>
  <c r="S770" i="148"/>
  <c r="O772" i="148"/>
  <c r="P774" i="148"/>
  <c r="O776" i="148"/>
  <c r="S777" i="148"/>
  <c r="S779" i="148"/>
  <c r="S784" i="148"/>
  <c r="S790" i="148"/>
  <c r="O795" i="148"/>
  <c r="O797" i="148"/>
  <c r="O798" i="148"/>
  <c r="O802" i="148"/>
  <c r="S802" i="148"/>
  <c r="O804" i="148"/>
  <c r="P806" i="148"/>
  <c r="O808" i="148"/>
  <c r="S809" i="148"/>
  <c r="S811" i="148"/>
  <c r="O816" i="148"/>
  <c r="S817" i="148"/>
  <c r="S819" i="148"/>
  <c r="P820" i="148"/>
  <c r="O829" i="148"/>
  <c r="O830" i="148"/>
  <c r="S830" i="148"/>
  <c r="O835" i="148"/>
  <c r="O842" i="148"/>
  <c r="S842" i="148"/>
  <c r="O844" i="148"/>
  <c r="O848" i="148"/>
  <c r="S849" i="148"/>
  <c r="O864" i="148"/>
  <c r="P865" i="148"/>
  <c r="O865" i="148"/>
  <c r="S866" i="148"/>
  <c r="S867" i="148"/>
  <c r="O873" i="148"/>
  <c r="P880" i="148"/>
  <c r="O884" i="148"/>
  <c r="P887" i="148"/>
  <c r="O887" i="148"/>
  <c r="S902" i="148"/>
  <c r="O913" i="148"/>
  <c r="S949" i="148"/>
  <c r="P966" i="148"/>
  <c r="O966" i="148"/>
  <c r="P994" i="148"/>
  <c r="O994" i="148"/>
  <c r="P1006" i="148"/>
  <c r="O1006" i="148"/>
  <c r="P1019" i="148"/>
  <c r="O1019" i="148"/>
  <c r="P732" i="148"/>
  <c r="P747" i="148"/>
  <c r="P749" i="148"/>
  <c r="P753" i="148"/>
  <c r="P764" i="148"/>
  <c r="P767" i="148"/>
  <c r="P779" i="148"/>
  <c r="P781" i="148"/>
  <c r="P785" i="148"/>
  <c r="P796" i="148"/>
  <c r="P799" i="148"/>
  <c r="P811" i="148"/>
  <c r="P813" i="148"/>
  <c r="P819" i="148"/>
  <c r="P825" i="148"/>
  <c r="P839" i="148"/>
  <c r="P845" i="148"/>
  <c r="P859" i="148"/>
  <c r="O860" i="148"/>
  <c r="P860" i="148"/>
  <c r="P923" i="148"/>
  <c r="O923" i="148"/>
  <c r="P956" i="148"/>
  <c r="O956" i="148"/>
  <c r="P982" i="148"/>
  <c r="O982" i="148"/>
  <c r="P633" i="148"/>
  <c r="P634" i="148"/>
  <c r="O635" i="148"/>
  <c r="P636" i="148"/>
  <c r="P641" i="148"/>
  <c r="S641" i="148"/>
  <c r="P642" i="148"/>
  <c r="O643" i="148"/>
  <c r="P644" i="148"/>
  <c r="P649" i="148"/>
  <c r="S649" i="148"/>
  <c r="P650" i="148"/>
  <c r="O651" i="148"/>
  <c r="P652" i="148"/>
  <c r="P657" i="148"/>
  <c r="P658" i="148"/>
  <c r="O659" i="148"/>
  <c r="P660" i="148"/>
  <c r="P665" i="148"/>
  <c r="P666" i="148"/>
  <c r="O667" i="148"/>
  <c r="P668" i="148"/>
  <c r="P673" i="148"/>
  <c r="P674" i="148"/>
  <c r="O675" i="148"/>
  <c r="S675" i="148"/>
  <c r="P676" i="148"/>
  <c r="P681" i="148"/>
  <c r="P682" i="148"/>
  <c r="O683" i="148"/>
  <c r="S683" i="148"/>
  <c r="P684" i="148"/>
  <c r="P689" i="148"/>
  <c r="P690" i="148"/>
  <c r="O691" i="148"/>
  <c r="S691" i="148"/>
  <c r="P692" i="148"/>
  <c r="P697" i="148"/>
  <c r="P698" i="148"/>
  <c r="O699" i="148"/>
  <c r="P700" i="148"/>
  <c r="P705" i="148"/>
  <c r="P706" i="148"/>
  <c r="O707" i="148"/>
  <c r="P708" i="148"/>
  <c r="P713" i="148"/>
  <c r="P714" i="148"/>
  <c r="O715" i="148"/>
  <c r="P716" i="148"/>
  <c r="O721" i="148"/>
  <c r="P722" i="148"/>
  <c r="P723" i="148"/>
  <c r="O726" i="148"/>
  <c r="S727" i="148"/>
  <c r="P728" i="148"/>
  <c r="S733" i="148"/>
  <c r="S734" i="148"/>
  <c r="O737" i="148"/>
  <c r="P738" i="148"/>
  <c r="S739" i="148"/>
  <c r="S742" i="148"/>
  <c r="P743" i="148"/>
  <c r="O747" i="148"/>
  <c r="O749" i="148"/>
  <c r="O750" i="148"/>
  <c r="O754" i="148"/>
  <c r="S754" i="148"/>
  <c r="P755" i="148"/>
  <c r="O756" i="148"/>
  <c r="P757" i="148"/>
  <c r="O760" i="148"/>
  <c r="P761" i="148"/>
  <c r="S761" i="148"/>
  <c r="S763" i="148"/>
  <c r="S768" i="148"/>
  <c r="P772" i="148"/>
  <c r="S774" i="148"/>
  <c r="P775" i="148"/>
  <c r="O779" i="148"/>
  <c r="O781" i="148"/>
  <c r="O782" i="148"/>
  <c r="O786" i="148"/>
  <c r="S786" i="148"/>
  <c r="P787" i="148"/>
  <c r="O788" i="148"/>
  <c r="P789" i="148"/>
  <c r="O792" i="148"/>
  <c r="P793" i="148"/>
  <c r="S793" i="148"/>
  <c r="S795" i="148"/>
  <c r="S800" i="148"/>
  <c r="P804" i="148"/>
  <c r="S806" i="148"/>
  <c r="P807" i="148"/>
  <c r="O811" i="148"/>
  <c r="O813" i="148"/>
  <c r="O814" i="148"/>
  <c r="S814" i="148"/>
  <c r="P815" i="148"/>
  <c r="O819" i="148"/>
  <c r="P821" i="148"/>
  <c r="O823" i="148"/>
  <c r="O826" i="148"/>
  <c r="S826" i="148"/>
  <c r="P827" i="148"/>
  <c r="O828" i="148"/>
  <c r="O832" i="148"/>
  <c r="P833" i="148"/>
  <c r="S833" i="148"/>
  <c r="S835" i="148"/>
  <c r="P836" i="148"/>
  <c r="O841" i="148"/>
  <c r="O845" i="148"/>
  <c r="O846" i="148"/>
  <c r="S846" i="148"/>
  <c r="P847" i="148"/>
  <c r="P853" i="148"/>
  <c r="O855" i="148"/>
  <c r="O859" i="148"/>
  <c r="O861" i="148"/>
  <c r="S862" i="148"/>
  <c r="P863" i="148"/>
  <c r="S872" i="148"/>
  <c r="S873" i="148"/>
  <c r="O875" i="148"/>
  <c r="O892" i="148"/>
  <c r="P895" i="148"/>
  <c r="O895" i="148"/>
  <c r="S910" i="148"/>
  <c r="S915" i="148"/>
  <c r="O921" i="148"/>
  <c r="S928" i="148"/>
  <c r="S929" i="148"/>
  <c r="O930" i="148"/>
  <c r="O932" i="148"/>
  <c r="P934" i="148"/>
  <c r="O934" i="148"/>
  <c r="S934" i="148"/>
  <c r="S939" i="148"/>
  <c r="S959" i="148"/>
  <c r="S960" i="148"/>
  <c r="O962" i="148"/>
  <c r="P974" i="148"/>
  <c r="O974" i="148"/>
  <c r="P881" i="148"/>
  <c r="S882" i="148"/>
  <c r="P883" i="148"/>
  <c r="P889" i="148"/>
  <c r="P890" i="148"/>
  <c r="S890" i="148"/>
  <c r="P891" i="148"/>
  <c r="O901" i="148"/>
  <c r="O909" i="148"/>
  <c r="P917" i="148"/>
  <c r="S918" i="148"/>
  <c r="P919" i="148"/>
  <c r="P925" i="148"/>
  <c r="P926" i="148"/>
  <c r="O929" i="148"/>
  <c r="S930" i="148"/>
  <c r="P931" i="148"/>
  <c r="P941" i="148"/>
  <c r="P942" i="148"/>
  <c r="S946" i="148"/>
  <c r="P952" i="148"/>
  <c r="S953" i="148"/>
  <c r="P954" i="148"/>
  <c r="P957" i="148"/>
  <c r="S957" i="148"/>
  <c r="P958" i="148"/>
  <c r="O960" i="148"/>
  <c r="P968" i="148"/>
  <c r="P969" i="148"/>
  <c r="S969" i="148"/>
  <c r="P970" i="148"/>
  <c r="O987" i="148"/>
  <c r="P987" i="148"/>
  <c r="P1024" i="148"/>
  <c r="O1024" i="148"/>
  <c r="P1034" i="148"/>
  <c r="P1035" i="148"/>
  <c r="O1035" i="148"/>
  <c r="P851" i="148"/>
  <c r="O852" i="148"/>
  <c r="O856" i="148"/>
  <c r="P857" i="148"/>
  <c r="S857" i="148"/>
  <c r="S859" i="148"/>
  <c r="O868" i="148"/>
  <c r="P869" i="148"/>
  <c r="S870" i="148"/>
  <c r="P871" i="148"/>
  <c r="O876" i="148"/>
  <c r="P877" i="148"/>
  <c r="P878" i="148"/>
  <c r="S878" i="148"/>
  <c r="P879" i="148"/>
  <c r="O881" i="148"/>
  <c r="S884" i="148"/>
  <c r="S885" i="148"/>
  <c r="O889" i="148"/>
  <c r="S892" i="148"/>
  <c r="S893" i="148"/>
  <c r="P897" i="148"/>
  <c r="S898" i="148"/>
  <c r="P899" i="148"/>
  <c r="O904" i="148"/>
  <c r="P905" i="148"/>
  <c r="P906" i="148"/>
  <c r="S906" i="148"/>
  <c r="P907" i="148"/>
  <c r="O912" i="148"/>
  <c r="S912" i="148"/>
  <c r="S913" i="148"/>
  <c r="O917" i="148"/>
  <c r="S920" i="148"/>
  <c r="S921" i="148"/>
  <c r="O925" i="148"/>
  <c r="S926" i="148"/>
  <c r="P927" i="148"/>
  <c r="S932" i="148"/>
  <c r="S933" i="148"/>
  <c r="O936" i="148"/>
  <c r="P937" i="148"/>
  <c r="P938" i="148"/>
  <c r="O941" i="148"/>
  <c r="S942" i="148"/>
  <c r="P943" i="148"/>
  <c r="P948" i="148"/>
  <c r="O952" i="148"/>
  <c r="O954" i="148"/>
  <c r="O955" i="148"/>
  <c r="S955" i="148"/>
  <c r="O963" i="148"/>
  <c r="S963" i="148"/>
  <c r="S964" i="148"/>
  <c r="P1012" i="148"/>
  <c r="P1014" i="148"/>
  <c r="O1014" i="148"/>
  <c r="P1026" i="148"/>
  <c r="P1027" i="148"/>
  <c r="O1027" i="148"/>
  <c r="S1028" i="148"/>
  <c r="S1039" i="148"/>
  <c r="S1047" i="148"/>
  <c r="S1055" i="148"/>
  <c r="S1063" i="148"/>
  <c r="S1071" i="148"/>
  <c r="O964" i="148"/>
  <c r="O972" i="148"/>
  <c r="P986" i="148"/>
  <c r="O986" i="148"/>
  <c r="O995" i="148"/>
  <c r="P995" i="148"/>
  <c r="O1007" i="148"/>
  <c r="P1007" i="148"/>
  <c r="P1032" i="148"/>
  <c r="O1032" i="148"/>
  <c r="O979" i="148"/>
  <c r="S979" i="148"/>
  <c r="S980" i="148"/>
  <c r="O984" i="148"/>
  <c r="O991" i="148"/>
  <c r="S991" i="148"/>
  <c r="S992" i="148"/>
  <c r="S997" i="148"/>
  <c r="O1003" i="148"/>
  <c r="S1003" i="148"/>
  <c r="S1004" i="148"/>
  <c r="S1009" i="148"/>
  <c r="O1012" i="148"/>
  <c r="S1015" i="148"/>
  <c r="S1016" i="148"/>
  <c r="S1018" i="148"/>
  <c r="O1021" i="148"/>
  <c r="O1026" i="148"/>
  <c r="S1027" i="148"/>
  <c r="S1033" i="148"/>
  <c r="S1034" i="148"/>
  <c r="O1037" i="148"/>
  <c r="S1080" i="148"/>
  <c r="S1084" i="148"/>
  <c r="S1088" i="148"/>
  <c r="P1090" i="148"/>
  <c r="S1094" i="148"/>
  <c r="S1098" i="148"/>
  <c r="S1102" i="148"/>
  <c r="S1106" i="148"/>
  <c r="S1110" i="148"/>
  <c r="O968" i="148"/>
  <c r="S971" i="148"/>
  <c r="S972" i="148"/>
  <c r="P976" i="148"/>
  <c r="S977" i="148"/>
  <c r="P978" i="148"/>
  <c r="O980" i="148"/>
  <c r="S983" i="148"/>
  <c r="S984" i="148"/>
  <c r="P988" i="148"/>
  <c r="P989" i="148"/>
  <c r="S989" i="148"/>
  <c r="P990" i="148"/>
  <c r="O992" i="148"/>
  <c r="O999" i="148"/>
  <c r="P1000" i="148"/>
  <c r="P1001" i="148"/>
  <c r="S1001" i="148"/>
  <c r="P1002" i="148"/>
  <c r="O1004" i="148"/>
  <c r="O1011" i="148"/>
  <c r="S1011" i="148"/>
  <c r="S1012" i="148"/>
  <c r="O1016" i="148"/>
  <c r="O1018" i="148"/>
  <c r="S1019" i="148"/>
  <c r="P1020" i="148"/>
  <c r="S1025" i="148"/>
  <c r="S1026" i="148"/>
  <c r="O1029" i="148"/>
  <c r="O1034" i="148"/>
  <c r="S1035" i="148"/>
  <c r="P1036" i="148"/>
  <c r="O1040" i="148"/>
  <c r="O1044" i="148"/>
  <c r="O1048" i="148"/>
  <c r="O1052" i="148"/>
  <c r="O1056" i="148"/>
  <c r="O1060" i="148"/>
  <c r="O1064" i="148"/>
  <c r="O1068" i="148"/>
  <c r="O1072" i="148"/>
  <c r="O1076" i="148"/>
  <c r="S1078" i="148"/>
  <c r="S1082" i="148"/>
  <c r="S1086" i="148"/>
  <c r="S1090" i="148"/>
  <c r="S1092" i="148"/>
  <c r="S1096" i="148"/>
  <c r="S1100" i="148"/>
  <c r="S1104" i="148"/>
  <c r="S1108" i="148"/>
  <c r="S1112" i="148"/>
  <c r="M3" i="101"/>
  <c r="J33" i="101" s="1"/>
  <c r="P40" i="148"/>
  <c r="P58" i="148"/>
  <c r="P62" i="148"/>
  <c r="P66" i="148"/>
  <c r="P70" i="148"/>
  <c r="P74" i="148"/>
  <c r="P78" i="148"/>
  <c r="P82" i="148"/>
  <c r="P86" i="148"/>
  <c r="P90" i="148"/>
  <c r="P94" i="148"/>
  <c r="P98" i="148"/>
  <c r="P106" i="148"/>
  <c r="O43" i="148"/>
  <c r="O51" i="148"/>
  <c r="O55" i="148"/>
  <c r="O59" i="148"/>
  <c r="O63" i="148"/>
  <c r="O67" i="148"/>
  <c r="O71" i="148"/>
  <c r="O75" i="148"/>
  <c r="O79" i="148"/>
  <c r="O83" i="148"/>
  <c r="O87" i="148"/>
  <c r="O91" i="148"/>
  <c r="O95" i="148"/>
  <c r="O99" i="148"/>
  <c r="O103" i="148"/>
  <c r="P113" i="148"/>
  <c r="S115" i="148"/>
  <c r="P121" i="148"/>
  <c r="S123" i="148"/>
  <c r="P129" i="148"/>
  <c r="S131" i="148"/>
  <c r="P137" i="148"/>
  <c r="P145" i="148"/>
  <c r="P153" i="148"/>
  <c r="P161" i="148"/>
  <c r="P169" i="148"/>
  <c r="P177" i="148"/>
  <c r="P185" i="148"/>
  <c r="P193" i="148"/>
  <c r="S195" i="148"/>
  <c r="P201" i="148"/>
  <c r="S203" i="148"/>
  <c r="P209" i="148"/>
  <c r="S211" i="148"/>
  <c r="S217" i="148"/>
  <c r="P227" i="148"/>
  <c r="S233" i="148"/>
  <c r="P243" i="148"/>
  <c r="P259" i="148"/>
  <c r="P275" i="148"/>
  <c r="P291" i="148"/>
  <c r="P307" i="148"/>
  <c r="P323" i="148"/>
  <c r="S329" i="148"/>
  <c r="P339" i="148"/>
  <c r="P355" i="148"/>
  <c r="P371" i="148"/>
  <c r="S377" i="148"/>
  <c r="P387" i="148"/>
  <c r="P50" i="148"/>
  <c r="P54" i="148"/>
  <c r="P102" i="148"/>
  <c r="O107" i="148"/>
  <c r="S107" i="148"/>
  <c r="P111" i="148"/>
  <c r="P119" i="148"/>
  <c r="P127" i="148"/>
  <c r="P135" i="148"/>
  <c r="P143" i="148"/>
  <c r="S145" i="148"/>
  <c r="P151" i="148"/>
  <c r="S153" i="148"/>
  <c r="P159" i="148"/>
  <c r="S161" i="148"/>
  <c r="P167" i="148"/>
  <c r="S169" i="148"/>
  <c r="P175" i="148"/>
  <c r="S177" i="148"/>
  <c r="P183" i="148"/>
  <c r="S185" i="148"/>
  <c r="P191" i="148"/>
  <c r="S193" i="148"/>
  <c r="P199" i="148"/>
  <c r="P207" i="148"/>
  <c r="S213" i="148"/>
  <c r="P223" i="148"/>
  <c r="S229" i="148"/>
  <c r="P239" i="148"/>
  <c r="P255" i="148"/>
  <c r="S261" i="148"/>
  <c r="P271" i="148"/>
  <c r="P287" i="148"/>
  <c r="P303" i="148"/>
  <c r="P319" i="148"/>
  <c r="S325" i="148"/>
  <c r="P335" i="148"/>
  <c r="P351" i="148"/>
  <c r="P367" i="148"/>
  <c r="S373" i="148"/>
  <c r="P383" i="148"/>
  <c r="P399" i="148"/>
  <c r="P213" i="148"/>
  <c r="P217" i="148"/>
  <c r="P221" i="148"/>
  <c r="P225" i="148"/>
  <c r="P229" i="148"/>
  <c r="P233" i="148"/>
  <c r="P237" i="148"/>
  <c r="P241" i="148"/>
  <c r="P245" i="148"/>
  <c r="P249" i="148"/>
  <c r="P253" i="148"/>
  <c r="P257" i="148"/>
  <c r="P261" i="148"/>
  <c r="P265" i="148"/>
  <c r="P269" i="148"/>
  <c r="P273" i="148"/>
  <c r="P277" i="148"/>
  <c r="P281" i="148"/>
  <c r="P285" i="148"/>
  <c r="P289" i="148"/>
  <c r="P293" i="148"/>
  <c r="P297" i="148"/>
  <c r="P301" i="148"/>
  <c r="P305" i="148"/>
  <c r="P309" i="148"/>
  <c r="P313" i="148"/>
  <c r="P317" i="148"/>
  <c r="P321" i="148"/>
  <c r="P325" i="148"/>
  <c r="P329" i="148"/>
  <c r="P333" i="148"/>
  <c r="P337" i="148"/>
  <c r="P341" i="148"/>
  <c r="P345" i="148"/>
  <c r="P349" i="148"/>
  <c r="P353" i="148"/>
  <c r="P357" i="148"/>
  <c r="P361" i="148"/>
  <c r="P365" i="148"/>
  <c r="P369" i="148"/>
  <c r="P373" i="148"/>
  <c r="P377" i="148"/>
  <c r="P381" i="148"/>
  <c r="P385" i="148"/>
  <c r="P389" i="148"/>
  <c r="P393" i="148"/>
  <c r="P397" i="148"/>
  <c r="P401" i="148"/>
  <c r="P405" i="148"/>
  <c r="P409" i="148"/>
  <c r="P413" i="148"/>
  <c r="P417" i="148"/>
  <c r="P421" i="148"/>
  <c r="P425" i="148"/>
  <c r="P429" i="148"/>
  <c r="P433" i="148"/>
  <c r="P437" i="148"/>
  <c r="P441" i="148"/>
  <c r="P445" i="148"/>
  <c r="P449" i="148"/>
  <c r="P453" i="148"/>
  <c r="P457" i="148"/>
  <c r="P461" i="148"/>
  <c r="P465" i="148"/>
  <c r="P469" i="148"/>
  <c r="P473" i="148"/>
  <c r="P477" i="148"/>
  <c r="P481" i="148"/>
  <c r="P485" i="148"/>
  <c r="P489" i="148"/>
  <c r="P493" i="148"/>
  <c r="P497" i="148"/>
  <c r="P501" i="148"/>
  <c r="P505" i="148"/>
  <c r="O403" i="148"/>
  <c r="O407" i="148"/>
  <c r="O411" i="148"/>
  <c r="O415" i="148"/>
  <c r="O419" i="148"/>
  <c r="O423" i="148"/>
  <c r="O427" i="148"/>
  <c r="O431" i="148"/>
  <c r="O435" i="148"/>
  <c r="O439" i="148"/>
  <c r="O443" i="148"/>
  <c r="O447" i="148"/>
  <c r="O451" i="148"/>
  <c r="O455" i="148"/>
  <c r="O459" i="148"/>
  <c r="O463" i="148"/>
  <c r="O467" i="148"/>
  <c r="O471" i="148"/>
  <c r="O475" i="148"/>
  <c r="O479" i="148"/>
  <c r="O483" i="148"/>
  <c r="O487" i="148"/>
  <c r="O491" i="148"/>
  <c r="O495" i="148"/>
  <c r="O499" i="148"/>
  <c r="O503" i="148"/>
  <c r="O507" i="148"/>
  <c r="P513" i="148"/>
  <c r="S515" i="148"/>
  <c r="S519" i="148"/>
  <c r="P509" i="148"/>
  <c r="S511" i="148"/>
  <c r="P517" i="148"/>
  <c r="P519" i="148"/>
  <c r="P523" i="148"/>
  <c r="P527" i="148"/>
  <c r="P531" i="148"/>
  <c r="P535" i="148"/>
  <c r="P539" i="148"/>
  <c r="P543" i="148"/>
  <c r="P547" i="148"/>
  <c r="P551" i="148"/>
  <c r="P555" i="148"/>
  <c r="P559" i="148"/>
  <c r="P563" i="148"/>
  <c r="P567" i="148"/>
  <c r="P571" i="148"/>
  <c r="P575" i="148"/>
  <c r="P579" i="148"/>
  <c r="P583" i="148"/>
  <c r="P587" i="148"/>
  <c r="P591" i="148"/>
  <c r="P595" i="148"/>
  <c r="P599" i="148"/>
  <c r="P603" i="148"/>
  <c r="P607" i="148"/>
  <c r="P611" i="148"/>
  <c r="P615" i="148"/>
  <c r="P619" i="148"/>
  <c r="P623" i="148"/>
  <c r="P627" i="148"/>
  <c r="P631" i="148"/>
  <c r="P635" i="148"/>
  <c r="P639" i="148"/>
  <c r="P643" i="148"/>
  <c r="P647" i="148"/>
  <c r="P651" i="148"/>
  <c r="P655" i="148"/>
  <c r="P659" i="148"/>
  <c r="P663" i="148"/>
  <c r="P667" i="148"/>
  <c r="P671" i="148"/>
  <c r="P675" i="148"/>
  <c r="P679" i="148"/>
  <c r="P683" i="148"/>
  <c r="P687" i="148"/>
  <c r="P691" i="148"/>
  <c r="P695" i="148"/>
  <c r="P699" i="148"/>
  <c r="P703" i="148"/>
  <c r="P707" i="148"/>
  <c r="P711" i="148"/>
  <c r="P715" i="148"/>
  <c r="P719" i="148"/>
  <c r="O521" i="148"/>
  <c r="O525" i="148"/>
  <c r="O529" i="148"/>
  <c r="O533" i="148"/>
  <c r="O537" i="148"/>
  <c r="O541" i="148"/>
  <c r="O545" i="148"/>
  <c r="O549" i="148"/>
  <c r="O553" i="148"/>
  <c r="O557" i="148"/>
  <c r="O561" i="148"/>
  <c r="O565" i="148"/>
  <c r="O569" i="148"/>
  <c r="O573" i="148"/>
  <c r="O577" i="148"/>
  <c r="O581" i="148"/>
  <c r="O585" i="148"/>
  <c r="O589" i="148"/>
  <c r="O593" i="148"/>
  <c r="O597" i="148"/>
  <c r="O601" i="148"/>
  <c r="O605" i="148"/>
  <c r="O609" i="148"/>
  <c r="O613" i="148"/>
  <c r="O617" i="148"/>
  <c r="O621" i="148"/>
  <c r="O625" i="148"/>
  <c r="O629" i="148"/>
  <c r="O633" i="148"/>
  <c r="O637" i="148"/>
  <c r="O641" i="148"/>
  <c r="O645" i="148"/>
  <c r="O649" i="148"/>
  <c r="O653" i="148"/>
  <c r="O657" i="148"/>
  <c r="O661" i="148"/>
  <c r="O665" i="148"/>
  <c r="O669" i="148"/>
  <c r="O673" i="148"/>
  <c r="O677" i="148"/>
  <c r="O681" i="148"/>
  <c r="O685" i="148"/>
  <c r="O689" i="148"/>
  <c r="O693" i="148"/>
  <c r="O697" i="148"/>
  <c r="O701" i="148"/>
  <c r="O705" i="148"/>
  <c r="O709" i="148"/>
  <c r="O713" i="148"/>
  <c r="O717" i="148"/>
  <c r="P721" i="148"/>
  <c r="P726" i="148"/>
  <c r="P727" i="148"/>
  <c r="P729" i="148"/>
  <c r="P734" i="148"/>
  <c r="P735" i="148"/>
  <c r="O738" i="148"/>
  <c r="O744" i="148"/>
  <c r="P744" i="148"/>
  <c r="P725" i="148"/>
  <c r="P733" i="148"/>
  <c r="P762" i="148"/>
  <c r="S764" i="148"/>
  <c r="P770" i="148"/>
  <c r="S772" i="148"/>
  <c r="P778" i="148"/>
  <c r="S780" i="148"/>
  <c r="P786" i="148"/>
  <c r="S788" i="148"/>
  <c r="P794" i="148"/>
  <c r="S796" i="148"/>
  <c r="P802" i="148"/>
  <c r="S804" i="148"/>
  <c r="P810" i="148"/>
  <c r="S812" i="148"/>
  <c r="P818" i="148"/>
  <c r="S820" i="148"/>
  <c r="P826" i="148"/>
  <c r="S828" i="148"/>
  <c r="P834" i="148"/>
  <c r="S836" i="148"/>
  <c r="P842" i="148"/>
  <c r="S844" i="148"/>
  <c r="P850" i="148"/>
  <c r="S852" i="148"/>
  <c r="P858" i="148"/>
  <c r="S860" i="148"/>
  <c r="P870" i="148"/>
  <c r="P876" i="148"/>
  <c r="P886" i="148"/>
  <c r="P892" i="148"/>
  <c r="P902" i="148"/>
  <c r="P908" i="148"/>
  <c r="P918" i="148"/>
  <c r="P924" i="148"/>
  <c r="P928" i="148"/>
  <c r="P932" i="148"/>
  <c r="P936" i="148"/>
  <c r="P940" i="148"/>
  <c r="P737" i="148"/>
  <c r="P752" i="148"/>
  <c r="P760" i="148"/>
  <c r="P768" i="148"/>
  <c r="P776" i="148"/>
  <c r="P784" i="148"/>
  <c r="P792" i="148"/>
  <c r="P800" i="148"/>
  <c r="P808" i="148"/>
  <c r="P816" i="148"/>
  <c r="P824" i="148"/>
  <c r="P832" i="148"/>
  <c r="P840" i="148"/>
  <c r="P848" i="148"/>
  <c r="P856" i="148"/>
  <c r="P864" i="148"/>
  <c r="P866" i="148"/>
  <c r="P872" i="148"/>
  <c r="P882" i="148"/>
  <c r="P888" i="148"/>
  <c r="P898" i="148"/>
  <c r="P904" i="148"/>
  <c r="P914" i="148"/>
  <c r="P920" i="148"/>
  <c r="P814" i="148"/>
  <c r="S816" i="148"/>
  <c r="P822" i="148"/>
  <c r="S824" i="148"/>
  <c r="P830" i="148"/>
  <c r="S832" i="148"/>
  <c r="P838" i="148"/>
  <c r="S840" i="148"/>
  <c r="P846" i="148"/>
  <c r="S848" i="148"/>
  <c r="P854" i="148"/>
  <c r="S856" i="148"/>
  <c r="P862" i="148"/>
  <c r="S864" i="148"/>
  <c r="P868" i="148"/>
  <c r="P884" i="148"/>
  <c r="P900" i="148"/>
  <c r="P916" i="148"/>
  <c r="P944" i="148"/>
  <c r="O1096" i="148"/>
  <c r="O1100" i="148"/>
  <c r="O1104" i="148"/>
  <c r="O1108" i="148"/>
  <c r="O1112" i="148"/>
  <c r="O866" i="148"/>
  <c r="O870" i="148"/>
  <c r="O874" i="148"/>
  <c r="O878" i="148"/>
  <c r="O882" i="148"/>
  <c r="O886" i="148"/>
  <c r="O890" i="148"/>
  <c r="O894" i="148"/>
  <c r="O898" i="148"/>
  <c r="O902" i="148"/>
  <c r="O906" i="148"/>
  <c r="O910" i="148"/>
  <c r="O914" i="148"/>
  <c r="O918" i="148"/>
  <c r="O922" i="148"/>
  <c r="O1033" i="148"/>
  <c r="P1033" i="148"/>
  <c r="N1128" i="148"/>
  <c r="P1128" i="148" s="1"/>
  <c r="J1128" i="148"/>
  <c r="O945" i="148"/>
  <c r="P951" i="148"/>
  <c r="P965" i="148"/>
  <c r="P971" i="148"/>
  <c r="P981" i="148"/>
  <c r="P997" i="148"/>
  <c r="P1013" i="148"/>
  <c r="P949" i="148"/>
  <c r="S951" i="148"/>
  <c r="P961" i="148"/>
  <c r="P967" i="148"/>
  <c r="P977" i="148"/>
  <c r="P983" i="148"/>
  <c r="P993" i="148"/>
  <c r="P999" i="148"/>
  <c r="P1009" i="148"/>
  <c r="P1015" i="148"/>
  <c r="O1025" i="148"/>
  <c r="P1025" i="148"/>
  <c r="O1117" i="148"/>
  <c r="O957" i="148"/>
  <c r="O961" i="148"/>
  <c r="O965" i="148"/>
  <c r="O969" i="148"/>
  <c r="O973" i="148"/>
  <c r="O977" i="148"/>
  <c r="O981" i="148"/>
  <c r="O985" i="148"/>
  <c r="O989" i="148"/>
  <c r="O993" i="148"/>
  <c r="O997" i="148"/>
  <c r="O1001" i="148"/>
  <c r="O1005" i="148"/>
  <c r="O1009" i="148"/>
  <c r="O1013" i="148"/>
  <c r="O1017" i="148"/>
  <c r="P1021" i="148"/>
  <c r="P1029" i="148"/>
  <c r="P1037" i="148"/>
  <c r="P1080" i="148"/>
  <c r="P1084" i="148"/>
  <c r="P1088" i="148"/>
  <c r="N1092" i="148"/>
  <c r="P1092" i="148" s="1"/>
  <c r="J1092" i="148"/>
  <c r="O1095" i="148"/>
  <c r="O1099" i="148"/>
  <c r="O1103" i="148"/>
  <c r="O1107" i="148"/>
  <c r="O1111" i="148"/>
  <c r="N1116" i="148"/>
  <c r="P1116" i="148" s="1"/>
  <c r="J1116" i="148"/>
  <c r="O1121" i="148"/>
  <c r="O1094" i="148"/>
  <c r="O1098" i="148"/>
  <c r="O1102" i="148"/>
  <c r="O1106" i="148"/>
  <c r="O1110" i="148"/>
  <c r="N1120" i="148"/>
  <c r="P1120" i="148" s="1"/>
  <c r="J1120" i="148"/>
  <c r="O1125" i="148"/>
  <c r="S1017" i="148"/>
  <c r="P1022" i="148"/>
  <c r="P1023" i="148"/>
  <c r="P1030" i="148"/>
  <c r="P1031" i="148"/>
  <c r="P1038" i="148"/>
  <c r="P1042" i="148"/>
  <c r="P1046" i="148"/>
  <c r="P1050" i="148"/>
  <c r="P1054" i="148"/>
  <c r="P1058" i="148"/>
  <c r="P1062" i="148"/>
  <c r="P1066" i="148"/>
  <c r="P1070" i="148"/>
  <c r="P1074" i="148"/>
  <c r="P1078" i="148"/>
  <c r="P1082" i="148"/>
  <c r="P1086" i="148"/>
  <c r="O1093" i="148"/>
  <c r="O1097" i="148"/>
  <c r="O1101" i="148"/>
  <c r="O1105" i="148"/>
  <c r="O1109" i="148"/>
  <c r="O1113" i="148"/>
  <c r="N1124" i="148"/>
  <c r="P1124" i="148" s="1"/>
  <c r="J1124" i="148"/>
  <c r="O1129" i="148"/>
  <c r="J1078" i="148"/>
  <c r="J1079" i="148"/>
  <c r="J1080" i="148"/>
  <c r="J1081" i="148"/>
  <c r="J1082" i="148"/>
  <c r="J1083" i="148"/>
  <c r="J1084" i="148"/>
  <c r="J1085" i="148"/>
  <c r="J1086" i="148"/>
  <c r="J1087" i="148"/>
  <c r="J1088" i="148"/>
  <c r="J1089" i="148"/>
  <c r="J1090" i="148"/>
  <c r="O1090" i="148"/>
  <c r="O1092" i="148"/>
  <c r="N1093" i="148"/>
  <c r="P1093" i="148" s="1"/>
  <c r="J1093" i="148"/>
  <c r="N1094" i="148"/>
  <c r="P1094" i="148" s="1"/>
  <c r="J1094" i="148"/>
  <c r="N1095" i="148"/>
  <c r="P1095" i="148" s="1"/>
  <c r="J1095" i="148"/>
  <c r="N1096" i="148"/>
  <c r="P1096" i="148" s="1"/>
  <c r="J1096" i="148"/>
  <c r="N1097" i="148"/>
  <c r="P1097" i="148" s="1"/>
  <c r="J1097" i="148"/>
  <c r="N1098" i="148"/>
  <c r="P1098" i="148" s="1"/>
  <c r="J1098" i="148"/>
  <c r="N1099" i="148"/>
  <c r="P1099" i="148" s="1"/>
  <c r="J1099" i="148"/>
  <c r="N1100" i="148"/>
  <c r="P1100" i="148" s="1"/>
  <c r="J1100" i="148"/>
  <c r="N1101" i="148"/>
  <c r="P1101" i="148" s="1"/>
  <c r="J1101" i="148"/>
  <c r="N1102" i="148"/>
  <c r="P1102" i="148" s="1"/>
  <c r="J1102" i="148"/>
  <c r="N1103" i="148"/>
  <c r="P1103" i="148" s="1"/>
  <c r="J1103" i="148"/>
  <c r="N1104" i="148"/>
  <c r="P1104" i="148" s="1"/>
  <c r="J1104" i="148"/>
  <c r="N1105" i="148"/>
  <c r="P1105" i="148" s="1"/>
  <c r="J1105" i="148"/>
  <c r="N1106" i="148"/>
  <c r="P1106" i="148" s="1"/>
  <c r="J1106" i="148"/>
  <c r="N1107" i="148"/>
  <c r="P1107" i="148" s="1"/>
  <c r="J1107" i="148"/>
  <c r="N1108" i="148"/>
  <c r="P1108" i="148" s="1"/>
  <c r="J1108" i="148"/>
  <c r="N1109" i="148"/>
  <c r="P1109" i="148" s="1"/>
  <c r="J1109" i="148"/>
  <c r="N1110" i="148"/>
  <c r="P1110" i="148" s="1"/>
  <c r="J1110" i="148"/>
  <c r="N1111" i="148"/>
  <c r="P1111" i="148" s="1"/>
  <c r="J1111" i="148"/>
  <c r="N1112" i="148"/>
  <c r="P1112" i="148" s="1"/>
  <c r="J1112" i="148"/>
  <c r="N1113" i="148"/>
  <c r="P1113" i="148" s="1"/>
  <c r="J1113" i="148"/>
  <c r="N1117" i="148"/>
  <c r="P1117" i="148" s="1"/>
  <c r="J1117" i="148"/>
  <c r="N1121" i="148"/>
  <c r="P1121" i="148" s="1"/>
  <c r="J1121" i="148"/>
  <c r="N1125" i="148"/>
  <c r="P1125" i="148" s="1"/>
  <c r="J1125" i="148"/>
  <c r="N1129" i="148"/>
  <c r="P1129" i="148" s="1"/>
  <c r="J1129" i="148"/>
  <c r="O1041" i="148"/>
  <c r="O1045" i="148"/>
  <c r="O1049" i="148"/>
  <c r="O1053" i="148"/>
  <c r="O1057" i="148"/>
  <c r="O1061" i="148"/>
  <c r="O1065" i="148"/>
  <c r="O1069" i="148"/>
  <c r="O1073" i="148"/>
  <c r="O1077" i="148"/>
  <c r="O1078" i="148"/>
  <c r="O1079" i="148"/>
  <c r="O1080" i="148"/>
  <c r="O1081" i="148"/>
  <c r="O1082" i="148"/>
  <c r="O1083" i="148"/>
  <c r="O1084" i="148"/>
  <c r="O1085" i="148"/>
  <c r="O1086" i="148"/>
  <c r="O1087" i="148"/>
  <c r="O1088" i="148"/>
  <c r="O1089" i="148"/>
  <c r="N1091" i="148"/>
  <c r="P1091" i="148" s="1"/>
  <c r="J1091" i="148"/>
  <c r="N1114" i="148"/>
  <c r="P1114" i="148" s="1"/>
  <c r="J1114" i="148"/>
  <c r="N1118" i="148"/>
  <c r="P1118" i="148" s="1"/>
  <c r="J1118" i="148"/>
  <c r="N1122" i="148"/>
  <c r="P1122" i="148" s="1"/>
  <c r="J1122" i="148"/>
  <c r="N1126" i="148"/>
  <c r="P1126" i="148" s="1"/>
  <c r="J1126" i="148"/>
  <c r="N1130" i="148"/>
  <c r="P1130" i="148" s="1"/>
  <c r="J1130" i="148"/>
  <c r="N1115" i="148"/>
  <c r="P1115" i="148" s="1"/>
  <c r="J1115" i="148"/>
  <c r="N1119" i="148"/>
  <c r="P1119" i="148" s="1"/>
  <c r="J1119" i="148"/>
  <c r="N1123" i="148"/>
  <c r="P1123" i="148" s="1"/>
  <c r="J1123" i="148"/>
  <c r="N1127" i="148"/>
  <c r="P1127" i="148" s="1"/>
  <c r="J1127" i="148"/>
  <c r="N1131" i="148"/>
  <c r="P1131" i="148" s="1"/>
  <c r="J1131" i="148"/>
  <c r="N8" i="101" l="1"/>
  <c r="O8" i="101" s="1"/>
  <c r="N25" i="101"/>
  <c r="O25" i="101" s="1"/>
  <c r="N26" i="101"/>
  <c r="N6" i="101"/>
  <c r="N4" i="101"/>
  <c r="O4" i="101" s="1"/>
  <c r="N14" i="101"/>
  <c r="O14" i="101" s="1"/>
  <c r="N17" i="101"/>
  <c r="O17" i="101" s="1"/>
  <c r="N27" i="101"/>
  <c r="O27" i="101" s="1"/>
  <c r="N24" i="101"/>
  <c r="O24" i="101" s="1"/>
  <c r="N5" i="101"/>
  <c r="O5" i="101" s="1"/>
  <c r="N32" i="101"/>
  <c r="O32" i="101" s="1"/>
  <c r="N11" i="101"/>
  <c r="N21" i="101"/>
  <c r="O21" i="101" s="1"/>
  <c r="N13" i="101"/>
  <c r="O13" i="101" s="1"/>
  <c r="N9" i="101"/>
  <c r="O9" i="101" s="1"/>
  <c r="N18" i="101"/>
  <c r="O18" i="101" s="1"/>
  <c r="N16" i="101"/>
  <c r="O16" i="101" s="1"/>
  <c r="N20" i="101"/>
  <c r="O20" i="101" s="1"/>
  <c r="N30" i="101"/>
  <c r="N15" i="101"/>
  <c r="N29" i="101"/>
  <c r="O29" i="101" s="1"/>
  <c r="N10" i="101"/>
  <c r="O10" i="101" s="1"/>
  <c r="N7" i="101"/>
  <c r="O7" i="101" s="1"/>
  <c r="N19" i="101"/>
  <c r="N12" i="101"/>
  <c r="O12" i="101" s="1"/>
  <c r="N23" i="101"/>
  <c r="O23" i="101" s="1"/>
  <c r="N31" i="101"/>
  <c r="N22" i="101"/>
  <c r="O6" i="101"/>
  <c r="O11" i="101"/>
  <c r="O15" i="101"/>
  <c r="O19" i="101"/>
  <c r="O28" i="101"/>
  <c r="O30" i="101"/>
  <c r="O31" i="101"/>
  <c r="O26" i="101"/>
  <c r="O22" i="101"/>
  <c r="N3" i="101"/>
  <c r="O3" i="101" s="1"/>
  <c r="O33" i="101" l="1"/>
  <c r="E17" i="14" s="1"/>
  <c r="P8" i="254" l="1"/>
  <c r="N8" i="254"/>
  <c r="L8" i="254"/>
  <c r="J8" i="254"/>
  <c r="B11" i="254"/>
  <c r="F34" i="254"/>
  <c r="A1" i="254"/>
  <c r="A2" i="254" s="1"/>
  <c r="A1" i="253"/>
  <c r="N47" i="150" l="1"/>
  <c r="N48" i="150"/>
  <c r="N49" i="150"/>
  <c r="N50" i="150"/>
  <c r="N51" i="150"/>
  <c r="N52" i="150"/>
  <c r="N53" i="150"/>
  <c r="AI42" i="148" l="1"/>
  <c r="AK42" i="148" s="1"/>
  <c r="E13" i="10" s="1"/>
  <c r="E23" i="10" s="1"/>
  <c r="E27" i="10" s="1"/>
  <c r="N12" i="150"/>
  <c r="A5" i="61"/>
  <c r="N46" i="150"/>
  <c r="N54" i="150" s="1"/>
  <c r="H12" i="149"/>
  <c r="H13" i="149"/>
  <c r="H14" i="149"/>
  <c r="H16" i="149"/>
  <c r="H10" i="149"/>
  <c r="H18" i="149"/>
  <c r="H22" i="149"/>
  <c r="B19" i="150"/>
  <c r="A1" i="150"/>
  <c r="B1" i="55"/>
  <c r="B1" i="53"/>
  <c r="A1" i="23"/>
  <c r="H7" i="38"/>
  <c r="H6" i="38"/>
  <c r="B1" i="38"/>
  <c r="G30" i="25"/>
  <c r="G29" i="25"/>
  <c r="G28" i="25"/>
  <c r="G27" i="25"/>
  <c r="G26" i="25"/>
  <c r="G25" i="25"/>
  <c r="G24" i="25"/>
  <c r="G23" i="25"/>
  <c r="A1" i="25"/>
  <c r="B1" i="39"/>
  <c r="A1" i="58"/>
  <c r="C1" i="52"/>
  <c r="C1" i="34"/>
  <c r="J53" i="150"/>
  <c r="J52" i="150"/>
  <c r="J51" i="150"/>
  <c r="J50" i="150"/>
  <c r="J49" i="150"/>
  <c r="J48" i="150"/>
  <c r="J47" i="150"/>
  <c r="B1" i="37"/>
  <c r="A1" i="14"/>
  <c r="B61" i="150"/>
  <c r="C37" i="23" s="1"/>
  <c r="C7" i="10"/>
  <c r="A1" i="10"/>
  <c r="A1" i="11"/>
  <c r="H26" i="149"/>
  <c r="H25" i="149"/>
  <c r="H24" i="149"/>
  <c r="H23" i="149"/>
  <c r="H21" i="149"/>
  <c r="H20" i="149"/>
  <c r="H19" i="149"/>
  <c r="H17" i="149"/>
  <c r="H15" i="149"/>
  <c r="H11" i="149"/>
  <c r="H9" i="149"/>
  <c r="H8" i="149"/>
  <c r="H7" i="149"/>
  <c r="H6" i="149"/>
  <c r="H4" i="149"/>
  <c r="E8" i="18"/>
  <c r="I8" i="18" s="1"/>
  <c r="B1" i="18"/>
  <c r="A1" i="15"/>
  <c r="A1" i="12"/>
  <c r="A1" i="31"/>
  <c r="A1" i="13"/>
  <c r="A4" i="122"/>
  <c r="A5" i="122" s="1"/>
  <c r="A6" i="122" s="1"/>
  <c r="A7" i="122" s="1"/>
  <c r="A8" i="122" s="1"/>
  <c r="A9" i="122" s="1"/>
  <c r="A10" i="122" s="1"/>
  <c r="A11" i="122" s="1"/>
  <c r="A12" i="122" s="1"/>
  <c r="A13" i="122" s="1"/>
  <c r="A14" i="122" s="1"/>
  <c r="A15" i="122" s="1"/>
  <c r="A16" i="122" s="1"/>
  <c r="A17" i="122" s="1"/>
  <c r="A18" i="122" s="1"/>
  <c r="A19" i="122" s="1"/>
  <c r="A20" i="122" s="1"/>
  <c r="A21" i="122" s="1"/>
  <c r="A22" i="122" s="1"/>
  <c r="A23" i="122" s="1"/>
  <c r="A24" i="122" s="1"/>
  <c r="A25" i="122" s="1"/>
  <c r="A26" i="122" s="1"/>
  <c r="A27" i="122" s="1"/>
  <c r="A28" i="122" s="1"/>
  <c r="A29" i="122" s="1"/>
  <c r="A30" i="122" s="1"/>
  <c r="A31" i="122" s="1"/>
  <c r="A32" i="122" s="1"/>
  <c r="A33" i="122" s="1"/>
  <c r="A34" i="122" s="1"/>
  <c r="A35" i="122" s="1"/>
  <c r="A36" i="122" s="1"/>
  <c r="A37" i="122" s="1"/>
  <c r="A38" i="122" s="1"/>
  <c r="A39" i="122" s="1"/>
  <c r="A40" i="122" s="1"/>
  <c r="A41" i="122" s="1"/>
  <c r="A42" i="122" s="1"/>
  <c r="A43" i="122" s="1"/>
  <c r="A44" i="122" s="1"/>
  <c r="A45" i="122" s="1"/>
  <c r="A46" i="122" s="1"/>
  <c r="A47" i="122" s="1"/>
  <c r="A48" i="122" s="1"/>
  <c r="A49" i="122" s="1"/>
  <c r="A50" i="122" s="1"/>
  <c r="A51" i="122" s="1"/>
  <c r="A52" i="122" s="1"/>
  <c r="A53" i="122" s="1"/>
  <c r="A54" i="122" s="1"/>
  <c r="A55" i="122" s="1"/>
  <c r="A56" i="122" s="1"/>
  <c r="A57" i="122" s="1"/>
  <c r="A58" i="122" s="1"/>
  <c r="A59" i="122" s="1"/>
  <c r="A60" i="122" s="1"/>
  <c r="A61" i="122" s="1"/>
  <c r="A62" i="122" s="1"/>
  <c r="A63" i="122" s="1"/>
  <c r="A64" i="122" s="1"/>
  <c r="A65" i="122" s="1"/>
  <c r="A66" i="122" s="1"/>
  <c r="A67" i="122" s="1"/>
  <c r="A68" i="122" s="1"/>
  <c r="A69" i="122" s="1"/>
  <c r="A70" i="122" s="1"/>
  <c r="A71" i="122" s="1"/>
  <c r="A72" i="122" s="1"/>
  <c r="A73" i="122" s="1"/>
  <c r="A74" i="122" s="1"/>
  <c r="A75" i="122" s="1"/>
  <c r="A76" i="122" s="1"/>
  <c r="A77" i="122" s="1"/>
  <c r="A78" i="122" s="1"/>
  <c r="A79" i="122" s="1"/>
  <c r="A80" i="122" s="1"/>
  <c r="A81" i="122" s="1"/>
  <c r="A82" i="122" s="1"/>
  <c r="A83" i="122" s="1"/>
  <c r="A84" i="122" s="1"/>
  <c r="A85" i="122" s="1"/>
  <c r="A86" i="122" s="1"/>
  <c r="A87" i="122" s="1"/>
  <c r="A88" i="122" s="1"/>
  <c r="A89" i="122" s="1"/>
  <c r="A90" i="122" s="1"/>
  <c r="A91" i="122" s="1"/>
  <c r="B11" i="150"/>
  <c r="F11" i="23" l="1"/>
  <c r="F21" i="23" s="1"/>
  <c r="F25" i="23" s="1"/>
  <c r="H17" i="25" s="1"/>
  <c r="H20" i="25" s="1"/>
  <c r="N11" i="150"/>
  <c r="N26" i="150"/>
  <c r="N39" i="150"/>
  <c r="E12" i="11" l="1"/>
  <c r="N13" i="150"/>
  <c r="U11" i="119"/>
  <c r="N33" i="150"/>
  <c r="N34" i="150" s="1"/>
  <c r="N27" i="150"/>
  <c r="B3" i="53" l="1"/>
  <c r="E11" i="58" l="1"/>
  <c r="AU42" i="148"/>
  <c r="E11" i="14" s="1"/>
  <c r="E15" i="58" l="1"/>
  <c r="E17" i="58"/>
  <c r="N40" i="150"/>
  <c r="N42" i="150" s="1"/>
  <c r="E19" i="58" l="1"/>
  <c r="E13" i="13" s="1"/>
  <c r="E19" i="14" l="1"/>
  <c r="E18" i="11" s="1"/>
  <c r="E25" i="11" l="1"/>
  <c r="G20" i="12" s="1"/>
  <c r="G23" i="12" l="1"/>
  <c r="D8" i="31" s="1"/>
  <c r="D10" i="31" s="1"/>
  <c r="E9" i="13" s="1"/>
  <c r="F9" i="13" l="1"/>
  <c r="F10" i="13"/>
  <c r="G7" i="13" s="1"/>
  <c r="G9" i="13" s="1"/>
  <c r="E21" i="13" s="1"/>
  <c r="F8" i="13"/>
  <c r="F7" i="13"/>
  <c r="G8" i="13" s="1"/>
  <c r="G10" i="13" s="1"/>
  <c r="F11" i="13" l="1"/>
  <c r="G52" i="52"/>
  <c r="K9" i="34" l="1"/>
  <c r="I9" i="34"/>
  <c r="I14" i="34"/>
  <c r="I13" i="34"/>
  <c r="I12" i="34"/>
  <c r="I11" i="34"/>
  <c r="I10" i="34"/>
  <c r="K12" i="34"/>
  <c r="K10" i="34"/>
  <c r="K13" i="34"/>
  <c r="K11" i="34"/>
  <c r="K14" i="34"/>
  <c r="I16" i="34" l="1"/>
  <c r="K16" i="34"/>
  <c r="E19" i="34" s="1"/>
  <c r="I52" i="52"/>
  <c r="E24" i="34"/>
  <c r="E26" i="34" s="1"/>
  <c r="G22" i="34" s="1"/>
  <c r="E18" i="34"/>
  <c r="G18" i="34"/>
  <c r="K52" i="52"/>
  <c r="E22" i="34" l="1"/>
  <c r="M12" i="420" l="1"/>
  <c r="O12" i="420" l="1"/>
  <c r="M21" i="420"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<sst xmlns="http://schemas.openxmlformats.org/spreadsheetml/2006/main" count="22081" uniqueCount="4654">
  <si>
    <t>CAPITALIZATION AND FINANCIAL STATISTICS  (1)</t>
  </si>
  <si>
    <t>Capital Structure:</t>
  </si>
  <si>
    <t xml:space="preserve">     Long Term Debt</t>
  </si>
  <si>
    <t xml:space="preserve">     Preferred Stock</t>
  </si>
  <si>
    <t>(MILLIONS OF DOLLARS)</t>
  </si>
  <si>
    <t xml:space="preserve"> </t>
  </si>
  <si>
    <t>CAPITALIZATION STATISTICS</t>
  </si>
  <si>
    <t>Com Eq / Shares Out.</t>
  </si>
  <si>
    <t>Common Shares Outst.</t>
  </si>
  <si>
    <t>AMOUNT OF CAPITAL EMPLOYED</t>
  </si>
  <si>
    <t>Common Equity</t>
  </si>
  <si>
    <t xml:space="preserve">     TOTAL PERMANENT CAPITAL</t>
  </si>
  <si>
    <t xml:space="preserve">     SHORT-TERM DEBT</t>
  </si>
  <si>
    <t>Total Permanent Capital</t>
  </si>
  <si>
    <t xml:space="preserve">          TOTAL CAPITAL EMPLOYED</t>
  </si>
  <si>
    <t>Short Term Debt</t>
  </si>
  <si>
    <t>INDICATED AVERAGE CAPITAL COST RATES  (2)</t>
  </si>
  <si>
    <t>EPS excluding extra</t>
  </si>
  <si>
    <t>%</t>
  </si>
  <si>
    <t>Price - High</t>
  </si>
  <si>
    <t xml:space="preserve">     PREFERRED STOCK</t>
  </si>
  <si>
    <t>Price - Low</t>
  </si>
  <si>
    <t>AVERAGE</t>
  </si>
  <si>
    <t>Average Price</t>
  </si>
  <si>
    <t>FINANCIAL RATIOS - MARKET BASED</t>
  </si>
  <si>
    <t xml:space="preserve">     EARNINGS / PRICE RATIO</t>
  </si>
  <si>
    <t>DPS by payable date</t>
  </si>
  <si>
    <t xml:space="preserve">     MARKET / AVERAGE BOOK RATIO </t>
  </si>
  <si>
    <t xml:space="preserve">     DIVIDEND YIELD</t>
  </si>
  <si>
    <t xml:space="preserve">     DIVIDEND PAYOUT RATIO</t>
  </si>
  <si>
    <t>CAPITAL STRUCTURE RATIOS</t>
  </si>
  <si>
    <t>Total Capital</t>
  </si>
  <si>
    <t xml:space="preserve">     BASED ON TOTAL PERMANENT CAPITAL:</t>
  </si>
  <si>
    <t xml:space="preserve">          LONG-TERM DEBT</t>
  </si>
  <si>
    <t xml:space="preserve">          PREFERRED STOCK</t>
  </si>
  <si>
    <t xml:space="preserve">          COMMON EQUITY</t>
  </si>
  <si>
    <t xml:space="preserve">               TOTAL</t>
  </si>
  <si>
    <t>AFUDC</t>
  </si>
  <si>
    <t xml:space="preserve">     BASED ON TOTAL CAPITAL:</t>
  </si>
  <si>
    <t xml:space="preserve">          TOTAL DEBT, INCLUDING SHORT-TERM</t>
  </si>
  <si>
    <t>FINANCIAL STATISTICS</t>
  </si>
  <si>
    <t>RATE OF RETURN ON AVERAGE BOOK COMMON EQUITY</t>
  </si>
  <si>
    <t>Total Interest</t>
  </si>
  <si>
    <t>Net Income before Extra.</t>
  </si>
  <si>
    <t>x</t>
  </si>
  <si>
    <t>Preferred Stock Dividends</t>
  </si>
  <si>
    <t>CE Income before Extra.</t>
  </si>
  <si>
    <t>Common Dividends</t>
  </si>
  <si>
    <t>SEE PAGE 2 FOR NOTES.</t>
  </si>
  <si>
    <t>Sinking Fund Requirements</t>
  </si>
  <si>
    <t>calc</t>
  </si>
  <si>
    <t>Preferred Stk + Sink Fund Req.</t>
  </si>
  <si>
    <t>5 YEAR</t>
  </si>
  <si>
    <t>Total Debt</t>
  </si>
  <si>
    <t xml:space="preserve">     TOTAL DEBT </t>
  </si>
  <si>
    <t>Income Bef Extra Items-S&amp;U</t>
  </si>
  <si>
    <t>TOTAL DEBT / TOTAL CAPITAL</t>
  </si>
  <si>
    <t>FUNDS FROM OPERATIONS / TOTAL DEBT (4)</t>
  </si>
  <si>
    <t>Input Data</t>
  </si>
  <si>
    <t>Calculations</t>
  </si>
  <si>
    <t>TOTEQ</t>
  </si>
  <si>
    <t>EPSAPPCOMM</t>
  </si>
  <si>
    <t>INTEXP</t>
  </si>
  <si>
    <t>NETINC</t>
  </si>
  <si>
    <t>COMDIVS1</t>
  </si>
  <si>
    <t>LTDEBT</t>
  </si>
  <si>
    <t>PFD</t>
  </si>
  <si>
    <t>STDEBT</t>
  </si>
  <si>
    <t>PFDDIV</t>
  </si>
  <si>
    <t>INCBEFEXT</t>
  </si>
  <si>
    <t>INCAVAILCOMM</t>
  </si>
  <si>
    <t>NETOPGFC</t>
  </si>
  <si>
    <t>Net Operating Cash Flow</t>
  </si>
  <si>
    <t>Value Line Investment Survey</t>
  </si>
  <si>
    <t xml:space="preserve">Source of Information:  </t>
  </si>
  <si>
    <t xml:space="preserve">   Risk Premium</t>
  </si>
  <si>
    <t>Average of Hist'l &amp; Proj'd Market</t>
  </si>
  <si>
    <t>Historical Market Risk Premium</t>
  </si>
  <si>
    <t>SBBI Long-Term Gov't Bonds Income</t>
  </si>
  <si>
    <t>SBBI Common Stocks Total Return -</t>
  </si>
  <si>
    <t>Average</t>
  </si>
  <si>
    <t>Risk Premium</t>
  </si>
  <si>
    <t>Market</t>
  </si>
  <si>
    <t>Projected</t>
  </si>
  <si>
    <t>Consensus Forecast Yield for 30-year Treasury Bonds</t>
  </si>
  <si>
    <t>Blue Chip Financial Forecasts</t>
  </si>
  <si>
    <t>Total</t>
  </si>
  <si>
    <t>Est. Median Annual Total Return</t>
  </si>
  <si>
    <t>Est. Median Dividend Yield</t>
  </si>
  <si>
    <t>Date of Value Line Summary &amp; Index</t>
  </si>
  <si>
    <t xml:space="preserve">Est. Median Annual Appreciation Potential </t>
  </si>
  <si>
    <t>Est. Median Appreciation Potential 3 - 5 Yrs. Hence</t>
  </si>
  <si>
    <t>Line No.</t>
  </si>
  <si>
    <t>1.</t>
  </si>
  <si>
    <t>Notes:</t>
  </si>
  <si>
    <t>(1)</t>
  </si>
  <si>
    <t>(2)</t>
  </si>
  <si>
    <t>(3)</t>
  </si>
  <si>
    <t>(4)</t>
  </si>
  <si>
    <t>2.</t>
  </si>
  <si>
    <t>3.</t>
  </si>
  <si>
    <t xml:space="preserve">Notes:  </t>
  </si>
  <si>
    <t>Derivation of Equity Risk Premium Based on the Total Market Approach</t>
  </si>
  <si>
    <t>Using the Beta for</t>
  </si>
  <si>
    <t>4.</t>
  </si>
  <si>
    <t>5.</t>
  </si>
  <si>
    <t>6.</t>
  </si>
  <si>
    <t>Forecasted Equity Risk Premium</t>
  </si>
  <si>
    <t>7.</t>
  </si>
  <si>
    <t>8.</t>
  </si>
  <si>
    <t>(5)</t>
  </si>
  <si>
    <t>(6)</t>
  </si>
  <si>
    <t>Calculated equity risk</t>
  </si>
  <si>
    <t xml:space="preserve">   premium based on the</t>
  </si>
  <si>
    <t xml:space="preserve">   total market using</t>
  </si>
  <si>
    <t xml:space="preserve">   the beta approach (1)</t>
  </si>
  <si>
    <t xml:space="preserve">Mean equity risk premium </t>
  </si>
  <si>
    <t xml:space="preserve">   based on a study</t>
  </si>
  <si>
    <t xml:space="preserve">   using the holding period</t>
  </si>
  <si>
    <t xml:space="preserve">   returns of public utilities</t>
  </si>
  <si>
    <t xml:space="preserve">   with A rated bonds (2)</t>
  </si>
  <si>
    <t>Average equity risk premium</t>
  </si>
  <si>
    <t>Line
No.</t>
  </si>
  <si>
    <t>Indicated Common Equity Cost Rate</t>
  </si>
  <si>
    <t>Through Use of a Risk Premium Model</t>
  </si>
  <si>
    <t>Using an Adjusted Total Market Approach</t>
  </si>
  <si>
    <t>Prospective Yield on Aaa Rated</t>
  </si>
  <si>
    <t xml:space="preserve">   Corporate Bonds (1)</t>
  </si>
  <si>
    <t>Adjustment to Reflect Yield Spread</t>
  </si>
  <si>
    <t xml:space="preserve">   Between Aaa Rated Corporate</t>
  </si>
  <si>
    <t xml:space="preserve">   Public Utility Bonds</t>
  </si>
  <si>
    <t xml:space="preserve">  Risk Premium Derived Common</t>
  </si>
  <si>
    <t xml:space="preserve">      Equity Cost Rate</t>
  </si>
  <si>
    <t>Brief Summary of Common Equity Cost Rate</t>
  </si>
  <si>
    <t>Principal Methods</t>
  </si>
  <si>
    <t>Discounted Cash Flow Model (DCF) (1)</t>
  </si>
  <si>
    <t>Risk Premium Model (RPM) (2)</t>
  </si>
  <si>
    <t>Capital Asset Pricing Model (CAPM) (3)</t>
  </si>
  <si>
    <t>Recommended Common Equity Cost Rate</t>
  </si>
  <si>
    <t xml:space="preserve"> Notes:  </t>
  </si>
  <si>
    <t>Moody's</t>
  </si>
  <si>
    <t>Standard &amp; Poor's</t>
  </si>
  <si>
    <t>TOTAL DEBT / EBITDA (3)</t>
  </si>
  <si>
    <t>Yahoo</t>
  </si>
  <si>
    <t>Bond Ratings</t>
  </si>
  <si>
    <t>Beta</t>
  </si>
  <si>
    <t>Source of Information:</t>
  </si>
  <si>
    <t>Date</t>
  </si>
  <si>
    <t>Average Dividend Yield</t>
  </si>
  <si>
    <t>Adjusted Dividend Yield</t>
  </si>
  <si>
    <t>Market Models Applied to Comparable Risk, Non-Price Regulated Companies (4)</t>
  </si>
  <si>
    <t>Sources of Information:</t>
  </si>
  <si>
    <t>Aaa Bonds</t>
  </si>
  <si>
    <t>PRPM Results</t>
  </si>
  <si>
    <t>Historical Equity Risk Premium</t>
  </si>
  <si>
    <t>Company Name</t>
  </si>
  <si>
    <t>AWK</t>
  </si>
  <si>
    <t>Indicated Dividend</t>
  </si>
  <si>
    <t>Company</t>
  </si>
  <si>
    <t>Average Dividend Yield (1)</t>
  </si>
  <si>
    <t>Value Line Projected Five Year Growth in EPS (2)</t>
  </si>
  <si>
    <t>Zack's Five Year Projected Growth Rate in EPS</t>
  </si>
  <si>
    <t>Yahoo! Finance Projected Five Year Growth in EPS</t>
  </si>
  <si>
    <t>Average Projected Five Year Growth in EPS (3)</t>
  </si>
  <si>
    <t>Adjusted Dividend Yield (4)</t>
  </si>
  <si>
    <t>Indicated Common Equity Cost Rate (5)</t>
  </si>
  <si>
    <t>Indicated Common Equity Cost Rate Through Use</t>
  </si>
  <si>
    <t>of the Traditional Capital Asset Pricing Model (CAPM) and Empirical Capital Asset Pricing Model (ECAPM)</t>
  </si>
  <si>
    <t>Value Line Adjusted Beta</t>
  </si>
  <si>
    <t>Market Risk Premium (1)</t>
  </si>
  <si>
    <t>Risk-Free Rate (2)</t>
  </si>
  <si>
    <t xml:space="preserve">Basis of Selection of Comparable Risk </t>
  </si>
  <si>
    <t>Domestic Non-Price Regulated Companies</t>
  </si>
  <si>
    <t>TICKER</t>
  </si>
  <si>
    <t>SYMBOL</t>
  </si>
  <si>
    <t>Unadjusted Beta</t>
  </si>
  <si>
    <t>Residual Standard Error of the Regression</t>
  </si>
  <si>
    <t>Standard Deviation of Beta</t>
  </si>
  <si>
    <t xml:space="preserve">   Devs. of the Residual Std. Err.)</t>
  </si>
  <si>
    <t>Std. dev. of the Res. Std. Err.</t>
  </si>
  <si>
    <t>Proxy Group of Non-Price Regulated Companies</t>
  </si>
  <si>
    <t>Ticker</t>
  </si>
  <si>
    <t>R Factor</t>
  </si>
  <si>
    <t>Median</t>
  </si>
  <si>
    <t>Numerical Weighting (1)</t>
  </si>
  <si>
    <t>KR</t>
  </si>
  <si>
    <t>SHW</t>
  </si>
  <si>
    <t>Value Line Projected Five Year Growth in EPS</t>
  </si>
  <si>
    <t>Average Projected Five Year Growth Rate in EPS</t>
  </si>
  <si>
    <t>A2</t>
  </si>
  <si>
    <t>A+</t>
  </si>
  <si>
    <t>A1</t>
  </si>
  <si>
    <t>A</t>
  </si>
  <si>
    <t>A-</t>
  </si>
  <si>
    <t>NA= Not Available</t>
  </si>
  <si>
    <t>Average of CAPM and ECAPM cost rates.</t>
  </si>
  <si>
    <t>GARCH Coefficient</t>
  </si>
  <si>
    <t>Source Information:</t>
  </si>
  <si>
    <t>AEP</t>
  </si>
  <si>
    <t>EIX</t>
  </si>
  <si>
    <t>FE</t>
  </si>
  <si>
    <t>NEE</t>
  </si>
  <si>
    <t>PNW</t>
  </si>
  <si>
    <t>PPL</t>
  </si>
  <si>
    <t>SO</t>
  </si>
  <si>
    <t>AEE</t>
  </si>
  <si>
    <t>CNP</t>
  </si>
  <si>
    <t>CMS</t>
  </si>
  <si>
    <t>ED</t>
  </si>
  <si>
    <t>D</t>
  </si>
  <si>
    <t>DTE</t>
  </si>
  <si>
    <t>DUK</t>
  </si>
  <si>
    <t>ETR</t>
  </si>
  <si>
    <t>EXC</t>
  </si>
  <si>
    <t>NI</t>
  </si>
  <si>
    <t>PEG</t>
  </si>
  <si>
    <t>SRE</t>
  </si>
  <si>
    <t>WEC</t>
  </si>
  <si>
    <t>XEL</t>
  </si>
  <si>
    <t>A3</t>
  </si>
  <si>
    <t>Baa3</t>
  </si>
  <si>
    <t>BBB-</t>
  </si>
  <si>
    <t>BBB</t>
  </si>
  <si>
    <t>BBB+</t>
  </si>
  <si>
    <t>Baa1</t>
  </si>
  <si>
    <t>Baa2</t>
  </si>
  <si>
    <t>B1</t>
  </si>
  <si>
    <t>Ba2</t>
  </si>
  <si>
    <t>Risk Premium Using an Adjusted Total Market Approach (2)</t>
  </si>
  <si>
    <t>2015M02</t>
  </si>
  <si>
    <t>2015M01</t>
  </si>
  <si>
    <t>2014M12</t>
  </si>
  <si>
    <t>2014M11</t>
  </si>
  <si>
    <t>2014M10</t>
  </si>
  <si>
    <t>2014M09</t>
  </si>
  <si>
    <t>2014M08</t>
  </si>
  <si>
    <t>2014M07</t>
  </si>
  <si>
    <t>2014M06</t>
  </si>
  <si>
    <t>2014M05</t>
  </si>
  <si>
    <t>2014M04</t>
  </si>
  <si>
    <t>2014M03</t>
  </si>
  <si>
    <t>2014M02</t>
  </si>
  <si>
    <t>2014M01</t>
  </si>
  <si>
    <t>2013M12</t>
  </si>
  <si>
    <t>2013M11</t>
  </si>
  <si>
    <t>2013M10</t>
  </si>
  <si>
    <t>2013M09</t>
  </si>
  <si>
    <t>2013M08</t>
  </si>
  <si>
    <t>2013M07</t>
  </si>
  <si>
    <t>2013M06</t>
  </si>
  <si>
    <t>2013M05</t>
  </si>
  <si>
    <t>2013M04</t>
  </si>
  <si>
    <t>2013M03</t>
  </si>
  <si>
    <t>2013M02</t>
  </si>
  <si>
    <t>2013M01</t>
  </si>
  <si>
    <t>2012M12</t>
  </si>
  <si>
    <t>2012M11</t>
  </si>
  <si>
    <t>2012M10</t>
  </si>
  <si>
    <t>2012M09</t>
  </si>
  <si>
    <t>2012M08</t>
  </si>
  <si>
    <t>2012M07</t>
  </si>
  <si>
    <t>2012M06</t>
  </si>
  <si>
    <t>2012M05</t>
  </si>
  <si>
    <t>2012M04</t>
  </si>
  <si>
    <t>2012M03</t>
  </si>
  <si>
    <t>2012M02</t>
  </si>
  <si>
    <t>2012M01</t>
  </si>
  <si>
    <t>2011M12</t>
  </si>
  <si>
    <t>2011M11</t>
  </si>
  <si>
    <t>2011M10</t>
  </si>
  <si>
    <t>2011M09</t>
  </si>
  <si>
    <t>2011M08</t>
  </si>
  <si>
    <t>2011M07</t>
  </si>
  <si>
    <t>2011M06</t>
  </si>
  <si>
    <t>2011M05</t>
  </si>
  <si>
    <t>2011M04</t>
  </si>
  <si>
    <t>2011M03</t>
  </si>
  <si>
    <t>2011M02</t>
  </si>
  <si>
    <t>2011M01</t>
  </si>
  <si>
    <t>2010M12</t>
  </si>
  <si>
    <t>2010M11</t>
  </si>
  <si>
    <t>2010M10</t>
  </si>
  <si>
    <t>2010M09</t>
  </si>
  <si>
    <t>2010M08</t>
  </si>
  <si>
    <t>2010M07</t>
  </si>
  <si>
    <t>2010M06</t>
  </si>
  <si>
    <t>2010M05</t>
  </si>
  <si>
    <t>2010M04</t>
  </si>
  <si>
    <t>2010M03</t>
  </si>
  <si>
    <t>2010M02</t>
  </si>
  <si>
    <t>2010M01</t>
  </si>
  <si>
    <t>2009M12</t>
  </si>
  <si>
    <t>2009M11</t>
  </si>
  <si>
    <t>2009M10</t>
  </si>
  <si>
    <t>2009M09</t>
  </si>
  <si>
    <t>2009M08</t>
  </si>
  <si>
    <t>2009M07</t>
  </si>
  <si>
    <t>2009M06</t>
  </si>
  <si>
    <t>2009M05</t>
  </si>
  <si>
    <t>2009M04</t>
  </si>
  <si>
    <t>2009M03</t>
  </si>
  <si>
    <t>2009M02</t>
  </si>
  <si>
    <t>2009M01</t>
  </si>
  <si>
    <t>2008M12</t>
  </si>
  <si>
    <t>2008M11</t>
  </si>
  <si>
    <t>2008M10</t>
  </si>
  <si>
    <t>2008M09</t>
  </si>
  <si>
    <t>2008M08</t>
  </si>
  <si>
    <t>2008M07</t>
  </si>
  <si>
    <t>2008M06</t>
  </si>
  <si>
    <t>2008M05</t>
  </si>
  <si>
    <t>2008M04</t>
  </si>
  <si>
    <t>2008M03</t>
  </si>
  <si>
    <t>2008M02</t>
  </si>
  <si>
    <t>2008M01</t>
  </si>
  <si>
    <t>2007M12</t>
  </si>
  <si>
    <t>2007M11</t>
  </si>
  <si>
    <t>2007M10</t>
  </si>
  <si>
    <t>2007M09</t>
  </si>
  <si>
    <t>2007M08</t>
  </si>
  <si>
    <t>2007M07</t>
  </si>
  <si>
    <t>2007M06</t>
  </si>
  <si>
    <t>2007M05</t>
  </si>
  <si>
    <t>2007M04</t>
  </si>
  <si>
    <t>2007M03</t>
  </si>
  <si>
    <t>2007M02</t>
  </si>
  <si>
    <t>2007M01</t>
  </si>
  <si>
    <t>2006M12</t>
  </si>
  <si>
    <t>2006M11</t>
  </si>
  <si>
    <t>2006M10</t>
  </si>
  <si>
    <t>2006M09</t>
  </si>
  <si>
    <t>2006M08</t>
  </si>
  <si>
    <t>2006M07</t>
  </si>
  <si>
    <t>2006M06</t>
  </si>
  <si>
    <t>2006M05</t>
  </si>
  <si>
    <t>2006M04</t>
  </si>
  <si>
    <t>2006M03</t>
  </si>
  <si>
    <t>2006M02</t>
  </si>
  <si>
    <t>2006M01</t>
  </si>
  <si>
    <t>2005M12</t>
  </si>
  <si>
    <t>2005M11</t>
  </si>
  <si>
    <t>2005M10</t>
  </si>
  <si>
    <t>2005M09</t>
  </si>
  <si>
    <t>2005M08</t>
  </si>
  <si>
    <t>2005M07</t>
  </si>
  <si>
    <t>2005M06</t>
  </si>
  <si>
    <t>2005M05</t>
  </si>
  <si>
    <t>2005M04</t>
  </si>
  <si>
    <t>2005M03</t>
  </si>
  <si>
    <t>2005M02</t>
  </si>
  <si>
    <t>2005M01</t>
  </si>
  <si>
    <t>2004M12</t>
  </si>
  <si>
    <t>2004M11</t>
  </si>
  <si>
    <t>2004M10</t>
  </si>
  <si>
    <t>2004M09</t>
  </si>
  <si>
    <t>2004M08</t>
  </si>
  <si>
    <t>2004M07</t>
  </si>
  <si>
    <t>2004M06</t>
  </si>
  <si>
    <t>2004M05</t>
  </si>
  <si>
    <t>2004M04</t>
  </si>
  <si>
    <t>2004M03</t>
  </si>
  <si>
    <t>2004M02</t>
  </si>
  <si>
    <t>2004M01</t>
  </si>
  <si>
    <t>2003M12</t>
  </si>
  <si>
    <t>2003M11</t>
  </si>
  <si>
    <t>2003M10</t>
  </si>
  <si>
    <t>2003M09</t>
  </si>
  <si>
    <t>2003M08</t>
  </si>
  <si>
    <t>2003M07</t>
  </si>
  <si>
    <t>2003M06</t>
  </si>
  <si>
    <t>2003M05</t>
  </si>
  <si>
    <t>2003M04</t>
  </si>
  <si>
    <t>2003M03</t>
  </si>
  <si>
    <t>2003M02</t>
  </si>
  <si>
    <t>2003M01</t>
  </si>
  <si>
    <t>2002M12</t>
  </si>
  <si>
    <t>2002M11</t>
  </si>
  <si>
    <t>2002M10</t>
  </si>
  <si>
    <t>2002M09</t>
  </si>
  <si>
    <t>2002M08</t>
  </si>
  <si>
    <t>2002M07</t>
  </si>
  <si>
    <t>2002M06</t>
  </si>
  <si>
    <t>2002M05</t>
  </si>
  <si>
    <t>2002M04</t>
  </si>
  <si>
    <t>2002M03</t>
  </si>
  <si>
    <t>2002M02</t>
  </si>
  <si>
    <t>2002M01</t>
  </si>
  <si>
    <t>2001M12</t>
  </si>
  <si>
    <t>2001M11</t>
  </si>
  <si>
    <t>2001M10</t>
  </si>
  <si>
    <t>2001M09</t>
  </si>
  <si>
    <t>2001M08</t>
  </si>
  <si>
    <t>2001M07</t>
  </si>
  <si>
    <t>2001M06</t>
  </si>
  <si>
    <t>2001M05</t>
  </si>
  <si>
    <t>2001M04</t>
  </si>
  <si>
    <t>2001M03</t>
  </si>
  <si>
    <t>2001M02</t>
  </si>
  <si>
    <t>2001M01</t>
  </si>
  <si>
    <t>2000M12</t>
  </si>
  <si>
    <t>2000M11</t>
  </si>
  <si>
    <t>2000M10</t>
  </si>
  <si>
    <t>2000M09</t>
  </si>
  <si>
    <t>2000M08</t>
  </si>
  <si>
    <t>2000M07</t>
  </si>
  <si>
    <t>2000M06</t>
  </si>
  <si>
    <t>2000M05</t>
  </si>
  <si>
    <t>2000M04</t>
  </si>
  <si>
    <t>2000M03</t>
  </si>
  <si>
    <t>2000M02</t>
  </si>
  <si>
    <t>2000M01</t>
  </si>
  <si>
    <t>1999M12</t>
  </si>
  <si>
    <t>1999M11</t>
  </si>
  <si>
    <t>1999M10</t>
  </si>
  <si>
    <t>1999M09</t>
  </si>
  <si>
    <t>1999M08</t>
  </si>
  <si>
    <t>1999M07</t>
  </si>
  <si>
    <t>1999M06</t>
  </si>
  <si>
    <t>1999M05</t>
  </si>
  <si>
    <t>1999M04</t>
  </si>
  <si>
    <t>1999M03</t>
  </si>
  <si>
    <t>1999M02</t>
  </si>
  <si>
    <t>1999M01</t>
  </si>
  <si>
    <t>1998M12</t>
  </si>
  <si>
    <t>1998M11</t>
  </si>
  <si>
    <t>1998M10</t>
  </si>
  <si>
    <t>1998M09</t>
  </si>
  <si>
    <t>1998M08</t>
  </si>
  <si>
    <t>1998M07</t>
  </si>
  <si>
    <t>1998M06</t>
  </si>
  <si>
    <t>1998M05</t>
  </si>
  <si>
    <t>1998M04</t>
  </si>
  <si>
    <t>1998M03</t>
  </si>
  <si>
    <t>1998M02</t>
  </si>
  <si>
    <t>1998M01</t>
  </si>
  <si>
    <t>1997M12</t>
  </si>
  <si>
    <t>1997M11</t>
  </si>
  <si>
    <t>1997M10</t>
  </si>
  <si>
    <t>1997M09</t>
  </si>
  <si>
    <t>1997M08</t>
  </si>
  <si>
    <t>1997M07</t>
  </si>
  <si>
    <t>1997M06</t>
  </si>
  <si>
    <t>1997M05</t>
  </si>
  <si>
    <t>1997M04</t>
  </si>
  <si>
    <t>1997M03</t>
  </si>
  <si>
    <t>1997M02</t>
  </si>
  <si>
    <t>1997M01</t>
  </si>
  <si>
    <t>1996M12</t>
  </si>
  <si>
    <t>1996M11</t>
  </si>
  <si>
    <t>1996M10</t>
  </si>
  <si>
    <t>1996M09</t>
  </si>
  <si>
    <t>1996M08</t>
  </si>
  <si>
    <t>1996M07</t>
  </si>
  <si>
    <t>1996M06</t>
  </si>
  <si>
    <t>1996M05</t>
  </si>
  <si>
    <t>1996M04</t>
  </si>
  <si>
    <t>1996M03</t>
  </si>
  <si>
    <t>1996M02</t>
  </si>
  <si>
    <t>1996M01</t>
  </si>
  <si>
    <t>1995M12</t>
  </si>
  <si>
    <t>1995M11</t>
  </si>
  <si>
    <t>1995M10</t>
  </si>
  <si>
    <t>1995M09</t>
  </si>
  <si>
    <t>1995M08</t>
  </si>
  <si>
    <t>1995M07</t>
  </si>
  <si>
    <t>1995M06</t>
  </si>
  <si>
    <t>1995M05</t>
  </si>
  <si>
    <t>1995M04</t>
  </si>
  <si>
    <t>1995M03</t>
  </si>
  <si>
    <t>1995M02</t>
  </si>
  <si>
    <t>1995M01</t>
  </si>
  <si>
    <t>1994M12</t>
  </si>
  <si>
    <t>1994M11</t>
  </si>
  <si>
    <t>1994M10</t>
  </si>
  <si>
    <t>1994M09</t>
  </si>
  <si>
    <t>1994M08</t>
  </si>
  <si>
    <t>1994M07</t>
  </si>
  <si>
    <t>1994M06</t>
  </si>
  <si>
    <t>1994M05</t>
  </si>
  <si>
    <t>1994M04</t>
  </si>
  <si>
    <t>1994M03</t>
  </si>
  <si>
    <t>1994M02</t>
  </si>
  <si>
    <t>1994M01</t>
  </si>
  <si>
    <t>1993M12</t>
  </si>
  <si>
    <t>1993M11</t>
  </si>
  <si>
    <t>1993M10</t>
  </si>
  <si>
    <t>1993M09</t>
  </si>
  <si>
    <t>1993M08</t>
  </si>
  <si>
    <t>1993M07</t>
  </si>
  <si>
    <t>1993M06</t>
  </si>
  <si>
    <t>1993M05</t>
  </si>
  <si>
    <t>1993M04</t>
  </si>
  <si>
    <t>1993M03</t>
  </si>
  <si>
    <t>1993M02</t>
  </si>
  <si>
    <t>1993M01</t>
  </si>
  <si>
    <t>1992M12</t>
  </si>
  <si>
    <t>1992M11</t>
  </si>
  <si>
    <t>1992M10</t>
  </si>
  <si>
    <t>1992M09</t>
  </si>
  <si>
    <t>1992M08</t>
  </si>
  <si>
    <t>1992M07</t>
  </si>
  <si>
    <t>1992M06</t>
  </si>
  <si>
    <t>1992M05</t>
  </si>
  <si>
    <t>1992M04</t>
  </si>
  <si>
    <t>1992M03</t>
  </si>
  <si>
    <t>1992M02</t>
  </si>
  <si>
    <t>1992M01</t>
  </si>
  <si>
    <t>1991M12</t>
  </si>
  <si>
    <t>1991M11</t>
  </si>
  <si>
    <t>1991M10</t>
  </si>
  <si>
    <t>1991M09</t>
  </si>
  <si>
    <t>1991M08</t>
  </si>
  <si>
    <t>1991M07</t>
  </si>
  <si>
    <t>1991M06</t>
  </si>
  <si>
    <t>1991M05</t>
  </si>
  <si>
    <t>1991M04</t>
  </si>
  <si>
    <t>1991M03</t>
  </si>
  <si>
    <t>1991M02</t>
  </si>
  <si>
    <t>1991M01</t>
  </si>
  <si>
    <t>1990M12</t>
  </si>
  <si>
    <t>1990M11</t>
  </si>
  <si>
    <t>1990M10</t>
  </si>
  <si>
    <t>1990M09</t>
  </si>
  <si>
    <t>1990M08</t>
  </si>
  <si>
    <t>1990M07</t>
  </si>
  <si>
    <t>1990M06</t>
  </si>
  <si>
    <t>1990M05</t>
  </si>
  <si>
    <t>1990M04</t>
  </si>
  <si>
    <t>1990M03</t>
  </si>
  <si>
    <t>1990M02</t>
  </si>
  <si>
    <t>1990M01</t>
  </si>
  <si>
    <t>1989M12</t>
  </si>
  <si>
    <t>1989M11</t>
  </si>
  <si>
    <t>1989M10</t>
  </si>
  <si>
    <t>1989M09</t>
  </si>
  <si>
    <t>1989M08</t>
  </si>
  <si>
    <t>1989M07</t>
  </si>
  <si>
    <t>1989M06</t>
  </si>
  <si>
    <t>1989M05</t>
  </si>
  <si>
    <t>1989M04</t>
  </si>
  <si>
    <t>1989M03</t>
  </si>
  <si>
    <t>1989M02</t>
  </si>
  <si>
    <t>1989M01</t>
  </si>
  <si>
    <t>1988M12</t>
  </si>
  <si>
    <t>1988M11</t>
  </si>
  <si>
    <t>1988M10</t>
  </si>
  <si>
    <t>1988M09</t>
  </si>
  <si>
    <t>1988M08</t>
  </si>
  <si>
    <t>1988M07</t>
  </si>
  <si>
    <t>1988M06</t>
  </si>
  <si>
    <t>1988M05</t>
  </si>
  <si>
    <t>1988M04</t>
  </si>
  <si>
    <t>1988M03</t>
  </si>
  <si>
    <t>1988M02</t>
  </si>
  <si>
    <t>1988M01</t>
  </si>
  <si>
    <t>1987M12</t>
  </si>
  <si>
    <t>1987M11</t>
  </si>
  <si>
    <t>1987M10</t>
  </si>
  <si>
    <t>1987M09</t>
  </si>
  <si>
    <t>1987M08</t>
  </si>
  <si>
    <t>1987M07</t>
  </si>
  <si>
    <t>1987M06</t>
  </si>
  <si>
    <t>1987M05</t>
  </si>
  <si>
    <t>1987M04</t>
  </si>
  <si>
    <t>1987M03</t>
  </si>
  <si>
    <t>1987M02</t>
  </si>
  <si>
    <t>1987M01</t>
  </si>
  <si>
    <t>1986M12</t>
  </si>
  <si>
    <t>1986M11</t>
  </si>
  <si>
    <t>1986M10</t>
  </si>
  <si>
    <t>1986M09</t>
  </si>
  <si>
    <t>1986M08</t>
  </si>
  <si>
    <t>1986M07</t>
  </si>
  <si>
    <t>1986M06</t>
  </si>
  <si>
    <t>1986M05</t>
  </si>
  <si>
    <t>1986M04</t>
  </si>
  <si>
    <t>1986M03</t>
  </si>
  <si>
    <t>1986M02</t>
  </si>
  <si>
    <t>1986M01</t>
  </si>
  <si>
    <t>1985M12</t>
  </si>
  <si>
    <t>1985M11</t>
  </si>
  <si>
    <t>1985M10</t>
  </si>
  <si>
    <t>1985M09</t>
  </si>
  <si>
    <t>1985M08</t>
  </si>
  <si>
    <t>1985M07</t>
  </si>
  <si>
    <t>1985M06</t>
  </si>
  <si>
    <t>1985M05</t>
  </si>
  <si>
    <t>1985M04</t>
  </si>
  <si>
    <t>1985M03</t>
  </si>
  <si>
    <t>1985M02</t>
  </si>
  <si>
    <t>1985M01</t>
  </si>
  <si>
    <t>1984M12</t>
  </si>
  <si>
    <t>1984M11</t>
  </si>
  <si>
    <t>1984M10</t>
  </si>
  <si>
    <t>1984M09</t>
  </si>
  <si>
    <t>1984M08</t>
  </si>
  <si>
    <t>1984M07</t>
  </si>
  <si>
    <t>1984M06</t>
  </si>
  <si>
    <t>1984M05</t>
  </si>
  <si>
    <t>1984M04</t>
  </si>
  <si>
    <t>1984M03</t>
  </si>
  <si>
    <t>1984M02</t>
  </si>
  <si>
    <t>1984M01</t>
  </si>
  <si>
    <t>1983M12</t>
  </si>
  <si>
    <t>1983M11</t>
  </si>
  <si>
    <t>1983M10</t>
  </si>
  <si>
    <t>1983M09</t>
  </si>
  <si>
    <t>1983M08</t>
  </si>
  <si>
    <t>1983M07</t>
  </si>
  <si>
    <t>1983M06</t>
  </si>
  <si>
    <t>1983M05</t>
  </si>
  <si>
    <t>1983M04</t>
  </si>
  <si>
    <t>1983M03</t>
  </si>
  <si>
    <t>1983M02</t>
  </si>
  <si>
    <t>1983M01</t>
  </si>
  <si>
    <t>1982M12</t>
  </si>
  <si>
    <t>1982M11</t>
  </si>
  <si>
    <t>1982M10</t>
  </si>
  <si>
    <t>1982M09</t>
  </si>
  <si>
    <t>1982M08</t>
  </si>
  <si>
    <t>1982M07</t>
  </si>
  <si>
    <t>1982M06</t>
  </si>
  <si>
    <t>1982M05</t>
  </si>
  <si>
    <t>1982M04</t>
  </si>
  <si>
    <t>1982M03</t>
  </si>
  <si>
    <t>1982M02</t>
  </si>
  <si>
    <t>1982M01</t>
  </si>
  <si>
    <t>1981M12</t>
  </si>
  <si>
    <t>1981M11</t>
  </si>
  <si>
    <t>1981M10</t>
  </si>
  <si>
    <t>1981M09</t>
  </si>
  <si>
    <t>1981M08</t>
  </si>
  <si>
    <t>1981M07</t>
  </si>
  <si>
    <t>1981M06</t>
  </si>
  <si>
    <t>1981M05</t>
  </si>
  <si>
    <t>1981M04</t>
  </si>
  <si>
    <t>1981M03</t>
  </si>
  <si>
    <t>1981M02</t>
  </si>
  <si>
    <t>1981M01</t>
  </si>
  <si>
    <t>1980M12</t>
  </si>
  <si>
    <t>1980M11</t>
  </si>
  <si>
    <t>1980M10</t>
  </si>
  <si>
    <t>1980M09</t>
  </si>
  <si>
    <t>1980M08</t>
  </si>
  <si>
    <t>1980M07</t>
  </si>
  <si>
    <t>1980M06</t>
  </si>
  <si>
    <t>1980M05</t>
  </si>
  <si>
    <t>1980M04</t>
  </si>
  <si>
    <t>1980M03</t>
  </si>
  <si>
    <t>1980M02</t>
  </si>
  <si>
    <t>1980M01</t>
  </si>
  <si>
    <t>1979M12</t>
  </si>
  <si>
    <t>1979M11</t>
  </si>
  <si>
    <t>1979M10</t>
  </si>
  <si>
    <t>1979M09</t>
  </si>
  <si>
    <t>1979M08</t>
  </si>
  <si>
    <t>1979M07</t>
  </si>
  <si>
    <t>1979M06</t>
  </si>
  <si>
    <t>1979M05</t>
  </si>
  <si>
    <t>1979M04</t>
  </si>
  <si>
    <t>1979M03</t>
  </si>
  <si>
    <t>1979M02</t>
  </si>
  <si>
    <t>1979M01</t>
  </si>
  <si>
    <t>1978M12</t>
  </si>
  <si>
    <t>1978M11</t>
  </si>
  <si>
    <t>1978M10</t>
  </si>
  <si>
    <t>1978M09</t>
  </si>
  <si>
    <t>1978M08</t>
  </si>
  <si>
    <t>1978M07</t>
  </si>
  <si>
    <t>1978M06</t>
  </si>
  <si>
    <t>1978M05</t>
  </si>
  <si>
    <t>1978M04</t>
  </si>
  <si>
    <t>1978M03</t>
  </si>
  <si>
    <t>1978M02</t>
  </si>
  <si>
    <t>1978M01</t>
  </si>
  <si>
    <t>1977M12</t>
  </si>
  <si>
    <t>1977M11</t>
  </si>
  <si>
    <t>1977M10</t>
  </si>
  <si>
    <t>1977M09</t>
  </si>
  <si>
    <t>1977M08</t>
  </si>
  <si>
    <t>1977M07</t>
  </si>
  <si>
    <t>1977M06</t>
  </si>
  <si>
    <t>1977M05</t>
  </si>
  <si>
    <t>1977M04</t>
  </si>
  <si>
    <t>1977M03</t>
  </si>
  <si>
    <t>1977M02</t>
  </si>
  <si>
    <t>1977M01</t>
  </si>
  <si>
    <t>1976M12</t>
  </si>
  <si>
    <t>1976M11</t>
  </si>
  <si>
    <t>1976M10</t>
  </si>
  <si>
    <t>1976M09</t>
  </si>
  <si>
    <t>1976M08</t>
  </si>
  <si>
    <t>1976M07</t>
  </si>
  <si>
    <t>1976M06</t>
  </si>
  <si>
    <t>1976M05</t>
  </si>
  <si>
    <t>1976M04</t>
  </si>
  <si>
    <t>1976M03</t>
  </si>
  <si>
    <t>1976M02</t>
  </si>
  <si>
    <t>1976M01</t>
  </si>
  <si>
    <t>1975M12</t>
  </si>
  <si>
    <t>1975M11</t>
  </si>
  <si>
    <t>1975M10</t>
  </si>
  <si>
    <t>1975M09</t>
  </si>
  <si>
    <t>1975M08</t>
  </si>
  <si>
    <t>1975M07</t>
  </si>
  <si>
    <t>1975M06</t>
  </si>
  <si>
    <t>1975M05</t>
  </si>
  <si>
    <t>1975M04</t>
  </si>
  <si>
    <t>1975M03</t>
  </si>
  <si>
    <t>1975M02</t>
  </si>
  <si>
    <t>1975M01</t>
  </si>
  <si>
    <t>1974M12</t>
  </si>
  <si>
    <t>1974M11</t>
  </si>
  <si>
    <t>1974M10</t>
  </si>
  <si>
    <t>1974M09</t>
  </si>
  <si>
    <t>1974M08</t>
  </si>
  <si>
    <t>1974M07</t>
  </si>
  <si>
    <t>1974M06</t>
  </si>
  <si>
    <t>1974M05</t>
  </si>
  <si>
    <t>1974M04</t>
  </si>
  <si>
    <t>1974M03</t>
  </si>
  <si>
    <t>1974M02</t>
  </si>
  <si>
    <t>1974M01</t>
  </si>
  <si>
    <t>1973M12</t>
  </si>
  <si>
    <t>1973M11</t>
  </si>
  <si>
    <t>1973M10</t>
  </si>
  <si>
    <t>1973M09</t>
  </si>
  <si>
    <t>1973M08</t>
  </si>
  <si>
    <t>1973M07</t>
  </si>
  <si>
    <t>1973M06</t>
  </si>
  <si>
    <t>1973M05</t>
  </si>
  <si>
    <t>1973M04</t>
  </si>
  <si>
    <t>1973M03</t>
  </si>
  <si>
    <t>1973M02</t>
  </si>
  <si>
    <t>1973M01</t>
  </si>
  <si>
    <t>1972M12</t>
  </si>
  <si>
    <t>1972M11</t>
  </si>
  <si>
    <t>1972M10</t>
  </si>
  <si>
    <t>1972M09</t>
  </si>
  <si>
    <t>1972M08</t>
  </si>
  <si>
    <t>1972M07</t>
  </si>
  <si>
    <t>1972M06</t>
  </si>
  <si>
    <t>1972M05</t>
  </si>
  <si>
    <t>1972M04</t>
  </si>
  <si>
    <t>1972M03</t>
  </si>
  <si>
    <t>1972M02</t>
  </si>
  <si>
    <t>1972M01</t>
  </si>
  <si>
    <t>1971M12</t>
  </si>
  <si>
    <t>1971M11</t>
  </si>
  <si>
    <t>1971M10</t>
  </si>
  <si>
    <t>1971M09</t>
  </si>
  <si>
    <t>1971M08</t>
  </si>
  <si>
    <t>1971M07</t>
  </si>
  <si>
    <t>1971M06</t>
  </si>
  <si>
    <t>1971M05</t>
  </si>
  <si>
    <t>1971M04</t>
  </si>
  <si>
    <t>1971M03</t>
  </si>
  <si>
    <t>1971M02</t>
  </si>
  <si>
    <t>1971M01</t>
  </si>
  <si>
    <t>1970M12</t>
  </si>
  <si>
    <t>1970M11</t>
  </si>
  <si>
    <t>1970M10</t>
  </si>
  <si>
    <t>1970M09</t>
  </si>
  <si>
    <t>1970M08</t>
  </si>
  <si>
    <t>1970M07</t>
  </si>
  <si>
    <t>1970M06</t>
  </si>
  <si>
    <t>1970M05</t>
  </si>
  <si>
    <t>1970M04</t>
  </si>
  <si>
    <t>1970M03</t>
  </si>
  <si>
    <t>1970M02</t>
  </si>
  <si>
    <t>1970M01</t>
  </si>
  <si>
    <t>1969M12</t>
  </si>
  <si>
    <t>1969M11</t>
  </si>
  <si>
    <t>1969M10</t>
  </si>
  <si>
    <t>1969M09</t>
  </si>
  <si>
    <t>1969M08</t>
  </si>
  <si>
    <t>1969M07</t>
  </si>
  <si>
    <t>1969M06</t>
  </si>
  <si>
    <t>1969M05</t>
  </si>
  <si>
    <t>1969M04</t>
  </si>
  <si>
    <t>1969M03</t>
  </si>
  <si>
    <t>1969M02</t>
  </si>
  <si>
    <t>1969M01</t>
  </si>
  <si>
    <t>1968M12</t>
  </si>
  <si>
    <t>1968M11</t>
  </si>
  <si>
    <t>1968M10</t>
  </si>
  <si>
    <t>1968M09</t>
  </si>
  <si>
    <t>1968M08</t>
  </si>
  <si>
    <t>1968M07</t>
  </si>
  <si>
    <t>1968M06</t>
  </si>
  <si>
    <t>1968M05</t>
  </si>
  <si>
    <t>1968M04</t>
  </si>
  <si>
    <t>1968M03</t>
  </si>
  <si>
    <t>1968M02</t>
  </si>
  <si>
    <t>1968M01</t>
  </si>
  <si>
    <t>1967M12</t>
  </si>
  <si>
    <t>1967M11</t>
  </si>
  <si>
    <t>1967M10</t>
  </si>
  <si>
    <t>1967M09</t>
  </si>
  <si>
    <t>1967M08</t>
  </si>
  <si>
    <t>1967M07</t>
  </si>
  <si>
    <t>1967M06</t>
  </si>
  <si>
    <t>1967M05</t>
  </si>
  <si>
    <t>1967M04</t>
  </si>
  <si>
    <t>1967M03</t>
  </si>
  <si>
    <t>1967M02</t>
  </si>
  <si>
    <t>1967M01</t>
  </si>
  <si>
    <t>1966M12</t>
  </si>
  <si>
    <t>1966M11</t>
  </si>
  <si>
    <t>1966M10</t>
  </si>
  <si>
    <t>1966M09</t>
  </si>
  <si>
    <t>1966M08</t>
  </si>
  <si>
    <t>1966M07</t>
  </si>
  <si>
    <t>1966M06</t>
  </si>
  <si>
    <t>1966M05</t>
  </si>
  <si>
    <t>1966M04</t>
  </si>
  <si>
    <t>1966M03</t>
  </si>
  <si>
    <t>1966M02</t>
  </si>
  <si>
    <t>1966M01</t>
  </si>
  <si>
    <t>1965M12</t>
  </si>
  <si>
    <t>1965M11</t>
  </si>
  <si>
    <t>1965M10</t>
  </si>
  <si>
    <t>1965M09</t>
  </si>
  <si>
    <t>1965M08</t>
  </si>
  <si>
    <t>1965M07</t>
  </si>
  <si>
    <t>1965M06</t>
  </si>
  <si>
    <t>1965M05</t>
  </si>
  <si>
    <t>1965M04</t>
  </si>
  <si>
    <t>1965M03</t>
  </si>
  <si>
    <t>1965M02</t>
  </si>
  <si>
    <t>1965M01</t>
  </si>
  <si>
    <t>1964M12</t>
  </si>
  <si>
    <t>1964M11</t>
  </si>
  <si>
    <t>1964M10</t>
  </si>
  <si>
    <t>1964M09</t>
  </si>
  <si>
    <t>1964M08</t>
  </si>
  <si>
    <t>1964M07</t>
  </si>
  <si>
    <t>1964M06</t>
  </si>
  <si>
    <t>1964M05</t>
  </si>
  <si>
    <t>1964M04</t>
  </si>
  <si>
    <t>1964M03</t>
  </si>
  <si>
    <t>1964M02</t>
  </si>
  <si>
    <t>1964M01</t>
  </si>
  <si>
    <t>1963M12</t>
  </si>
  <si>
    <t>1963M11</t>
  </si>
  <si>
    <t>1963M10</t>
  </si>
  <si>
    <t>1963M09</t>
  </si>
  <si>
    <t>1963M08</t>
  </si>
  <si>
    <t>1963M07</t>
  </si>
  <si>
    <t>1963M06</t>
  </si>
  <si>
    <t>1963M05</t>
  </si>
  <si>
    <t>1963M04</t>
  </si>
  <si>
    <t>1963M03</t>
  </si>
  <si>
    <t>1963M02</t>
  </si>
  <si>
    <t>1963M01</t>
  </si>
  <si>
    <t>1962M12</t>
  </si>
  <si>
    <t>1962M11</t>
  </si>
  <si>
    <t>1962M10</t>
  </si>
  <si>
    <t>1962M09</t>
  </si>
  <si>
    <t>1962M08</t>
  </si>
  <si>
    <t>1962M07</t>
  </si>
  <si>
    <t>1962M06</t>
  </si>
  <si>
    <t>1962M05</t>
  </si>
  <si>
    <t>1962M04</t>
  </si>
  <si>
    <t>1962M03</t>
  </si>
  <si>
    <t>1962M02</t>
  </si>
  <si>
    <t>1962M01</t>
  </si>
  <si>
    <t>1961M12</t>
  </si>
  <si>
    <t>1961M11</t>
  </si>
  <si>
    <t>1961M10</t>
  </si>
  <si>
    <t>1961M09</t>
  </si>
  <si>
    <t>1961M08</t>
  </si>
  <si>
    <t>1961M07</t>
  </si>
  <si>
    <t>1961M06</t>
  </si>
  <si>
    <t>1961M05</t>
  </si>
  <si>
    <t>1961M04</t>
  </si>
  <si>
    <t>1961M03</t>
  </si>
  <si>
    <t>1961M02</t>
  </si>
  <si>
    <t>1961M01</t>
  </si>
  <si>
    <t>1960M12</t>
  </si>
  <si>
    <t>1960M11</t>
  </si>
  <si>
    <t>1960M10</t>
  </si>
  <si>
    <t>1960M09</t>
  </si>
  <si>
    <t>1960M08</t>
  </si>
  <si>
    <t>1960M07</t>
  </si>
  <si>
    <t>1960M06</t>
  </si>
  <si>
    <t>1960M05</t>
  </si>
  <si>
    <t>1960M04</t>
  </si>
  <si>
    <t>1960M03</t>
  </si>
  <si>
    <t>1960M02</t>
  </si>
  <si>
    <t>1960M01</t>
  </si>
  <si>
    <t>1959M12</t>
  </si>
  <si>
    <t>1959M11</t>
  </si>
  <si>
    <t>1959M10</t>
  </si>
  <si>
    <t>1959M09</t>
  </si>
  <si>
    <t>1959M08</t>
  </si>
  <si>
    <t>1959M07</t>
  </si>
  <si>
    <t>1959M06</t>
  </si>
  <si>
    <t>1959M05</t>
  </si>
  <si>
    <t>1959M04</t>
  </si>
  <si>
    <t>1959M03</t>
  </si>
  <si>
    <t>1959M02</t>
  </si>
  <si>
    <t>1959M01</t>
  </si>
  <si>
    <t>1958M12</t>
  </si>
  <si>
    <t>1958M11</t>
  </si>
  <si>
    <t>1958M10</t>
  </si>
  <si>
    <t>1958M09</t>
  </si>
  <si>
    <t>1958M08</t>
  </si>
  <si>
    <t>1958M07</t>
  </si>
  <si>
    <t>1958M06</t>
  </si>
  <si>
    <t>1958M05</t>
  </si>
  <si>
    <t>1958M04</t>
  </si>
  <si>
    <t>1958M03</t>
  </si>
  <si>
    <t>1958M02</t>
  </si>
  <si>
    <t>1958M01</t>
  </si>
  <si>
    <t>1957M12</t>
  </si>
  <si>
    <t>1957M11</t>
  </si>
  <si>
    <t>1957M10</t>
  </si>
  <si>
    <t>1957M09</t>
  </si>
  <si>
    <t>1957M08</t>
  </si>
  <si>
    <t>1957M07</t>
  </si>
  <si>
    <t>1957M06</t>
  </si>
  <si>
    <t>1957M05</t>
  </si>
  <si>
    <t>1957M04</t>
  </si>
  <si>
    <t>1957M03</t>
  </si>
  <si>
    <t>1957M02</t>
  </si>
  <si>
    <t>1957M01</t>
  </si>
  <si>
    <t>1956M12</t>
  </si>
  <si>
    <t>1956M11</t>
  </si>
  <si>
    <t>1956M10</t>
  </si>
  <si>
    <t>1956M09</t>
  </si>
  <si>
    <t>1956M08</t>
  </si>
  <si>
    <t>1956M07</t>
  </si>
  <si>
    <t>1956M06</t>
  </si>
  <si>
    <t>1956M05</t>
  </si>
  <si>
    <t>1956M04</t>
  </si>
  <si>
    <t>1956M03</t>
  </si>
  <si>
    <t>1956M02</t>
  </si>
  <si>
    <t>1956M01</t>
  </si>
  <si>
    <t>1955M12</t>
  </si>
  <si>
    <t>1955M11</t>
  </si>
  <si>
    <t>1955M10</t>
  </si>
  <si>
    <t>1955M09</t>
  </si>
  <si>
    <t>1955M08</t>
  </si>
  <si>
    <t>1955M07</t>
  </si>
  <si>
    <t>1955M06</t>
  </si>
  <si>
    <t>1955M05</t>
  </si>
  <si>
    <t>1955M04</t>
  </si>
  <si>
    <t>1955M03</t>
  </si>
  <si>
    <t>1955M02</t>
  </si>
  <si>
    <t>1955M01</t>
  </si>
  <si>
    <t>1954M12</t>
  </si>
  <si>
    <t>1954M11</t>
  </si>
  <si>
    <t>1954M10</t>
  </si>
  <si>
    <t>1954M09</t>
  </si>
  <si>
    <t>1954M08</t>
  </si>
  <si>
    <t>1954M07</t>
  </si>
  <si>
    <t>1954M06</t>
  </si>
  <si>
    <t>1954M05</t>
  </si>
  <si>
    <t>1954M04</t>
  </si>
  <si>
    <t>1954M03</t>
  </si>
  <si>
    <t>1954M02</t>
  </si>
  <si>
    <t>1954M01</t>
  </si>
  <si>
    <t>1953M12</t>
  </si>
  <si>
    <t>1953M11</t>
  </si>
  <si>
    <t>1953M10</t>
  </si>
  <si>
    <t>1953M09</t>
  </si>
  <si>
    <t>1953M08</t>
  </si>
  <si>
    <t>1953M07</t>
  </si>
  <si>
    <t>1953M06</t>
  </si>
  <si>
    <t>1953M05</t>
  </si>
  <si>
    <t>1953M04</t>
  </si>
  <si>
    <t>1953M03</t>
  </si>
  <si>
    <t>1953M02</t>
  </si>
  <si>
    <t>1953M01</t>
  </si>
  <si>
    <t>1952M12</t>
  </si>
  <si>
    <t>1952M11</t>
  </si>
  <si>
    <t>1952M10</t>
  </si>
  <si>
    <t>1952M09</t>
  </si>
  <si>
    <t>1952M08</t>
  </si>
  <si>
    <t>1952M07</t>
  </si>
  <si>
    <t>1952M06</t>
  </si>
  <si>
    <t>1952M05</t>
  </si>
  <si>
    <t>1952M04</t>
  </si>
  <si>
    <t>1952M03</t>
  </si>
  <si>
    <t>1952M02</t>
  </si>
  <si>
    <t>1952M01</t>
  </si>
  <si>
    <t>1951M12</t>
  </si>
  <si>
    <t>1951M11</t>
  </si>
  <si>
    <t>1951M10</t>
  </si>
  <si>
    <t>1951M09</t>
  </si>
  <si>
    <t>1951M08</t>
  </si>
  <si>
    <t>1951M07</t>
  </si>
  <si>
    <t>1951M06</t>
  </si>
  <si>
    <t>1951M05</t>
  </si>
  <si>
    <t>1951M04</t>
  </si>
  <si>
    <t>1951M03</t>
  </si>
  <si>
    <t>1951M02</t>
  </si>
  <si>
    <t>1951M01</t>
  </si>
  <si>
    <t>1950M12</t>
  </si>
  <si>
    <t>1950M11</t>
  </si>
  <si>
    <t>1950M10</t>
  </si>
  <si>
    <t>1950M09</t>
  </si>
  <si>
    <t>1950M08</t>
  </si>
  <si>
    <t>1950M07</t>
  </si>
  <si>
    <t>1950M06</t>
  </si>
  <si>
    <t>1950M05</t>
  </si>
  <si>
    <t>1950M04</t>
  </si>
  <si>
    <t>1950M03</t>
  </si>
  <si>
    <t>1950M02</t>
  </si>
  <si>
    <t>1950M01</t>
  </si>
  <si>
    <t>1949M12</t>
  </si>
  <si>
    <t>1949M11</t>
  </si>
  <si>
    <t>1949M10</t>
  </si>
  <si>
    <t>1949M09</t>
  </si>
  <si>
    <t>1949M08</t>
  </si>
  <si>
    <t>1949M07</t>
  </si>
  <si>
    <t>1949M06</t>
  </si>
  <si>
    <t>1949M05</t>
  </si>
  <si>
    <t>1949M04</t>
  </si>
  <si>
    <t>1949M03</t>
  </si>
  <si>
    <t>1949M02</t>
  </si>
  <si>
    <t>1949M01</t>
  </si>
  <si>
    <t>1948M12</t>
  </si>
  <si>
    <t>1948M11</t>
  </si>
  <si>
    <t>1948M10</t>
  </si>
  <si>
    <t>1948M09</t>
  </si>
  <si>
    <t>1948M08</t>
  </si>
  <si>
    <t>1948M07</t>
  </si>
  <si>
    <t>1948M06</t>
  </si>
  <si>
    <t>1948M05</t>
  </si>
  <si>
    <t>1948M04</t>
  </si>
  <si>
    <t>1948M03</t>
  </si>
  <si>
    <t>1948M02</t>
  </si>
  <si>
    <t>1948M01</t>
  </si>
  <si>
    <t>1947M12</t>
  </si>
  <si>
    <t>1947M11</t>
  </si>
  <si>
    <t>1947M10</t>
  </si>
  <si>
    <t>1947M09</t>
  </si>
  <si>
    <t>1947M08</t>
  </si>
  <si>
    <t>1947M07</t>
  </si>
  <si>
    <t>1947M06</t>
  </si>
  <si>
    <t>1947M05</t>
  </si>
  <si>
    <t>1947M04</t>
  </si>
  <si>
    <t>1947M03</t>
  </si>
  <si>
    <t>1947M02</t>
  </si>
  <si>
    <t>1947M01</t>
  </si>
  <si>
    <t>1946M12</t>
  </si>
  <si>
    <t>1946M11</t>
  </si>
  <si>
    <t>1946M10</t>
  </si>
  <si>
    <t>1946M09</t>
  </si>
  <si>
    <t>1946M08</t>
  </si>
  <si>
    <t>1946M07</t>
  </si>
  <si>
    <t>1946M06</t>
  </si>
  <si>
    <t>1946M05</t>
  </si>
  <si>
    <t>1946M04</t>
  </si>
  <si>
    <t>1946M03</t>
  </si>
  <si>
    <t>1946M02</t>
  </si>
  <si>
    <t>1946M01</t>
  </si>
  <si>
    <t>1945M12</t>
  </si>
  <si>
    <t>1945M11</t>
  </si>
  <si>
    <t>1945M10</t>
  </si>
  <si>
    <t>1945M09</t>
  </si>
  <si>
    <t>1945M08</t>
  </si>
  <si>
    <t>1945M07</t>
  </si>
  <si>
    <t>1945M06</t>
  </si>
  <si>
    <t>1945M05</t>
  </si>
  <si>
    <t>1945M04</t>
  </si>
  <si>
    <t>1945M03</t>
  </si>
  <si>
    <t>1945M02</t>
  </si>
  <si>
    <t>1945M01</t>
  </si>
  <si>
    <t>1944M12</t>
  </si>
  <si>
    <t>1944M11</t>
  </si>
  <si>
    <t>1944M10</t>
  </si>
  <si>
    <t>1944M09</t>
  </si>
  <si>
    <t>1944M08</t>
  </si>
  <si>
    <t>1944M07</t>
  </si>
  <si>
    <t>1944M06</t>
  </si>
  <si>
    <t>1944M05</t>
  </si>
  <si>
    <t>1944M04</t>
  </si>
  <si>
    <t>1944M03</t>
  </si>
  <si>
    <t>1944M02</t>
  </si>
  <si>
    <t>1944M01</t>
  </si>
  <si>
    <t>1943M12</t>
  </si>
  <si>
    <t>1943M11</t>
  </si>
  <si>
    <t>1943M10</t>
  </si>
  <si>
    <t>1943M09</t>
  </si>
  <si>
    <t>1943M08</t>
  </si>
  <si>
    <t>1943M07</t>
  </si>
  <si>
    <t>1943M06</t>
  </si>
  <si>
    <t>1943M05</t>
  </si>
  <si>
    <t>1943M04</t>
  </si>
  <si>
    <t>1943M03</t>
  </si>
  <si>
    <t>1943M02</t>
  </si>
  <si>
    <t>1943M01</t>
  </si>
  <si>
    <t>1942M12</t>
  </si>
  <si>
    <t>1942M11</t>
  </si>
  <si>
    <t>1942M10</t>
  </si>
  <si>
    <t>1942M09</t>
  </si>
  <si>
    <t>1942M08</t>
  </si>
  <si>
    <t>1942M07</t>
  </si>
  <si>
    <t>1942M06</t>
  </si>
  <si>
    <t>1942M05</t>
  </si>
  <si>
    <t>1942M04</t>
  </si>
  <si>
    <t>1942M03</t>
  </si>
  <si>
    <t>1942M02</t>
  </si>
  <si>
    <t>1942M01</t>
  </si>
  <si>
    <t>1941M12</t>
  </si>
  <si>
    <t>1941M11</t>
  </si>
  <si>
    <t>1941M10</t>
  </si>
  <si>
    <t>1941M09</t>
  </si>
  <si>
    <t>1941M08</t>
  </si>
  <si>
    <t>1941M07</t>
  </si>
  <si>
    <t>1941M06</t>
  </si>
  <si>
    <t>1941M05</t>
  </si>
  <si>
    <t>1941M04</t>
  </si>
  <si>
    <t>1941M03</t>
  </si>
  <si>
    <t>1941M02</t>
  </si>
  <si>
    <t>1941M01</t>
  </si>
  <si>
    <t>1940M12</t>
  </si>
  <si>
    <t>1940M11</t>
  </si>
  <si>
    <t>1940M10</t>
  </si>
  <si>
    <t>1940M09</t>
  </si>
  <si>
    <t>1940M08</t>
  </si>
  <si>
    <t>1940M07</t>
  </si>
  <si>
    <t>1940M06</t>
  </si>
  <si>
    <t>1940M05</t>
  </si>
  <si>
    <t>1940M04</t>
  </si>
  <si>
    <t>1940M03</t>
  </si>
  <si>
    <t>1940M02</t>
  </si>
  <si>
    <t>1940M01</t>
  </si>
  <si>
    <t>1939M12</t>
  </si>
  <si>
    <t>1939M11</t>
  </si>
  <si>
    <t>1939M10</t>
  </si>
  <si>
    <t>1939M09</t>
  </si>
  <si>
    <t>1939M08</t>
  </si>
  <si>
    <t>1939M07</t>
  </si>
  <si>
    <t>1939M06</t>
  </si>
  <si>
    <t>1939M05</t>
  </si>
  <si>
    <t>1939M04</t>
  </si>
  <si>
    <t>1939M03</t>
  </si>
  <si>
    <t>1939M02</t>
  </si>
  <si>
    <t>1939M01</t>
  </si>
  <si>
    <t>1938M12</t>
  </si>
  <si>
    <t>1938M11</t>
  </si>
  <si>
    <t>1938M10</t>
  </si>
  <si>
    <t>1938M09</t>
  </si>
  <si>
    <t>1938M08</t>
  </si>
  <si>
    <t>1938M07</t>
  </si>
  <si>
    <t>1938M06</t>
  </si>
  <si>
    <t>1938M05</t>
  </si>
  <si>
    <t>1938M04</t>
  </si>
  <si>
    <t>1938M03</t>
  </si>
  <si>
    <t>1938M02</t>
  </si>
  <si>
    <t>1938M01</t>
  </si>
  <si>
    <t>1937M12</t>
  </si>
  <si>
    <t>1937M11</t>
  </si>
  <si>
    <t>1937M10</t>
  </si>
  <si>
    <t>1937M09</t>
  </si>
  <si>
    <t>1937M08</t>
  </si>
  <si>
    <t>1937M07</t>
  </si>
  <si>
    <t>1937M06</t>
  </si>
  <si>
    <t>1937M05</t>
  </si>
  <si>
    <t>1937M04</t>
  </si>
  <si>
    <t>1937M03</t>
  </si>
  <si>
    <t>1937M02</t>
  </si>
  <si>
    <t>1937M01</t>
  </si>
  <si>
    <t>1936M12</t>
  </si>
  <si>
    <t>1936M11</t>
  </si>
  <si>
    <t>1936M10</t>
  </si>
  <si>
    <t>1936M09</t>
  </si>
  <si>
    <t>1936M08</t>
  </si>
  <si>
    <t>1936M07</t>
  </si>
  <si>
    <t>1936M06</t>
  </si>
  <si>
    <t>1936M05</t>
  </si>
  <si>
    <t>1936M04</t>
  </si>
  <si>
    <t>1936M03</t>
  </si>
  <si>
    <t>1936M02</t>
  </si>
  <si>
    <t>1936M01</t>
  </si>
  <si>
    <t>1935M12</t>
  </si>
  <si>
    <t>1935M11</t>
  </si>
  <si>
    <t>1935M10</t>
  </si>
  <si>
    <t>1935M09</t>
  </si>
  <si>
    <t>1935M08</t>
  </si>
  <si>
    <t>1935M07</t>
  </si>
  <si>
    <t>1935M06</t>
  </si>
  <si>
    <t>1935M05</t>
  </si>
  <si>
    <t>1935M04</t>
  </si>
  <si>
    <t>1935M03</t>
  </si>
  <si>
    <t>1935M02</t>
  </si>
  <si>
    <t>1935M01</t>
  </si>
  <si>
    <t>1934M12</t>
  </si>
  <si>
    <t>1934M11</t>
  </si>
  <si>
    <t>1934M10</t>
  </si>
  <si>
    <t>1934M09</t>
  </si>
  <si>
    <t>1934M08</t>
  </si>
  <si>
    <t>1934M07</t>
  </si>
  <si>
    <t>1934M06</t>
  </si>
  <si>
    <t>1934M05</t>
  </si>
  <si>
    <t>1934M04</t>
  </si>
  <si>
    <t>1934M03</t>
  </si>
  <si>
    <t>1934M02</t>
  </si>
  <si>
    <t>1934M01</t>
  </si>
  <si>
    <t>1933M12</t>
  </si>
  <si>
    <t>1933M11</t>
  </si>
  <si>
    <t>1933M10</t>
  </si>
  <si>
    <t>1933M09</t>
  </si>
  <si>
    <t>1933M08</t>
  </si>
  <si>
    <t>1933M07</t>
  </si>
  <si>
    <t>1933M06</t>
  </si>
  <si>
    <t>1933M05</t>
  </si>
  <si>
    <t>1933M04</t>
  </si>
  <si>
    <t>1933M03</t>
  </si>
  <si>
    <t>1933M02</t>
  </si>
  <si>
    <t>1933M01</t>
  </si>
  <si>
    <t>1932M12</t>
  </si>
  <si>
    <t>1932M11</t>
  </si>
  <si>
    <t>1932M10</t>
  </si>
  <si>
    <t>1932M09</t>
  </si>
  <si>
    <t>1932M08</t>
  </si>
  <si>
    <t>1932M07</t>
  </si>
  <si>
    <t>1932M06</t>
  </si>
  <si>
    <t>1932M05</t>
  </si>
  <si>
    <t>1932M04</t>
  </si>
  <si>
    <t>1932M03</t>
  </si>
  <si>
    <t>1932M02</t>
  </si>
  <si>
    <t>1932M01</t>
  </si>
  <si>
    <t>1931M12</t>
  </si>
  <si>
    <t>1931M11</t>
  </si>
  <si>
    <t>1931M10</t>
  </si>
  <si>
    <t>1931M09</t>
  </si>
  <si>
    <t>1931M08</t>
  </si>
  <si>
    <t>1931M07</t>
  </si>
  <si>
    <t>1931M06</t>
  </si>
  <si>
    <t>1931M05</t>
  </si>
  <si>
    <t>1931M04</t>
  </si>
  <si>
    <t>1931M03</t>
  </si>
  <si>
    <t>1931M02</t>
  </si>
  <si>
    <t>1931M01</t>
  </si>
  <si>
    <t>1930M12</t>
  </si>
  <si>
    <t>1930M11</t>
  </si>
  <si>
    <t>1930M10</t>
  </si>
  <si>
    <t>1930M09</t>
  </si>
  <si>
    <t>1930M08</t>
  </si>
  <si>
    <t>1930M07</t>
  </si>
  <si>
    <t>1930M06</t>
  </si>
  <si>
    <t>1930M05</t>
  </si>
  <si>
    <t>1930M04</t>
  </si>
  <si>
    <t>1930M03</t>
  </si>
  <si>
    <t>1930M02</t>
  </si>
  <si>
    <t>1930M01</t>
  </si>
  <si>
    <t>1929M12</t>
  </si>
  <si>
    <t>1929M11</t>
  </si>
  <si>
    <t>1929M10</t>
  </si>
  <si>
    <t>1929M09</t>
  </si>
  <si>
    <t>1929M08</t>
  </si>
  <si>
    <t>1929M07</t>
  </si>
  <si>
    <t>1929M06</t>
  </si>
  <si>
    <t>1929M05</t>
  </si>
  <si>
    <t>1929M04</t>
  </si>
  <si>
    <t>1929M03</t>
  </si>
  <si>
    <t>1929M02</t>
  </si>
  <si>
    <t>1929M01</t>
  </si>
  <si>
    <t>1928M12</t>
  </si>
  <si>
    <t>1928M11</t>
  </si>
  <si>
    <t>1928M10</t>
  </si>
  <si>
    <t>1928M09</t>
  </si>
  <si>
    <t>1928M08</t>
  </si>
  <si>
    <t>1928M07</t>
  </si>
  <si>
    <t>1928M06</t>
  </si>
  <si>
    <t>1928M05</t>
  </si>
  <si>
    <t>1928M04</t>
  </si>
  <si>
    <t>1928M03</t>
  </si>
  <si>
    <t>1928M02</t>
  </si>
  <si>
    <t>1928M01</t>
  </si>
  <si>
    <t>1927M12</t>
  </si>
  <si>
    <t>1927M11</t>
  </si>
  <si>
    <t>1927M10</t>
  </si>
  <si>
    <t>1927M09</t>
  </si>
  <si>
    <t>1927M08</t>
  </si>
  <si>
    <t>1927M07</t>
  </si>
  <si>
    <t>1927M06</t>
  </si>
  <si>
    <t>1927M05</t>
  </si>
  <si>
    <t>1927M04</t>
  </si>
  <si>
    <t>1927M03</t>
  </si>
  <si>
    <t>1927M02</t>
  </si>
  <si>
    <t>1927M01</t>
  </si>
  <si>
    <t>1926M12</t>
  </si>
  <si>
    <t>1926M11</t>
  </si>
  <si>
    <t>1926M10</t>
  </si>
  <si>
    <t>1926M09</t>
  </si>
  <si>
    <t>1926M08</t>
  </si>
  <si>
    <t>1926M07</t>
  </si>
  <si>
    <t>1926M06</t>
  </si>
  <si>
    <t>1926M05</t>
  </si>
  <si>
    <t>1926M04</t>
  </si>
  <si>
    <t>1926M03</t>
  </si>
  <si>
    <t>1926M02</t>
  </si>
  <si>
    <t>1926M01</t>
  </si>
  <si>
    <t>MKTAAAAA</t>
  </si>
  <si>
    <t>SPRP</t>
  </si>
  <si>
    <t>MKTRP</t>
  </si>
  <si>
    <t>PX_LAST</t>
  </si>
  <si>
    <t>BB</t>
  </si>
  <si>
    <t>BB+</t>
  </si>
  <si>
    <t>Ba1</t>
  </si>
  <si>
    <t>TJX</t>
  </si>
  <si>
    <t>TGT</t>
  </si>
  <si>
    <t>MRK</t>
  </si>
  <si>
    <t>MCK</t>
  </si>
  <si>
    <t>LH</t>
  </si>
  <si>
    <t>CAG</t>
  </si>
  <si>
    <t>ABC</t>
  </si>
  <si>
    <t>AA</t>
  </si>
  <si>
    <t>EQY_SH_OUT</t>
  </si>
  <si>
    <t>BEST_EST_LONG_TERM_GROWTH</t>
  </si>
  <si>
    <t>EQY_DVD_YLD_EST</t>
  </si>
  <si>
    <t>CUR_MKT_CAP</t>
  </si>
  <si>
    <t>NAME</t>
  </si>
  <si>
    <t>Today:</t>
  </si>
  <si>
    <t>Indicated Dividend Yield</t>
  </si>
  <si>
    <t>Bloomberg Beta</t>
  </si>
  <si>
    <t>Average Beta</t>
  </si>
  <si>
    <t>Equity Risk Premium Measure</t>
  </si>
  <si>
    <t>Zacks</t>
  </si>
  <si>
    <t>Value Line</t>
  </si>
  <si>
    <t>Total Projected Return on S&amp;P 500</t>
  </si>
  <si>
    <t>Based on Bloomberg</t>
  </si>
  <si>
    <t>Bloomberg Adjusted Beta</t>
  </si>
  <si>
    <t xml:space="preserve">Interest Rates and Bond Spreads for </t>
  </si>
  <si>
    <t>Moody's Corporate and Public Utility Bonds</t>
  </si>
  <si>
    <t>Aaa Rated Corporate Bond</t>
  </si>
  <si>
    <t>Selected Bond Spreads</t>
  </si>
  <si>
    <t>% (1)</t>
  </si>
  <si>
    <t>% (2)</t>
  </si>
  <si>
    <t>[3]</t>
  </si>
  <si>
    <t>[2]</t>
  </si>
  <si>
    <t>[1]</t>
  </si>
  <si>
    <t>Column [3] - Column [2].</t>
  </si>
  <si>
    <t xml:space="preserve">Indicated ROE </t>
  </si>
  <si>
    <t>Derived by the Predictive Risk Premium Model (1)</t>
  </si>
  <si>
    <t>[4]</t>
  </si>
  <si>
    <t>[5]</t>
  </si>
  <si>
    <t>Spot Predicted Variance</t>
  </si>
  <si>
    <t>LT Average Predicted Variance</t>
  </si>
  <si>
    <t>[6]</t>
  </si>
  <si>
    <t>[7]</t>
  </si>
  <si>
    <t>MRP based on Value Line Summary &amp; Index:</t>
  </si>
  <si>
    <t>Arithmetic Mean Income Returns on Long-Term Government Bonds:</t>
  </si>
  <si>
    <t>Total return on the Market based on the S&amp;P 500:</t>
  </si>
  <si>
    <t>MRP based on Bloomberg data</t>
  </si>
  <si>
    <t>Traditional CAPM Cost Rate</t>
  </si>
  <si>
    <t>ECAPM Cost Rate</t>
  </si>
  <si>
    <t>Average of Column 6 and Column 7.</t>
  </si>
  <si>
    <t>Value Line Summary and Index</t>
  </si>
  <si>
    <t>LNT</t>
  </si>
  <si>
    <t>Long-Term Issuer Rating</t>
  </si>
  <si>
    <t>[8]</t>
  </si>
  <si>
    <t>Comparison of Long-Term Issuer Ratings for the</t>
  </si>
  <si>
    <t>ES</t>
  </si>
  <si>
    <t>2015M03</t>
  </si>
  <si>
    <t>Aaa</t>
  </si>
  <si>
    <t>Aa1</t>
  </si>
  <si>
    <t>Aa2</t>
  </si>
  <si>
    <t>Aa3</t>
  </si>
  <si>
    <t>Ba3</t>
  </si>
  <si>
    <t>B2</t>
  </si>
  <si>
    <t>B3</t>
  </si>
  <si>
    <t>AAA</t>
  </si>
  <si>
    <t>AA+</t>
  </si>
  <si>
    <t>AA-</t>
  </si>
  <si>
    <t>BB-</t>
  </si>
  <si>
    <t>B+</t>
  </si>
  <si>
    <t>B</t>
  </si>
  <si>
    <t>B-</t>
  </si>
  <si>
    <t>Bloomberg</t>
  </si>
  <si>
    <t>Average of Mean and Median</t>
  </si>
  <si>
    <t>Mean</t>
  </si>
  <si>
    <t>Moody's Bond Rating</t>
  </si>
  <si>
    <t>Standard &amp; Poor's Bond Rating</t>
  </si>
  <si>
    <t>Numerical Assignment for</t>
  </si>
  <si>
    <t xml:space="preserve"> Moody's and Standard &amp; Poor's Bond Ratings</t>
  </si>
  <si>
    <t>Numerical Bond Weighting</t>
  </si>
  <si>
    <t>Equity %</t>
  </si>
  <si>
    <t>Source:</t>
  </si>
  <si>
    <t>Capital Structure</t>
  </si>
  <si>
    <t>DATA INPUTS</t>
  </si>
  <si>
    <t>SBBI Common Stocks Total Return (%)</t>
  </si>
  <si>
    <t>SBBI Long-Term Gov't Bonds Income (%)</t>
  </si>
  <si>
    <t>Baa Bonds</t>
  </si>
  <si>
    <t>Unadjusted</t>
  </si>
  <si>
    <t>2015M04</t>
  </si>
  <si>
    <t>2015M05</t>
  </si>
  <si>
    <t>Utility Proxy Group</t>
  </si>
  <si>
    <t>CEM Proxy Group</t>
  </si>
  <si>
    <t>Growth Rate Input Date</t>
  </si>
  <si>
    <t>User Computer Title</t>
  </si>
  <si>
    <t>VRSK</t>
  </si>
  <si>
    <t>EPS Growth Rates</t>
  </si>
  <si>
    <t>Annual Div.</t>
  </si>
  <si>
    <t>S&amp;P</t>
  </si>
  <si>
    <t>Bond Index - Date</t>
  </si>
  <si>
    <t>MOODUA Index</t>
  </si>
  <si>
    <t>MOODUBAA Index</t>
  </si>
  <si>
    <t>MOODCAAA Index</t>
  </si>
  <si>
    <t>MOODCAA Index</t>
  </si>
  <si>
    <t>MOODCA Index</t>
  </si>
  <si>
    <t>MOODCBAA Index</t>
  </si>
  <si>
    <t>Lookup Reference</t>
  </si>
  <si>
    <t>Tickers</t>
  </si>
  <si>
    <t>Regulatory Jurisdiction</t>
  </si>
  <si>
    <t>Value Line Beta Calculation</t>
  </si>
  <si>
    <t>Std. Dev Y</t>
  </si>
  <si>
    <t>Std. Dev Beta</t>
  </si>
  <si>
    <t>Std. Error</t>
  </si>
  <si>
    <t>Common Stock Shares Outstanding at Fiscal Year End</t>
  </si>
  <si>
    <t>Book Value per Share at Fiscal Year End</t>
  </si>
  <si>
    <t>- If Data not available, input NA</t>
  </si>
  <si>
    <t/>
  </si>
  <si>
    <t>Proxy Company - Exchange</t>
  </si>
  <si>
    <t>Historical Risk Premium Data</t>
  </si>
  <si>
    <t>Abbreviated</t>
  </si>
  <si>
    <t>Date of Annual Report Filing ("'Month Day, Year")</t>
  </si>
  <si>
    <t>PRPM Date ("Month Year")</t>
  </si>
  <si>
    <t>Blue Chip Update Date ("Month Day, Year")</t>
  </si>
  <si>
    <t>Summary of Cost of Equity Models Applied to</t>
  </si>
  <si>
    <t>Industry ("Natural Gas", "Water", "Electric")</t>
  </si>
  <si>
    <t>2015M06</t>
  </si>
  <si>
    <t>2015M07</t>
  </si>
  <si>
    <t>2015M08</t>
  </si>
  <si>
    <t>2015M09</t>
  </si>
  <si>
    <t>2015M10</t>
  </si>
  <si>
    <t>2015M11</t>
  </si>
  <si>
    <t>2015M12</t>
  </si>
  <si>
    <t>2016M01</t>
  </si>
  <si>
    <t>Avg Pred. Variance</t>
  </si>
  <si>
    <t>Spot Variance</t>
  </si>
  <si>
    <t>Predicted RP Based on Avg</t>
  </si>
  <si>
    <t>Predicted RP Based on Spot</t>
  </si>
  <si>
    <t>Predicted RP</t>
  </si>
  <si>
    <t>Business Risk Adjustment</t>
  </si>
  <si>
    <t>Proxy Group</t>
  </si>
  <si>
    <t>VL Beta</t>
  </si>
  <si>
    <t>CEM Group</t>
  </si>
  <si>
    <t>HRL</t>
  </si>
  <si>
    <t>LLY</t>
  </si>
  <si>
    <t>NYSE</t>
  </si>
  <si>
    <t>NA</t>
  </si>
  <si>
    <t>AES</t>
  </si>
  <si>
    <t>NRG</t>
  </si>
  <si>
    <t>2016M02</t>
  </si>
  <si>
    <t>2016M03</t>
  </si>
  <si>
    <t>2016M04</t>
  </si>
  <si>
    <t>2016M05</t>
  </si>
  <si>
    <t>2016M06</t>
  </si>
  <si>
    <t>2016M07</t>
  </si>
  <si>
    <t>2016M08</t>
  </si>
  <si>
    <t>2016M09</t>
  </si>
  <si>
    <t>2016M10</t>
  </si>
  <si>
    <t>2016M11</t>
  </si>
  <si>
    <t>Change in op'g Assets + Liabilities</t>
  </si>
  <si>
    <t>CHGOPASLIAB</t>
  </si>
  <si>
    <t>Depreciation &amp; Amortization</t>
  </si>
  <si>
    <t>DEPAMORT</t>
  </si>
  <si>
    <t>Income Tax Expense</t>
  </si>
  <si>
    <t>INCTAX</t>
  </si>
  <si>
    <t>NETOPGFC + CHGOPASLIAB - AFUDC</t>
  </si>
  <si>
    <t>EBITDA</t>
  </si>
  <si>
    <t>RPSPA</t>
  </si>
  <si>
    <t>RPAAAAA</t>
  </si>
  <si>
    <t>RPMKT</t>
  </si>
  <si>
    <t>A PU</t>
  </si>
  <si>
    <t>Avg Aaa and Aa Corp</t>
  </si>
  <si>
    <t>Aa Corp</t>
  </si>
  <si>
    <t>Aaa Corp</t>
  </si>
  <si>
    <t>Ibbot LT RF</t>
  </si>
  <si>
    <t>S&amp;P Return</t>
  </si>
  <si>
    <t>Market Return</t>
  </si>
  <si>
    <t>(CPU title)</t>
  </si>
  <si>
    <t>User:</t>
  </si>
  <si>
    <t>(ROE model)</t>
  </si>
  <si>
    <t>Input Date:</t>
  </si>
  <si>
    <t>RP</t>
  </si>
  <si>
    <t>#N/A N/A</t>
  </si>
  <si>
    <t>A UN Equity</t>
  </si>
  <si>
    <t>AAL UW Equity</t>
  </si>
  <si>
    <t>AAL</t>
  </si>
  <si>
    <t>AAP UN Equity</t>
  </si>
  <si>
    <t>AAP</t>
  </si>
  <si>
    <t>AAPL UW Equity</t>
  </si>
  <si>
    <t>AAPL</t>
  </si>
  <si>
    <t>ABBV UN Equity</t>
  </si>
  <si>
    <t>ABBV</t>
  </si>
  <si>
    <t>ABC UN Equity</t>
  </si>
  <si>
    <t>ABT UN Equity</t>
  </si>
  <si>
    <t>ABT</t>
  </si>
  <si>
    <t>ACN UN Equity</t>
  </si>
  <si>
    <t>ACN</t>
  </si>
  <si>
    <t>ADBE UW Equity</t>
  </si>
  <si>
    <t>ADBE</t>
  </si>
  <si>
    <t>ADI UW Equity</t>
  </si>
  <si>
    <t>ADI</t>
  </si>
  <si>
    <t>ADM UN Equity</t>
  </si>
  <si>
    <t>ADM</t>
  </si>
  <si>
    <t>ADP UW Equity</t>
  </si>
  <si>
    <t>ADP</t>
  </si>
  <si>
    <t>ADSK UW Equity</t>
  </si>
  <si>
    <t>ADSK</t>
  </si>
  <si>
    <t>AEE UN Equity</t>
  </si>
  <si>
    <t>AEP UN Equity</t>
  </si>
  <si>
    <t>AES UN Equity</t>
  </si>
  <si>
    <t>AFL UN Equity</t>
  </si>
  <si>
    <t>AFL</t>
  </si>
  <si>
    <t>AIG UN Equity</t>
  </si>
  <si>
    <t>AIG</t>
  </si>
  <si>
    <t>AIZ UN Equity</t>
  </si>
  <si>
    <t>AIZ</t>
  </si>
  <si>
    <t>AJG UN Equity</t>
  </si>
  <si>
    <t>AJG</t>
  </si>
  <si>
    <t>AKAM UW Equity</t>
  </si>
  <si>
    <t>AKAM</t>
  </si>
  <si>
    <t>ALB UN Equity</t>
  </si>
  <si>
    <t>ALB</t>
  </si>
  <si>
    <t>ALK UN Equity</t>
  </si>
  <si>
    <t>ALK</t>
  </si>
  <si>
    <t>ALL UN Equity</t>
  </si>
  <si>
    <t>ALL</t>
  </si>
  <si>
    <t>ALLE UN Equity</t>
  </si>
  <si>
    <t>ALLE</t>
  </si>
  <si>
    <t>AMAT UW Equity</t>
  </si>
  <si>
    <t>AMAT</t>
  </si>
  <si>
    <t>AME UN Equity</t>
  </si>
  <si>
    <t>AME</t>
  </si>
  <si>
    <t>AMGN UW Equity</t>
  </si>
  <si>
    <t>AMGN</t>
  </si>
  <si>
    <t>AMP UN Equity</t>
  </si>
  <si>
    <t>AMP</t>
  </si>
  <si>
    <t>AMT UN Equity</t>
  </si>
  <si>
    <t>AMT</t>
  </si>
  <si>
    <t>AMZN UW Equity</t>
  </si>
  <si>
    <t>AMZN</t>
  </si>
  <si>
    <t>AON UN Equity</t>
  </si>
  <si>
    <t>AON</t>
  </si>
  <si>
    <t>APA</t>
  </si>
  <si>
    <t>APD UN Equity</t>
  </si>
  <si>
    <t>APD</t>
  </si>
  <si>
    <t>APH UN Equity</t>
  </si>
  <si>
    <t>APH</t>
  </si>
  <si>
    <t>ATVI UW Equity</t>
  </si>
  <si>
    <t>ATVI</t>
  </si>
  <si>
    <t>AVB UN Equity</t>
  </si>
  <si>
    <t>AVB</t>
  </si>
  <si>
    <t>AVGO UW Equity</t>
  </si>
  <si>
    <t>AVGO</t>
  </si>
  <si>
    <t>AVY UN Equity</t>
  </si>
  <si>
    <t>AVY</t>
  </si>
  <si>
    <t>AWK UN Equity</t>
  </si>
  <si>
    <t>AXP UN Equity</t>
  </si>
  <si>
    <t>AXP</t>
  </si>
  <si>
    <t>AZO UN Equity</t>
  </si>
  <si>
    <t>AZO</t>
  </si>
  <si>
    <t>BA UN Equity</t>
  </si>
  <si>
    <t>BA</t>
  </si>
  <si>
    <t>BAC UN Equity</t>
  </si>
  <si>
    <t>BAC</t>
  </si>
  <si>
    <t>BAX UN Equity</t>
  </si>
  <si>
    <t>BAX</t>
  </si>
  <si>
    <t>BBY UN Equity</t>
  </si>
  <si>
    <t>BBY</t>
  </si>
  <si>
    <t>BDX UN Equity</t>
  </si>
  <si>
    <t>BDX</t>
  </si>
  <si>
    <t>BEN UN Equity</t>
  </si>
  <si>
    <t>BEN</t>
  </si>
  <si>
    <t>BF/B UN Equity</t>
  </si>
  <si>
    <t>BF/B</t>
  </si>
  <si>
    <t>BIIB UW Equity</t>
  </si>
  <si>
    <t>BIIB</t>
  </si>
  <si>
    <t>BK UN Equity</t>
  </si>
  <si>
    <t>BK</t>
  </si>
  <si>
    <t>BLK UN Equity</t>
  </si>
  <si>
    <t>BLK</t>
  </si>
  <si>
    <t>BMY UN Equity</t>
  </si>
  <si>
    <t>BMY</t>
  </si>
  <si>
    <t>BRK/B UN Equity</t>
  </si>
  <si>
    <t>BRK/B</t>
  </si>
  <si>
    <t>BSX UN Equity</t>
  </si>
  <si>
    <t>BSX</t>
  </si>
  <si>
    <t>BWA UN Equity</t>
  </si>
  <si>
    <t>BWA</t>
  </si>
  <si>
    <t>BXP UN Equity</t>
  </si>
  <si>
    <t>BXP</t>
  </si>
  <si>
    <t>C UN Equity</t>
  </si>
  <si>
    <t>C</t>
  </si>
  <si>
    <t>CAG UN Equity</t>
  </si>
  <si>
    <t>CAH UN Equity</t>
  </si>
  <si>
    <t>CAH</t>
  </si>
  <si>
    <t>CAT UN Equity</t>
  </si>
  <si>
    <t>CAT</t>
  </si>
  <si>
    <t>CB UN Equity</t>
  </si>
  <si>
    <t>CB</t>
  </si>
  <si>
    <t>CCI UN Equity</t>
  </si>
  <si>
    <t>CCI</t>
  </si>
  <si>
    <t>CCL UN Equity</t>
  </si>
  <si>
    <t>CCL</t>
  </si>
  <si>
    <t>CF UN Equity</t>
  </si>
  <si>
    <t>CF</t>
  </si>
  <si>
    <t>CFG UN Equity</t>
  </si>
  <si>
    <t>CFG</t>
  </si>
  <si>
    <t>CHD UN Equity</t>
  </si>
  <si>
    <t>CHD</t>
  </si>
  <si>
    <t>CHRW UW Equity</t>
  </si>
  <si>
    <t>CHRW</t>
  </si>
  <si>
    <t>CHTR UW Equity</t>
  </si>
  <si>
    <t>CHTR</t>
  </si>
  <si>
    <t>CI UN Equity</t>
  </si>
  <si>
    <t>CI</t>
  </si>
  <si>
    <t>CINF UW Equity</t>
  </si>
  <si>
    <t>CINF</t>
  </si>
  <si>
    <t>CL UN Equity</t>
  </si>
  <si>
    <t>CL</t>
  </si>
  <si>
    <t>CLX UN Equity</t>
  </si>
  <si>
    <t>CLX</t>
  </si>
  <si>
    <t>CMA UN Equity</t>
  </si>
  <si>
    <t>CMA</t>
  </si>
  <si>
    <t>CMCSA UW Equity</t>
  </si>
  <si>
    <t>CMCSA</t>
  </si>
  <si>
    <t>CME UW Equity</t>
  </si>
  <si>
    <t>CME</t>
  </si>
  <si>
    <t>CMG UN Equity</t>
  </si>
  <si>
    <t>CMG</t>
  </si>
  <si>
    <t>CMI UN Equity</t>
  </si>
  <si>
    <t>CMI</t>
  </si>
  <si>
    <t>CMS UN Equity</t>
  </si>
  <si>
    <t>CNC UN Equity</t>
  </si>
  <si>
    <t>CNC</t>
  </si>
  <si>
    <t>CNP UN Equity</t>
  </si>
  <si>
    <t>COF UN Equity</t>
  </si>
  <si>
    <t>COF</t>
  </si>
  <si>
    <t>COO UN Equity</t>
  </si>
  <si>
    <t>COO</t>
  </si>
  <si>
    <t>COP UN Equity</t>
  </si>
  <si>
    <t>COP</t>
  </si>
  <si>
    <t>COST UW Equity</t>
  </si>
  <si>
    <t>COST</t>
  </si>
  <si>
    <t>CPB UN Equity</t>
  </si>
  <si>
    <t>CPB</t>
  </si>
  <si>
    <t>CRM UN Equity</t>
  </si>
  <si>
    <t>CRM</t>
  </si>
  <si>
    <t>CSCO UW Equity</t>
  </si>
  <si>
    <t>CSCO</t>
  </si>
  <si>
    <t>CSX UW Equity</t>
  </si>
  <si>
    <t>CSX</t>
  </si>
  <si>
    <t>CTAS UW Equity</t>
  </si>
  <si>
    <t>CTAS</t>
  </si>
  <si>
    <t>CTSH UW Equity</t>
  </si>
  <si>
    <t>CTSH</t>
  </si>
  <si>
    <t>CVS UN Equity</t>
  </si>
  <si>
    <t>CVS</t>
  </si>
  <si>
    <t>CVX UN Equity</t>
  </si>
  <si>
    <t>CVX</t>
  </si>
  <si>
    <t>D UN Equity</t>
  </si>
  <si>
    <t>DAL UN Equity</t>
  </si>
  <si>
    <t>DAL</t>
  </si>
  <si>
    <t>DE UN Equity</t>
  </si>
  <si>
    <t>DE</t>
  </si>
  <si>
    <t>DFS UN Equity</t>
  </si>
  <si>
    <t>DFS</t>
  </si>
  <si>
    <t>DG UN Equity</t>
  </si>
  <si>
    <t>DG</t>
  </si>
  <si>
    <t>DGX UN Equity</t>
  </si>
  <si>
    <t>DGX</t>
  </si>
  <si>
    <t>DHI UN Equity</t>
  </si>
  <si>
    <t>DHI</t>
  </si>
  <si>
    <t>DHR UN Equity</t>
  </si>
  <si>
    <t>DHR</t>
  </si>
  <si>
    <t>DIS UN Equity</t>
  </si>
  <si>
    <t>DIS</t>
  </si>
  <si>
    <t>DLR UN Equity</t>
  </si>
  <si>
    <t>DLR</t>
  </si>
  <si>
    <t>DLTR UW Equity</t>
  </si>
  <si>
    <t>DLTR</t>
  </si>
  <si>
    <t>DOV UN Equity</t>
  </si>
  <si>
    <t>DOV</t>
  </si>
  <si>
    <t>DRI UN Equity</t>
  </si>
  <si>
    <t>DRI</t>
  </si>
  <si>
    <t>DTE UN Equity</t>
  </si>
  <si>
    <t>DUK UN Equity</t>
  </si>
  <si>
    <t>DVA UN Equity</t>
  </si>
  <si>
    <t>DVA</t>
  </si>
  <si>
    <t>DVN UN Equity</t>
  </si>
  <si>
    <t>DVN</t>
  </si>
  <si>
    <t>EA UW Equity</t>
  </si>
  <si>
    <t>EA</t>
  </si>
  <si>
    <t>EBAY UW Equity</t>
  </si>
  <si>
    <t>EBAY</t>
  </si>
  <si>
    <t>ECL UN Equity</t>
  </si>
  <si>
    <t>ECL</t>
  </si>
  <si>
    <t>ED UN Equity</t>
  </si>
  <si>
    <t>EFX UN Equity</t>
  </si>
  <si>
    <t>EFX</t>
  </si>
  <si>
    <t>EIX UN Equity</t>
  </si>
  <si>
    <t>EL UN Equity</t>
  </si>
  <si>
    <t>EL</t>
  </si>
  <si>
    <t>EMN UN Equity</t>
  </si>
  <si>
    <t>EMN</t>
  </si>
  <si>
    <t>EMR UN Equity</t>
  </si>
  <si>
    <t>EMR</t>
  </si>
  <si>
    <t>EOG UN Equity</t>
  </si>
  <si>
    <t>EOG</t>
  </si>
  <si>
    <t>EQIX UW Equity</t>
  </si>
  <si>
    <t>EQIX</t>
  </si>
  <si>
    <t>EQR UN Equity</t>
  </si>
  <si>
    <t>EQR</t>
  </si>
  <si>
    <t>ES UN Equity</t>
  </si>
  <si>
    <t>ESS UN Equity</t>
  </si>
  <si>
    <t>ESS</t>
  </si>
  <si>
    <t>ETN UN Equity</t>
  </si>
  <si>
    <t>ETN</t>
  </si>
  <si>
    <t>ETR UN Equity</t>
  </si>
  <si>
    <t>EW UN Equity</t>
  </si>
  <si>
    <t>EW</t>
  </si>
  <si>
    <t>EXPD UW Equity</t>
  </si>
  <si>
    <t>EXPD</t>
  </si>
  <si>
    <t>EXPE UW Equity</t>
  </si>
  <si>
    <t>EXPE</t>
  </si>
  <si>
    <t>EXR UN Equity</t>
  </si>
  <si>
    <t>EXR</t>
  </si>
  <si>
    <t>F UN Equity</t>
  </si>
  <si>
    <t>F</t>
  </si>
  <si>
    <t>FAST UW Equity</t>
  </si>
  <si>
    <t>FAST</t>
  </si>
  <si>
    <t>FCX UN Equity</t>
  </si>
  <si>
    <t>FCX</t>
  </si>
  <si>
    <t>FDX UN Equity</t>
  </si>
  <si>
    <t>FDX</t>
  </si>
  <si>
    <t>FE UN Equity</t>
  </si>
  <si>
    <t>FFIV UW Equity</t>
  </si>
  <si>
    <t>FFIV</t>
  </si>
  <si>
    <t>FIS UN Equity</t>
  </si>
  <si>
    <t>FIS</t>
  </si>
  <si>
    <t>FISV UW Equity</t>
  </si>
  <si>
    <t>FISV</t>
  </si>
  <si>
    <t>FITB UW Equity</t>
  </si>
  <si>
    <t>FITB</t>
  </si>
  <si>
    <t>FMC UN Equity</t>
  </si>
  <si>
    <t>FMC</t>
  </si>
  <si>
    <t>FRT UN Equity</t>
  </si>
  <si>
    <t>FRT</t>
  </si>
  <si>
    <t>FTV UN Equity</t>
  </si>
  <si>
    <t>FTV</t>
  </si>
  <si>
    <t>GD UN Equity</t>
  </si>
  <si>
    <t>GD</t>
  </si>
  <si>
    <t>GE UN Equity</t>
  </si>
  <si>
    <t>GE</t>
  </si>
  <si>
    <t>GILD UW Equity</t>
  </si>
  <si>
    <t>GILD</t>
  </si>
  <si>
    <t>GIS UN Equity</t>
  </si>
  <si>
    <t>GIS</t>
  </si>
  <si>
    <t>GLW UN Equity</t>
  </si>
  <si>
    <t>GLW</t>
  </si>
  <si>
    <t>GM UN Equity</t>
  </si>
  <si>
    <t>GM</t>
  </si>
  <si>
    <t>GPC UN Equity</t>
  </si>
  <si>
    <t>GPC</t>
  </si>
  <si>
    <t>GPN UN Equity</t>
  </si>
  <si>
    <t>GPN</t>
  </si>
  <si>
    <t>GRMN</t>
  </si>
  <si>
    <t>GS UN Equity</t>
  </si>
  <si>
    <t>GS</t>
  </si>
  <si>
    <t>GWW UN Equity</t>
  </si>
  <si>
    <t>GWW</t>
  </si>
  <si>
    <t>HAL UN Equity</t>
  </si>
  <si>
    <t>HAL</t>
  </si>
  <si>
    <t>HAS UW Equity</t>
  </si>
  <si>
    <t>HAS</t>
  </si>
  <si>
    <t>HBAN UW Equity</t>
  </si>
  <si>
    <t>HBAN</t>
  </si>
  <si>
    <t>HCA UN Equity</t>
  </si>
  <si>
    <t>HCA</t>
  </si>
  <si>
    <t>HD UN Equity</t>
  </si>
  <si>
    <t>HD</t>
  </si>
  <si>
    <t>HES UN Equity</t>
  </si>
  <si>
    <t>HES</t>
  </si>
  <si>
    <t>HIG UN Equity</t>
  </si>
  <si>
    <t>HIG</t>
  </si>
  <si>
    <t>HOLX UW Equity</t>
  </si>
  <si>
    <t>HOLX</t>
  </si>
  <si>
    <t>HON</t>
  </si>
  <si>
    <t>HPE UN Equity</t>
  </si>
  <si>
    <t>HPE</t>
  </si>
  <si>
    <t>HPQ UN Equity</t>
  </si>
  <si>
    <t>HPQ</t>
  </si>
  <si>
    <t>HRL UN Equity</t>
  </si>
  <si>
    <t>HSIC UW Equity</t>
  </si>
  <si>
    <t>HSIC</t>
  </si>
  <si>
    <t>HST</t>
  </si>
  <si>
    <t>HSY UN Equity</t>
  </si>
  <si>
    <t>HSY</t>
  </si>
  <si>
    <t>HUM UN Equity</t>
  </si>
  <si>
    <t>HUM</t>
  </si>
  <si>
    <t>IBM UN Equity</t>
  </si>
  <si>
    <t>IBM</t>
  </si>
  <si>
    <t>ICE UN Equity</t>
  </si>
  <si>
    <t>ICE</t>
  </si>
  <si>
    <t>IFF UN Equity</t>
  </si>
  <si>
    <t>IFF</t>
  </si>
  <si>
    <t>ILMN UW Equity</t>
  </si>
  <si>
    <t>ILMN</t>
  </si>
  <si>
    <t>INTC UW Equity</t>
  </si>
  <si>
    <t>INTC</t>
  </si>
  <si>
    <t>INTU UW Equity</t>
  </si>
  <si>
    <t>INTU</t>
  </si>
  <si>
    <t>IP UN Equity</t>
  </si>
  <si>
    <t>IP</t>
  </si>
  <si>
    <t>IPG UN Equity</t>
  </si>
  <si>
    <t>IPG</t>
  </si>
  <si>
    <t>IR UN Equity</t>
  </si>
  <si>
    <t>IR</t>
  </si>
  <si>
    <t>IRM UN Equity</t>
  </si>
  <si>
    <t>IRM</t>
  </si>
  <si>
    <t>ISRG UW Equity</t>
  </si>
  <si>
    <t>ISRG</t>
  </si>
  <si>
    <t>ITW UN Equity</t>
  </si>
  <si>
    <t>ITW</t>
  </si>
  <si>
    <t>IVZ UN Equity</t>
  </si>
  <si>
    <t>IVZ</t>
  </si>
  <si>
    <t>JBHT UW Equity</t>
  </si>
  <si>
    <t>JBHT</t>
  </si>
  <si>
    <t>JCI UN Equity</t>
  </si>
  <si>
    <t>JCI</t>
  </si>
  <si>
    <t>JNJ UN Equity</t>
  </si>
  <si>
    <t>JNJ</t>
  </si>
  <si>
    <t>JNPR UN Equity</t>
  </si>
  <si>
    <t>JNPR</t>
  </si>
  <si>
    <t>JPM UN Equity</t>
  </si>
  <si>
    <t>JPM</t>
  </si>
  <si>
    <t>K UN Equity</t>
  </si>
  <si>
    <t>K</t>
  </si>
  <si>
    <t>KEY UN Equity</t>
  </si>
  <si>
    <t>KEY</t>
  </si>
  <si>
    <t>KHC UW Equity</t>
  </si>
  <si>
    <t>KHC</t>
  </si>
  <si>
    <t>KIM UN Equity</t>
  </si>
  <si>
    <t>KIM</t>
  </si>
  <si>
    <t>KLAC UW Equity</t>
  </si>
  <si>
    <t>KLAC</t>
  </si>
  <si>
    <t>KMB UN Equity</t>
  </si>
  <si>
    <t>KMB</t>
  </si>
  <si>
    <t>KMI UN Equity</t>
  </si>
  <si>
    <t>KMI</t>
  </si>
  <si>
    <t>KMX UN Equity</t>
  </si>
  <si>
    <t>KMX</t>
  </si>
  <si>
    <t>KO UN Equity</t>
  </si>
  <si>
    <t>KO</t>
  </si>
  <si>
    <t>KR UN Equity</t>
  </si>
  <si>
    <t>L UN Equity</t>
  </si>
  <si>
    <t>L</t>
  </si>
  <si>
    <t>LEN UN Equity</t>
  </si>
  <si>
    <t>LEN</t>
  </si>
  <si>
    <t>LH UN Equity</t>
  </si>
  <si>
    <t>LKQ UW Equity</t>
  </si>
  <si>
    <t>LKQ</t>
  </si>
  <si>
    <t>LLY UN Equity</t>
  </si>
  <si>
    <t>LMT UN Equity</t>
  </si>
  <si>
    <t>LMT</t>
  </si>
  <si>
    <t>LNC UN Equity</t>
  </si>
  <si>
    <t>LNC</t>
  </si>
  <si>
    <t>LOW UN Equity</t>
  </si>
  <si>
    <t>LOW</t>
  </si>
  <si>
    <t>LRCX UW Equity</t>
  </si>
  <si>
    <t>LRCX</t>
  </si>
  <si>
    <t>LUV UN Equity</t>
  </si>
  <si>
    <t>LUV</t>
  </si>
  <si>
    <t>LYB UN Equity</t>
  </si>
  <si>
    <t>LYB</t>
  </si>
  <si>
    <t>MA UN Equity</t>
  </si>
  <si>
    <t>MA</t>
  </si>
  <si>
    <t>MAR UW Equity</t>
  </si>
  <si>
    <t>MAR</t>
  </si>
  <si>
    <t>MAS UN Equity</t>
  </si>
  <si>
    <t>MAS</t>
  </si>
  <si>
    <t>MCD UN Equity</t>
  </si>
  <si>
    <t>MCD</t>
  </si>
  <si>
    <t>MCHP UW Equity</t>
  </si>
  <si>
    <t>MCHP</t>
  </si>
  <si>
    <t>MCK UN Equity</t>
  </si>
  <si>
    <t>MCO UN Equity</t>
  </si>
  <si>
    <t>MCO</t>
  </si>
  <si>
    <t>MDLZ UW Equity</t>
  </si>
  <si>
    <t>MDLZ</t>
  </si>
  <si>
    <t>MDT UN Equity</t>
  </si>
  <si>
    <t>MDT</t>
  </si>
  <si>
    <t>MET UN Equity</t>
  </si>
  <si>
    <t>MET</t>
  </si>
  <si>
    <t>MHK UN Equity</t>
  </si>
  <si>
    <t>MHK</t>
  </si>
  <si>
    <t>MKC UN Equity</t>
  </si>
  <si>
    <t>MKC</t>
  </si>
  <si>
    <t>MLM UN Equity</t>
  </si>
  <si>
    <t>MLM</t>
  </si>
  <si>
    <t>MMC UN Equity</t>
  </si>
  <si>
    <t>MMC</t>
  </si>
  <si>
    <t>MMM UN Equity</t>
  </si>
  <si>
    <t>MMM</t>
  </si>
  <si>
    <t>MNST UW Equity</t>
  </si>
  <si>
    <t>MNST</t>
  </si>
  <si>
    <t>MO UN Equity</t>
  </si>
  <si>
    <t>MO</t>
  </si>
  <si>
    <t>MOS UN Equity</t>
  </si>
  <si>
    <t>MOS</t>
  </si>
  <si>
    <t>MPC UN Equity</t>
  </si>
  <si>
    <t>MPC</t>
  </si>
  <si>
    <t>MRK UN Equity</t>
  </si>
  <si>
    <t>MRO UN Equity</t>
  </si>
  <si>
    <t>MRO</t>
  </si>
  <si>
    <t>MS UN Equity</t>
  </si>
  <si>
    <t>MS</t>
  </si>
  <si>
    <t>MSFT UW Equity</t>
  </si>
  <si>
    <t>MSFT</t>
  </si>
  <si>
    <t>MSI UN Equity</t>
  </si>
  <si>
    <t>MSI</t>
  </si>
  <si>
    <t>MTB UN Equity</t>
  </si>
  <si>
    <t>MTB</t>
  </si>
  <si>
    <t>MTD UN Equity</t>
  </si>
  <si>
    <t>MTD</t>
  </si>
  <si>
    <t>MU UW Equity</t>
  </si>
  <si>
    <t>MU</t>
  </si>
  <si>
    <t>NDAQ UW Equity</t>
  </si>
  <si>
    <t>NDAQ</t>
  </si>
  <si>
    <t>NEE UN Equity</t>
  </si>
  <si>
    <t>NEM UN Equity</t>
  </si>
  <si>
    <t>NEM</t>
  </si>
  <si>
    <t>NFLX UW Equity</t>
  </si>
  <si>
    <t>NFLX</t>
  </si>
  <si>
    <t>NI UN Equity</t>
  </si>
  <si>
    <t>NKE UN Equity</t>
  </si>
  <si>
    <t>NKE</t>
  </si>
  <si>
    <t>NOC UN Equity</t>
  </si>
  <si>
    <t>NOC</t>
  </si>
  <si>
    <t>NRG UN Equity</t>
  </si>
  <si>
    <t>NSC UN Equity</t>
  </si>
  <si>
    <t>NSC</t>
  </si>
  <si>
    <t>NTAP UW Equity</t>
  </si>
  <si>
    <t>NTAP</t>
  </si>
  <si>
    <t>NTRS UW Equity</t>
  </si>
  <si>
    <t>NTRS</t>
  </si>
  <si>
    <t>NUE UN Equity</t>
  </si>
  <si>
    <t>NUE</t>
  </si>
  <si>
    <t>NVDA UW Equity</t>
  </si>
  <si>
    <t>NVDA</t>
  </si>
  <si>
    <t>NWL</t>
  </si>
  <si>
    <t>O UN Equity</t>
  </si>
  <si>
    <t>O</t>
  </si>
  <si>
    <t>OKE UN Equity</t>
  </si>
  <si>
    <t>OKE</t>
  </si>
  <si>
    <t>OMC UN Equity</t>
  </si>
  <si>
    <t>OMC</t>
  </si>
  <si>
    <t>ORCL UN Equity</t>
  </si>
  <si>
    <t>ORCL</t>
  </si>
  <si>
    <t>ORLY UW Equity</t>
  </si>
  <si>
    <t>ORLY</t>
  </si>
  <si>
    <t>OXY UN Equity</t>
  </si>
  <si>
    <t>OXY</t>
  </si>
  <si>
    <t>PAYX UW Equity</t>
  </si>
  <si>
    <t>PAYX</t>
  </si>
  <si>
    <t>PCAR UW Equity</t>
  </si>
  <si>
    <t>PCAR</t>
  </si>
  <si>
    <t>PEG UN Equity</t>
  </si>
  <si>
    <t>PEP</t>
  </si>
  <si>
    <t>PFE UN Equity</t>
  </si>
  <si>
    <t>PFE</t>
  </si>
  <si>
    <t>PFG</t>
  </si>
  <si>
    <t>PG UN Equity</t>
  </si>
  <si>
    <t>PG</t>
  </si>
  <si>
    <t>PGR UN Equity</t>
  </si>
  <si>
    <t>PGR</t>
  </si>
  <si>
    <t>PH UN Equity</t>
  </si>
  <si>
    <t>PH</t>
  </si>
  <si>
    <t>PHM UN Equity</t>
  </si>
  <si>
    <t>PHM</t>
  </si>
  <si>
    <t>PKI UN Equity</t>
  </si>
  <si>
    <t>PKI</t>
  </si>
  <si>
    <t>PLD UN Equity</t>
  </si>
  <si>
    <t>PLD</t>
  </si>
  <si>
    <t>PM UN Equity</t>
  </si>
  <si>
    <t>PM</t>
  </si>
  <si>
    <t>PNC UN Equity</t>
  </si>
  <si>
    <t>PNC</t>
  </si>
  <si>
    <t>PNR UN Equity</t>
  </si>
  <si>
    <t>PNR</t>
  </si>
  <si>
    <t>PNW UN Equity</t>
  </si>
  <si>
    <t>PPG UN Equity</t>
  </si>
  <si>
    <t>PPG</t>
  </si>
  <si>
    <t>PPL UN Equity</t>
  </si>
  <si>
    <t>PRU UN Equity</t>
  </si>
  <si>
    <t>PRU</t>
  </si>
  <si>
    <t>PSA UN Equity</t>
  </si>
  <si>
    <t>PSA</t>
  </si>
  <si>
    <t>PSX UN Equity</t>
  </si>
  <si>
    <t>PSX</t>
  </si>
  <si>
    <t>PWR UN Equity</t>
  </si>
  <si>
    <t>PWR</t>
  </si>
  <si>
    <t>PXD UN Equity</t>
  </si>
  <si>
    <t>PXD</t>
  </si>
  <si>
    <t>PYPL UW Equity</t>
  </si>
  <si>
    <t>PYPL</t>
  </si>
  <si>
    <t>QCOM UW Equity</t>
  </si>
  <si>
    <t>QCOM</t>
  </si>
  <si>
    <t>QRVO UW Equity</t>
  </si>
  <si>
    <t>QRVO</t>
  </si>
  <si>
    <t>RCL UN Equity</t>
  </si>
  <si>
    <t>RCL</t>
  </si>
  <si>
    <t>REGN UW Equity</t>
  </si>
  <si>
    <t>REGN</t>
  </si>
  <si>
    <t>RF UN Equity</t>
  </si>
  <si>
    <t>RF</t>
  </si>
  <si>
    <t>RHI UN Equity</t>
  </si>
  <si>
    <t>RHI</t>
  </si>
  <si>
    <t>RL UN Equity</t>
  </si>
  <si>
    <t>RL</t>
  </si>
  <si>
    <t>ROK UN Equity</t>
  </si>
  <si>
    <t>ROK</t>
  </si>
  <si>
    <t>ROP UN Equity</t>
  </si>
  <si>
    <t>ROP</t>
  </si>
  <si>
    <t>ROST UW Equity</t>
  </si>
  <si>
    <t>ROST</t>
  </si>
  <si>
    <t>RSG UN Equity</t>
  </si>
  <si>
    <t>RSG</t>
  </si>
  <si>
    <t>SBUX UW Equity</t>
  </si>
  <si>
    <t>SBUX</t>
  </si>
  <si>
    <t>SCHW UN Equity</t>
  </si>
  <si>
    <t>SCHW</t>
  </si>
  <si>
    <t>SEE UN Equity</t>
  </si>
  <si>
    <t>SEE</t>
  </si>
  <si>
    <t>SHW UN Equity</t>
  </si>
  <si>
    <t>SJM UN Equity</t>
  </si>
  <si>
    <t>SJM</t>
  </si>
  <si>
    <t>SLB UN Equity</t>
  </si>
  <si>
    <t>SLB</t>
  </si>
  <si>
    <t>SNA UN Equity</t>
  </si>
  <si>
    <t>SNA</t>
  </si>
  <si>
    <t>SO UN Equity</t>
  </si>
  <si>
    <t>SPG UN Equity</t>
  </si>
  <si>
    <t>SPG</t>
  </si>
  <si>
    <t>SPGI UN Equity</t>
  </si>
  <si>
    <t>SPGI</t>
  </si>
  <si>
    <t>SRE UN Equity</t>
  </si>
  <si>
    <t>STT UN Equity</t>
  </si>
  <si>
    <t>STT</t>
  </si>
  <si>
    <t>STX UW Equity</t>
  </si>
  <si>
    <t>STX</t>
  </si>
  <si>
    <t>STZ UN Equity</t>
  </si>
  <si>
    <t>STZ</t>
  </si>
  <si>
    <t>SWK UN Equity</t>
  </si>
  <si>
    <t>SWK</t>
  </si>
  <si>
    <t>SWKS UW Equity</t>
  </si>
  <si>
    <t>SWKS</t>
  </si>
  <si>
    <t>SYF UN Equity</t>
  </si>
  <si>
    <t>SYF</t>
  </si>
  <si>
    <t>SYK UN Equity</t>
  </si>
  <si>
    <t>SYK</t>
  </si>
  <si>
    <t>SYY UN Equity</t>
  </si>
  <si>
    <t>SYY</t>
  </si>
  <si>
    <t>T UN Equity</t>
  </si>
  <si>
    <t>T</t>
  </si>
  <si>
    <t>TAP UN Equity</t>
  </si>
  <si>
    <t>TAP</t>
  </si>
  <si>
    <t>TDG UN Equity</t>
  </si>
  <si>
    <t>TDG</t>
  </si>
  <si>
    <t>TEL UN Equity</t>
  </si>
  <si>
    <t>TEL</t>
  </si>
  <si>
    <t>TGT UN Equity</t>
  </si>
  <si>
    <t>TJX UN Equity</t>
  </si>
  <si>
    <t>TMO UN Equity</t>
  </si>
  <si>
    <t>TMO</t>
  </si>
  <si>
    <t>TROW UW Equity</t>
  </si>
  <si>
    <t>TROW</t>
  </si>
  <si>
    <t>TRV UN Equity</t>
  </si>
  <si>
    <t>TRV</t>
  </si>
  <si>
    <t>TSCO UW Equity</t>
  </si>
  <si>
    <t>TSCO</t>
  </si>
  <si>
    <t>TSN UN Equity</t>
  </si>
  <si>
    <t>TSN</t>
  </si>
  <si>
    <t>TXN UW Equity</t>
  </si>
  <si>
    <t>TXN</t>
  </si>
  <si>
    <t>TXT UN Equity</t>
  </si>
  <si>
    <t>TXT</t>
  </si>
  <si>
    <t>UAL</t>
  </si>
  <si>
    <t>UDR UN Equity</t>
  </si>
  <si>
    <t>UDR</t>
  </si>
  <si>
    <t>UHS UN Equity</t>
  </si>
  <si>
    <t>UHS</t>
  </si>
  <si>
    <t>ULTA UW Equity</t>
  </si>
  <si>
    <t>ULTA</t>
  </si>
  <si>
    <t>UNH UN Equity</t>
  </si>
  <si>
    <t>UNH</t>
  </si>
  <si>
    <t>UNP UN Equity</t>
  </si>
  <si>
    <t>UNP</t>
  </si>
  <si>
    <t>UPS UN Equity</t>
  </si>
  <si>
    <t>UPS</t>
  </si>
  <si>
    <t>URI UN Equity</t>
  </si>
  <si>
    <t>URI</t>
  </si>
  <si>
    <t>USB UN Equity</t>
  </si>
  <si>
    <t>USB</t>
  </si>
  <si>
    <t>V UN Equity</t>
  </si>
  <si>
    <t>V</t>
  </si>
  <si>
    <t>VFC UN Equity</t>
  </si>
  <si>
    <t>VFC</t>
  </si>
  <si>
    <t>VLO UN Equity</t>
  </si>
  <si>
    <t>VLO</t>
  </si>
  <si>
    <t>VMC UN Equity</t>
  </si>
  <si>
    <t>VMC</t>
  </si>
  <si>
    <t>VNO UN Equity</t>
  </si>
  <si>
    <t>VNO</t>
  </si>
  <si>
    <t>VRSK UW Equity</t>
  </si>
  <si>
    <t>VRSN UW Equity</t>
  </si>
  <si>
    <t>VRSN</t>
  </si>
  <si>
    <t>VRTX UW Equity</t>
  </si>
  <si>
    <t>VRTX</t>
  </si>
  <si>
    <t>VTR UN Equity</t>
  </si>
  <si>
    <t>VTR</t>
  </si>
  <si>
    <t>VZ UN Equity</t>
  </si>
  <si>
    <t>VZ</t>
  </si>
  <si>
    <t>WAT UN Equity</t>
  </si>
  <si>
    <t>WAT</t>
  </si>
  <si>
    <t>WBA UW Equity</t>
  </si>
  <si>
    <t>WBA</t>
  </si>
  <si>
    <t>WDC UW Equity</t>
  </si>
  <si>
    <t>WDC</t>
  </si>
  <si>
    <t>WEC UN Equity</t>
  </si>
  <si>
    <t>WFC UN Equity</t>
  </si>
  <si>
    <t>WFC</t>
  </si>
  <si>
    <t>WHR UN Equity</t>
  </si>
  <si>
    <t>WHR</t>
  </si>
  <si>
    <t>WM UN Equity</t>
  </si>
  <si>
    <t>WM</t>
  </si>
  <si>
    <t>WMB UN Equity</t>
  </si>
  <si>
    <t>WMB</t>
  </si>
  <si>
    <t>WMT UN Equity</t>
  </si>
  <si>
    <t>WMT</t>
  </si>
  <si>
    <t>WRK UN Equity</t>
  </si>
  <si>
    <t>WRK</t>
  </si>
  <si>
    <t>WU</t>
  </si>
  <si>
    <t>WY UN Equity</t>
  </si>
  <si>
    <t>WY</t>
  </si>
  <si>
    <t>WYNN UW Equity</t>
  </si>
  <si>
    <t>WYNN</t>
  </si>
  <si>
    <t>XOM UN Equity</t>
  </si>
  <si>
    <t>XOM</t>
  </si>
  <si>
    <t>XRAY UW Equity</t>
  </si>
  <si>
    <t>XRAY</t>
  </si>
  <si>
    <t>XYL UN Equity</t>
  </si>
  <si>
    <t>XYL</t>
  </si>
  <si>
    <t>YUM UN Equity</t>
  </si>
  <si>
    <t>YUM</t>
  </si>
  <si>
    <t>ZBH UN Equity</t>
  </si>
  <si>
    <t>ZBH</t>
  </si>
  <si>
    <t>ZION UW Equity</t>
  </si>
  <si>
    <t>ZION</t>
  </si>
  <si>
    <t>ZTS UN Equity</t>
  </si>
  <si>
    <t>ZTS</t>
  </si>
  <si>
    <t>(7)</t>
  </si>
  <si>
    <t>SUMMARY OUTPUT</t>
  </si>
  <si>
    <t>Regression Statistics</t>
  </si>
  <si>
    <t>Mkt Annlized Return</t>
  </si>
  <si>
    <t>RF Annualized Yield</t>
  </si>
  <si>
    <t>AAAAA Annualized Yield</t>
  </si>
  <si>
    <t>MRP RP</t>
  </si>
  <si>
    <t>AAAAA RP</t>
  </si>
  <si>
    <t>S&amp;P U Annulized Yield</t>
  </si>
  <si>
    <t>A Annualized Yield</t>
  </si>
  <si>
    <t>SPA RP</t>
  </si>
  <si>
    <t>Multiple R</t>
  </si>
  <si>
    <t>R Square</t>
  </si>
  <si>
    <t>Adjusted R Square</t>
  </si>
  <si>
    <t>Standard Error</t>
  </si>
  <si>
    <t>Observations</t>
  </si>
  <si>
    <t>ANOVA</t>
  </si>
  <si>
    <t>df</t>
  </si>
  <si>
    <t>SS</t>
  </si>
  <si>
    <t>Significance F</t>
  </si>
  <si>
    <t>Regression</t>
  </si>
  <si>
    <t>Residual</t>
  </si>
  <si>
    <t>Coefficients</t>
  </si>
  <si>
    <t>t Stat</t>
  </si>
  <si>
    <t>P-value</t>
  </si>
  <si>
    <t>Lower 95%</t>
  </si>
  <si>
    <t>Upper 95%</t>
  </si>
  <si>
    <t>Lower 95.0%</t>
  </si>
  <si>
    <t>Upper 95.0%</t>
  </si>
  <si>
    <t>Intercept</t>
  </si>
  <si>
    <t>X Variable 1</t>
  </si>
  <si>
    <t>Risk-Free Rate</t>
  </si>
  <si>
    <t>AAA Bond</t>
  </si>
  <si>
    <t>A PU Bond</t>
  </si>
  <si>
    <t>9.</t>
  </si>
  <si>
    <t>Predictive Risk Premium Model (PRPM) (1)</t>
  </si>
  <si>
    <t>Column [5] + Column [6].</t>
  </si>
  <si>
    <t>2016M12</t>
  </si>
  <si>
    <t>Market 
Capitalization</t>
  </si>
  <si>
    <t>Weight in Index</t>
  </si>
  <si>
    <t>Estimated Dividend Yield</t>
  </si>
  <si>
    <t>Long-Term Growth Est.</t>
  </si>
  <si>
    <t>DCF Result</t>
  </si>
  <si>
    <t>Weighted
DCF Result</t>
  </si>
  <si>
    <t>MAA UN Equity</t>
  </si>
  <si>
    <t>MAA</t>
  </si>
  <si>
    <t>Total Market Capitalization:</t>
  </si>
  <si>
    <t>S&amp;P 500 Est. Required Market Return</t>
  </si>
  <si>
    <t>2017M01</t>
  </si>
  <si>
    <t>IDXX UW Equity</t>
  </si>
  <si>
    <t>IDXX</t>
  </si>
  <si>
    <t>Indicated Common Equity Cost Rate (1)</t>
  </si>
  <si>
    <t>VL Appr Potential Week Ending:</t>
  </si>
  <si>
    <t>Summary of Risk Premium Models for the</t>
  </si>
  <si>
    <t>Using the Beta for the</t>
  </si>
  <si>
    <t>Comparable in Total Risk to the</t>
  </si>
  <si>
    <t>DCF Results for the Proxy Group of Non-Price-Regulated Companies Comparable in Total Risk to the</t>
  </si>
  <si>
    <t>Traditional CAPM and ECAPM Results for the Proxy Group of Non-Price-Regulated Companies Comparable in Total Risk to the</t>
  </si>
  <si>
    <t>Notes to Accompany the Application of the CAPM and ECAPM</t>
  </si>
  <si>
    <t>2017M02</t>
  </si>
  <si>
    <t>2017M03</t>
  </si>
  <si>
    <t>AMD</t>
  </si>
  <si>
    <t>ARE UN Equity</t>
  </si>
  <si>
    <t>ARE</t>
  </si>
  <si>
    <t>CBOE</t>
  </si>
  <si>
    <t>DISH UW Equity</t>
  </si>
  <si>
    <t>DISH</t>
  </si>
  <si>
    <t>INCY UW Equity</t>
  </si>
  <si>
    <t>INCY</t>
  </si>
  <si>
    <t>REG</t>
  </si>
  <si>
    <t>RJF UN Equity</t>
  </si>
  <si>
    <t>RJF</t>
  </si>
  <si>
    <t>SNPS UW Equity</t>
  </si>
  <si>
    <t>SNPS</t>
  </si>
  <si>
    <t>Based on Value Line</t>
  </si>
  <si>
    <t>S&amp;P 500</t>
  </si>
  <si>
    <t>Market Capitalization</t>
  </si>
  <si>
    <t>Dividend Yield</t>
  </si>
  <si>
    <t>Projected EPS
Growth</t>
  </si>
  <si>
    <t>Weighted DCF</t>
  </si>
  <si>
    <t>Average of Value Line MRPs:</t>
  </si>
  <si>
    <t>Implied Equity Risk Premium</t>
  </si>
  <si>
    <t>Equity Risk Premium based on S&amp;P Utility Index Holding Period Returns (1):</t>
  </si>
  <si>
    <t>Derivation of Mean Equity Risk Premium Based Studies</t>
  </si>
  <si>
    <t>Projected Market Appreciation of the S&amp;P Utility Index</t>
  </si>
  <si>
    <t>Using Holding Period Returns and</t>
  </si>
  <si>
    <t>Value Line MRP Estimates:</t>
  </si>
  <si>
    <t>Measure 6: Bloomberg Projected MRP</t>
  </si>
  <si>
    <t>Projected Risk-Free Rate (see note 2):</t>
  </si>
  <si>
    <t>MRP based on Value Line data</t>
  </si>
  <si>
    <t>*Forcasted 3-5 year capital appreciation plus expected dividend yield</t>
  </si>
  <si>
    <t>Total projected return on the market 3-5 years hence*:</t>
  </si>
  <si>
    <t>Measure 5: Value Line Projected Return on the Market based on the S&amp;P 500</t>
  </si>
  <si>
    <t>Historical Data MRP Estimates:</t>
  </si>
  <si>
    <t xml:space="preserve"> Ticker </t>
  </si>
  <si>
    <t>DXC</t>
  </si>
  <si>
    <t>IT</t>
  </si>
  <si>
    <t>2017M04</t>
  </si>
  <si>
    <t>DXC UN Equity</t>
  </si>
  <si>
    <t>IT UN Equity</t>
  </si>
  <si>
    <t>2017M05</t>
  </si>
  <si>
    <t>2017M06</t>
  </si>
  <si>
    <t>2017M07</t>
  </si>
  <si>
    <t>PKG UN Equity</t>
  </si>
  <si>
    <t>PKG</t>
  </si>
  <si>
    <t>RE UN Equity</t>
  </si>
  <si>
    <t>RE</t>
  </si>
  <si>
    <t>RMD UN Equity</t>
  </si>
  <si>
    <t>RMD</t>
  </si>
  <si>
    <t>ANSS UW Equity</t>
  </si>
  <si>
    <t>ANSS</t>
  </si>
  <si>
    <t>MGM UN Equity</t>
  </si>
  <si>
    <t>MGM</t>
  </si>
  <si>
    <t>AOS UN Equity</t>
  </si>
  <si>
    <t>AOS</t>
  </si>
  <si>
    <t>HLT UN Equity</t>
  </si>
  <si>
    <t>HLT</t>
  </si>
  <si>
    <t>ALGN UW Equity</t>
  </si>
  <si>
    <t>ALGN</t>
  </si>
  <si>
    <t>% Total Mkt Cap</t>
  </si>
  <si>
    <t>Mkt Cap</t>
  </si>
  <si>
    <t>Div Yield</t>
  </si>
  <si>
    <t>LT EPS Growth</t>
  </si>
  <si>
    <t>DCF</t>
  </si>
  <si>
    <t>Wgtd DCF</t>
  </si>
  <si>
    <t>2017M08</t>
  </si>
  <si>
    <t>CDNS UW Equity</t>
  </si>
  <si>
    <t>CDNS</t>
  </si>
  <si>
    <t>NCLH</t>
  </si>
  <si>
    <t>SBAC UW Equity</t>
  </si>
  <si>
    <t>SBAC</t>
  </si>
  <si>
    <t>2017M09</t>
  </si>
  <si>
    <t>2017M10</t>
  </si>
  <si>
    <t>2017M11</t>
  </si>
  <si>
    <t>2017M12</t>
  </si>
  <si>
    <t>NR</t>
  </si>
  <si>
    <t>APTV</t>
  </si>
  <si>
    <t>HII</t>
  </si>
  <si>
    <t>IQV</t>
  </si>
  <si>
    <t>TPR</t>
  </si>
  <si>
    <t>APTV UN Equity</t>
  </si>
  <si>
    <t>HII UN Equity</t>
  </si>
  <si>
    <t>IQV UN Equity</t>
  </si>
  <si>
    <t>NCLH UN Equity</t>
  </si>
  <si>
    <t>PEP UW Equity</t>
  </si>
  <si>
    <t>PFG UW Equity</t>
  </si>
  <si>
    <t>TPR UN Equity</t>
  </si>
  <si>
    <t>XEL UW Equity</t>
  </si>
  <si>
    <t>BKNG UW Equity</t>
  </si>
  <si>
    <t>BKNG</t>
  </si>
  <si>
    <t>CBRE UN Equity</t>
  </si>
  <si>
    <t>CBRE</t>
  </si>
  <si>
    <t>SIVB UW Equity</t>
  </si>
  <si>
    <t>SIVB</t>
  </si>
  <si>
    <t>TTWO UW Equity</t>
  </si>
  <si>
    <t>TTWO</t>
  </si>
  <si>
    <t>WELL UN Equity</t>
  </si>
  <si>
    <t>WELL</t>
  </si>
  <si>
    <t>2018M01</t>
  </si>
  <si>
    <t>2018M02</t>
  </si>
  <si>
    <t>2018M03</t>
  </si>
  <si>
    <t xml:space="preserve">Closing Stock Market Price </t>
  </si>
  <si>
    <t>MSCI UN Equity</t>
  </si>
  <si>
    <t>MSCI</t>
  </si>
  <si>
    <t>2018M04</t>
  </si>
  <si>
    <t>2018M05</t>
  </si>
  <si>
    <t>Recommended Variance (2)</t>
  </si>
  <si>
    <t>Predicted Risk Premium (3)</t>
  </si>
  <si>
    <t>Risk-Free Rate (4)</t>
  </si>
  <si>
    <t>Conclusion of Equity Risk Premium</t>
  </si>
  <si>
    <t xml:space="preserve">Conclusion of Equity Risk Premium </t>
  </si>
  <si>
    <t>Average of lines 1 through 5.</t>
  </si>
  <si>
    <t>ATO</t>
  </si>
  <si>
    <t>EVRG</t>
  </si>
  <si>
    <t>Agilent Technologies Inc</t>
  </si>
  <si>
    <t>American Airlines Group Inc</t>
  </si>
  <si>
    <t>Advance Auto Parts Inc</t>
  </si>
  <si>
    <t>Apple Inc</t>
  </si>
  <si>
    <t>AbbVie Inc</t>
  </si>
  <si>
    <t>AmerisourceBergen Corp</t>
  </si>
  <si>
    <t>Abbott Laboratories</t>
  </si>
  <si>
    <t>Accenture PLC</t>
  </si>
  <si>
    <t>Adobe Inc</t>
  </si>
  <si>
    <t>Analog Devices Inc</t>
  </si>
  <si>
    <t>Archer-Daniels-Midland Co</t>
  </si>
  <si>
    <t>Automatic Data Processing Inc</t>
  </si>
  <si>
    <t>Autodesk Inc</t>
  </si>
  <si>
    <t>Ameren Corp</t>
  </si>
  <si>
    <t>American Electric Power Co Inc</t>
  </si>
  <si>
    <t>Aflac Inc</t>
  </si>
  <si>
    <t>American International Group Inc</t>
  </si>
  <si>
    <t>Assurant Inc</t>
  </si>
  <si>
    <t>Arthur J Gallagher &amp; Co</t>
  </si>
  <si>
    <t>Akamai Technologies Inc</t>
  </si>
  <si>
    <t>Albemarle Corp</t>
  </si>
  <si>
    <t>Align Technology Inc</t>
  </si>
  <si>
    <t>Alaska Air Group Inc</t>
  </si>
  <si>
    <t>Allstate Corp/The</t>
  </si>
  <si>
    <t>Applied Materials Inc</t>
  </si>
  <si>
    <t>AMD UW Equity</t>
  </si>
  <si>
    <t>Advanced Micro Devices Inc</t>
  </si>
  <si>
    <t>AMETEK Inc</t>
  </si>
  <si>
    <t>Amgen Inc</t>
  </si>
  <si>
    <t>Ameriprise Financial Inc</t>
  </si>
  <si>
    <t>American Tower Corp</t>
  </si>
  <si>
    <t>Amazon.com Inc</t>
  </si>
  <si>
    <t>ANET UN Equity</t>
  </si>
  <si>
    <t>Arista Networks Inc</t>
  </si>
  <si>
    <t>ANET</t>
  </si>
  <si>
    <t>ANSYS Inc</t>
  </si>
  <si>
    <t>Aon PLC</t>
  </si>
  <si>
    <t>Amphenol Corp</t>
  </si>
  <si>
    <t>Aptiv PLC</t>
  </si>
  <si>
    <t>Alexandria Real Estate Equities Inc</t>
  </si>
  <si>
    <t>ATO UN Equity</t>
  </si>
  <si>
    <t>Atmos Energy Corp</t>
  </si>
  <si>
    <t>Activision Blizzard Inc</t>
  </si>
  <si>
    <t>AvalonBay Communities Inc</t>
  </si>
  <si>
    <t>Broadcom Inc</t>
  </si>
  <si>
    <t>Avery Dennison Corp</t>
  </si>
  <si>
    <t>American Water Works Co Inc</t>
  </si>
  <si>
    <t>American Express Co</t>
  </si>
  <si>
    <t>AutoZone Inc</t>
  </si>
  <si>
    <t>Boeing Co/The</t>
  </si>
  <si>
    <t>Bank of America Corp</t>
  </si>
  <si>
    <t>Baxter International Inc</t>
  </si>
  <si>
    <t>Best Buy Co Inc</t>
  </si>
  <si>
    <t>Becton Dickinson and Co</t>
  </si>
  <si>
    <t>Franklin Resources Inc</t>
  </si>
  <si>
    <t>Brown-Forman Corp</t>
  </si>
  <si>
    <t>Biogen Inc</t>
  </si>
  <si>
    <t>Bank of New York Mellon Corp/The</t>
  </si>
  <si>
    <t>Booking Holdings Inc</t>
  </si>
  <si>
    <t>BlackRock Inc</t>
  </si>
  <si>
    <t>Ball Corp</t>
  </si>
  <si>
    <t>Bristol-Myers Squibb Co</t>
  </si>
  <si>
    <t>BR UN Equity</t>
  </si>
  <si>
    <t>Broadridge Financial Solutions Inc</t>
  </si>
  <si>
    <t>BR</t>
  </si>
  <si>
    <t>Berkshire Hathaway Inc</t>
  </si>
  <si>
    <t>Boston Scientific Corp</t>
  </si>
  <si>
    <t>BorgWarner Inc</t>
  </si>
  <si>
    <t>Boston Properties Inc</t>
  </si>
  <si>
    <t>Citigroup Inc</t>
  </si>
  <si>
    <t>Conagra Brands Inc</t>
  </si>
  <si>
    <t>Cardinal Health Inc</t>
  </si>
  <si>
    <t>Caterpillar Inc</t>
  </si>
  <si>
    <t>Chubb Ltd</t>
  </si>
  <si>
    <t>CBOE UF Equity</t>
  </si>
  <si>
    <t>Cboe Global Markets Inc</t>
  </si>
  <si>
    <t>CBRE Group Inc</t>
  </si>
  <si>
    <t>Carnival Corp</t>
  </si>
  <si>
    <t>Cadence Design Systems Inc</t>
  </si>
  <si>
    <t>CE UN Equity</t>
  </si>
  <si>
    <t>Celanese Corp</t>
  </si>
  <si>
    <t>CE</t>
  </si>
  <si>
    <t>CF Industries Holdings Inc</t>
  </si>
  <si>
    <t>Citizens Financial Group Inc</t>
  </si>
  <si>
    <t>Church &amp; Dwight Co Inc</t>
  </si>
  <si>
    <t>CH Robinson Worldwide Inc</t>
  </si>
  <si>
    <t>Charter Communications Inc</t>
  </si>
  <si>
    <t>Cigna Corp</t>
  </si>
  <si>
    <t>Cincinnati Financial Corp</t>
  </si>
  <si>
    <t>Colgate-Palmolive Co</t>
  </si>
  <si>
    <t>Clorox Co/The</t>
  </si>
  <si>
    <t>Comerica Inc</t>
  </si>
  <si>
    <t>Comcast Corp</t>
  </si>
  <si>
    <t>CME Group Inc</t>
  </si>
  <si>
    <t>Chipotle Mexican Grill Inc</t>
  </si>
  <si>
    <t>Cummins Inc</t>
  </si>
  <si>
    <t>CMS Energy Corp</t>
  </si>
  <si>
    <t>Centene Corp</t>
  </si>
  <si>
    <t>CenterPoint Energy Inc</t>
  </si>
  <si>
    <t>Capital One Financial Corp</t>
  </si>
  <si>
    <t>Cooper Cos Inc/The</t>
  </si>
  <si>
    <t>ConocoPhillips</t>
  </si>
  <si>
    <t>Costco Wholesale Corp</t>
  </si>
  <si>
    <t>Campbell Soup Co</t>
  </si>
  <si>
    <t>CPRT UW Equity</t>
  </si>
  <si>
    <t>Copart Inc</t>
  </si>
  <si>
    <t>CPRT</t>
  </si>
  <si>
    <t>CSX Corp</t>
  </si>
  <si>
    <t>Cintas Corp</t>
  </si>
  <si>
    <t>Cognizant Technology Solutions Corp</t>
  </si>
  <si>
    <t>CVS Health Corp</t>
  </si>
  <si>
    <t>Chevron Corp</t>
  </si>
  <si>
    <t>Dominion Energy Inc</t>
  </si>
  <si>
    <t>Delta Air Lines Inc</t>
  </si>
  <si>
    <t>Deere &amp; Co</t>
  </si>
  <si>
    <t>Discover Financial Services</t>
  </si>
  <si>
    <t>Dollar General Corp</t>
  </si>
  <si>
    <t>Quest Diagnostics Inc</t>
  </si>
  <si>
    <t>DR Horton Inc</t>
  </si>
  <si>
    <t>Danaher Corp</t>
  </si>
  <si>
    <t>Walt Disney Co/The</t>
  </si>
  <si>
    <t>DISH Network Corp</t>
  </si>
  <si>
    <t>Digital Realty Trust Inc</t>
  </si>
  <si>
    <t>Dollar Tree Inc</t>
  </si>
  <si>
    <t>Dover Corp</t>
  </si>
  <si>
    <t>DOW UN Equity</t>
  </si>
  <si>
    <t>Dow Inc</t>
  </si>
  <si>
    <t>DOW</t>
  </si>
  <si>
    <t>Darden Restaurants Inc</t>
  </si>
  <si>
    <t>DTE Energy Co</t>
  </si>
  <si>
    <t>Duke Energy Corp</t>
  </si>
  <si>
    <t>DaVita Inc</t>
  </si>
  <si>
    <t>Devon Energy Corp</t>
  </si>
  <si>
    <t>DXC Technology Co</t>
  </si>
  <si>
    <t>Electronic Arts Inc</t>
  </si>
  <si>
    <t>eBay Inc</t>
  </si>
  <si>
    <t>Ecolab Inc</t>
  </si>
  <si>
    <t>Consolidated Edison Inc</t>
  </si>
  <si>
    <t>Equifax Inc</t>
  </si>
  <si>
    <t>Edison International</t>
  </si>
  <si>
    <t>Estee Lauder Cos Inc/The</t>
  </si>
  <si>
    <t>Eastman Chemical Co</t>
  </si>
  <si>
    <t>Emerson Electric Co</t>
  </si>
  <si>
    <t>EOG Resources Inc</t>
  </si>
  <si>
    <t>Equinix Inc</t>
  </si>
  <si>
    <t>Equity Residential</t>
  </si>
  <si>
    <t>Eversource Energy</t>
  </si>
  <si>
    <t>Essex Property Trust Inc</t>
  </si>
  <si>
    <t>Eaton Corp PLC</t>
  </si>
  <si>
    <t>Entergy Corp</t>
  </si>
  <si>
    <t>EVRG UN Equity</t>
  </si>
  <si>
    <t>Evergy Inc</t>
  </si>
  <si>
    <t>Edwards Lifesciences Corp</t>
  </si>
  <si>
    <t>Exelon Corp</t>
  </si>
  <si>
    <t>Expedia Group Inc</t>
  </si>
  <si>
    <t>Extra Space Storage Inc</t>
  </si>
  <si>
    <t>Ford Motor Co</t>
  </si>
  <si>
    <t>FANG UW Equity</t>
  </si>
  <si>
    <t>Diamondback Energy Inc</t>
  </si>
  <si>
    <t>FANG</t>
  </si>
  <si>
    <t>Fastenal Co</t>
  </si>
  <si>
    <t>Freeport-McMoRan Inc</t>
  </si>
  <si>
    <t>FedEx Corp</t>
  </si>
  <si>
    <t>FirstEnergy Corp</t>
  </si>
  <si>
    <t>Fiserv Inc</t>
  </si>
  <si>
    <t>Fifth Third Bancorp</t>
  </si>
  <si>
    <t>FLT UN Equity</t>
  </si>
  <si>
    <t>FleetCor Technologies Inc</t>
  </si>
  <si>
    <t>FLT</t>
  </si>
  <si>
    <t>FMC Corp</t>
  </si>
  <si>
    <t>Fox Corp</t>
  </si>
  <si>
    <t>FRC UN Equity</t>
  </si>
  <si>
    <t>First Republic Bank/CA</t>
  </si>
  <si>
    <t>FRC</t>
  </si>
  <si>
    <t>Federal Realty Investment Trust</t>
  </si>
  <si>
    <t>FTNT UW Equity</t>
  </si>
  <si>
    <t>Fortinet Inc</t>
  </si>
  <si>
    <t>FTNT</t>
  </si>
  <si>
    <t>Fortive Corp</t>
  </si>
  <si>
    <t>General Dynamics Corp</t>
  </si>
  <si>
    <t>General Electric Co</t>
  </si>
  <si>
    <t>Gilead Sciences Inc</t>
  </si>
  <si>
    <t>General Mills Inc</t>
  </si>
  <si>
    <t>Corning Inc</t>
  </si>
  <si>
    <t>General Motors Co</t>
  </si>
  <si>
    <t>Alphabet Inc</t>
  </si>
  <si>
    <t>Genuine Parts Co</t>
  </si>
  <si>
    <t>Global Payments Inc</t>
  </si>
  <si>
    <t>Garmin Ltd</t>
  </si>
  <si>
    <t>Goldman Sachs Group Inc/The</t>
  </si>
  <si>
    <t>WW Grainger Inc</t>
  </si>
  <si>
    <t>Halliburton Co</t>
  </si>
  <si>
    <t>Hasbro Inc</t>
  </si>
  <si>
    <t>Huntington Bancshares Inc/OH</t>
  </si>
  <si>
    <t>HCA Healthcare Inc</t>
  </si>
  <si>
    <t>Home Depot Inc/The</t>
  </si>
  <si>
    <t>Hess Corp</t>
  </si>
  <si>
    <t>Huntington Ingalls Industries Inc</t>
  </si>
  <si>
    <t>Hilton Worldwide Holdings Inc</t>
  </si>
  <si>
    <t>Hologic Inc</t>
  </si>
  <si>
    <t>Honeywell International Inc</t>
  </si>
  <si>
    <t>Hewlett Packard Enterprise Co</t>
  </si>
  <si>
    <t>HP Inc</t>
  </si>
  <si>
    <t>Hormel Foods Corp</t>
  </si>
  <si>
    <t>Henry Schein Inc</t>
  </si>
  <si>
    <t>Host Hotels &amp; Resorts Inc</t>
  </si>
  <si>
    <t>Hershey Co/The</t>
  </si>
  <si>
    <t>Humana Inc</t>
  </si>
  <si>
    <t>International Business Machines Corp</t>
  </si>
  <si>
    <t>Intercontinental Exchange Inc</t>
  </si>
  <si>
    <t>IDEXX Laboratories Inc</t>
  </si>
  <si>
    <t>International Flavors &amp; Fragrances Inc</t>
  </si>
  <si>
    <t>Illumina Inc</t>
  </si>
  <si>
    <t>Incyte Corp</t>
  </si>
  <si>
    <t>Intel Corp</t>
  </si>
  <si>
    <t>Intuit Inc</t>
  </si>
  <si>
    <t>International Paper Co</t>
  </si>
  <si>
    <t>Interpublic Group of Cos Inc/The</t>
  </si>
  <si>
    <t>IQVIA Holdings Inc</t>
  </si>
  <si>
    <t>Iron Mountain Inc</t>
  </si>
  <si>
    <t>Intuitive Surgical Inc</t>
  </si>
  <si>
    <t>Gartner Inc</t>
  </si>
  <si>
    <t>Illinois Tool Works Inc</t>
  </si>
  <si>
    <t>Invesco Ltd</t>
  </si>
  <si>
    <t>JB Hunt Transport Services Inc</t>
  </si>
  <si>
    <t>Johnson Controls International plc</t>
  </si>
  <si>
    <t>JKHY UW Equity</t>
  </si>
  <si>
    <t>Jack Henry &amp; Associates Inc</t>
  </si>
  <si>
    <t>JKHY</t>
  </si>
  <si>
    <t>Johnson &amp; Johnson</t>
  </si>
  <si>
    <t>Juniper Networks Inc</t>
  </si>
  <si>
    <t>JPMorgan Chase &amp; Co</t>
  </si>
  <si>
    <t>Kellogg Co</t>
  </si>
  <si>
    <t>KeyCorp</t>
  </si>
  <si>
    <t>KEYS UN Equity</t>
  </si>
  <si>
    <t>Keysight Technologies Inc</t>
  </si>
  <si>
    <t>KEYS</t>
  </si>
  <si>
    <t>Kraft Heinz Co/The</t>
  </si>
  <si>
    <t>Kimco Realty Corp</t>
  </si>
  <si>
    <t>Kimberly-Clark Corp</t>
  </si>
  <si>
    <t>CarMax Inc</t>
  </si>
  <si>
    <t>Coca-Cola Co/The</t>
  </si>
  <si>
    <t>Kroger Co/The</t>
  </si>
  <si>
    <t>Loews Corp</t>
  </si>
  <si>
    <t>Lennar Corp</t>
  </si>
  <si>
    <t>Laboratory Corp of America Holdings</t>
  </si>
  <si>
    <t>LIN UN Equity</t>
  </si>
  <si>
    <t>Linde PLC</t>
  </si>
  <si>
    <t>LIN</t>
  </si>
  <si>
    <t>LKQ Corp</t>
  </si>
  <si>
    <t>Lockheed Martin Corp</t>
  </si>
  <si>
    <t>Lincoln National Corp</t>
  </si>
  <si>
    <t>LNT UW Equity</t>
  </si>
  <si>
    <t>Alliant Energy Corp</t>
  </si>
  <si>
    <t>Lowe's Cos Inc</t>
  </si>
  <si>
    <t>Lam Research Corp</t>
  </si>
  <si>
    <t>Southwest Airlines Co</t>
  </si>
  <si>
    <t>LW UN Equity</t>
  </si>
  <si>
    <t>Lamb Weston Holdings Inc</t>
  </si>
  <si>
    <t>LW</t>
  </si>
  <si>
    <t>LyondellBasell Industries NV</t>
  </si>
  <si>
    <t>Mastercard Inc</t>
  </si>
  <si>
    <t>Mid-America Apartment Communities Inc</t>
  </si>
  <si>
    <t>Marriott International Inc/MD</t>
  </si>
  <si>
    <t>Masco Corp</t>
  </si>
  <si>
    <t>McDonald's Corp</t>
  </si>
  <si>
    <t>Microchip Technology Inc</t>
  </si>
  <si>
    <t>McKesson Corp</t>
  </si>
  <si>
    <t>Moody's Corp</t>
  </si>
  <si>
    <t>Mondelez International Inc</t>
  </si>
  <si>
    <t>Medtronic PLC</t>
  </si>
  <si>
    <t>MetLife Inc</t>
  </si>
  <si>
    <t>MGM Resorts International</t>
  </si>
  <si>
    <t>Mohawk Industries Inc</t>
  </si>
  <si>
    <t>McCormick &amp; Co Inc/MD</t>
  </si>
  <si>
    <t>Martin Marietta Materials Inc</t>
  </si>
  <si>
    <t>Marsh &amp; McLennan Cos Inc</t>
  </si>
  <si>
    <t>3M Co</t>
  </si>
  <si>
    <t>Monster Beverage Corp</t>
  </si>
  <si>
    <t>Altria Group Inc</t>
  </si>
  <si>
    <t>Mosaic Co/The</t>
  </si>
  <si>
    <t>Marathon Petroleum Corp</t>
  </si>
  <si>
    <t>Merck &amp; Co Inc</t>
  </si>
  <si>
    <t>Marathon Oil Corp</t>
  </si>
  <si>
    <t>Morgan Stanley</t>
  </si>
  <si>
    <t>MSCI Inc</t>
  </si>
  <si>
    <t>Microsoft Corp</t>
  </si>
  <si>
    <t>Motorola Solutions Inc</t>
  </si>
  <si>
    <t>M&amp;T Bank Corp</t>
  </si>
  <si>
    <t>Mettler-Toledo International Inc</t>
  </si>
  <si>
    <t>Micron Technology Inc</t>
  </si>
  <si>
    <t>Norwegian Cruise Line Holdings Ltd</t>
  </si>
  <si>
    <t>Nasdaq Inc</t>
  </si>
  <si>
    <t>NextEra Energy Inc</t>
  </si>
  <si>
    <t>Netflix Inc</t>
  </si>
  <si>
    <t>NiSource Inc</t>
  </si>
  <si>
    <t>NIKE Inc</t>
  </si>
  <si>
    <t>Northrop Grumman Corp</t>
  </si>
  <si>
    <t>NRG Energy Inc</t>
  </si>
  <si>
    <t>Norfolk Southern Corp</t>
  </si>
  <si>
    <t>NetApp Inc</t>
  </si>
  <si>
    <t>Northern Trust Corp</t>
  </si>
  <si>
    <t>Nucor Corp</t>
  </si>
  <si>
    <t>NVIDIA Corp</t>
  </si>
  <si>
    <t>NWL UW Equity</t>
  </si>
  <si>
    <t>Newell Brands Inc</t>
  </si>
  <si>
    <t>News Corp</t>
  </si>
  <si>
    <t>Realty Income Corp</t>
  </si>
  <si>
    <t>ONEOK Inc</t>
  </si>
  <si>
    <t>Omnicom Group Inc</t>
  </si>
  <si>
    <t>Oracle Corp</t>
  </si>
  <si>
    <t>O'Reilly Automotive Inc</t>
  </si>
  <si>
    <t>Occidental Petroleum Corp</t>
  </si>
  <si>
    <t>Paychex Inc</t>
  </si>
  <si>
    <t>PACCAR Inc</t>
  </si>
  <si>
    <t>Public Service Enterprise Group Inc</t>
  </si>
  <si>
    <t>PepsiCo Inc</t>
  </si>
  <si>
    <t>Pfizer Inc</t>
  </si>
  <si>
    <t>Principal Financial Group Inc</t>
  </si>
  <si>
    <t>Procter &amp; Gamble Co/The</t>
  </si>
  <si>
    <t>Progressive Corp/The</t>
  </si>
  <si>
    <t>Parker-Hannifin Corp</t>
  </si>
  <si>
    <t>PulteGroup Inc</t>
  </si>
  <si>
    <t>Packaging Corp of America</t>
  </si>
  <si>
    <t>PerkinElmer Inc</t>
  </si>
  <si>
    <t>Prologis Inc</t>
  </si>
  <si>
    <t>Philip Morris International Inc</t>
  </si>
  <si>
    <t>PNC Financial Services Group Inc/The</t>
  </si>
  <si>
    <t>Pentair PLC</t>
  </si>
  <si>
    <t>Pinnacle West Capital Corp</t>
  </si>
  <si>
    <t>PPG Industries Inc</t>
  </si>
  <si>
    <t>PPL Corp</t>
  </si>
  <si>
    <t>Prudential Financial Inc</t>
  </si>
  <si>
    <t>Public Storage</t>
  </si>
  <si>
    <t>Phillips 66</t>
  </si>
  <si>
    <t>Quanta Services Inc</t>
  </si>
  <si>
    <t>Pioneer Natural Resources Co</t>
  </si>
  <si>
    <t>PayPal Holdings Inc</t>
  </si>
  <si>
    <t>QUALCOMM Inc</t>
  </si>
  <si>
    <t>Qorvo Inc</t>
  </si>
  <si>
    <t>Royal Caribbean Cruises Ltd</t>
  </si>
  <si>
    <t>Everest Re Group Ltd</t>
  </si>
  <si>
    <t>REG UW Equity</t>
  </si>
  <si>
    <t>Regency Centers Corp</t>
  </si>
  <si>
    <t>Regeneron Pharmaceuticals Inc</t>
  </si>
  <si>
    <t>Regions Financial Corp</t>
  </si>
  <si>
    <t>Robert Half International Inc</t>
  </si>
  <si>
    <t>Raymond James Financial Inc</t>
  </si>
  <si>
    <t>Ralph Lauren Corp</t>
  </si>
  <si>
    <t>ResMed Inc</t>
  </si>
  <si>
    <t>Rockwell Automation Inc</t>
  </si>
  <si>
    <t>ROL UN Equity</t>
  </si>
  <si>
    <t>Rollins Inc</t>
  </si>
  <si>
    <t>ROL</t>
  </si>
  <si>
    <t>Roper Technologies Inc</t>
  </si>
  <si>
    <t>Ross Stores Inc</t>
  </si>
  <si>
    <t>Republic Services Inc</t>
  </si>
  <si>
    <t>SBA Communications Corp</t>
  </si>
  <si>
    <t>Starbucks Corp</t>
  </si>
  <si>
    <t>Charles Schwab Corp/The</t>
  </si>
  <si>
    <t>Sealed Air Corp</t>
  </si>
  <si>
    <t>Sherwin-Williams Co/The</t>
  </si>
  <si>
    <t>SVB Financial Group</t>
  </si>
  <si>
    <t>Snap-on Inc</t>
  </si>
  <si>
    <t>Synopsys Inc</t>
  </si>
  <si>
    <t>Southern Co/The</t>
  </si>
  <si>
    <t>Simon Property Group Inc</t>
  </si>
  <si>
    <t>S&amp;P Global Inc</t>
  </si>
  <si>
    <t>Sempra Energy</t>
  </si>
  <si>
    <t>State Street Corp</t>
  </si>
  <si>
    <t>Constellation Brands Inc</t>
  </si>
  <si>
    <t>Stanley Black &amp; Decker Inc</t>
  </si>
  <si>
    <t>Skyworks Solutions Inc</t>
  </si>
  <si>
    <t>Synchrony Financial</t>
  </si>
  <si>
    <t>Stryker Corp</t>
  </si>
  <si>
    <t>Sysco Corp</t>
  </si>
  <si>
    <t>AT&amp;T Inc</t>
  </si>
  <si>
    <t>TransDigm Group Inc</t>
  </si>
  <si>
    <t>TE Connectivity Ltd</t>
  </si>
  <si>
    <t>TFX UN Equity</t>
  </si>
  <si>
    <t>Teleflex Inc</t>
  </si>
  <si>
    <t>TFX</t>
  </si>
  <si>
    <t>Target Corp</t>
  </si>
  <si>
    <t>TJX Cos Inc/The</t>
  </si>
  <si>
    <t>Thermo Fisher Scientific Inc</t>
  </si>
  <si>
    <t>Tapestry Inc</t>
  </si>
  <si>
    <t>T Rowe Price Group Inc</t>
  </si>
  <si>
    <t>Travelers Cos Inc/The</t>
  </si>
  <si>
    <t>Tractor Supply Co</t>
  </si>
  <si>
    <t>Tyson Foods Inc</t>
  </si>
  <si>
    <t>Take-Two Interactive Software Inc</t>
  </si>
  <si>
    <t>Texas Instruments Inc</t>
  </si>
  <si>
    <t>Textron Inc</t>
  </si>
  <si>
    <t>UAL UW Equity</t>
  </si>
  <si>
    <t>UDR Inc</t>
  </si>
  <si>
    <t>Universal Health Services Inc</t>
  </si>
  <si>
    <t>Ulta Beauty Inc</t>
  </si>
  <si>
    <t>UnitedHealth Group Inc</t>
  </si>
  <si>
    <t>Union Pacific Corp</t>
  </si>
  <si>
    <t>United Parcel Service Inc</t>
  </si>
  <si>
    <t>United Rentals Inc</t>
  </si>
  <si>
    <t>US Bancorp</t>
  </si>
  <si>
    <t>Visa Inc</t>
  </si>
  <si>
    <t>VF Corp</t>
  </si>
  <si>
    <t>Valero Energy Corp</t>
  </si>
  <si>
    <t>Vulcan Materials Co</t>
  </si>
  <si>
    <t>Vornado Realty Trust</t>
  </si>
  <si>
    <t>Verisk Analytics Inc</t>
  </si>
  <si>
    <t>VeriSign Inc</t>
  </si>
  <si>
    <t>Vertex Pharmaceuticals Inc</t>
  </si>
  <si>
    <t>Ventas Inc</t>
  </si>
  <si>
    <t>Verizon Communications Inc</t>
  </si>
  <si>
    <t>WAB UN Equity</t>
  </si>
  <si>
    <t>WAB</t>
  </si>
  <si>
    <t>Waters Corp</t>
  </si>
  <si>
    <t>Walgreens Boots Alliance Inc</t>
  </si>
  <si>
    <t>Western Digital Corp</t>
  </si>
  <si>
    <t>WEC Energy Group Inc</t>
  </si>
  <si>
    <t>Welltower Inc</t>
  </si>
  <si>
    <t>Wells Fargo &amp; Co</t>
  </si>
  <si>
    <t>Whirlpool Corp</t>
  </si>
  <si>
    <t>Willis Towers Watson PLC</t>
  </si>
  <si>
    <t>Waste Management Inc</t>
  </si>
  <si>
    <t>Williams Cos Inc/The</t>
  </si>
  <si>
    <t>Walmart Inc</t>
  </si>
  <si>
    <t>Westrock Co</t>
  </si>
  <si>
    <t>Weyerhaeuser Co</t>
  </si>
  <si>
    <t>Wynn Resorts Ltd</t>
  </si>
  <si>
    <t>Xcel Energy Inc</t>
  </si>
  <si>
    <t>Exxon Mobil Corp</t>
  </si>
  <si>
    <t>DENTSPLY SIRONA Inc</t>
  </si>
  <si>
    <t>Xylem Inc/NY</t>
  </si>
  <si>
    <t>Yum! Brands Inc</t>
  </si>
  <si>
    <t>Zimmer Biomet Holdings Inc</t>
  </si>
  <si>
    <t>Zions Bancorp NA</t>
  </si>
  <si>
    <t>Zoetis Inc</t>
  </si>
  <si>
    <t>2018M06</t>
  </si>
  <si>
    <t>2018M07</t>
  </si>
  <si>
    <t>2018M08</t>
  </si>
  <si>
    <t>2018M09</t>
  </si>
  <si>
    <t>2018M10</t>
  </si>
  <si>
    <t>2018M11</t>
  </si>
  <si>
    <t>2018M12</t>
  </si>
  <si>
    <t>2019M01</t>
  </si>
  <si>
    <t>2019M02</t>
  </si>
  <si>
    <t>2019M03</t>
  </si>
  <si>
    <t>2019M04</t>
  </si>
  <si>
    <t>[A]</t>
  </si>
  <si>
    <t>[B]</t>
  </si>
  <si>
    <t>[C]</t>
  </si>
  <si>
    <t>[D]</t>
  </si>
  <si>
    <t>Predicted Equity Risk Premium</t>
  </si>
  <si>
    <t>Based on Regression Analysis</t>
  </si>
  <si>
    <t>Rate Case History</t>
  </si>
  <si>
    <t>Prediction of Equity Risk Premiums Relative to</t>
  </si>
  <si>
    <t>Past Rate Cases</t>
  </si>
  <si>
    <t>Increase Authorized</t>
  </si>
  <si>
    <t>State</t>
  </si>
  <si>
    <t>Case Identification</t>
  </si>
  <si>
    <t>Service</t>
  </si>
  <si>
    <t>Case Type</t>
  </si>
  <si>
    <t>Decision Type</t>
  </si>
  <si>
    <t>Return on
Equity
(%)</t>
  </si>
  <si>
    <t>Common Equity
/Total Cap
(%)</t>
  </si>
  <si>
    <t>A Rated Utility Bond (%)</t>
  </si>
  <si>
    <t>Equity Risk Premium (%)</t>
  </si>
  <si>
    <t>Illinois</t>
  </si>
  <si>
    <t>Distribution</t>
  </si>
  <si>
    <t>Fully Litigated</t>
  </si>
  <si>
    <t>Pennsylvania</t>
  </si>
  <si>
    <t>Maryland</t>
  </si>
  <si>
    <t>Georgia</t>
  </si>
  <si>
    <t>Massachusetts</t>
  </si>
  <si>
    <t>Oklahoma</t>
  </si>
  <si>
    <t>Wisconsin</t>
  </si>
  <si>
    <t>Madison Gas and Electric Co.</t>
  </si>
  <si>
    <t>New York</t>
  </si>
  <si>
    <t>Niagara Mohawk Power Corp.</t>
  </si>
  <si>
    <t>Kansas</t>
  </si>
  <si>
    <t>Consolidated Edison Co. of NY</t>
  </si>
  <si>
    <t>Orange &amp; Rockland Utlts Inc.</t>
  </si>
  <si>
    <t>Iowa</t>
  </si>
  <si>
    <t>MidAmerican Energy Co.</t>
  </si>
  <si>
    <t>Ohio</t>
  </si>
  <si>
    <t>New Jersey</t>
  </si>
  <si>
    <t>Public Service Electric Gas</t>
  </si>
  <si>
    <t>Utah</t>
  </si>
  <si>
    <t>Colorado</t>
  </si>
  <si>
    <t>Public Service Co. of CO</t>
  </si>
  <si>
    <t>Arizona</t>
  </si>
  <si>
    <t>Arizona Public Service Co.</t>
  </si>
  <si>
    <t>Constant</t>
  </si>
  <si>
    <t>Slope</t>
  </si>
  <si>
    <t>Prospective Equity Risk Premium</t>
  </si>
  <si>
    <t>Baltimore Gas and Electric Co.</t>
  </si>
  <si>
    <t>Connecticut</t>
  </si>
  <si>
    <t>West Virginia</t>
  </si>
  <si>
    <t>NY State Electric &amp; Gas Corp.</t>
  </si>
  <si>
    <t>Idaho</t>
  </si>
  <si>
    <t>Avista Corp.</t>
  </si>
  <si>
    <t>Kentucky</t>
  </si>
  <si>
    <t>Louisville Gas &amp; Electric Co.</t>
  </si>
  <si>
    <t>Nevada</t>
  </si>
  <si>
    <t>Louisiana</t>
  </si>
  <si>
    <t>Sierra Pacific Power Co.</t>
  </si>
  <si>
    <t>District of Columbia</t>
  </si>
  <si>
    <t>Entergy Gulf States LA LLC</t>
  </si>
  <si>
    <t>Washington</t>
  </si>
  <si>
    <t>Puget Sound Energy Inc.</t>
  </si>
  <si>
    <t>California</t>
  </si>
  <si>
    <t>Indiana</t>
  </si>
  <si>
    <t>Montana</t>
  </si>
  <si>
    <t>NorthWestern Corp.</t>
  </si>
  <si>
    <t>San Diego Gas &amp; Electric Co.</t>
  </si>
  <si>
    <t>Ameren Illinois</t>
  </si>
  <si>
    <t>North Carolina</t>
  </si>
  <si>
    <t>Michigan</t>
  </si>
  <si>
    <t>Interstate Power &amp; Light Co.</t>
  </si>
  <si>
    <t>Wisconsin Public Service Corp.</t>
  </si>
  <si>
    <t>Wisconsin Power and Light Co</t>
  </si>
  <si>
    <t>Central Hudson Gas &amp; Electric</t>
  </si>
  <si>
    <t>Arkansas</t>
  </si>
  <si>
    <t>Minnesota</t>
  </si>
  <si>
    <t>New Mexico</t>
  </si>
  <si>
    <t>Public Service Co. of NM</t>
  </si>
  <si>
    <t>Missouri</t>
  </si>
  <si>
    <t>South Carolina</t>
  </si>
  <si>
    <t>Delaware</t>
  </si>
  <si>
    <t>Delmarva Power &amp; Light Co.</t>
  </si>
  <si>
    <t>Pacific Gas and Electric Co.</t>
  </si>
  <si>
    <t>Duke Energy Ohio Inc.</t>
  </si>
  <si>
    <t>North Dakota</t>
  </si>
  <si>
    <t>Rhode Island</t>
  </si>
  <si>
    <t>Narragansett Electric Co.</t>
  </si>
  <si>
    <t>Northern IN Public Svc Co.</t>
  </si>
  <si>
    <t>Hawaii</t>
  </si>
  <si>
    <t>Virginia</t>
  </si>
  <si>
    <t>Mississippi</t>
  </si>
  <si>
    <t>Tennessee</t>
  </si>
  <si>
    <t>UGI Utilities Inc.</t>
  </si>
  <si>
    <t>Long Island Lighting Co</t>
  </si>
  <si>
    <t>Consumers Energy Co.</t>
  </si>
  <si>
    <t>Duke Energy Kentucky Inc.</t>
  </si>
  <si>
    <t>Florida</t>
  </si>
  <si>
    <t>Wisconsin Electric Power Co.</t>
  </si>
  <si>
    <t>Oregon</t>
  </si>
  <si>
    <t>Texas</t>
  </si>
  <si>
    <t>New Hampshire</t>
  </si>
  <si>
    <t>Wyoming</t>
  </si>
  <si>
    <t>Fitchburg Gas &amp; Electric Light</t>
  </si>
  <si>
    <t>Alaska</t>
  </si>
  <si>
    <t>Maine</t>
  </si>
  <si>
    <t>AMCR UN Equity</t>
  </si>
  <si>
    <t>Amcor PLC</t>
  </si>
  <si>
    <t>AMCR</t>
  </si>
  <si>
    <t>Baker Hughes Co</t>
  </si>
  <si>
    <t>BKR</t>
  </si>
  <si>
    <t>CDW UW Equity</t>
  </si>
  <si>
    <t>CDW Corp/DE</t>
  </si>
  <si>
    <t>CDW</t>
  </si>
  <si>
    <t>CTVA UN Equity</t>
  </si>
  <si>
    <t>Corteva Inc</t>
  </si>
  <si>
    <t>CTVA</t>
  </si>
  <si>
    <t>DD UN Equity</t>
  </si>
  <si>
    <t>DuPont de Nemours Inc</t>
  </si>
  <si>
    <t>DD</t>
  </si>
  <si>
    <t>EXC UW Equity</t>
  </si>
  <si>
    <t>GL UN Equity</t>
  </si>
  <si>
    <t>Globe Life Inc</t>
  </si>
  <si>
    <t>GL</t>
  </si>
  <si>
    <t>IEX UN Equity</t>
  </si>
  <si>
    <t>IDEX Corp</t>
  </si>
  <si>
    <t>IEX</t>
  </si>
  <si>
    <t>KLA Corp</t>
  </si>
  <si>
    <t>LDOS UN Equity</t>
  </si>
  <si>
    <t>Leidos Holdings Inc</t>
  </si>
  <si>
    <t>LDOS</t>
  </si>
  <si>
    <t>LHX UN Equity</t>
  </si>
  <si>
    <t>L3Harris Technologies Inc</t>
  </si>
  <si>
    <t>LHX</t>
  </si>
  <si>
    <t>LVS UN Equity</t>
  </si>
  <si>
    <t>Las Vegas Sands Corp</t>
  </si>
  <si>
    <t>LVS</t>
  </si>
  <si>
    <t>MKTX UW Equity</t>
  </si>
  <si>
    <t>MarketAxess Holdings Inc</t>
  </si>
  <si>
    <t>MKTX</t>
  </si>
  <si>
    <t>NVR UN Equity</t>
  </si>
  <si>
    <t>NVR Inc</t>
  </si>
  <si>
    <t>NVR</t>
  </si>
  <si>
    <t>TMUS UW Equity</t>
  </si>
  <si>
    <t>T-Mobile US Inc</t>
  </si>
  <si>
    <t>TMUS</t>
  </si>
  <si>
    <t>United Airlines Holdings Inc</t>
  </si>
  <si>
    <t>2019M05</t>
  </si>
  <si>
    <t>2019M06</t>
  </si>
  <si>
    <t>2019M07</t>
  </si>
  <si>
    <t>2019M08</t>
  </si>
  <si>
    <t>2019M09</t>
  </si>
  <si>
    <t>2019M10</t>
  </si>
  <si>
    <t>Indicated Common Equity Cost Rate Using the Discounted Cash Flow Model for the</t>
  </si>
  <si>
    <t>Derivation of Investment Risk Adjustment Based upon</t>
  </si>
  <si>
    <t>Spread from Applicable Size Premium (4)</t>
  </si>
  <si>
    <t>Applicable Decile of the NYSE/AMEX/   NASDAQ (2)</t>
  </si>
  <si>
    <t>Applicable Size Premium (3)</t>
  </si>
  <si>
    <t>( millions )</t>
  </si>
  <si>
    <t>(times larger)</t>
  </si>
  <si>
    <t>Decile</t>
  </si>
  <si>
    <t>Market Capitalization of Smallest Company</t>
  </si>
  <si>
    <t>Market Capitalization of Largest Company</t>
  </si>
  <si>
    <t>Size Premium (Return in Excess of CAPM)*</t>
  </si>
  <si>
    <t>Largest</t>
  </si>
  <si>
    <t>Smallest</t>
  </si>
  <si>
    <t>Gleaned from Columns [B] and [C] on the bottom of this page.  The appropriate decile (Column [A]) corresponds to the market capitalization of the proxy group, which is found in Column [1].</t>
  </si>
  <si>
    <t>Corresponding risk premium to the decile is provided in Column [D] on the bottom of this page.</t>
  </si>
  <si>
    <t>Exchange</t>
  </si>
  <si>
    <t>Column 3 / Column 1.</t>
  </si>
  <si>
    <t>Column 4 /  Column 2.</t>
  </si>
  <si>
    <t>Column 1 * Column 4.</t>
  </si>
  <si>
    <t>Column [3] multiplied by Column [5].</t>
  </si>
  <si>
    <t>Entergy New Orleans LLC</t>
  </si>
  <si>
    <t>Long-Term Issuer Rating (1)</t>
  </si>
  <si>
    <t>Numerical Weighting (2)</t>
  </si>
  <si>
    <t>Ratings are that of the average of each company's utility operating subsidiaries.</t>
  </si>
  <si>
    <t>J UN Equity</t>
  </si>
  <si>
    <t>J</t>
  </si>
  <si>
    <t>LYV UN Equity</t>
  </si>
  <si>
    <t>Live Nation Entertainment Inc</t>
  </si>
  <si>
    <t>LYV</t>
  </si>
  <si>
    <t>NOW UN Equity</t>
  </si>
  <si>
    <t>ServiceNow Inc</t>
  </si>
  <si>
    <t>NOW</t>
  </si>
  <si>
    <t>ODFL UW Equity</t>
  </si>
  <si>
    <t>Old Dominion Freight Line Inc</t>
  </si>
  <si>
    <t>ODFL</t>
  </si>
  <si>
    <t>PEAK UN Equity</t>
  </si>
  <si>
    <t>Healthpeak Properties Inc</t>
  </si>
  <si>
    <t>PEAK</t>
  </si>
  <si>
    <t>STE UN Equity</t>
  </si>
  <si>
    <t>STERIS PLC</t>
  </si>
  <si>
    <t>STE</t>
  </si>
  <si>
    <t>TFC UN Equity</t>
  </si>
  <si>
    <t>Truist Financial Corp</t>
  </si>
  <si>
    <t>TFC</t>
  </si>
  <si>
    <t>Westinghouse Air Brake Technologies Corp</t>
  </si>
  <si>
    <t>WRB UN Equity</t>
  </si>
  <si>
    <t>WRB</t>
  </si>
  <si>
    <t>ZBRA UW Equity</t>
  </si>
  <si>
    <t>Zebra Technologies Corp</t>
  </si>
  <si>
    <t>ZBRA</t>
  </si>
  <si>
    <t>2019M11</t>
  </si>
  <si>
    <t>2019M12</t>
  </si>
  <si>
    <t>2020M01</t>
  </si>
  <si>
    <t>2020M02</t>
  </si>
  <si>
    <t>2020M03</t>
  </si>
  <si>
    <t>2020M04</t>
  </si>
  <si>
    <t>AES Corp/The</t>
  </si>
  <si>
    <t>Allegion plc</t>
  </si>
  <si>
    <t>Air Products and Chemicals Inc</t>
  </si>
  <si>
    <t>CARR UN Equity</t>
  </si>
  <si>
    <t>Carrier Global Corp</t>
  </si>
  <si>
    <t>CARR</t>
  </si>
  <si>
    <t>HWM UN Equity</t>
  </si>
  <si>
    <t>Howmet Aerospace Inc</t>
  </si>
  <si>
    <t>HWM</t>
  </si>
  <si>
    <t>Ingersoll Rand Inc</t>
  </si>
  <si>
    <t>Kinder Morgan Inc</t>
  </si>
  <si>
    <t>Newmont Corp</t>
  </si>
  <si>
    <t>OTIS UN Equity</t>
  </si>
  <si>
    <t>Otis Worldwide Corp</t>
  </si>
  <si>
    <t>OTIS</t>
  </si>
  <si>
    <t>PAYC UN Equity</t>
  </si>
  <si>
    <t>Paycom Software Inc</t>
  </si>
  <si>
    <t>PAYC</t>
  </si>
  <si>
    <t>RTX UN Equity</t>
  </si>
  <si>
    <t>Raytheon Technologies Corp</t>
  </si>
  <si>
    <t>RTX</t>
  </si>
  <si>
    <t>Molson Coors Beverage Co</t>
  </si>
  <si>
    <t>TT UN Equity</t>
  </si>
  <si>
    <t>Trane Technologies PLC</t>
  </si>
  <si>
    <t>TT</t>
  </si>
  <si>
    <t>BIO</t>
  </si>
  <si>
    <t>EXPO</t>
  </si>
  <si>
    <t>INGR</t>
  </si>
  <si>
    <t>SIGI</t>
  </si>
  <si>
    <t>WST</t>
  </si>
  <si>
    <t xml:space="preserve">Assurant Inc.       </t>
  </si>
  <si>
    <t xml:space="preserve">Exponent, Inc.      </t>
  </si>
  <si>
    <t xml:space="preserve">Ingredion Inc.      </t>
  </si>
  <si>
    <t>Selective Ins. Group</t>
  </si>
  <si>
    <t>A O Smith Corp</t>
  </si>
  <si>
    <t>APA UW Equity</t>
  </si>
  <si>
    <t>BIO UN Equity</t>
  </si>
  <si>
    <t>Bio-Rad Laboratories Inc</t>
  </si>
  <si>
    <t>DPZ UN Equity</t>
  </si>
  <si>
    <t>Domino's Pizza Inc</t>
  </si>
  <si>
    <t>DPZ</t>
  </si>
  <si>
    <t>DXCM UW Equity</t>
  </si>
  <si>
    <t>DXCM</t>
  </si>
  <si>
    <t>J M Smucker Co/The</t>
  </si>
  <si>
    <t>TDY UN Equity</t>
  </si>
  <si>
    <t>Teledyne Technologies Inc</t>
  </si>
  <si>
    <t>TDY</t>
  </si>
  <si>
    <t>TYL UN Equity</t>
  </si>
  <si>
    <t>Tyler Technologies Inc</t>
  </si>
  <si>
    <t>TYL</t>
  </si>
  <si>
    <t>W R Berkley Corp</t>
  </si>
  <si>
    <t>WST UN Equity</t>
  </si>
  <si>
    <t>West Pharmaceutical Services Inc</t>
  </si>
  <si>
    <t xml:space="preserve">   2 std. Devs. of Beta</t>
  </si>
  <si>
    <t>2 std. devs. of the Res. Std. Err.</t>
  </si>
  <si>
    <t>2020M05</t>
  </si>
  <si>
    <t>2020M06</t>
  </si>
  <si>
    <t>2020M07</t>
  </si>
  <si>
    <t>Beta Range (+/- 2 std. Devs. of Beta)</t>
  </si>
  <si>
    <t>Residual Std. Err. Range (+/- 2 std.</t>
  </si>
  <si>
    <t>2020M08</t>
  </si>
  <si>
    <t>NJR</t>
  </si>
  <si>
    <t>NWN</t>
  </si>
  <si>
    <t>OGS</t>
  </si>
  <si>
    <t>SJI</t>
  </si>
  <si>
    <t>SR</t>
  </si>
  <si>
    <t>Natural Gas</t>
  </si>
  <si>
    <t>Elizabethtown Gas Company</t>
  </si>
  <si>
    <t>South Jersey Gas Company</t>
  </si>
  <si>
    <t>Spire Alabama Inc.</t>
  </si>
  <si>
    <t>Spire Missouri Inc.</t>
  </si>
  <si>
    <t>A1/A2</t>
  </si>
  <si>
    <t>ONE Gas, Inc.</t>
  </si>
  <si>
    <t>Missouri Gas Energy</t>
  </si>
  <si>
    <t>New Jersey Resources</t>
  </si>
  <si>
    <t xml:space="preserve">Northwest Nat. Gas  </t>
  </si>
  <si>
    <t>Spire Inc.</t>
  </si>
  <si>
    <t>D-UG-190530</t>
  </si>
  <si>
    <t>D-19AL-0075G</t>
  </si>
  <si>
    <t>Black Hills Colorado Gas Inc.</t>
  </si>
  <si>
    <t>D-2019-00092</t>
  </si>
  <si>
    <t>Northern Utilities Inc.</t>
  </si>
  <si>
    <t>D-19-057-02</t>
  </si>
  <si>
    <t>Questar Gas Co.</t>
  </si>
  <si>
    <t>D-19-ATMG-525-RTS</t>
  </si>
  <si>
    <t>Atmos Energy Corp.</t>
  </si>
  <si>
    <t>C-PUR-2018-00013</t>
  </si>
  <si>
    <t>Roanoke Gas Co.</t>
  </si>
  <si>
    <t>C-PUR-2018-00080</t>
  </si>
  <si>
    <t>Washington Gas Light Co.</t>
  </si>
  <si>
    <t>D-42315</t>
  </si>
  <si>
    <t>Atlanta Gas Light Co.</t>
  </si>
  <si>
    <t>A-19-04-017 (Gas)</t>
  </si>
  <si>
    <t>A-19-04-018</t>
  </si>
  <si>
    <t>Southern California Gas Co.</t>
  </si>
  <si>
    <t>C-9609</t>
  </si>
  <si>
    <t>Columbia Gas of Maryland Inc</t>
  </si>
  <si>
    <t>D-UD-18-07 (gas)</t>
  </si>
  <si>
    <t>D-18-1775</t>
  </si>
  <si>
    <t>Northern Illinois Gas Co.</t>
  </si>
  <si>
    <t>C-U-20322</t>
  </si>
  <si>
    <t>C-2018-00281</t>
  </si>
  <si>
    <t>C-9484</t>
  </si>
  <si>
    <t>D-18-05031 (Northern)</t>
  </si>
  <si>
    <t>Southwest Gas Corp.</t>
  </si>
  <si>
    <t>D-18-05031 (Southern)</t>
  </si>
  <si>
    <t>D-17AL-0363G</t>
  </si>
  <si>
    <t>C-9481</t>
  </si>
  <si>
    <t>D-G-011/GR-17-563</t>
  </si>
  <si>
    <t>Minnesota Energy Resources</t>
  </si>
  <si>
    <t>DPU-17-170 (Colonial Gas)</t>
  </si>
  <si>
    <t>Colonial Gas Co.</t>
  </si>
  <si>
    <t>DPU-17-170 (Boston Gas)</t>
  </si>
  <si>
    <t>Boston Gas Co.</t>
  </si>
  <si>
    <t>C-U-18999</t>
  </si>
  <si>
    <t>DTE Gas Co.</t>
  </si>
  <si>
    <t>C-2017-00349</t>
  </si>
  <si>
    <t>D-DG-17-048</t>
  </si>
  <si>
    <t>Liberty Utilities EnergyNorth</t>
  </si>
  <si>
    <t>D-UG-170486</t>
  </si>
  <si>
    <t>D-2017-00065</t>
  </si>
  <si>
    <t>C-GR-2017-0215</t>
  </si>
  <si>
    <t>C-GR-2017-0216</t>
  </si>
  <si>
    <t>D-17-0124</t>
  </si>
  <si>
    <t>D-4220-UR-123 (Gas)</t>
  </si>
  <si>
    <t>D-U-16-066</t>
  </si>
  <si>
    <t>ENSTAR Natural Gas Co.</t>
  </si>
  <si>
    <t>C-U-18124</t>
  </si>
  <si>
    <t>C-INT-G-16-2</t>
  </si>
  <si>
    <t>Intermountain Gas Co.</t>
  </si>
  <si>
    <t>C-16-G-0257</t>
  </si>
  <si>
    <t>FC-1137</t>
  </si>
  <si>
    <t>C-U-17999</t>
  </si>
  <si>
    <t>D-3270-UR-121 (Gas)</t>
  </si>
  <si>
    <t>D-G-011/GR-15-736</t>
  </si>
  <si>
    <t>D-GUD-10506</t>
  </si>
  <si>
    <t>Texas Gas Service Co.</t>
  </si>
  <si>
    <t>C-9406 (gas)</t>
  </si>
  <si>
    <t>D-G-008/GR-15-424</t>
  </si>
  <si>
    <t>CenterPoint Energy Resources</t>
  </si>
  <si>
    <t>DPU 15-81</t>
  </si>
  <si>
    <t>D-UG 288</t>
  </si>
  <si>
    <t>D-15AL-0135G</t>
  </si>
  <si>
    <t>D-4220-UR-121 (Gas)</t>
  </si>
  <si>
    <t>D-6690-UR-124 (Gas)</t>
  </si>
  <si>
    <t>DPU 14-150</t>
  </si>
  <si>
    <t>NSTAR Gas Co.</t>
  </si>
  <si>
    <t>D-14-0225</t>
  </si>
  <si>
    <t>D-14-0224</t>
  </si>
  <si>
    <t>North Shore Gas Co.</t>
  </si>
  <si>
    <t>D-3270-UR-120 (Gas)</t>
  </si>
  <si>
    <t>D-05-UR-107 (WG)</t>
  </si>
  <si>
    <t>Wisconsin Gas LLC</t>
  </si>
  <si>
    <t>D-05-UR-107 (WEP-Gas)</t>
  </si>
  <si>
    <t>D-6690-UR-123 (Gas)</t>
  </si>
  <si>
    <t>C-GR-2014-0086</t>
  </si>
  <si>
    <t>Summit Natural Gas of Missouri</t>
  </si>
  <si>
    <t>D-G-011/GR-13-617</t>
  </si>
  <si>
    <t>A-12-12-024 (LkTah)</t>
  </si>
  <si>
    <t>A-12-12-024 (NoCal)</t>
  </si>
  <si>
    <t>A-12-12-024 (SoCal)</t>
  </si>
  <si>
    <t>D-6680-UR-119 (Gas)</t>
  </si>
  <si>
    <t>D-G-008/GR-13-316</t>
  </si>
  <si>
    <t>C-2013-00148</t>
  </si>
  <si>
    <t>DPU 13-75</t>
  </si>
  <si>
    <t>D-13-057-05</t>
  </si>
  <si>
    <t>D-13-06-08</t>
  </si>
  <si>
    <t>CT Natural Gas Corp.</t>
  </si>
  <si>
    <t>D-12AL-1268G</t>
  </si>
  <si>
    <t>D-13-0192</t>
  </si>
  <si>
    <t>D-13-06003</t>
  </si>
  <si>
    <t>C-9326 (gas)</t>
  </si>
  <si>
    <t>D-4220-UR-119 (Gas)</t>
  </si>
  <si>
    <t>C-9322</t>
  </si>
  <si>
    <t>D-6690-UR-122 (Gas)</t>
  </si>
  <si>
    <t>C-9316</t>
  </si>
  <si>
    <t>D-12-0512</t>
  </si>
  <si>
    <t>D-12-0511</t>
  </si>
  <si>
    <t>FC-1093</t>
  </si>
  <si>
    <t>C-9299 (gas)</t>
  </si>
  <si>
    <t>Ap-12-04-018 (Gas)</t>
  </si>
  <si>
    <t>Ap-12-04-016 (Gas)</t>
  </si>
  <si>
    <t>Ap-12-04-017</t>
  </si>
  <si>
    <t>D-GUD-10170 (Mid-Tex)</t>
  </si>
  <si>
    <t>D-05-UR-106 (WG)</t>
  </si>
  <si>
    <t>D-05-UR-106 (WEP-Gas)</t>
  </si>
  <si>
    <t>D-3270-UR-118 (gas)</t>
  </si>
  <si>
    <t>DPU 12-25</t>
  </si>
  <si>
    <t>D-12-04005 (Southern)</t>
  </si>
  <si>
    <t>C-11-1627-G-42T</t>
  </si>
  <si>
    <t>D-12-04005 (Northern)</t>
  </si>
  <si>
    <t>D-UG-221</t>
  </si>
  <si>
    <t>Northwest Natural Gas Co.</t>
  </si>
  <si>
    <t>D-6680-UR-118 (gas)</t>
  </si>
  <si>
    <t>D-G-007,011/GR-10-977</t>
  </si>
  <si>
    <t>D-NG-0067</t>
  </si>
  <si>
    <t>Black Hills Gas Distribution</t>
  </si>
  <si>
    <t>Nebraska</t>
  </si>
  <si>
    <t>D-UG-111049</t>
  </si>
  <si>
    <t>D-G-04204A-11-0158</t>
  </si>
  <si>
    <t>UNS Gas Inc.</t>
  </si>
  <si>
    <t>D-11-0281</t>
  </si>
  <si>
    <t>D-11-0280</t>
  </si>
  <si>
    <t>D-11-0282 (gas)</t>
  </si>
  <si>
    <t>D-4220-UR-117 (gas)</t>
  </si>
  <si>
    <t>C-9267</t>
  </si>
  <si>
    <t>DPU 11-02</t>
  </si>
  <si>
    <t>D-10-12-02</t>
  </si>
  <si>
    <t>Yankee Gas Services Co.</t>
  </si>
  <si>
    <t>DPU 10-114</t>
  </si>
  <si>
    <t>Liberty Utilities (NE Nat Gas)</t>
  </si>
  <si>
    <t>D-6690-UR-120 (gas)</t>
  </si>
  <si>
    <t>D-3270-UR-117 (gas)</t>
  </si>
  <si>
    <t>D-30022-148-GR-10</t>
  </si>
  <si>
    <t>D-10-06002</t>
  </si>
  <si>
    <t>D-GUD 9988, 9992</t>
  </si>
  <si>
    <t>D-G-002/GR-09-1153</t>
  </si>
  <si>
    <t>C-9230 (gas)</t>
  </si>
  <si>
    <t>D-31647</t>
  </si>
  <si>
    <t>D.P.U. 10-55 (CG)</t>
  </si>
  <si>
    <t>D.P.U. 10-55 (BG)</t>
  </si>
  <si>
    <t>C-2010-00116</t>
  </si>
  <si>
    <t>Delta Natural Gas Co.</t>
  </si>
  <si>
    <t>D-NG-0061</t>
  </si>
  <si>
    <t>C-U-15985</t>
  </si>
  <si>
    <t>D-09-00183</t>
  </si>
  <si>
    <t>C-U-15986</t>
  </si>
  <si>
    <t>D-09-0311 (IP)</t>
  </si>
  <si>
    <t>D-09-0309 (CILCO)</t>
  </si>
  <si>
    <t>D-09-0310 (CIPS)</t>
  </si>
  <si>
    <t>D-UG-090705</t>
  </si>
  <si>
    <t>D-G-04204A-08-0571</t>
  </si>
  <si>
    <t>D-30442</t>
  </si>
  <si>
    <t>D-09-0312</t>
  </si>
  <si>
    <t>D-NG-0060</t>
  </si>
  <si>
    <t>D-GUD 9902</t>
  </si>
  <si>
    <t>C-GR-2009-0355</t>
  </si>
  <si>
    <t>D-GUD 9869 (Mid-Tex)</t>
  </si>
  <si>
    <t>D-09-0166</t>
  </si>
  <si>
    <t>D-09-0167</t>
  </si>
  <si>
    <t>D-G-008/GR-08-1075</t>
  </si>
  <si>
    <t>D-3270-UR-116 (gas)</t>
  </si>
  <si>
    <t>D-UG-090135</t>
  </si>
  <si>
    <t>D-5-UR-104 (WG)</t>
  </si>
  <si>
    <t>D-6680-UR-117 (gas)</t>
  </si>
  <si>
    <t>D-5-UR-104 (WEP-GAS)</t>
  </si>
  <si>
    <t>C-08-1783-G-42T</t>
  </si>
  <si>
    <t>DPU 09-30</t>
  </si>
  <si>
    <t>D-09-04003 (Northern)</t>
  </si>
  <si>
    <t>D-09-04003 (Southern)</t>
  </si>
  <si>
    <t>D-08-12-07</t>
  </si>
  <si>
    <t>D-08-12-06</t>
  </si>
  <si>
    <t>D-G-007,011/GR-08-835</t>
  </si>
  <si>
    <t>C-08-G-0888</t>
  </si>
  <si>
    <t>D-DG-08-009</t>
  </si>
  <si>
    <t>D-080318-GU</t>
  </si>
  <si>
    <t>Peoples Gas System</t>
  </si>
  <si>
    <t>D-08-0363</t>
  </si>
  <si>
    <t>DPU 08-35</t>
  </si>
  <si>
    <t>D-G-01551A-07-0504</t>
  </si>
  <si>
    <t>D-3943</t>
  </si>
  <si>
    <t>D-07-0590 (IP)</t>
  </si>
  <si>
    <t>D-07-0589 (CIPS)</t>
  </si>
  <si>
    <t>D-07-0588 (CILCO)</t>
  </si>
  <si>
    <t>D-27163-U</t>
  </si>
  <si>
    <t>D-07-057-13</t>
  </si>
  <si>
    <t>D-07-0242</t>
  </si>
  <si>
    <t>D-07-0241</t>
  </si>
  <si>
    <t>D-5-UR-103 (WG)</t>
  </si>
  <si>
    <t>D-5-UR-103 (WEP-GAS)</t>
  </si>
  <si>
    <t>D-4220-UR-115 (gas)</t>
  </si>
  <si>
    <t>C-07-G-0141</t>
  </si>
  <si>
    <t>D-3270-UR-115 (gas)</t>
  </si>
  <si>
    <t>D-G-04204A-06-0463</t>
  </si>
  <si>
    <t>C-9104</t>
  </si>
  <si>
    <t>D-G-002-GR-06-1429</t>
  </si>
  <si>
    <t>D-NG-0041</t>
  </si>
  <si>
    <t>C-06-00210-UT</t>
  </si>
  <si>
    <t>D-GUD-9670 (Mid-Tex)</t>
  </si>
  <si>
    <t>C-GR-2006-0422</t>
  </si>
  <si>
    <t>C-R-00061398</t>
  </si>
  <si>
    <t>D.6680-UR-115 (gas)</t>
  </si>
  <si>
    <t>D.6690-UR-118 (gas)</t>
  </si>
  <si>
    <t>D-UG-06-0267</t>
  </si>
  <si>
    <t>C-U-14547</t>
  </si>
  <si>
    <t>D-G-008-GR-05-1380</t>
  </si>
  <si>
    <t>C-PUE-2005-00057</t>
  </si>
  <si>
    <t>Virginia Natural Gas Inc.</t>
  </si>
  <si>
    <t>D-05-10005</t>
  </si>
  <si>
    <t>D-G-01551A-04-0876</t>
  </si>
  <si>
    <t>D-05-UR-102 (WG)</t>
  </si>
  <si>
    <t>D-05-UR-102 (WEP-GAS)</t>
  </si>
  <si>
    <t>D-4220-UR-114 (gas)</t>
  </si>
  <si>
    <t>D-6690-UR-117 (gas)</t>
  </si>
  <si>
    <t>C-2005-00042</t>
  </si>
  <si>
    <t>C-9036</t>
  </si>
  <si>
    <t>D-20298-U</t>
  </si>
  <si>
    <t>D-3270-UR-114 (gas)</t>
  </si>
  <si>
    <t>D-05-006-U</t>
  </si>
  <si>
    <t>Arkansas Oklahoma Gas Corp.</t>
  </si>
  <si>
    <t>DTE-05-27</t>
  </si>
  <si>
    <t>D-04-176-U</t>
  </si>
  <si>
    <t>Black Hills Energy Arkansas</t>
  </si>
  <si>
    <t>D-04-0779</t>
  </si>
  <si>
    <t>D-04-121-U</t>
  </si>
  <si>
    <t>D-6680-UR-114 (gas)</t>
  </si>
  <si>
    <t>C-U-13898</t>
  </si>
  <si>
    <t>D-UG-04-0640</t>
  </si>
  <si>
    <t>D-3270-UR-113 (gas)</t>
  </si>
  <si>
    <t>D-6690-UR-116 (gas)</t>
  </si>
  <si>
    <t>D-04-00034</t>
  </si>
  <si>
    <t>C-GR-2004-0209</t>
  </si>
  <si>
    <t>C-AVU-G-04-1</t>
  </si>
  <si>
    <t>D-04-3011(Northern)</t>
  </si>
  <si>
    <t>D-04-3011(Southern)</t>
  </si>
  <si>
    <t>D-GUD-9400 (Mid-Tex)</t>
  </si>
  <si>
    <t>AP-02-02-012 (No.Div)</t>
  </si>
  <si>
    <t>AP-02-02-012 (So.Div)</t>
  </si>
  <si>
    <t>D-030569-GU</t>
  </si>
  <si>
    <t>Pivotal Utility Holdings Inc.</t>
  </si>
  <si>
    <t>D-3270-UR-112 (gas)</t>
  </si>
  <si>
    <t>D-6690-UR-115 (gas)</t>
  </si>
  <si>
    <t>D-6680-UR-113 (gas)</t>
  </si>
  <si>
    <t>C-PUE-2002-00364</t>
  </si>
  <si>
    <t>FC-1016</t>
  </si>
  <si>
    <t>C-8959</t>
  </si>
  <si>
    <t>DTE-03-40</t>
  </si>
  <si>
    <t>D-03-0008 (CIPS)</t>
  </si>
  <si>
    <t>D-03-0009 (CIPS)</t>
  </si>
  <si>
    <t>D-02-0837 (CILCO)</t>
  </si>
  <si>
    <t>D-RPU-02-7</t>
  </si>
  <si>
    <t>D-6680-UR-112 (gas)</t>
  </si>
  <si>
    <t>D-6690-UR-114 (gas)</t>
  </si>
  <si>
    <t>C-02-G-0199</t>
  </si>
  <si>
    <t>D-3270-UR-111 (gas)</t>
  </si>
  <si>
    <t>D-02-057-02</t>
  </si>
  <si>
    <t>C-U-13000</t>
  </si>
  <si>
    <t>D-2002-63-G</t>
  </si>
  <si>
    <t>Piedmont Natural Gas Co.</t>
  </si>
  <si>
    <t>FC-989</t>
  </si>
  <si>
    <t>D-6680-UR-111 (gas)</t>
  </si>
  <si>
    <t>D-01-0696</t>
  </si>
  <si>
    <t>D-6690-UR-113 (gas)</t>
  </si>
  <si>
    <t>D-14311-U</t>
  </si>
  <si>
    <t>C-2001-00092</t>
  </si>
  <si>
    <t>D-01-05-19</t>
  </si>
  <si>
    <t>D-G-01551A-00-0309</t>
  </si>
  <si>
    <t>D-D2000.8.113 (gas)</t>
  </si>
  <si>
    <t>D-00S-422G</t>
  </si>
  <si>
    <t>D-000768-GU</t>
  </si>
  <si>
    <t>D-6690-UR-112 (gas)</t>
  </si>
  <si>
    <t>D-3270-UR-110 (gas)</t>
  </si>
  <si>
    <t>D-UE-99-1607</t>
  </si>
  <si>
    <t>C-2000-080</t>
  </si>
  <si>
    <t>D-99-057-20</t>
  </si>
  <si>
    <t>D-6630-UR-111 (gas)</t>
  </si>
  <si>
    <t>D-99-0534</t>
  </si>
  <si>
    <t>C-8829</t>
  </si>
  <si>
    <t>D-99-09-03</t>
  </si>
  <si>
    <t>AP-9712020 De-0002046 (gas)</t>
  </si>
  <si>
    <t>D-99-04-18</t>
  </si>
  <si>
    <t>C-GR-99-315</t>
  </si>
  <si>
    <t>D-UG-132</t>
  </si>
  <si>
    <t>D-98S-518G</t>
  </si>
  <si>
    <t>D-98-0545 (CIPS)</t>
  </si>
  <si>
    <t>D-98-0546 (CIPS)</t>
  </si>
  <si>
    <t>C-PUE-970455</t>
  </si>
  <si>
    <t>Columbia Gas of Virginia Inc</t>
  </si>
  <si>
    <t>D-6690-UR-111 (gas)</t>
  </si>
  <si>
    <t>D-3270-UR-109 (gas)</t>
  </si>
  <si>
    <t>D-G-5,SUB386</t>
  </si>
  <si>
    <t>Public Service Co. of NC</t>
  </si>
  <si>
    <t>D-97-00982</t>
  </si>
  <si>
    <t>D-4220-UR-110 (gas)</t>
  </si>
  <si>
    <t>C-GR-98-140</t>
  </si>
  <si>
    <t>D-8390-U</t>
  </si>
  <si>
    <t>D-6630-UR-110 (gas)</t>
  </si>
  <si>
    <t>C-PUE-960227</t>
  </si>
  <si>
    <t>D-3270-UR-108 (gas)</t>
  </si>
  <si>
    <t>D-6680-UR-110 (gas)</t>
  </si>
  <si>
    <t>C-U-10960</t>
  </si>
  <si>
    <t>D-6690-UR-110 (gas)</t>
  </si>
  <si>
    <t>D-6630-UR-109 (gas)</t>
  </si>
  <si>
    <t>C-2662</t>
  </si>
  <si>
    <t>D-96S-290G</t>
  </si>
  <si>
    <t>C-GR-96-285</t>
  </si>
  <si>
    <t>D-96-00977</t>
  </si>
  <si>
    <t>C-95-656-GA-AIR</t>
  </si>
  <si>
    <t>DPU-96-50</t>
  </si>
  <si>
    <t>D-96-030-U</t>
  </si>
  <si>
    <t>D-4220-UR-109 (gas)</t>
  </si>
  <si>
    <t>D-960502-GU</t>
  </si>
  <si>
    <t>C-95-G-1034</t>
  </si>
  <si>
    <t>D-G-008-GR-95-700</t>
  </si>
  <si>
    <t>D-193,305-U</t>
  </si>
  <si>
    <t>Kansas Gas Service Co.</t>
  </si>
  <si>
    <t>D-95-0219</t>
  </si>
  <si>
    <t>C-U-10755</t>
  </si>
  <si>
    <t>C-PUE-940054</t>
  </si>
  <si>
    <t>AP-9412005 De-9512055 (gas)</t>
  </si>
  <si>
    <t>D-4220-UR-108 (gas)</t>
  </si>
  <si>
    <t>D-24794</t>
  </si>
  <si>
    <t>Alabama</t>
  </si>
  <si>
    <t>C-8697</t>
  </si>
  <si>
    <t>D-2286</t>
  </si>
  <si>
    <t>D-95-0031</t>
  </si>
  <si>
    <t>D-95-0032</t>
  </si>
  <si>
    <t>D-95-715-G</t>
  </si>
  <si>
    <t>D-95-02-07</t>
  </si>
  <si>
    <t>C-PUE-940031</t>
  </si>
  <si>
    <t>C-94-G-0604</t>
  </si>
  <si>
    <t>D-6670-GR-109</t>
  </si>
  <si>
    <t>C-94-G-0100</t>
  </si>
  <si>
    <t>D-6690-UR-109 (gas)</t>
  </si>
  <si>
    <t>D-94-0040 (CILCO)</t>
  </si>
  <si>
    <t>D-3270-UR-107 (gas)</t>
  </si>
  <si>
    <t>D-6680-UR-109 (gas)</t>
  </si>
  <si>
    <t>C-R-942991</t>
  </si>
  <si>
    <t>Ca-PUD-91001190</t>
  </si>
  <si>
    <t>Oklahoma Natural Gas Co</t>
  </si>
  <si>
    <t>D-G-5,SUB327</t>
  </si>
  <si>
    <t>C-93-G-0756</t>
  </si>
  <si>
    <t>D-G-1032-93-111</t>
  </si>
  <si>
    <t>D-D93.6.24 (gas)</t>
  </si>
  <si>
    <t>D-93-0183 (IP)</t>
  </si>
  <si>
    <t>D-93-081-U</t>
  </si>
  <si>
    <t>C-93-G-0162</t>
  </si>
  <si>
    <t>D-93-057-01</t>
  </si>
  <si>
    <t>AP-9211017 De-9312043</t>
  </si>
  <si>
    <t>D-6690-UR-108 (gas)</t>
  </si>
  <si>
    <t>D-93-02-04</t>
  </si>
  <si>
    <t>C-92-G-1056</t>
  </si>
  <si>
    <t>D-93S-001G</t>
  </si>
  <si>
    <t>D-91-24</t>
  </si>
  <si>
    <t>D-6650-GR-111</t>
  </si>
  <si>
    <t>DPU-93-60</t>
  </si>
  <si>
    <t>C-92-1088-G-P</t>
  </si>
  <si>
    <t>C-93-005-G-42T</t>
  </si>
  <si>
    <t>C-U-10150</t>
  </si>
  <si>
    <t>D-93-3004(Southern)</t>
  </si>
  <si>
    <t>C-PUE-920037</t>
  </si>
  <si>
    <t>D-2082</t>
  </si>
  <si>
    <t>FC-922</t>
  </si>
  <si>
    <t>D-6680-UR-108 (gas)</t>
  </si>
  <si>
    <t>D-4451-U</t>
  </si>
  <si>
    <t>D-UG-92-084</t>
  </si>
  <si>
    <t>D-G-002-GR-92-1186</t>
  </si>
  <si>
    <t>D-RPU-92-11</t>
  </si>
  <si>
    <t>D-6670-GR-108</t>
  </si>
  <si>
    <t>D-U-1551-92-253</t>
  </si>
  <si>
    <t>C-92-346</t>
  </si>
  <si>
    <t>D-92-0357(gas)</t>
  </si>
  <si>
    <t>C-PUE-920031</t>
  </si>
  <si>
    <t>D-92-12021</t>
  </si>
  <si>
    <t>D-3270-UR-106 (gas)</t>
  </si>
  <si>
    <t>C-8487(gas)</t>
  </si>
  <si>
    <t>D-4220-UR-106 (gas)</t>
  </si>
  <si>
    <t>D-181,940-U</t>
  </si>
  <si>
    <t>D-6680-UR-107 (gas)</t>
  </si>
  <si>
    <t>D-6690-UR-107 (gas)</t>
  </si>
  <si>
    <t>AP-9111036 De-9212057 (gas)</t>
  </si>
  <si>
    <t>AP-9111024 De-9212019 (gas)</t>
  </si>
  <si>
    <t>D-RPU-92-6</t>
  </si>
  <si>
    <t>Black Hills Iowa Gas Utility</t>
  </si>
  <si>
    <t>C-91-G-1328</t>
  </si>
  <si>
    <t>DPU-92-11</t>
  </si>
  <si>
    <t>D-6650-GR-110</t>
  </si>
  <si>
    <t>D-6670-GR-107</t>
  </si>
  <si>
    <t>D-91-0568</t>
  </si>
  <si>
    <t>D-4177-U</t>
  </si>
  <si>
    <t>D-92-02-19</t>
  </si>
  <si>
    <t>C-91-G-0865</t>
  </si>
  <si>
    <t>C-91-G-767</t>
  </si>
  <si>
    <t>D-RPU-91-5</t>
  </si>
  <si>
    <t>D-91-0193 (gas) (CIPS)</t>
  </si>
  <si>
    <t>D-U-1551-90-322</t>
  </si>
  <si>
    <t>D-91-7080</t>
  </si>
  <si>
    <t>C-GR-91-291</t>
  </si>
  <si>
    <t>D-176,716-U</t>
  </si>
  <si>
    <t>D-6690-UR-106 (gas)</t>
  </si>
  <si>
    <t>D-4220-UR-105 (gas)</t>
  </si>
  <si>
    <t>D-G-21,SUB295</t>
  </si>
  <si>
    <t>NC Natural Gas Corp.</t>
  </si>
  <si>
    <t>D-4011-U</t>
  </si>
  <si>
    <t>C-91-G-0112</t>
  </si>
  <si>
    <t>D-91-0010</t>
  </si>
  <si>
    <t>D-6650-GR-109</t>
  </si>
  <si>
    <t>C-90-G-1001</t>
  </si>
  <si>
    <t>D-6670-GR-106</t>
  </si>
  <si>
    <t>C-PUE-900028</t>
  </si>
  <si>
    <t>C-90-G-0734</t>
  </si>
  <si>
    <t>D-D90.6.39 (gas)</t>
  </si>
  <si>
    <t>C-90-G-0673</t>
  </si>
  <si>
    <t>C-90-G-649</t>
  </si>
  <si>
    <t>D-1971</t>
  </si>
  <si>
    <t>C-90-G-0140</t>
  </si>
  <si>
    <t>D-90-0127 (CILCO)</t>
  </si>
  <si>
    <t>D-21530</t>
  </si>
  <si>
    <t>D-891175-GU</t>
  </si>
  <si>
    <t>C-90-158 (gas)</t>
  </si>
  <si>
    <t>C-R-901670</t>
  </si>
  <si>
    <t>D-6690-UR-105 (gas)</t>
  </si>
  <si>
    <t>C-PUE-900034</t>
  </si>
  <si>
    <t>D-90-0072 (CIPS)</t>
  </si>
  <si>
    <t>C-R-901595</t>
  </si>
  <si>
    <t>Equitable Gas Company</t>
  </si>
  <si>
    <t>D-89-057-15</t>
  </si>
  <si>
    <t>D-90-0007</t>
  </si>
  <si>
    <t>C-90-041 (gas)</t>
  </si>
  <si>
    <t>C-R-891469</t>
  </si>
  <si>
    <t>Columbia Gas of Pennsylvania</t>
  </si>
  <si>
    <t>D-3923-U</t>
  </si>
  <si>
    <t>C-90-013</t>
  </si>
  <si>
    <t>D-U-1551-89-102</t>
  </si>
  <si>
    <t>D-U-1551-89-103</t>
  </si>
  <si>
    <t>C-89-G-179</t>
  </si>
  <si>
    <t>C-89-G-168</t>
  </si>
  <si>
    <t>C-U-9323</t>
  </si>
  <si>
    <t>SEMCO Energy Inc.</t>
  </si>
  <si>
    <t>D-6680-UR-105 (gas)</t>
  </si>
  <si>
    <t>D-3270-UR-104 (gas)</t>
  </si>
  <si>
    <t>D-RPU-89-3</t>
  </si>
  <si>
    <t>C-89-616,620-GA-AIR</t>
  </si>
  <si>
    <t>D-89-09-06</t>
  </si>
  <si>
    <t>D-GR-89030335J</t>
  </si>
  <si>
    <t>New Jersey Natural Gas Co.</t>
  </si>
  <si>
    <t>C-89-G-030</t>
  </si>
  <si>
    <t>D-GR-88121321</t>
  </si>
  <si>
    <t>AP-8812047 De-900116</t>
  </si>
  <si>
    <t>D-4220-UR-103-G</t>
  </si>
  <si>
    <t>D-6690-UR-104-G</t>
  </si>
  <si>
    <t>C-R-891218</t>
  </si>
  <si>
    <t>AP-8812005 De-8912057-G</t>
  </si>
  <si>
    <t>C-8208 0-68648-G</t>
  </si>
  <si>
    <t>C-U-8924</t>
  </si>
  <si>
    <t>D-89-245-G O-89-1074</t>
  </si>
  <si>
    <t>D-6680-UR-104-G</t>
  </si>
  <si>
    <t>D-G-5, SUB 246</t>
  </si>
  <si>
    <t>D-6650-GR-106</t>
  </si>
  <si>
    <t>C-88-716, 720-GA-AIR</t>
  </si>
  <si>
    <t>C-10498</t>
  </si>
  <si>
    <t>Columbia Gas of Kentucky Inc</t>
  </si>
  <si>
    <t>D-89-02-09</t>
  </si>
  <si>
    <t>D-88.6.15 (gas)</t>
  </si>
  <si>
    <t>C-88-G-180</t>
  </si>
  <si>
    <t>D-3270-UR-103-G</t>
  </si>
  <si>
    <t>D-1914</t>
  </si>
  <si>
    <t>D-G-9, SUB 278</t>
  </si>
  <si>
    <t>D-6690-UR-103-G</t>
  </si>
  <si>
    <t>C-R-880961</t>
  </si>
  <si>
    <t>Peoples Natural Gas Co. LLC</t>
  </si>
  <si>
    <t>C-U-8812</t>
  </si>
  <si>
    <t>D-88-05-25-G</t>
  </si>
  <si>
    <t>AP-8712003 De-8812085-G</t>
  </si>
  <si>
    <t>D-3780-U</t>
  </si>
  <si>
    <t>D-U-17850 (LGS)</t>
  </si>
  <si>
    <t>C-PUE-880024</t>
  </si>
  <si>
    <t>C-870 0-9146</t>
  </si>
  <si>
    <t>Ca-38380</t>
  </si>
  <si>
    <t>C-10201</t>
  </si>
  <si>
    <t>D-6680-UR-103-G</t>
  </si>
  <si>
    <t>DPU-88-67</t>
  </si>
  <si>
    <t>D-6670-GR-103</t>
  </si>
  <si>
    <t>D-158,499-U</t>
  </si>
  <si>
    <t>C-8119 0-68211</t>
  </si>
  <si>
    <t>C-2147</t>
  </si>
  <si>
    <t>C-29676</t>
  </si>
  <si>
    <t>C-29679</t>
  </si>
  <si>
    <t>D-U-17694 (ARKLA)</t>
  </si>
  <si>
    <t>C-10064 (gas)</t>
  </si>
  <si>
    <t>D-87-1131</t>
  </si>
  <si>
    <t>D-RPU-87-3</t>
  </si>
  <si>
    <t>D-3270-UR-102-G</t>
  </si>
  <si>
    <t>C-R-870719</t>
  </si>
  <si>
    <t>D-87-07-01-G</t>
  </si>
  <si>
    <t>D-6690-UR-102-G</t>
  </si>
  <si>
    <t>D-87-0032</t>
  </si>
  <si>
    <t>C-R-870629</t>
  </si>
  <si>
    <t>DPU-87-122</t>
  </si>
  <si>
    <t>D-4220-UR-101-G</t>
  </si>
  <si>
    <t>D-U-17537 (Entex)</t>
  </si>
  <si>
    <t>D-87-227-G O-87-1294</t>
  </si>
  <si>
    <t>D-154,608-U</t>
  </si>
  <si>
    <t>D-87-03-06</t>
  </si>
  <si>
    <t>Ca-38080</t>
  </si>
  <si>
    <t>Indiana Gas Co.</t>
  </si>
  <si>
    <t>D-6690-UR-101-G</t>
  </si>
  <si>
    <t>D-87-01-03</t>
  </si>
  <si>
    <t>C-29248</t>
  </si>
  <si>
    <t>D-3270-UR-101-G</t>
  </si>
  <si>
    <t>C-7973 0-67733-G</t>
  </si>
  <si>
    <t>D-RPU-86-11</t>
  </si>
  <si>
    <t>D-U-17159 (TLG)</t>
  </si>
  <si>
    <t>D-U-86-7442</t>
  </si>
  <si>
    <t>D-E-002-GR-86-160</t>
  </si>
  <si>
    <t>D-G-011-GR-86-144</t>
  </si>
  <si>
    <t>D-6650-GR-102</t>
  </si>
  <si>
    <t>AP-851250 De-8612095-G</t>
  </si>
  <si>
    <t>C-R-850287</t>
  </si>
  <si>
    <t>D-G-5, SUB 207</t>
  </si>
  <si>
    <t>D-G-21, SUB 255</t>
  </si>
  <si>
    <t>C-9556</t>
  </si>
  <si>
    <t>C-R-850270</t>
  </si>
  <si>
    <t>D-3582-U</t>
  </si>
  <si>
    <t>C-840 0-8569</t>
  </si>
  <si>
    <t>D-6680-UR-101-G</t>
  </si>
  <si>
    <t>D-85106-974</t>
  </si>
  <si>
    <t>C-29191</t>
  </si>
  <si>
    <t>D-RPU-85-22</t>
  </si>
  <si>
    <t>D-148,312-U</t>
  </si>
  <si>
    <t>D-85-10-22-G</t>
  </si>
  <si>
    <t>D-85.7.30</t>
  </si>
  <si>
    <t>D-3270-UR-100-G</t>
  </si>
  <si>
    <t>D-U-16534 (ARKLA)</t>
  </si>
  <si>
    <t>D-RPU-85-14</t>
  </si>
  <si>
    <t>C-29088</t>
  </si>
  <si>
    <t>C-U-7976</t>
  </si>
  <si>
    <t>D-U-85-7382</t>
  </si>
  <si>
    <t>C-29047</t>
  </si>
  <si>
    <t>Ca-29441</t>
  </si>
  <si>
    <t>C-PUE-850045</t>
  </si>
  <si>
    <t>D-E-002-GR-85-108</t>
  </si>
  <si>
    <t>D-6650-GR-100</t>
  </si>
  <si>
    <t>AP-841215 De-8512108-G</t>
  </si>
  <si>
    <t>Ca-29562</t>
  </si>
  <si>
    <t>D-G-9, SUB 251</t>
  </si>
  <si>
    <t>D-85-043-U</t>
  </si>
  <si>
    <t>C-28954</t>
  </si>
  <si>
    <t>D-G-5, SUB 200</t>
  </si>
  <si>
    <t>C-U-4728</t>
  </si>
  <si>
    <t>D-U-85-7355</t>
  </si>
  <si>
    <t>C-R-842769</t>
  </si>
  <si>
    <t>C-28947</t>
  </si>
  <si>
    <t>Brooklyn Union Gas Co.</t>
  </si>
  <si>
    <t>D-U-16437 (LGS)</t>
  </si>
  <si>
    <t>D-3524-U</t>
  </si>
  <si>
    <t>D-6680-UR-100-G</t>
  </si>
  <si>
    <t>D-3270-UR-13-G</t>
  </si>
  <si>
    <t>C-28898</t>
  </si>
  <si>
    <t>C-U-7895</t>
  </si>
  <si>
    <t>D-U-84-7333</t>
  </si>
  <si>
    <t>C-28839</t>
  </si>
  <si>
    <t>C-28826</t>
  </si>
  <si>
    <t>C-28800</t>
  </si>
  <si>
    <t>D-84-23</t>
  </si>
  <si>
    <t>C-PUE-840046</t>
  </si>
  <si>
    <t>D-843-184</t>
  </si>
  <si>
    <t>South Jersey Gas Co.</t>
  </si>
  <si>
    <t>C-84-057-07</t>
  </si>
  <si>
    <t>D-6690-UR-20-G</t>
  </si>
  <si>
    <t>D-84-06-02</t>
  </si>
  <si>
    <t>AP-0840225 De-8412069</t>
  </si>
  <si>
    <t>D-6650-GR-19</t>
  </si>
  <si>
    <t>C-PUE-840032</t>
  </si>
  <si>
    <t>D-1741</t>
  </si>
  <si>
    <t>C-83-1529-GA-AIR</t>
  </si>
  <si>
    <t>C-9029</t>
  </si>
  <si>
    <t>C-9003</t>
  </si>
  <si>
    <t>C-28696</t>
  </si>
  <si>
    <t>D-6680-UR-14-G</t>
  </si>
  <si>
    <t>D-U-16096 (TLG)</t>
  </si>
  <si>
    <t>D-3467-U</t>
  </si>
  <si>
    <t>D-84-02-09</t>
  </si>
  <si>
    <t>D-83-0630</t>
  </si>
  <si>
    <t>D-83-0580</t>
  </si>
  <si>
    <t>D-6670-GR-11</t>
  </si>
  <si>
    <t>C-R-832493</t>
  </si>
  <si>
    <t>D-RPU-84-23</t>
  </si>
  <si>
    <t>C-U-7650</t>
  </si>
  <si>
    <t>D-140,015-U</t>
  </si>
  <si>
    <t>C-28611</t>
  </si>
  <si>
    <t>D-U-1551 De-54073</t>
  </si>
  <si>
    <t>D-1640-De-C84-598 (Gas)</t>
  </si>
  <si>
    <t>C-8924 (gas)</t>
  </si>
  <si>
    <t>D-83.8.58</t>
  </si>
  <si>
    <t>C-R-832401</t>
  </si>
  <si>
    <t>C-28552</t>
  </si>
  <si>
    <t>D-83-1012 (Southern)</t>
  </si>
  <si>
    <t>D-837-620-G</t>
  </si>
  <si>
    <t>C-28527</t>
  </si>
  <si>
    <t>D-3270-UR-12-G</t>
  </si>
  <si>
    <t>C-R-832331</t>
  </si>
  <si>
    <t>Ca-37247</t>
  </si>
  <si>
    <t>C-R-832315</t>
  </si>
  <si>
    <t>C-28471</t>
  </si>
  <si>
    <t>D-6650-GR-18</t>
  </si>
  <si>
    <t>AP-821248 De-8312068-G</t>
  </si>
  <si>
    <t>AP-821257 De-8312065-G</t>
  </si>
  <si>
    <t>C-28447</t>
  </si>
  <si>
    <t>D-G-21, SUB 235</t>
  </si>
  <si>
    <t>D-U-15640</t>
  </si>
  <si>
    <t>D-83-07-15-G</t>
  </si>
  <si>
    <t>C-8839</t>
  </si>
  <si>
    <t>C-82-1151-GA-AIR</t>
  </si>
  <si>
    <t>C-82-1174-GA-AIR</t>
  </si>
  <si>
    <t>C-U-7298</t>
  </si>
  <si>
    <t>D-136,850-U</t>
  </si>
  <si>
    <t>Ca-28069</t>
  </si>
  <si>
    <t>C-1787</t>
  </si>
  <si>
    <t>C-28380</t>
  </si>
  <si>
    <t>D-82-0892 (gas)</t>
  </si>
  <si>
    <t>D-3402-U</t>
  </si>
  <si>
    <t>D-U-1345 De-53761-G</t>
  </si>
  <si>
    <t>D-83-217-G O-83-601</t>
  </si>
  <si>
    <t>D-U-15763 (Entex)</t>
  </si>
  <si>
    <t>Ca-27878</t>
  </si>
  <si>
    <t>D-6670-GR-10</t>
  </si>
  <si>
    <t>D-6680-UR-13-G</t>
  </si>
  <si>
    <t>C-82-901-GA-AIR</t>
  </si>
  <si>
    <t>D-G-5, SUB 181</t>
  </si>
  <si>
    <t>C-28315</t>
  </si>
  <si>
    <t>D-4220-UR-4-G</t>
  </si>
  <si>
    <t>C-R-822133</t>
  </si>
  <si>
    <t>C-8738</t>
  </si>
  <si>
    <t>C-7695 0-66273-G</t>
  </si>
  <si>
    <t>D-83-01-01</t>
  </si>
  <si>
    <t>D-18590</t>
  </si>
  <si>
    <t>D-U-15575 (LGS)</t>
  </si>
  <si>
    <t>D-82.6.40</t>
  </si>
  <si>
    <t>C-82-380-G-42T</t>
  </si>
  <si>
    <t>D-3270-UR-11-G</t>
  </si>
  <si>
    <t>C-28279</t>
  </si>
  <si>
    <t>D-83-113</t>
  </si>
  <si>
    <t>C-82-057-15</t>
  </si>
  <si>
    <t>C-U-5732</t>
  </si>
  <si>
    <t>D-6690-UR-19-G</t>
  </si>
  <si>
    <t>C-28227</t>
  </si>
  <si>
    <t>D-G-008-GR-82-249</t>
  </si>
  <si>
    <t>D-U-82-7190</t>
  </si>
  <si>
    <t>C-8616 (gas)</t>
  </si>
  <si>
    <t>C-787 0-7749</t>
  </si>
  <si>
    <t>D-RPU-82-40</t>
  </si>
  <si>
    <t>D-G-011-GR-82-65</t>
  </si>
  <si>
    <t>D-82-399 (Southern)</t>
  </si>
  <si>
    <t>C-28177</t>
  </si>
  <si>
    <t>D-6650-GR-17</t>
  </si>
  <si>
    <t>D-82-0152 (IP-G)</t>
  </si>
  <si>
    <t>C-28169</t>
  </si>
  <si>
    <t>Ca-U-82-22, 37</t>
  </si>
  <si>
    <t>Ca-U-82-11</t>
  </si>
  <si>
    <t>D-82-0082</t>
  </si>
  <si>
    <t>D-82-0189</t>
  </si>
  <si>
    <t>C-28158</t>
  </si>
  <si>
    <t>C-PUE-820047</t>
  </si>
  <si>
    <t>C-R-821899</t>
  </si>
  <si>
    <t>D-82-07-01-G</t>
  </si>
  <si>
    <t>D-U-82-7175</t>
  </si>
  <si>
    <t>AP-61081 De-82-12054</t>
  </si>
  <si>
    <t>D-132,996-U</t>
  </si>
  <si>
    <t>DPU-1125</t>
  </si>
  <si>
    <t>D-82-399 (Northern)</t>
  </si>
  <si>
    <t>D-G-9, SUB 219</t>
  </si>
  <si>
    <t>DPU-1120</t>
  </si>
  <si>
    <t>DPU-1122</t>
  </si>
  <si>
    <t>C-U-4242</t>
  </si>
  <si>
    <t>C-7639 0-66016</t>
  </si>
  <si>
    <t>C-PUE-820029</t>
  </si>
  <si>
    <t>D-82-0039 (CIPS-G)</t>
  </si>
  <si>
    <t>AP-82-0705 De-8211061</t>
  </si>
  <si>
    <t>C-U-1034-99</t>
  </si>
  <si>
    <t>D-82-06-12</t>
  </si>
  <si>
    <t>D-6670-GR-9</t>
  </si>
  <si>
    <t>Ca-36817</t>
  </si>
  <si>
    <t>C-28107</t>
  </si>
  <si>
    <t>C-28106</t>
  </si>
  <si>
    <t>D-818-754</t>
  </si>
  <si>
    <t>D-3333-U</t>
  </si>
  <si>
    <t>D-U-1551 De-53237</t>
  </si>
  <si>
    <t>DPU-1100</t>
  </si>
  <si>
    <t>D-E-002-GR-81-508</t>
  </si>
  <si>
    <t>D-82-239-G O-82-676</t>
  </si>
  <si>
    <t>C-U-1008-171</t>
  </si>
  <si>
    <t>C-81-1025-GA-AIR</t>
  </si>
  <si>
    <t>C-81-1024-GA-AIR</t>
  </si>
  <si>
    <t>D-4286</t>
  </si>
  <si>
    <t>C-1710</t>
  </si>
  <si>
    <t>D-81-0747 (gas)</t>
  </si>
  <si>
    <t>Ca-36690</t>
  </si>
  <si>
    <t>Ca-U-82-20,33</t>
  </si>
  <si>
    <t>Cascade Natural Gas Corp.</t>
  </si>
  <si>
    <t>C-81-970-GA-AIR</t>
  </si>
  <si>
    <t>C-U-6839</t>
  </si>
  <si>
    <t>D-3270-UR-10-G</t>
  </si>
  <si>
    <t>C-28055</t>
  </si>
  <si>
    <t>D-RPU-81-44</t>
  </si>
  <si>
    <t>D-81-0600 (CILCO-G)</t>
  </si>
  <si>
    <t>D-81-0609</t>
  </si>
  <si>
    <t>C-R-811719</t>
  </si>
  <si>
    <t>D-1612</t>
  </si>
  <si>
    <t>C-28036</t>
  </si>
  <si>
    <t>C-81-340-G-42T</t>
  </si>
  <si>
    <t>D-81-12-12</t>
  </si>
  <si>
    <t>D-U-15276 (LGS)</t>
  </si>
  <si>
    <t>D-G-5, SUB 168</t>
  </si>
  <si>
    <t>D-81.6.57</t>
  </si>
  <si>
    <t>D-6690-UR-18-G</t>
  </si>
  <si>
    <t>D-81.7.62</t>
  </si>
  <si>
    <t>D-81-614 (Southern)</t>
  </si>
  <si>
    <t>C-10, 280</t>
  </si>
  <si>
    <t>Ca-U-81-64</t>
  </si>
  <si>
    <t>D-6650-GR-15</t>
  </si>
  <si>
    <t>Ca-27347</t>
  </si>
  <si>
    <t>C-R-811600</t>
  </si>
  <si>
    <t>C-27986</t>
  </si>
  <si>
    <t>D-RPU-80-65</t>
  </si>
  <si>
    <t>C-7585 0-65676</t>
  </si>
  <si>
    <t>D-812-76-G</t>
  </si>
  <si>
    <t>C-U-1034-95</t>
  </si>
  <si>
    <t>C-768 0-7469</t>
  </si>
  <si>
    <t>C-7574 0-65648-G</t>
  </si>
  <si>
    <t>D-G-9, SUB 212</t>
  </si>
  <si>
    <t>DPU-777</t>
  </si>
  <si>
    <t>C-81-67-GA-AIR</t>
  </si>
  <si>
    <t>D-128,361-U</t>
  </si>
  <si>
    <t>C-8284 (gas)</t>
  </si>
  <si>
    <t>AP-59788 De-93892-G</t>
  </si>
  <si>
    <t>AP-60153 De-93887-G</t>
  </si>
  <si>
    <t>D-3288-U</t>
  </si>
  <si>
    <t>C-27934</t>
  </si>
  <si>
    <t>D-81-13</t>
  </si>
  <si>
    <t>C-27910</t>
  </si>
  <si>
    <t>D-1525-De-C81-1999 (Gas)</t>
  </si>
  <si>
    <t>D-U-1551 De-52631</t>
  </si>
  <si>
    <t>D-81-06-04-G</t>
  </si>
  <si>
    <t>D-81-06-02-G</t>
  </si>
  <si>
    <t>Ca-U-81-16</t>
  </si>
  <si>
    <t>D-RPU-80-19</t>
  </si>
  <si>
    <t>D-126,922-U</t>
  </si>
  <si>
    <t>D-U-1345 De-52558-G</t>
  </si>
  <si>
    <t>D-U-15097 (ARKLA)</t>
  </si>
  <si>
    <t>C-27884</t>
  </si>
  <si>
    <t>C-27885</t>
  </si>
  <si>
    <t>C-U-1008-155</t>
  </si>
  <si>
    <t>D-81-252-G</t>
  </si>
  <si>
    <t>C-GR-81-155</t>
  </si>
  <si>
    <t>C-80-1087-GA-AIR</t>
  </si>
  <si>
    <t>D-6670-GR-7</t>
  </si>
  <si>
    <t>Ca-U-80-111</t>
  </si>
  <si>
    <t>D-81-106</t>
  </si>
  <si>
    <t>D-G-008-GR-80-630</t>
  </si>
  <si>
    <t>D-81-04-09</t>
  </si>
  <si>
    <t>C-80-769-GA-AIR</t>
  </si>
  <si>
    <t>C-80-715-GA-AIR</t>
  </si>
  <si>
    <t>C-80-777-GA-AIR</t>
  </si>
  <si>
    <t>D-RPU-80-36 (gas)</t>
  </si>
  <si>
    <t>D-RPU-78-30</t>
  </si>
  <si>
    <t>C-1568</t>
  </si>
  <si>
    <t>D-E-002-GR-80-556</t>
  </si>
  <si>
    <t>D-U-3144</t>
  </si>
  <si>
    <t>C-27827</t>
  </si>
  <si>
    <t>C-27833</t>
  </si>
  <si>
    <t>D-18046</t>
  </si>
  <si>
    <t>D-6680-UR-11-G</t>
  </si>
  <si>
    <t>C-81-057-01</t>
  </si>
  <si>
    <t>D-80-0511 (gas)</t>
  </si>
  <si>
    <t>D-6690-UR-17-G</t>
  </si>
  <si>
    <t>D-U-1551 De-52099</t>
  </si>
  <si>
    <t>D-RPU-80-42</t>
  </si>
  <si>
    <t>Ca-U-80-101</t>
  </si>
  <si>
    <t>D-80.7.52</t>
  </si>
  <si>
    <t>C-R-81-73 (gas)</t>
  </si>
  <si>
    <t>D-80-0318 (CIPS-G)</t>
  </si>
  <si>
    <t>C-27743</t>
  </si>
  <si>
    <t>Ca-26975</t>
  </si>
  <si>
    <t>Ca-26981</t>
  </si>
  <si>
    <t>C-U-6372</t>
  </si>
  <si>
    <t>Ca-U-80-14</t>
  </si>
  <si>
    <t>D-G-5, SUB 157</t>
  </si>
  <si>
    <t>D-80-0157 (CILCO-G)</t>
  </si>
  <si>
    <t>AP-59788 De-92557-G</t>
  </si>
  <si>
    <t>C-27776</t>
  </si>
  <si>
    <t>D-80.4.2.4714A (gas)</t>
  </si>
  <si>
    <t>D-6650-GR-13</t>
  </si>
  <si>
    <t>D-80-0089</t>
  </si>
  <si>
    <t>D-80-0090</t>
  </si>
  <si>
    <t>D-1425-De-C80-2346 (Gas)</t>
  </si>
  <si>
    <t>Ca-36117</t>
  </si>
  <si>
    <t>AP-59316 De-92497</t>
  </si>
  <si>
    <t>Ca-U-80-25</t>
  </si>
  <si>
    <t>D-U-14444</t>
  </si>
  <si>
    <t>C-722 0-7209</t>
  </si>
  <si>
    <t>D-80-04-17</t>
  </si>
  <si>
    <t>D-2857</t>
  </si>
  <si>
    <t>C-U-1034-88</t>
  </si>
  <si>
    <t>C-80-003-G-42T</t>
  </si>
  <si>
    <t>D-U-14665 (LGS)</t>
  </si>
  <si>
    <t>D-2867 (Northern)</t>
  </si>
  <si>
    <t>D-2868 (Southern)</t>
  </si>
  <si>
    <t>D-80-04-04-G</t>
  </si>
  <si>
    <t>D-80-04-03-G</t>
  </si>
  <si>
    <t>C-7799 (gas)</t>
  </si>
  <si>
    <t>C-27631</t>
  </si>
  <si>
    <t>C-R-79090956</t>
  </si>
  <si>
    <t>C-U-1008-145</t>
  </si>
  <si>
    <t>D-RPU-78-25</t>
  </si>
  <si>
    <t>D-120,950-U</t>
  </si>
  <si>
    <t>C-27610</t>
  </si>
  <si>
    <t>C-27608</t>
  </si>
  <si>
    <t>C-79-088-G-42T</t>
  </si>
  <si>
    <t>C-79-535-GA-AIR</t>
  </si>
  <si>
    <t>C-7397 0-64331-G</t>
  </si>
  <si>
    <t>D-U-1345 De-51009-G</t>
  </si>
  <si>
    <t>D-1420-De-C80-1039 (Gas)</t>
  </si>
  <si>
    <t>C-80-057-01</t>
  </si>
  <si>
    <t>D-794-310-G</t>
  </si>
  <si>
    <t>C-79-372-GA-AIR</t>
  </si>
  <si>
    <t>D-RPU-78-11</t>
  </si>
  <si>
    <t>C-27554</t>
  </si>
  <si>
    <t>C-27503</t>
  </si>
  <si>
    <t>C-27544</t>
  </si>
  <si>
    <t>D-119,314-U</t>
  </si>
  <si>
    <t>C-27540</t>
  </si>
  <si>
    <t>D-6650-GR-6</t>
  </si>
  <si>
    <t>D-3270-UR-9-G</t>
  </si>
  <si>
    <t>Ca-26652</t>
  </si>
  <si>
    <t>DPU-20132-G</t>
  </si>
  <si>
    <t>D-3167-U</t>
  </si>
  <si>
    <t>C-7394 0-64174</t>
  </si>
  <si>
    <t>C-R-79030781</t>
  </si>
  <si>
    <t>D-79-0133</t>
  </si>
  <si>
    <t>POOL</t>
  </si>
  <si>
    <t>CTLT UN Equity</t>
  </si>
  <si>
    <t>Catalent Inc</t>
  </si>
  <si>
    <t>CTLT</t>
  </si>
  <si>
    <t>ETSY UW Equity</t>
  </si>
  <si>
    <t>Etsy Inc</t>
  </si>
  <si>
    <t>ETSY</t>
  </si>
  <si>
    <t>LUMN UN Equity</t>
  </si>
  <si>
    <t>LUMN</t>
  </si>
  <si>
    <t>TER UW Equity</t>
  </si>
  <si>
    <t>Teradyne Inc</t>
  </si>
  <si>
    <t>TER</t>
  </si>
  <si>
    <t xml:space="preserve">Atmos Energy        </t>
  </si>
  <si>
    <t>D-20-02023 (Southern)</t>
  </si>
  <si>
    <t>D-20-02023 (Northern)</t>
  </si>
  <si>
    <t>Short-Term Debt %</t>
  </si>
  <si>
    <t>Short-Term Debt Cost (%)</t>
  </si>
  <si>
    <t>2020M09</t>
  </si>
  <si>
    <t>Atmos Energy Corporation</t>
  </si>
  <si>
    <t xml:space="preserve">   Bonds and A2 Rated Public</t>
  </si>
  <si>
    <t>Adjusted Prospective Yield on A2 Rated</t>
  </si>
  <si>
    <t>A2 Rated Public Utility Bond</t>
  </si>
  <si>
    <t>Baa2 Rated Public Utility Bond</t>
  </si>
  <si>
    <t>A2 Rated Public Utility Bonds Over Aaa Rated Corporate Bonds:</t>
  </si>
  <si>
    <t>Baa2 Rated Public Utility Bonds Over A2 Rated Public Utility Bonds:</t>
  </si>
  <si>
    <t>Prospective A2 Rated Utility Bond (1)</t>
  </si>
  <si>
    <t>Prospective Yield on Baa2 Rated</t>
  </si>
  <si>
    <t>Requested rate base multiplied by the requested common equity ratio.</t>
  </si>
  <si>
    <t>Henry (Jack) &amp; Assoc</t>
  </si>
  <si>
    <t>AEP UW Equity</t>
  </si>
  <si>
    <t>ENPH UQ Equity</t>
  </si>
  <si>
    <t>Enphase Energy Inc</t>
  </si>
  <si>
    <t>ENPH</t>
  </si>
  <si>
    <t>HST UW Equity</t>
  </si>
  <si>
    <t>Lumen Technologies Inc</t>
  </si>
  <si>
    <t>MPWR UW Equity</t>
  </si>
  <si>
    <t>Monolithic Power Systems Inc</t>
  </si>
  <si>
    <t>MPWR</t>
  </si>
  <si>
    <t>POOL UW Equity</t>
  </si>
  <si>
    <t>Pool Corp</t>
  </si>
  <si>
    <t>TRMB UW Equity</t>
  </si>
  <si>
    <t>Trimble Inc</t>
  </si>
  <si>
    <t>TRMB</t>
  </si>
  <si>
    <t>TSLA UW Equity</t>
  </si>
  <si>
    <t>Tesla Inc</t>
  </si>
  <si>
    <t>TSLA</t>
  </si>
  <si>
    <t>VTRS UW Equity</t>
  </si>
  <si>
    <t>Viatris Inc</t>
  </si>
  <si>
    <t>VTRS</t>
  </si>
  <si>
    <t>WR</t>
  </si>
  <si>
    <t>Column [2] - Column [1].</t>
  </si>
  <si>
    <t>DPU 19-120</t>
  </si>
  <si>
    <t>D-G-01551A-19-0055</t>
  </si>
  <si>
    <t>C-9645 (Gas)</t>
  </si>
  <si>
    <t>D-6680-UR-122 (Gas)</t>
  </si>
  <si>
    <t>D-20-0308</t>
  </si>
  <si>
    <t>D-R-2020-3018835</t>
  </si>
  <si>
    <t>2020M10</t>
  </si>
  <si>
    <t>2020M11</t>
  </si>
  <si>
    <t>2020M12</t>
  </si>
  <si>
    <t>2021M01</t>
  </si>
  <si>
    <t>2021M02</t>
  </si>
  <si>
    <t>Chattanooga Gas Co.</t>
  </si>
  <si>
    <t>D-18-00017</t>
  </si>
  <si>
    <t>CACI</t>
  </si>
  <si>
    <t>RLI</t>
  </si>
  <si>
    <t>SIRI</t>
  </si>
  <si>
    <t xml:space="preserve">CACI Int'l          </t>
  </si>
  <si>
    <t xml:space="preserve">RLI Corp.           </t>
  </si>
  <si>
    <t xml:space="preserve">Sirius XM Holdings  </t>
  </si>
  <si>
    <t>APA Corp</t>
  </si>
  <si>
    <t>CRL UN Equity</t>
  </si>
  <si>
    <t>CRL</t>
  </si>
  <si>
    <t>CZR UW Equity</t>
  </si>
  <si>
    <t>Caesars Entertainment Inc</t>
  </si>
  <si>
    <t>CZR</t>
  </si>
  <si>
    <t>Dexcom Inc</t>
  </si>
  <si>
    <t>FOXA UW Equity</t>
  </si>
  <si>
    <t>FOXA</t>
  </si>
  <si>
    <t>GNRC UN Equity</t>
  </si>
  <si>
    <t>Generac Holdings Inc</t>
  </si>
  <si>
    <t>GNRC</t>
  </si>
  <si>
    <t>HON UW Equity</t>
  </si>
  <si>
    <t>Eli Lilly &amp; Co</t>
  </si>
  <si>
    <t>MRNA UW Equity</t>
  </si>
  <si>
    <t>Moderna Inc</t>
  </si>
  <si>
    <t>MRNA</t>
  </si>
  <si>
    <t>NWSA UW Equity</t>
  </si>
  <si>
    <t>NWSA</t>
  </si>
  <si>
    <t>NXPI UW Equity</t>
  </si>
  <si>
    <t>NXP Semiconductors NV</t>
  </si>
  <si>
    <t>NXPI</t>
  </si>
  <si>
    <t>OGN UN Equity</t>
  </si>
  <si>
    <t>Organon &amp; Co</t>
  </si>
  <si>
    <t>OGN</t>
  </si>
  <si>
    <t>PTC UW Equity</t>
  </si>
  <si>
    <t>PTC Inc</t>
  </si>
  <si>
    <t>PTC</t>
  </si>
  <si>
    <t>Seagate Technology Holdings PLC</t>
  </si>
  <si>
    <t>2021M03</t>
  </si>
  <si>
    <t>2021M04</t>
  </si>
  <si>
    <t>2021M05</t>
  </si>
  <si>
    <t>2021M06</t>
  </si>
  <si>
    <t>2021M07</t>
  </si>
  <si>
    <t>Natl Fuel Gas Distribution Cor</t>
  </si>
  <si>
    <t>The East Ohio Gas Co.</t>
  </si>
  <si>
    <t>Mountaineer Gas Co.</t>
  </si>
  <si>
    <t>Rochester Gas &amp; Electric Co</t>
  </si>
  <si>
    <t>The CT Light &amp; Power Co</t>
  </si>
  <si>
    <t>Hope Gas Inc.</t>
  </si>
  <si>
    <t>The Sthrn CT Gas Co</t>
  </si>
  <si>
    <t>The Peoples Gas Light &amp; Coke C</t>
  </si>
  <si>
    <t>MDU Resources Group</t>
  </si>
  <si>
    <t>Northern States Power Co.</t>
  </si>
  <si>
    <t>Columbia Gas Ohio Inc.</t>
  </si>
  <si>
    <t>Wisconsin Natural Gas Company</t>
  </si>
  <si>
    <t>Eversource Gas Company of MA</t>
  </si>
  <si>
    <t>The Gas Co. LLC</t>
  </si>
  <si>
    <t>Dominion Energy South Carolina</t>
  </si>
  <si>
    <t>Spire Gulf Inc.</t>
  </si>
  <si>
    <t>Michigan Gas Utilities Corp.</t>
  </si>
  <si>
    <t>Elizabethtown Gas Co.</t>
  </si>
  <si>
    <t>UGI Central Penn Gas Inc.</t>
  </si>
  <si>
    <t>Corning Natural Gas Corp.</t>
  </si>
  <si>
    <t>C-9651</t>
  </si>
  <si>
    <t>D-UG-200568</t>
  </si>
  <si>
    <t>C-20-G-0101</t>
  </si>
  <si>
    <t>D-R-2020-3018929</t>
  </si>
  <si>
    <t>C-20-0746-G-42T</t>
  </si>
  <si>
    <t>Spire Mississippi Inc.</t>
  </si>
  <si>
    <t>Northwest Natural Gas Company</t>
  </si>
  <si>
    <t>允䅁䙁䅉䅁䍁䅁䅁䅁䩁䅁䅁杄䅁䑁䅉䅍硁䑁䅧兕硁䅁䅁兂䅁䅁䄴䅁祁䑁䅁免㑁䙁䅅杍䅁䅁䅣䅁佁䅁䅁杍睁䑁䅅䅏剂䑁䅍䅁䥁䅁䅁杄䅁䑁䅉䅍硁䑁䅧兕ぁ䅁䅁䅁䅁䅁䅯䅁䉂䕁䅅䅕䵂䅁䅁䅑䅁䅁䅧䅁䉂䕁䅉䅖䅁䉁䅑䅁䥁䅁䅁兑䕂䕁䅫䅁噁䅁䅁䅃䅁䕁䅅兓慂䅁䅁睇䅁䅁䅯䅁䉂䕁䄴睕呂䅁䅁杈䅁䅁䅧䅁䉂䕁䄸睕䅁䉁䅷䅁䥁䅁䅁兑啂䕁䄸䅁乁䅁䅁李䅁䕁䅅杤湂䍁䅁睒桂䡁䅍䅉䑂䡁䅕督あ䝁䄸兢求䡁䅉督杁䍁䅧兙橂䡁䅑兤桂䝁䅷克䅁䅁䅑䅁䥁䅁䅁村䉂䕁䅧䅁歁䅁䅁䅃䅁䕁䅉䅒奂䅁䅁杊䅁䅁䅧䅁䍂䕁䅙村䅁䉁䅧䅁䥁䅁䅁村乂䙁䅫䅁䭂䅁䅁杂䅁䕁䅉杕䅁䍁䅣䅁䥁䅁䅁村卂䕁䅍䅁䉂䅁䅁权䅁䕁䅍兑䑂䕁䅫䅁䵂䅁䅁权䅁䕁䅍兑呂䙁䅫䅁乂䅁䅁权䅁䕁䅍䅒佂䙁䅍䅁祁䅁䅁权䅁䕁䅍兒卂䕁䄴䅁煁䅁䅁䅃䅁䕁䅍睔偂䅁䅁先䅁䅁䅯䅁䑂䙁䅍睖䩂䅁䅁杌䅁䅁䅧䅁䕂䕁䅣䅗䅁䍁䅉䅁䥁䅁䅁䅒䵂䕁䅉䅁ㅁ䅁䅁杂䅁䕁䅕䅔䅁䍁䅳䅁䭁䅁䅁兒奂䙁䅁睔䅁䑁䅯䅁䭁䅁䅁杒䉂䙁䅍䅖䅁䕁䅕䅁䭁䅁䅁杒䑂䕁䅙睕䅁䍁䄸䅁䭁䅁䅁杒䙂䕁䅷兒䅁䕁䅍䅁䭁䅁䅁睒䉂䙁䅑䅗䅁䕁䅉䅁䭁䅁䅁睒佂䙁䅑䅗䅁䑁䅁䅁䥁䅁䅁睒卂䕁䅍䅁䕂䅁䅁䅃䅁䕁䅧睕婂䅁䅁免䅁䅁䅧䅁䩂䕁䅙杒䅁䑁䅑䅁䭁䅁䅁兓佂䕁䅣杕䅁䑁䅷䅁䥁䅁䅁兓卂䕁䄰䅁㍁䅁䅁䅊䅁䕁䅫杢穂䡁䅑兡あ䡁䅕䅤灂䝁䄸杢杁䕁䄴兙瑂䝁䅕䅉䅁䅁䅯䅁䭁䅁䅁杓䍂䕁䅧䅖䅁䑁䄰䅁䭁䅁䅁杓䭂䙁䅍杒䅁䉁䅣䅁䭁䅁䅁杓䱂䕁䅧兗䅁䑁䅙䅁䥁䅁䅁杓偂䕁䅕䅁㝁䅁䅁权䅁䕁䄰兑佂䙁䅑䅁潁䅁䅁䅃䅁䕁䄰睓䑂䅁䅁材䅁䅁䅯䅁乂䕁䄴睕啂䅁䅁杒䅁䅁䅙䅁乂䕁䄸䅁慁䅁䅁䅃䅁䕁䄰睕䉂䅁䅁睒䅁䅁䅯䅁乂䙁䅍睑䩂䅁䅁兌䅁䅁䅧䅁乂䙁䅍兓䅁䍁䅅䅁䥁䅁䅁兔啂䕁䄴䅁兂䅁䅁权䅁䕁䄰䅗䩂䕁䄰䅁汁䅁䅁杂䅁䕁䄴兑䅁䉁䅫䅁䥁䅁䅁杔䭂䙁䅉䅁佁䅁䅁䅃䅁䕁䄴睔䑂䅁䅁睍䅁䅁䅧䅁佂䙁䅣杔䅁䉁䅁䅁䭁䅁䅁睔䕂䕁䅙䅔䅁䑁䅫䅁䥁䅁䅁睔䡂䙁䅍䅁剁䅁䅁杪䅁䕁䄸䅣あ䝁䅫睢畂䡁䅍杏䑂䡁䅕杣祂䑁䄰杕求䡁䅁睢祂䡁䅑党歂䍁䅁睙ㅂ䡁䅉杣求䝁䄴睙㕂䍁䅷兔桂䝁䅣児乂䕁䅫督あ䝁䅅杢歂䝁䅅杣歂䍁䅷睑療䝁䄴杤乂䝁䅕䅤潂䝁䄸䅚㥁䕁䄰兓祂䝁䅕睙療䝁䄰兢求䝁䄴䅚求䝁䅑䅁䍁䅁䅁䅋䅁䕁䄸杣灂䝁䅣兡畂䝁䅅䅢獂䡁䅫䅉卂䝁䅕䅣療䡁䅉䅤求䝁䅑䅁䉁䅁䅁䅃䅁䙁䅁睒卂䅁䅁睉䅁䅁䅧䅁兂䕁䅳睒䅁䕁䅧䅁䥁䅁䅁䅕䱂䕁䅫䅁㑁䅁䅁杂䅁䙁䅁兔䅁䕁䄸䅁䭁䅁䅁䅕偂䕁䄸䅔䅁䍁䅫䅁䭁䅁䅁䅕偂䙁䅍䅖䅁䉁䅙䅁䥁䅁䅁杕䵂䕁䅫䅁䱂䅁䅁䅃䅁䙁䅉睔䵂䅁䅁睈䅁䙁䅉䅁卂䝁䅕䅣療䡁䅉䅤求䝁䅑䅉佂䝁䅕䅤杁䕁䄸䅣求䡁䅉兙あ䝁䅫杢湂䍁䅁兓畂䝁䅍睢瑂䝁䅕䅉潁䙁䅉党睂䝁䄸杣あ䝁䅕䅚灁䅁䅁睁䅁䅁䅯䅁呂䕁䅉兖奂䅁䅁䅌䅁䅁䅯䅁呂䕁䅫睒䩂䅁䅁䅉䅁䅁䅯䅁呂䕁䅫杕䩂䅁䅁杔䅁䅁䅧䅁呂䕁䅯兓䅁䉁䅉䅁煁䅁䅁睕佂䕁䅷䅉䩂䝁䄴督あ䝁䅫䅤ㅂ䡁䅑兡療䝁䄴䅉䱂䝁䅕入杁䅁䅁睃䅁䅁䅯䅁呂䕁䄴䅕呂䅁䅁兕䅁䅁䅙䅁呂䙁䅉䅁偁䅁䅁䅃䅁䙁䅍睖奂䅁䅁睅䅁䅁䅯䅁啂䙁䅑兒䱂䅁䅁睐䅁䑁䅉䅁啂䝁䄸䅤桂䝁䅷䅉卂䝁䅕杤求䝁䄴兤求䍁䅁䅋卂䝁䅕䅣療䡁䅉䅤求䝁䅑克䅁䅁䅙䅁䥁䅁䅁睖呂䙁䅑䅁䩂䅁䅁杊䅁䝁䄰兙祂䝁䅳党あ䡁䅍杌睂䡁䅉兡橂䝁䅕睙獂䝁䄸督求䅁䅁䅄䅁䅁䅁䅁㵁</t>
  </si>
  <si>
    <t>Rate Base</t>
  </si>
  <si>
    <t>Company Provided</t>
  </si>
  <si>
    <t>BBWI UN Equity</t>
  </si>
  <si>
    <t>Bath &amp; Body Works Inc</t>
  </si>
  <si>
    <t>BBWI</t>
  </si>
  <si>
    <t>TECH UW Equity</t>
  </si>
  <si>
    <t>Bio-Techne Corp</t>
  </si>
  <si>
    <t>TECH</t>
  </si>
  <si>
    <t>Recommended Capital Structure and Cost Rates</t>
  </si>
  <si>
    <t>for Ratemaking Purposes</t>
  </si>
  <si>
    <t>Type Of Capital</t>
  </si>
  <si>
    <t>Ratios (1)</t>
  </si>
  <si>
    <t>Cost Rate</t>
  </si>
  <si>
    <t>Weighted Cost Rate</t>
  </si>
  <si>
    <t>Long-Term Debt</t>
  </si>
  <si>
    <t>NMF</t>
  </si>
  <si>
    <t>2021M08</t>
  </si>
  <si>
    <t>Long-Term Debt %</t>
  </si>
  <si>
    <t>Long-Term Debt Cost (%)</t>
  </si>
  <si>
    <t>CSWI</t>
  </si>
  <si>
    <t xml:space="preserve">CSW Industrials     </t>
  </si>
  <si>
    <t xml:space="preserve">Waters Corp.        </t>
  </si>
  <si>
    <t>AIZ US Equity</t>
  </si>
  <si>
    <t>CACI US Equity</t>
  </si>
  <si>
    <t>CSWI US Equity</t>
  </si>
  <si>
    <t>EXPO US Equity</t>
  </si>
  <si>
    <t>INGR US Equity</t>
  </si>
  <si>
    <t>JKHY US Equity</t>
  </si>
  <si>
    <t>RLI US Equity</t>
  </si>
  <si>
    <t>SIGI US Equity</t>
  </si>
  <si>
    <t>SIRI US Equity</t>
  </si>
  <si>
    <t>WAT US Equity</t>
  </si>
  <si>
    <t>First Quarter 2023</t>
  </si>
  <si>
    <t>BRO UN Equity</t>
  </si>
  <si>
    <t>Brown &amp; Brown Inc</t>
  </si>
  <si>
    <t>BRO</t>
  </si>
  <si>
    <t>CDAY UN Equity</t>
  </si>
  <si>
    <t>Ceridian HCM Holding Inc</t>
  </si>
  <si>
    <t>CDAY</t>
  </si>
  <si>
    <t>CTRA UN Equity</t>
  </si>
  <si>
    <t>Coterra Energy Inc</t>
  </si>
  <si>
    <t>CTRA</t>
  </si>
  <si>
    <t>GOOG UW Equity</t>
  </si>
  <si>
    <t>GOOG</t>
  </si>
  <si>
    <t>MTCH UW Equity</t>
  </si>
  <si>
    <t>Match Group Inc</t>
  </si>
  <si>
    <t>MTCH</t>
  </si>
  <si>
    <t>D-20-0810</t>
  </si>
  <si>
    <t>DPU 20-120</t>
  </si>
  <si>
    <t>2021M09</t>
  </si>
  <si>
    <t>2021M10</t>
  </si>
  <si>
    <t>Meta Platforms Inc</t>
  </si>
  <si>
    <t>F5 Inc</t>
  </si>
  <si>
    <t>D-21-0098</t>
  </si>
  <si>
    <t>Change in Current Assets</t>
  </si>
  <si>
    <t>CHGCURASSET</t>
  </si>
  <si>
    <t>Change in Current Liabilities</t>
  </si>
  <si>
    <t>CHGCURLIAB</t>
  </si>
  <si>
    <t>Total debt relative to EBITDA (Earnings before Interest, Income Taxes, Depreciation and Amortization).</t>
  </si>
  <si>
    <t>Funds from operations (sum of net income, depreciation, amortization, net deferred income tax and investment tax credits, less total AFUDC) plus interest charges as a percentage of total debt.</t>
  </si>
  <si>
    <t>Capital Structure Based upon Total Permanent Capital for the</t>
  </si>
  <si>
    <t>Preferred Stock</t>
  </si>
  <si>
    <t xml:space="preserve">     Total Capital</t>
  </si>
  <si>
    <t xml:space="preserve">Institution Name </t>
  </si>
  <si>
    <t xml:space="preserve">SNL Institution Key </t>
  </si>
  <si>
    <t>Common Equity (Reported)</t>
  </si>
  <si>
    <t>Total Preferred Equity (Reported)</t>
  </si>
  <si>
    <t>Long-term Debt, Including Current Portion (Reported)</t>
  </si>
  <si>
    <t>Short-term Debt (Reported)</t>
  </si>
  <si>
    <t>Common Equity (%)</t>
  </si>
  <si>
    <t>Long-Term Debt (%)</t>
  </si>
  <si>
    <t>Short-Term Debt (%)</t>
  </si>
  <si>
    <t>Check</t>
  </si>
  <si>
    <t>2020Y</t>
  </si>
  <si>
    <t>New Jersey Natural Gas Company</t>
  </si>
  <si>
    <t xml:space="preserve">Operating Subsidiary Company Capital Structures of the </t>
  </si>
  <si>
    <t>Parent Company Ticker</t>
  </si>
  <si>
    <t>Max</t>
  </si>
  <si>
    <t>Min.</t>
  </si>
  <si>
    <t>2021M11</t>
  </si>
  <si>
    <t>Derivation of the Flotation Cost Adjustment to the Cost of Common Equity</t>
  </si>
  <si>
    <t>[Column 1]</t>
  </si>
  <si>
    <t>[Column 2]</t>
  </si>
  <si>
    <t>[Column 3]</t>
  </si>
  <si>
    <t>[Column 4]</t>
  </si>
  <si>
    <t>[Column 5]</t>
  </si>
  <si>
    <t>[Column 6]</t>
  </si>
  <si>
    <t>[Column 7]</t>
  </si>
  <si>
    <t>[Column 8]</t>
  </si>
  <si>
    <t>[Column 9]</t>
  </si>
  <si>
    <t>[Column 10]</t>
  </si>
  <si>
    <t>Flotation Cost Adjustment</t>
  </si>
  <si>
    <t>Indicated ROE (5)</t>
  </si>
  <si>
    <t>Selected Bond Yields</t>
  </si>
  <si>
    <t>Regression of Historical Equity Risk Premium (2)</t>
  </si>
  <si>
    <t>Forecasted Equity Risk Premium Based on PRPM (3)</t>
  </si>
  <si>
    <t>Forecasted Equity Risk Premium based on Projected Total Return on the S&amp;P Utilities Index (Value Line Data) (4)</t>
  </si>
  <si>
    <t>Forecasted Equity Risk Premium based on Projected Total Return on the S&amp;P Utilities Index (Bloomberg Data) (5)</t>
  </si>
  <si>
    <t>Average Equity Risk Premium (6)</t>
  </si>
  <si>
    <t>Equity Risk Premium Based on Value Line Summary and Index (4)</t>
  </si>
  <si>
    <t>Equity Risk Premium Based on Value Line S&amp;P 500 Companies (5)</t>
  </si>
  <si>
    <t>Equity Risk Premium Based on Bloomberg S&amp;P 500 Companies (6)</t>
  </si>
  <si>
    <t>Adjusted Beta (7)</t>
  </si>
  <si>
    <t>Indicated Common Equity Cost Rate (3)</t>
  </si>
  <si>
    <r>
      <t xml:space="preserve">Equity Risk Premium Based on </t>
    </r>
    <r>
      <rPr>
        <u/>
        <sz val="12"/>
        <rFont val="Cambria"/>
        <family val="1"/>
        <scheme val="major"/>
      </rPr>
      <t>Value Line</t>
    </r>
    <r>
      <rPr>
        <sz val="12"/>
        <rFont val="Cambria"/>
        <family val="1"/>
        <scheme val="major"/>
      </rPr>
      <t xml:space="preserve"> Summary and Index (4)</t>
    </r>
  </si>
  <si>
    <r>
      <t xml:space="preserve">Equity Risk Premium Based on </t>
    </r>
    <r>
      <rPr>
        <u/>
        <sz val="12"/>
        <rFont val="Cambria"/>
        <family val="1"/>
        <scheme val="major"/>
      </rPr>
      <t>Value Line</t>
    </r>
    <r>
      <rPr>
        <sz val="12"/>
        <rFont val="Cambria"/>
        <family val="1"/>
        <scheme val="major"/>
      </rPr>
      <t xml:space="preserve"> S&amp;P 500 Companies (5)</t>
    </r>
  </si>
  <si>
    <t>N/A</t>
  </si>
  <si>
    <t>IDA</t>
  </si>
  <si>
    <t>NWE</t>
  </si>
  <si>
    <t>OGE</t>
  </si>
  <si>
    <t>OTTR</t>
  </si>
  <si>
    <t>POR</t>
  </si>
  <si>
    <t>BFB</t>
  </si>
  <si>
    <t>CHE</t>
  </si>
  <si>
    <t>FDS</t>
  </si>
  <si>
    <t>WSO</t>
  </si>
  <si>
    <t>NorthWestern Corporation</t>
  </si>
  <si>
    <t>Portland General Electric Company</t>
  </si>
  <si>
    <t>Ameren Illinois Company</t>
  </si>
  <si>
    <t>Illinois Power Company</t>
  </si>
  <si>
    <t>Union Electric Company</t>
  </si>
  <si>
    <t>Progress Energy, Inc.</t>
  </si>
  <si>
    <t>Agilent Technologies</t>
  </si>
  <si>
    <t xml:space="preserve">Abbott Labs.        </t>
  </si>
  <si>
    <t xml:space="preserve">Smith (A.O.)        </t>
  </si>
  <si>
    <t xml:space="preserve">Brown-Forman 'B'    </t>
  </si>
  <si>
    <t xml:space="preserve">Broadridge Fin'l    </t>
  </si>
  <si>
    <t xml:space="preserve">Chemed Corp.        </t>
  </si>
  <si>
    <t xml:space="preserve">Sherwin-Williams    </t>
  </si>
  <si>
    <t xml:space="preserve">Texas Instruments   </t>
  </si>
  <si>
    <t xml:space="preserve">VeriSign Inc.       </t>
  </si>
  <si>
    <t xml:space="preserve">Watsco, Inc.        </t>
  </si>
  <si>
    <t>A US Equity</t>
  </si>
  <si>
    <t>ABT US Equity</t>
  </si>
  <si>
    <t>AOS US Equity</t>
  </si>
  <si>
    <t>BR US Equity</t>
  </si>
  <si>
    <t>CHE US Equity</t>
  </si>
  <si>
    <t>SHW US Equity</t>
  </si>
  <si>
    <t>TXN US Equity</t>
  </si>
  <si>
    <t>VRSN US Equity</t>
  </si>
  <si>
    <t>WSO US Equity</t>
  </si>
  <si>
    <t>Gas Proxy Group</t>
  </si>
  <si>
    <t>Proxy Group of Thirteen Electric Companies</t>
  </si>
  <si>
    <t>a.</t>
  </si>
  <si>
    <t>Duke Energy Indiana, LLC</t>
  </si>
  <si>
    <t>NMF = Non-Meaningful Figure</t>
  </si>
  <si>
    <t>Central Illinois Light Company</t>
  </si>
  <si>
    <t>Duke Energy Carolinas, LLC</t>
  </si>
  <si>
    <t>Duke Energy Florida, LLC</t>
  </si>
  <si>
    <t>Duke Energy Kentucky, Inc.</t>
  </si>
  <si>
    <t>Duke Energy Ohio, Inc.</t>
  </si>
  <si>
    <t>Duke Energy Progress, LLC</t>
  </si>
  <si>
    <t>Florida Progress Corporation</t>
  </si>
  <si>
    <t>Piedmont Natural Gas Company, Inc.</t>
  </si>
  <si>
    <t>Southern California Edison Company</t>
  </si>
  <si>
    <t>Entergy Arkansas, LLC</t>
  </si>
  <si>
    <t>Entergy Gulf States Louisiana, L.L.C.</t>
  </si>
  <si>
    <t>Entergy Louisiana, LLC</t>
  </si>
  <si>
    <t>Entergy Mississippi, LLC</t>
  </si>
  <si>
    <t>Entergy New Orleans, LLC</t>
  </si>
  <si>
    <t>Entergy Texas, Inc.</t>
  </si>
  <si>
    <t>Evergy Kansas Central, Inc.</t>
  </si>
  <si>
    <t>Evergy Kansas South, Inc.</t>
  </si>
  <si>
    <t>Evergy Metro, Inc.</t>
  </si>
  <si>
    <t>Evergy Missouri West, Inc.</t>
  </si>
  <si>
    <t>NSTAR Electric Company</t>
  </si>
  <si>
    <t>Public Service Company of New Hampshire</t>
  </si>
  <si>
    <t>Idaho Power Company</t>
  </si>
  <si>
    <t>Interstate Power and Light Company</t>
  </si>
  <si>
    <t>Wisconsin Power and Light Company</t>
  </si>
  <si>
    <t>Oklahoma Gas and Electric Company</t>
  </si>
  <si>
    <t>Otter Tail Power Company</t>
  </si>
  <si>
    <t>Northern States Power Company</t>
  </si>
  <si>
    <t>Public Service Company of Colorado</t>
  </si>
  <si>
    <t>Southwestern Public Service Company</t>
  </si>
  <si>
    <t>Average of columns 2 through 4 excluding negative growth rates.</t>
  </si>
  <si>
    <r>
      <t>(1+(Column [3] * Column [4])</t>
    </r>
    <r>
      <rPr>
        <vertAlign val="superscript"/>
        <sz val="12"/>
        <color theme="1"/>
        <rFont val="Cambria"/>
        <family val="1"/>
        <scheme val="major"/>
      </rPr>
      <t>^12</t>
    </r>
    <r>
      <rPr>
        <sz val="12"/>
        <color theme="1"/>
        <rFont val="Cambria"/>
        <family val="1"/>
        <scheme val="major"/>
      </rPr>
      <t>) - 1.</t>
    </r>
  </si>
  <si>
    <t>Non-Price Regulated Companies of Comparable risk to the</t>
  </si>
  <si>
    <t>Judgment of Equity Risk Premium for the</t>
  </si>
  <si>
    <t>Moody's A2 Rated Utility Bond Yields - Gas Utilities</t>
  </si>
  <si>
    <t>Bloomberg Professional Services.</t>
  </si>
  <si>
    <t>Value Line Summary and Index.</t>
  </si>
  <si>
    <t>Source of Information: Regulatory Research Associates.</t>
  </si>
  <si>
    <t>Shares Issued (1)</t>
  </si>
  <si>
    <t>Market Price per Share (1)</t>
  </si>
  <si>
    <t>Average Offering Price per Share (1)</t>
  </si>
  <si>
    <t>Source: S&amp;P Global Market Intelligence.</t>
  </si>
  <si>
    <t xml:space="preserve">     Annual Forms 10-K.</t>
  </si>
  <si>
    <t>Company Annual Forms 10-K.</t>
  </si>
  <si>
    <t>Value Line Investment Survey.</t>
  </si>
  <si>
    <t>Column 5 + Column 6.</t>
  </si>
  <si>
    <t>The Predictive Risk Premium Model uses historical data to generate a predicted variance and a GARCH coefficient.  The historical data used are the equity risk premiums for the first available trading month as reported by Bloomberg Professional Services.</t>
  </si>
  <si>
    <t>yahoo.finance.com.</t>
  </si>
  <si>
    <t>Moody's Investors Services.</t>
  </si>
  <si>
    <t>Standard &amp; Poor's Global Utilities Rating Services.</t>
  </si>
  <si>
    <t xml:space="preserve">   Utility Bonds (2)</t>
  </si>
  <si>
    <t>NEU</t>
  </si>
  <si>
    <t>SBBI (1926-2021)</t>
  </si>
  <si>
    <t>CEG</t>
  </si>
  <si>
    <t>December 31, 2021</t>
  </si>
  <si>
    <t>Proxy Group of Six Natural Gas Companies</t>
  </si>
  <si>
    <t>Arithmetic Mean of Monthly Returns on Large Company Common Stocks (1928 - 2021)</t>
  </si>
  <si>
    <t>Arithmetic Mean of Moody's Aaa and Aa Corporate Bond Yields (1928 - 2021)</t>
  </si>
  <si>
    <t>Arithmetic Mean Holding Period Returns on the S&amp;P Utility Index (1928 - 2021)</t>
  </si>
  <si>
    <t>Arithmetic Mean on Moody's A Rated Public Utility Bond Yields (1928 - 2021)</t>
  </si>
  <si>
    <t>Regression analysis on SBBI data 1926-2021</t>
  </si>
  <si>
    <t xml:space="preserve">   Return 1926 - 2021</t>
  </si>
  <si>
    <t xml:space="preserve">   1926 - 2021</t>
  </si>
  <si>
    <t>Northern Indiana Public Service Company</t>
  </si>
  <si>
    <t>Air Products &amp; Chem.</t>
  </si>
  <si>
    <t>Bristol-Myers Squibb</t>
  </si>
  <si>
    <t xml:space="preserve">Oracle Corp.        </t>
  </si>
  <si>
    <t xml:space="preserve">Western Union       </t>
  </si>
  <si>
    <t xml:space="preserve">McCormick &amp; Co.     </t>
  </si>
  <si>
    <t xml:space="preserve">Merck &amp; Co.         </t>
  </si>
  <si>
    <t xml:space="preserve">NewMarket Corp.     </t>
  </si>
  <si>
    <t xml:space="preserve">Progressive Corp.   </t>
  </si>
  <si>
    <t>APD US Equity</t>
  </si>
  <si>
    <t>BMY US Equity</t>
  </si>
  <si>
    <t>ORCL US Equity</t>
  </si>
  <si>
    <t>WU US Equity</t>
  </si>
  <si>
    <t>MKC US Equity</t>
  </si>
  <si>
    <t>MRK US Equity</t>
  </si>
  <si>
    <t>NEU US Equity</t>
  </si>
  <si>
    <t>PGR US Equity</t>
  </si>
  <si>
    <t>Second Quarter 2023</t>
  </si>
  <si>
    <t>Third Quarter 2023</t>
  </si>
  <si>
    <t>Fourth Quarter 2023</t>
  </si>
  <si>
    <t>First Quarter 2024</t>
  </si>
  <si>
    <t>2024-2028</t>
  </si>
  <si>
    <t>2029-2033</t>
  </si>
  <si>
    <t>BALL UN Equity</t>
  </si>
  <si>
    <t>BALL</t>
  </si>
  <si>
    <t>BKR UW Equity</t>
  </si>
  <si>
    <t>Crown Castle Inc</t>
  </si>
  <si>
    <t>CEG UW Equity</t>
  </si>
  <si>
    <t>Constellation Energy Corp</t>
  </si>
  <si>
    <t>CPT UN Equity</t>
  </si>
  <si>
    <t>Camden Property Trust</t>
  </si>
  <si>
    <t>CPT</t>
  </si>
  <si>
    <t>Charles River Laboratories International Inc</t>
  </si>
  <si>
    <t>Salesforce Inc</t>
  </si>
  <si>
    <t>Cisco Systems Inc</t>
  </si>
  <si>
    <t>CSGP UW Equity</t>
  </si>
  <si>
    <t>CoStar Group Inc</t>
  </si>
  <si>
    <t>CSGP</t>
  </si>
  <si>
    <t>ELV UN Equity</t>
  </si>
  <si>
    <t>Elevance Health Inc</t>
  </si>
  <si>
    <t>ELV</t>
  </si>
  <si>
    <t>EPAM UN Equity</t>
  </si>
  <si>
    <t>EPAM Systems Inc</t>
  </si>
  <si>
    <t>EPAM</t>
  </si>
  <si>
    <t>EQT UN Equity</t>
  </si>
  <si>
    <t>EQT Corp</t>
  </si>
  <si>
    <t>EQT</t>
  </si>
  <si>
    <t>Expeditors International of Washington Inc</t>
  </si>
  <si>
    <t>FDS UN Equity</t>
  </si>
  <si>
    <t>FactSet Research Systems Inc</t>
  </si>
  <si>
    <t>Fidelity National Information Services Inc</t>
  </si>
  <si>
    <t>GRMN UN Equity</t>
  </si>
  <si>
    <t>Hartford Financial Services Group Inc/The</t>
  </si>
  <si>
    <t>INVH UN Equity</t>
  </si>
  <si>
    <t>Invitation Homes Inc</t>
  </si>
  <si>
    <t>INVH</t>
  </si>
  <si>
    <t>Jacobs Solutions Inc</t>
  </si>
  <si>
    <t>KDP UW Equity</t>
  </si>
  <si>
    <t>Keurig Dr Pepper Inc</t>
  </si>
  <si>
    <t>KDP</t>
  </si>
  <si>
    <t>META UW Equity</t>
  </si>
  <si>
    <t>META</t>
  </si>
  <si>
    <t>MOH UN Equity</t>
  </si>
  <si>
    <t>Molina Healthcare Inc</t>
  </si>
  <si>
    <t>MOH</t>
  </si>
  <si>
    <t>NDSN UW Equity</t>
  </si>
  <si>
    <t>Nordson Corp</t>
  </si>
  <si>
    <t>NDSN</t>
  </si>
  <si>
    <t>ON UW Equity</t>
  </si>
  <si>
    <t>ON Semiconductor Corp</t>
  </si>
  <si>
    <t>ON</t>
  </si>
  <si>
    <t>PARA UW Equity</t>
  </si>
  <si>
    <t>Paramount Global</t>
  </si>
  <si>
    <t>PARA</t>
  </si>
  <si>
    <t>PCG UN Equity</t>
  </si>
  <si>
    <t>PG&amp;E Corp</t>
  </si>
  <si>
    <t>PCG</t>
  </si>
  <si>
    <t>SBNY UW Equity</t>
  </si>
  <si>
    <t>Signature Bank/New York NY</t>
  </si>
  <si>
    <t>SBNY</t>
  </si>
  <si>
    <t>SEDG UW Equity</t>
  </si>
  <si>
    <t>SolarEdge Technologies Inc</t>
  </si>
  <si>
    <t>SEDG</t>
  </si>
  <si>
    <t>TRGP UN Equity</t>
  </si>
  <si>
    <t>Targa Resources Corp</t>
  </si>
  <si>
    <t>TRGP</t>
  </si>
  <si>
    <t>VICI UN Equity</t>
  </si>
  <si>
    <t>VICI Properties Inc</t>
  </si>
  <si>
    <t>VICI</t>
  </si>
  <si>
    <t>WBD UW Equity</t>
  </si>
  <si>
    <t>Warner Bros Discovery Inc</t>
  </si>
  <si>
    <t>WBD</t>
  </si>
  <si>
    <t>WTW UW Equity</t>
  </si>
  <si>
    <t>WTW</t>
  </si>
  <si>
    <t>2021M12</t>
  </si>
  <si>
    <t>2022M01</t>
  </si>
  <si>
    <t>2022M02</t>
  </si>
  <si>
    <t>2022M03</t>
  </si>
  <si>
    <t>2022M04</t>
  </si>
  <si>
    <t>2022M05</t>
  </si>
  <si>
    <t>2022M06</t>
  </si>
  <si>
    <t>2022M07</t>
  </si>
  <si>
    <t>2022M08</t>
  </si>
  <si>
    <t>2022M09</t>
  </si>
  <si>
    <t>NiSource Inc.</t>
  </si>
  <si>
    <t>2016 - 2021, Inclusive</t>
  </si>
  <si>
    <t>2017 - 2021, Inclusive</t>
  </si>
  <si>
    <t>FYE: 12/31/2021</t>
  </si>
  <si>
    <t>FY2021</t>
  </si>
  <si>
    <t>New Jersey Natural Gas Co</t>
  </si>
  <si>
    <t>A Corp. Bond Yield</t>
  </si>
  <si>
    <t>Baa Corp. Bond Yield</t>
  </si>
  <si>
    <t>Spread</t>
  </si>
  <si>
    <t>Average yield spread</t>
  </si>
  <si>
    <t>1/3 of spread</t>
  </si>
  <si>
    <t>(1926-2021)</t>
  </si>
  <si>
    <t>Based on S&amp;P Public Utility Index monthly total returns and Moody's Public Utility Bond average monthly yields from 1928-2021.  Holding period returns are calculated based upon income received (dividends and interest) plus the relative change in the market value of a security over a one-year holding period.</t>
  </si>
  <si>
    <t xml:space="preserve">This equity risk premium is based on a regression of the monthly equity risk premiums of the S&amp;P Utility Index relative to Moody's A2 rated public utility bond yields from 1928 - 2021 referenced in note 1 above. </t>
  </si>
  <si>
    <t>D-79-12-02</t>
  </si>
  <si>
    <t>C-GR-2021-0108</t>
  </si>
  <si>
    <t>C-9664</t>
  </si>
  <si>
    <t>C-U-20940</t>
  </si>
  <si>
    <t>C-2021-00214</t>
  </si>
  <si>
    <t>PECO Energy Co</t>
  </si>
  <si>
    <t>The Dayton Power &amp; Light Co.</t>
  </si>
  <si>
    <t>Black Hills Nebraska Gas LLC</t>
  </si>
  <si>
    <t xml:space="preserve">Adjustment to Reflect Bond rating </t>
  </si>
  <si>
    <t>New Jersey Resources Corporation</t>
  </si>
  <si>
    <t>Northwest Natural Holding Company</t>
  </si>
  <si>
    <t>-</t>
  </si>
  <si>
    <t>*From EOY 2021 Company Form 1</t>
  </si>
  <si>
    <t>FYE: 9/30/2021</t>
  </si>
  <si>
    <t>FYE: 09/30/2021</t>
  </si>
  <si>
    <t>Company Financial Statements</t>
  </si>
  <si>
    <t>Adjusted Prospective Bond Yield</t>
  </si>
  <si>
    <t>Equity Risk Premium (3)</t>
  </si>
  <si>
    <t>2021Y</t>
  </si>
  <si>
    <t>Book Value per Share at Fiscal Year End 2021 (1)</t>
  </si>
  <si>
    <t>Peoples Gas System -  based on the Gas Proxy Group</t>
  </si>
  <si>
    <t>Florida Public Service Commission</t>
  </si>
  <si>
    <t>PGS</t>
  </si>
  <si>
    <t>Maximum</t>
  </si>
  <si>
    <t>Minimum</t>
  </si>
  <si>
    <t>Stocks, Bonds, Bills, and Inflation -  2022 SBBI Yearbook, Kroll.</t>
  </si>
  <si>
    <t xml:space="preserve">This equity risk premium is based on a regression of the monthly equity risk premiums of large company common stocks relative to Moody's average Aaa and Aa rated corporate bond yields from 1928-2021 referenced in note 1 above. </t>
  </si>
  <si>
    <t>Gas Cases (3)</t>
  </si>
  <si>
    <t>PG&amp;E Corporation</t>
  </si>
  <si>
    <t>S&amp;P Utilities Index Companies</t>
  </si>
  <si>
    <t>From page 2 of this Document.</t>
  </si>
  <si>
    <t>From page 1 of Document No. 3.</t>
  </si>
  <si>
    <t>From page 1 of Document No. 4.</t>
  </si>
  <si>
    <t>From page 1 of Document No. 5.</t>
  </si>
  <si>
    <t>All capitalization and financial statistics for the group are the arithmetic average of the achieved results for each individual company in the group, and are based upon financial statements as originally reported in each year.</t>
  </si>
  <si>
    <t>Computed by relating actual total debt interest or preferred stock dividends booked to average of beginning and ending total debt or preferred stock reported to be outstanding.</t>
  </si>
  <si>
    <t>Capitalization and Financial Statistics (1)</t>
  </si>
  <si>
    <t>Capitalization Statistics</t>
  </si>
  <si>
    <t>(millions of dollars)</t>
  </si>
  <si>
    <t>Amount of Capital Employed</t>
  </si>
  <si>
    <t xml:space="preserve">     Total Permanent Capital</t>
  </si>
  <si>
    <t xml:space="preserve">     Short-Term Debt</t>
  </si>
  <si>
    <t xml:space="preserve">          Total Capital Employed</t>
  </si>
  <si>
    <t>Indicated Average Capital Cost Rates  (2)</t>
  </si>
  <si>
    <t xml:space="preserve">     Total Debt</t>
  </si>
  <si>
    <t>Capital Structure Ratios</t>
  </si>
  <si>
    <t xml:space="preserve">     Based on Total Permanent Capital:</t>
  </si>
  <si>
    <t xml:space="preserve">          Long-Term Debt</t>
  </si>
  <si>
    <t xml:space="preserve">          Preferred Stock</t>
  </si>
  <si>
    <t xml:space="preserve">          Common Equity</t>
  </si>
  <si>
    <t xml:space="preserve">               Total</t>
  </si>
  <si>
    <t xml:space="preserve">     Based on Total Capital:</t>
  </si>
  <si>
    <t xml:space="preserve">          Total Debt, Including Short-Term</t>
  </si>
  <si>
    <t>5 Year</t>
  </si>
  <si>
    <t>Financial Statistics</t>
  </si>
  <si>
    <t>Financial Ratios - Marked Based</t>
  </si>
  <si>
    <t xml:space="preserve">     Earnings / Price Ratio</t>
  </si>
  <si>
    <t xml:space="preserve">     Market / Average Book Ratio</t>
  </si>
  <si>
    <t xml:space="preserve">     Dividend Yield</t>
  </si>
  <si>
    <t xml:space="preserve">     Dividend Payout Ratio</t>
  </si>
  <si>
    <t>Rate of Return on Average Book Common Equity</t>
  </si>
  <si>
    <t>Total Debt / EBITDA (3)</t>
  </si>
  <si>
    <t>Funds From Operations / Total Debt (4)</t>
  </si>
  <si>
    <t>Total Debt / Total Capital</t>
  </si>
  <si>
    <t>From page 3 of this Document.</t>
  </si>
  <si>
    <t>From page 7 of this Document.</t>
  </si>
  <si>
    <t>From page 6 of this Document.</t>
  </si>
  <si>
    <t>From page 8 of this Document.</t>
  </si>
  <si>
    <t>From page 12 of this Document.</t>
  </si>
  <si>
    <t>From page 13 of this Document.</t>
  </si>
  <si>
    <t>Notes provided on page 9 of this Document.</t>
  </si>
  <si>
    <t>From line 3 of page 3 of this Document.</t>
  </si>
  <si>
    <t>Notes on page 2 of this Document.</t>
  </si>
  <si>
    <t>Recommended Range of Common Equity Cost Rates after Adjustment for Company-specic Risk</t>
  </si>
  <si>
    <t>From page 1 of Document No. 7.</t>
  </si>
  <si>
    <t>From Document No. 8.</t>
  </si>
  <si>
    <t>Min</t>
  </si>
  <si>
    <t>Consensus forecast of Moody's Aaa Rated Corporate bonds from Blue Chip Financial Forecasts (see pages 10 and 11 of this Document).</t>
  </si>
  <si>
    <t>Average of mean and median beta from Document No. 5.</t>
  </si>
  <si>
    <t>For reasons explained in the direct testimony, the appropriate risk-free rate for cost of capital purposes is the average forecast of 30 year Treasury Bonds per the consensus of nearly 50 economists reported in Blue Chip Financial Forecasts. (See pages 10 and 11 of Document No. 4) The projection of the risk-free rate is illustrated below:</t>
  </si>
  <si>
    <t>From pages 2-3 of this Document.</t>
  </si>
  <si>
    <t>From page 4 of this Document.</t>
  </si>
  <si>
    <t>From pages 8-9 of this Document.</t>
  </si>
  <si>
    <t>From page 6 of Document No. 4.</t>
  </si>
  <si>
    <t>From note 1 of page 2 of Document No. 5.</t>
  </si>
  <si>
    <t>From note 2 of page 2 of Document No. 5.</t>
  </si>
  <si>
    <t>Equity Issuances (Company Provided)</t>
  </si>
  <si>
    <t>Issuing Company</t>
  </si>
  <si>
    <t>[Column 11]</t>
  </si>
  <si>
    <t>[Column 12]</t>
  </si>
  <si>
    <t>[Column 13]</t>
  </si>
  <si>
    <t>[Column 14]</t>
  </si>
  <si>
    <t>[Column 15]</t>
  </si>
  <si>
    <t>[Column 16]</t>
  </si>
  <si>
    <t>Average Dividend Yield (7)</t>
  </si>
  <si>
    <t>Average Projected EPS Growth Rate (7)</t>
  </si>
  <si>
    <t>Adjusted Dividend Yield (8)</t>
  </si>
  <si>
    <t>Average DCF Cost Rate Unadjusted for Flotation (9)</t>
  </si>
  <si>
    <t>DCF Cost Rate Adjusted for Flotation (10)</t>
  </si>
  <si>
    <t>Flotation Cost Adjustment (11)</t>
  </si>
  <si>
    <t>Underwriting Discount (1)</t>
  </si>
  <si>
    <t>Total Offering Expense per Share (1)</t>
  </si>
  <si>
    <t>At-The-Market 7/11/2019</t>
  </si>
  <si>
    <t>Emera Incorporated</t>
  </si>
  <si>
    <t>Total Public Issuances</t>
  </si>
  <si>
    <t>Net Proceeds per Share (2)</t>
  </si>
  <si>
    <t>Total Flotation Costs (3)</t>
  </si>
  <si>
    <t>Gross Equity Issue before Costs (4)</t>
  </si>
  <si>
    <t>Net Proceeds (5)</t>
  </si>
  <si>
    <t>Flotation Cost Percentage (6)</t>
  </si>
  <si>
    <t>From Company prospectuses or annual filings.</t>
  </si>
  <si>
    <t>Col. 3 - Col. 4 - Col. 5.</t>
  </si>
  <si>
    <t>(Col. 2 - Col. 6) x Col. 1.</t>
  </si>
  <si>
    <t>Col. 1 x Col. 2.</t>
  </si>
  <si>
    <t>Col. 1 x Col. 6.</t>
  </si>
  <si>
    <t>Col. 7 / Col. 8.</t>
  </si>
  <si>
    <t>From Document No. 4.</t>
  </si>
  <si>
    <t>Col. 11 x (1 + 0.5 x Col. 12).</t>
  </si>
  <si>
    <t>Col. 12 + Col. 13.</t>
  </si>
  <si>
    <t>(Col. 13 / (1 - Col. 10)) + Col. 12.</t>
  </si>
  <si>
    <t>Col. 15 - Col. 14.</t>
  </si>
  <si>
    <t>CAPEX/Shr</t>
  </si>
  <si>
    <t>Net Plant ($ mill)</t>
  </si>
  <si>
    <t>Source: Value Line</t>
  </si>
  <si>
    <t>Value Line Date</t>
  </si>
  <si>
    <t>2025-2027</t>
  </si>
  <si>
    <t>% 2021 Net Plant</t>
  </si>
  <si>
    <t>Peoples Gas</t>
  </si>
  <si>
    <t>Company provided data</t>
  </si>
  <si>
    <t>Peoples Gas, 2021 Annual Report (Net Utility Plant), p. 6</t>
  </si>
  <si>
    <t>% Net Plant</t>
  </si>
  <si>
    <t>Proxy Group Median</t>
  </si>
  <si>
    <t>Diff. from Median</t>
  </si>
  <si>
    <t>Comparison of Projected Capital Expenditures Relative to Net Plant</t>
  </si>
  <si>
    <t>Peoples Gas, 2021 Annual Report</t>
  </si>
  <si>
    <t>Stocks, Bonds, Bills, and Inflation -  2022 SBBI Yearbook, Appendix A Tables, Kroll, Inc.</t>
  </si>
  <si>
    <t>Average of mean and median beta from page 6 of this Document.</t>
  </si>
  <si>
    <t>From note 2 on page 2 of Document No. 5.</t>
  </si>
  <si>
    <t>From note 1 of page 9 of Document No. 4.</t>
  </si>
  <si>
    <t>From note 2 of page 9 of Document No. 4.</t>
  </si>
  <si>
    <t>From note 3 of page 9 of Document No. 4.</t>
  </si>
  <si>
    <t>From note 4 of page 9 of Document No. 4.</t>
  </si>
  <si>
    <t>From note 5 of page 9 of Document No. 4.</t>
  </si>
  <si>
    <t>From note 6 of page 9 of Document No. 4.</t>
  </si>
  <si>
    <t>Common Shrs Outst'g</t>
  </si>
  <si>
    <t>From pages 2 through 7 of this Document.</t>
  </si>
  <si>
    <t>JJSF</t>
  </si>
  <si>
    <t>POST</t>
  </si>
  <si>
    <t>SXT</t>
  </si>
  <si>
    <t>`</t>
  </si>
  <si>
    <t xml:space="preserve">Analog Devices      </t>
  </si>
  <si>
    <t xml:space="preserve">Quest Diagnostics   </t>
  </si>
  <si>
    <t xml:space="preserve">J&amp;J Snack Foods     </t>
  </si>
  <si>
    <t xml:space="preserve">MSCI Inc.           </t>
  </si>
  <si>
    <t xml:space="preserve">Motorola Solutions  </t>
  </si>
  <si>
    <t xml:space="preserve">Northrop Grumman    </t>
  </si>
  <si>
    <t>Old Dominion Freight</t>
  </si>
  <si>
    <t xml:space="preserve">Post Holdings       </t>
  </si>
  <si>
    <t xml:space="preserve">Rollins, Inc.       </t>
  </si>
  <si>
    <t xml:space="preserve">Sensient Techn.     </t>
  </si>
  <si>
    <t xml:space="preserve">Thermo Fisher Sci.  </t>
  </si>
  <si>
    <t>ADI US Equity</t>
  </si>
  <si>
    <t>DGX US Equity</t>
  </si>
  <si>
    <t>JJSF US Equity</t>
  </si>
  <si>
    <t>MSCI US Equity</t>
  </si>
  <si>
    <t>MSI US Equity</t>
  </si>
  <si>
    <t>NOC US Equity</t>
  </si>
  <si>
    <t>ODFL US Equity</t>
  </si>
  <si>
    <t>POST US Equity</t>
  </si>
  <si>
    <t>ROL US Equity</t>
  </si>
  <si>
    <t>SXT US Equity</t>
  </si>
  <si>
    <t>TMO US Equity</t>
  </si>
  <si>
    <t>BFB US Equity</t>
  </si>
  <si>
    <t>Date:</t>
  </si>
  <si>
    <t>ACGL UW Equity</t>
  </si>
  <si>
    <t>Arch Capital Group Ltd</t>
  </si>
  <si>
    <t>ACGL</t>
  </si>
  <si>
    <t>EVRG UW Equity</t>
  </si>
  <si>
    <t>FSLR UW Equity</t>
  </si>
  <si>
    <t>First Solar Inc</t>
  </si>
  <si>
    <t>FSLR</t>
  </si>
  <si>
    <t>GEN UW Equity</t>
  </si>
  <si>
    <t>Gen Digital Inc</t>
  </si>
  <si>
    <t>GEN</t>
  </si>
  <si>
    <t>Schlumberger Ltd</t>
  </si>
  <si>
    <t>STLD UW Equity</t>
  </si>
  <si>
    <t>Steel Dynamics Inc</t>
  </si>
  <si>
    <t>STLD</t>
  </si>
  <si>
    <t>2022M10</t>
  </si>
  <si>
    <t>2022M11</t>
  </si>
  <si>
    <t>2022M12</t>
  </si>
  <si>
    <t>Kroll-Based Equity Risk Premiums:</t>
  </si>
  <si>
    <t>Kroll Equity Risk Premium (1)</t>
  </si>
  <si>
    <t>Regression on Kroll Risk Premium Data (2)</t>
  </si>
  <si>
    <t>Kroll Equity Risk Premium based on PRPM (3)</t>
  </si>
  <si>
    <t>The market risk premium (MRP) is derived by using six different measures from three sources: Kroll, Value Line, and Bloomberg as illustrated below:</t>
  </si>
  <si>
    <t>MRP based on Kroll Historical Data:</t>
  </si>
  <si>
    <t>Measure 2: Application of a Regression Analysis to Kroll Historical Data</t>
  </si>
  <si>
    <t>Measure 3: Application of the PRPM to Kroll Historical Data:</t>
  </si>
  <si>
    <t>Average of Value Line, Kroll, and Bloomberg MRP:</t>
  </si>
  <si>
    <t>Kroll Associates' Size Premia for the Decile Portfolios of the NYSE/AMEX/NASDAQ</t>
  </si>
  <si>
    <t>Update annually from Stocks, Bonds, Bills, and Inflation - Kroll® SBBI® Market Report</t>
  </si>
  <si>
    <t>Kroll-Based MRPs:</t>
  </si>
  <si>
    <t>Average of Kroll-Based MRPs:</t>
  </si>
  <si>
    <t>December 2022</t>
  </si>
  <si>
    <t>Value Line Proprietary Database, December 2022.</t>
  </si>
  <si>
    <t>D-21-097-U</t>
  </si>
  <si>
    <t>D-22AL-0046G</t>
  </si>
  <si>
    <t>A-21-08-014 (Gas)</t>
  </si>
  <si>
    <t>A-22-04-011</t>
  </si>
  <si>
    <t>D-6690-UR-127 (Gas)</t>
  </si>
  <si>
    <t>Dominion Energy Inc.</t>
  </si>
  <si>
    <t>D-22-057-03</t>
  </si>
  <si>
    <t>D-5-UR-110 (WEP-Gas)</t>
  </si>
  <si>
    <t>D-5-UR-110</t>
  </si>
  <si>
    <t>Last updated: 12/07/22 - 16:12</t>
  </si>
  <si>
    <t>Last updated: 12/07/22 - 16:14</t>
  </si>
  <si>
    <t>Last updated: 12/07/22 - 16:16</t>
  </si>
  <si>
    <t>Last updated: 12/07/22 - 16:20</t>
  </si>
  <si>
    <t>Last updated: 12/07/22 - 16:23</t>
  </si>
  <si>
    <t>Last updated: 12/07/22 - 16:25</t>
  </si>
  <si>
    <t>Modified: 1 1163 // Conditional Variance</t>
  </si>
  <si>
    <t>Last updated: 12/07/22 - 16:53</t>
  </si>
  <si>
    <t>Last updated: 12/07/22 - 16:55</t>
  </si>
  <si>
    <t>Last updated: 12/07/22 - 17:00</t>
  </si>
  <si>
    <t>Second Quarter 2024</t>
  </si>
  <si>
    <t>*From 2022 Kroll Cost of Capital Navigator</t>
  </si>
  <si>
    <t xml:space="preserve">January 1, 2023 and December 2, 2022 </t>
  </si>
  <si>
    <t>In view of current volatility, Mr. D'Ascendis recommends using the long-term predicted variance at this time.</t>
  </si>
  <si>
    <t>The Predictive Risk Premium Model (PRPM) is discussed in the accompanying direct testimony. The SBBI equity risk premium based on the PRPM is derived by applying the PRPM to the monthly risk premiums between SBBI large company common stock monthly returns and average Aaa and Aa corporate monthly bond yields, from January 1928 through December 2022.</t>
  </si>
  <si>
    <t>The application of the DCF model to the domestic, non-price regulated comparable risk companies is identical to the application of the DCF to the Utility Proxy Groups.  The dividend yield is derived by using the 60 day average price and the spot indicated dividend as of December 30, 2022.  The dividend yield is then adjusted by 1/2 the average projected growth rate in EPS, which is calculated by averaging the 5 year projected growth in EPS provided by Value Line, www.zacks.com, and www.yahoo.com (excluding any negative growth rates) and then adding that growth rate to the adjusted dividend yield.</t>
  </si>
  <si>
    <t>Market Capitalization on December 30, 2022 (1)</t>
  </si>
  <si>
    <t>No PRPM</t>
  </si>
  <si>
    <t>Long-Term Debt (1)</t>
  </si>
  <si>
    <t>(1) Excludes securitized debt associated with winter storms in 2021.</t>
  </si>
  <si>
    <t>Indicated Range of Common Equity Cost Rates before Adjustment for Company-specific Risk</t>
  </si>
  <si>
    <t>Flotation Cost Adjustment (5)</t>
  </si>
  <si>
    <t>Recommended Common Equity Cost Rate (7)</t>
  </si>
  <si>
    <t>Business Risk Adjustment (6)</t>
  </si>
  <si>
    <t>of 818 Fully-Litigated Natural</t>
  </si>
  <si>
    <t xml:space="preserve">Difference of Non-Price Regulated </t>
  </si>
  <si>
    <t>Companies (2)</t>
  </si>
  <si>
    <t>Proxy Group of Thirty Nine Non-Price Regulated Companies</t>
  </si>
  <si>
    <t>Considers Company-specific factors (i.e., flotation costs and Company-specific business risks) relative to the Utility Proxy Group as detailed in Mr. D'Ascendis' Direct Testimony.</t>
  </si>
  <si>
    <t>Adjustment to reflect the Company's specific business risks, such as smaller size, high customer growth, capital investment plans, and high level of performance, as detailed in Mr. D'Ascendis' Direct Testimony.</t>
  </si>
  <si>
    <t>2022-2024 CAPEX ($ mil)</t>
  </si>
  <si>
    <t>Blue Chip Financial Forecasts December 2, 2022 and January 1, 2022.</t>
  </si>
  <si>
    <t>Average forecast of Baa corporate bonds based upon the consensus of nearly 50 economists reported in Blue Chip Financial Forecasts dated December 2, 2022 and January 1, 2023 (see pages 10 and 11 of Document No. 5).  The estimates are detailed below.</t>
  </si>
  <si>
    <t>Short-Term Debt</t>
  </si>
  <si>
    <t>Per data included on Company MFR Schedule G-3, page 2.</t>
  </si>
  <si>
    <t>RPAPU</t>
  </si>
  <si>
    <t>Unique Index Number</t>
  </si>
  <si>
    <t>Trading Date</t>
  </si>
  <si>
    <t xml:space="preserve">          Company Name          </t>
  </si>
  <si>
    <t xml:space="preserve">Closing Price   </t>
  </si>
  <si>
    <t xml:space="preserve">Total Return    </t>
  </si>
  <si>
    <t>Dividend Amount</t>
  </si>
  <si>
    <t>IbbotRf</t>
  </si>
  <si>
    <t xml:space="preserve">Market Return                    </t>
  </si>
  <si>
    <t>A Rated PU</t>
  </si>
  <si>
    <t>S&amp;P 500 Utility Index</t>
  </si>
  <si>
    <t>Aaa and Aa Corp</t>
  </si>
  <si>
    <t>MKT Minus Aaa and Aa Avg</t>
  </si>
  <si>
    <t xml:space="preserve">ENERGAS CO                      </t>
  </si>
  <si>
    <t xml:space="preserve">EGAS  </t>
  </si>
  <si>
    <t xml:space="preserve">ATMOS ENERGY CORP               </t>
  </si>
  <si>
    <t xml:space="preserve">ATO   </t>
  </si>
  <si>
    <t xml:space="preserve">NEW JERSEY NATURAL GAS          </t>
  </si>
  <si>
    <t xml:space="preserve">NJNG  </t>
  </si>
  <si>
    <t xml:space="preserve">NEW JERSEY RES                  </t>
  </si>
  <si>
    <t xml:space="preserve">NJRE  </t>
  </si>
  <si>
    <t xml:space="preserve">NJR   </t>
  </si>
  <si>
    <t>2:1 Stock Split</t>
  </si>
  <si>
    <t xml:space="preserve">NORTHERN INDIANA PUBLIC SVC CO  </t>
  </si>
  <si>
    <t xml:space="preserve">NI    </t>
  </si>
  <si>
    <t xml:space="preserve">N I P S C O INDUSTRIES INC      </t>
  </si>
  <si>
    <t xml:space="preserve">NISOURCE INC                    </t>
  </si>
  <si>
    <t xml:space="preserve">NORTHWEST NATURAL GAS CO        </t>
  </si>
  <si>
    <t xml:space="preserve">NWNG  </t>
  </si>
  <si>
    <t xml:space="preserve">NWN   </t>
  </si>
  <si>
    <t>ONE Gas</t>
  </si>
  <si>
    <t xml:space="preserve">LACLEDE GAS &amp; LT CO             </t>
  </si>
  <si>
    <t xml:space="preserve">      </t>
  </si>
  <si>
    <t xml:space="preserve">LACLEDE GAS CO                  </t>
  </si>
  <si>
    <t xml:space="preserve">LG    </t>
  </si>
  <si>
    <t xml:space="preserve">LACLEDE GROUP INC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</si>
</sst>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_);\(#,##0.0\)"/>
    <numFmt numFmtId="166" formatCode="&quot;$&quot;#,##0.000_);\(&quot;$&quot;#,##0.000\)"/>
    <numFmt numFmtId="167" formatCode="0.000"/>
    <numFmt numFmtId="168" formatCode="0.0000"/>
    <numFmt numFmtId="169" formatCode="_(* #,##0.000_);_(* \(#,##0.000\);_(* &quot;-&quot;??_);_(@_)"/>
    <numFmt numFmtId="170" formatCode="_(* #,##0.0_);_(* \(#,##0.0\);_(* &quot;-&quot;??_);_(@_)"/>
    <numFmt numFmtId="171" formatCode="d\-mmm\-yyyy"/>
    <numFmt numFmtId="172" formatCode="[$-409]d\-mmm\-yyyy;@"/>
    <numFmt numFmtId="173" formatCode="_(&quot;$&quot;* #,##0.000_);_(&quot;$&quot;* \(#,##0.000\);_(&quot;$&quot;* &quot;-&quot;??_);_(@_)"/>
    <numFmt numFmtId="174" formatCode="0.00_);\(0.00\)"/>
    <numFmt numFmtId="175" formatCode="#,##0.0"/>
    <numFmt numFmtId="176" formatCode="mmmm\ yyyy"/>
    <numFmt numFmtId="177" formatCode="_(* #,##0.00_);_(* \(#,##0.00\);_(* &quot; - &quot;??_);_(@_)"/>
    <numFmt numFmtId="178" formatCode="0.0000%"/>
    <numFmt numFmtId="179" formatCode="_(* #,##0.0000_);_(* \(#,##0.0000\);_(* &quot;-&quot;??_);_(@_)"/>
    <numFmt numFmtId="180" formatCode="[$-409]mmm\-yy;@"/>
    <numFmt numFmtId="181" formatCode="&quot;$&quot;#,##0.00"/>
    <numFmt numFmtId="182" formatCode="mmm\-yyyy"/>
    <numFmt numFmtId="183" formatCode="#,##0.000"/>
    <numFmt numFmtId="184" formatCode="###,##0.00;\-###,##0.00"/>
    <numFmt numFmtId="185" formatCode="0.00000"/>
    <numFmt numFmtId="186" formatCode="&quot;$&quot;#,##0.000"/>
    <numFmt numFmtId="187" formatCode="_(&quot;$&quot;* #,##0.000_);_(&quot;$&quot;* \(#,##0.000\);_(&quot;$&quot;* &quot; - &quot;??_);_(@_)"/>
    <numFmt numFmtId="188" formatCode="_(* #,##0.000_);_(* \(#,##0.000\);_(* &quot; - &quot;??_);_(@_)"/>
    <numFmt numFmtId="189" formatCode="_(* #,##0.0_);_(* \(#,##0.0\);_(* &quot; - &quot;??_);_(@_)"/>
    <numFmt numFmtId="190" formatCode="#,##0.000_);\(#,##0.000\)"/>
    <numFmt numFmtId="191" formatCode="_(&quot;$&quot;* #,##0_);_(&quot;$&quot;* \(#,##0\);_(&quot;$&quot;* &quot;-&quot;????_);_(@_)"/>
    <numFmt numFmtId="192" formatCode="&quot;$&quot;#,##0.0000_);\(&quot;$&quot;#,##0.0000\)"/>
    <numFmt numFmtId="193" formatCode="_(&quot;$&quot;* #,##0_);_(&quot;$&quot;* \(#,##0\);_(&quot;$&quot;* &quot;-&quot;??_);_(@_)"/>
    <numFmt numFmtId="194" formatCode="dd\-mmm\-yy_)"/>
    <numFmt numFmtId="195" formatCode="m/d/yyyy;@"/>
    <numFmt numFmtId="196" formatCode="0.0000_)"/>
    <numFmt numFmtId="197" formatCode="_(* #,##0_);_(* \(#,##0\);_(* &quot;-&quot;??_);_(@_)"/>
    <numFmt numFmtId="198" formatCode="_(* #,##0.00000_);_(* \(#,##0.00000\);_(* &quot;-&quot;??_);_(@_)"/>
    <numFmt numFmtId="199" formatCode="\(#\)"/>
    <numFmt numFmtId="200" formatCode="_(&quot;$&quot;* #,##0.0_);_(&quot;$&quot;* \(#,##0.0\);_(&quot;$&quot;* &quot;-&quot;??_);_(@_)"/>
    <numFmt numFmtId="201" formatCode="0.0%"/>
    <numFmt numFmtId="202" formatCode="&quot; &quot;* #,##0.00&quot; &quot;;&quot; &quot;* &quot;(&quot;#,##0.00&quot;)&quot;;&quot; &quot;* &quot;-&quot;#&quot; &quot;;&quot; &quot;@&quot; &quot;"/>
    <numFmt numFmtId="203" formatCode="&quot; &quot;* #,##0.0000&quot; &quot;;&quot; &quot;* &quot;(&quot;#,##0.0000&quot;)&quot;;&quot; &quot;* &quot;-&quot;#&quot; &quot;;&quot; &quot;@&quot; &quot;"/>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mbria"/>
      <family val="2"/>
    </font>
    <font>
      <sz val="11"/>
      <color theme="1"/>
      <name val="Cambri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mbri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sz val="9"/>
      <name val="Arial"/>
      <family val="2"/>
    </font>
    <font>
      <sz val="10"/>
      <color indexed="8"/>
      <name val="Arial"/>
      <family val="2"/>
    </font>
    <font>
      <sz val="12"/>
      <name val="Arial"/>
      <family val="2"/>
    </font>
    <font>
      <b/>
      <sz val="10"/>
      <name val="Arial"/>
      <family val="2"/>
    </font>
    <font>
      <sz val="11"/>
      <color indexed="8"/>
      <name val="Calibri"/>
      <family val="2"/>
    </font>
    <font>
      <b/>
      <sz val="12"/>
      <name val="Arial"/>
      <family val="2"/>
    </font>
    <font>
      <sz val="8"/>
      <name val="Arial"/>
      <family val="2"/>
    </font>
    <font>
      <sz val="10"/>
      <name val="Times New Roman"/>
      <family val="1"/>
    </font>
    <font>
      <i/>
      <sz val="9"/>
      <name val="Arial"/>
      <family val="2"/>
    </font>
    <font>
      <sz val="12"/>
      <name val="Times New Roman"/>
      <family val="1"/>
    </font>
    <font>
      <b/>
      <i/>
      <sz val="9"/>
      <name val="Arial"/>
      <family val="2"/>
    </font>
    <font>
      <b/>
      <sz val="9"/>
      <name val="Arial"/>
      <family val="2"/>
    </font>
    <font>
      <b/>
      <sz val="9"/>
      <color indexed="8"/>
      <name val="Arial"/>
      <family val="2"/>
    </font>
    <font>
      <b/>
      <sz val="9"/>
      <color indexed="8"/>
      <name val="Calibri"/>
      <family val="2"/>
    </font>
    <font>
      <u/>
      <sz val="10"/>
      <color indexed="12"/>
      <name val="Arial"/>
      <family val="2"/>
    </font>
    <font>
      <sz val="12"/>
      <name val="CG Times"/>
      <family val="1"/>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sz val="8"/>
      <name val="Arial"/>
      <family val="2"/>
    </font>
    <font>
      <sz val="11"/>
      <color theme="1"/>
      <name val="Calibri"/>
      <family val="2"/>
      <scheme val="minor"/>
    </font>
    <font>
      <sz val="11"/>
      <color theme="1"/>
      <name val="Arial"/>
      <family val="2"/>
    </font>
    <font>
      <sz val="12"/>
      <color theme="1"/>
      <name val="Arial"/>
      <family val="2"/>
    </font>
    <font>
      <i/>
      <sz val="9"/>
      <color theme="1"/>
      <name val="Calibri"/>
      <family val="2"/>
      <scheme val="minor"/>
    </font>
    <font>
      <b/>
      <i/>
      <sz val="9"/>
      <color theme="1"/>
      <name val="Calibri"/>
      <family val="2"/>
      <scheme val="minor"/>
    </font>
    <font>
      <sz val="9"/>
      <color theme="1"/>
      <name val="Calibri"/>
      <family val="2"/>
      <scheme val="minor"/>
    </font>
    <font>
      <b/>
      <sz val="9"/>
      <color theme="1"/>
      <name val="Calibri"/>
      <family val="2"/>
      <scheme val="minor"/>
    </font>
    <font>
      <b/>
      <sz val="9"/>
      <color indexed="8"/>
      <name val="Calibri"/>
      <family val="2"/>
      <scheme val="minor"/>
    </font>
    <font>
      <sz val="10"/>
      <name val="Arial"/>
      <family val="2"/>
    </font>
    <font>
      <sz val="12"/>
      <name val="Arial"/>
      <family val="2"/>
    </font>
    <font>
      <u/>
      <sz val="12"/>
      <name val="Cambria"/>
      <family val="1"/>
      <scheme val="major"/>
    </font>
    <font>
      <sz val="12"/>
      <name val="Cambria"/>
      <family val="1"/>
      <scheme val="major"/>
    </font>
    <font>
      <sz val="12"/>
      <color theme="1"/>
      <name val="Cambria"/>
      <family val="1"/>
      <scheme val="major"/>
    </font>
    <font>
      <b/>
      <sz val="12"/>
      <name val="Cambria"/>
      <family val="1"/>
      <scheme val="major"/>
    </font>
    <font>
      <u/>
      <sz val="12"/>
      <color indexed="8"/>
      <name val="Cambria"/>
      <family val="1"/>
      <scheme val="major"/>
    </font>
    <font>
      <sz val="12"/>
      <color indexed="8"/>
      <name val="Cambria"/>
      <family val="1"/>
      <scheme val="major"/>
    </font>
    <font>
      <u/>
      <sz val="12"/>
      <color theme="1"/>
      <name val="Cambria"/>
      <family val="1"/>
      <scheme val="major"/>
    </font>
    <font>
      <u/>
      <sz val="10"/>
      <name val="Arial"/>
      <family val="2"/>
    </font>
    <font>
      <b/>
      <u/>
      <sz val="10"/>
      <name val="Arial"/>
      <family val="2"/>
    </font>
    <font>
      <sz val="10"/>
      <name val="Cambria"/>
      <family val="1"/>
      <scheme val="major"/>
    </font>
    <font>
      <b/>
      <sz val="10"/>
      <name val="Cambria"/>
      <family val="1"/>
      <scheme val="major"/>
    </font>
    <font>
      <i/>
      <sz val="12"/>
      <name val="Cambria"/>
      <family val="1"/>
      <scheme val="major"/>
    </font>
    <font>
      <i/>
      <sz val="10"/>
      <name val="Cambria"/>
      <family val="1"/>
      <scheme val="major"/>
    </font>
    <font>
      <i/>
      <sz val="10"/>
      <name val="Arial"/>
      <family val="2"/>
    </font>
    <font>
      <b/>
      <sz val="11"/>
      <color theme="1"/>
      <name val="Calibri"/>
      <family val="2"/>
      <scheme val="minor"/>
    </font>
    <font>
      <sz val="11"/>
      <name val="Calibri"/>
      <family val="2"/>
      <scheme val="minor"/>
    </font>
    <font>
      <sz val="10"/>
      <color theme="1"/>
      <name val="Arial"/>
      <family val="2"/>
    </font>
    <font>
      <sz val="11"/>
      <color rgb="FFFF0000"/>
      <name val="Calibri"/>
      <family val="2"/>
      <scheme val="minor"/>
    </font>
    <font>
      <sz val="10"/>
      <name val="Cambria"/>
      <family val="1"/>
    </font>
    <font>
      <sz val="12"/>
      <name val="Cambria"/>
      <family val="1"/>
    </font>
    <font>
      <b/>
      <u val="singleAccounting"/>
      <sz val="10"/>
      <name val="Arial"/>
      <family val="2"/>
    </font>
    <font>
      <u val="double"/>
      <sz val="10"/>
      <name val="Arial"/>
      <family val="2"/>
    </font>
    <font>
      <sz val="10"/>
      <color indexed="10"/>
      <name val="Arial"/>
      <family val="2"/>
    </font>
    <font>
      <sz val="10"/>
      <color rgb="FF000000"/>
      <name val="Times New Roman"/>
      <family val="1"/>
    </font>
    <font>
      <sz val="9"/>
      <color indexed="8"/>
      <name val="Calibri"/>
      <family val="2"/>
    </font>
    <font>
      <b/>
      <sz val="12"/>
      <color indexed="30"/>
      <name val="Calibri"/>
      <family val="2"/>
    </font>
    <font>
      <sz val="11"/>
      <name val="Cambria"/>
      <family val="1"/>
      <scheme val="major"/>
    </font>
    <font>
      <sz val="11"/>
      <color theme="1"/>
      <name val="Cambria"/>
      <family val="1"/>
      <scheme val="major"/>
    </font>
    <font>
      <b/>
      <sz val="11"/>
      <color theme="1"/>
      <name val="Cambria"/>
      <family val="1"/>
      <scheme val="major"/>
    </font>
    <font>
      <b/>
      <sz val="11"/>
      <name val="Cambria"/>
      <family val="1"/>
      <scheme val="major"/>
    </font>
    <font>
      <b/>
      <sz val="12"/>
      <name val="Cambria"/>
      <family val="1"/>
    </font>
    <font>
      <sz val="10"/>
      <name val="Verdana"/>
      <family val="2"/>
    </font>
    <font>
      <u/>
      <sz val="11"/>
      <color theme="10"/>
      <name val="Calibri"/>
      <family val="2"/>
    </font>
    <font>
      <sz val="11"/>
      <name val="Cambria"/>
      <family val="1"/>
    </font>
    <font>
      <sz val="10"/>
      <color theme="1"/>
      <name val="Calibri"/>
      <family val="2"/>
    </font>
    <font>
      <sz val="11"/>
      <color indexed="8"/>
      <name val="Calibri"/>
      <family val="2"/>
      <scheme val="minor"/>
    </font>
    <font>
      <b/>
      <sz val="11"/>
      <name val="Cambria"/>
      <family val="1"/>
    </font>
    <font>
      <b/>
      <sz val="10"/>
      <color indexed="9"/>
      <name val="Cambria"/>
      <family val="1"/>
      <scheme val="major"/>
    </font>
    <font>
      <b/>
      <sz val="14"/>
      <name val="Cambria"/>
      <family val="1"/>
      <scheme val="major"/>
    </font>
    <font>
      <sz val="10"/>
      <name val="Arial"/>
      <family val="2"/>
    </font>
    <font>
      <sz val="9"/>
      <color theme="1"/>
      <name val="Verdana"/>
      <family val="2"/>
    </font>
    <font>
      <u/>
      <sz val="10"/>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color indexed="10"/>
      <name val="Cambria"/>
      <family val="1"/>
      <scheme val="major"/>
    </font>
    <font>
      <b/>
      <sz val="12"/>
      <color theme="1"/>
      <name val="Cambria"/>
      <family val="1"/>
      <scheme val="major"/>
    </font>
    <font>
      <vertAlign val="superscript"/>
      <sz val="12"/>
      <color theme="1"/>
      <name val="Cambria"/>
      <family val="1"/>
      <scheme val="major"/>
    </font>
    <font>
      <sz val="11"/>
      <color rgb="FF000000"/>
      <name val="Cambria"/>
      <family val="1"/>
    </font>
    <font>
      <sz val="8"/>
      <name val="Arial"/>
      <family val="2"/>
    </font>
    <font>
      <sz val="11"/>
      <color rgb="FF191919"/>
      <name val="Cambria"/>
      <family val="1"/>
    </font>
    <font>
      <i/>
      <sz val="11"/>
      <color theme="1"/>
      <name val="Cambria"/>
      <family val="1"/>
      <scheme val="major"/>
    </font>
    <font>
      <sz val="11"/>
      <color rgb="FFFF0000"/>
      <name val="Cambra"/>
    </font>
    <font>
      <sz val="11"/>
      <name val="Cambra"/>
    </font>
    <font>
      <sz val="11"/>
      <color theme="1"/>
      <name val="Cambra"/>
    </font>
    <font>
      <sz val="11"/>
      <color indexed="8"/>
      <name val="Cambra"/>
    </font>
    <font>
      <sz val="12"/>
      <color theme="1"/>
      <name val="Cambra"/>
    </font>
    <font>
      <sz val="11"/>
      <color indexed="8"/>
      <name val="Cambria"/>
      <family val="1"/>
      <scheme val="major"/>
    </font>
    <font>
      <i/>
      <sz val="11"/>
      <name val="Cambria"/>
      <family val="1"/>
      <scheme val="major"/>
    </font>
    <font>
      <sz val="11"/>
      <color indexed="8"/>
      <name val="Arial"/>
      <family val="2"/>
    </font>
    <font>
      <sz val="12"/>
      <color theme="1"/>
      <name val="Cambria"/>
      <family val="1"/>
    </font>
    <font>
      <sz val="12"/>
      <color theme="4"/>
      <name val="Cambria"/>
      <family val="1"/>
    </font>
    <font>
      <sz val="12"/>
      <color rgb="FFFF0000"/>
      <name val="Cambria"/>
      <family val="1"/>
      <scheme val="major"/>
    </font>
    <font>
      <u/>
      <sz val="16"/>
      <name val="Cambria"/>
      <family val="1"/>
      <scheme val="major"/>
    </font>
    <font>
      <sz val="16"/>
      <name val="Cambria"/>
      <family val="1"/>
      <scheme val="major"/>
    </font>
    <font>
      <sz val="16"/>
      <color theme="1"/>
      <name val="Cambria"/>
      <family val="1"/>
      <scheme val="major"/>
    </font>
    <font>
      <u/>
      <sz val="16"/>
      <color theme="1"/>
      <name val="Cambria"/>
      <family val="1"/>
      <scheme val="major"/>
    </font>
    <font>
      <u/>
      <sz val="14"/>
      <name val="Cambria"/>
      <family val="1"/>
      <scheme val="major"/>
    </font>
    <font>
      <sz val="14"/>
      <name val="Cambria"/>
      <family val="1"/>
      <scheme val="major"/>
    </font>
    <font>
      <sz val="14"/>
      <color theme="1"/>
      <name val="Cambria"/>
      <family val="1"/>
      <scheme val="major"/>
    </font>
    <font>
      <sz val="11"/>
      <color rgb="FF000000"/>
      <name val="Arial"/>
      <family val="2"/>
    </font>
    <font>
      <sz val="11"/>
      <color rgb="FF000000"/>
      <name val="Calibri"/>
      <family val="2"/>
    </font>
  </fonts>
  <fills count="43">
    <fill>
      <patternFill patternType="none"/>
    </fill>
    <fill>
      <patternFill patternType="gray125"/>
    </fill>
    <fill>
      <patternFill patternType="solid">
        <fgColor indexed="65"/>
        <bgColor indexed="8"/>
      </patternFill>
    </fill>
    <fill>
      <patternFill patternType="solid">
        <fgColor indexed="26"/>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rgb="FFEAEAEA"/>
        <bgColor indexed="64"/>
      </patternFill>
    </fill>
    <fill>
      <patternFill patternType="solid">
        <fgColor indexed="6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5" tint="-0.249977111117893"/>
        <bgColor indexed="64"/>
      </patternFill>
    </fill>
    <fill>
      <patternFill patternType="solid">
        <fgColor rgb="FFFFFF00"/>
        <bgColor indexed="64"/>
      </patternFill>
    </fill>
  </fills>
  <borders count="68">
    <border>
      <left/>
      <right/>
      <top/>
      <bottom/>
      <diagonal/>
    </border>
    <border>
      <left/>
      <right/>
      <top/>
      <bottom style="medium">
        <color auto="1"/>
      </bottom>
      <diagonal/>
    </border>
    <border>
      <left/>
      <right/>
      <top/>
      <bottom style="double">
        <color auto="1"/>
      </bottom>
      <diagonal/>
    </border>
    <border>
      <left/>
      <right/>
      <top/>
      <bottom style="thin">
        <color auto="1"/>
      </bottom>
      <diagonal/>
    </border>
    <border>
      <left/>
      <right/>
      <top style="thin">
        <color indexed="8"/>
      </top>
      <bottom/>
      <diagonal/>
    </border>
    <border>
      <left/>
      <right/>
      <top style="thin">
        <color rgb="FFDBE5F1"/>
      </top>
      <bottom style="thin">
        <color rgb="FFDBE5F1"/>
      </bottom>
      <diagonal/>
    </border>
    <border>
      <left/>
      <right/>
      <top/>
      <bottom style="thick">
        <color rgb="FF000000"/>
      </bottom>
      <diagonal/>
    </border>
    <border>
      <left/>
      <right/>
      <top style="double">
        <color rgb="FF000000"/>
      </top>
      <bottom/>
      <diagonal/>
    </border>
    <border>
      <left/>
      <right/>
      <top style="double">
        <color rgb="FFD8D8D8"/>
      </top>
      <bottom/>
      <diagonal/>
    </border>
    <border>
      <left/>
      <right/>
      <top style="thin">
        <color rgb="FF808080"/>
      </top>
      <bottom/>
      <diagonal/>
    </border>
    <border>
      <left/>
      <right/>
      <top style="thin">
        <color auto="1"/>
      </top>
      <bottom style="double">
        <color auto="1"/>
      </bottom>
      <diagonal/>
    </border>
    <border>
      <left/>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thick">
        <color rgb="FF0096D7"/>
      </bottom>
      <diagonal/>
    </border>
    <border>
      <left/>
      <right/>
      <top/>
      <bottom style="thin">
        <color rgb="FFBFBFBF"/>
      </bottom>
      <diagonal/>
    </border>
    <border>
      <left/>
      <right/>
      <top/>
      <bottom style="dashed">
        <color rgb="FFBFBFBF"/>
      </bottom>
      <diagonal/>
    </border>
    <border>
      <left/>
      <right/>
      <top style="medium">
        <color rgb="FF0096D7"/>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medium">
        <color auto="1"/>
      </top>
      <bottom style="medium">
        <color auto="1"/>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bottom style="thin">
        <color theme="1"/>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s>
  <cellStyleXfs count="1773">
    <xf numFmtId="0" fontId="0" fillId="0" borderId="0"/>
    <xf numFmtId="0" fontId="75" fillId="2" borderId="0">
      <alignment vertical="top"/>
    </xf>
    <xf numFmtId="0" fontId="92" fillId="2" borderId="0">
      <alignment vertical="top"/>
    </xf>
    <xf numFmtId="0" fontId="92" fillId="2" borderId="0">
      <alignment vertical="top"/>
    </xf>
    <xf numFmtId="43" fontId="65"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1"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43" fontId="71" fillId="0" borderId="0" applyFont="0" applyFill="0" applyBorder="0" applyAlignment="0" applyProtection="0"/>
    <xf numFmtId="43" fontId="76"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77" fillId="2" borderId="0">
      <alignment vertical="top"/>
    </xf>
    <xf numFmtId="0" fontId="93" fillId="2" borderId="0">
      <alignment vertical="top"/>
    </xf>
    <xf numFmtId="0" fontId="93" fillId="2" borderId="0">
      <alignment vertical="top"/>
    </xf>
    <xf numFmtId="0" fontId="94" fillId="2" borderId="5">
      <alignment vertical="top"/>
    </xf>
    <xf numFmtId="0" fontId="94" fillId="2" borderId="5">
      <alignment vertical="top"/>
    </xf>
    <xf numFmtId="0" fontId="94" fillId="2" borderId="5">
      <alignment vertical="top"/>
    </xf>
    <xf numFmtId="0" fontId="67" fillId="7" borderId="0">
      <alignment vertical="top"/>
    </xf>
    <xf numFmtId="0" fontId="94" fillId="7" borderId="0">
      <alignment vertical="top"/>
    </xf>
    <xf numFmtId="0" fontId="94" fillId="7" borderId="0">
      <alignment vertical="top"/>
    </xf>
    <xf numFmtId="0" fontId="78" fillId="2" borderId="0">
      <alignment vertical="top"/>
    </xf>
    <xf numFmtId="0" fontId="95" fillId="2" borderId="0">
      <alignment vertical="top"/>
    </xf>
    <xf numFmtId="0" fontId="95" fillId="2" borderId="0">
      <alignment vertical="top"/>
    </xf>
    <xf numFmtId="0" fontId="79" fillId="3" borderId="0">
      <alignment vertical="top"/>
    </xf>
    <xf numFmtId="0" fontId="80" fillId="3" borderId="0">
      <alignment vertical="top"/>
    </xf>
    <xf numFmtId="0" fontId="80" fillId="3" borderId="0">
      <alignment vertical="top"/>
    </xf>
    <xf numFmtId="0" fontId="65" fillId="0" borderId="0" applyNumberFormat="0" applyFill="0" applyBorder="0" applyProtection="0">
      <alignment wrapText="1"/>
    </xf>
    <xf numFmtId="0" fontId="65" fillId="0" borderId="0" applyNumberFormat="0" applyFill="0" applyBorder="0" applyProtection="0">
      <alignment horizontal="justify" vertical="top" wrapText="1"/>
    </xf>
    <xf numFmtId="0" fontId="81" fillId="0" borderId="0" applyNumberFormat="0" applyFill="0" applyBorder="0" applyAlignment="0" applyProtection="0">
      <alignment vertical="top"/>
      <protection locked="0"/>
    </xf>
    <xf numFmtId="0" fontId="66" fillId="2" borderId="6">
      <alignment vertical="top"/>
    </xf>
    <xf numFmtId="0" fontId="89" fillId="2" borderId="6">
      <alignment vertical="top"/>
    </xf>
    <xf numFmtId="0" fontId="89" fillId="2" borderId="6">
      <alignment vertical="top"/>
    </xf>
    <xf numFmtId="0" fontId="89" fillId="2" borderId="6">
      <alignment vertical="top"/>
    </xf>
    <xf numFmtId="0" fontId="89" fillId="2" borderId="6">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2" fillId="0" borderId="0"/>
    <xf numFmtId="0" fontId="89" fillId="0" borderId="0"/>
    <xf numFmtId="0" fontId="65"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90" fillId="0" borderId="0"/>
    <xf numFmtId="0" fontId="90" fillId="0" borderId="0"/>
    <xf numFmtId="0" fontId="90" fillId="0" borderId="0"/>
    <xf numFmtId="0" fontId="90" fillId="0" borderId="0"/>
    <xf numFmtId="0" fontId="89"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9"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9" fillId="0" borderId="0"/>
    <xf numFmtId="0" fontId="89" fillId="0" borderId="0"/>
    <xf numFmtId="0" fontId="89" fillId="0" borderId="0"/>
    <xf numFmtId="0" fontId="69"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0" fillId="0" borderId="0"/>
    <xf numFmtId="0" fontId="90" fillId="0" borderId="0"/>
    <xf numFmtId="0" fontId="89" fillId="0" borderId="0"/>
    <xf numFmtId="0" fontId="89" fillId="0" borderId="0"/>
    <xf numFmtId="0" fontId="90" fillId="0" borderId="0"/>
    <xf numFmtId="0" fontId="90" fillId="0" borderId="0"/>
    <xf numFmtId="0" fontId="89" fillId="0" borderId="0"/>
    <xf numFmtId="0" fontId="89" fillId="0" borderId="0"/>
    <xf numFmtId="0" fontId="90" fillId="0" borderId="0"/>
    <xf numFmtId="0" fontId="90" fillId="0" borderId="0"/>
    <xf numFmtId="0" fontId="89" fillId="0" borderId="0"/>
    <xf numFmtId="0" fontId="89" fillId="0" borderId="0"/>
    <xf numFmtId="0" fontId="90" fillId="0" borderId="0"/>
    <xf numFmtId="0" fontId="90" fillId="0" borderId="0"/>
    <xf numFmtId="0" fontId="89" fillId="0" borderId="0"/>
    <xf numFmtId="0" fontId="89" fillId="0" borderId="0"/>
    <xf numFmtId="0" fontId="90" fillId="0" borderId="0"/>
    <xf numFmtId="0" fontId="90" fillId="0" borderId="0"/>
    <xf numFmtId="0" fontId="89" fillId="0" borderId="0"/>
    <xf numFmtId="0" fontId="65" fillId="0" borderId="0"/>
    <xf numFmtId="0" fontId="65" fillId="0" borderId="0"/>
    <xf numFmtId="0" fontId="65" fillId="0" borderId="0"/>
    <xf numFmtId="0" fontId="68" fillId="0" borderId="0"/>
    <xf numFmtId="0" fontId="65" fillId="0" borderId="0"/>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9" fillId="0" borderId="0"/>
    <xf numFmtId="0" fontId="69"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90" fillId="0" borderId="0"/>
    <xf numFmtId="0" fontId="91" fillId="0" borderId="0"/>
    <xf numFmtId="0" fontId="91" fillId="0" borderId="0"/>
    <xf numFmtId="0" fontId="90" fillId="0" borderId="0"/>
    <xf numFmtId="0" fontId="68" fillId="0" borderId="0"/>
    <xf numFmtId="0" fontId="90"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6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9" fillId="0" borderId="0"/>
    <xf numFmtId="0" fontId="89" fillId="0" borderId="0"/>
    <xf numFmtId="0" fontId="8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1"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1"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1"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74" fillId="0" borderId="0" applyFont="0" applyFill="0" applyBorder="0" applyAlignment="0" applyProtection="0"/>
    <xf numFmtId="9" fontId="65" fillId="0" borderId="0" applyFont="0" applyFill="0" applyBorder="0" applyAlignment="0" applyProtection="0"/>
    <xf numFmtId="0" fontId="83" fillId="4"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72" fillId="0" borderId="0" applyNumberFormat="0" applyFill="0" applyBorder="0" applyAlignment="0" applyProtection="0"/>
    <xf numFmtId="0" fontId="70" fillId="0" borderId="0" applyNumberFormat="0" applyFill="0" applyBorder="0" applyAlignment="0" applyProtection="0"/>
    <xf numFmtId="0" fontId="86" fillId="5" borderId="0" applyNumberFormat="0" applyBorder="0" applyAlignment="0" applyProtection="0"/>
    <xf numFmtId="0" fontId="86" fillId="5" borderId="0" applyNumberFormat="0" applyBorder="0" applyProtection="0">
      <alignment horizontal="center"/>
    </xf>
    <xf numFmtId="0" fontId="87" fillId="5" borderId="0" applyNumberFormat="0" applyBorder="0" applyAlignment="0" applyProtection="0"/>
    <xf numFmtId="0" fontId="65" fillId="0" borderId="0" applyNumberFormat="0" applyFont="0" applyFill="0" applyBorder="0" applyProtection="0">
      <alignment horizontal="right"/>
    </xf>
    <xf numFmtId="0" fontId="65" fillId="0" borderId="0" applyNumberFormat="0" applyFont="0" applyFill="0" applyBorder="0" applyProtection="0">
      <alignment horizontal="left"/>
    </xf>
    <xf numFmtId="0" fontId="73" fillId="0" borderId="0" applyNumberFormat="0" applyFill="0" applyBorder="0" applyAlignment="0" applyProtection="0"/>
    <xf numFmtId="0" fontId="88" fillId="0" borderId="0" applyNumberFormat="0" applyFill="0" applyBorder="0" applyAlignment="0" applyProtection="0"/>
    <xf numFmtId="0" fontId="65" fillId="6" borderId="0" applyNumberFormat="0" applyFont="0" applyBorder="0" applyAlignment="0" applyProtection="0"/>
    <xf numFmtId="168" fontId="65" fillId="0" borderId="0" applyFont="0" applyFill="0" applyBorder="0" applyAlignment="0" applyProtection="0"/>
    <xf numFmtId="2" fontId="65" fillId="0" borderId="0" applyFont="0" applyFill="0" applyBorder="0" applyAlignment="0" applyProtection="0"/>
    <xf numFmtId="164" fontId="65" fillId="0" borderId="0" applyFont="0" applyFill="0" applyBorder="0" applyAlignment="0" applyProtection="0"/>
    <xf numFmtId="0" fontId="65" fillId="0" borderId="1" applyNumberFormat="0" applyFont="0" applyFill="0" applyAlignment="0" applyProtection="0"/>
    <xf numFmtId="0" fontId="79" fillId="2" borderId="7">
      <alignment vertical="top"/>
    </xf>
    <xf numFmtId="0" fontId="96" fillId="2" borderId="7">
      <alignment vertical="top"/>
    </xf>
    <xf numFmtId="0" fontId="96" fillId="2" borderId="7">
      <alignment vertical="top"/>
    </xf>
    <xf numFmtId="0" fontId="78" fillId="2" borderId="8">
      <alignment vertical="top"/>
    </xf>
    <xf numFmtId="0" fontId="95" fillId="2" borderId="8">
      <alignment vertical="top"/>
    </xf>
    <xf numFmtId="0" fontId="95" fillId="2" borderId="8">
      <alignment vertical="top"/>
    </xf>
    <xf numFmtId="0" fontId="67" fillId="2" borderId="9">
      <alignment vertical="top"/>
    </xf>
    <xf numFmtId="0" fontId="94" fillId="2" borderId="9">
      <alignment vertical="top"/>
    </xf>
    <xf numFmtId="0" fontId="94" fillId="2" borderId="9">
      <alignment vertical="top"/>
    </xf>
    <xf numFmtId="0" fontId="64" fillId="0" borderId="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64" fillId="2" borderId="6">
      <alignment vertical="top"/>
    </xf>
    <xf numFmtId="0" fontId="64" fillId="2" borderId="6">
      <alignment vertical="top"/>
    </xf>
    <xf numFmtId="0" fontId="64" fillId="2" borderId="6">
      <alignment vertical="top"/>
    </xf>
    <xf numFmtId="0" fontId="64" fillId="2" borderId="6">
      <alignment vertical="top"/>
    </xf>
    <xf numFmtId="0" fontId="64" fillId="2" borderId="6">
      <alignment vertical="top"/>
    </xf>
    <xf numFmtId="0" fontId="64" fillId="2" borderId="6">
      <alignment vertical="top"/>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0" fillId="0" borderId="0"/>
    <xf numFmtId="0" fontId="90"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64" fillId="0" borderId="0"/>
    <xf numFmtId="0" fontId="64"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64" fillId="0" borderId="0"/>
    <xf numFmtId="0" fontId="64" fillId="0" borderId="0"/>
    <xf numFmtId="0" fontId="64" fillId="0" borderId="0"/>
    <xf numFmtId="0" fontId="64" fillId="0" borderId="0"/>
    <xf numFmtId="0" fontId="6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4" fillId="0" borderId="0"/>
    <xf numFmtId="0" fontId="90" fillId="0" borderId="0"/>
    <xf numFmtId="0" fontId="64" fillId="0" borderId="0"/>
    <xf numFmtId="0" fontId="90" fillId="0" borderId="0"/>
    <xf numFmtId="0" fontId="90" fillId="0" borderId="0"/>
    <xf numFmtId="0" fontId="64" fillId="0" borderId="0"/>
    <xf numFmtId="0" fontId="64" fillId="0" borderId="0"/>
    <xf numFmtId="0" fontId="64" fillId="0" borderId="0"/>
    <xf numFmtId="0" fontId="90" fillId="0" borderId="0"/>
    <xf numFmtId="0" fontId="90" fillId="0" borderId="0"/>
    <xf numFmtId="0" fontId="90"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2" borderId="6">
      <alignment vertical="top"/>
    </xf>
    <xf numFmtId="0" fontId="63" fillId="2" borderId="6">
      <alignment vertical="top"/>
    </xf>
    <xf numFmtId="0" fontId="63" fillId="2" borderId="6">
      <alignment vertical="top"/>
    </xf>
    <xf numFmtId="0" fontId="63" fillId="2" borderId="6">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9" fontId="63" fillId="0" borderId="0" applyFont="0" applyFill="0" applyBorder="0" applyAlignment="0" applyProtection="0"/>
    <xf numFmtId="9" fontId="63" fillId="0" borderId="0" applyFont="0" applyFill="0" applyBorder="0" applyAlignment="0" applyProtection="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2" borderId="6">
      <alignment vertical="top"/>
    </xf>
    <xf numFmtId="0" fontId="63" fillId="2" borderId="6">
      <alignment vertical="top"/>
    </xf>
    <xf numFmtId="0" fontId="63" fillId="2" borderId="6">
      <alignment vertical="top"/>
    </xf>
    <xf numFmtId="0" fontId="63" fillId="2" borderId="6">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9" fontId="63" fillId="0" borderId="0" applyFont="0" applyFill="0" applyBorder="0" applyAlignment="0" applyProtection="0"/>
    <xf numFmtId="9"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2" borderId="6">
      <alignment vertical="top"/>
    </xf>
    <xf numFmtId="0" fontId="63" fillId="2" borderId="6">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9" fontId="63" fillId="0" borderId="0" applyFont="0" applyFill="0" applyBorder="0" applyAlignment="0" applyProtection="0"/>
    <xf numFmtId="0" fontId="62" fillId="0" borderId="0"/>
    <xf numFmtId="9" fontId="97" fillId="0" borderId="0" applyFont="0" applyFill="0" applyBorder="0" applyAlignment="0" applyProtection="0"/>
    <xf numFmtId="0" fontId="61" fillId="0" borderId="0"/>
    <xf numFmtId="40" fontId="69" fillId="0" borderId="0" applyFill="0"/>
    <xf numFmtId="40" fontId="69" fillId="0" borderId="0" applyFill="0"/>
    <xf numFmtId="0" fontId="60" fillId="0" borderId="0"/>
    <xf numFmtId="9" fontId="60" fillId="0" borderId="0" applyFont="0" applyFill="0" applyBorder="0" applyAlignment="0" applyProtection="0"/>
    <xf numFmtId="0" fontId="98" fillId="0" borderId="0"/>
    <xf numFmtId="44" fontId="76"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0" fontId="59" fillId="0" borderId="0"/>
    <xf numFmtId="9" fontId="59" fillId="0" borderId="0" applyFont="0" applyFill="0" applyBorder="0" applyAlignment="0" applyProtection="0"/>
    <xf numFmtId="0" fontId="58" fillId="0" borderId="0"/>
    <xf numFmtId="0" fontId="58" fillId="0" borderId="0"/>
    <xf numFmtId="0" fontId="65" fillId="0" borderId="0"/>
    <xf numFmtId="0" fontId="58" fillId="0" borderId="0"/>
    <xf numFmtId="43" fontId="90" fillId="0" borderId="0" applyFont="0" applyFill="0" applyBorder="0" applyAlignment="0" applyProtection="0"/>
    <xf numFmtId="0" fontId="90" fillId="0" borderId="0"/>
    <xf numFmtId="9" fontId="115" fillId="0" borderId="0" applyFont="0" applyFill="0" applyBorder="0" applyAlignment="0" applyProtection="0"/>
    <xf numFmtId="0" fontId="57" fillId="0" borderId="0"/>
    <xf numFmtId="0" fontId="115" fillId="0" borderId="0"/>
    <xf numFmtId="9" fontId="115" fillId="0" borderId="0" applyFont="0" applyFill="0" applyBorder="0" applyAlignment="0" applyProtection="0"/>
    <xf numFmtId="0" fontId="57" fillId="0" borderId="0"/>
    <xf numFmtId="44" fontId="90" fillId="0" borderId="0" applyFont="0" applyFill="0" applyBorder="0" applyAlignment="0" applyProtection="0"/>
    <xf numFmtId="9" fontId="91" fillId="0" borderId="0" applyFont="0" applyFill="0" applyBorder="0" applyAlignment="0" applyProtection="0"/>
    <xf numFmtId="44" fontId="91" fillId="0" borderId="0" applyFont="0" applyFill="0" applyBorder="0" applyAlignment="0" applyProtection="0"/>
    <xf numFmtId="43" fontId="91" fillId="0" borderId="0" applyFont="0" applyFill="0" applyBorder="0" applyAlignment="0" applyProtection="0"/>
    <xf numFmtId="0" fontId="55" fillId="0" borderId="0"/>
    <xf numFmtId="43" fontId="55" fillId="0" borderId="0" applyFont="0" applyFill="0" applyBorder="0" applyAlignment="0" applyProtection="0"/>
    <xf numFmtId="9" fontId="55" fillId="0" borderId="0" applyFont="0" applyFill="0" applyBorder="0" applyAlignment="0" applyProtection="0"/>
    <xf numFmtId="0" fontId="56" fillId="0" borderId="0"/>
    <xf numFmtId="9" fontId="56" fillId="0" borderId="0" applyFont="0" applyFill="0" applyBorder="0" applyAlignment="0" applyProtection="0"/>
    <xf numFmtId="43" fontId="56" fillId="0" borderId="0" applyFont="0" applyFill="0" applyBorder="0" applyAlignment="0" applyProtection="0"/>
    <xf numFmtId="0" fontId="122" fillId="0" borderId="0"/>
    <xf numFmtId="0" fontId="54" fillId="0" borderId="0"/>
    <xf numFmtId="44" fontId="56" fillId="0" borderId="0" applyFont="0" applyFill="0" applyBorder="0" applyAlignment="0" applyProtection="0"/>
    <xf numFmtId="9" fontId="54"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9" fontId="73" fillId="0" borderId="0" applyFont="0" applyFill="0" applyBorder="0" applyAlignment="0" applyProtection="0"/>
    <xf numFmtId="43" fontId="73" fillId="0" borderId="0" applyFont="0" applyFill="0" applyBorder="0" applyAlignment="0" applyProtection="0"/>
    <xf numFmtId="0" fontId="52" fillId="0" borderId="0"/>
    <xf numFmtId="43" fontId="51" fillId="0" borderId="0" applyFont="0" applyFill="0" applyBorder="0" applyAlignment="0" applyProtection="0"/>
    <xf numFmtId="9" fontId="51" fillId="0" borderId="0" applyFont="0" applyFill="0" applyBorder="0" applyAlignment="0" applyProtection="0"/>
    <xf numFmtId="44" fontId="51" fillId="0" borderId="0" applyFont="0" applyFill="0" applyBorder="0" applyAlignment="0" applyProtection="0"/>
    <xf numFmtId="0" fontId="51" fillId="0" borderId="0"/>
    <xf numFmtId="9" fontId="54" fillId="0" borderId="0" applyFont="0" applyFill="0" applyBorder="0" applyAlignment="0" applyProtection="0"/>
    <xf numFmtId="0" fontId="123" fillId="0" borderId="0" applyNumberFormat="0" applyFill="0" applyBorder="0" applyAlignment="0" applyProtection="0"/>
    <xf numFmtId="0" fontId="80" fillId="0" borderId="21" applyNumberFormat="0" applyProtection="0">
      <alignment wrapText="1"/>
    </xf>
    <xf numFmtId="0" fontId="124" fillId="0" borderId="0" applyNumberFormat="0" applyProtection="0">
      <alignment horizontal="left"/>
    </xf>
    <xf numFmtId="0" fontId="80" fillId="0" borderId="22" applyNumberFormat="0" applyProtection="0">
      <alignment wrapText="1"/>
    </xf>
    <xf numFmtId="0" fontId="123" fillId="0" borderId="23" applyNumberFormat="0" applyFont="0" applyProtection="0">
      <alignment wrapText="1"/>
    </xf>
    <xf numFmtId="0" fontId="123" fillId="0" borderId="24" applyNumberFormat="0" applyProtection="0">
      <alignment wrapText="1"/>
    </xf>
    <xf numFmtId="0" fontId="50" fillId="0" borderId="0"/>
    <xf numFmtId="0" fontId="65" fillId="0" borderId="0"/>
    <xf numFmtId="0" fontId="49" fillId="0" borderId="0"/>
    <xf numFmtId="43" fontId="49" fillId="0" borderId="0" applyFont="0" applyFill="0" applyBorder="0" applyAlignment="0" applyProtection="0"/>
    <xf numFmtId="0" fontId="49" fillId="0" borderId="0"/>
    <xf numFmtId="0" fontId="48" fillId="0" borderId="0"/>
    <xf numFmtId="0" fontId="47" fillId="0" borderId="0"/>
    <xf numFmtId="0" fontId="65" fillId="0" borderId="0"/>
    <xf numFmtId="0" fontId="46" fillId="0" borderId="0"/>
    <xf numFmtId="9" fontId="46" fillId="0" borderId="0" applyFont="0" applyFill="0" applyBorder="0" applyAlignment="0" applyProtection="0"/>
    <xf numFmtId="43" fontId="46" fillId="0" borderId="0" applyFont="0" applyFill="0" applyBorder="0" applyAlignment="0" applyProtection="0"/>
    <xf numFmtId="0" fontId="45" fillId="0" borderId="0"/>
    <xf numFmtId="43" fontId="45" fillId="0" borderId="0" applyFont="0" applyFill="0" applyBorder="0" applyAlignment="0" applyProtection="0"/>
    <xf numFmtId="9" fontId="45" fillId="0" borderId="0" applyFont="0" applyFill="0" applyBorder="0" applyAlignment="0" applyProtection="0"/>
    <xf numFmtId="0" fontId="45" fillId="0" borderId="0"/>
    <xf numFmtId="0" fontId="54" fillId="0" borderId="0"/>
    <xf numFmtId="9"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44" fontId="45" fillId="0" borderId="0" applyFont="0" applyFill="0" applyBorder="0" applyAlignment="0" applyProtection="0"/>
    <xf numFmtId="9" fontId="44" fillId="0" borderId="0" applyFont="0" applyFill="0" applyBorder="0" applyAlignment="0" applyProtection="0"/>
    <xf numFmtId="9" fontId="65" fillId="0" borderId="0" applyFont="0" applyFill="0" applyBorder="0" applyAlignment="0" applyProtection="0"/>
    <xf numFmtId="0" fontId="44" fillId="0" borderId="0"/>
    <xf numFmtId="0" fontId="54" fillId="0" borderId="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4"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115" fillId="0" borderId="0"/>
    <xf numFmtId="9" fontId="130" fillId="0" borderId="0" applyFont="0" applyFill="0" applyBorder="0" applyAlignment="0" applyProtection="0"/>
    <xf numFmtId="0" fontId="130" fillId="0" borderId="0"/>
    <xf numFmtId="0" fontId="115" fillId="0" borderId="0"/>
    <xf numFmtId="0" fontId="43" fillId="0" borderId="0"/>
    <xf numFmtId="43" fontId="122" fillId="0" borderId="0" applyFont="0" applyFill="0" applyBorder="0" applyAlignment="0" applyProtection="0"/>
    <xf numFmtId="0" fontId="122" fillId="0" borderId="0"/>
    <xf numFmtId="0" fontId="43" fillId="0" borderId="0"/>
    <xf numFmtId="9" fontId="43" fillId="0" borderId="0" applyFont="0" applyFill="0" applyBorder="0" applyAlignment="0" applyProtection="0"/>
    <xf numFmtId="43" fontId="115" fillId="0" borderId="0" applyFont="0" applyFill="0" applyBorder="0" applyAlignment="0" applyProtection="0"/>
    <xf numFmtId="9" fontId="43" fillId="0" borderId="0" applyFont="0" applyFill="0" applyBorder="0" applyAlignment="0" applyProtection="0"/>
    <xf numFmtId="9" fontId="122" fillId="0" borderId="0" applyFont="0" applyFill="0" applyBorder="0" applyAlignment="0" applyProtection="0"/>
    <xf numFmtId="0" fontId="115" fillId="0" borderId="0"/>
    <xf numFmtId="9" fontId="43" fillId="0" borderId="0" applyFont="0" applyFill="0" applyBorder="0" applyAlignment="0" applyProtection="0"/>
    <xf numFmtId="0" fontId="69" fillId="0" borderId="0"/>
    <xf numFmtId="43" fontId="43" fillId="0" borderId="0" applyFont="0" applyFill="0" applyBorder="0" applyAlignment="0" applyProtection="0"/>
    <xf numFmtId="0" fontId="43" fillId="0" borderId="0"/>
    <xf numFmtId="0" fontId="130" fillId="0" borderId="0"/>
    <xf numFmtId="43" fontId="42" fillId="0" borderId="0" applyFont="0" applyFill="0" applyBorder="0" applyAlignment="0" applyProtection="0"/>
    <xf numFmtId="0" fontId="115" fillId="0" borderId="0"/>
    <xf numFmtId="0" fontId="42" fillId="0" borderId="0"/>
    <xf numFmtId="0" fontId="131" fillId="0" borderId="0" applyNumberFormat="0" applyFill="0" applyBorder="0" applyAlignment="0" applyProtection="0">
      <alignment vertical="top"/>
      <protection locked="0"/>
    </xf>
    <xf numFmtId="0" fontId="41" fillId="0" borderId="0"/>
    <xf numFmtId="9" fontId="41" fillId="0" borderId="0" applyFont="0" applyFill="0" applyBorder="0" applyAlignment="0" applyProtection="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8" fillId="0" borderId="0"/>
    <xf numFmtId="9" fontId="38" fillId="0" borderId="0" applyFont="0" applyFill="0" applyBorder="0" applyAlignment="0" applyProtection="0"/>
    <xf numFmtId="9" fontId="38" fillId="0" borderId="0" applyFont="0" applyFill="0" applyBorder="0" applyAlignment="0" applyProtection="0"/>
    <xf numFmtId="0" fontId="38" fillId="0" borderId="0"/>
    <xf numFmtId="0" fontId="37" fillId="0" borderId="0"/>
    <xf numFmtId="43" fontId="36" fillId="0" borderId="0" applyFont="0" applyFill="0" applyBorder="0" applyAlignment="0" applyProtection="0"/>
    <xf numFmtId="0" fontId="36" fillId="0" borderId="0"/>
    <xf numFmtId="0" fontId="115" fillId="0" borderId="0"/>
    <xf numFmtId="0" fontId="115" fillId="0" borderId="0"/>
    <xf numFmtId="0" fontId="35" fillId="0" borderId="0"/>
    <xf numFmtId="0" fontId="35" fillId="0" borderId="0"/>
    <xf numFmtId="9" fontId="35" fillId="0" borderId="0" applyFont="0" applyFill="0" applyBorder="0" applyAlignment="0" applyProtection="0"/>
    <xf numFmtId="0" fontId="133" fillId="0" borderId="0"/>
    <xf numFmtId="41" fontId="65" fillId="0" borderId="0" applyFont="0" applyFill="0" applyBorder="0" applyAlignment="0" applyProtection="0"/>
    <xf numFmtId="43" fontId="133" fillId="0" borderId="0" applyFont="0" applyFill="0" applyBorder="0" applyAlignment="0" applyProtection="0"/>
    <xf numFmtId="0" fontId="65" fillId="0" borderId="0">
      <alignment vertical="center"/>
    </xf>
    <xf numFmtId="0" fontId="34" fillId="0" borderId="0"/>
    <xf numFmtId="43" fontId="34"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9" fontId="31" fillId="0" borderId="0" applyFont="0" applyFill="0" applyBorder="0" applyAlignment="0" applyProtection="0"/>
    <xf numFmtId="0" fontId="31"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8" fillId="0" borderId="0"/>
    <xf numFmtId="0" fontId="27" fillId="0" borderId="0"/>
    <xf numFmtId="9" fontId="27" fillId="0" borderId="0" applyFont="0" applyFill="0" applyBorder="0" applyAlignment="0" applyProtection="0"/>
    <xf numFmtId="0" fontId="27" fillId="0" borderId="0"/>
    <xf numFmtId="0" fontId="6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2" borderId="6">
      <alignment vertical="top"/>
    </xf>
    <xf numFmtId="0" fontId="26" fillId="2" borderId="6">
      <alignment vertical="top"/>
    </xf>
    <xf numFmtId="0" fontId="26" fillId="2" borderId="6">
      <alignment vertical="top"/>
    </xf>
    <xf numFmtId="0" fontId="26" fillId="2" borderId="6">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2" borderId="6">
      <alignment vertical="top"/>
    </xf>
    <xf numFmtId="0" fontId="26" fillId="2" borderId="6">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54"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54" fillId="0" borderId="0"/>
    <xf numFmtId="43" fontId="54" fillId="0" borderId="0" applyFont="0" applyFill="0" applyBorder="0" applyAlignment="0" applyProtection="0"/>
    <xf numFmtId="9" fontId="54"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26" fillId="0" borderId="0"/>
    <xf numFmtId="0" fontId="25" fillId="0" borderId="0"/>
    <xf numFmtId="9" fontId="25" fillId="0" borderId="0" applyFont="0" applyFill="0" applyBorder="0" applyAlignment="0" applyProtection="0"/>
    <xf numFmtId="9" fontId="65"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44" fontId="138" fillId="0" borderId="0" applyFont="0" applyFill="0" applyBorder="0" applyAlignment="0" applyProtection="0"/>
    <xf numFmtId="0" fontId="65"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2" borderId="6">
      <alignment vertical="top"/>
    </xf>
    <xf numFmtId="0" fontId="22" fillId="2" borderId="6">
      <alignment vertical="top"/>
    </xf>
    <xf numFmtId="0" fontId="22" fillId="2" borderId="6">
      <alignment vertical="top"/>
    </xf>
    <xf numFmtId="0" fontId="22" fillId="2" borderId="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2" borderId="6">
      <alignment vertical="top"/>
    </xf>
    <xf numFmtId="0" fontId="22" fillId="2" borderId="6">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76"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5" fillId="0" borderId="0"/>
    <xf numFmtId="0" fontId="65" fillId="0" borderId="0"/>
    <xf numFmtId="0" fontId="22" fillId="0" borderId="0"/>
    <xf numFmtId="0" fontId="21" fillId="0" borderId="0"/>
    <xf numFmtId="0" fontId="65" fillId="0" borderId="0"/>
    <xf numFmtId="0" fontId="73" fillId="8" borderId="0"/>
    <xf numFmtId="0" fontId="65" fillId="0" borderId="0"/>
    <xf numFmtId="9" fontId="21" fillId="0" borderId="0" applyFont="0" applyFill="0" applyBorder="0" applyAlignment="0" applyProtection="0"/>
    <xf numFmtId="0" fontId="20" fillId="0" borderId="0"/>
    <xf numFmtId="0" fontId="139" fillId="0" borderId="0"/>
    <xf numFmtId="44" fontId="139" fillId="0" borderId="0" applyFont="0" applyFill="0" applyBorder="0" applyAlignment="0" applyProtection="0"/>
    <xf numFmtId="0" fontId="19" fillId="0" borderId="0"/>
    <xf numFmtId="0" fontId="18" fillId="0" borderId="0"/>
    <xf numFmtId="0" fontId="18"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6" fillId="0" borderId="0"/>
    <xf numFmtId="0" fontId="15" fillId="0" borderId="0"/>
    <xf numFmtId="0" fontId="65" fillId="0" borderId="0"/>
    <xf numFmtId="0" fontId="6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15" fillId="0" borderId="0"/>
    <xf numFmtId="9" fontId="1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15" fillId="0" borderId="0"/>
    <xf numFmtId="0" fontId="115" fillId="0" borderId="0"/>
    <xf numFmtId="0" fontId="65" fillId="0" borderId="0" applyNumberForma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65" fillId="0" borderId="0"/>
    <xf numFmtId="9" fontId="13" fillId="0" borderId="0" applyFont="0" applyFill="0" applyBorder="0" applyAlignment="0" applyProtection="0"/>
    <xf numFmtId="0" fontId="13" fillId="0" borderId="0"/>
    <xf numFmtId="0" fontId="13" fillId="0" borderId="0"/>
    <xf numFmtId="0" fontId="13" fillId="0" borderId="0"/>
    <xf numFmtId="0" fontId="134" fillId="0" borderId="0"/>
    <xf numFmtId="0" fontId="13" fillId="0" borderId="0"/>
    <xf numFmtId="9" fontId="13" fillId="0" borderId="0" applyFont="0" applyFill="0" applyBorder="0" applyAlignment="0" applyProtection="0"/>
    <xf numFmtId="0" fontId="140" fillId="0" borderId="0" applyNumberFormat="0" applyFill="0" applyBorder="0" applyAlignment="0" applyProtection="0"/>
    <xf numFmtId="43" fontId="65" fillId="0" borderId="0" applyFont="0" applyFill="0" applyBorder="0" applyAlignment="0" applyProtection="0"/>
    <xf numFmtId="0" fontId="115" fillId="0" borderId="0"/>
    <xf numFmtId="0" fontId="115" fillId="0" borderId="0"/>
    <xf numFmtId="9" fontId="115" fillId="0" borderId="0" applyFont="0" applyFill="0" applyBorder="0" applyAlignment="0" applyProtection="0"/>
    <xf numFmtId="44" fontId="115" fillId="0" borderId="0" applyFont="0" applyFill="0" applyBorder="0" applyAlignment="0" applyProtection="0"/>
    <xf numFmtId="43" fontId="115" fillId="0" borderId="0" applyFont="0" applyFill="0" applyBorder="0" applyAlignment="0" applyProtection="0"/>
    <xf numFmtId="9" fontId="12"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0" fillId="0" borderId="0"/>
    <xf numFmtId="0" fontId="10" fillId="0" borderId="0"/>
    <xf numFmtId="0" fontId="10" fillId="0" borderId="0"/>
    <xf numFmtId="9" fontId="10"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141" fillId="0" borderId="43" applyNumberFormat="0" applyFill="0" applyAlignment="0" applyProtection="0"/>
    <xf numFmtId="0" fontId="142" fillId="0" borderId="44" applyNumberFormat="0" applyFill="0" applyAlignment="0" applyProtection="0"/>
    <xf numFmtId="0" fontId="143" fillId="0" borderId="45" applyNumberFormat="0" applyFill="0" applyAlignment="0" applyProtection="0"/>
    <xf numFmtId="0" fontId="143" fillId="0" borderId="0" applyNumberFormat="0" applyFill="0" applyBorder="0" applyAlignment="0" applyProtection="0"/>
    <xf numFmtId="0" fontId="144" fillId="9" borderId="0" applyNumberFormat="0" applyBorder="0" applyAlignment="0" applyProtection="0"/>
    <xf numFmtId="0" fontId="145" fillId="10" borderId="0" applyNumberFormat="0" applyBorder="0" applyAlignment="0" applyProtection="0"/>
    <xf numFmtId="0" fontId="146" fillId="12" borderId="46" applyNumberFormat="0" applyAlignment="0" applyProtection="0"/>
    <xf numFmtId="0" fontId="147" fillId="13" borderId="47" applyNumberFormat="0" applyAlignment="0" applyProtection="0"/>
    <xf numFmtId="0" fontId="148" fillId="13" borderId="46" applyNumberFormat="0" applyAlignment="0" applyProtection="0"/>
    <xf numFmtId="0" fontId="149" fillId="0" borderId="48" applyNumberFormat="0" applyFill="0" applyAlignment="0" applyProtection="0"/>
    <xf numFmtId="0" fontId="150" fillId="14" borderId="49" applyNumberFormat="0" applyAlignment="0" applyProtection="0"/>
    <xf numFmtId="0" fontId="116" fillId="0" borderId="0" applyNumberFormat="0" applyFill="0" applyBorder="0" applyAlignment="0" applyProtection="0"/>
    <xf numFmtId="0" fontId="151" fillId="0" borderId="0" applyNumberFormat="0" applyFill="0" applyBorder="0" applyAlignment="0" applyProtection="0"/>
    <xf numFmtId="0" fontId="113" fillId="0" borderId="51" applyNumberFormat="0" applyFill="0" applyAlignment="0" applyProtection="0"/>
    <xf numFmtId="0" fontId="152"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152"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152"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152"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152"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152"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3" fillId="0" borderId="0" applyNumberFormat="0" applyFill="0" applyBorder="0" applyAlignment="0" applyProtection="0"/>
    <xf numFmtId="0" fontId="154" fillId="11" borderId="0" applyNumberFormat="0" applyBorder="0" applyAlignment="0" applyProtection="0"/>
    <xf numFmtId="0" fontId="8" fillId="15" borderId="50" applyNumberFormat="0" applyFont="0" applyAlignment="0" applyProtection="0"/>
    <xf numFmtId="0" fontId="152" fillId="19" borderId="0" applyNumberFormat="0" applyBorder="0" applyAlignment="0" applyProtection="0"/>
    <xf numFmtId="0" fontId="152" fillId="23" borderId="0" applyNumberFormat="0" applyBorder="0" applyAlignment="0" applyProtection="0"/>
    <xf numFmtId="0" fontId="152" fillId="27" borderId="0" applyNumberFormat="0" applyBorder="0" applyAlignment="0" applyProtection="0"/>
    <xf numFmtId="0" fontId="152" fillId="31" borderId="0" applyNumberFormat="0" applyBorder="0" applyAlignment="0" applyProtection="0"/>
    <xf numFmtId="0" fontId="152" fillId="35" borderId="0" applyNumberFormat="0" applyBorder="0" applyAlignment="0" applyProtection="0"/>
    <xf numFmtId="0" fontId="152" fillId="39" borderId="0" applyNumberFormat="0" applyBorder="0" applyAlignment="0" applyProtection="0"/>
    <xf numFmtId="0" fontId="91" fillId="0" borderId="0"/>
    <xf numFmtId="9" fontId="91" fillId="0" borderId="0" applyFont="0" applyFill="0" applyBorder="0" applyAlignment="0" applyProtection="0"/>
    <xf numFmtId="43" fontId="91" fillId="0" borderId="0" applyFont="0" applyFill="0" applyBorder="0" applyAlignment="0" applyProtection="0"/>
    <xf numFmtId="9" fontId="115" fillId="0" borderId="0" applyFont="0" applyFill="0" applyBorder="0" applyAlignment="0" applyProtection="0"/>
    <xf numFmtId="0" fontId="8" fillId="0" borderId="0"/>
    <xf numFmtId="42" fontId="65"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5" fillId="0" borderId="0"/>
    <xf numFmtId="9" fontId="5"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65" fillId="0" borderId="0"/>
    <xf numFmtId="0" fontId="180" fillId="0" borderId="0"/>
    <xf numFmtId="0" fontId="181" fillId="0" borderId="0" applyNumberFormat="0" applyBorder="0" applyProtection="0"/>
    <xf numFmtId="202" fontId="180" fillId="0" borderId="0" applyFont="0" applyFill="0" applyBorder="0" applyAlignment="0" applyProtection="0"/>
  </cellStyleXfs>
  <cellXfs count="1071">
    <xf numFmtId="0" fontId="0" fillId="0" borderId="0" xfId="0"/>
    <xf numFmtId="0" fontId="99" fillId="0" borderId="0" xfId="0" applyFont="1" applyAlignment="1">
      <alignment horizontal="centerContinuous"/>
    </xf>
    <xf numFmtId="0" fontId="100" fillId="0" borderId="0" xfId="0" applyFont="1" applyAlignment="1">
      <alignment horizontal="centerContinuous"/>
    </xf>
    <xf numFmtId="0" fontId="100" fillId="0" borderId="0" xfId="0" applyFont="1"/>
    <xf numFmtId="0" fontId="100" fillId="0" borderId="3" xfId="0" applyFont="1" applyBorder="1" applyAlignment="1">
      <alignment wrapText="1"/>
    </xf>
    <xf numFmtId="0" fontId="100" fillId="0" borderId="0" xfId="0" applyFont="1" applyAlignment="1">
      <alignment horizontal="center"/>
    </xf>
    <xf numFmtId="43" fontId="100" fillId="0" borderId="0" xfId="4" applyFont="1"/>
    <xf numFmtId="43" fontId="100" fillId="0" borderId="0" xfId="4" applyFont="1" applyFill="1"/>
    <xf numFmtId="4" fontId="100" fillId="0" borderId="0" xfId="0" applyNumberFormat="1" applyFont="1"/>
    <xf numFmtId="43" fontId="100" fillId="0" borderId="0" xfId="4" applyFont="1" applyFill="1" applyBorder="1"/>
    <xf numFmtId="0" fontId="100" fillId="0" borderId="0" xfId="0" applyFont="1" applyAlignment="1">
      <alignment horizontal="right"/>
    </xf>
    <xf numFmtId="0" fontId="101" fillId="0" borderId="0" xfId="752" applyFont="1"/>
    <xf numFmtId="0" fontId="100" fillId="0" borderId="0" xfId="0" applyFont="1" applyAlignment="1">
      <alignment wrapText="1"/>
    </xf>
    <xf numFmtId="0" fontId="100" fillId="0" borderId="0" xfId="169" applyFont="1"/>
    <xf numFmtId="0" fontId="99" fillId="0" borderId="0" xfId="169" applyFont="1" applyAlignment="1">
      <alignment horizontal="centerContinuous"/>
    </xf>
    <xf numFmtId="0" fontId="100" fillId="0" borderId="0" xfId="169" applyFont="1" applyAlignment="1">
      <alignment horizontal="centerContinuous"/>
    </xf>
    <xf numFmtId="0" fontId="100" fillId="0" borderId="0" xfId="169" applyFont="1" applyAlignment="1">
      <alignment horizontal="center"/>
    </xf>
    <xf numFmtId="0" fontId="99" fillId="0" borderId="0" xfId="169" applyFont="1"/>
    <xf numFmtId="0" fontId="100" fillId="0" borderId="0" xfId="169" applyFont="1" applyAlignment="1">
      <alignment horizontal="right"/>
    </xf>
    <xf numFmtId="0" fontId="100" fillId="0" borderId="0" xfId="169" applyFont="1" applyAlignment="1">
      <alignment wrapText="1"/>
    </xf>
    <xf numFmtId="43" fontId="100" fillId="0" borderId="0" xfId="4" applyFont="1" applyFill="1" applyAlignment="1"/>
    <xf numFmtId="0" fontId="100" fillId="0" borderId="0" xfId="169" quotePrefix="1" applyFont="1"/>
    <xf numFmtId="43" fontId="100" fillId="0" borderId="3" xfId="4" applyFont="1" applyFill="1" applyBorder="1" applyAlignment="1"/>
    <xf numFmtId="43" fontId="100" fillId="0" borderId="0" xfId="4" applyFont="1" applyFill="1" applyBorder="1" applyAlignment="1"/>
    <xf numFmtId="4" fontId="100" fillId="0" borderId="0" xfId="169" applyNumberFormat="1" applyFont="1"/>
    <xf numFmtId="0" fontId="100" fillId="0" borderId="0" xfId="169" quotePrefix="1" applyFont="1" applyAlignment="1">
      <alignment horizontal="center"/>
    </xf>
    <xf numFmtId="43" fontId="100" fillId="0" borderId="2" xfId="4" applyFont="1" applyFill="1" applyBorder="1" applyAlignment="1"/>
    <xf numFmtId="0" fontId="100" fillId="0" borderId="0" xfId="169" applyFont="1" applyAlignment="1">
      <alignment horizontal="right" vertical="top"/>
    </xf>
    <xf numFmtId="0" fontId="100" fillId="0" borderId="0" xfId="169" applyFont="1" applyAlignment="1">
      <alignment horizontal="center" vertical="top"/>
    </xf>
    <xf numFmtId="0" fontId="100" fillId="0" borderId="0" xfId="169" applyFont="1" applyAlignment="1">
      <alignment horizontal="left" vertical="top"/>
    </xf>
    <xf numFmtId="0" fontId="100" fillId="0" borderId="0" xfId="169" applyFont="1" applyAlignment="1">
      <alignment vertical="top"/>
    </xf>
    <xf numFmtId="0" fontId="100" fillId="0" borderId="0" xfId="169" quotePrefix="1" applyFont="1" applyAlignment="1">
      <alignment horizontal="center" vertical="top"/>
    </xf>
    <xf numFmtId="0" fontId="100" fillId="0" borderId="0" xfId="169" applyFont="1" applyAlignment="1">
      <alignment vertical="top" wrapText="1"/>
    </xf>
    <xf numFmtId="0" fontId="100" fillId="0" borderId="3" xfId="169" applyFont="1" applyBorder="1"/>
    <xf numFmtId="174" fontId="100" fillId="0" borderId="0" xfId="169" applyNumberFormat="1" applyFont="1"/>
    <xf numFmtId="174" fontId="100" fillId="0" borderId="0" xfId="169" quotePrefix="1" applyNumberFormat="1" applyFont="1"/>
    <xf numFmtId="0" fontId="100" fillId="0" borderId="0" xfId="169" applyFont="1" applyAlignment="1">
      <alignment horizontal="center" vertical="center"/>
    </xf>
    <xf numFmtId="174" fontId="100" fillId="0" borderId="0" xfId="169" applyNumberFormat="1" applyFont="1" applyAlignment="1">
      <alignment wrapText="1"/>
    </xf>
    <xf numFmtId="0" fontId="100" fillId="0" borderId="0" xfId="169" quotePrefix="1" applyFont="1" applyAlignment="1">
      <alignment horizontal="center" vertical="center"/>
    </xf>
    <xf numFmtId="174" fontId="100" fillId="0" borderId="0" xfId="169" applyNumberFormat="1" applyFont="1" applyAlignment="1">
      <alignment horizontal="left"/>
    </xf>
    <xf numFmtId="174" fontId="100" fillId="0" borderId="3" xfId="169" applyNumberFormat="1" applyFont="1" applyBorder="1"/>
    <xf numFmtId="174" fontId="100" fillId="0" borderId="2" xfId="169" applyNumberFormat="1" applyFont="1" applyBorder="1"/>
    <xf numFmtId="174" fontId="100" fillId="0" borderId="0" xfId="169" applyNumberFormat="1" applyFont="1" applyAlignment="1">
      <alignment vertical="top" wrapText="1"/>
    </xf>
    <xf numFmtId="174" fontId="100" fillId="0" borderId="0" xfId="169" applyNumberFormat="1" applyFont="1" applyAlignment="1">
      <alignment horizontal="left" vertical="top"/>
    </xf>
    <xf numFmtId="0" fontId="100" fillId="0" borderId="0" xfId="213" applyFont="1" applyAlignment="1">
      <alignment horizontal="left"/>
    </xf>
    <xf numFmtId="0" fontId="100" fillId="0" borderId="0" xfId="213" applyFont="1" applyAlignment="1">
      <alignment horizontal="right"/>
    </xf>
    <xf numFmtId="174" fontId="100" fillId="0" borderId="0" xfId="169" applyNumberFormat="1" applyFont="1" applyAlignment="1">
      <alignment horizontal="right"/>
    </xf>
    <xf numFmtId="0" fontId="100" fillId="0" borderId="0" xfId="169" quotePrefix="1" applyFont="1" applyAlignment="1">
      <alignment vertical="top"/>
    </xf>
    <xf numFmtId="164" fontId="100" fillId="0" borderId="0" xfId="0" quotePrefix="1" applyNumberFormat="1" applyFont="1" applyAlignment="1">
      <alignment horizontal="center"/>
    </xf>
    <xf numFmtId="164" fontId="100" fillId="0" borderId="2" xfId="0" applyNumberFormat="1" applyFont="1" applyBorder="1" applyAlignment="1">
      <alignment horizontal="center"/>
    </xf>
    <xf numFmtId="0" fontId="100" fillId="0" borderId="0" xfId="213" quotePrefix="1" applyFont="1" applyAlignment="1">
      <alignment horizontal="right"/>
    </xf>
    <xf numFmtId="43" fontId="100" fillId="0" borderId="0" xfId="0" applyNumberFormat="1" applyFont="1"/>
    <xf numFmtId="0" fontId="101" fillId="0" borderId="0" xfId="111" applyFont="1"/>
    <xf numFmtId="0" fontId="100" fillId="0" borderId="0" xfId="211" applyFont="1"/>
    <xf numFmtId="175" fontId="100" fillId="0" borderId="0" xfId="169" applyNumberFormat="1" applyFont="1"/>
    <xf numFmtId="0" fontId="100" fillId="0" borderId="0" xfId="169" quotePrefix="1" applyFont="1" applyAlignment="1">
      <alignment horizontal="left" vertical="top"/>
    </xf>
    <xf numFmtId="43" fontId="100" fillId="0" borderId="0" xfId="169" applyNumberFormat="1" applyFont="1"/>
    <xf numFmtId="0" fontId="100" fillId="0" borderId="0" xfId="169" applyFont="1" applyAlignment="1">
      <alignment horizontal="center" wrapText="1"/>
    </xf>
    <xf numFmtId="0" fontId="100" fillId="0" borderId="4" xfId="169" applyFont="1" applyBorder="1"/>
    <xf numFmtId="43" fontId="100" fillId="0" borderId="0" xfId="59" applyFont="1" applyFill="1" applyBorder="1"/>
    <xf numFmtId="0" fontId="100" fillId="0" borderId="3" xfId="169" applyFont="1" applyBorder="1" applyAlignment="1">
      <alignment horizontal="centerContinuous"/>
    </xf>
    <xf numFmtId="175" fontId="100" fillId="0" borderId="3" xfId="169" applyNumberFormat="1" applyFont="1" applyBorder="1" applyAlignment="1">
      <alignment horizontal="centerContinuous"/>
    </xf>
    <xf numFmtId="176" fontId="100" fillId="0" borderId="3" xfId="169" applyNumberFormat="1" applyFont="1" applyBorder="1" applyAlignment="1">
      <alignment horizontal="centerContinuous"/>
    </xf>
    <xf numFmtId="175" fontId="100" fillId="0" borderId="0" xfId="169" applyNumberFormat="1" applyFont="1" applyAlignment="1">
      <alignment horizontal="center"/>
    </xf>
    <xf numFmtId="0" fontId="100" fillId="0" borderId="0" xfId="169" applyFont="1" applyAlignment="1">
      <alignment horizontal="left"/>
    </xf>
    <xf numFmtId="164" fontId="100" fillId="0" borderId="0" xfId="169" quotePrefix="1" applyNumberFormat="1" applyFont="1" applyAlignment="1">
      <alignment horizontal="center"/>
    </xf>
    <xf numFmtId="0" fontId="104" fillId="0" borderId="0" xfId="111" applyFont="1"/>
    <xf numFmtId="164" fontId="100" fillId="0" borderId="0" xfId="169" applyNumberFormat="1" applyFont="1" applyAlignment="1">
      <alignment horizontal="center"/>
    </xf>
    <xf numFmtId="0" fontId="104" fillId="0" borderId="0" xfId="111" applyFont="1" applyAlignment="1">
      <alignment horizontal="right"/>
    </xf>
    <xf numFmtId="0" fontId="100" fillId="0" borderId="0" xfId="169" quotePrefix="1" applyFont="1" applyAlignment="1">
      <alignment horizontal="right"/>
    </xf>
    <xf numFmtId="2" fontId="100" fillId="0" borderId="0" xfId="0" applyNumberFormat="1" applyFont="1"/>
    <xf numFmtId="43" fontId="100" fillId="0" borderId="2" xfId="0" applyNumberFormat="1" applyFont="1" applyBorder="1"/>
    <xf numFmtId="0" fontId="100" fillId="0" borderId="0" xfId="0" quotePrefix="1" applyFont="1"/>
    <xf numFmtId="0" fontId="100" fillId="0" borderId="3" xfId="169" applyFont="1" applyBorder="1" applyAlignment="1">
      <alignment horizontal="left"/>
    </xf>
    <xf numFmtId="164" fontId="100" fillId="0" borderId="0" xfId="169" applyNumberFormat="1" applyFont="1"/>
    <xf numFmtId="14" fontId="100" fillId="0" borderId="0" xfId="0" applyNumberFormat="1" applyFont="1"/>
    <xf numFmtId="0" fontId="100" fillId="0" borderId="0" xfId="0" quotePrefix="1" applyFont="1" applyAlignment="1">
      <alignment horizontal="center"/>
    </xf>
    <xf numFmtId="10" fontId="100" fillId="0" borderId="0" xfId="211" applyNumberFormat="1" applyFont="1"/>
    <xf numFmtId="0" fontId="101" fillId="0" borderId="0" xfId="752" applyFont="1" applyAlignment="1">
      <alignment horizontal="center" wrapText="1"/>
    </xf>
    <xf numFmtId="0" fontId="100" fillId="0" borderId="0" xfId="169" applyFont="1" applyAlignment="1">
      <alignment vertical="center"/>
    </xf>
    <xf numFmtId="43" fontId="100" fillId="0" borderId="3" xfId="0" applyNumberFormat="1" applyFont="1" applyBorder="1"/>
    <xf numFmtId="43" fontId="100" fillId="0" borderId="2" xfId="4" applyFont="1" applyFill="1" applyBorder="1"/>
    <xf numFmtId="43" fontId="100" fillId="0" borderId="0" xfId="0" applyNumberFormat="1" applyFont="1" applyAlignment="1">
      <alignment horizontal="center"/>
    </xf>
    <xf numFmtId="43" fontId="101" fillId="0" borderId="0" xfId="4" applyFont="1" applyFill="1"/>
    <xf numFmtId="179" fontId="101" fillId="0" borderId="0" xfId="4" applyNumberFormat="1" applyFont="1" applyFill="1"/>
    <xf numFmtId="43" fontId="100" fillId="0" borderId="0" xfId="4" applyFont="1" applyFill="1" applyAlignment="1">
      <alignment horizontal="right"/>
    </xf>
    <xf numFmtId="2" fontId="100" fillId="0" borderId="0" xfId="169" applyNumberFormat="1" applyFont="1"/>
    <xf numFmtId="0" fontId="101" fillId="0" borderId="0" xfId="0" applyFont="1" applyAlignment="1">
      <alignment horizontal="center"/>
    </xf>
    <xf numFmtId="0" fontId="108" fillId="0" borderId="0" xfId="0" applyFont="1"/>
    <xf numFmtId="10" fontId="108" fillId="0" borderId="0" xfId="751" applyNumberFormat="1" applyFont="1" applyFill="1" applyBorder="1"/>
    <xf numFmtId="43" fontId="100" fillId="0" borderId="3" xfId="4" applyFont="1" applyFill="1" applyBorder="1"/>
    <xf numFmtId="0" fontId="59" fillId="0" borderId="0" xfId="762"/>
    <xf numFmtId="0" fontId="100" fillId="0" borderId="0" xfId="169" quotePrefix="1" applyFont="1" applyAlignment="1">
      <alignment horizontal="left"/>
    </xf>
    <xf numFmtId="164" fontId="100" fillId="0" borderId="2" xfId="169" applyNumberFormat="1" applyFont="1" applyBorder="1" applyAlignment="1">
      <alignment horizontal="center"/>
    </xf>
    <xf numFmtId="0" fontId="100" fillId="0" borderId="2" xfId="169" applyFont="1" applyBorder="1" applyAlignment="1">
      <alignment horizontal="center"/>
    </xf>
    <xf numFmtId="0" fontId="104" fillId="0" borderId="0" xfId="771" quotePrefix="1" applyFont="1" applyAlignment="1">
      <alignment horizontal="right"/>
    </xf>
    <xf numFmtId="0" fontId="104" fillId="0" borderId="0" xfId="771" applyFont="1"/>
    <xf numFmtId="43" fontId="100" fillId="0" borderId="2" xfId="4" applyFont="1" applyFill="1" applyBorder="1" applyAlignment="1">
      <alignment horizontal="center"/>
    </xf>
    <xf numFmtId="179" fontId="100" fillId="0" borderId="0" xfId="4" applyNumberFormat="1" applyFont="1" applyFill="1" applyAlignment="1">
      <alignment horizontal="right"/>
    </xf>
    <xf numFmtId="179" fontId="100" fillId="0" borderId="2" xfId="4" applyNumberFormat="1" applyFont="1" applyFill="1" applyBorder="1" applyAlignment="1">
      <alignment horizontal="center"/>
    </xf>
    <xf numFmtId="179" fontId="100" fillId="0" borderId="0" xfId="0" applyNumberFormat="1" applyFont="1" applyAlignment="1">
      <alignment horizontal="right"/>
    </xf>
    <xf numFmtId="179" fontId="100" fillId="0" borderId="0" xfId="0" applyNumberFormat="1" applyFont="1" applyAlignment="1">
      <alignment horizontal="center"/>
    </xf>
    <xf numFmtId="43" fontId="100" fillId="0" borderId="0" xfId="4" applyFont="1" applyFill="1" applyAlignment="1">
      <alignment horizontal="center"/>
    </xf>
    <xf numFmtId="43" fontId="101" fillId="0" borderId="0" xfId="4" applyFont="1" applyFill="1" applyBorder="1"/>
    <xf numFmtId="0" fontId="99" fillId="0" borderId="0" xfId="0" applyFont="1" applyAlignment="1">
      <alignment horizontal="center"/>
    </xf>
    <xf numFmtId="0" fontId="0" fillId="0" borderId="1" xfId="0" applyBorder="1"/>
    <xf numFmtId="0" fontId="112" fillId="0" borderId="18" xfId="0" applyFont="1" applyBorder="1" applyAlignment="1">
      <alignment horizontal="center"/>
    </xf>
    <xf numFmtId="0" fontId="112" fillId="0" borderId="18" xfId="0" applyFont="1" applyBorder="1" applyAlignment="1">
      <alignment horizontal="centerContinuous"/>
    </xf>
    <xf numFmtId="0" fontId="117" fillId="0" borderId="0" xfId="0" applyFont="1"/>
    <xf numFmtId="0" fontId="117" fillId="0" borderId="0" xfId="0" applyFont="1" applyAlignment="1">
      <alignment horizontal="centerContinuous"/>
    </xf>
    <xf numFmtId="0" fontId="117" fillId="0" borderId="3" xfId="0" applyFont="1" applyBorder="1" applyAlignment="1">
      <alignment horizontal="center" wrapText="1"/>
    </xf>
    <xf numFmtId="0" fontId="117" fillId="0" borderId="0" xfId="0" applyFont="1" applyAlignment="1">
      <alignment horizontal="center"/>
    </xf>
    <xf numFmtId="0" fontId="118" fillId="0" borderId="0" xfId="0" applyFont="1"/>
    <xf numFmtId="0" fontId="100" fillId="0" borderId="0" xfId="169" applyFont="1" applyAlignment="1">
      <alignment horizontal="left" wrapText="1"/>
    </xf>
    <xf numFmtId="0" fontId="99" fillId="0" borderId="0" xfId="0" applyFont="1" applyAlignment="1">
      <alignment horizontal="left" vertical="top"/>
    </xf>
    <xf numFmtId="10" fontId="0" fillId="0" borderId="0" xfId="763" applyNumberFormat="1" applyFont="1" applyFill="1" applyAlignment="1">
      <alignment horizontal="center"/>
    </xf>
    <xf numFmtId="0" fontId="102" fillId="0" borderId="0" xfId="0" applyFont="1"/>
    <xf numFmtId="0" fontId="110" fillId="0" borderId="3" xfId="0" applyFont="1" applyBorder="1"/>
    <xf numFmtId="0" fontId="110" fillId="0" borderId="3" xfId="0" applyFont="1" applyBorder="1" applyAlignment="1">
      <alignment horizontal="left"/>
    </xf>
    <xf numFmtId="0" fontId="111" fillId="0" borderId="0" xfId="0" applyFont="1" applyAlignment="1">
      <alignment horizontal="left"/>
    </xf>
    <xf numFmtId="0" fontId="100" fillId="0" borderId="3" xfId="0" applyFont="1" applyBorder="1" applyAlignment="1">
      <alignment horizontal="left"/>
    </xf>
    <xf numFmtId="0" fontId="114" fillId="0" borderId="0" xfId="0" applyFont="1"/>
    <xf numFmtId="0" fontId="101" fillId="0" borderId="0" xfId="0" applyFont="1"/>
    <xf numFmtId="0" fontId="113" fillId="0" borderId="0" xfId="762" applyFont="1" applyAlignment="1">
      <alignment horizontal="center"/>
    </xf>
    <xf numFmtId="0" fontId="65" fillId="0" borderId="0" xfId="103"/>
    <xf numFmtId="10" fontId="100" fillId="0" borderId="0" xfId="376" applyNumberFormat="1" applyFont="1"/>
    <xf numFmtId="0" fontId="65" fillId="0" borderId="0" xfId="103" applyAlignment="1">
      <alignment wrapText="1"/>
    </xf>
    <xf numFmtId="0" fontId="106" fillId="0" borderId="0" xfId="103" applyFont="1" applyAlignment="1">
      <alignment horizontal="centerContinuous"/>
    </xf>
    <xf numFmtId="0" fontId="65" fillId="0" borderId="0" xfId="103" applyAlignment="1">
      <alignment horizontal="centerContinuous"/>
    </xf>
    <xf numFmtId="0" fontId="107" fillId="0" borderId="0" xfId="103" applyFont="1" applyAlignment="1">
      <alignment horizontal="centerContinuous"/>
    </xf>
    <xf numFmtId="183" fontId="65" fillId="0" borderId="0" xfId="103" applyNumberFormat="1"/>
    <xf numFmtId="167" fontId="65" fillId="0" borderId="0" xfId="103" applyNumberFormat="1"/>
    <xf numFmtId="0" fontId="106" fillId="0" borderId="0" xfId="103" applyFont="1"/>
    <xf numFmtId="166" fontId="65" fillId="0" borderId="0" xfId="103" applyNumberFormat="1"/>
    <xf numFmtId="166" fontId="106" fillId="0" borderId="0" xfId="103" applyNumberFormat="1" applyFont="1"/>
    <xf numFmtId="166" fontId="120" fillId="0" borderId="0" xfId="103" applyNumberFormat="1" applyFont="1"/>
    <xf numFmtId="2" fontId="65" fillId="0" borderId="0" xfId="103" applyNumberFormat="1"/>
    <xf numFmtId="164" fontId="65" fillId="0" borderId="0" xfId="103" applyNumberFormat="1"/>
    <xf numFmtId="2" fontId="106" fillId="0" borderId="0" xfId="103" applyNumberFormat="1" applyFont="1"/>
    <xf numFmtId="2" fontId="120" fillId="0" borderId="0" xfId="103" applyNumberFormat="1" applyFont="1"/>
    <xf numFmtId="0" fontId="121" fillId="0" borderId="0" xfId="103" applyFont="1"/>
    <xf numFmtId="183" fontId="121" fillId="0" borderId="0" xfId="103" applyNumberFormat="1" applyFont="1"/>
    <xf numFmtId="167" fontId="121" fillId="0" borderId="0" xfId="103" applyNumberFormat="1" applyFont="1"/>
    <xf numFmtId="0" fontId="106" fillId="0" borderId="0" xfId="103" applyFont="1" applyAlignment="1">
      <alignment horizontal="left"/>
    </xf>
    <xf numFmtId="165" fontId="65" fillId="0" borderId="0" xfId="103" applyNumberFormat="1"/>
    <xf numFmtId="0" fontId="127" fillId="0" borderId="0" xfId="762" applyFont="1" applyAlignment="1">
      <alignment wrapText="1"/>
    </xf>
    <xf numFmtId="0" fontId="126" fillId="0" borderId="0" xfId="762" applyFont="1"/>
    <xf numFmtId="0" fontId="127" fillId="0" borderId="0" xfId="762" applyFont="1"/>
    <xf numFmtId="0" fontId="126" fillId="0" borderId="12" xfId="762" applyFont="1" applyBorder="1"/>
    <xf numFmtId="0" fontId="126" fillId="0" borderId="14" xfId="762" applyFont="1" applyBorder="1"/>
    <xf numFmtId="14" fontId="126" fillId="0" borderId="0" xfId="762" applyNumberFormat="1" applyFont="1"/>
    <xf numFmtId="0" fontId="126" fillId="0" borderId="13" xfId="762" applyFont="1" applyBorder="1" applyAlignment="1">
      <alignment horizontal="right"/>
    </xf>
    <xf numFmtId="0" fontId="126" fillId="0" borderId="16" xfId="762" applyFont="1" applyBorder="1"/>
    <xf numFmtId="10" fontId="126" fillId="0" borderId="13" xfId="751" applyNumberFormat="1" applyFont="1" applyFill="1" applyBorder="1"/>
    <xf numFmtId="0" fontId="128" fillId="0" borderId="0" xfId="0" applyFont="1"/>
    <xf numFmtId="0" fontId="126" fillId="0" borderId="13" xfId="762" applyFont="1" applyBorder="1" applyAlignment="1">
      <alignment horizontal="left"/>
    </xf>
    <xf numFmtId="0" fontId="125" fillId="0" borderId="14" xfId="762" applyFont="1" applyBorder="1"/>
    <xf numFmtId="0" fontId="127" fillId="0" borderId="0" xfId="762" quotePrefix="1" applyFont="1"/>
    <xf numFmtId="0" fontId="126" fillId="0" borderId="15" xfId="762" applyFont="1" applyBorder="1"/>
    <xf numFmtId="17" fontId="126" fillId="0" borderId="0" xfId="762" applyNumberFormat="1" applyFont="1" applyAlignment="1">
      <alignment wrapText="1"/>
    </xf>
    <xf numFmtId="10" fontId="126" fillId="0" borderId="0" xfId="762" applyNumberFormat="1" applyFont="1"/>
    <xf numFmtId="0" fontId="126" fillId="0" borderId="0" xfId="762" quotePrefix="1" applyFont="1" applyAlignment="1">
      <alignment horizontal="left" vertical="top" wrapText="1"/>
    </xf>
    <xf numFmtId="10" fontId="108" fillId="0" borderId="0" xfId="763" applyNumberFormat="1" applyFont="1" applyFill="1" applyAlignment="1">
      <alignment horizontal="center"/>
    </xf>
    <xf numFmtId="10" fontId="108" fillId="0" borderId="0" xfId="763" applyNumberFormat="1" applyFont="1" applyFill="1"/>
    <xf numFmtId="43" fontId="126" fillId="0" borderId="0" xfId="4" applyFont="1" applyFill="1" applyAlignment="1">
      <alignment horizontal="right"/>
    </xf>
    <xf numFmtId="10" fontId="100" fillId="0" borderId="0" xfId="751" applyNumberFormat="1" applyFont="1" applyFill="1"/>
    <xf numFmtId="10" fontId="100" fillId="0" borderId="0" xfId="169" applyNumberFormat="1" applyFont="1"/>
    <xf numFmtId="0" fontId="100" fillId="0" borderId="0" xfId="211" applyFont="1" applyAlignment="1">
      <alignment horizontal="center"/>
    </xf>
    <xf numFmtId="0" fontId="99" fillId="0" borderId="0" xfId="211" applyFont="1"/>
    <xf numFmtId="0" fontId="100" fillId="0" borderId="3" xfId="211" applyFont="1" applyBorder="1" applyAlignment="1">
      <alignment horizontal="center" wrapText="1"/>
    </xf>
    <xf numFmtId="0" fontId="100" fillId="0" borderId="0" xfId="211" quotePrefix="1" applyFont="1" applyAlignment="1">
      <alignment horizontal="center"/>
    </xf>
    <xf numFmtId="0" fontId="100" fillId="0" borderId="0" xfId="211" quotePrefix="1" applyFont="1"/>
    <xf numFmtId="186" fontId="100" fillId="0" borderId="0" xfId="211" applyNumberFormat="1" applyFont="1" applyAlignment="1">
      <alignment horizontal="center"/>
    </xf>
    <xf numFmtId="1" fontId="100" fillId="0" borderId="0" xfId="211" quotePrefix="1" applyNumberFormat="1" applyFont="1" applyAlignment="1">
      <alignment horizontal="center"/>
    </xf>
    <xf numFmtId="10" fontId="100" fillId="0" borderId="0" xfId="376" applyNumberFormat="1" applyFont="1" applyFill="1" applyAlignment="1">
      <alignment horizontal="center"/>
    </xf>
    <xf numFmtId="173" fontId="100" fillId="0" borderId="0" xfId="67" applyNumberFormat="1" applyFont="1" applyAlignment="1">
      <alignment horizontal="right"/>
    </xf>
    <xf numFmtId="10" fontId="100" fillId="0" borderId="0" xfId="376" applyNumberFormat="1" applyFont="1" applyAlignment="1">
      <alignment horizontal="center"/>
    </xf>
    <xf numFmtId="187" fontId="100" fillId="0" borderId="0" xfId="67" applyNumberFormat="1" applyFont="1" applyAlignment="1">
      <alignment horizontal="right"/>
    </xf>
    <xf numFmtId="170" fontId="100" fillId="0" borderId="0" xfId="211" applyNumberFormat="1" applyFont="1" applyAlignment="1">
      <alignment horizontal="center"/>
    </xf>
    <xf numFmtId="0" fontId="100" fillId="0" borderId="0" xfId="211" applyFont="1" applyAlignment="1">
      <alignment wrapText="1"/>
    </xf>
    <xf numFmtId="0" fontId="104" fillId="0" borderId="0" xfId="862" applyFont="1"/>
    <xf numFmtId="0" fontId="100" fillId="0" borderId="0" xfId="211" applyFont="1" applyAlignment="1">
      <alignment horizontal="right"/>
    </xf>
    <xf numFmtId="173" fontId="100" fillId="0" borderId="0" xfId="67" applyNumberFormat="1" applyFont="1" applyFill="1"/>
    <xf numFmtId="0" fontId="100" fillId="0" borderId="0" xfId="862" quotePrefix="1" applyFont="1"/>
    <xf numFmtId="186" fontId="100" fillId="0" borderId="0" xfId="862" applyNumberFormat="1" applyFont="1"/>
    <xf numFmtId="169" fontId="100" fillId="0" borderId="0" xfId="4" applyNumberFormat="1" applyFont="1" applyFill="1"/>
    <xf numFmtId="186" fontId="100" fillId="0" borderId="0" xfId="211" applyNumberFormat="1" applyFont="1"/>
    <xf numFmtId="44" fontId="100" fillId="0" borderId="0" xfId="211" applyNumberFormat="1" applyFont="1"/>
    <xf numFmtId="173" fontId="100" fillId="0" borderId="0" xfId="211" applyNumberFormat="1" applyFont="1"/>
    <xf numFmtId="181" fontId="100" fillId="0" borderId="0" xfId="211" applyNumberFormat="1" applyFont="1"/>
    <xf numFmtId="43" fontId="100" fillId="0" borderId="0" xfId="211" applyNumberFormat="1" applyFont="1"/>
    <xf numFmtId="169" fontId="100" fillId="0" borderId="0" xfId="12" applyNumberFormat="1" applyFont="1"/>
    <xf numFmtId="0" fontId="100" fillId="0" borderId="0" xfId="211" quotePrefix="1" applyFont="1" applyAlignment="1">
      <alignment vertical="top"/>
    </xf>
    <xf numFmtId="0" fontId="100" fillId="0" borderId="0" xfId="211" applyFont="1" applyAlignment="1">
      <alignment horizontal="center" vertical="top"/>
    </xf>
    <xf numFmtId="0" fontId="100" fillId="0" borderId="0" xfId="211" applyFont="1" applyAlignment="1">
      <alignment vertical="top"/>
    </xf>
    <xf numFmtId="169" fontId="100" fillId="0" borderId="0" xfId="12" applyNumberFormat="1" applyFont="1" applyAlignment="1">
      <alignment vertical="top"/>
    </xf>
    <xf numFmtId="0" fontId="100" fillId="0" borderId="0" xfId="807" applyFont="1"/>
    <xf numFmtId="0" fontId="99" fillId="0" borderId="0" xfId="807" applyFont="1" applyAlignment="1">
      <alignment horizontal="centerContinuous"/>
    </xf>
    <xf numFmtId="0" fontId="100" fillId="0" borderId="0" xfId="807" applyFont="1" applyAlignment="1">
      <alignment horizontal="centerContinuous"/>
    </xf>
    <xf numFmtId="0" fontId="100" fillId="0" borderId="0" xfId="807" applyFont="1" applyAlignment="1">
      <alignment horizontal="center"/>
    </xf>
    <xf numFmtId="0" fontId="100" fillId="0" borderId="3" xfId="807" applyFont="1" applyBorder="1" applyAlignment="1">
      <alignment horizontal="center" wrapText="1"/>
    </xf>
    <xf numFmtId="0" fontId="100" fillId="0" borderId="0" xfId="807" quotePrefix="1" applyFont="1" applyAlignment="1">
      <alignment horizontal="center"/>
    </xf>
    <xf numFmtId="0" fontId="100" fillId="0" borderId="3" xfId="807" applyFont="1" applyBorder="1" applyAlignment="1">
      <alignment wrapText="1"/>
    </xf>
    <xf numFmtId="188" fontId="100" fillId="0" borderId="2" xfId="807" applyNumberFormat="1" applyFont="1" applyBorder="1" applyAlignment="1">
      <alignment horizontal="right"/>
    </xf>
    <xf numFmtId="0" fontId="100" fillId="0" borderId="0" xfId="807" quotePrefix="1" applyFont="1"/>
    <xf numFmtId="9" fontId="100" fillId="0" borderId="0" xfId="807" quotePrefix="1" applyNumberFormat="1" applyFont="1"/>
    <xf numFmtId="173" fontId="100" fillId="0" borderId="2" xfId="67" applyNumberFormat="1" applyFont="1" applyBorder="1" applyAlignment="1">
      <alignment horizontal="right"/>
    </xf>
    <xf numFmtId="0" fontId="108" fillId="0" borderId="0" xfId="0" applyFont="1" applyAlignment="1">
      <alignment wrapText="1"/>
    </xf>
    <xf numFmtId="189" fontId="100" fillId="0" borderId="0" xfId="807" applyNumberFormat="1" applyFont="1" applyAlignment="1">
      <alignment horizontal="right"/>
    </xf>
    <xf numFmtId="173" fontId="100" fillId="0" borderId="0" xfId="67" applyNumberFormat="1" applyFont="1" applyBorder="1" applyAlignment="1">
      <alignment horizontal="right"/>
    </xf>
    <xf numFmtId="0" fontId="100" fillId="0" borderId="0" xfId="807" applyFont="1" applyAlignment="1">
      <alignment horizontal="right"/>
    </xf>
    <xf numFmtId="0" fontId="100" fillId="0" borderId="0" xfId="807" quotePrefix="1" applyFont="1" applyAlignment="1">
      <alignment vertical="top"/>
    </xf>
    <xf numFmtId="0" fontId="100" fillId="0" borderId="0" xfId="807" applyFont="1" applyAlignment="1">
      <alignment wrapText="1"/>
    </xf>
    <xf numFmtId="4" fontId="65" fillId="0" borderId="0" xfId="103" applyNumberFormat="1"/>
    <xf numFmtId="183" fontId="65" fillId="0" borderId="0" xfId="9" applyNumberFormat="1" applyFont="1" applyFill="1"/>
    <xf numFmtId="167" fontId="65" fillId="0" borderId="0" xfId="9" applyNumberFormat="1" applyFont="1" applyFill="1"/>
    <xf numFmtId="0" fontId="99" fillId="0" borderId="0" xfId="0" applyFont="1"/>
    <xf numFmtId="0" fontId="126" fillId="0" borderId="0" xfId="762" quotePrefix="1" applyFont="1" applyAlignment="1">
      <alignment horizontal="left" wrapText="1"/>
    </xf>
    <xf numFmtId="10" fontId="100" fillId="0" borderId="0" xfId="799" applyNumberFormat="1" applyFont="1" applyFill="1"/>
    <xf numFmtId="43" fontId="118" fillId="0" borderId="0" xfId="4" applyFont="1" applyFill="1" applyBorder="1" applyAlignment="1">
      <alignment horizontal="right"/>
    </xf>
    <xf numFmtId="179" fontId="126" fillId="0" borderId="0" xfId="4" applyNumberFormat="1" applyFont="1" applyFill="1" applyAlignment="1">
      <alignment horizontal="right"/>
    </xf>
    <xf numFmtId="0" fontId="100" fillId="0" borderId="0" xfId="169" applyFont="1" applyAlignment="1">
      <alignment horizontal="left" indent="1"/>
    </xf>
    <xf numFmtId="43" fontId="108" fillId="0" borderId="0" xfId="763" applyNumberFormat="1" applyFont="1" applyFill="1" applyAlignment="1">
      <alignment horizontal="center"/>
    </xf>
    <xf numFmtId="10" fontId="125" fillId="0" borderId="0" xfId="763" applyNumberFormat="1" applyFont="1" applyFill="1" applyAlignment="1">
      <alignment horizontal="center"/>
    </xf>
    <xf numFmtId="0" fontId="0" fillId="0" borderId="0" xfId="763" applyNumberFormat="1" applyFont="1" applyFill="1" applyAlignment="1">
      <alignment horizontal="center"/>
    </xf>
    <xf numFmtId="43" fontId="101" fillId="0" borderId="3" xfId="4" applyFont="1" applyFill="1" applyBorder="1"/>
    <xf numFmtId="0" fontId="100" fillId="0" borderId="0" xfId="0" applyFont="1" applyAlignment="1">
      <alignment horizontal="center" wrapText="1"/>
    </xf>
    <xf numFmtId="4" fontId="100" fillId="0" borderId="0" xfId="0" quotePrefix="1" applyNumberFormat="1" applyFont="1"/>
    <xf numFmtId="0" fontId="100" fillId="0" borderId="0" xfId="0" quotePrefix="1" applyFont="1" applyAlignment="1">
      <alignment horizontal="right" vertical="top"/>
    </xf>
    <xf numFmtId="43" fontId="100" fillId="0" borderId="10" xfId="0" applyNumberFormat="1" applyFont="1" applyBorder="1"/>
    <xf numFmtId="0" fontId="100" fillId="0" borderId="0" xfId="0" quotePrefix="1" applyFont="1" applyAlignment="1">
      <alignment horizontal="right"/>
    </xf>
    <xf numFmtId="0" fontId="100" fillId="0" borderId="0" xfId="0" quotePrefix="1" applyFont="1" applyAlignment="1">
      <alignment vertical="top"/>
    </xf>
    <xf numFmtId="176" fontId="100" fillId="0" borderId="3" xfId="0" applyNumberFormat="1" applyFont="1" applyBorder="1" applyAlignment="1">
      <alignment horizontal="centerContinuous"/>
    </xf>
    <xf numFmtId="0" fontId="100" fillId="0" borderId="3" xfId="0" applyFont="1" applyBorder="1" applyAlignment="1">
      <alignment horizontal="centerContinuous"/>
    </xf>
    <xf numFmtId="0" fontId="117" fillId="0" borderId="0" xfId="0" applyFont="1" applyAlignment="1">
      <alignment horizontal="center" wrapText="1"/>
    </xf>
    <xf numFmtId="0" fontId="100" fillId="0" borderId="0" xfId="0" applyFont="1" applyAlignment="1">
      <alignment horizontal="left" indent="2"/>
    </xf>
    <xf numFmtId="0" fontId="118" fillId="0" borderId="0" xfId="762" applyFont="1"/>
    <xf numFmtId="0" fontId="101" fillId="0" borderId="3" xfId="0" applyFont="1" applyBorder="1" applyAlignment="1">
      <alignment wrapText="1"/>
    </xf>
    <xf numFmtId="0" fontId="101" fillId="0" borderId="0" xfId="0" applyFont="1" applyAlignment="1">
      <alignment horizontal="center" wrapText="1"/>
    </xf>
    <xf numFmtId="10" fontId="101" fillId="0" borderId="0" xfId="0" applyNumberFormat="1" applyFont="1"/>
    <xf numFmtId="10" fontId="101" fillId="0" borderId="0" xfId="761" applyNumberFormat="1" applyFont="1" applyFill="1" applyBorder="1"/>
    <xf numFmtId="43" fontId="101" fillId="0" borderId="0" xfId="4" applyFont="1" applyFill="1" applyAlignment="1">
      <alignment horizontal="right"/>
    </xf>
    <xf numFmtId="0" fontId="101" fillId="0" borderId="0" xfId="0" applyFont="1" applyAlignment="1">
      <alignment horizontal="right"/>
    </xf>
    <xf numFmtId="10" fontId="101" fillId="0" borderId="2" xfId="0" applyNumberFormat="1" applyFont="1" applyBorder="1"/>
    <xf numFmtId="0" fontId="101" fillId="0" borderId="0" xfId="0" quotePrefix="1" applyFont="1" applyAlignment="1">
      <alignment horizontal="right" vertical="top"/>
    </xf>
    <xf numFmtId="0" fontId="104" fillId="0" borderId="0" xfId="111" applyFont="1" applyAlignment="1">
      <alignment wrapText="1"/>
    </xf>
    <xf numFmtId="0" fontId="100" fillId="0" borderId="0" xfId="0" quotePrefix="1" applyFont="1" applyAlignment="1">
      <alignment horizontal="centerContinuous"/>
    </xf>
    <xf numFmtId="43" fontId="100" fillId="0" borderId="0" xfId="0" applyNumberFormat="1" applyFont="1" applyAlignment="1">
      <alignment horizontal="right"/>
    </xf>
    <xf numFmtId="10" fontId="100" fillId="0" borderId="0" xfId="799" applyNumberFormat="1" applyFont="1" applyFill="1" applyBorder="1"/>
    <xf numFmtId="2" fontId="126" fillId="0" borderId="0" xfId="762" applyNumberFormat="1" applyFont="1"/>
    <xf numFmtId="189" fontId="100" fillId="0" borderId="2" xfId="807" applyNumberFormat="1" applyFont="1" applyBorder="1" applyAlignment="1">
      <alignment horizontal="right"/>
    </xf>
    <xf numFmtId="164" fontId="102" fillId="0" borderId="0" xfId="169" applyNumberFormat="1" applyFont="1"/>
    <xf numFmtId="0" fontId="65" fillId="0" borderId="0" xfId="813"/>
    <xf numFmtId="2" fontId="114" fillId="0" borderId="0" xfId="0" applyNumberFormat="1" applyFont="1"/>
    <xf numFmtId="0" fontId="33" fillId="0" borderId="0" xfId="752" quotePrefix="1" applyFont="1"/>
    <xf numFmtId="0" fontId="65" fillId="0" borderId="0" xfId="103" applyAlignment="1">
      <alignment horizontal="center"/>
    </xf>
    <xf numFmtId="43" fontId="132" fillId="0" borderId="0" xfId="4" applyFont="1" applyFill="1" applyBorder="1" applyAlignment="1">
      <alignment horizontal="right"/>
    </xf>
    <xf numFmtId="43" fontId="132" fillId="0" borderId="27" xfId="4" applyFont="1" applyFill="1" applyBorder="1" applyAlignment="1">
      <alignment horizontal="right"/>
    </xf>
    <xf numFmtId="0" fontId="30" fillId="0" borderId="0" xfId="762" applyFont="1"/>
    <xf numFmtId="0" fontId="66" fillId="0" borderId="0" xfId="103" applyFont="1" applyAlignment="1">
      <alignment horizontal="centerContinuous"/>
    </xf>
    <xf numFmtId="167" fontId="65" fillId="0" borderId="0" xfId="813" applyNumberFormat="1"/>
    <xf numFmtId="183" fontId="65" fillId="0" borderId="0" xfId="813" applyNumberFormat="1"/>
    <xf numFmtId="167" fontId="121" fillId="0" borderId="0" xfId="813" applyNumberFormat="1" applyFont="1"/>
    <xf numFmtId="0" fontId="121" fillId="0" borderId="0" xfId="813" applyFont="1"/>
    <xf numFmtId="165" fontId="65" fillId="0" borderId="0" xfId="813" applyNumberFormat="1"/>
    <xf numFmtId="0" fontId="65" fillId="0" borderId="0" xfId="813" applyAlignment="1">
      <alignment wrapText="1"/>
    </xf>
    <xf numFmtId="0" fontId="106" fillId="0" borderId="0" xfId="813" applyFont="1" applyAlignment="1">
      <alignment horizontal="left"/>
    </xf>
    <xf numFmtId="0" fontId="106" fillId="0" borderId="0" xfId="813" applyFont="1"/>
    <xf numFmtId="0" fontId="65" fillId="0" borderId="0" xfId="813" applyAlignment="1">
      <alignment horizontal="centerContinuous"/>
    </xf>
    <xf numFmtId="0" fontId="106" fillId="0" borderId="0" xfId="813" applyFont="1" applyAlignment="1">
      <alignment horizontal="centerContinuous"/>
    </xf>
    <xf numFmtId="0" fontId="107" fillId="0" borderId="0" xfId="813" applyFont="1" applyAlignment="1">
      <alignment horizontal="centerContinuous"/>
    </xf>
    <xf numFmtId="0" fontId="70" fillId="0" borderId="0" xfId="813" applyFont="1"/>
    <xf numFmtId="183" fontId="65" fillId="0" borderId="0" xfId="103" applyNumberFormat="1" applyAlignment="1">
      <alignment wrapText="1"/>
    </xf>
    <xf numFmtId="0" fontId="108" fillId="0" borderId="0" xfId="103" applyFont="1"/>
    <xf numFmtId="184" fontId="108" fillId="0" borderId="0" xfId="103" applyNumberFormat="1" applyFont="1" applyAlignment="1">
      <alignment horizontal="right" vertical="top" wrapText="1"/>
    </xf>
    <xf numFmtId="0" fontId="108" fillId="0" borderId="0" xfId="103" applyFont="1" applyAlignment="1">
      <alignment horizontal="left" vertical="top" wrapText="1"/>
    </xf>
    <xf numFmtId="43" fontId="108" fillId="0" borderId="0" xfId="4" applyFont="1" applyAlignment="1">
      <alignment horizontal="right" vertical="top" wrapText="1"/>
    </xf>
    <xf numFmtId="0" fontId="108" fillId="0" borderId="0" xfId="103" applyFont="1" applyAlignment="1">
      <alignment horizontal="right" vertical="top" wrapText="1"/>
    </xf>
    <xf numFmtId="14" fontId="108" fillId="0" borderId="0" xfId="103" applyNumberFormat="1" applyFont="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1" fontId="108" fillId="0" borderId="0" xfId="103" applyNumberFormat="1" applyFont="1" applyAlignment="1">
      <alignment horizontal="right" vertical="top" wrapText="1"/>
    </xf>
    <xf numFmtId="184" fontId="108" fillId="0" borderId="0" xfId="103" applyNumberFormat="1" applyFont="1" applyAlignment="1">
      <alignment horizontal="left" vertical="top" wrapText="1"/>
    </xf>
    <xf numFmtId="0" fontId="126" fillId="0" borderId="0" xfId="902" applyFont="1" applyAlignment="1">
      <alignment horizontal="right" vertical="top" wrapText="1"/>
    </xf>
    <xf numFmtId="0" fontId="126" fillId="0" borderId="0" xfId="902" applyFont="1" applyAlignment="1">
      <alignment horizontal="left" vertical="top" wrapText="1"/>
    </xf>
    <xf numFmtId="0" fontId="126" fillId="0" borderId="0" xfId="902" applyFont="1" applyAlignment="1">
      <alignment horizontal="right" wrapText="1"/>
    </xf>
    <xf numFmtId="0" fontId="126" fillId="0" borderId="0" xfId="902" applyFont="1" applyAlignment="1">
      <alignment horizontal="left" wrapText="1"/>
    </xf>
    <xf numFmtId="0" fontId="125" fillId="0" borderId="0" xfId="103" applyFont="1" applyAlignment="1">
      <alignment horizontal="right" wrapText="1"/>
    </xf>
    <xf numFmtId="0" fontId="125" fillId="0" borderId="0" xfId="103" applyFont="1" applyAlignment="1">
      <alignment horizontal="left" wrapText="1"/>
    </xf>
    <xf numFmtId="43" fontId="108" fillId="0" borderId="0" xfId="103" applyNumberFormat="1" applyFont="1"/>
    <xf numFmtId="0" fontId="136" fillId="5" borderId="0" xfId="399" applyFont="1" applyAlignment="1">
      <alignment horizontal="center" wrapText="1"/>
    </xf>
    <xf numFmtId="0" fontId="136" fillId="5" borderId="0" xfId="399" applyFont="1" applyAlignment="1">
      <alignment horizontal="left" wrapText="1"/>
    </xf>
    <xf numFmtId="0" fontId="136" fillId="5" borderId="0" xfId="399" applyFont="1" applyAlignment="1">
      <alignment horizontal="left"/>
    </xf>
    <xf numFmtId="0" fontId="102" fillId="0" borderId="0" xfId="103" applyFont="1" applyAlignment="1">
      <alignment horizontal="left"/>
    </xf>
    <xf numFmtId="0" fontId="137" fillId="0" borderId="0" xfId="103" applyFont="1"/>
    <xf numFmtId="17" fontId="126" fillId="0" borderId="0" xfId="762" quotePrefix="1" applyNumberFormat="1" applyFont="1"/>
    <xf numFmtId="0" fontId="103" fillId="0" borderId="0" xfId="111" applyFont="1"/>
    <xf numFmtId="43" fontId="119" fillId="0" borderId="19" xfId="9" applyFont="1" applyFill="1" applyBorder="1" applyAlignment="1">
      <alignment horizontal="center"/>
    </xf>
    <xf numFmtId="0" fontId="65" fillId="0" borderId="20" xfId="103" applyBorder="1" applyAlignment="1">
      <alignment horizontal="center"/>
    </xf>
    <xf numFmtId="0" fontId="100" fillId="0" borderId="3" xfId="169" applyFont="1" applyBorder="1" applyAlignment="1">
      <alignment horizontal="center"/>
    </xf>
    <xf numFmtId="10" fontId="100" fillId="0" borderId="0" xfId="751" applyNumberFormat="1" applyFont="1" applyFill="1" applyBorder="1" applyAlignment="1">
      <alignment horizontal="center"/>
    </xf>
    <xf numFmtId="10" fontId="100" fillId="0" borderId="0" xfId="751" applyNumberFormat="1" applyFont="1" applyFill="1" applyBorder="1" applyAlignment="1">
      <alignment horizontal="right"/>
    </xf>
    <xf numFmtId="187" fontId="100" fillId="0" borderId="0" xfId="807" applyNumberFormat="1" applyFont="1"/>
    <xf numFmtId="169" fontId="100" fillId="0" borderId="0" xfId="807" applyNumberFormat="1" applyFont="1"/>
    <xf numFmtId="0" fontId="100" fillId="0" borderId="0" xfId="0" applyFont="1" applyAlignment="1">
      <alignment horizontal="left" vertical="top" wrapText="1"/>
    </xf>
    <xf numFmtId="0" fontId="112" fillId="0" borderId="0" xfId="0" applyFont="1" applyAlignment="1">
      <alignment horizontal="center"/>
    </xf>
    <xf numFmtId="0" fontId="112" fillId="0" borderId="0" xfId="0" applyFont="1" applyAlignment="1">
      <alignment horizontal="centerContinuous"/>
    </xf>
    <xf numFmtId="9" fontId="100" fillId="0" borderId="0" xfId="382" applyFont="1" applyFill="1" applyAlignment="1">
      <alignment horizontal="center"/>
    </xf>
    <xf numFmtId="10" fontId="100" fillId="0" borderId="0" xfId="382" applyNumberFormat="1" applyFont="1" applyFill="1"/>
    <xf numFmtId="170" fontId="100" fillId="0" borderId="0" xfId="12" applyNumberFormat="1" applyFont="1" applyFill="1" applyBorder="1"/>
    <xf numFmtId="43" fontId="100" fillId="0" borderId="0" xfId="12" applyFont="1" applyFill="1" applyBorder="1"/>
    <xf numFmtId="10" fontId="100" fillId="0" borderId="0" xfId="376" applyNumberFormat="1" applyFont="1" applyFill="1"/>
    <xf numFmtId="43" fontId="100" fillId="0" borderId="0" xfId="12" applyFont="1" applyFill="1"/>
    <xf numFmtId="0" fontId="126" fillId="0" borderId="0" xfId="1178" applyFont="1"/>
    <xf numFmtId="0" fontId="127" fillId="0" borderId="0" xfId="1178" applyFont="1"/>
    <xf numFmtId="43" fontId="126" fillId="0" borderId="0" xfId="4" quotePrefix="1" applyFont="1" applyFill="1" applyAlignment="1"/>
    <xf numFmtId="43" fontId="126" fillId="0" borderId="0" xfId="4" applyFont="1" applyFill="1"/>
    <xf numFmtId="43" fontId="126" fillId="0" borderId="0" xfId="762" applyNumberFormat="1" applyFont="1"/>
    <xf numFmtId="49" fontId="125" fillId="0" borderId="13" xfId="0" quotePrefix="1" applyNumberFormat="1" applyFont="1" applyBorder="1"/>
    <xf numFmtId="0" fontId="65" fillId="0" borderId="0" xfId="907"/>
    <xf numFmtId="0" fontId="126" fillId="0" borderId="13" xfId="1178" applyFont="1" applyBorder="1" applyAlignment="1">
      <alignment horizontal="left"/>
    </xf>
    <xf numFmtId="0" fontId="99" fillId="0" borderId="0" xfId="169" applyFont="1" applyAlignment="1">
      <alignment horizontal="center"/>
    </xf>
    <xf numFmtId="174" fontId="100" fillId="0" borderId="0" xfId="169" applyNumberFormat="1" applyFont="1" applyAlignment="1">
      <alignment horizontal="left" vertical="top" wrapText="1"/>
    </xf>
    <xf numFmtId="10" fontId="101" fillId="0" borderId="0" xfId="1276" applyNumberFormat="1" applyFont="1" applyFill="1"/>
    <xf numFmtId="0" fontId="125" fillId="0" borderId="0" xfId="0" applyFont="1"/>
    <xf numFmtId="0" fontId="100" fillId="0" borderId="0" xfId="0" applyFont="1" applyAlignment="1">
      <alignment vertical="top" wrapText="1"/>
    </xf>
    <xf numFmtId="0" fontId="106" fillId="0" borderId="0" xfId="103" applyFont="1" applyAlignment="1">
      <alignment horizontal="center"/>
    </xf>
    <xf numFmtId="0" fontId="65" fillId="0" borderId="20" xfId="1606" applyFont="1" applyBorder="1" applyAlignment="1">
      <alignment horizontal="center"/>
    </xf>
    <xf numFmtId="43" fontId="119" fillId="0" borderId="19" xfId="1606" applyNumberFormat="1" applyFont="1" applyBorder="1" applyAlignment="1">
      <alignment horizontal="center"/>
    </xf>
    <xf numFmtId="0" fontId="65" fillId="0" borderId="0" xfId="1606" applyFont="1"/>
    <xf numFmtId="2" fontId="65" fillId="0" borderId="0" xfId="1607" applyNumberFormat="1" applyFont="1"/>
    <xf numFmtId="0" fontId="65" fillId="0" borderId="20" xfId="1607" applyFont="1" applyBorder="1" applyAlignment="1">
      <alignment horizontal="center"/>
    </xf>
    <xf numFmtId="43" fontId="119" fillId="0" borderId="19" xfId="1607" applyNumberFormat="1" applyFont="1" applyBorder="1" applyAlignment="1">
      <alignment horizontal="center"/>
    </xf>
    <xf numFmtId="0" fontId="65" fillId="0" borderId="0" xfId="1607" applyFont="1"/>
    <xf numFmtId="0" fontId="100" fillId="0" borderId="3" xfId="211" quotePrefix="1" applyFont="1" applyBorder="1" applyAlignment="1">
      <alignment wrapText="1"/>
    </xf>
    <xf numFmtId="14" fontId="108" fillId="0" borderId="0" xfId="103" applyNumberFormat="1" applyFont="1"/>
    <xf numFmtId="10" fontId="100" fillId="0" borderId="0" xfId="382" applyNumberFormat="1" applyFont="1" applyFill="1" applyBorder="1" applyAlignment="1">
      <alignment horizontal="right"/>
    </xf>
    <xf numFmtId="10" fontId="100" fillId="0" borderId="0" xfId="382" applyNumberFormat="1" applyFont="1" applyFill="1" applyAlignment="1">
      <alignment horizontal="right"/>
    </xf>
    <xf numFmtId="43" fontId="108" fillId="0" borderId="12" xfId="4" applyFont="1" applyFill="1" applyBorder="1"/>
    <xf numFmtId="10" fontId="100" fillId="0" borderId="0" xfId="1276" applyNumberFormat="1" applyFont="1" applyFill="1"/>
    <xf numFmtId="10" fontId="100" fillId="0" borderId="0" xfId="0" applyNumberFormat="1" applyFont="1"/>
    <xf numFmtId="0" fontId="101" fillId="0" borderId="0" xfId="0" quotePrefix="1" applyFont="1" applyAlignment="1">
      <alignment horizontal="right"/>
    </xf>
    <xf numFmtId="0" fontId="100" fillId="0" borderId="3" xfId="807" applyFont="1" applyBorder="1" applyAlignment="1">
      <alignment horizontal="center"/>
    </xf>
    <xf numFmtId="43" fontId="100" fillId="0" borderId="0" xfId="807" applyNumberFormat="1" applyFont="1"/>
    <xf numFmtId="0" fontId="100" fillId="0" borderId="0" xfId="103" applyFont="1"/>
    <xf numFmtId="179" fontId="101" fillId="0" borderId="0" xfId="752" applyNumberFormat="1" applyFont="1"/>
    <xf numFmtId="0" fontId="126" fillId="0" borderId="36" xfId="762" applyFont="1" applyBorder="1"/>
    <xf numFmtId="0" fontId="126" fillId="0" borderId="38" xfId="762" applyFont="1" applyBorder="1"/>
    <xf numFmtId="0" fontId="126" fillId="0" borderId="40" xfId="762" applyFont="1" applyBorder="1"/>
    <xf numFmtId="0" fontId="126" fillId="0" borderId="39" xfId="762" applyFont="1" applyBorder="1"/>
    <xf numFmtId="0" fontId="126" fillId="0" borderId="17" xfId="762" applyFont="1" applyBorder="1"/>
    <xf numFmtId="14" fontId="126" fillId="0" borderId="13" xfId="762" applyNumberFormat="1" applyFont="1" applyBorder="1" applyAlignment="1">
      <alignment horizontal="center"/>
    </xf>
    <xf numFmtId="0" fontId="126" fillId="0" borderId="0" xfId="762" quotePrefix="1" applyFont="1"/>
    <xf numFmtId="49" fontId="126" fillId="0" borderId="13" xfId="762" quotePrefix="1" applyNumberFormat="1" applyFont="1" applyBorder="1" applyAlignment="1">
      <alignment horizontal="left"/>
    </xf>
    <xf numFmtId="49" fontId="125" fillId="0" borderId="13" xfId="907" quotePrefix="1" applyNumberFormat="1" applyFont="1" applyBorder="1"/>
    <xf numFmtId="0" fontId="100" fillId="0" borderId="0" xfId="154" applyFont="1"/>
    <xf numFmtId="0" fontId="100" fillId="0" borderId="0" xfId="154" quotePrefix="1" applyFont="1" applyAlignment="1">
      <alignment horizontal="right" vertical="top"/>
    </xf>
    <xf numFmtId="0" fontId="101" fillId="0" borderId="0" xfId="752" applyFont="1" applyAlignment="1">
      <alignment horizontal="center"/>
    </xf>
    <xf numFmtId="182" fontId="101" fillId="0" borderId="0" xfId="752" applyNumberFormat="1" applyFont="1"/>
    <xf numFmtId="43" fontId="100" fillId="0" borderId="2" xfId="169" applyNumberFormat="1" applyFont="1" applyBorder="1"/>
    <xf numFmtId="9" fontId="100" fillId="0" borderId="0" xfId="169" quotePrefix="1" applyNumberFormat="1" applyFont="1"/>
    <xf numFmtId="10" fontId="100" fillId="0" borderId="0" xfId="382" applyNumberFormat="1" applyFont="1" applyFill="1" applyAlignment="1">
      <alignment horizontal="center"/>
    </xf>
    <xf numFmtId="43" fontId="100" fillId="0" borderId="2" xfId="12" applyFont="1" applyFill="1" applyBorder="1"/>
    <xf numFmtId="43" fontId="100" fillId="0" borderId="3" xfId="59" applyFont="1" applyFill="1" applyBorder="1"/>
    <xf numFmtId="43" fontId="100" fillId="0" borderId="2" xfId="59" applyFont="1" applyFill="1" applyBorder="1"/>
    <xf numFmtId="10" fontId="108" fillId="0" borderId="0" xfId="0" applyNumberFormat="1" applyFont="1"/>
    <xf numFmtId="173" fontId="100" fillId="0" borderId="0" xfId="67" applyNumberFormat="1" applyFont="1" applyFill="1" applyAlignment="1">
      <alignment horizontal="right"/>
    </xf>
    <xf numFmtId="0" fontId="100" fillId="0" borderId="0" xfId="169" applyFont="1" applyAlignment="1">
      <alignment horizontal="left" indent="4"/>
    </xf>
    <xf numFmtId="0" fontId="100" fillId="0" borderId="0" xfId="211" applyFont="1" applyAlignment="1">
      <alignment horizontal="left" vertical="top"/>
    </xf>
    <xf numFmtId="188" fontId="100" fillId="0" borderId="0" xfId="807" applyNumberFormat="1" applyFont="1"/>
    <xf numFmtId="189" fontId="100" fillId="0" borderId="0" xfId="807" applyNumberFormat="1" applyFont="1"/>
    <xf numFmtId="188" fontId="100" fillId="0" borderId="2" xfId="807" applyNumberFormat="1" applyFont="1" applyBorder="1"/>
    <xf numFmtId="187" fontId="100" fillId="0" borderId="2" xfId="807" applyNumberFormat="1" applyFont="1" applyBorder="1"/>
    <xf numFmtId="189" fontId="100" fillId="0" borderId="2" xfId="807" applyNumberFormat="1" applyFont="1" applyBorder="1"/>
    <xf numFmtId="39" fontId="100" fillId="0" borderId="0" xfId="169" applyNumberFormat="1" applyFont="1"/>
    <xf numFmtId="39" fontId="100" fillId="0" borderId="2" xfId="169" applyNumberFormat="1" applyFont="1" applyBorder="1"/>
    <xf numFmtId="0" fontId="126" fillId="0" borderId="52" xfId="762" applyFont="1" applyBorder="1"/>
    <xf numFmtId="0" fontId="99" fillId="0" borderId="0" xfId="807" applyFont="1" applyAlignment="1">
      <alignment horizontal="center"/>
    </xf>
    <xf numFmtId="190" fontId="100" fillId="0" borderId="0" xfId="807" applyNumberFormat="1" applyFont="1"/>
    <xf numFmtId="37" fontId="100" fillId="0" borderId="0" xfId="807" applyNumberFormat="1" applyFont="1"/>
    <xf numFmtId="164" fontId="100" fillId="0" borderId="0" xfId="807" applyNumberFormat="1" applyFont="1"/>
    <xf numFmtId="2" fontId="100" fillId="0" borderId="0" xfId="807" applyNumberFormat="1" applyFont="1"/>
    <xf numFmtId="167" fontId="100" fillId="0" borderId="0" xfId="807" applyNumberFormat="1" applyFont="1"/>
    <xf numFmtId="0" fontId="155" fillId="0" borderId="0" xfId="807" applyFont="1"/>
    <xf numFmtId="190" fontId="102" fillId="0" borderId="0" xfId="807" applyNumberFormat="1" applyFont="1"/>
    <xf numFmtId="165" fontId="100" fillId="0" borderId="0" xfId="807" applyNumberFormat="1" applyFont="1"/>
    <xf numFmtId="0" fontId="126" fillId="0" borderId="0" xfId="1738" applyFont="1"/>
    <xf numFmtId="0" fontId="126" fillId="0" borderId="0" xfId="1738" applyFont="1" applyAlignment="1">
      <alignment horizontal="center"/>
    </xf>
    <xf numFmtId="0" fontId="126" fillId="0" borderId="0" xfId="1739" applyFont="1"/>
    <xf numFmtId="0" fontId="126" fillId="0" borderId="0" xfId="1739" applyFont="1" applyAlignment="1">
      <alignment horizontal="left"/>
    </xf>
    <xf numFmtId="0" fontId="126" fillId="0" borderId="0" xfId="1739" applyFont="1" applyAlignment="1">
      <alignment horizontal="left" wrapText="1"/>
    </xf>
    <xf numFmtId="1" fontId="126" fillId="0" borderId="0" xfId="1739" applyNumberFormat="1" applyFont="1" applyAlignment="1">
      <alignment horizontal="right"/>
    </xf>
    <xf numFmtId="0" fontId="126" fillId="0" borderId="0" xfId="1739" applyFont="1" applyAlignment="1">
      <alignment wrapText="1"/>
    </xf>
    <xf numFmtId="0" fontId="126" fillId="0" borderId="0" xfId="1738" applyFont="1" applyAlignment="1">
      <alignment wrapText="1"/>
    </xf>
    <xf numFmtId="0" fontId="126" fillId="0" borderId="0" xfId="1739" applyFont="1" applyAlignment="1">
      <alignment horizontal="right"/>
    </xf>
    <xf numFmtId="3" fontId="126" fillId="0" borderId="0" xfId="1739" applyNumberFormat="1" applyFont="1" applyAlignment="1">
      <alignment horizontal="right"/>
    </xf>
    <xf numFmtId="10" fontId="108" fillId="0" borderId="0" xfId="1740" applyNumberFormat="1" applyFont="1"/>
    <xf numFmtId="10" fontId="126" fillId="0" borderId="0" xfId="1738" applyNumberFormat="1" applyFont="1"/>
    <xf numFmtId="0" fontId="108" fillId="0" borderId="0" xfId="1739" applyFont="1"/>
    <xf numFmtId="1" fontId="126" fillId="0" borderId="0" xfId="1739" applyNumberFormat="1" applyFont="1" applyAlignment="1">
      <alignment horizontal="left"/>
    </xf>
    <xf numFmtId="1" fontId="108" fillId="0" borderId="0" xfId="1739" applyNumberFormat="1" applyFont="1" applyAlignment="1">
      <alignment horizontal="left"/>
    </xf>
    <xf numFmtId="1" fontId="126" fillId="0" borderId="0" xfId="1738" applyNumberFormat="1" applyFont="1" applyAlignment="1">
      <alignment horizontal="left"/>
    </xf>
    <xf numFmtId="1" fontId="126" fillId="0" borderId="0" xfId="1738" applyNumberFormat="1" applyFont="1" applyAlignment="1">
      <alignment horizontal="right"/>
    </xf>
    <xf numFmtId="3" fontId="126" fillId="0" borderId="0" xfId="1738" applyNumberFormat="1" applyFont="1" applyAlignment="1">
      <alignment horizontal="right"/>
    </xf>
    <xf numFmtId="0" fontId="126" fillId="0" borderId="0" xfId="1738" applyFont="1" applyAlignment="1">
      <alignment horizontal="left"/>
    </xf>
    <xf numFmtId="0" fontId="126" fillId="0" borderId="0" xfId="1738" applyFont="1" applyAlignment="1">
      <alignment horizontal="right"/>
    </xf>
    <xf numFmtId="10" fontId="101" fillId="0" borderId="0" xfId="1276" applyNumberFormat="1" applyFont="1"/>
    <xf numFmtId="0" fontId="99" fillId="0" borderId="0" xfId="103" applyFont="1" applyAlignment="1">
      <alignment horizontal="center"/>
    </xf>
    <xf numFmtId="0" fontId="100" fillId="0" borderId="0" xfId="103" applyFont="1" applyAlignment="1">
      <alignment horizontal="center"/>
    </xf>
    <xf numFmtId="0" fontId="100" fillId="0" borderId="0" xfId="103" quotePrefix="1" applyFont="1" applyAlignment="1">
      <alignment horizontal="center"/>
    </xf>
    <xf numFmtId="0" fontId="100" fillId="0" borderId="40" xfId="103" applyFont="1" applyBorder="1" applyAlignment="1">
      <alignment horizontal="center" wrapText="1"/>
    </xf>
    <xf numFmtId="0" fontId="100" fillId="0" borderId="0" xfId="103" applyFont="1" applyAlignment="1">
      <alignment wrapText="1"/>
    </xf>
    <xf numFmtId="0" fontId="100" fillId="0" borderId="0" xfId="103" applyFont="1" applyAlignment="1">
      <alignment horizontal="center" wrapText="1"/>
    </xf>
    <xf numFmtId="0" fontId="100" fillId="0" borderId="0" xfId="103" applyFont="1" applyAlignment="1">
      <alignment horizontal="fill"/>
    </xf>
    <xf numFmtId="39" fontId="100" fillId="0" borderId="0" xfId="103" applyNumberFormat="1" applyFont="1" applyProtection="1">
      <protection locked="0"/>
    </xf>
    <xf numFmtId="192" fontId="100" fillId="0" borderId="0" xfId="103" applyNumberFormat="1" applyFont="1" applyProtection="1">
      <protection locked="0"/>
    </xf>
    <xf numFmtId="2" fontId="100" fillId="0" borderId="0" xfId="103" applyNumberFormat="1" applyFont="1"/>
    <xf numFmtId="195" fontId="100" fillId="0" borderId="0" xfId="103" applyNumberFormat="1" applyFont="1"/>
    <xf numFmtId="194" fontId="99" fillId="0" borderId="0" xfId="103" applyNumberFormat="1" applyFont="1" applyAlignment="1" applyProtection="1">
      <alignment horizontal="center"/>
      <protection locked="0"/>
    </xf>
    <xf numFmtId="39" fontId="100" fillId="0" borderId="0" xfId="103" applyNumberFormat="1" applyFont="1" applyAlignment="1" applyProtection="1">
      <alignment horizontal="center" wrapText="1"/>
      <protection locked="0"/>
    </xf>
    <xf numFmtId="0" fontId="100" fillId="0" borderId="40" xfId="103" applyFont="1" applyBorder="1" applyAlignment="1">
      <alignment wrapText="1"/>
    </xf>
    <xf numFmtId="43" fontId="100" fillId="0" borderId="2" xfId="103" applyNumberFormat="1" applyFont="1" applyBorder="1"/>
    <xf numFmtId="2" fontId="100" fillId="0" borderId="2" xfId="103" applyNumberFormat="1" applyFont="1" applyBorder="1"/>
    <xf numFmtId="192" fontId="100" fillId="0" borderId="0" xfId="103" applyNumberFormat="1" applyFont="1"/>
    <xf numFmtId="0" fontId="102" fillId="0" borderId="0" xfId="103" applyFont="1"/>
    <xf numFmtId="43" fontId="100" fillId="0" borderId="0" xfId="103" applyNumberFormat="1" applyFont="1"/>
    <xf numFmtId="0" fontId="100" fillId="0" borderId="0" xfId="103" applyFont="1" applyAlignment="1">
      <alignment horizontal="right"/>
    </xf>
    <xf numFmtId="0" fontId="102" fillId="0" borderId="0" xfId="103" applyFont="1" applyAlignment="1">
      <alignment wrapText="1"/>
    </xf>
    <xf numFmtId="7" fontId="102" fillId="0" borderId="0" xfId="103" applyNumberFormat="1" applyFont="1"/>
    <xf numFmtId="192" fontId="102" fillId="0" borderId="0" xfId="103" applyNumberFormat="1" applyFont="1"/>
    <xf numFmtId="194" fontId="100" fillId="0" borderId="0" xfId="103" applyNumberFormat="1" applyFont="1"/>
    <xf numFmtId="39" fontId="100" fillId="0" borderId="0" xfId="103" applyNumberFormat="1" applyFont="1"/>
    <xf numFmtId="196" fontId="100" fillId="0" borderId="0" xfId="103" applyNumberFormat="1" applyFont="1"/>
    <xf numFmtId="43" fontId="132" fillId="0" borderId="40" xfId="4" applyFont="1" applyFill="1" applyBorder="1" applyAlignment="1">
      <alignment horizontal="right"/>
    </xf>
    <xf numFmtId="43" fontId="132" fillId="0" borderId="29" xfId="4" applyFont="1" applyFill="1" applyBorder="1" applyAlignment="1">
      <alignment horizontal="right"/>
    </xf>
    <xf numFmtId="0" fontId="100" fillId="0" borderId="0" xfId="169" applyFont="1" applyAlignment="1">
      <alignment horizontal="left" vertical="top" wrapText="1"/>
    </xf>
    <xf numFmtId="0" fontId="108" fillId="0" borderId="0" xfId="807" applyFont="1"/>
    <xf numFmtId="0" fontId="100" fillId="0" borderId="64" xfId="211" applyFont="1" applyBorder="1" applyAlignment="1">
      <alignment wrapText="1"/>
    </xf>
    <xf numFmtId="0" fontId="100" fillId="0" borderId="40" xfId="0" applyFont="1" applyBorder="1" applyAlignment="1">
      <alignment wrapText="1"/>
    </xf>
    <xf numFmtId="0" fontId="100" fillId="0" borderId="40" xfId="0" applyFont="1" applyBorder="1" applyAlignment="1">
      <alignment horizontal="center" wrapText="1"/>
    </xf>
    <xf numFmtId="43" fontId="100" fillId="0" borderId="64" xfId="169" applyNumberFormat="1" applyFont="1" applyBorder="1"/>
    <xf numFmtId="164" fontId="100" fillId="0" borderId="0" xfId="0" applyNumberFormat="1" applyFont="1" applyAlignment="1">
      <alignment horizontal="center"/>
    </xf>
    <xf numFmtId="0" fontId="100" fillId="0" borderId="40" xfId="0" applyFont="1" applyBorder="1" applyAlignment="1">
      <alignment horizontal="centerContinuous"/>
    </xf>
    <xf numFmtId="0" fontId="4" fillId="0" borderId="0" xfId="762" applyFont="1" applyAlignment="1">
      <alignment horizontal="right"/>
    </xf>
    <xf numFmtId="0" fontId="100" fillId="0" borderId="42" xfId="0" applyFont="1" applyBorder="1" applyAlignment="1">
      <alignment horizontal="center"/>
    </xf>
    <xf numFmtId="2" fontId="100" fillId="0" borderId="0" xfId="751" applyNumberFormat="1" applyFont="1" applyFill="1" applyAlignment="1">
      <alignment horizontal="right"/>
    </xf>
    <xf numFmtId="2" fontId="100" fillId="0" borderId="0" xfId="4" applyNumberFormat="1" applyFont="1" applyFill="1" applyAlignment="1">
      <alignment horizontal="right"/>
    </xf>
    <xf numFmtId="43" fontId="100" fillId="0" borderId="42" xfId="4" applyFont="1" applyFill="1" applyBorder="1"/>
    <xf numFmtId="43" fontId="100" fillId="0" borderId="0" xfId="4" applyFont="1" applyFill="1" applyBorder="1" applyAlignment="1">
      <alignment horizontal="center"/>
    </xf>
    <xf numFmtId="43" fontId="100" fillId="0" borderId="0" xfId="4" applyFont="1" applyFill="1" applyBorder="1" applyAlignment="1">
      <alignment horizontal="right"/>
    </xf>
    <xf numFmtId="179" fontId="100" fillId="0" borderId="0" xfId="4" applyNumberFormat="1" applyFont="1" applyFill="1" applyBorder="1" applyAlignment="1">
      <alignment horizontal="right"/>
    </xf>
    <xf numFmtId="174" fontId="100" fillId="0" borderId="64" xfId="169" applyNumberFormat="1" applyFont="1" applyBorder="1"/>
    <xf numFmtId="0" fontId="100" fillId="0" borderId="0" xfId="169" applyFont="1" applyAlignment="1">
      <alignment horizontal="left" wrapText="1" indent="1"/>
    </xf>
    <xf numFmtId="0" fontId="101" fillId="0" borderId="40" xfId="1752" applyFont="1" applyBorder="1" applyAlignment="1">
      <alignment wrapText="1"/>
    </xf>
    <xf numFmtId="0" fontId="101" fillId="0" borderId="0" xfId="1752" applyFont="1"/>
    <xf numFmtId="0" fontId="100" fillId="0" borderId="40" xfId="169" applyFont="1" applyBorder="1" applyAlignment="1">
      <alignment horizontal="center" wrapText="1"/>
    </xf>
    <xf numFmtId="175" fontId="100" fillId="0" borderId="40" xfId="169" applyNumberFormat="1" applyFont="1" applyBorder="1" applyAlignment="1">
      <alignment horizontal="center" wrapText="1"/>
    </xf>
    <xf numFmtId="0" fontId="4" fillId="0" borderId="0" xfId="762" applyFont="1"/>
    <xf numFmtId="0" fontId="100" fillId="0" borderId="42" xfId="169" applyFont="1" applyBorder="1" applyAlignment="1">
      <alignment horizontal="center"/>
    </xf>
    <xf numFmtId="164" fontId="100" fillId="0" borderId="42" xfId="169" quotePrefix="1" applyNumberFormat="1" applyFont="1" applyBorder="1" applyAlignment="1">
      <alignment horizontal="center"/>
    </xf>
    <xf numFmtId="0" fontId="104" fillId="0" borderId="0" xfId="1752" applyFont="1"/>
    <xf numFmtId="0" fontId="104" fillId="0" borderId="0" xfId="1752" applyFont="1" applyAlignment="1">
      <alignment horizontal="right"/>
    </xf>
    <xf numFmtId="0" fontId="101" fillId="0" borderId="40" xfId="0" applyFont="1" applyBorder="1" applyAlignment="1">
      <alignment horizontal="center" wrapText="1"/>
    </xf>
    <xf numFmtId="0" fontId="101" fillId="0" borderId="42" xfId="0" applyFont="1" applyBorder="1"/>
    <xf numFmtId="0" fontId="100" fillId="0" borderId="40" xfId="0" applyFont="1" applyBorder="1" applyAlignment="1">
      <alignment horizontal="centerContinuous" wrapText="1"/>
    </xf>
    <xf numFmtId="10" fontId="65" fillId="0" borderId="0" xfId="763" applyNumberFormat="1" applyFont="1" applyFill="1" applyAlignment="1">
      <alignment horizontal="center"/>
    </xf>
    <xf numFmtId="43" fontId="100" fillId="0" borderId="42" xfId="0" applyNumberFormat="1" applyFont="1" applyBorder="1"/>
    <xf numFmtId="10" fontId="100" fillId="0" borderId="40" xfId="751" applyNumberFormat="1" applyFont="1" applyFill="1" applyBorder="1" applyAlignment="1">
      <alignment horizontal="center"/>
    </xf>
    <xf numFmtId="10" fontId="100" fillId="0" borderId="0" xfId="751" applyNumberFormat="1" applyFont="1"/>
    <xf numFmtId="0" fontId="104" fillId="0" borderId="0" xfId="771" quotePrefix="1" applyFont="1" applyAlignment="1">
      <alignment horizontal="right" vertical="top"/>
    </xf>
    <xf numFmtId="43" fontId="0" fillId="0" borderId="0" xfId="763" applyNumberFormat="1" applyFont="1" applyFill="1" applyAlignment="1">
      <alignment horizontal="center"/>
    </xf>
    <xf numFmtId="43" fontId="100" fillId="0" borderId="64" xfId="4" applyFont="1" applyFill="1" applyBorder="1" applyAlignment="1"/>
    <xf numFmtId="43" fontId="100" fillId="0" borderId="40" xfId="4" applyFont="1" applyFill="1" applyBorder="1" applyAlignment="1"/>
    <xf numFmtId="179" fontId="100" fillId="0" borderId="0" xfId="4" applyNumberFormat="1" applyFont="1" applyFill="1" applyBorder="1" applyAlignment="1">
      <alignment horizontal="center"/>
    </xf>
    <xf numFmtId="10" fontId="101" fillId="0" borderId="0" xfId="1276" applyNumberFormat="1" applyFont="1" applyFill="1" applyAlignment="1">
      <alignment horizontal="right"/>
    </xf>
    <xf numFmtId="43" fontId="0" fillId="0" borderId="0" xfId="4" applyFont="1" applyFill="1" applyAlignment="1">
      <alignment horizontal="center"/>
    </xf>
    <xf numFmtId="43" fontId="100" fillId="0" borderId="40" xfId="4" applyFont="1" applyBorder="1"/>
    <xf numFmtId="0" fontId="101" fillId="0" borderId="0" xfId="1754" applyFont="1"/>
    <xf numFmtId="0" fontId="101" fillId="0" borderId="0" xfId="1754" applyFont="1" applyAlignment="1">
      <alignment horizontal="center"/>
    </xf>
    <xf numFmtId="0" fontId="101" fillId="0" borderId="40" xfId="1754" applyFont="1" applyBorder="1"/>
    <xf numFmtId="0" fontId="101" fillId="0" borderId="40" xfId="1754" applyFont="1" applyBorder="1" applyAlignment="1">
      <alignment horizontal="center" wrapText="1"/>
    </xf>
    <xf numFmtId="1" fontId="101" fillId="0" borderId="0" xfId="1754" applyNumberFormat="1" applyFont="1" applyAlignment="1">
      <alignment horizontal="left"/>
    </xf>
    <xf numFmtId="10" fontId="101" fillId="0" borderId="0" xfId="1755" applyNumberFormat="1" applyFont="1" applyBorder="1" applyAlignment="1">
      <alignment horizontal="center"/>
    </xf>
    <xf numFmtId="10" fontId="101" fillId="0" borderId="0" xfId="1754" applyNumberFormat="1" applyFont="1" applyAlignment="1">
      <alignment horizontal="center"/>
    </xf>
    <xf numFmtId="10" fontId="101" fillId="0" borderId="0" xfId="1754" applyNumberFormat="1" applyFont="1"/>
    <xf numFmtId="0" fontId="101" fillId="0" borderId="0" xfId="1754" applyFont="1" applyAlignment="1">
      <alignment horizontal="right"/>
    </xf>
    <xf numFmtId="10" fontId="101" fillId="0" borderId="2" xfId="1754" applyNumberFormat="1" applyFont="1" applyBorder="1" applyAlignment="1">
      <alignment horizontal="center"/>
    </xf>
    <xf numFmtId="0" fontId="0" fillId="0" borderId="0" xfId="0" applyAlignment="1">
      <alignment vertical="top" wrapText="1"/>
    </xf>
    <xf numFmtId="0" fontId="101" fillId="0" borderId="0" xfId="111" applyFont="1" applyAlignment="1">
      <alignment horizontal="centerContinuous"/>
    </xf>
    <xf numFmtId="0" fontId="105" fillId="0" borderId="0" xfId="1738" applyFont="1" applyAlignment="1">
      <alignment horizontal="centerContinuous"/>
    </xf>
    <xf numFmtId="0" fontId="104" fillId="0" borderId="0" xfId="111" applyFont="1" applyAlignment="1">
      <alignment horizontal="centerContinuous"/>
    </xf>
    <xf numFmtId="0" fontId="99" fillId="0" borderId="0" xfId="211" quotePrefix="1" applyFont="1" applyAlignment="1">
      <alignment horizontal="centerContinuous"/>
    </xf>
    <xf numFmtId="0" fontId="100" fillId="0" borderId="0" xfId="211" applyFont="1" applyAlignment="1">
      <alignment horizontal="centerContinuous"/>
    </xf>
    <xf numFmtId="0" fontId="99" fillId="0" borderId="0" xfId="211" applyFont="1" applyAlignment="1">
      <alignment horizontal="centerContinuous"/>
    </xf>
    <xf numFmtId="0" fontId="100" fillId="0" borderId="0" xfId="0" applyFont="1" applyAlignment="1">
      <alignment horizontal="left" vertical="center"/>
    </xf>
    <xf numFmtId="0" fontId="100" fillId="0" borderId="0" xfId="0" applyFont="1" applyAlignment="1">
      <alignment horizontal="left" vertical="top"/>
    </xf>
    <xf numFmtId="0" fontId="101" fillId="0" borderId="0" xfId="0" applyFont="1" applyAlignment="1">
      <alignment horizontal="left" vertical="top"/>
    </xf>
    <xf numFmtId="2" fontId="100" fillId="0" borderId="0" xfId="751" applyNumberFormat="1" applyFont="1" applyFill="1" applyAlignment="1">
      <alignment horizontal="center"/>
    </xf>
    <xf numFmtId="0" fontId="101" fillId="0" borderId="0" xfId="1754" applyFont="1" applyAlignment="1">
      <alignment horizontal="centerContinuous"/>
    </xf>
    <xf numFmtId="0" fontId="105" fillId="0" borderId="0" xfId="1754" applyFont="1" applyAlignment="1">
      <alignment horizontal="centerContinuous"/>
    </xf>
    <xf numFmtId="168" fontId="100" fillId="0" borderId="0" xfId="807" applyNumberFormat="1" applyFont="1"/>
    <xf numFmtId="14" fontId="125" fillId="0" borderId="13" xfId="0" quotePrefix="1" applyNumberFormat="1" applyFont="1" applyBorder="1" applyAlignment="1">
      <alignment horizontal="center"/>
    </xf>
    <xf numFmtId="10" fontId="158" fillId="0" borderId="0" xfId="0" applyNumberFormat="1" applyFont="1"/>
    <xf numFmtId="44" fontId="100" fillId="0" borderId="0" xfId="1282" applyFont="1"/>
    <xf numFmtId="188" fontId="100" fillId="0" borderId="40" xfId="807" applyNumberFormat="1" applyFont="1" applyBorder="1"/>
    <xf numFmtId="0" fontId="65" fillId="0" borderId="0" xfId="1759" applyFont="1"/>
    <xf numFmtId="43" fontId="119" fillId="0" borderId="19" xfId="1759" applyNumberFormat="1" applyFont="1" applyBorder="1" applyAlignment="1">
      <alignment horizontal="center"/>
    </xf>
    <xf numFmtId="0" fontId="65" fillId="0" borderId="20" xfId="1759" applyFont="1" applyBorder="1" applyAlignment="1">
      <alignment horizontal="center"/>
    </xf>
    <xf numFmtId="2" fontId="65" fillId="0" borderId="0" xfId="1760" applyNumberFormat="1" applyFont="1"/>
    <xf numFmtId="189" fontId="100" fillId="0" borderId="40" xfId="807" applyNumberFormat="1" applyFont="1" applyBorder="1"/>
    <xf numFmtId="43" fontId="101" fillId="0" borderId="0" xfId="0" applyNumberFormat="1" applyFont="1" applyAlignment="1">
      <alignment horizontal="center"/>
    </xf>
    <xf numFmtId="17" fontId="100" fillId="0" borderId="0" xfId="169" applyNumberFormat="1" applyFont="1" applyAlignment="1">
      <alignment horizontal="center" vertical="top"/>
    </xf>
    <xf numFmtId="174" fontId="100" fillId="0" borderId="0" xfId="171" applyNumberFormat="1" applyFont="1"/>
    <xf numFmtId="43" fontId="100" fillId="0" borderId="53" xfId="9" applyFont="1" applyFill="1" applyBorder="1" applyAlignment="1"/>
    <xf numFmtId="185" fontId="0" fillId="0" borderId="0" xfId="0" applyNumberFormat="1"/>
    <xf numFmtId="185" fontId="0" fillId="0" borderId="1" xfId="0" applyNumberFormat="1" applyBorder="1"/>
    <xf numFmtId="0" fontId="100" fillId="0" borderId="0" xfId="169" applyFont="1" applyAlignment="1">
      <alignment vertical="center" wrapText="1"/>
    </xf>
    <xf numFmtId="0" fontId="127" fillId="0" borderId="0" xfId="762" applyFont="1" applyAlignment="1">
      <alignment horizontal="center" vertical="center" wrapText="1"/>
    </xf>
    <xf numFmtId="14" fontId="127" fillId="0" borderId="0" xfId="762" applyNumberFormat="1" applyFont="1"/>
    <xf numFmtId="0" fontId="126" fillId="0" borderId="0" xfId="0" applyFont="1"/>
    <xf numFmtId="2" fontId="125" fillId="0" borderId="0" xfId="0" applyNumberFormat="1" applyFont="1"/>
    <xf numFmtId="14" fontId="126" fillId="0" borderId="0" xfId="0" applyNumberFormat="1" applyFont="1"/>
    <xf numFmtId="39" fontId="126" fillId="0" borderId="0" xfId="0" applyNumberFormat="1" applyFont="1"/>
    <xf numFmtId="0" fontId="126" fillId="0" borderId="0" xfId="752" applyFont="1"/>
    <xf numFmtId="0" fontId="126" fillId="0" borderId="26" xfId="752" applyFont="1" applyBorder="1"/>
    <xf numFmtId="14" fontId="126" fillId="0" borderId="0" xfId="752" applyNumberFormat="1" applyFont="1"/>
    <xf numFmtId="174" fontId="126" fillId="0" borderId="0" xfId="752" applyNumberFormat="1" applyFont="1"/>
    <xf numFmtId="0" fontId="126" fillId="0" borderId="0" xfId="752" applyFont="1" applyAlignment="1">
      <alignment horizontal="right"/>
    </xf>
    <xf numFmtId="0" fontId="161" fillId="0" borderId="0" xfId="752" applyFont="1"/>
    <xf numFmtId="2" fontId="126" fillId="0" borderId="0" xfId="752" applyNumberFormat="1" applyFont="1"/>
    <xf numFmtId="2" fontId="126" fillId="0" borderId="26" xfId="752" applyNumberFormat="1" applyFont="1" applyBorder="1"/>
    <xf numFmtId="43" fontId="126" fillId="0" borderId="26" xfId="4" applyFont="1" applyFill="1" applyBorder="1"/>
    <xf numFmtId="14" fontId="126" fillId="0" borderId="26" xfId="752" applyNumberFormat="1" applyFont="1" applyBorder="1"/>
    <xf numFmtId="169" fontId="126" fillId="0" borderId="0" xfId="752" applyNumberFormat="1" applyFont="1"/>
    <xf numFmtId="169" fontId="126" fillId="0" borderId="26" xfId="752" applyNumberFormat="1" applyFont="1" applyBorder="1"/>
    <xf numFmtId="167" fontId="126" fillId="0" borderId="0" xfId="752" applyNumberFormat="1" applyFont="1"/>
    <xf numFmtId="10" fontId="126" fillId="0" borderId="0" xfId="751" applyNumberFormat="1" applyFont="1" applyFill="1"/>
    <xf numFmtId="10" fontId="126" fillId="0" borderId="26" xfId="751" applyNumberFormat="1" applyFont="1" applyFill="1" applyBorder="1"/>
    <xf numFmtId="0" fontId="125" fillId="0" borderId="26" xfId="0" applyFont="1" applyBorder="1"/>
    <xf numFmtId="14" fontId="125" fillId="0" borderId="0" xfId="0" applyNumberFormat="1" applyFont="1"/>
    <xf numFmtId="2" fontId="125" fillId="0" borderId="26" xfId="0" applyNumberFormat="1" applyFont="1" applyBorder="1"/>
    <xf numFmtId="10" fontId="108" fillId="0" borderId="0" xfId="763" applyNumberFormat="1" applyFont="1" applyFill="1" applyAlignment="1">
      <alignment horizontal="left"/>
    </xf>
    <xf numFmtId="10" fontId="100" fillId="0" borderId="0" xfId="807" applyNumberFormat="1" applyFont="1"/>
    <xf numFmtId="10" fontId="108" fillId="0" borderId="40" xfId="763" applyNumberFormat="1" applyFont="1" applyFill="1" applyBorder="1" applyAlignment="1">
      <alignment horizontal="left"/>
    </xf>
    <xf numFmtId="167" fontId="100" fillId="0" borderId="0" xfId="169" applyNumberFormat="1" applyFont="1"/>
    <xf numFmtId="10" fontId="100" fillId="0" borderId="0" xfId="169" applyNumberFormat="1" applyFont="1" applyAlignment="1">
      <alignment horizontal="left"/>
    </xf>
    <xf numFmtId="0" fontId="100" fillId="0" borderId="64" xfId="807" applyFont="1" applyBorder="1"/>
    <xf numFmtId="10" fontId="125" fillId="0" borderId="0" xfId="751" applyNumberFormat="1" applyFont="1" applyAlignment="1">
      <alignment horizontal="center"/>
    </xf>
    <xf numFmtId="0" fontId="162" fillId="0" borderId="0" xfId="0" applyFont="1" applyAlignment="1">
      <alignment horizontal="left"/>
    </xf>
    <xf numFmtId="14" fontId="162" fillId="0" borderId="0" xfId="0" applyNumberFormat="1" applyFont="1" applyAlignment="1">
      <alignment horizontal="left"/>
    </xf>
    <xf numFmtId="0" fontId="163" fillId="0" borderId="0" xfId="0" applyFont="1"/>
    <xf numFmtId="0" fontId="164" fillId="0" borderId="0" xfId="752" applyFont="1"/>
    <xf numFmtId="44" fontId="163" fillId="0" borderId="0" xfId="760" applyFont="1" applyFill="1" applyBorder="1" applyAlignment="1">
      <alignment horizontal="right"/>
    </xf>
    <xf numFmtId="10" fontId="163" fillId="0" borderId="0" xfId="761" applyNumberFormat="1" applyFont="1" applyFill="1" applyBorder="1" applyAlignment="1">
      <alignment horizontal="right"/>
    </xf>
    <xf numFmtId="10" fontId="164" fillId="0" borderId="0" xfId="752" applyNumberFormat="1" applyFont="1" applyAlignment="1">
      <alignment horizontal="right"/>
    </xf>
    <xf numFmtId="178" fontId="163" fillId="0" borderId="0" xfId="761" applyNumberFormat="1" applyFont="1" applyFill="1" applyBorder="1" applyAlignment="1">
      <alignment horizontal="right"/>
    </xf>
    <xf numFmtId="10" fontId="165" fillId="0" borderId="0" xfId="773" applyNumberFormat="1" applyFont="1" applyFill="1" applyAlignment="1">
      <alignment horizontal="right"/>
    </xf>
    <xf numFmtId="0" fontId="164" fillId="0" borderId="0" xfId="752" quotePrefix="1" applyFont="1"/>
    <xf numFmtId="44" fontId="164" fillId="0" borderId="25" xfId="752" applyNumberFormat="1" applyFont="1" applyBorder="1"/>
    <xf numFmtId="10" fontId="164" fillId="0" borderId="0" xfId="752" applyNumberFormat="1" applyFont="1"/>
    <xf numFmtId="10" fontId="164" fillId="0" borderId="33" xfId="752" applyNumberFormat="1" applyFont="1" applyBorder="1"/>
    <xf numFmtId="0" fontId="166" fillId="0" borderId="0" xfId="752" quotePrefix="1" applyFont="1"/>
    <xf numFmtId="0" fontId="166" fillId="0" borderId="0" xfId="752" applyFont="1"/>
    <xf numFmtId="0" fontId="125" fillId="0" borderId="3" xfId="0" applyFont="1" applyBorder="1"/>
    <xf numFmtId="0" fontId="125" fillId="0" borderId="3" xfId="0" applyFont="1" applyBorder="1" applyAlignment="1">
      <alignment horizontal="center" wrapText="1"/>
    </xf>
    <xf numFmtId="0" fontId="108" fillId="0" borderId="3" xfId="0" applyFont="1" applyBorder="1" applyAlignment="1">
      <alignment horizontal="center" wrapText="1"/>
    </xf>
    <xf numFmtId="44" fontId="125" fillId="0" borderId="0" xfId="787" applyFont="1" applyAlignment="1">
      <alignment horizontal="center"/>
    </xf>
    <xf numFmtId="10" fontId="125" fillId="0" borderId="0" xfId="783" applyNumberFormat="1" applyFont="1" applyAlignment="1">
      <alignment horizontal="center"/>
    </xf>
    <xf numFmtId="178" fontId="125" fillId="0" borderId="0" xfId="783" applyNumberFormat="1" applyFont="1" applyAlignment="1">
      <alignment horizontal="center"/>
    </xf>
    <xf numFmtId="44" fontId="125" fillId="0" borderId="0" xfId="787" applyFont="1" applyAlignment="1">
      <alignment horizontal="left"/>
    </xf>
    <xf numFmtId="44" fontId="125" fillId="0" borderId="11" xfId="787" applyFont="1" applyBorder="1"/>
    <xf numFmtId="0" fontId="125" fillId="0" borderId="11" xfId="0" applyFont="1" applyBorder="1"/>
    <xf numFmtId="10" fontId="125" fillId="0" borderId="11" xfId="0" applyNumberFormat="1" applyFont="1" applyBorder="1"/>
    <xf numFmtId="10" fontId="125" fillId="0" borderId="11" xfId="783" applyNumberFormat="1" applyFont="1" applyBorder="1"/>
    <xf numFmtId="168" fontId="125" fillId="0" borderId="0" xfId="0" applyNumberFormat="1" applyFont="1"/>
    <xf numFmtId="0" fontId="126" fillId="0" borderId="0" xfId="123" applyFont="1"/>
    <xf numFmtId="14" fontId="125" fillId="0" borderId="13" xfId="390" applyNumberFormat="1" applyFont="1" applyFill="1" applyBorder="1"/>
    <xf numFmtId="178" fontId="125" fillId="0" borderId="0" xfId="390" applyNumberFormat="1" applyFont="1" applyFill="1"/>
    <xf numFmtId="178" fontId="125" fillId="0" borderId="13" xfId="390" applyNumberFormat="1" applyFont="1" applyFill="1" applyBorder="1"/>
    <xf numFmtId="0" fontId="111" fillId="0" borderId="18" xfId="0" applyFont="1" applyBorder="1" applyAlignment="1">
      <alignment horizontal="centerContinuous"/>
    </xf>
    <xf numFmtId="178" fontId="125" fillId="0" borderId="0" xfId="390" applyNumberFormat="1" applyFont="1" applyFill="1" applyAlignment="1">
      <alignment wrapText="1"/>
    </xf>
    <xf numFmtId="17" fontId="126" fillId="0" borderId="0" xfId="123" applyNumberFormat="1" applyFont="1"/>
    <xf numFmtId="178" fontId="167" fillId="0" borderId="0" xfId="390" applyNumberFormat="1" applyFont="1" applyFill="1"/>
    <xf numFmtId="0" fontId="108" fillId="0" borderId="1" xfId="0" applyFont="1" applyBorder="1"/>
    <xf numFmtId="0" fontId="111" fillId="0" borderId="18" xfId="0" applyFont="1" applyBorder="1" applyAlignment="1">
      <alignment horizontal="center"/>
    </xf>
    <xf numFmtId="10" fontId="125" fillId="0" borderId="0" xfId="770" applyNumberFormat="1" applyFont="1" applyFill="1"/>
    <xf numFmtId="10" fontId="126" fillId="0" borderId="0" xfId="123" applyNumberFormat="1" applyFont="1"/>
    <xf numFmtId="0" fontId="125" fillId="0" borderId="0" xfId="103" applyFont="1"/>
    <xf numFmtId="0" fontId="168" fillId="0" borderId="18" xfId="103" applyFont="1" applyBorder="1" applyAlignment="1">
      <alignment horizontal="center"/>
    </xf>
    <xf numFmtId="10" fontId="125" fillId="0" borderId="0" xfId="376" applyNumberFormat="1" applyFont="1" applyFill="1"/>
    <xf numFmtId="0" fontId="125" fillId="0" borderId="0" xfId="807" applyFont="1"/>
    <xf numFmtId="0" fontId="111" fillId="0" borderId="0" xfId="807" applyFont="1" applyAlignment="1">
      <alignment horizontal="centerContinuous"/>
    </xf>
    <xf numFmtId="0" fontId="111" fillId="0" borderId="0" xfId="807" applyFont="1" applyAlignment="1">
      <alignment horizontal="center"/>
    </xf>
    <xf numFmtId="178" fontId="167" fillId="0" borderId="0" xfId="390" applyNumberFormat="1" applyFont="1" applyFill="1" applyAlignment="1"/>
    <xf numFmtId="178" fontId="126" fillId="0" borderId="0" xfId="390" applyNumberFormat="1" applyFont="1" applyFill="1"/>
    <xf numFmtId="178" fontId="125" fillId="0" borderId="0" xfId="390" applyNumberFormat="1" applyFont="1" applyFill="1" applyBorder="1" applyAlignment="1" applyProtection="1"/>
    <xf numFmtId="178" fontId="125" fillId="0" borderId="0" xfId="390" applyNumberFormat="1" applyFont="1" applyFill="1" applyAlignment="1"/>
    <xf numFmtId="180" fontId="126" fillId="0" borderId="0" xfId="123" applyNumberFormat="1" applyFont="1"/>
    <xf numFmtId="0" fontId="125" fillId="0" borderId="1" xfId="103" applyFont="1" applyBorder="1"/>
    <xf numFmtId="178" fontId="125" fillId="0" borderId="0" xfId="390" applyNumberFormat="1" applyFont="1" applyFill="1" applyBorder="1"/>
    <xf numFmtId="180" fontId="125" fillId="0" borderId="0" xfId="807" applyNumberFormat="1" applyFont="1"/>
    <xf numFmtId="178" fontId="125" fillId="0" borderId="0" xfId="390" applyNumberFormat="1" applyFont="1"/>
    <xf numFmtId="10" fontId="125" fillId="0" borderId="0" xfId="770" applyNumberFormat="1" applyFont="1"/>
    <xf numFmtId="14" fontId="126" fillId="0" borderId="0" xfId="123" applyNumberFormat="1" applyFont="1"/>
    <xf numFmtId="43" fontId="126" fillId="0" borderId="0" xfId="4" applyFont="1" applyFill="1" applyBorder="1" applyAlignment="1">
      <alignment horizontal="center"/>
    </xf>
    <xf numFmtId="0" fontId="101" fillId="0" borderId="0" xfId="1764" applyFont="1"/>
    <xf numFmtId="0" fontId="101" fillId="0" borderId="0" xfId="1764" applyFont="1" applyAlignment="1">
      <alignment horizontal="center"/>
    </xf>
    <xf numFmtId="1" fontId="101" fillId="0" borderId="0" xfId="1764" applyNumberFormat="1" applyFont="1" applyAlignment="1">
      <alignment horizontal="left"/>
    </xf>
    <xf numFmtId="10" fontId="101" fillId="0" borderId="0" xfId="1764" applyNumberFormat="1" applyFont="1" applyAlignment="1">
      <alignment horizontal="center"/>
    </xf>
    <xf numFmtId="10" fontId="101" fillId="0" borderId="0" xfId="1764" applyNumberFormat="1" applyFont="1"/>
    <xf numFmtId="0" fontId="101" fillId="0" borderId="0" xfId="1764" applyFont="1" applyAlignment="1">
      <alignment horizontal="right"/>
    </xf>
    <xf numFmtId="0" fontId="101" fillId="0" borderId="0" xfId="1767" applyFont="1"/>
    <xf numFmtId="0" fontId="101" fillId="0" borderId="0" xfId="1767" applyFont="1" applyAlignment="1">
      <alignment horizontal="left"/>
    </xf>
    <xf numFmtId="0" fontId="101" fillId="0" borderId="0" xfId="1767" applyFont="1" applyAlignment="1">
      <alignment horizontal="left" wrapText="1"/>
    </xf>
    <xf numFmtId="0" fontId="101" fillId="0" borderId="0" xfId="1767" applyFont="1" applyAlignment="1">
      <alignment horizontal="right"/>
    </xf>
    <xf numFmtId="1" fontId="101" fillId="0" borderId="0" xfId="1767" applyNumberFormat="1" applyFont="1" applyAlignment="1">
      <alignment horizontal="right"/>
    </xf>
    <xf numFmtId="0" fontId="101" fillId="0" borderId="0" xfId="1767" applyFont="1" applyAlignment="1">
      <alignment wrapText="1"/>
    </xf>
    <xf numFmtId="0" fontId="101" fillId="0" borderId="0" xfId="1764" applyFont="1" applyAlignment="1">
      <alignment wrapText="1"/>
    </xf>
    <xf numFmtId="1" fontId="101" fillId="0" borderId="0" xfId="1764" applyNumberFormat="1" applyFont="1" applyAlignment="1">
      <alignment horizontal="right"/>
    </xf>
    <xf numFmtId="3" fontId="101" fillId="0" borderId="0" xfId="1764" applyNumberFormat="1" applyFont="1"/>
    <xf numFmtId="3" fontId="101" fillId="0" borderId="0" xfId="1767" applyNumberFormat="1" applyFont="1" applyAlignment="1">
      <alignment horizontal="right"/>
    </xf>
    <xf numFmtId="10" fontId="100" fillId="0" borderId="0" xfId="1768" applyNumberFormat="1" applyFont="1"/>
    <xf numFmtId="10" fontId="100" fillId="0" borderId="0" xfId="1768" applyNumberFormat="1" applyFont="1" applyAlignment="1"/>
    <xf numFmtId="1" fontId="101" fillId="0" borderId="0" xfId="1764" applyNumberFormat="1" applyFont="1"/>
    <xf numFmtId="0" fontId="100" fillId="0" borderId="0" xfId="1767" applyFont="1"/>
    <xf numFmtId="1" fontId="101" fillId="0" borderId="0" xfId="1767" applyNumberFormat="1" applyFont="1" applyAlignment="1">
      <alignment horizontal="left"/>
    </xf>
    <xf numFmtId="3" fontId="101" fillId="0" borderId="0" xfId="1764" applyNumberFormat="1" applyFont="1" applyAlignment="1">
      <alignment horizontal="right"/>
    </xf>
    <xf numFmtId="0" fontId="101" fillId="0" borderId="0" xfId="1764" applyFont="1" applyAlignment="1">
      <alignment horizontal="left"/>
    </xf>
    <xf numFmtId="0" fontId="101" fillId="40" borderId="0" xfId="1764" applyFont="1" applyFill="1" applyAlignment="1">
      <alignment horizontal="center"/>
    </xf>
    <xf numFmtId="0" fontId="101" fillId="0" borderId="0" xfId="1174" applyFont="1"/>
    <xf numFmtId="10" fontId="101" fillId="0" borderId="0" xfId="1174" applyNumberFormat="1" applyFont="1"/>
    <xf numFmtId="0" fontId="101" fillId="0" borderId="65" xfId="1174" applyFont="1" applyBorder="1"/>
    <xf numFmtId="0" fontId="101" fillId="0" borderId="55" xfId="1174" applyFont="1" applyBorder="1"/>
    <xf numFmtId="10" fontId="100" fillId="41" borderId="0" xfId="751" applyNumberFormat="1" applyFont="1" applyFill="1" applyBorder="1" applyAlignment="1">
      <alignment horizontal="center"/>
    </xf>
    <xf numFmtId="17" fontId="90" fillId="0" borderId="0" xfId="123" applyNumberFormat="1"/>
    <xf numFmtId="178" fontId="169" fillId="0" borderId="0" xfId="390" applyNumberFormat="1" applyFont="1" applyFill="1"/>
    <xf numFmtId="178" fontId="66" fillId="0" borderId="0" xfId="390" applyNumberFormat="1" applyFont="1" applyFill="1"/>
    <xf numFmtId="10" fontId="66" fillId="0" borderId="0" xfId="770" applyNumberFormat="1" applyFont="1" applyFill="1"/>
    <xf numFmtId="10" fontId="90" fillId="0" borderId="0" xfId="123" applyNumberFormat="1"/>
    <xf numFmtId="0" fontId="156" fillId="0" borderId="0" xfId="762" applyFont="1" applyAlignment="1">
      <alignment horizontal="center"/>
    </xf>
    <xf numFmtId="0" fontId="100" fillId="0" borderId="0" xfId="0" applyFont="1" applyAlignment="1">
      <alignment horizontal="left"/>
    </xf>
    <xf numFmtId="177" fontId="100" fillId="0" borderId="0" xfId="0" applyNumberFormat="1" applyFont="1" applyAlignment="1">
      <alignment horizontal="right"/>
    </xf>
    <xf numFmtId="177" fontId="100" fillId="0" borderId="2" xfId="0" applyNumberFormat="1" applyFont="1" applyBorder="1"/>
    <xf numFmtId="177" fontId="100" fillId="0" borderId="0" xfId="0" applyNumberFormat="1" applyFont="1"/>
    <xf numFmtId="0" fontId="100" fillId="0" borderId="40" xfId="0" applyFont="1" applyBorder="1" applyAlignment="1">
      <alignment horizontal="left" wrapText="1"/>
    </xf>
    <xf numFmtId="198" fontId="100" fillId="0" borderId="0" xfId="169" applyNumberFormat="1" applyFont="1"/>
    <xf numFmtId="0" fontId="100" fillId="40" borderId="0" xfId="169" applyFont="1" applyFill="1" applyAlignment="1">
      <alignment vertical="top" wrapText="1"/>
    </xf>
    <xf numFmtId="0" fontId="99" fillId="0" borderId="0" xfId="0" applyFont="1" applyAlignment="1">
      <alignment wrapText="1"/>
    </xf>
    <xf numFmtId="44" fontId="100" fillId="0" borderId="0" xfId="1282" applyFont="1" applyFill="1"/>
    <xf numFmtId="44" fontId="100" fillId="0" borderId="0" xfId="4" applyNumberFormat="1" applyFont="1" applyFill="1"/>
    <xf numFmtId="44" fontId="100" fillId="0" borderId="0" xfId="807" applyNumberFormat="1" applyFont="1"/>
    <xf numFmtId="44" fontId="100" fillId="0" borderId="0" xfId="4" applyNumberFormat="1" applyFont="1"/>
    <xf numFmtId="44" fontId="100" fillId="0" borderId="40" xfId="1282" applyFont="1" applyFill="1" applyBorder="1"/>
    <xf numFmtId="44" fontId="100" fillId="0" borderId="40" xfId="4" applyNumberFormat="1" applyFont="1" applyBorder="1"/>
    <xf numFmtId="44" fontId="100" fillId="0" borderId="40" xfId="807" applyNumberFormat="1" applyFont="1" applyBorder="1"/>
    <xf numFmtId="43" fontId="126" fillId="0" borderId="0" xfId="4" applyFont="1" applyFill="1" applyBorder="1"/>
    <xf numFmtId="44" fontId="125" fillId="0" borderId="0" xfId="787" applyFont="1" applyAlignment="1">
      <alignment horizontal="right"/>
    </xf>
    <xf numFmtId="10" fontId="125" fillId="0" borderId="0" xfId="751" applyNumberFormat="1" applyFont="1" applyAlignment="1">
      <alignment horizontal="right"/>
    </xf>
    <xf numFmtId="10" fontId="125" fillId="0" borderId="0" xfId="783" applyNumberFormat="1" applyFont="1" applyAlignment="1">
      <alignment horizontal="right"/>
    </xf>
    <xf numFmtId="178" fontId="125" fillId="0" borderId="0" xfId="783" applyNumberFormat="1" applyFont="1" applyAlignment="1">
      <alignment horizontal="right"/>
    </xf>
    <xf numFmtId="10" fontId="100" fillId="0" borderId="0" xfId="751" applyNumberFormat="1" applyFont="1" applyFill="1" applyBorder="1" applyAlignment="1">
      <alignment horizontal="left"/>
    </xf>
    <xf numFmtId="39" fontId="100" fillId="0" borderId="40" xfId="103" applyNumberFormat="1" applyFont="1" applyBorder="1" applyAlignment="1" applyProtection="1">
      <alignment horizontal="center" wrapText="1"/>
      <protection locked="0"/>
    </xf>
    <xf numFmtId="0" fontId="100" fillId="0" borderId="40" xfId="1769" applyFont="1" applyBorder="1" applyAlignment="1">
      <alignment horizontal="center" wrapText="1"/>
    </xf>
    <xf numFmtId="0" fontId="100" fillId="0" borderId="0" xfId="1769" applyFont="1" applyAlignment="1">
      <alignment horizontal="center" wrapText="1"/>
    </xf>
    <xf numFmtId="0" fontId="100" fillId="0" borderId="0" xfId="1769" applyFont="1"/>
    <xf numFmtId="14" fontId="100" fillId="0" borderId="0" xfId="1769" applyNumberFormat="1" applyFont="1" applyAlignment="1">
      <alignment horizontal="center"/>
    </xf>
    <xf numFmtId="14" fontId="100" fillId="0" borderId="0" xfId="1769" applyNumberFormat="1" applyFont="1"/>
    <xf numFmtId="0" fontId="100" fillId="0" borderId="0" xfId="1769" applyFont="1" applyAlignment="1">
      <alignment horizontal="center"/>
    </xf>
    <xf numFmtId="0" fontId="100" fillId="0" borderId="0" xfId="1769" applyFont="1" applyAlignment="1">
      <alignment horizontal="left"/>
    </xf>
    <xf numFmtId="37" fontId="100" fillId="0" borderId="0" xfId="103" applyNumberFormat="1" applyFont="1" applyProtection="1">
      <protection locked="0"/>
    </xf>
    <xf numFmtId="197" fontId="100" fillId="0" borderId="0" xfId="4" applyNumberFormat="1" applyFont="1" applyFill="1" applyProtection="1">
      <protection locked="0"/>
    </xf>
    <xf numFmtId="37" fontId="100" fillId="0" borderId="0" xfId="103" applyNumberFormat="1" applyFont="1"/>
    <xf numFmtId="0" fontId="100" fillId="0" borderId="0" xfId="103" applyFont="1" applyProtection="1">
      <protection locked="0"/>
    </xf>
    <xf numFmtId="167" fontId="100" fillId="0" borderId="0" xfId="103" applyNumberFormat="1" applyFont="1"/>
    <xf numFmtId="0" fontId="100" fillId="0" borderId="0" xfId="67" applyNumberFormat="1" applyFont="1" applyFill="1" applyAlignment="1">
      <alignment horizontal="right"/>
    </xf>
    <xf numFmtId="0" fontId="100" fillId="0" borderId="0" xfId="103" applyFont="1" applyAlignment="1" applyProtection="1">
      <alignment horizontal="right"/>
      <protection locked="0"/>
    </xf>
    <xf numFmtId="44" fontId="100" fillId="0" borderId="0" xfId="67" applyFont="1" applyFill="1" applyProtection="1">
      <protection locked="0"/>
    </xf>
    <xf numFmtId="191" fontId="100" fillId="0" borderId="0" xfId="103" applyNumberFormat="1" applyFont="1"/>
    <xf numFmtId="193" fontId="100" fillId="0" borderId="0" xfId="67" applyNumberFormat="1" applyFont="1" applyFill="1"/>
    <xf numFmtId="191" fontId="100" fillId="0" borderId="40" xfId="103" applyNumberFormat="1" applyFont="1" applyBorder="1"/>
    <xf numFmtId="193" fontId="100" fillId="0" borderId="40" xfId="67" applyNumberFormat="1" applyFont="1" applyFill="1" applyBorder="1"/>
    <xf numFmtId="10" fontId="100" fillId="0" borderId="40" xfId="376" applyNumberFormat="1" applyFont="1" applyFill="1" applyBorder="1"/>
    <xf numFmtId="193" fontId="100" fillId="0" borderId="2" xfId="67" applyNumberFormat="1" applyFont="1" applyFill="1" applyBorder="1" applyProtection="1">
      <protection locked="0"/>
    </xf>
    <xf numFmtId="193" fontId="100" fillId="0" borderId="0" xfId="67" applyNumberFormat="1" applyFont="1" applyFill="1" applyProtection="1">
      <protection locked="0"/>
    </xf>
    <xf numFmtId="10" fontId="100" fillId="0" borderId="2" xfId="376" applyNumberFormat="1" applyFont="1" applyFill="1" applyBorder="1"/>
    <xf numFmtId="199" fontId="100" fillId="0" borderId="0" xfId="807" quotePrefix="1" applyNumberFormat="1" applyFont="1"/>
    <xf numFmtId="0" fontId="100" fillId="0" borderId="0" xfId="0" applyFont="1" applyAlignment="1">
      <alignment vertical="top"/>
    </xf>
    <xf numFmtId="0" fontId="118" fillId="0" borderId="0" xfId="807" applyFont="1"/>
    <xf numFmtId="0" fontId="118" fillId="0" borderId="0" xfId="807" applyFont="1" applyAlignment="1">
      <alignment horizontal="right"/>
    </xf>
    <xf numFmtId="14" fontId="118" fillId="0" borderId="0" xfId="807" applyNumberFormat="1" applyFont="1" applyAlignment="1">
      <alignment horizontal="center"/>
    </xf>
    <xf numFmtId="0" fontId="118" fillId="0" borderId="0" xfId="807" applyFont="1" applyAlignment="1">
      <alignment horizontal="center"/>
    </xf>
    <xf numFmtId="44" fontId="118" fillId="0" borderId="0" xfId="67" applyFont="1"/>
    <xf numFmtId="200" fontId="118" fillId="0" borderId="0" xfId="67" applyNumberFormat="1" applyFont="1"/>
    <xf numFmtId="9" fontId="118" fillId="0" borderId="0" xfId="1276" applyFont="1"/>
    <xf numFmtId="44" fontId="171" fillId="0" borderId="0" xfId="67" applyFont="1"/>
    <xf numFmtId="200" fontId="118" fillId="0" borderId="0" xfId="807" applyNumberFormat="1" applyFont="1"/>
    <xf numFmtId="2" fontId="118" fillId="0" borderId="0" xfId="67" applyNumberFormat="1" applyFont="1"/>
    <xf numFmtId="2" fontId="171" fillId="0" borderId="0" xfId="67" applyNumberFormat="1" applyFont="1"/>
    <xf numFmtId="0" fontId="170" fillId="0" borderId="0" xfId="1603" applyFont="1"/>
    <xf numFmtId="0" fontId="100" fillId="0" borderId="40" xfId="0" applyFont="1" applyBorder="1"/>
    <xf numFmtId="10" fontId="100" fillId="0" borderId="12" xfId="382" applyNumberFormat="1" applyFont="1" applyFill="1" applyBorder="1"/>
    <xf numFmtId="10" fontId="100" fillId="0" borderId="52" xfId="382" applyNumberFormat="1" applyFont="1" applyFill="1" applyBorder="1"/>
    <xf numFmtId="10" fontId="100" fillId="0" borderId="17" xfId="382" applyNumberFormat="1" applyFont="1" applyFill="1" applyBorder="1"/>
    <xf numFmtId="0" fontId="172" fillId="0" borderId="0" xfId="0" applyFont="1" applyAlignment="1">
      <alignment horizontal="left"/>
    </xf>
    <xf numFmtId="14" fontId="172" fillId="0" borderId="0" xfId="0" applyNumberFormat="1" applyFont="1" applyAlignment="1">
      <alignment horizontal="left"/>
    </xf>
    <xf numFmtId="0" fontId="104" fillId="0" borderId="38" xfId="772" applyFont="1" applyBorder="1" applyAlignment="1">
      <alignment horizontal="center" wrapText="1"/>
    </xf>
    <xf numFmtId="167" fontId="100" fillId="0" borderId="0" xfId="0" applyNumberFormat="1" applyFont="1"/>
    <xf numFmtId="0" fontId="101" fillId="0" borderId="0" xfId="752" quotePrefix="1" applyFont="1"/>
    <xf numFmtId="0" fontId="101" fillId="0" borderId="0" xfId="752" quotePrefix="1" applyFont="1" applyAlignment="1">
      <alignment horizontal="center"/>
    </xf>
    <xf numFmtId="44" fontId="100" fillId="0" borderId="0" xfId="760" applyFont="1" applyFill="1" applyBorder="1" applyAlignment="1">
      <alignment horizontal="right"/>
    </xf>
    <xf numFmtId="10" fontId="100" fillId="0" borderId="0" xfId="761" applyNumberFormat="1" applyFont="1" applyFill="1" applyBorder="1" applyAlignment="1">
      <alignment horizontal="right"/>
    </xf>
    <xf numFmtId="10" fontId="101" fillId="0" borderId="0" xfId="752" applyNumberFormat="1" applyFont="1" applyAlignment="1">
      <alignment horizontal="right"/>
    </xf>
    <xf numFmtId="10" fontId="104" fillId="0" borderId="0" xfId="773" applyNumberFormat="1" applyFont="1" applyFill="1" applyAlignment="1">
      <alignment horizontal="right"/>
    </xf>
    <xf numFmtId="178" fontId="100" fillId="0" borderId="0" xfId="761" applyNumberFormat="1" applyFont="1" applyFill="1" applyBorder="1" applyAlignment="1">
      <alignment horizontal="right"/>
    </xf>
    <xf numFmtId="10" fontId="101" fillId="0" borderId="0" xfId="770" applyNumberFormat="1" applyFont="1" applyFill="1" applyAlignment="1">
      <alignment horizontal="center"/>
    </xf>
    <xf numFmtId="0" fontId="104" fillId="0" borderId="38" xfId="772" applyFont="1" applyBorder="1" applyAlignment="1">
      <alignment wrapText="1"/>
    </xf>
    <xf numFmtId="0" fontId="104" fillId="0" borderId="38" xfId="772" applyFont="1" applyBorder="1" applyAlignment="1">
      <alignment horizontal="right" wrapText="1"/>
    </xf>
    <xf numFmtId="43" fontId="101" fillId="0" borderId="38" xfId="4" applyFont="1" applyFill="1" applyBorder="1" applyAlignment="1">
      <alignment horizontal="right" wrapText="1"/>
    </xf>
    <xf numFmtId="10" fontId="104" fillId="0" borderId="38" xfId="770" applyNumberFormat="1" applyFont="1" applyBorder="1" applyAlignment="1">
      <alignment horizontal="center" wrapText="1"/>
    </xf>
    <xf numFmtId="10" fontId="101" fillId="0" borderId="38" xfId="770" applyNumberFormat="1" applyFont="1" applyBorder="1" applyAlignment="1">
      <alignment horizontal="center" wrapText="1"/>
    </xf>
    <xf numFmtId="10" fontId="104" fillId="0" borderId="38" xfId="772" applyNumberFormat="1" applyFont="1" applyBorder="1" applyAlignment="1">
      <alignment horizontal="center" wrapText="1"/>
    </xf>
    <xf numFmtId="44" fontId="100" fillId="0" borderId="0" xfId="67" applyFont="1" applyAlignment="1">
      <alignment horizontal="center"/>
    </xf>
    <xf numFmtId="10" fontId="100" fillId="0" borderId="0" xfId="1276" applyNumberFormat="1" applyFont="1"/>
    <xf numFmtId="10" fontId="100" fillId="0" borderId="0" xfId="1276" applyNumberFormat="1" applyFont="1" applyAlignment="1">
      <alignment horizontal="center"/>
    </xf>
    <xf numFmtId="10" fontId="114" fillId="0" borderId="0" xfId="1276" applyNumberFormat="1" applyFont="1" applyAlignment="1">
      <alignment horizontal="center"/>
    </xf>
    <xf numFmtId="178" fontId="114" fillId="0" borderId="0" xfId="1276" applyNumberFormat="1" applyFont="1" applyAlignment="1">
      <alignment horizontal="center"/>
    </xf>
    <xf numFmtId="43" fontId="101" fillId="0" borderId="42" xfId="4" applyFont="1" applyFill="1" applyBorder="1" applyAlignment="1">
      <alignment horizontal="right"/>
    </xf>
    <xf numFmtId="0" fontId="100" fillId="0" borderId="42" xfId="0" applyFont="1" applyBorder="1"/>
    <xf numFmtId="10" fontId="100" fillId="0" borderId="42" xfId="1276" applyNumberFormat="1" applyFont="1" applyFill="1" applyBorder="1"/>
    <xf numFmtId="2" fontId="118" fillId="0" borderId="0" xfId="67" applyNumberFormat="1" applyFont="1" applyFill="1"/>
    <xf numFmtId="2" fontId="171" fillId="0" borderId="0" xfId="67" applyNumberFormat="1" applyFont="1" applyFill="1"/>
    <xf numFmtId="44" fontId="118" fillId="0" borderId="0" xfId="67" applyFont="1" applyFill="1"/>
    <xf numFmtId="44" fontId="171" fillId="0" borderId="0" xfId="67" applyFont="1" applyFill="1"/>
    <xf numFmtId="10" fontId="100" fillId="0" borderId="0" xfId="751" applyNumberFormat="1" applyFont="1" applyFill="1" applyBorder="1"/>
    <xf numFmtId="10" fontId="101" fillId="0" borderId="0" xfId="376" applyNumberFormat="1" applyFont="1" applyFill="1" applyBorder="1"/>
    <xf numFmtId="10" fontId="100" fillId="0" borderId="0" xfId="376" applyNumberFormat="1" applyFont="1" applyFill="1" applyBorder="1"/>
    <xf numFmtId="0" fontId="101" fillId="0" borderId="67" xfId="1174" applyFont="1" applyBorder="1"/>
    <xf numFmtId="10" fontId="101" fillId="0" borderId="0" xfId="761" applyNumberFormat="1" applyFont="1" applyFill="1" applyBorder="1" applyAlignment="1">
      <alignment horizontal="right"/>
    </xf>
    <xf numFmtId="43" fontId="101" fillId="0" borderId="40" xfId="4" applyFont="1" applyFill="1" applyBorder="1"/>
    <xf numFmtId="179" fontId="101" fillId="0" borderId="40" xfId="4" applyNumberFormat="1" applyFont="1" applyFill="1" applyBorder="1"/>
    <xf numFmtId="43" fontId="100" fillId="0" borderId="0" xfId="9" applyFont="1" applyFill="1" applyBorder="1" applyAlignment="1"/>
    <xf numFmtId="174" fontId="100" fillId="0" borderId="40" xfId="171" applyNumberFormat="1" applyFont="1" applyBorder="1"/>
    <xf numFmtId="0" fontId="100" fillId="0" borderId="40" xfId="169" applyFont="1" applyBorder="1" applyAlignment="1">
      <alignment horizontal="center"/>
    </xf>
    <xf numFmtId="173" fontId="100" fillId="0" borderId="0" xfId="1282" applyNumberFormat="1" applyFont="1"/>
    <xf numFmtId="197" fontId="101" fillId="0" borderId="0" xfId="4" applyNumberFormat="1" applyFont="1" applyAlignment="1">
      <alignment horizontal="center"/>
    </xf>
    <xf numFmtId="197" fontId="101" fillId="0" borderId="0" xfId="4" applyNumberFormat="1" applyFont="1"/>
    <xf numFmtId="197" fontId="101" fillId="0" borderId="0" xfId="1764" applyNumberFormat="1" applyFont="1"/>
    <xf numFmtId="169" fontId="100" fillId="0" borderId="2" xfId="766" applyNumberFormat="1" applyFont="1" applyBorder="1" applyAlignment="1">
      <alignment horizontal="right"/>
    </xf>
    <xf numFmtId="9" fontId="100" fillId="0" borderId="2" xfId="1276" applyFont="1" applyFill="1" applyBorder="1" applyAlignment="1">
      <alignment horizontal="center"/>
    </xf>
    <xf numFmtId="10" fontId="100" fillId="0" borderId="0" xfId="1276" applyNumberFormat="1" applyFont="1" applyFill="1" applyBorder="1" applyAlignment="1">
      <alignment horizontal="center"/>
    </xf>
    <xf numFmtId="10" fontId="100" fillId="0" borderId="2" xfId="1276" applyNumberFormat="1" applyFont="1" applyFill="1" applyBorder="1" applyAlignment="1">
      <alignment horizontal="center"/>
    </xf>
    <xf numFmtId="0" fontId="174" fillId="0" borderId="0" xfId="154" applyFont="1" applyAlignment="1">
      <alignment horizontal="center"/>
    </xf>
    <xf numFmtId="0" fontId="174" fillId="0" borderId="0" xfId="154" applyFont="1"/>
    <xf numFmtId="0" fontId="174" fillId="0" borderId="40" xfId="154" applyFont="1" applyBorder="1"/>
    <xf numFmtId="0" fontId="174" fillId="0" borderId="40" xfId="154" applyFont="1" applyBorder="1" applyAlignment="1">
      <alignment horizontal="center"/>
    </xf>
    <xf numFmtId="0" fontId="174" fillId="0" borderId="40" xfId="154" applyFont="1" applyBorder="1" applyAlignment="1">
      <alignment horizontal="center" wrapText="1"/>
    </xf>
    <xf numFmtId="10" fontId="174" fillId="0" borderId="0" xfId="154" applyNumberFormat="1" applyFont="1" applyAlignment="1">
      <alignment horizontal="center"/>
    </xf>
    <xf numFmtId="10" fontId="174" fillId="0" borderId="40" xfId="154" applyNumberFormat="1" applyFont="1" applyBorder="1" applyAlignment="1">
      <alignment horizontal="center"/>
    </xf>
    <xf numFmtId="10" fontId="174" fillId="0" borderId="0" xfId="1276" applyNumberFormat="1" applyFont="1" applyFill="1" applyAlignment="1">
      <alignment horizontal="center"/>
    </xf>
    <xf numFmtId="10" fontId="174" fillId="0" borderId="2" xfId="154" applyNumberFormat="1" applyFont="1" applyBorder="1" applyAlignment="1">
      <alignment horizontal="center"/>
    </xf>
    <xf numFmtId="10" fontId="174" fillId="0" borderId="0" xfId="154" applyNumberFormat="1" applyFont="1"/>
    <xf numFmtId="0" fontId="174" fillId="0" borderId="0" xfId="154" quotePrefix="1" applyFont="1" applyAlignment="1">
      <alignment horizontal="right" vertical="top"/>
    </xf>
    <xf numFmtId="0" fontId="174" fillId="0" borderId="0" xfId="154" applyFont="1" applyAlignment="1">
      <alignment vertical="top"/>
    </xf>
    <xf numFmtId="0" fontId="174" fillId="0" borderId="0" xfId="807" applyFont="1" applyAlignment="1">
      <alignment horizontal="centerContinuous"/>
    </xf>
    <xf numFmtId="0" fontId="173" fillId="0" borderId="0" xfId="807" applyFont="1" applyAlignment="1">
      <alignment horizontal="centerContinuous"/>
    </xf>
    <xf numFmtId="0" fontId="174" fillId="0" borderId="0" xfId="807" applyFont="1"/>
    <xf numFmtId="0" fontId="173" fillId="0" borderId="0" xfId="807" applyFont="1" applyAlignment="1">
      <alignment horizontal="center"/>
    </xf>
    <xf numFmtId="0" fontId="173" fillId="0" borderId="0" xfId="807" applyFont="1"/>
    <xf numFmtId="166" fontId="174" fillId="0" borderId="0" xfId="807" applyNumberFormat="1" applyFont="1"/>
    <xf numFmtId="166" fontId="174" fillId="0" borderId="2" xfId="807" applyNumberFormat="1" applyFont="1" applyBorder="1"/>
    <xf numFmtId="43" fontId="174" fillId="0" borderId="0" xfId="4" applyFont="1" applyFill="1"/>
    <xf numFmtId="164" fontId="174" fillId="0" borderId="0" xfId="807" applyNumberFormat="1" applyFont="1"/>
    <xf numFmtId="0" fontId="174" fillId="0" borderId="0" xfId="807" applyFont="1" applyAlignment="1">
      <alignment horizontal="center"/>
    </xf>
    <xf numFmtId="164" fontId="174" fillId="0" borderId="0" xfId="807" applyNumberFormat="1" applyFont="1" applyAlignment="1">
      <alignment horizontal="right"/>
    </xf>
    <xf numFmtId="2" fontId="174" fillId="0" borderId="0" xfId="807" applyNumberFormat="1" applyFont="1"/>
    <xf numFmtId="43" fontId="174" fillId="0" borderId="40" xfId="4" applyFont="1" applyFill="1" applyBorder="1"/>
    <xf numFmtId="43" fontId="174" fillId="0" borderId="2" xfId="4" applyFont="1" applyFill="1" applyBorder="1"/>
    <xf numFmtId="0" fontId="173" fillId="0" borderId="0" xfId="807" applyFont="1" applyAlignment="1">
      <alignment horizontal="left"/>
    </xf>
    <xf numFmtId="0" fontId="173" fillId="0" borderId="0" xfId="1737" applyFont="1"/>
    <xf numFmtId="0" fontId="174" fillId="0" borderId="0" xfId="350" applyFont="1" applyAlignment="1">
      <alignment horizontal="right"/>
    </xf>
    <xf numFmtId="0" fontId="174" fillId="0" borderId="0" xfId="350" applyFont="1"/>
    <xf numFmtId="0" fontId="174" fillId="0" borderId="0" xfId="350" quotePrefix="1" applyFont="1" applyAlignment="1">
      <alignment horizontal="right" vertical="top"/>
    </xf>
    <xf numFmtId="0" fontId="174" fillId="0" borderId="0" xfId="807" applyFont="1" applyAlignment="1">
      <alignment horizontal="right"/>
    </xf>
    <xf numFmtId="43" fontId="173" fillId="0" borderId="0" xfId="4" applyFont="1" applyAlignment="1">
      <alignment horizontal="centerContinuous"/>
    </xf>
    <xf numFmtId="43" fontId="174" fillId="0" borderId="0" xfId="4" applyFont="1"/>
    <xf numFmtId="2" fontId="174" fillId="0" borderId="0" xfId="0" quotePrefix="1" applyNumberFormat="1" applyFont="1"/>
    <xf numFmtId="0" fontId="174" fillId="0" borderId="0" xfId="807" quotePrefix="1" applyFont="1"/>
    <xf numFmtId="2" fontId="174" fillId="0" borderId="0" xfId="0" applyNumberFormat="1" applyFont="1"/>
    <xf numFmtId="43" fontId="174" fillId="0" borderId="40" xfId="4" applyFont="1" applyBorder="1"/>
    <xf numFmtId="43" fontId="174" fillId="0" borderId="53" xfId="4" applyFont="1" applyFill="1" applyBorder="1"/>
    <xf numFmtId="2" fontId="174" fillId="0" borderId="0" xfId="807" quotePrefix="1" applyNumberFormat="1" applyFont="1"/>
    <xf numFmtId="43" fontId="174" fillId="0" borderId="53" xfId="4" applyFont="1" applyBorder="1"/>
    <xf numFmtId="43" fontId="174" fillId="0" borderId="0" xfId="4" applyFont="1" applyFill="1" applyBorder="1"/>
    <xf numFmtId="0" fontId="173" fillId="0" borderId="0" xfId="807" applyFont="1" applyAlignment="1">
      <alignment vertical="top" wrapText="1"/>
    </xf>
    <xf numFmtId="0" fontId="176" fillId="0" borderId="0" xfId="1764" applyFont="1" applyAlignment="1">
      <alignment horizontal="centerContinuous"/>
    </xf>
    <xf numFmtId="0" fontId="175" fillId="0" borderId="0" xfId="1764" applyFont="1" applyAlignment="1">
      <alignment horizontal="center"/>
    </xf>
    <xf numFmtId="0" fontId="175" fillId="0" borderId="0" xfId="1764" applyFont="1"/>
    <xf numFmtId="0" fontId="175" fillId="0" borderId="40" xfId="1764" applyFont="1" applyBorder="1"/>
    <xf numFmtId="0" fontId="175" fillId="0" borderId="40" xfId="1764" applyFont="1" applyBorder="1" applyAlignment="1">
      <alignment horizontal="center" wrapText="1"/>
    </xf>
    <xf numFmtId="0" fontId="175" fillId="0" borderId="0" xfId="1764" applyFont="1" applyAlignment="1">
      <alignment horizontal="center" wrapText="1"/>
    </xf>
    <xf numFmtId="1" fontId="175" fillId="0" borderId="0" xfId="1764" applyNumberFormat="1" applyFont="1" applyAlignment="1">
      <alignment horizontal="left"/>
    </xf>
    <xf numFmtId="1" fontId="175" fillId="0" borderId="0" xfId="1764" applyNumberFormat="1" applyFont="1" applyAlignment="1">
      <alignment horizontal="center"/>
    </xf>
    <xf numFmtId="10" fontId="175" fillId="0" borderId="0" xfId="1765" applyNumberFormat="1" applyFont="1" applyBorder="1" applyAlignment="1">
      <alignment horizontal="center"/>
    </xf>
    <xf numFmtId="10" fontId="175" fillId="0" borderId="0" xfId="1764" applyNumberFormat="1" applyFont="1" applyAlignment="1">
      <alignment horizontal="center"/>
    </xf>
    <xf numFmtId="0" fontId="175" fillId="0" borderId="0" xfId="1764" applyFont="1" applyAlignment="1">
      <alignment horizontal="right"/>
    </xf>
    <xf numFmtId="10" fontId="175" fillId="0" borderId="2" xfId="1764" applyNumberFormat="1" applyFont="1" applyBorder="1" applyAlignment="1">
      <alignment horizontal="center"/>
    </xf>
    <xf numFmtId="0" fontId="178" fillId="0" borderId="0" xfId="0" applyFont="1" applyAlignment="1">
      <alignment horizontal="center"/>
    </xf>
    <xf numFmtId="0" fontId="178" fillId="0" borderId="0" xfId="0" applyFont="1"/>
    <xf numFmtId="0" fontId="178" fillId="0" borderId="0" xfId="0" applyFont="1" applyAlignment="1">
      <alignment horizontal="right"/>
    </xf>
    <xf numFmtId="0" fontId="178" fillId="0" borderId="40" xfId="0" applyFont="1" applyBorder="1" applyAlignment="1">
      <alignment wrapText="1"/>
    </xf>
    <xf numFmtId="0" fontId="178" fillId="0" borderId="40" xfId="0" applyFont="1" applyBorder="1" applyAlignment="1">
      <alignment horizontal="center" wrapText="1"/>
    </xf>
    <xf numFmtId="2" fontId="178" fillId="0" borderId="0" xfId="0" applyNumberFormat="1" applyFont="1"/>
    <xf numFmtId="10" fontId="178" fillId="0" borderId="0" xfId="0" applyNumberFormat="1" applyFont="1"/>
    <xf numFmtId="43" fontId="178" fillId="0" borderId="0" xfId="4" applyFont="1" applyFill="1"/>
    <xf numFmtId="43" fontId="178" fillId="0" borderId="0" xfId="4" applyFont="1"/>
    <xf numFmtId="179" fontId="178" fillId="0" borderId="0" xfId="4" applyNumberFormat="1" applyFont="1"/>
    <xf numFmtId="43" fontId="178" fillId="0" borderId="40" xfId="4" applyFont="1" applyFill="1" applyBorder="1"/>
    <xf numFmtId="179" fontId="178" fillId="0" borderId="40" xfId="4" applyNumberFormat="1" applyFont="1" applyBorder="1"/>
    <xf numFmtId="43" fontId="178" fillId="0" borderId="2" xfId="4" applyFont="1" applyBorder="1"/>
    <xf numFmtId="179" fontId="178" fillId="0" borderId="2" xfId="4" applyNumberFormat="1" applyFont="1" applyBorder="1"/>
    <xf numFmtId="168" fontId="178" fillId="0" borderId="0" xfId="0" applyNumberFormat="1" applyFont="1"/>
    <xf numFmtId="0" fontId="179" fillId="0" borderId="0" xfId="752" applyFont="1"/>
    <xf numFmtId="0" fontId="177" fillId="0" borderId="0" xfId="0" applyFont="1" applyAlignment="1">
      <alignment horizontal="centerContinuous"/>
    </xf>
    <xf numFmtId="0" fontId="178" fillId="0" borderId="0" xfId="0" applyFont="1" applyAlignment="1">
      <alignment horizontal="centerContinuous"/>
    </xf>
    <xf numFmtId="0" fontId="178" fillId="0" borderId="3" xfId="0" applyFont="1" applyBorder="1"/>
    <xf numFmtId="0" fontId="178" fillId="0" borderId="0" xfId="0" applyFont="1" applyAlignment="1">
      <alignment wrapText="1"/>
    </xf>
    <xf numFmtId="43" fontId="178" fillId="0" borderId="0" xfId="4" applyFont="1" applyFill="1" applyAlignment="1">
      <alignment horizontal="right"/>
    </xf>
    <xf numFmtId="0" fontId="178" fillId="0" borderId="0" xfId="0" quotePrefix="1" applyFont="1" applyAlignment="1">
      <alignment horizontal="center"/>
    </xf>
    <xf numFmtId="43" fontId="178" fillId="0" borderId="0" xfId="0" applyNumberFormat="1" applyFont="1" applyAlignment="1">
      <alignment horizontal="right"/>
    </xf>
    <xf numFmtId="43" fontId="178" fillId="0" borderId="64" xfId="0" applyNumberFormat="1" applyFont="1" applyBorder="1" applyAlignment="1">
      <alignment horizontal="right"/>
    </xf>
    <xf numFmtId="43" fontId="178" fillId="0" borderId="2" xfId="4" applyFont="1" applyFill="1" applyBorder="1" applyAlignment="1">
      <alignment horizontal="right"/>
    </xf>
    <xf numFmtId="0" fontId="178" fillId="0" borderId="0" xfId="0" applyFont="1" applyAlignment="1">
      <alignment horizontal="center" wrapText="1"/>
    </xf>
    <xf numFmtId="4" fontId="178" fillId="0" borderId="0" xfId="0" applyNumberFormat="1" applyFont="1"/>
    <xf numFmtId="43" fontId="178" fillId="0" borderId="0" xfId="4" applyFont="1" applyBorder="1"/>
    <xf numFmtId="43" fontId="178" fillId="0" borderId="0" xfId="4" applyFont="1" applyFill="1" applyBorder="1"/>
    <xf numFmtId="4" fontId="178" fillId="0" borderId="42" xfId="0" applyNumberFormat="1" applyFont="1" applyBorder="1"/>
    <xf numFmtId="43" fontId="178" fillId="0" borderId="42" xfId="4" applyFont="1" applyBorder="1"/>
    <xf numFmtId="43" fontId="178" fillId="0" borderId="2" xfId="0" applyNumberFormat="1" applyFont="1" applyBorder="1"/>
    <xf numFmtId="43" fontId="178" fillId="0" borderId="0" xfId="0" applyNumberFormat="1" applyFont="1"/>
    <xf numFmtId="0" fontId="178" fillId="0" borderId="0" xfId="0" quotePrefix="1" applyFont="1" applyAlignment="1">
      <alignment horizontal="right" vertical="top"/>
    </xf>
    <xf numFmtId="0" fontId="178" fillId="0" borderId="0" xfId="0" quotePrefix="1" applyFont="1" applyAlignment="1">
      <alignment horizontal="right"/>
    </xf>
    <xf numFmtId="43" fontId="126" fillId="0" borderId="13" xfId="4" applyFont="1" applyFill="1" applyBorder="1" applyAlignment="1">
      <alignment horizontal="left"/>
    </xf>
    <xf numFmtId="0" fontId="127" fillId="0" borderId="31" xfId="762" applyFont="1" applyBorder="1" applyAlignment="1">
      <alignment horizontal="centerContinuous"/>
    </xf>
    <xf numFmtId="0" fontId="127" fillId="0" borderId="33" xfId="762" applyFont="1" applyBorder="1" applyAlignment="1">
      <alignment horizontal="centerContinuous"/>
    </xf>
    <xf numFmtId="0" fontId="127" fillId="0" borderId="32" xfId="762" applyFont="1" applyBorder="1" applyAlignment="1">
      <alignment horizontal="centerContinuous"/>
    </xf>
    <xf numFmtId="0" fontId="127" fillId="0" borderId="42" xfId="762" applyFont="1" applyBorder="1" applyAlignment="1">
      <alignment horizontal="centerContinuous"/>
    </xf>
    <xf numFmtId="0" fontId="127" fillId="0" borderId="40" xfId="762" applyFont="1" applyBorder="1" applyAlignment="1">
      <alignment horizontal="center" wrapText="1"/>
    </xf>
    <xf numFmtId="0" fontId="132" fillId="0" borderId="31" xfId="762" applyFont="1" applyBorder="1"/>
    <xf numFmtId="0" fontId="132" fillId="0" borderId="33" xfId="762" applyFont="1" applyBorder="1"/>
    <xf numFmtId="0" fontId="132" fillId="0" borderId="32" xfId="762" applyFont="1" applyBorder="1"/>
    <xf numFmtId="0" fontId="127" fillId="0" borderId="31" xfId="762" applyFont="1" applyBorder="1"/>
    <xf numFmtId="0" fontId="127" fillId="0" borderId="54" xfId="762" applyFont="1" applyBorder="1"/>
    <xf numFmtId="0" fontId="127" fillId="0" borderId="31" xfId="762" applyFont="1" applyBorder="1" applyAlignment="1">
      <alignment horizontal="center"/>
    </xf>
    <xf numFmtId="0" fontId="127" fillId="0" borderId="33" xfId="762" applyFont="1" applyBorder="1" applyAlignment="1">
      <alignment horizontal="center"/>
    </xf>
    <xf numFmtId="0" fontId="127" fillId="0" borderId="38" xfId="762" applyFont="1" applyBorder="1" applyAlignment="1">
      <alignment horizontal="center"/>
    </xf>
    <xf numFmtId="0" fontId="127" fillId="0" borderId="32" xfId="762" applyFont="1" applyBorder="1" applyAlignment="1">
      <alignment horizontal="center"/>
    </xf>
    <xf numFmtId="0" fontId="127" fillId="0" borderId="35" xfId="762" applyFont="1" applyBorder="1" applyAlignment="1">
      <alignment vertical="center" wrapText="1"/>
    </xf>
    <xf numFmtId="0" fontId="135" fillId="0" borderId="26" xfId="762" applyFont="1" applyBorder="1" applyAlignment="1">
      <alignment horizontal="center"/>
    </xf>
    <xf numFmtId="0" fontId="135" fillId="0" borderId="0" xfId="762" applyFont="1" applyAlignment="1">
      <alignment horizontal="center"/>
    </xf>
    <xf numFmtId="0" fontId="132" fillId="0" borderId="0" xfId="762" applyFont="1"/>
    <xf numFmtId="0" fontId="135" fillId="0" borderId="27" xfId="762" applyFont="1" applyBorder="1" applyAlignment="1">
      <alignment horizontal="center"/>
    </xf>
    <xf numFmtId="0" fontId="126" fillId="0" borderId="42" xfId="762" applyFont="1" applyBorder="1"/>
    <xf numFmtId="10" fontId="125" fillId="0" borderId="31" xfId="763" applyNumberFormat="1" applyFont="1" applyFill="1" applyBorder="1" applyAlignment="1">
      <alignment horizontal="center"/>
    </xf>
    <xf numFmtId="10" fontId="125" fillId="0" borderId="42" xfId="763" applyNumberFormat="1" applyFont="1" applyFill="1" applyBorder="1" applyAlignment="1">
      <alignment horizontal="center"/>
    </xf>
    <xf numFmtId="43" fontId="126" fillId="0" borderId="31" xfId="4" applyFont="1" applyFill="1" applyBorder="1" applyAlignment="1">
      <alignment horizontal="right"/>
    </xf>
    <xf numFmtId="43" fontId="126" fillId="0" borderId="41" xfId="4" applyFont="1" applyFill="1" applyBorder="1" applyAlignment="1">
      <alignment horizontal="right"/>
    </xf>
    <xf numFmtId="43" fontId="126" fillId="0" borderId="42" xfId="4" applyFont="1" applyFill="1" applyBorder="1" applyAlignment="1">
      <alignment horizontal="right"/>
    </xf>
    <xf numFmtId="43" fontId="126" fillId="0" borderId="0" xfId="4" applyFont="1" applyFill="1" applyBorder="1" applyAlignment="1"/>
    <xf numFmtId="179" fontId="126" fillId="0" borderId="42" xfId="4" applyNumberFormat="1" applyFont="1" applyFill="1" applyBorder="1" applyAlignment="1">
      <alignment horizontal="right"/>
    </xf>
    <xf numFmtId="179" fontId="126" fillId="0" borderId="32" xfId="4" applyNumberFormat="1" applyFont="1" applyFill="1" applyBorder="1" applyAlignment="1">
      <alignment horizontal="right"/>
    </xf>
    <xf numFmtId="0" fontId="126" fillId="0" borderId="42" xfId="762" applyFont="1" applyBorder="1" applyAlignment="1">
      <alignment horizontal="center"/>
    </xf>
    <xf numFmtId="0" fontId="126" fillId="0" borderId="32" xfId="762" applyFont="1" applyBorder="1" applyAlignment="1">
      <alignment horizontal="center"/>
    </xf>
    <xf numFmtId="0" fontId="132" fillId="0" borderId="26" xfId="762" applyFont="1" applyBorder="1"/>
    <xf numFmtId="0" fontId="132" fillId="0" borderId="0" xfId="0" applyFont="1"/>
    <xf numFmtId="10" fontId="125" fillId="0" borderId="26" xfId="763" applyNumberFormat="1" applyFont="1" applyFill="1" applyBorder="1" applyAlignment="1">
      <alignment horizontal="center"/>
    </xf>
    <xf numFmtId="10" fontId="125" fillId="0" borderId="0" xfId="763" applyNumberFormat="1" applyFont="1" applyFill="1" applyBorder="1" applyAlignment="1">
      <alignment horizontal="center"/>
    </xf>
    <xf numFmtId="43" fontId="126" fillId="0" borderId="26" xfId="4" applyFont="1" applyFill="1" applyBorder="1" applyAlignment="1">
      <alignment horizontal="right"/>
    </xf>
    <xf numFmtId="43" fontId="126" fillId="0" borderId="30" xfId="4" applyFont="1" applyFill="1" applyBorder="1" applyAlignment="1">
      <alignment horizontal="right"/>
    </xf>
    <xf numFmtId="43" fontId="126" fillId="0" borderId="0" xfId="4" applyFont="1" applyFill="1" applyBorder="1" applyAlignment="1">
      <alignment horizontal="right"/>
    </xf>
    <xf numFmtId="179" fontId="126" fillId="0" borderId="0" xfId="4" applyNumberFormat="1" applyFont="1" applyFill="1" applyBorder="1" applyAlignment="1">
      <alignment horizontal="right"/>
    </xf>
    <xf numFmtId="179" fontId="126" fillId="0" borderId="27" xfId="4" applyNumberFormat="1" applyFont="1" applyFill="1" applyBorder="1" applyAlignment="1">
      <alignment horizontal="right"/>
    </xf>
    <xf numFmtId="0" fontId="126" fillId="0" borderId="0" xfId="762" applyFont="1" applyAlignment="1">
      <alignment horizontal="center"/>
    </xf>
    <xf numFmtId="0" fontId="126" fillId="0" borderId="27" xfId="762" applyFont="1" applyBorder="1" applyAlignment="1">
      <alignment horizontal="center"/>
    </xf>
    <xf numFmtId="0" fontId="132" fillId="0" borderId="27" xfId="762" applyFont="1" applyBorder="1"/>
    <xf numFmtId="0" fontId="160" fillId="0" borderId="0" xfId="0" applyFont="1"/>
    <xf numFmtId="10" fontId="125" fillId="0" borderId="28" xfId="763" applyNumberFormat="1" applyFont="1" applyFill="1" applyBorder="1" applyAlignment="1">
      <alignment horizontal="center"/>
    </xf>
    <xf numFmtId="10" fontId="125" fillId="0" borderId="40" xfId="763" applyNumberFormat="1" applyFont="1" applyFill="1" applyBorder="1" applyAlignment="1">
      <alignment horizontal="center"/>
    </xf>
    <xf numFmtId="43" fontId="126" fillId="0" borderId="28" xfId="4" applyFont="1" applyFill="1" applyBorder="1" applyAlignment="1">
      <alignment horizontal="right"/>
    </xf>
    <xf numFmtId="43" fontId="126" fillId="0" borderId="35" xfId="4" applyFont="1" applyFill="1" applyBorder="1" applyAlignment="1">
      <alignment horizontal="right"/>
    </xf>
    <xf numFmtId="43" fontId="126" fillId="0" borderId="40" xfId="4" applyFont="1" applyFill="1" applyBorder="1" applyAlignment="1">
      <alignment horizontal="right"/>
    </xf>
    <xf numFmtId="43" fontId="126" fillId="0" borderId="40" xfId="4" applyFont="1" applyFill="1" applyBorder="1" applyAlignment="1"/>
    <xf numFmtId="179" fontId="126" fillId="0" borderId="40" xfId="4" applyNumberFormat="1" applyFont="1" applyFill="1" applyBorder="1" applyAlignment="1">
      <alignment horizontal="right"/>
    </xf>
    <xf numFmtId="179" fontId="126" fillId="0" borderId="29" xfId="4" applyNumberFormat="1" applyFont="1" applyFill="1" applyBorder="1" applyAlignment="1">
      <alignment horizontal="right"/>
    </xf>
    <xf numFmtId="0" fontId="126" fillId="0" borderId="40" xfId="762" applyFont="1" applyBorder="1" applyAlignment="1">
      <alignment horizontal="center"/>
    </xf>
    <xf numFmtId="0" fontId="126" fillId="0" borderId="29" xfId="762" applyFont="1" applyBorder="1" applyAlignment="1">
      <alignment horizontal="center"/>
    </xf>
    <xf numFmtId="0" fontId="132" fillId="0" borderId="0" xfId="211" applyFont="1"/>
    <xf numFmtId="43" fontId="126" fillId="0" borderId="0" xfId="762" applyNumberFormat="1" applyFont="1" applyAlignment="1">
      <alignment horizontal="center"/>
    </xf>
    <xf numFmtId="0" fontId="132" fillId="0" borderId="28" xfId="762" applyFont="1" applyBorder="1"/>
    <xf numFmtId="0" fontId="132" fillId="0" borderId="40" xfId="762" applyFont="1" applyBorder="1"/>
    <xf numFmtId="174" fontId="126" fillId="0" borderId="0" xfId="762" applyNumberFormat="1" applyFont="1"/>
    <xf numFmtId="0" fontId="127" fillId="0" borderId="34" xfId="762" applyFont="1" applyBorder="1" applyAlignment="1">
      <alignment horizontal="right" vertical="center" wrapText="1"/>
    </xf>
    <xf numFmtId="0" fontId="127" fillId="0" borderId="63" xfId="762" applyFont="1" applyBorder="1"/>
    <xf numFmtId="174" fontId="127" fillId="0" borderId="38" xfId="762" applyNumberFormat="1" applyFont="1" applyBorder="1"/>
    <xf numFmtId="0" fontId="127" fillId="0" borderId="63" xfId="762" applyFont="1" applyBorder="1" applyAlignment="1">
      <alignment horizontal="center"/>
    </xf>
    <xf numFmtId="0" fontId="127" fillId="0" borderId="66" xfId="762" applyFont="1" applyBorder="1" applyAlignment="1">
      <alignment horizontal="center"/>
    </xf>
    <xf numFmtId="0" fontId="127" fillId="0" borderId="54" xfId="762" applyFont="1" applyBorder="1" applyAlignment="1">
      <alignment horizontal="right" vertical="center" wrapText="1"/>
    </xf>
    <xf numFmtId="0" fontId="126" fillId="0" borderId="31" xfId="762" applyFont="1" applyBorder="1"/>
    <xf numFmtId="0" fontId="108" fillId="0" borderId="42" xfId="0" applyFont="1" applyBorder="1"/>
    <xf numFmtId="43" fontId="126" fillId="0" borderId="31" xfId="4" applyFont="1" applyFill="1" applyBorder="1" applyAlignment="1">
      <alignment horizontal="center"/>
    </xf>
    <xf numFmtId="169" fontId="126" fillId="0" borderId="41" xfId="4" applyNumberFormat="1" applyFont="1" applyFill="1" applyBorder="1" applyAlignment="1">
      <alignment horizontal="center"/>
    </xf>
    <xf numFmtId="43" fontId="126" fillId="0" borderId="32" xfId="4" applyFont="1" applyFill="1" applyBorder="1" applyAlignment="1">
      <alignment horizontal="center"/>
    </xf>
    <xf numFmtId="179" fontId="126" fillId="0" borderId="42" xfId="4" applyNumberFormat="1" applyFont="1" applyFill="1" applyBorder="1" applyAlignment="1">
      <alignment horizontal="center"/>
    </xf>
    <xf numFmtId="179" fontId="126" fillId="0" borderId="32" xfId="4" applyNumberFormat="1" applyFont="1" applyFill="1" applyBorder="1" applyAlignment="1">
      <alignment horizontal="center"/>
    </xf>
    <xf numFmtId="43" fontId="0" fillId="0" borderId="0" xfId="4" applyFont="1" applyFill="1"/>
    <xf numFmtId="0" fontId="126" fillId="0" borderId="26" xfId="762" applyFont="1" applyBorder="1"/>
    <xf numFmtId="43" fontId="126" fillId="0" borderId="26" xfId="4" applyFont="1" applyFill="1" applyBorder="1" applyAlignment="1">
      <alignment horizontal="center"/>
    </xf>
    <xf numFmtId="169" fontId="126" fillId="0" borderId="30" xfId="4" applyNumberFormat="1" applyFont="1" applyFill="1" applyBorder="1" applyAlignment="1">
      <alignment horizontal="center"/>
    </xf>
    <xf numFmtId="169" fontId="126" fillId="0" borderId="27" xfId="4" applyNumberFormat="1" applyFont="1" applyFill="1" applyBorder="1" applyAlignment="1">
      <alignment horizontal="center"/>
    </xf>
    <xf numFmtId="179" fontId="126" fillId="0" borderId="0" xfId="4" applyNumberFormat="1" applyFont="1" applyFill="1" applyBorder="1" applyAlignment="1">
      <alignment horizontal="center"/>
    </xf>
    <xf numFmtId="179" fontId="126" fillId="0" borderId="27" xfId="4" applyNumberFormat="1" applyFont="1" applyFill="1" applyBorder="1" applyAlignment="1">
      <alignment horizontal="center"/>
    </xf>
    <xf numFmtId="0" fontId="126" fillId="0" borderId="28" xfId="762" applyFont="1" applyBorder="1"/>
    <xf numFmtId="0" fontId="108" fillId="0" borderId="29" xfId="0" applyFont="1" applyBorder="1"/>
    <xf numFmtId="10" fontId="125" fillId="0" borderId="35" xfId="763" applyNumberFormat="1" applyFont="1" applyFill="1" applyBorder="1" applyAlignment="1">
      <alignment horizontal="center"/>
    </xf>
    <xf numFmtId="43" fontId="126" fillId="0" borderId="28" xfId="4" applyFont="1" applyFill="1" applyBorder="1" applyAlignment="1">
      <alignment horizontal="center"/>
    </xf>
    <xf numFmtId="169" fontId="126" fillId="0" borderId="35" xfId="4" applyNumberFormat="1" applyFont="1" applyFill="1" applyBorder="1" applyAlignment="1">
      <alignment horizontal="center"/>
    </xf>
    <xf numFmtId="43" fontId="126" fillId="0" borderId="29" xfId="4" applyFont="1" applyFill="1" applyBorder="1" applyAlignment="1">
      <alignment horizontal="center"/>
    </xf>
    <xf numFmtId="179" fontId="126" fillId="0" borderId="40" xfId="4" applyNumberFormat="1" applyFont="1" applyFill="1" applyBorder="1" applyAlignment="1">
      <alignment horizontal="center"/>
    </xf>
    <xf numFmtId="179" fontId="126" fillId="0" borderId="29" xfId="4" applyNumberFormat="1" applyFont="1" applyFill="1" applyBorder="1" applyAlignment="1">
      <alignment horizontal="center"/>
    </xf>
    <xf numFmtId="0" fontId="126" fillId="0" borderId="0" xfId="762" applyFont="1" applyAlignment="1">
      <alignment horizontal="right"/>
    </xf>
    <xf numFmtId="43" fontId="126" fillId="0" borderId="0" xfId="762" applyNumberFormat="1" applyFont="1" applyAlignment="1">
      <alignment horizontal="right"/>
    </xf>
    <xf numFmtId="14" fontId="100" fillId="0" borderId="0" xfId="211" applyNumberFormat="1" applyFont="1"/>
    <xf numFmtId="0" fontId="100" fillId="0" borderId="0" xfId="111" applyFont="1" applyAlignment="1">
      <alignment horizontal="center"/>
    </xf>
    <xf numFmtId="0" fontId="100" fillId="0" borderId="0" xfId="111" applyFont="1"/>
    <xf numFmtId="14" fontId="100" fillId="0" borderId="0" xfId="211" applyNumberFormat="1" applyFont="1" applyAlignment="1">
      <alignment horizontal="right"/>
    </xf>
    <xf numFmtId="172" fontId="100" fillId="0" borderId="52" xfId="211" applyNumberFormat="1" applyFont="1" applyBorder="1" applyAlignment="1">
      <alignment horizontal="left"/>
    </xf>
    <xf numFmtId="9" fontId="100" fillId="0" borderId="12" xfId="211" applyNumberFormat="1" applyFont="1" applyBorder="1" applyAlignment="1">
      <alignment horizontal="center"/>
    </xf>
    <xf numFmtId="10" fontId="100" fillId="0" borderId="12" xfId="376" applyNumberFormat="1" applyFont="1" applyFill="1" applyBorder="1" applyAlignment="1">
      <alignment horizontal="right"/>
    </xf>
    <xf numFmtId="10" fontId="100" fillId="0" borderId="0" xfId="111" applyNumberFormat="1" applyFont="1"/>
    <xf numFmtId="10" fontId="100" fillId="0" borderId="0" xfId="111" applyNumberFormat="1" applyFont="1" applyAlignment="1">
      <alignment horizontal="right"/>
    </xf>
    <xf numFmtId="14" fontId="101" fillId="0" borderId="0" xfId="111" applyNumberFormat="1" applyFont="1"/>
    <xf numFmtId="9" fontId="100" fillId="0" borderId="52" xfId="211" applyNumberFormat="1" applyFont="1" applyBorder="1" applyAlignment="1">
      <alignment horizontal="center"/>
    </xf>
    <xf numFmtId="10" fontId="100" fillId="0" borderId="52" xfId="376" applyNumberFormat="1" applyFont="1" applyFill="1" applyBorder="1" applyAlignment="1">
      <alignment horizontal="right"/>
    </xf>
    <xf numFmtId="9" fontId="100" fillId="0" borderId="52" xfId="376" applyFont="1" applyFill="1" applyBorder="1" applyAlignment="1">
      <alignment horizontal="center"/>
    </xf>
    <xf numFmtId="172" fontId="100" fillId="0" borderId="17" xfId="211" applyNumberFormat="1" applyFont="1" applyBorder="1" applyAlignment="1">
      <alignment horizontal="left"/>
    </xf>
    <xf numFmtId="9" fontId="100" fillId="0" borderId="17" xfId="211" applyNumberFormat="1" applyFont="1" applyBorder="1" applyAlignment="1">
      <alignment horizontal="center"/>
    </xf>
    <xf numFmtId="10" fontId="100" fillId="0" borderId="17" xfId="376" applyNumberFormat="1" applyFont="1" applyFill="1" applyBorder="1" applyAlignment="1">
      <alignment horizontal="right"/>
    </xf>
    <xf numFmtId="171" fontId="100" fillId="0" borderId="0" xfId="111" applyNumberFormat="1" applyFont="1" applyAlignment="1">
      <alignment horizontal="left"/>
    </xf>
    <xf numFmtId="49" fontId="100" fillId="0" borderId="0" xfId="111" quotePrefix="1" applyNumberFormat="1" applyFont="1"/>
    <xf numFmtId="49" fontId="100" fillId="0" borderId="0" xfId="111" applyNumberFormat="1" applyFont="1"/>
    <xf numFmtId="10" fontId="100" fillId="0" borderId="0" xfId="111" applyNumberFormat="1" applyFont="1" applyAlignment="1">
      <alignment horizontal="center"/>
    </xf>
    <xf numFmtId="0" fontId="100" fillId="0" borderId="1" xfId="211" applyFont="1" applyBorder="1"/>
    <xf numFmtId="0" fontId="100" fillId="0" borderId="52" xfId="211" quotePrefix="1" applyFont="1" applyBorder="1"/>
    <xf numFmtId="43" fontId="100" fillId="0" borderId="12" xfId="12" applyFont="1" applyFill="1" applyBorder="1"/>
    <xf numFmtId="43" fontId="101" fillId="0" borderId="12" xfId="4" applyFont="1" applyFill="1" applyBorder="1"/>
    <xf numFmtId="43" fontId="100" fillId="0" borderId="12" xfId="4" applyFont="1" applyFill="1" applyBorder="1"/>
    <xf numFmtId="43" fontId="100" fillId="0" borderId="52" xfId="12" applyFont="1" applyFill="1" applyBorder="1"/>
    <xf numFmtId="43" fontId="101" fillId="0" borderId="52" xfId="4" applyFont="1" applyFill="1" applyBorder="1"/>
    <xf numFmtId="43" fontId="100" fillId="0" borderId="52" xfId="4" applyFont="1" applyFill="1" applyBorder="1"/>
    <xf numFmtId="0" fontId="100" fillId="0" borderId="56" xfId="211" quotePrefix="1" applyFont="1" applyBorder="1"/>
    <xf numFmtId="43" fontId="100" fillId="0" borderId="56" xfId="12" applyFont="1" applyFill="1" applyBorder="1"/>
    <xf numFmtId="0" fontId="100" fillId="0" borderId="40" xfId="211" applyFont="1" applyBorder="1" applyAlignment="1">
      <alignment horizontal="center"/>
    </xf>
    <xf numFmtId="43" fontId="100" fillId="0" borderId="56" xfId="4" applyFont="1" applyFill="1" applyBorder="1"/>
    <xf numFmtId="0" fontId="100" fillId="0" borderId="0" xfId="211" applyFont="1" applyAlignment="1">
      <alignment horizontal="left"/>
    </xf>
    <xf numFmtId="43" fontId="100" fillId="0" borderId="3" xfId="211" applyNumberFormat="1" applyFont="1" applyBorder="1"/>
    <xf numFmtId="43" fontId="100" fillId="0" borderId="2" xfId="211" applyNumberFormat="1" applyFont="1" applyBorder="1"/>
    <xf numFmtId="0" fontId="102" fillId="0" borderId="0" xfId="211" applyFont="1"/>
    <xf numFmtId="0" fontId="100" fillId="0" borderId="57" xfId="211" applyFont="1" applyBorder="1"/>
    <xf numFmtId="2" fontId="100" fillId="0" borderId="58" xfId="211" applyNumberFormat="1" applyFont="1" applyBorder="1"/>
    <xf numFmtId="0" fontId="101" fillId="0" borderId="57" xfId="762" applyFont="1" applyBorder="1"/>
    <xf numFmtId="2" fontId="100" fillId="0" borderId="60" xfId="211" applyNumberFormat="1" applyFont="1" applyBorder="1"/>
    <xf numFmtId="0" fontId="101" fillId="0" borderId="59" xfId="762" applyFont="1" applyBorder="1"/>
    <xf numFmtId="0" fontId="100" fillId="0" borderId="60" xfId="211" applyFont="1" applyBorder="1"/>
    <xf numFmtId="0" fontId="100" fillId="0" borderId="59" xfId="211" applyFont="1" applyBorder="1"/>
    <xf numFmtId="0" fontId="100" fillId="0" borderId="62" xfId="211" applyFont="1" applyBorder="1"/>
    <xf numFmtId="2" fontId="100" fillId="0" borderId="0" xfId="211" applyNumberFormat="1" applyFont="1" applyAlignment="1">
      <alignment wrapText="1"/>
    </xf>
    <xf numFmtId="0" fontId="100" fillId="0" borderId="60" xfId="211" applyFont="1" applyBorder="1" applyAlignment="1">
      <alignment horizontal="right"/>
    </xf>
    <xf numFmtId="0" fontId="100" fillId="0" borderId="61" xfId="211" applyFont="1" applyBorder="1"/>
    <xf numFmtId="43" fontId="126" fillId="42" borderId="13" xfId="4" applyFont="1" applyFill="1" applyBorder="1" applyAlignment="1">
      <alignment horizontal="left"/>
    </xf>
    <xf numFmtId="201" fontId="125" fillId="0" borderId="36" xfId="376" applyNumberFormat="1" applyFont="1" applyFill="1" applyBorder="1"/>
    <xf numFmtId="201" fontId="125" fillId="0" borderId="12" xfId="376" applyNumberFormat="1" applyFont="1" applyFill="1" applyBorder="1"/>
    <xf numFmtId="201" fontId="125" fillId="0" borderId="36" xfId="751" applyNumberFormat="1" applyFont="1" applyFill="1" applyBorder="1"/>
    <xf numFmtId="201" fontId="125" fillId="0" borderId="37" xfId="376" applyNumberFormat="1" applyFont="1" applyFill="1" applyBorder="1"/>
    <xf numFmtId="10" fontId="174" fillId="0" borderId="0" xfId="154" quotePrefix="1" applyNumberFormat="1" applyFont="1"/>
    <xf numFmtId="0" fontId="180" fillId="0" borderId="0" xfId="1770"/>
    <xf numFmtId="0" fontId="0" fillId="0" borderId="0" xfId="1771" applyFont="1" applyAlignment="1" applyProtection="1">
      <alignment horizontal="center" wrapText="1"/>
    </xf>
    <xf numFmtId="17" fontId="0" fillId="0" borderId="0" xfId="1771" applyNumberFormat="1" applyFont="1" applyAlignment="1" applyProtection="1">
      <alignment horizontal="center" wrapText="1"/>
    </xf>
    <xf numFmtId="168" fontId="0" fillId="0" borderId="0" xfId="1771" applyNumberFormat="1" applyFont="1" applyProtection="1"/>
    <xf numFmtId="0" fontId="0" fillId="0" borderId="0" xfId="1771" applyFont="1" applyProtection="1"/>
    <xf numFmtId="17" fontId="0" fillId="0" borderId="0" xfId="1771" applyNumberFormat="1" applyFont="1" applyProtection="1"/>
    <xf numFmtId="203" fontId="0" fillId="0" borderId="0" xfId="1772" applyNumberFormat="1" applyFont="1"/>
    <xf numFmtId="203" fontId="180" fillId="0" borderId="0" xfId="1772" applyNumberFormat="1"/>
    <xf numFmtId="202" fontId="180" fillId="0" borderId="0" xfId="1772"/>
    <xf numFmtId="168" fontId="180" fillId="0" borderId="0" xfId="1770" applyNumberFormat="1"/>
    <xf numFmtId="168" fontId="0" fillId="0" borderId="0" xfId="1772" applyNumberFormat="1" applyFont="1"/>
    <xf numFmtId="0" fontId="181" fillId="0" borderId="0" xfId="1771" applyProtection="1"/>
    <xf numFmtId="0" fontId="174" fillId="0" borderId="0" xfId="154" applyFont="1" applyAlignment="1">
      <alignment horizontal="left" vertical="top" wrapText="1"/>
    </xf>
    <xf numFmtId="0" fontId="100" fillId="0" borderId="0" xfId="154" applyFont="1" applyAlignment="1">
      <alignment horizontal="left" vertical="top" wrapText="1"/>
    </xf>
    <xf numFmtId="0" fontId="173" fillId="0" borderId="0" xfId="154" applyFont="1" applyAlignment="1">
      <alignment horizontal="center"/>
    </xf>
    <xf numFmtId="0" fontId="174" fillId="0" borderId="0" xfId="154" applyFont="1" applyAlignment="1">
      <alignment horizontal="center"/>
    </xf>
    <xf numFmtId="0" fontId="100" fillId="0" borderId="0" xfId="169" applyFont="1" applyAlignment="1">
      <alignment wrapText="1"/>
    </xf>
    <xf numFmtId="0" fontId="100" fillId="0" borderId="0" xfId="169" applyFont="1" applyAlignment="1">
      <alignment horizontal="left" vertical="top" wrapText="1"/>
    </xf>
    <xf numFmtId="0" fontId="99" fillId="0" borderId="0" xfId="169" applyFont="1" applyAlignment="1">
      <alignment horizontal="center"/>
    </xf>
    <xf numFmtId="0" fontId="101" fillId="0" borderId="0" xfId="1754" applyFont="1" applyAlignment="1">
      <alignment horizontal="center"/>
    </xf>
    <xf numFmtId="0" fontId="175" fillId="0" borderId="0" xfId="1737" applyFont="1" applyAlignment="1">
      <alignment horizontal="left" vertical="top" wrapText="1"/>
    </xf>
    <xf numFmtId="0" fontId="174" fillId="0" borderId="0" xfId="807" applyFont="1" applyAlignment="1">
      <alignment horizontal="left" vertical="top" wrapText="1"/>
    </xf>
    <xf numFmtId="0" fontId="100" fillId="0" borderId="0" xfId="807" applyFont="1" applyAlignment="1">
      <alignment horizontal="center"/>
    </xf>
    <xf numFmtId="0" fontId="100" fillId="0" borderId="0" xfId="807" applyFont="1"/>
    <xf numFmtId="0" fontId="173" fillId="0" borderId="0" xfId="807" applyFont="1" applyAlignment="1">
      <alignment horizontal="center" vertical="center"/>
    </xf>
    <xf numFmtId="0" fontId="174" fillId="0" borderId="0" xfId="807" applyFont="1" applyAlignment="1">
      <alignment vertical="center"/>
    </xf>
    <xf numFmtId="0" fontId="174" fillId="0" borderId="0" xfId="807" applyFont="1" applyAlignment="1">
      <alignment horizontal="center" vertical="center"/>
    </xf>
    <xf numFmtId="0" fontId="173" fillId="0" borderId="0" xfId="807" applyFont="1" applyAlignment="1">
      <alignment horizontal="center"/>
    </xf>
    <xf numFmtId="0" fontId="175" fillId="0" borderId="0" xfId="1764" applyFont="1" applyAlignment="1">
      <alignment horizontal="center"/>
    </xf>
    <xf numFmtId="0" fontId="176" fillId="0" borderId="0" xfId="1764" applyFont="1" applyAlignment="1">
      <alignment horizontal="center"/>
    </xf>
    <xf numFmtId="0" fontId="100" fillId="0" borderId="0" xfId="0" applyFont="1" applyAlignment="1">
      <alignment horizontal="left" vertical="top" wrapText="1"/>
    </xf>
    <xf numFmtId="0" fontId="100" fillId="0" borderId="0" xfId="0" quotePrefix="1" applyFont="1" applyAlignment="1">
      <alignment horizontal="center"/>
    </xf>
    <xf numFmtId="0" fontId="100" fillId="0" borderId="40" xfId="0" applyFont="1" applyBorder="1" applyAlignment="1">
      <alignment horizontal="center" wrapText="1"/>
    </xf>
    <xf numFmtId="0" fontId="99" fillId="0" borderId="0" xfId="0" applyFont="1" applyAlignment="1">
      <alignment horizontal="center" wrapText="1"/>
    </xf>
    <xf numFmtId="0" fontId="100" fillId="0" borderId="0" xfId="0" applyFont="1" applyAlignment="1">
      <alignment horizontal="center"/>
    </xf>
    <xf numFmtId="0" fontId="99" fillId="0" borderId="0" xfId="0" applyFont="1" applyAlignment="1">
      <alignment horizontal="center"/>
    </xf>
    <xf numFmtId="0" fontId="105" fillId="0" borderId="0" xfId="0" applyFont="1" applyAlignment="1">
      <alignment horizontal="center"/>
    </xf>
    <xf numFmtId="0" fontId="101" fillId="0" borderId="0" xfId="0" applyFont="1" applyAlignment="1">
      <alignment horizontal="center"/>
    </xf>
    <xf numFmtId="0" fontId="101" fillId="0" borderId="0" xfId="0" applyFont="1" applyAlignment="1">
      <alignment horizontal="left" vertical="top" wrapText="1"/>
    </xf>
    <xf numFmtId="0" fontId="101" fillId="0" borderId="0" xfId="0" applyFont="1" applyAlignment="1">
      <alignment wrapText="1"/>
    </xf>
    <xf numFmtId="0" fontId="100" fillId="0" borderId="64" xfId="169" applyFont="1" applyBorder="1" applyAlignment="1">
      <alignment horizontal="center" wrapText="1"/>
    </xf>
    <xf numFmtId="0" fontId="100" fillId="0" borderId="0" xfId="169" applyFont="1" applyAlignment="1">
      <alignment horizontal="center"/>
    </xf>
    <xf numFmtId="0" fontId="101" fillId="0" borderId="3" xfId="752" applyFont="1" applyBorder="1" applyAlignment="1">
      <alignment horizontal="center" wrapText="1"/>
    </xf>
    <xf numFmtId="0" fontId="100" fillId="0" borderId="3" xfId="169" applyFont="1" applyBorder="1" applyAlignment="1">
      <alignment horizontal="center"/>
    </xf>
    <xf numFmtId="0" fontId="117" fillId="0" borderId="0" xfId="0" applyFont="1" applyAlignment="1">
      <alignment horizontal="center"/>
    </xf>
    <xf numFmtId="0" fontId="100" fillId="0" borderId="40" xfId="169" applyFont="1" applyBorder="1" applyAlignment="1">
      <alignment horizontal="center" wrapText="1"/>
    </xf>
    <xf numFmtId="174" fontId="100" fillId="0" borderId="0" xfId="169" applyNumberFormat="1" applyFont="1" applyAlignment="1">
      <alignment horizontal="left" vertical="top" wrapText="1"/>
    </xf>
    <xf numFmtId="174" fontId="100" fillId="0" borderId="0" xfId="169" applyNumberFormat="1" applyFont="1" applyAlignment="1">
      <alignment vertical="top" wrapText="1"/>
    </xf>
    <xf numFmtId="0" fontId="100" fillId="0" borderId="3" xfId="169" applyFont="1" applyBorder="1" applyAlignment="1">
      <alignment horizontal="center" wrapText="1"/>
    </xf>
    <xf numFmtId="0" fontId="100" fillId="0" borderId="3" xfId="169" applyFont="1" applyBorder="1" applyAlignment="1">
      <alignment horizontal="left" wrapText="1"/>
    </xf>
    <xf numFmtId="0" fontId="109" fillId="0" borderId="13" xfId="103" applyFont="1" applyBorder="1" applyAlignment="1">
      <alignment horizontal="center"/>
    </xf>
    <xf numFmtId="0" fontId="100" fillId="0" borderId="40" xfId="0" applyFont="1" applyBorder="1" applyAlignment="1">
      <alignment horizontal="center"/>
    </xf>
    <xf numFmtId="0" fontId="100" fillId="0" borderId="40" xfId="0" applyFont="1" applyBorder="1"/>
    <xf numFmtId="0" fontId="100" fillId="0" borderId="0" xfId="0" applyFont="1" applyAlignment="1">
      <alignment wrapText="1"/>
    </xf>
    <xf numFmtId="43" fontId="100" fillId="0" borderId="0" xfId="4" applyFont="1" applyFill="1" applyBorder="1" applyAlignment="1">
      <alignment horizontal="center" wrapText="1"/>
    </xf>
    <xf numFmtId="0" fontId="99" fillId="0" borderId="0" xfId="0" applyFont="1" applyAlignment="1">
      <alignment horizontal="center" vertical="top" wrapText="1"/>
    </xf>
    <xf numFmtId="0" fontId="177" fillId="0" borderId="0" xfId="0" applyFont="1" applyAlignment="1">
      <alignment horizontal="center"/>
    </xf>
    <xf numFmtId="0" fontId="178" fillId="0" borderId="0" xfId="0" applyFont="1" applyAlignment="1">
      <alignment horizontal="center"/>
    </xf>
    <xf numFmtId="0" fontId="178" fillId="0" borderId="40" xfId="0" applyFont="1" applyBorder="1" applyAlignment="1">
      <alignment horizontal="center" wrapText="1"/>
    </xf>
    <xf numFmtId="0" fontId="100" fillId="0" borderId="0" xfId="0" applyFont="1" applyAlignment="1">
      <alignment vertical="top" wrapText="1"/>
    </xf>
    <xf numFmtId="174" fontId="100" fillId="0" borderId="40" xfId="169" applyNumberFormat="1" applyFont="1" applyBorder="1" applyAlignment="1">
      <alignment horizontal="center" wrapText="1"/>
    </xf>
    <xf numFmtId="0" fontId="100" fillId="0" borderId="0" xfId="213" applyFont="1" applyAlignment="1">
      <alignment horizontal="left" vertical="top" wrapText="1"/>
    </xf>
    <xf numFmtId="0" fontId="178" fillId="0" borderId="0" xfId="0" applyFont="1" applyAlignment="1">
      <alignment horizontal="left" vertical="top" wrapText="1"/>
    </xf>
    <xf numFmtId="0" fontId="178" fillId="0" borderId="40" xfId="0" applyFont="1" applyBorder="1" applyAlignment="1">
      <alignment horizontal="center"/>
    </xf>
    <xf numFmtId="0" fontId="178" fillId="0" borderId="40" xfId="0" applyFont="1" applyBorder="1"/>
    <xf numFmtId="0" fontId="99" fillId="0" borderId="0" xfId="103" applyFont="1" applyAlignment="1">
      <alignment horizontal="center"/>
    </xf>
    <xf numFmtId="194" fontId="99" fillId="0" borderId="0" xfId="103" applyNumberFormat="1" applyFont="1" applyAlignment="1" applyProtection="1">
      <alignment horizontal="center"/>
      <protection locked="0"/>
    </xf>
    <xf numFmtId="0" fontId="104" fillId="0" borderId="0" xfId="862" applyFont="1" applyAlignment="1">
      <alignment horizontal="justify" vertical="top"/>
    </xf>
    <xf numFmtId="0" fontId="104" fillId="0" borderId="0" xfId="862" applyFont="1" applyAlignment="1">
      <alignment vertical="top"/>
    </xf>
    <xf numFmtId="0" fontId="104" fillId="0" borderId="0" xfId="862" applyFont="1" applyAlignment="1">
      <alignment horizontal="justify" vertical="top" wrapText="1"/>
    </xf>
    <xf numFmtId="0" fontId="104" fillId="0" borderId="0" xfId="862" applyFont="1" applyAlignment="1">
      <alignment vertical="top" wrapText="1"/>
    </xf>
    <xf numFmtId="0" fontId="104" fillId="0" borderId="0" xfId="862" applyFont="1" applyAlignment="1">
      <alignment wrapText="1"/>
    </xf>
    <xf numFmtId="0" fontId="100" fillId="0" borderId="0" xfId="211" applyFont="1" applyAlignment="1">
      <alignment horizontal="center"/>
    </xf>
    <xf numFmtId="0" fontId="100" fillId="0" borderId="0" xfId="211" applyFont="1" applyAlignment="1">
      <alignment horizontal="center" wrapText="1"/>
    </xf>
    <xf numFmtId="0" fontId="100" fillId="0" borderId="3" xfId="211" applyFont="1" applyBorder="1" applyAlignment="1">
      <alignment horizontal="center" wrapText="1"/>
    </xf>
    <xf numFmtId="0" fontId="100" fillId="0" borderId="0" xfId="807" applyFont="1" applyAlignment="1">
      <alignment vertical="top" wrapText="1"/>
    </xf>
    <xf numFmtId="0" fontId="170" fillId="0" borderId="0" xfId="1603" applyFont="1" applyAlignment="1">
      <alignment horizontal="center"/>
    </xf>
    <xf numFmtId="0" fontId="129" fillId="0" borderId="0" xfId="762" applyFont="1" applyAlignment="1">
      <alignment horizontal="center"/>
    </xf>
    <xf numFmtId="0" fontId="127" fillId="0" borderId="0" xfId="762" applyFont="1" applyAlignment="1">
      <alignment horizontal="center" vertical="center" wrapText="1"/>
    </xf>
    <xf numFmtId="0" fontId="100" fillId="0" borderId="60" xfId="211" applyFont="1" applyBorder="1" applyAlignment="1">
      <alignment horizontal="center" vertical="center" wrapText="1"/>
    </xf>
    <xf numFmtId="0" fontId="100" fillId="0" borderId="62" xfId="211" applyFont="1" applyBorder="1" applyAlignment="1">
      <alignment horizontal="center" vertical="center" wrapText="1"/>
    </xf>
    <xf numFmtId="0" fontId="100" fillId="0" borderId="0" xfId="111" applyFont="1" applyAlignment="1">
      <alignment horizontal="center" wrapText="1"/>
    </xf>
    <xf numFmtId="0" fontId="101" fillId="0" borderId="0" xfId="111" applyFont="1" applyAlignment="1">
      <alignment horizontal="center" wrapText="1"/>
    </xf>
    <xf numFmtId="0" fontId="101" fillId="0" borderId="3" xfId="111" applyFont="1" applyBorder="1" applyAlignment="1">
      <alignment horizontal="center" wrapText="1"/>
    </xf>
    <xf numFmtId="0" fontId="99" fillId="0" borderId="0" xfId="211" applyFont="1" applyAlignment="1">
      <alignment horizontal="center"/>
    </xf>
    <xf numFmtId="178" fontId="126" fillId="0" borderId="0" xfId="390" applyNumberFormat="1" applyFont="1" applyFill="1" applyAlignment="1">
      <alignment horizontal="center"/>
    </xf>
    <xf numFmtId="0" fontId="106" fillId="0" borderId="0" xfId="103" applyFont="1" applyAlignment="1">
      <alignment horizontal="center"/>
    </xf>
    <xf numFmtId="0" fontId="106" fillId="0" borderId="0" xfId="1606" applyFont="1" applyAlignment="1">
      <alignment horizontal="center"/>
    </xf>
  </cellXfs>
  <cellStyles count="1773">
    <cellStyle name="20% - Accent1" xfId="1702" builtinId="30" customBuiltin="1"/>
    <cellStyle name="20% - Accent2" xfId="1705" builtinId="34" customBuiltin="1"/>
    <cellStyle name="20% - Accent3" xfId="1708" builtinId="38" customBuiltin="1"/>
    <cellStyle name="20% - Accent4" xfId="1711" builtinId="42" customBuiltin="1"/>
    <cellStyle name="20% - Accent5" xfId="1714" builtinId="46" customBuiltin="1"/>
    <cellStyle name="20% - Accent6" xfId="1717" builtinId="50" customBuiltin="1"/>
    <cellStyle name="40% - Accent1" xfId="1703" builtinId="31" customBuiltin="1"/>
    <cellStyle name="40% - Accent2" xfId="1706" builtinId="35" customBuiltin="1"/>
    <cellStyle name="40% - Accent3" xfId="1709" builtinId="39" customBuiltin="1"/>
    <cellStyle name="40% - Accent4" xfId="1712" builtinId="43" customBuiltin="1"/>
    <cellStyle name="40% - Accent5" xfId="1715" builtinId="47" customBuiltin="1"/>
    <cellStyle name="40% - Accent6" xfId="1718" builtinId="51" customBuiltin="1"/>
    <cellStyle name="60% - Accent1 2" xfId="1725"/>
    <cellStyle name="60% - Accent2 2" xfId="1726"/>
    <cellStyle name="60% - Accent3 2" xfId="1727"/>
    <cellStyle name="60% - Accent4 2" xfId="1728"/>
    <cellStyle name="60% - Accent5 2" xfId="1729"/>
    <cellStyle name="60% - Accent6 2" xfId="1730"/>
    <cellStyle name="Abstract" xfId="1"/>
    <cellStyle name="Abstract 2" xfId="2"/>
    <cellStyle name="Abstract 3" xfId="3"/>
    <cellStyle name="Accent1" xfId="1701" builtinId="29" customBuiltin="1"/>
    <cellStyle name="Accent2" xfId="1704" builtinId="33" customBuiltin="1"/>
    <cellStyle name="Accent3" xfId="1707" builtinId="37" customBuiltin="1"/>
    <cellStyle name="Accent4" xfId="1710" builtinId="41" customBuiltin="1"/>
    <cellStyle name="Accent5" xfId="1713" builtinId="45" customBuiltin="1"/>
    <cellStyle name="Accent6" xfId="1716" builtinId="49" customBuiltin="1"/>
    <cellStyle name="Bad" xfId="1692" builtinId="27" customBuiltin="1"/>
    <cellStyle name="Body: normal cell" xfId="804"/>
    <cellStyle name="Calculation" xfId="1695" builtinId="22" customBuiltin="1"/>
    <cellStyle name="Check Cell" xfId="1697" builtinId="23" customBuiltin="1"/>
    <cellStyle name="Comma" xfId="4" builtinId="3"/>
    <cellStyle name="Comma [0] 2" xfId="879"/>
    <cellStyle name="Comma 10" xfId="5"/>
    <cellStyle name="Comma 10 2" xfId="6"/>
    <cellStyle name="Comma 10 2 2" xfId="421"/>
    <cellStyle name="Comma 10 2 2 2" xfId="685"/>
    <cellStyle name="Comma 10 2 2 2 2" xfId="1107"/>
    <cellStyle name="Comma 10 2 2 2 3" xfId="1483"/>
    <cellStyle name="Comma 10 2 2 3" xfId="964"/>
    <cellStyle name="Comma 10 2 2 4" xfId="1340"/>
    <cellStyle name="Comma 10 2 3" xfId="630"/>
    <cellStyle name="Comma 10 2 3 2" xfId="1052"/>
    <cellStyle name="Comma 10 2 3 3" xfId="1428"/>
    <cellStyle name="Comma 10 2 4" xfId="909"/>
    <cellStyle name="Comma 10 2 5" xfId="1285"/>
    <cellStyle name="Comma 10 3" xfId="422"/>
    <cellStyle name="Comma 10 3 2" xfId="676"/>
    <cellStyle name="Comma 10 3 2 2" xfId="1098"/>
    <cellStyle name="Comma 10 3 2 3" xfId="1474"/>
    <cellStyle name="Comma 10 3 3" xfId="965"/>
    <cellStyle name="Comma 10 3 4" xfId="1341"/>
    <cellStyle name="Comma 10 4" xfId="423"/>
    <cellStyle name="Comma 10 4 2" xfId="745"/>
    <cellStyle name="Comma 10 4 2 2" xfId="1167"/>
    <cellStyle name="Comma 10 4 2 3" xfId="1543"/>
    <cellStyle name="Comma 10 4 3" xfId="966"/>
    <cellStyle name="Comma 10 4 4" xfId="1342"/>
    <cellStyle name="Comma 10 5" xfId="621"/>
    <cellStyle name="Comma 10 5 2" xfId="1043"/>
    <cellStyle name="Comma 10 5 3" xfId="1419"/>
    <cellStyle name="Comma 10 6" xfId="908"/>
    <cellStyle name="Comma 10 6 2" xfId="1670"/>
    <cellStyle name="Comma 10 7" xfId="1284"/>
    <cellStyle name="Comma 11" xfId="7"/>
    <cellStyle name="Comma 11 2" xfId="8"/>
    <cellStyle name="Comma 11 2 2" xfId="424"/>
    <cellStyle name="Comma 11 3" xfId="425"/>
    <cellStyle name="Comma 11 4" xfId="768"/>
    <cellStyle name="Comma 12" xfId="9"/>
    <cellStyle name="Comma 12 2" xfId="10"/>
    <cellStyle name="Comma 13" xfId="11"/>
    <cellStyle name="Comma 14" xfId="778"/>
    <cellStyle name="Comma 14 2 2" xfId="823"/>
    <cellStyle name="Comma 15" xfId="780"/>
    <cellStyle name="Comma 15 2" xfId="1186"/>
    <cellStyle name="Comma 16" xfId="784"/>
    <cellStyle name="Comma 16 2" xfId="795"/>
    <cellStyle name="Comma 16 2 2" xfId="831"/>
    <cellStyle name="Comma 16 2 2 2" xfId="1217"/>
    <cellStyle name="Comma 16 2 2 2 2" xfId="1609"/>
    <cellStyle name="Comma 16 2 2 3" xfId="1610"/>
    <cellStyle name="Comma 16 2 3" xfId="1196"/>
    <cellStyle name="Comma 16 2 4" xfId="1568"/>
    <cellStyle name="Comma 16 3" xfId="1190"/>
    <cellStyle name="Comma 16 4" xfId="1562"/>
    <cellStyle name="Comma 17" xfId="790"/>
    <cellStyle name="Comma 17 2" xfId="1193"/>
    <cellStyle name="Comma 17 3" xfId="1565"/>
    <cellStyle name="Comma 18" xfId="809"/>
    <cellStyle name="Comma 18 2" xfId="1202"/>
    <cellStyle name="Comma 18 3" xfId="1574"/>
    <cellStyle name="Comma 19" xfId="816"/>
    <cellStyle name="Comma 19 2" xfId="1208"/>
    <cellStyle name="Comma 19 3" xfId="1581"/>
    <cellStyle name="Comma 2" xfId="12"/>
    <cellStyle name="Comma 2 10" xfId="880"/>
    <cellStyle name="Comma 2 106 4" xfId="1675"/>
    <cellStyle name="Comma 2 11" xfId="1733"/>
    <cellStyle name="Comma 2 155" xfId="855"/>
    <cellStyle name="Comma 2 155 2" xfId="1230"/>
    <cellStyle name="Comma 2 2" xfId="13"/>
    <cellStyle name="Comma 2 3" xfId="14"/>
    <cellStyle name="Comma 2 4" xfId="15"/>
    <cellStyle name="Comma 2 5" xfId="16"/>
    <cellStyle name="Comma 2 6" xfId="17"/>
    <cellStyle name="Comma 2 7" xfId="793"/>
    <cellStyle name="Comma 2 8" xfId="818"/>
    <cellStyle name="Comma 2 8 2" xfId="1210"/>
    <cellStyle name="Comma 2 8 2 2 2" xfId="1616"/>
    <cellStyle name="Comma 2 8 3" xfId="1577"/>
    <cellStyle name="Comma 2 8 4" xfId="1627"/>
    <cellStyle name="Comma 2 8 5" xfId="1653"/>
    <cellStyle name="Comma 2 9" xfId="834"/>
    <cellStyle name="Comma 2 9 2" xfId="1220"/>
    <cellStyle name="Comma 2 9 3" xfId="1615"/>
    <cellStyle name="Comma 20" xfId="830"/>
    <cellStyle name="Comma 20 2" xfId="1216"/>
    <cellStyle name="Comma 20 3" xfId="1583"/>
    <cellStyle name="Comma 20 4" xfId="1644"/>
    <cellStyle name="Comma 21" xfId="18"/>
    <cellStyle name="Comma 22" xfId="865"/>
    <cellStyle name="Comma 22 2" xfId="1238"/>
    <cellStyle name="Comma 22 3" xfId="1585"/>
    <cellStyle name="Comma 22 4" xfId="1643"/>
    <cellStyle name="Comma 23" xfId="871"/>
    <cellStyle name="Comma 23 2" xfId="893"/>
    <cellStyle name="Comma 23 2 2" xfId="1260"/>
    <cellStyle name="Comma 23 2 3" xfId="1762"/>
    <cellStyle name="Comma 23 3" xfId="1244"/>
    <cellStyle name="Comma 23 4" xfId="1751"/>
    <cellStyle name="Comma 24" xfId="883"/>
    <cellStyle name="Comma 24 2" xfId="889"/>
    <cellStyle name="Comma 24 2 2" xfId="1256"/>
    <cellStyle name="Comma 24 3" xfId="1250"/>
    <cellStyle name="Comma 24 4" xfId="1749"/>
    <cellStyle name="Comma 25" xfId="887"/>
    <cellStyle name="Comma 25 2" xfId="891"/>
    <cellStyle name="Comma 25 2 2" xfId="1258"/>
    <cellStyle name="Comma 25 3" xfId="1254"/>
    <cellStyle name="Comma 26" xfId="1623"/>
    <cellStyle name="Comma 27" xfId="1650"/>
    <cellStyle name="Comma 28" xfId="1772"/>
    <cellStyle name="Comma 3" xfId="19"/>
    <cellStyle name="Comma 3 10" xfId="20"/>
    <cellStyle name="Comma 3 11" xfId="21"/>
    <cellStyle name="Comma 3 12" xfId="22"/>
    <cellStyle name="Comma 3 13" xfId="23"/>
    <cellStyle name="Comma 3 14" xfId="24"/>
    <cellStyle name="Comma 3 15" xfId="25"/>
    <cellStyle name="Comma 3 16" xfId="26"/>
    <cellStyle name="Comma 3 17" xfId="27"/>
    <cellStyle name="Comma 3 18" xfId="28"/>
    <cellStyle name="Comma 3 19" xfId="29"/>
    <cellStyle name="Comma 3 2" xfId="30"/>
    <cellStyle name="Comma 3 20" xfId="31"/>
    <cellStyle name="Comma 3 21" xfId="852"/>
    <cellStyle name="Comma 3 21 2" xfId="1228"/>
    <cellStyle name="Comma 3 3" xfId="32"/>
    <cellStyle name="Comma 3 4" xfId="33"/>
    <cellStyle name="Comma 3 5" xfId="34"/>
    <cellStyle name="Comma 3 6" xfId="35"/>
    <cellStyle name="Comma 3 7" xfId="36"/>
    <cellStyle name="Comma 3 8" xfId="37"/>
    <cellStyle name="Comma 3 9" xfId="38"/>
    <cellStyle name="Comma 4" xfId="39"/>
    <cellStyle name="Comma 4 10" xfId="40"/>
    <cellStyle name="Comma 4 11" xfId="41"/>
    <cellStyle name="Comma 4 12" xfId="42"/>
    <cellStyle name="Comma 4 13" xfId="43"/>
    <cellStyle name="Comma 4 14" xfId="44"/>
    <cellStyle name="Comma 4 15" xfId="45"/>
    <cellStyle name="Comma 4 16" xfId="46"/>
    <cellStyle name="Comma 4 17" xfId="47"/>
    <cellStyle name="Comma 4 18" xfId="48"/>
    <cellStyle name="Comma 4 19" xfId="49"/>
    <cellStyle name="Comma 4 2" xfId="50"/>
    <cellStyle name="Comma 4 20" xfId="846"/>
    <cellStyle name="Comma 4 3" xfId="51"/>
    <cellStyle name="Comma 4 4" xfId="52"/>
    <cellStyle name="Comma 4 5" xfId="53"/>
    <cellStyle name="Comma 4 6" xfId="54"/>
    <cellStyle name="Comma 4 7" xfId="55"/>
    <cellStyle name="Comma 4 8" xfId="56"/>
    <cellStyle name="Comma 4 9" xfId="57"/>
    <cellStyle name="Comma 45 3" xfId="842"/>
    <cellStyle name="Comma 5" xfId="58"/>
    <cellStyle name="Comma 6" xfId="59"/>
    <cellStyle name="Comma 6 2 2" xfId="1637"/>
    <cellStyle name="Comma 7" xfId="60"/>
    <cellStyle name="Comma 7 2" xfId="61"/>
    <cellStyle name="Comma 7 3" xfId="62"/>
    <cellStyle name="Comma 7 3 2" xfId="63"/>
    <cellStyle name="Comma 7 3 2 2" xfId="426"/>
    <cellStyle name="Comma 7 3 2 2 2" xfId="687"/>
    <cellStyle name="Comma 7 3 2 2 2 2" xfId="1109"/>
    <cellStyle name="Comma 7 3 2 2 2 3" xfId="1485"/>
    <cellStyle name="Comma 7 3 2 2 3" xfId="967"/>
    <cellStyle name="Comma 7 3 2 2 4" xfId="1343"/>
    <cellStyle name="Comma 7 3 2 3" xfId="632"/>
    <cellStyle name="Comma 7 3 2 3 2" xfId="1054"/>
    <cellStyle name="Comma 7 3 2 3 3" xfId="1430"/>
    <cellStyle name="Comma 7 3 2 4" xfId="911"/>
    <cellStyle name="Comma 7 3 2 5" xfId="1287"/>
    <cellStyle name="Comma 7 3 3" xfId="427"/>
    <cellStyle name="Comma 7 3 3 2" xfId="686"/>
    <cellStyle name="Comma 7 3 3 2 2" xfId="1108"/>
    <cellStyle name="Comma 7 3 3 2 3" xfId="1484"/>
    <cellStyle name="Comma 7 3 3 3" xfId="968"/>
    <cellStyle name="Comma 7 3 3 4" xfId="1344"/>
    <cellStyle name="Comma 7 3 4" xfId="428"/>
    <cellStyle name="Comma 7 3 4 2" xfId="746"/>
    <cellStyle name="Comma 7 3 4 2 2" xfId="1168"/>
    <cellStyle name="Comma 7 3 4 2 3" xfId="1544"/>
    <cellStyle name="Comma 7 3 4 3" xfId="969"/>
    <cellStyle name="Comma 7 3 4 4" xfId="1345"/>
    <cellStyle name="Comma 7 3 5" xfId="631"/>
    <cellStyle name="Comma 7 3 5 2" xfId="1053"/>
    <cellStyle name="Comma 7 3 5 3" xfId="1429"/>
    <cellStyle name="Comma 7 3 6" xfId="910"/>
    <cellStyle name="Comma 7 3 7" xfId="1286"/>
    <cellStyle name="Comma 7 4" xfId="64"/>
    <cellStyle name="Comma 7 4 2" xfId="429"/>
    <cellStyle name="Comma 7 5" xfId="430"/>
    <cellStyle name="Comma 8" xfId="65"/>
    <cellStyle name="Comma 9" xfId="66"/>
    <cellStyle name="Currency" xfId="1282" builtinId="4"/>
    <cellStyle name="Currency [0] 2" xfId="1736"/>
    <cellStyle name="Currency 10" xfId="777"/>
    <cellStyle name="Currency 10 2" xfId="824"/>
    <cellStyle name="Currency 11" xfId="787"/>
    <cellStyle name="Currency 11 2" xfId="797"/>
    <cellStyle name="Currency 11 2 2" xfId="833"/>
    <cellStyle name="Currency 11 2 2 2" xfId="1219"/>
    <cellStyle name="Currency 11 2 2 3" xfId="1612"/>
    <cellStyle name="Currency 11 2 3" xfId="1198"/>
    <cellStyle name="Currency 11 2 4" xfId="1570"/>
    <cellStyle name="Currency 11 3" xfId="1191"/>
    <cellStyle name="Currency 11 4" xfId="1563"/>
    <cellStyle name="Currency 12" xfId="825"/>
    <cellStyle name="Currency 12 2" xfId="1213"/>
    <cellStyle name="Currency 13" xfId="885"/>
    <cellStyle name="Currency 13 2" xfId="1252"/>
    <cellStyle name="Currency 14" xfId="1604"/>
    <cellStyle name="Currency 15" xfId="1720"/>
    <cellStyle name="Currency 2" xfId="67"/>
    <cellStyle name="Currency 2 100 3 2" xfId="1674"/>
    <cellStyle name="Currency 2 2" xfId="68"/>
    <cellStyle name="Currency 2 3" xfId="69"/>
    <cellStyle name="Currency 2 4" xfId="70"/>
    <cellStyle name="Currency 2 5" xfId="71"/>
    <cellStyle name="Currency 2 6" xfId="72"/>
    <cellStyle name="Currency 3" xfId="73"/>
    <cellStyle name="Currency 3 2" xfId="74"/>
    <cellStyle name="Currency 4" xfId="75"/>
    <cellStyle name="Currency 5" xfId="76"/>
    <cellStyle name="Currency 6" xfId="77"/>
    <cellStyle name="Currency 7" xfId="78"/>
    <cellStyle name="Currency 7 2" xfId="79"/>
    <cellStyle name="Currency 7 2 2" xfId="431"/>
    <cellStyle name="Currency 7 3" xfId="432"/>
    <cellStyle name="Currency 7 4" xfId="775"/>
    <cellStyle name="Currency 8" xfId="758"/>
    <cellStyle name="Currency 9" xfId="760"/>
    <cellStyle name="Currency 9 2" xfId="1176"/>
    <cellStyle name="Currency 9 3" xfId="1551"/>
    <cellStyle name="Explanatory Text" xfId="1699" builtinId="53" customBuiltin="1"/>
    <cellStyle name="Font: Calibri, 9pt regular" xfId="800"/>
    <cellStyle name="Footnote" xfId="80"/>
    <cellStyle name="Footnote 2" xfId="81"/>
    <cellStyle name="Footnote 3" xfId="82"/>
    <cellStyle name="Footnotes: top row" xfId="805"/>
    <cellStyle name="General" xfId="83"/>
    <cellStyle name="General 2" xfId="84"/>
    <cellStyle name="General 3" xfId="85"/>
    <cellStyle name="Good" xfId="1691" builtinId="26" customBuiltin="1"/>
    <cellStyle name="Header Bottom" xfId="86"/>
    <cellStyle name="Header Bottom 2" xfId="87"/>
    <cellStyle name="Header Bottom 3" xfId="88"/>
    <cellStyle name="Header Date and Time" xfId="89"/>
    <cellStyle name="Header Date and Time 2" xfId="90"/>
    <cellStyle name="Header Date and Time 3" xfId="91"/>
    <cellStyle name="Header Top" xfId="92"/>
    <cellStyle name="Header Top 2" xfId="93"/>
    <cellStyle name="Header Top 3" xfId="94"/>
    <cellStyle name="Header: bottom row" xfId="801"/>
    <cellStyle name="Heading 1" xfId="1687" builtinId="16" customBuiltin="1"/>
    <cellStyle name="Heading 2" xfId="1688" builtinId="17" customBuiltin="1"/>
    <cellStyle name="Heading 3" xfId="1689" builtinId="18" customBuiltin="1"/>
    <cellStyle name="Heading 4" xfId="1690" builtinId="19" customBuiltin="1"/>
    <cellStyle name="HeadlineStyle" xfId="95"/>
    <cellStyle name="HeadlineStyleJustified" xfId="96"/>
    <cellStyle name="Hyperlink 2" xfId="97"/>
    <cellStyle name="Hyperlink 2 2" xfId="858"/>
    <cellStyle name="Hyperlink 2 3" xfId="1669"/>
    <cellStyle name="Input" xfId="1693" builtinId="20" customBuiltin="1"/>
    <cellStyle name="Linkbase Header" xfId="98"/>
    <cellStyle name="Linkbase Header 2" xfId="99"/>
    <cellStyle name="Linkbase Header 2 2" xfId="100"/>
    <cellStyle name="Linkbase Header 2 2 2" xfId="433"/>
    <cellStyle name="Linkbase Header 2 2 2 2" xfId="689"/>
    <cellStyle name="Linkbase Header 2 2 2 2 2" xfId="1111"/>
    <cellStyle name="Linkbase Header 2 2 2 2 3" xfId="1487"/>
    <cellStyle name="Linkbase Header 2 2 2 3" xfId="970"/>
    <cellStyle name="Linkbase Header 2 2 2 4" xfId="1346"/>
    <cellStyle name="Linkbase Header 2 2 3" xfId="634"/>
    <cellStyle name="Linkbase Header 2 2 3 2" xfId="1056"/>
    <cellStyle name="Linkbase Header 2 2 3 3" xfId="1432"/>
    <cellStyle name="Linkbase Header 2 2 4" xfId="913"/>
    <cellStyle name="Linkbase Header 2 2 5" xfId="1289"/>
    <cellStyle name="Linkbase Header 2 3" xfId="434"/>
    <cellStyle name="Linkbase Header 2 3 2" xfId="688"/>
    <cellStyle name="Linkbase Header 2 3 2 2" xfId="1110"/>
    <cellStyle name="Linkbase Header 2 3 2 3" xfId="1486"/>
    <cellStyle name="Linkbase Header 2 3 3" xfId="971"/>
    <cellStyle name="Linkbase Header 2 3 4" xfId="1347"/>
    <cellStyle name="Linkbase Header 2 4" xfId="435"/>
    <cellStyle name="Linkbase Header 2 4 2" xfId="731"/>
    <cellStyle name="Linkbase Header 2 4 2 2" xfId="1153"/>
    <cellStyle name="Linkbase Header 2 4 2 3" xfId="1529"/>
    <cellStyle name="Linkbase Header 2 4 3" xfId="972"/>
    <cellStyle name="Linkbase Header 2 4 4" xfId="1348"/>
    <cellStyle name="Linkbase Header 2 5" xfId="633"/>
    <cellStyle name="Linkbase Header 2 5 2" xfId="1055"/>
    <cellStyle name="Linkbase Header 2 5 3" xfId="1431"/>
    <cellStyle name="Linkbase Header 2 6" xfId="912"/>
    <cellStyle name="Linkbase Header 2 7" xfId="1288"/>
    <cellStyle name="Linkbase Header 3" xfId="101"/>
    <cellStyle name="Linkbase Header 3 2" xfId="102"/>
    <cellStyle name="Linkbase Header 3 2 2" xfId="436"/>
    <cellStyle name="Linkbase Header 3 2 2 2" xfId="691"/>
    <cellStyle name="Linkbase Header 3 2 2 2 2" xfId="1113"/>
    <cellStyle name="Linkbase Header 3 2 2 2 3" xfId="1489"/>
    <cellStyle name="Linkbase Header 3 2 2 3" xfId="973"/>
    <cellStyle name="Linkbase Header 3 2 2 4" xfId="1349"/>
    <cellStyle name="Linkbase Header 3 2 3" xfId="636"/>
    <cellStyle name="Linkbase Header 3 2 3 2" xfId="1058"/>
    <cellStyle name="Linkbase Header 3 2 3 3" xfId="1434"/>
    <cellStyle name="Linkbase Header 3 2 4" xfId="915"/>
    <cellStyle name="Linkbase Header 3 2 5" xfId="1291"/>
    <cellStyle name="Linkbase Header 3 3" xfId="437"/>
    <cellStyle name="Linkbase Header 3 3 2" xfId="690"/>
    <cellStyle name="Linkbase Header 3 3 2 2" xfId="1112"/>
    <cellStyle name="Linkbase Header 3 3 2 3" xfId="1488"/>
    <cellStyle name="Linkbase Header 3 3 3" xfId="974"/>
    <cellStyle name="Linkbase Header 3 3 4" xfId="1350"/>
    <cellStyle name="Linkbase Header 3 4" xfId="438"/>
    <cellStyle name="Linkbase Header 3 4 2" xfId="732"/>
    <cellStyle name="Linkbase Header 3 4 2 2" xfId="1154"/>
    <cellStyle name="Linkbase Header 3 4 2 3" xfId="1530"/>
    <cellStyle name="Linkbase Header 3 4 3" xfId="975"/>
    <cellStyle name="Linkbase Header 3 4 4" xfId="1351"/>
    <cellStyle name="Linkbase Header 3 5" xfId="635"/>
    <cellStyle name="Linkbase Header 3 5 2" xfId="1057"/>
    <cellStyle name="Linkbase Header 3 5 3" xfId="1433"/>
    <cellStyle name="Linkbase Header 3 6" xfId="914"/>
    <cellStyle name="Linkbase Header 3 7" xfId="1290"/>
    <cellStyle name="Linked Cell" xfId="1696" builtinId="24" customBuiltin="1"/>
    <cellStyle name="Neutral 2" xfId="1723"/>
    <cellStyle name="Normal" xfId="0" builtinId="0"/>
    <cellStyle name="Normal - Style1" xfId="807"/>
    <cellStyle name="Normal 10" xfId="103"/>
    <cellStyle name="Normal 10 10 3 2 2" xfId="1594"/>
    <cellStyle name="Normal 10 10 3 2 2 2 2 2 2" xfId="1671"/>
    <cellStyle name="Normal 10 10 3 2 2 3" xfId="840"/>
    <cellStyle name="Normal 10 10 3 2 2 3 2" xfId="1630"/>
    <cellStyle name="Normal 10 10 3 2 2 5 2" xfId="874"/>
    <cellStyle name="Normal 10 10 3 4" xfId="849"/>
    <cellStyle name="Normal 10 10 3 4 2" xfId="1635"/>
    <cellStyle name="Normal 10 10 9 2 2" xfId="836"/>
    <cellStyle name="Normal 10 10 9 2 2 2" xfId="1222"/>
    <cellStyle name="Normal 10 10 9 2 2 3" xfId="1646"/>
    <cellStyle name="Normal 10 11 9" xfId="1672"/>
    <cellStyle name="Normal 10 2" xfId="104"/>
    <cellStyle name="Normal 10 21 3" xfId="766"/>
    <cellStyle name="Normal 10 3" xfId="105"/>
    <cellStyle name="Normal 11" xfId="106"/>
    <cellStyle name="Normal 11 2" xfId="107"/>
    <cellStyle name="Normal 11 3" xfId="108"/>
    <cellStyle name="Normal 12" xfId="109"/>
    <cellStyle name="Normal 12pt" xfId="110"/>
    <cellStyle name="Normal 13" xfId="111"/>
    <cellStyle name="Normal 13 10" xfId="750"/>
    <cellStyle name="Normal 13 10 2" xfId="752"/>
    <cellStyle name="Normal 13 10 2 2" xfId="1173"/>
    <cellStyle name="Normal 13 10 2 2 2" xfId="1619"/>
    <cellStyle name="Normal 13 10 2 2 2 2" xfId="1596"/>
    <cellStyle name="Normal 13 10 2 2 2 3" xfId="1655"/>
    <cellStyle name="Normal 13 10 2 2 3" xfId="1648"/>
    <cellStyle name="Normal 13 10 2 3" xfId="812"/>
    <cellStyle name="Normal 13 10 2 3 2" xfId="863"/>
    <cellStyle name="Normal 13 10 2 3 2 2" xfId="1236"/>
    <cellStyle name="Normal 13 10 2 3 2 3" xfId="1752"/>
    <cellStyle name="Normal 13 10 2 3 3" xfId="902"/>
    <cellStyle name="Normal 13 10 2 3 3 2" xfId="1269"/>
    <cellStyle name="Normal 13 10 2 3 4" xfId="1205"/>
    <cellStyle name="Normal 13 10 2 3 5" xfId="1589"/>
    <cellStyle name="Normal 13 10 2 4" xfId="1549"/>
    <cellStyle name="Normal 13 10 3" xfId="811"/>
    <cellStyle name="Normal 13 10 3 2" xfId="862"/>
    <cellStyle name="Normal 13 10 3 2 2" xfId="1235"/>
    <cellStyle name="Normal 13 10 3 3" xfId="1204"/>
    <cellStyle name="Normal 13 10 3 4" xfId="1576"/>
    <cellStyle name="Normal 13 10 4" xfId="1172"/>
    <cellStyle name="Normal 13 10 5" xfId="1548"/>
    <cellStyle name="Normal 13 11" xfId="1292"/>
    <cellStyle name="Normal 13 2" xfId="112"/>
    <cellStyle name="Normal 13 3" xfId="113"/>
    <cellStyle name="Normal 13 3 2" xfId="114"/>
    <cellStyle name="Normal 13 3 2 2" xfId="439"/>
    <cellStyle name="Normal 13 3 2 2 2" xfId="693"/>
    <cellStyle name="Normal 13 3 2 2 2 2" xfId="1115"/>
    <cellStyle name="Normal 13 3 2 2 2 3" xfId="1491"/>
    <cellStyle name="Normal 13 3 2 2 3" xfId="976"/>
    <cellStyle name="Normal 13 3 2 2 4" xfId="1352"/>
    <cellStyle name="Normal 13 3 2 3" xfId="638"/>
    <cellStyle name="Normal 13 3 2 3 2" xfId="1060"/>
    <cellStyle name="Normal 13 3 2 3 3" xfId="1436"/>
    <cellStyle name="Normal 13 3 2 4" xfId="918"/>
    <cellStyle name="Normal 13 3 2 5" xfId="1294"/>
    <cellStyle name="Normal 13 3 3" xfId="440"/>
    <cellStyle name="Normal 13 3 3 2" xfId="692"/>
    <cellStyle name="Normal 13 3 3 2 2" xfId="1114"/>
    <cellStyle name="Normal 13 3 3 2 3" xfId="1490"/>
    <cellStyle name="Normal 13 3 3 3" xfId="977"/>
    <cellStyle name="Normal 13 3 3 4" xfId="1353"/>
    <cellStyle name="Normal 13 3 4" xfId="441"/>
    <cellStyle name="Normal 13 3 4 2" xfId="747"/>
    <cellStyle name="Normal 13 3 4 2 2" xfId="1169"/>
    <cellStyle name="Normal 13 3 4 2 3" xfId="1545"/>
    <cellStyle name="Normal 13 3 4 3" xfId="978"/>
    <cellStyle name="Normal 13 3 4 4" xfId="1354"/>
    <cellStyle name="Normal 13 3 5" xfId="637"/>
    <cellStyle name="Normal 13 3 5 2" xfId="1059"/>
    <cellStyle name="Normal 13 3 5 3" xfId="1435"/>
    <cellStyle name="Normal 13 3 6" xfId="917"/>
    <cellStyle name="Normal 13 3 7" xfId="1293"/>
    <cellStyle name="Normal 13 4" xfId="115"/>
    <cellStyle name="Normal 13 4 2" xfId="442"/>
    <cellStyle name="Normal 13 4 2 2" xfId="694"/>
    <cellStyle name="Normal 13 4 2 2 2" xfId="1116"/>
    <cellStyle name="Normal 13 4 2 2 3" xfId="1492"/>
    <cellStyle name="Normal 13 4 2 3" xfId="979"/>
    <cellStyle name="Normal 13 4 2 4" xfId="1355"/>
    <cellStyle name="Normal 13 4 3" xfId="639"/>
    <cellStyle name="Normal 13 4 3 2" xfId="1061"/>
    <cellStyle name="Normal 13 4 3 3" xfId="1437"/>
    <cellStyle name="Normal 13 4 4" xfId="919"/>
    <cellStyle name="Normal 13 4 5" xfId="1295"/>
    <cellStyle name="Normal 13 5" xfId="116"/>
    <cellStyle name="Normal 13 5 2" xfId="443"/>
    <cellStyle name="Normal 13 5 2 2" xfId="727"/>
    <cellStyle name="Normal 13 5 2 2 2" xfId="1149"/>
    <cellStyle name="Normal 13 5 2 2 3" xfId="1525"/>
    <cellStyle name="Normal 13 5 2 3" xfId="980"/>
    <cellStyle name="Normal 13 5 2 4" xfId="1356"/>
    <cellStyle name="Normal 13 5 3" xfId="672"/>
    <cellStyle name="Normal 13 5 3 2" xfId="1094"/>
    <cellStyle name="Normal 13 5 3 3" xfId="1470"/>
    <cellStyle name="Normal 13 5 4" xfId="771"/>
    <cellStyle name="Normal 13 5 4 2" xfId="1183"/>
    <cellStyle name="Normal 13 5 4 2 2" xfId="767"/>
    <cellStyle name="Normal 13 5 4 2 2 2" xfId="774"/>
    <cellStyle name="Normal 13 5 4 2 2 2 2" xfId="1184"/>
    <cellStyle name="Normal 13 5 4 2 2 2 3" xfId="1559"/>
    <cellStyle name="Normal 13 5 4 2 2 3" xfId="794"/>
    <cellStyle name="Normal 13 5 4 2 2 3 2" xfId="861"/>
    <cellStyle name="Normal 13 5 4 2 2 3 2 2" xfId="1234"/>
    <cellStyle name="Normal 13 5 4 2 2 3 2 2 2" xfId="1753"/>
    <cellStyle name="Normal 13 5 4 2 2 3 2 3" xfId="1591"/>
    <cellStyle name="Normal 13 5 4 2 2 3 2 4 2" xfId="1737"/>
    <cellStyle name="Normal 13 5 4 2 2 3 3" xfId="875"/>
    <cellStyle name="Normal 13 5 4 2 2 3 3 2" xfId="1246"/>
    <cellStyle name="Normal 13 5 4 2 2 3 4" xfId="1195"/>
    <cellStyle name="Normal 13 5 4 2 2 3 5" xfId="1567"/>
    <cellStyle name="Normal 13 5 4 2 2 4" xfId="1182"/>
    <cellStyle name="Normal 13 5 4 2 2 5" xfId="1557"/>
    <cellStyle name="Normal 13 5 4 3" xfId="1558"/>
    <cellStyle name="Normal 13 5 5" xfId="920"/>
    <cellStyle name="Normal 13 5 6" xfId="1296"/>
    <cellStyle name="Normal 13 6" xfId="420"/>
    <cellStyle name="Normal 13 6 2" xfId="673"/>
    <cellStyle name="Normal 13 6 2 2" xfId="1095"/>
    <cellStyle name="Normal 13 6 2 3" xfId="1471"/>
    <cellStyle name="Normal 13 6 3" xfId="963"/>
    <cellStyle name="Normal 13 6 4" xfId="1339"/>
    <cellStyle name="Normal 13 7" xfId="444"/>
    <cellStyle name="Normal 13 7 2" xfId="728"/>
    <cellStyle name="Normal 13 7 2 2" xfId="1150"/>
    <cellStyle name="Normal 13 7 2 3" xfId="1526"/>
    <cellStyle name="Normal 13 7 3" xfId="981"/>
    <cellStyle name="Normal 13 7 4" xfId="1357"/>
    <cellStyle name="Normal 13 8" xfId="618"/>
    <cellStyle name="Normal 13 8 2" xfId="1040"/>
    <cellStyle name="Normal 13 8 3" xfId="1416"/>
    <cellStyle name="Normal 13 9" xfId="916"/>
    <cellStyle name="Normal 13_Risk Adjustment" xfId="117"/>
    <cellStyle name="Normal 14" xfId="118"/>
    <cellStyle name="Normal 14 10" xfId="1651"/>
    <cellStyle name="Normal 14 11" xfId="1735"/>
    <cellStyle name="Normal 14 12 10" xfId="1682"/>
    <cellStyle name="Normal 14 12 10 2 2 3" xfId="1640"/>
    <cellStyle name="Normal 14 12 10 2 2 3 2" xfId="1685"/>
    <cellStyle name="Normal 14 2" xfId="119"/>
    <cellStyle name="Normal 14 2 2" xfId="120"/>
    <cellStyle name="Normal 14 2 2 2" xfId="445"/>
    <cellStyle name="Normal 14 2 2 2 2" xfId="695"/>
    <cellStyle name="Normal 14 2 2 2 2 2" xfId="1117"/>
    <cellStyle name="Normal 14 2 2 2 2 3" xfId="1493"/>
    <cellStyle name="Normal 14 2 2 2 3" xfId="982"/>
    <cellStyle name="Normal 14 2 2 2 4" xfId="1358"/>
    <cellStyle name="Normal 14 2 2 3" xfId="640"/>
    <cellStyle name="Normal 14 2 2 3 2" xfId="1062"/>
    <cellStyle name="Normal 14 2 2 3 3" xfId="1438"/>
    <cellStyle name="Normal 14 2 2 4" xfId="923"/>
    <cellStyle name="Normal 14 2 2 5" xfId="1299"/>
    <cellStyle name="Normal 14 2 3" xfId="446"/>
    <cellStyle name="Normal 14 2 3 2" xfId="675"/>
    <cellStyle name="Normal 14 2 3 2 2" xfId="1097"/>
    <cellStyle name="Normal 14 2 3 2 3" xfId="1473"/>
    <cellStyle name="Normal 14 2 3 3" xfId="983"/>
    <cellStyle name="Normal 14 2 3 4" xfId="1359"/>
    <cellStyle name="Normal 14 2 4" xfId="447"/>
    <cellStyle name="Normal 14 2 4 2" xfId="730"/>
    <cellStyle name="Normal 14 2 4 2 2" xfId="1152"/>
    <cellStyle name="Normal 14 2 4 2 3" xfId="1528"/>
    <cellStyle name="Normal 14 2 4 3" xfId="984"/>
    <cellStyle name="Normal 14 2 4 4" xfId="1360"/>
    <cellStyle name="Normal 14 2 5" xfId="620"/>
    <cellStyle name="Normal 14 2 5 2" xfId="1042"/>
    <cellStyle name="Normal 14 2 5 3" xfId="1418"/>
    <cellStyle name="Normal 14 2 6" xfId="922"/>
    <cellStyle name="Normal 14 2 7" xfId="1298"/>
    <cellStyle name="Normal 14 3" xfId="121"/>
    <cellStyle name="Normal 14 3 2" xfId="448"/>
    <cellStyle name="Normal 14 3 2 2" xfId="696"/>
    <cellStyle name="Normal 14 3 2 2 2" xfId="1118"/>
    <cellStyle name="Normal 14 3 2 2 3" xfId="1494"/>
    <cellStyle name="Normal 14 3 2 3" xfId="985"/>
    <cellStyle name="Normal 14 3 2 4" xfId="1361"/>
    <cellStyle name="Normal 14 3 3" xfId="641"/>
    <cellStyle name="Normal 14 3 3 2" xfId="1063"/>
    <cellStyle name="Normal 14 3 3 3" xfId="1439"/>
    <cellStyle name="Normal 14 3 4" xfId="924"/>
    <cellStyle name="Normal 14 3 5" xfId="1300"/>
    <cellStyle name="Normal 14 4" xfId="449"/>
    <cellStyle name="Normal 14 4 2" xfId="674"/>
    <cellStyle name="Normal 14 4 2 2" xfId="1096"/>
    <cellStyle name="Normal 14 4 2 3" xfId="1472"/>
    <cellStyle name="Normal 14 4 3" xfId="986"/>
    <cellStyle name="Normal 14 4 4" xfId="1362"/>
    <cellStyle name="Normal 14 5" xfId="450"/>
    <cellStyle name="Normal 14 5 2" xfId="729"/>
    <cellStyle name="Normal 14 5 2 2" xfId="1151"/>
    <cellStyle name="Normal 14 5 2 3" xfId="1527"/>
    <cellStyle name="Normal 14 5 3" xfId="987"/>
    <cellStyle name="Normal 14 5 4" xfId="1363"/>
    <cellStyle name="Normal 14 6" xfId="619"/>
    <cellStyle name="Normal 14 6 2" xfId="1041"/>
    <cellStyle name="Normal 14 6 3" xfId="1417"/>
    <cellStyle name="Normal 14 7" xfId="921"/>
    <cellStyle name="Normal 14 8" xfId="1297"/>
    <cellStyle name="Normal 14 9" xfId="1624"/>
    <cellStyle name="Normal 15" xfId="122"/>
    <cellStyle name="Normal 15 10" xfId="1301"/>
    <cellStyle name="Normal 15 2" xfId="123"/>
    <cellStyle name="Normal 15 2 2" xfId="124"/>
    <cellStyle name="Normal 15 2 2 2" xfId="125"/>
    <cellStyle name="Normal 15 2 2 2 2" xfId="451"/>
    <cellStyle name="Normal 15 2 2 3" xfId="452"/>
    <cellStyle name="Normal 15 2 3" xfId="126"/>
    <cellStyle name="Normal 15 2 3 2" xfId="453"/>
    <cellStyle name="Normal 15 2 4" xfId="454"/>
    <cellStyle name="Normal 15 3" xfId="127"/>
    <cellStyle name="Normal 15 3 2" xfId="128"/>
    <cellStyle name="Normal 15 3 2 2" xfId="455"/>
    <cellStyle name="Normal 15 3 2 2 2" xfId="698"/>
    <cellStyle name="Normal 15 3 2 2 2 2" xfId="1120"/>
    <cellStyle name="Normal 15 3 2 2 2 3" xfId="1496"/>
    <cellStyle name="Normal 15 3 2 2 3" xfId="988"/>
    <cellStyle name="Normal 15 3 2 2 4" xfId="1364"/>
    <cellStyle name="Normal 15 3 2 3" xfId="643"/>
    <cellStyle name="Normal 15 3 2 3 2" xfId="1065"/>
    <cellStyle name="Normal 15 3 2 3 3" xfId="1441"/>
    <cellStyle name="Normal 15 3 2 4" xfId="927"/>
    <cellStyle name="Normal 15 3 2 5" xfId="1303"/>
    <cellStyle name="Normal 15 3 3" xfId="456"/>
    <cellStyle name="Normal 15 3 3 2" xfId="697"/>
    <cellStyle name="Normal 15 3 3 2 2" xfId="1119"/>
    <cellStyle name="Normal 15 3 3 2 3" xfId="1495"/>
    <cellStyle name="Normal 15 3 3 3" xfId="989"/>
    <cellStyle name="Normal 15 3 3 4" xfId="1365"/>
    <cellStyle name="Normal 15 3 4" xfId="457"/>
    <cellStyle name="Normal 15 3 4 2" xfId="748"/>
    <cellStyle name="Normal 15 3 4 2 2" xfId="1170"/>
    <cellStyle name="Normal 15 3 4 2 3" xfId="1546"/>
    <cellStyle name="Normal 15 3 4 3" xfId="990"/>
    <cellStyle name="Normal 15 3 4 4" xfId="1366"/>
    <cellStyle name="Normal 15 3 5" xfId="642"/>
    <cellStyle name="Normal 15 3 5 2" xfId="1064"/>
    <cellStyle name="Normal 15 3 5 3" xfId="1440"/>
    <cellStyle name="Normal 15 3 6" xfId="926"/>
    <cellStyle name="Normal 15 3 7" xfId="1302"/>
    <cellStyle name="Normal 15 4" xfId="129"/>
    <cellStyle name="Normal 15 4 2" xfId="130"/>
    <cellStyle name="Normal 15 4 2 2" xfId="458"/>
    <cellStyle name="Normal 15 4 3" xfId="459"/>
    <cellStyle name="Normal 15 5" xfId="131"/>
    <cellStyle name="Normal 15 5 2" xfId="132"/>
    <cellStyle name="Normal 15 5 2 2" xfId="133"/>
    <cellStyle name="Normal 15 5 2 2 2" xfId="460"/>
    <cellStyle name="Normal 15 5 2 3" xfId="461"/>
    <cellStyle name="Normal 15 5 3" xfId="134"/>
    <cellStyle name="Normal 15 5 3 2" xfId="462"/>
    <cellStyle name="Normal 15 5 4" xfId="463"/>
    <cellStyle name="Normal 15 6" xfId="135"/>
    <cellStyle name="Normal 15 6 2" xfId="464"/>
    <cellStyle name="Normal 15 7" xfId="465"/>
    <cellStyle name="Normal 15 7 2" xfId="679"/>
    <cellStyle name="Normal 15 7 2 2" xfId="1101"/>
    <cellStyle name="Normal 15 7 2 3" xfId="1477"/>
    <cellStyle name="Normal 15 7 3" xfId="991"/>
    <cellStyle name="Normal 15 7 4" xfId="1367"/>
    <cellStyle name="Normal 15 8" xfId="624"/>
    <cellStyle name="Normal 15 8 2" xfId="1046"/>
    <cellStyle name="Normal 15 8 3" xfId="1422"/>
    <cellStyle name="Normal 15 9" xfId="925"/>
    <cellStyle name="Normal 152 2" xfId="843"/>
    <cellStyle name="Normal 16" xfId="136"/>
    <cellStyle name="Normal 16 2" xfId="137"/>
    <cellStyle name="Normal 16 2 2" xfId="138"/>
    <cellStyle name="Normal 16 2 2 2" xfId="139"/>
    <cellStyle name="Normal 16 2 2 2 2" xfId="466"/>
    <cellStyle name="Normal 16 2 2 3" xfId="467"/>
    <cellStyle name="Normal 16 2 3" xfId="140"/>
    <cellStyle name="Normal 16 2 3 2" xfId="468"/>
    <cellStyle name="Normal 16 2 4" xfId="469"/>
    <cellStyle name="Normal 16 3" xfId="141"/>
    <cellStyle name="Normal 16 3 2" xfId="142"/>
    <cellStyle name="Normal 16 3 2 2" xfId="470"/>
    <cellStyle name="Normal 16 3 3" xfId="471"/>
    <cellStyle name="Normal 16 4" xfId="143"/>
    <cellStyle name="Normal 16 4 2" xfId="472"/>
    <cellStyle name="Normal 16 5" xfId="473"/>
    <cellStyle name="Normal 16 5 2" xfId="680"/>
    <cellStyle name="Normal 16 5 2 2" xfId="1102"/>
    <cellStyle name="Normal 16 5 2 3" xfId="1478"/>
    <cellStyle name="Normal 16 5 3" xfId="992"/>
    <cellStyle name="Normal 16 5 4" xfId="1368"/>
    <cellStyle name="Normal 16 6" xfId="625"/>
    <cellStyle name="Normal 16 6 2" xfId="1047"/>
    <cellStyle name="Normal 16 6 3" xfId="1423"/>
    <cellStyle name="Normal 16 7" xfId="928"/>
    <cellStyle name="Normal 16 8" xfId="1304"/>
    <cellStyle name="Normal 17" xfId="144"/>
    <cellStyle name="Normal 17 2" xfId="145"/>
    <cellStyle name="Normal 17 2 2" xfId="146"/>
    <cellStyle name="Normal 17 2 2 2" xfId="147"/>
    <cellStyle name="Normal 17 2 2 2 2" xfId="474"/>
    <cellStyle name="Normal 17 2 2 3" xfId="475"/>
    <cellStyle name="Normal 17 2 3" xfId="148"/>
    <cellStyle name="Normal 17 2 3 2" xfId="476"/>
    <cellStyle name="Normal 17 2 4" xfId="477"/>
    <cellStyle name="Normal 17 3" xfId="149"/>
    <cellStyle name="Normal 17 3 2" xfId="150"/>
    <cellStyle name="Normal 17 3 2 2" xfId="478"/>
    <cellStyle name="Normal 17 3 3" xfId="479"/>
    <cellStyle name="Normal 17 4" xfId="151"/>
    <cellStyle name="Normal 17 4 2" xfId="152"/>
    <cellStyle name="Normal 17 4 2 2" xfId="480"/>
    <cellStyle name="Normal 17 4 3" xfId="481"/>
    <cellStyle name="Normal 17 4 4" xfId="769"/>
    <cellStyle name="Normal 17 5" xfId="153"/>
    <cellStyle name="Normal 17 5 2" xfId="482"/>
    <cellStyle name="Normal 17 6" xfId="483"/>
    <cellStyle name="Normal 17 6 2" xfId="681"/>
    <cellStyle name="Normal 17 6 2 2" xfId="1103"/>
    <cellStyle name="Normal 17 6 2 3" xfId="1479"/>
    <cellStyle name="Normal 17 6 3" xfId="993"/>
    <cellStyle name="Normal 17 6 4" xfId="1369"/>
    <cellStyle name="Normal 17 7" xfId="626"/>
    <cellStyle name="Normal 17 7 2" xfId="1048"/>
    <cellStyle name="Normal 17 7 3" xfId="1424"/>
    <cellStyle name="Normal 17 8" xfId="929"/>
    <cellStyle name="Normal 17 9" xfId="1305"/>
    <cellStyle name="Normal 18" xfId="154"/>
    <cellStyle name="Normal 18 2" xfId="155"/>
    <cellStyle name="Normal 18 2 2" xfId="156"/>
    <cellStyle name="Normal 18 2 2 2" xfId="157"/>
    <cellStyle name="Normal 18 2 2 2 2" xfId="484"/>
    <cellStyle name="Normal 18 2 2 3" xfId="485"/>
    <cellStyle name="Normal 18 2 3" xfId="158"/>
    <cellStyle name="Normal 18 2 3 2" xfId="486"/>
    <cellStyle name="Normal 18 2 4" xfId="487"/>
    <cellStyle name="Normal 18 3" xfId="159"/>
    <cellStyle name="Normal 18 3 2" xfId="160"/>
    <cellStyle name="Normal 18 3 2 2" xfId="488"/>
    <cellStyle name="Normal 18 3 3" xfId="489"/>
    <cellStyle name="Normal 19" xfId="161"/>
    <cellStyle name="Normal 19 2" xfId="162"/>
    <cellStyle name="Normal 19 2 2" xfId="163"/>
    <cellStyle name="Normal 19 2 2 2" xfId="164"/>
    <cellStyle name="Normal 19 2 2 2 2" xfId="490"/>
    <cellStyle name="Normal 19 2 2 3" xfId="491"/>
    <cellStyle name="Normal 19 2 3" xfId="165"/>
    <cellStyle name="Normal 19 2 3 2" xfId="492"/>
    <cellStyle name="Normal 19 2 4" xfId="493"/>
    <cellStyle name="Normal 19 3" xfId="166"/>
    <cellStyle name="Normal 19 3 2" xfId="167"/>
    <cellStyle name="Normal 19 3 2 2" xfId="494"/>
    <cellStyle name="Normal 19 3 3" xfId="495"/>
    <cellStyle name="Normal 19 4" xfId="168"/>
    <cellStyle name="Normal 19 4 2" xfId="496"/>
    <cellStyle name="Normal 19 5" xfId="497"/>
    <cellStyle name="Normal 19 5 2" xfId="682"/>
    <cellStyle name="Normal 19 5 2 2" xfId="1104"/>
    <cellStyle name="Normal 19 5 2 3" xfId="1480"/>
    <cellStyle name="Normal 19 5 3" xfId="994"/>
    <cellStyle name="Normal 19 5 4" xfId="1370"/>
    <cellStyle name="Normal 19 6" xfId="627"/>
    <cellStyle name="Normal 19 6 2" xfId="1049"/>
    <cellStyle name="Normal 19 6 3" xfId="1425"/>
    <cellStyle name="Normal 19 7" xfId="930"/>
    <cellStyle name="Normal 19 8" xfId="1306"/>
    <cellStyle name="Normal 2" xfId="169"/>
    <cellStyle name="Normal 2 10" xfId="1281"/>
    <cellStyle name="Normal 2 11" xfId="1605"/>
    <cellStyle name="Normal 2 11 2" xfId="1742"/>
    <cellStyle name="Normal 2 11 3" xfId="1746"/>
    <cellStyle name="Normal 2 12" xfId="1679"/>
    <cellStyle name="Normal 2 13" xfId="1731"/>
    <cellStyle name="Normal 2 14" xfId="1771"/>
    <cellStyle name="Normal 2 146" xfId="839"/>
    <cellStyle name="Normal 2 2" xfId="170"/>
    <cellStyle name="Normal 2 2 10" xfId="1307"/>
    <cellStyle name="Normal 2 2 157" xfId="854"/>
    <cellStyle name="Normal 2 2 2" xfId="171"/>
    <cellStyle name="Normal 2 2 2 145" xfId="1661"/>
    <cellStyle name="Normal 2 2 2 152 2 2 2 2" xfId="873"/>
    <cellStyle name="Normal 2 2 2 2" xfId="498"/>
    <cellStyle name="Normal 2 2 2 2 2" xfId="700"/>
    <cellStyle name="Normal 2 2 2 2 2 2" xfId="1122"/>
    <cellStyle name="Normal 2 2 2 2 2 3" xfId="1498"/>
    <cellStyle name="Normal 2 2 2 2 3" xfId="995"/>
    <cellStyle name="Normal 2 2 2 2 4" xfId="1371"/>
    <cellStyle name="Normal 2 2 2 3" xfId="645"/>
    <cellStyle name="Normal 2 2 2 3 2" xfId="1067"/>
    <cellStyle name="Normal 2 2 2 3 3" xfId="1443"/>
    <cellStyle name="Normal 2 2 2 4" xfId="932"/>
    <cellStyle name="Normal 2 2 2 5" xfId="1308"/>
    <cellStyle name="Normal 2 2 3" xfId="499"/>
    <cellStyle name="Normal 2 2 3 2" xfId="699"/>
    <cellStyle name="Normal 2 2 3 2 2" xfId="1121"/>
    <cellStyle name="Normal 2 2 3 2 3" xfId="1497"/>
    <cellStyle name="Normal 2 2 3 3" xfId="996"/>
    <cellStyle name="Normal 2 2 3 4" xfId="1372"/>
    <cellStyle name="Normal 2 2 4" xfId="500"/>
    <cellStyle name="Normal 2 2 4 2" xfId="733"/>
    <cellStyle name="Normal 2 2 4 2 2" xfId="1155"/>
    <cellStyle name="Normal 2 2 4 2 3" xfId="1531"/>
    <cellStyle name="Normal 2 2 4 3" xfId="997"/>
    <cellStyle name="Normal 2 2 4 4" xfId="1373"/>
    <cellStyle name="Normal 2 2 5" xfId="644"/>
    <cellStyle name="Normal 2 2 5 2" xfId="1066"/>
    <cellStyle name="Normal 2 2 5 3" xfId="1442"/>
    <cellStyle name="Normal 2 2 6" xfId="817"/>
    <cellStyle name="Normal 2 2 6 2" xfId="1209"/>
    <cellStyle name="Normal 2 2 7" xfId="828"/>
    <cellStyle name="Normal 2 2 7 2" xfId="869"/>
    <cellStyle name="Normal 2 2 7 2 2" xfId="906"/>
    <cellStyle name="Normal 2 2 7 2 2 2" xfId="1273"/>
    <cellStyle name="Normal 2 2 7 2 3" xfId="1242"/>
    <cellStyle name="Normal 2 2 7 3" xfId="1215"/>
    <cellStyle name="Normal 2 2 7 4" xfId="1629"/>
    <cellStyle name="Normal 2 2 8" xfId="878"/>
    <cellStyle name="Normal 2 2 9" xfId="931"/>
    <cellStyle name="Normal 2 3" xfId="172"/>
    <cellStyle name="Normal 2 3 143" xfId="837"/>
    <cellStyle name="Normal 2 3 2" xfId="785"/>
    <cellStyle name="Normal 2 4" xfId="759"/>
    <cellStyle name="Normal 2 4 2" xfId="1175"/>
    <cellStyle name="Normal 2 4 2 2" xfId="1613"/>
    <cellStyle name="Normal 2 4 2 3" xfId="1625"/>
    <cellStyle name="Normal 2 4 2 4" xfId="1652"/>
    <cellStyle name="Normal 2 4 3" xfId="1550"/>
    <cellStyle name="Normal 2 4 3 2" xfId="1620"/>
    <cellStyle name="Normal 2 5" xfId="765"/>
    <cellStyle name="Normal 2 5 2" xfId="1181"/>
    <cellStyle name="Normal 2 5 3" xfId="1556"/>
    <cellStyle name="Normal 2 6" xfId="806"/>
    <cellStyle name="Normal 2 6 2" xfId="1200"/>
    <cellStyle name="Normal 2 6 3" xfId="1572"/>
    <cellStyle name="Normal 2 7" xfId="813"/>
    <cellStyle name="Normal 2 8" xfId="829"/>
    <cellStyle name="Normal 2 8 2" xfId="1593"/>
    <cellStyle name="Normal 2 9" xfId="870"/>
    <cellStyle name="Normal 2 9 2" xfId="1243"/>
    <cellStyle name="Normal 20" xfId="173"/>
    <cellStyle name="Normal 20 2" xfId="174"/>
    <cellStyle name="Normal 20 2 2" xfId="175"/>
    <cellStyle name="Normal 20 2 2 2" xfId="176"/>
    <cellStyle name="Normal 20 2 2 2 2" xfId="501"/>
    <cellStyle name="Normal 20 2 2 3" xfId="502"/>
    <cellStyle name="Normal 20 2 3" xfId="177"/>
    <cellStyle name="Normal 20 2 3 2" xfId="503"/>
    <cellStyle name="Normal 20 2 4" xfId="504"/>
    <cellStyle name="Normal 20 3" xfId="178"/>
    <cellStyle name="Normal 20 3 2" xfId="179"/>
    <cellStyle name="Normal 20 3 2 2" xfId="505"/>
    <cellStyle name="Normal 20 3 3" xfId="506"/>
    <cellStyle name="Normal 20 4" xfId="180"/>
    <cellStyle name="Normal 20 4 2" xfId="507"/>
    <cellStyle name="Normal 20 5" xfId="508"/>
    <cellStyle name="Normal 20 5 2" xfId="683"/>
    <cellStyle name="Normal 20 5 2 2" xfId="1105"/>
    <cellStyle name="Normal 20 5 2 3" xfId="1481"/>
    <cellStyle name="Normal 20 5 3" xfId="998"/>
    <cellStyle name="Normal 20 5 4" xfId="1374"/>
    <cellStyle name="Normal 20 6" xfId="628"/>
    <cellStyle name="Normal 20 6 2" xfId="1050"/>
    <cellStyle name="Normal 20 6 3" xfId="1426"/>
    <cellStyle name="Normal 20 7" xfId="933"/>
    <cellStyle name="Normal 20 8" xfId="1309"/>
    <cellStyle name="Normal 202 2" xfId="1639"/>
    <cellStyle name="Normal 202 2 2" xfId="1681"/>
    <cellStyle name="Normal 202 2 3" xfId="1684"/>
    <cellStyle name="Normal 207 2 2 2" xfId="841"/>
    <cellStyle name="Normal 207 2 2 2 2" xfId="1223"/>
    <cellStyle name="Normal 207 2 2 2 2 2" xfId="1632"/>
    <cellStyle name="Normal 207 2 2 2 2 2 2" xfId="1656"/>
    <cellStyle name="Normal 207 4" xfId="844"/>
    <cellStyle name="Normal 207 4 2" xfId="1224"/>
    <cellStyle name="Normal 207 4 2 2" xfId="1633"/>
    <cellStyle name="Normal 207 4 2 2 2" xfId="1657"/>
    <cellStyle name="Normal 21" xfId="181"/>
    <cellStyle name="Normal 21 2" xfId="182"/>
    <cellStyle name="Normal 21 2 2" xfId="183"/>
    <cellStyle name="Normal 21 2 2 2" xfId="509"/>
    <cellStyle name="Normal 21 2 2 2 2" xfId="702"/>
    <cellStyle name="Normal 21 2 2 2 2 2" xfId="1124"/>
    <cellStyle name="Normal 21 2 2 2 2 3" xfId="1500"/>
    <cellStyle name="Normal 21 2 2 2 3" xfId="999"/>
    <cellStyle name="Normal 21 2 2 2 4" xfId="1375"/>
    <cellStyle name="Normal 21 2 2 3" xfId="647"/>
    <cellStyle name="Normal 21 2 2 3 2" xfId="1069"/>
    <cellStyle name="Normal 21 2 2 3 3" xfId="1445"/>
    <cellStyle name="Normal 21 2 2 4" xfId="936"/>
    <cellStyle name="Normal 21 2 2 5" xfId="1312"/>
    <cellStyle name="Normal 21 2 3" xfId="510"/>
    <cellStyle name="Normal 21 2 3 2" xfId="701"/>
    <cellStyle name="Normal 21 2 3 2 2" xfId="1123"/>
    <cellStyle name="Normal 21 2 3 2 3" xfId="1499"/>
    <cellStyle name="Normal 21 2 3 3" xfId="1000"/>
    <cellStyle name="Normal 21 2 3 4" xfId="1376"/>
    <cellStyle name="Normal 21 2 4" xfId="511"/>
    <cellStyle name="Normal 21 2 4 2" xfId="735"/>
    <cellStyle name="Normal 21 2 4 2 2" xfId="1157"/>
    <cellStyle name="Normal 21 2 4 2 3" xfId="1533"/>
    <cellStyle name="Normal 21 2 4 3" xfId="1001"/>
    <cellStyle name="Normal 21 2 4 4" xfId="1377"/>
    <cellStyle name="Normal 21 2 5" xfId="646"/>
    <cellStyle name="Normal 21 2 5 2" xfId="1068"/>
    <cellStyle name="Normal 21 2 5 3" xfId="1444"/>
    <cellStyle name="Normal 21 2 6" xfId="935"/>
    <cellStyle name="Normal 21 2 7" xfId="1311"/>
    <cellStyle name="Normal 21 3" xfId="184"/>
    <cellStyle name="Normal 21 3 2" xfId="512"/>
    <cellStyle name="Normal 21 3 2 2" xfId="703"/>
    <cellStyle name="Normal 21 3 2 2 2" xfId="1125"/>
    <cellStyle name="Normal 21 3 2 2 3" xfId="1501"/>
    <cellStyle name="Normal 21 3 2 3" xfId="1002"/>
    <cellStyle name="Normal 21 3 2 4" xfId="1378"/>
    <cellStyle name="Normal 21 3 3" xfId="648"/>
    <cellStyle name="Normal 21 3 3 2" xfId="1070"/>
    <cellStyle name="Normal 21 3 3 3" xfId="1446"/>
    <cellStyle name="Normal 21 3 4" xfId="937"/>
    <cellStyle name="Normal 21 3 5" xfId="1313"/>
    <cellStyle name="Normal 21 4" xfId="513"/>
    <cellStyle name="Normal 21 4 2" xfId="684"/>
    <cellStyle name="Normal 21 4 2 2" xfId="1106"/>
    <cellStyle name="Normal 21 4 2 3" xfId="1482"/>
    <cellStyle name="Normal 21 4 3" xfId="1003"/>
    <cellStyle name="Normal 21 4 4" xfId="1379"/>
    <cellStyle name="Normal 21 5" xfId="514"/>
    <cellStyle name="Normal 21 5 2" xfId="734"/>
    <cellStyle name="Normal 21 5 2 2" xfId="1156"/>
    <cellStyle name="Normal 21 5 2 3" xfId="1532"/>
    <cellStyle name="Normal 21 5 3" xfId="1004"/>
    <cellStyle name="Normal 21 5 4" xfId="1380"/>
    <cellStyle name="Normal 21 6" xfId="629"/>
    <cellStyle name="Normal 21 6 2" xfId="1051"/>
    <cellStyle name="Normal 21 6 3" xfId="1427"/>
    <cellStyle name="Normal 21 7" xfId="934"/>
    <cellStyle name="Normal 21 8" xfId="1310"/>
    <cellStyle name="Normal 22" xfId="185"/>
    <cellStyle name="Normal 22 2" xfId="186"/>
    <cellStyle name="Normal 22 2 2" xfId="187"/>
    <cellStyle name="Normal 22 2 2 2" xfId="515"/>
    <cellStyle name="Normal 22 2 2 2 2" xfId="706"/>
    <cellStyle name="Normal 22 2 2 2 2 2" xfId="1128"/>
    <cellStyle name="Normal 22 2 2 2 2 3" xfId="1504"/>
    <cellStyle name="Normal 22 2 2 2 3" xfId="1005"/>
    <cellStyle name="Normal 22 2 2 2 4" xfId="1381"/>
    <cellStyle name="Normal 22 2 2 3" xfId="651"/>
    <cellStyle name="Normal 22 2 2 3 2" xfId="1073"/>
    <cellStyle name="Normal 22 2 2 3 3" xfId="1449"/>
    <cellStyle name="Normal 22 2 2 4" xfId="940"/>
    <cellStyle name="Normal 22 2 2 5" xfId="1316"/>
    <cellStyle name="Normal 22 2 3" xfId="516"/>
    <cellStyle name="Normal 22 2 3 2" xfId="705"/>
    <cellStyle name="Normal 22 2 3 2 2" xfId="1127"/>
    <cellStyle name="Normal 22 2 3 2 3" xfId="1503"/>
    <cellStyle name="Normal 22 2 3 3" xfId="1006"/>
    <cellStyle name="Normal 22 2 3 4" xfId="1382"/>
    <cellStyle name="Normal 22 2 4" xfId="517"/>
    <cellStyle name="Normal 22 2 4 2" xfId="737"/>
    <cellStyle name="Normal 22 2 4 2 2" xfId="1159"/>
    <cellStyle name="Normal 22 2 4 2 3" xfId="1535"/>
    <cellStyle name="Normal 22 2 4 3" xfId="1007"/>
    <cellStyle name="Normal 22 2 4 4" xfId="1383"/>
    <cellStyle name="Normal 22 2 5" xfId="650"/>
    <cellStyle name="Normal 22 2 5 2" xfId="1072"/>
    <cellStyle name="Normal 22 2 5 3" xfId="1448"/>
    <cellStyle name="Normal 22 2 6" xfId="939"/>
    <cellStyle name="Normal 22 2 7" xfId="1315"/>
    <cellStyle name="Normal 22 3" xfId="188"/>
    <cellStyle name="Normal 22 3 2" xfId="518"/>
    <cellStyle name="Normal 22 3 2 2" xfId="707"/>
    <cellStyle name="Normal 22 3 2 2 2" xfId="1129"/>
    <cellStyle name="Normal 22 3 2 2 3" xfId="1505"/>
    <cellStyle name="Normal 22 3 2 3" xfId="1008"/>
    <cellStyle name="Normal 22 3 2 4" xfId="1384"/>
    <cellStyle name="Normal 22 3 3" xfId="652"/>
    <cellStyle name="Normal 22 3 3 2" xfId="1074"/>
    <cellStyle name="Normal 22 3 3 3" xfId="1450"/>
    <cellStyle name="Normal 22 3 4" xfId="941"/>
    <cellStyle name="Normal 22 3 5" xfId="1317"/>
    <cellStyle name="Normal 22 4" xfId="519"/>
    <cellStyle name="Normal 22 4 2" xfId="704"/>
    <cellStyle name="Normal 22 4 2 2" xfId="1126"/>
    <cellStyle name="Normal 22 4 2 3" xfId="1502"/>
    <cellStyle name="Normal 22 4 3" xfId="1009"/>
    <cellStyle name="Normal 22 4 4" xfId="1385"/>
    <cellStyle name="Normal 22 5" xfId="520"/>
    <cellStyle name="Normal 22 5 2" xfId="736"/>
    <cellStyle name="Normal 22 5 2 2" xfId="1158"/>
    <cellStyle name="Normal 22 5 2 3" xfId="1534"/>
    <cellStyle name="Normal 22 5 3" xfId="1010"/>
    <cellStyle name="Normal 22 5 4" xfId="1386"/>
    <cellStyle name="Normal 22 6" xfId="649"/>
    <cellStyle name="Normal 22 6 2" xfId="1071"/>
    <cellStyle name="Normal 22 6 3" xfId="1447"/>
    <cellStyle name="Normal 22 7" xfId="938"/>
    <cellStyle name="Normal 22 8" xfId="1314"/>
    <cellStyle name="Normal 23" xfId="189"/>
    <cellStyle name="Normal 23 2" xfId="190"/>
    <cellStyle name="Normal 23 2 2" xfId="191"/>
    <cellStyle name="Normal 23 2 2 2" xfId="521"/>
    <cellStyle name="Normal 23 2 3" xfId="522"/>
    <cellStyle name="Normal 23 3" xfId="192"/>
    <cellStyle name="Normal 23 3 2" xfId="523"/>
    <cellStyle name="Normal 23 3 2 2" xfId="709"/>
    <cellStyle name="Normal 23 3 2 2 2" xfId="1131"/>
    <cellStyle name="Normal 23 3 2 2 3" xfId="1507"/>
    <cellStyle name="Normal 23 3 2 3" xfId="1011"/>
    <cellStyle name="Normal 23 3 2 4" xfId="1387"/>
    <cellStyle name="Normal 23 3 3" xfId="654"/>
    <cellStyle name="Normal 23 3 3 2" xfId="1076"/>
    <cellStyle name="Normal 23 3 3 3" xfId="1452"/>
    <cellStyle name="Normal 23 3 4" xfId="943"/>
    <cellStyle name="Normal 23 3 5" xfId="1319"/>
    <cellStyle name="Normal 23 4" xfId="524"/>
    <cellStyle name="Normal 23 4 2" xfId="708"/>
    <cellStyle name="Normal 23 4 2 2" xfId="1130"/>
    <cellStyle name="Normal 23 4 2 3" xfId="1506"/>
    <cellStyle name="Normal 23 4 3" xfId="1012"/>
    <cellStyle name="Normal 23 4 4" xfId="1388"/>
    <cellStyle name="Normal 23 5" xfId="525"/>
    <cellStyle name="Normal 23 5 2" xfId="738"/>
    <cellStyle name="Normal 23 5 2 2" xfId="1160"/>
    <cellStyle name="Normal 23 5 2 3" xfId="1536"/>
    <cellStyle name="Normal 23 5 3" xfId="1013"/>
    <cellStyle name="Normal 23 5 4" xfId="1389"/>
    <cellStyle name="Normal 23 6" xfId="653"/>
    <cellStyle name="Normal 23 6 2" xfId="1075"/>
    <cellStyle name="Normal 23 6 3" xfId="1451"/>
    <cellStyle name="Normal 23 7" xfId="942"/>
    <cellStyle name="Normal 23 8" xfId="1318"/>
    <cellStyle name="Normal 24" xfId="193"/>
    <cellStyle name="Normal 24 2" xfId="194"/>
    <cellStyle name="Normal 24 2 2" xfId="195"/>
    <cellStyle name="Normal 24 2 2 2" xfId="526"/>
    <cellStyle name="Normal 24 2 3" xfId="527"/>
    <cellStyle name="Normal 24 3" xfId="196"/>
    <cellStyle name="Normal 24 3 2" xfId="528"/>
    <cellStyle name="Normal 24 3 2 2" xfId="711"/>
    <cellStyle name="Normal 24 3 2 2 2" xfId="1133"/>
    <cellStyle name="Normal 24 3 2 2 3" xfId="1509"/>
    <cellStyle name="Normal 24 3 2 3" xfId="1014"/>
    <cellStyle name="Normal 24 3 2 4" xfId="1390"/>
    <cellStyle name="Normal 24 3 3" xfId="656"/>
    <cellStyle name="Normal 24 3 3 2" xfId="1078"/>
    <cellStyle name="Normal 24 3 3 3" xfId="1454"/>
    <cellStyle name="Normal 24 3 4" xfId="945"/>
    <cellStyle name="Normal 24 3 5" xfId="1321"/>
    <cellStyle name="Normal 24 4" xfId="529"/>
    <cellStyle name="Normal 24 4 2" xfId="710"/>
    <cellStyle name="Normal 24 4 2 2" xfId="1132"/>
    <cellStyle name="Normal 24 4 2 3" xfId="1508"/>
    <cellStyle name="Normal 24 4 3" xfId="1015"/>
    <cellStyle name="Normal 24 4 4" xfId="1391"/>
    <cellStyle name="Normal 24 5" xfId="530"/>
    <cellStyle name="Normal 24 5 2" xfId="739"/>
    <cellStyle name="Normal 24 5 2 2" xfId="1161"/>
    <cellStyle name="Normal 24 5 2 3" xfId="1537"/>
    <cellStyle name="Normal 24 5 3" xfId="1016"/>
    <cellStyle name="Normal 24 5 4" xfId="1392"/>
    <cellStyle name="Normal 24 6" xfId="655"/>
    <cellStyle name="Normal 24 6 2" xfId="1077"/>
    <cellStyle name="Normal 24 6 3" xfId="1453"/>
    <cellStyle name="Normal 24 7" xfId="944"/>
    <cellStyle name="Normal 24 8" xfId="1320"/>
    <cellStyle name="Normal 25" xfId="197"/>
    <cellStyle name="Normal 25 2" xfId="198"/>
    <cellStyle name="Normal 25 2 2" xfId="199"/>
    <cellStyle name="Normal 25 2 2 2" xfId="531"/>
    <cellStyle name="Normal 25 2 3" xfId="532"/>
    <cellStyle name="Normal 25 3" xfId="200"/>
    <cellStyle name="Normal 25 3 2" xfId="533"/>
    <cellStyle name="Normal 25 3 2 2" xfId="713"/>
    <cellStyle name="Normal 25 3 2 2 2" xfId="1135"/>
    <cellStyle name="Normal 25 3 2 2 3" xfId="1511"/>
    <cellStyle name="Normal 25 3 2 3" xfId="1017"/>
    <cellStyle name="Normal 25 3 2 4" xfId="1393"/>
    <cellStyle name="Normal 25 3 3" xfId="658"/>
    <cellStyle name="Normal 25 3 3 2" xfId="1080"/>
    <cellStyle name="Normal 25 3 3 3" xfId="1456"/>
    <cellStyle name="Normal 25 3 4" xfId="947"/>
    <cellStyle name="Normal 25 3 5" xfId="1323"/>
    <cellStyle name="Normal 25 4" xfId="534"/>
    <cellStyle name="Normal 25 4 2" xfId="712"/>
    <cellStyle name="Normal 25 4 2 2" xfId="1134"/>
    <cellStyle name="Normal 25 4 2 3" xfId="1510"/>
    <cellStyle name="Normal 25 4 3" xfId="1018"/>
    <cellStyle name="Normal 25 4 4" xfId="1394"/>
    <cellStyle name="Normal 25 5" xfId="535"/>
    <cellStyle name="Normal 25 5 2" xfId="740"/>
    <cellStyle name="Normal 25 5 2 2" xfId="1162"/>
    <cellStyle name="Normal 25 5 2 3" xfId="1538"/>
    <cellStyle name="Normal 25 5 3" xfId="1019"/>
    <cellStyle name="Normal 25 5 4" xfId="1395"/>
    <cellStyle name="Normal 25 6" xfId="657"/>
    <cellStyle name="Normal 25 6 2" xfId="1079"/>
    <cellStyle name="Normal 25 6 3" xfId="1455"/>
    <cellStyle name="Normal 25 7" xfId="946"/>
    <cellStyle name="Normal 25 8" xfId="1322"/>
    <cellStyle name="Normal 26" xfId="201"/>
    <cellStyle name="Normal 26 2" xfId="202"/>
    <cellStyle name="Normal 26 2 2" xfId="203"/>
    <cellStyle name="Normal 26 2 2 2" xfId="536"/>
    <cellStyle name="Normal 26 2 3" xfId="537"/>
    <cellStyle name="Normal 26 3" xfId="204"/>
    <cellStyle name="Normal 26 3 2" xfId="538"/>
    <cellStyle name="Normal 26 3 2 2" xfId="715"/>
    <cellStyle name="Normal 26 3 2 2 2" xfId="1137"/>
    <cellStyle name="Normal 26 3 2 2 3" xfId="1513"/>
    <cellStyle name="Normal 26 3 2 3" xfId="1020"/>
    <cellStyle name="Normal 26 3 2 4" xfId="1396"/>
    <cellStyle name="Normal 26 3 3" xfId="660"/>
    <cellStyle name="Normal 26 3 3 2" xfId="1082"/>
    <cellStyle name="Normal 26 3 3 3" xfId="1458"/>
    <cellStyle name="Normal 26 3 4" xfId="949"/>
    <cellStyle name="Normal 26 3 5" xfId="1325"/>
    <cellStyle name="Normal 26 4" xfId="539"/>
    <cellStyle name="Normal 26 4 2" xfId="714"/>
    <cellStyle name="Normal 26 4 2 2" xfId="1136"/>
    <cellStyle name="Normal 26 4 2 3" xfId="1512"/>
    <cellStyle name="Normal 26 4 3" xfId="1021"/>
    <cellStyle name="Normal 26 4 4" xfId="1397"/>
    <cellStyle name="Normal 26 5" xfId="540"/>
    <cellStyle name="Normal 26 5 2" xfId="741"/>
    <cellStyle name="Normal 26 5 2 2" xfId="1163"/>
    <cellStyle name="Normal 26 5 2 3" xfId="1539"/>
    <cellStyle name="Normal 26 5 3" xfId="1022"/>
    <cellStyle name="Normal 26 5 4" xfId="1398"/>
    <cellStyle name="Normal 26 6" xfId="659"/>
    <cellStyle name="Normal 26 6 2" xfId="1081"/>
    <cellStyle name="Normal 26 6 3" xfId="1457"/>
    <cellStyle name="Normal 26 7" xfId="948"/>
    <cellStyle name="Normal 26 8" xfId="1324"/>
    <cellStyle name="Normal 27" xfId="205"/>
    <cellStyle name="Normal 27 2" xfId="206"/>
    <cellStyle name="Normal 27 2 2" xfId="207"/>
    <cellStyle name="Normal 27 2 2 2" xfId="541"/>
    <cellStyle name="Normal 27 2 3" xfId="542"/>
    <cellStyle name="Normal 27 3" xfId="208"/>
    <cellStyle name="Normal 27 3 2" xfId="543"/>
    <cellStyle name="Normal 27 3 2 2" xfId="717"/>
    <cellStyle name="Normal 27 3 2 2 2" xfId="1139"/>
    <cellStyle name="Normal 27 3 2 2 3" xfId="1515"/>
    <cellStyle name="Normal 27 3 2 3" xfId="1023"/>
    <cellStyle name="Normal 27 3 2 4" xfId="1399"/>
    <cellStyle name="Normal 27 3 3" xfId="662"/>
    <cellStyle name="Normal 27 3 3 2" xfId="1084"/>
    <cellStyle name="Normal 27 3 3 3" xfId="1460"/>
    <cellStyle name="Normal 27 3 4" xfId="951"/>
    <cellStyle name="Normal 27 3 5" xfId="1327"/>
    <cellStyle name="Normal 27 4" xfId="544"/>
    <cellStyle name="Normal 27 4 2" xfId="716"/>
    <cellStyle name="Normal 27 4 2 2" xfId="1138"/>
    <cellStyle name="Normal 27 4 2 3" xfId="1514"/>
    <cellStyle name="Normal 27 4 3" xfId="1024"/>
    <cellStyle name="Normal 27 4 4" xfId="1400"/>
    <cellStyle name="Normal 27 5" xfId="545"/>
    <cellStyle name="Normal 27 5 2" xfId="742"/>
    <cellStyle name="Normal 27 5 2 2" xfId="1164"/>
    <cellStyle name="Normal 27 5 2 3" xfId="1540"/>
    <cellStyle name="Normal 27 5 3" xfId="1025"/>
    <cellStyle name="Normal 27 5 4" xfId="1401"/>
    <cellStyle name="Normal 27 6" xfId="661"/>
    <cellStyle name="Normal 27 6 2" xfId="1083"/>
    <cellStyle name="Normal 27 6 3" xfId="1459"/>
    <cellStyle name="Normal 27 7" xfId="950"/>
    <cellStyle name="Normal 27 8" xfId="1326"/>
    <cellStyle name="Normal 28" xfId="209"/>
    <cellStyle name="Normal 29" xfId="210"/>
    <cellStyle name="Normal 3" xfId="211"/>
    <cellStyle name="Normal 3 10 2 2" xfId="856"/>
    <cellStyle name="Normal 3 10 2 2 2 2 2 2" xfId="1636"/>
    <cellStyle name="Normal 3 2" xfId="212"/>
    <cellStyle name="Normal 3 2 2" xfId="213"/>
    <cellStyle name="Normal 3 3" xfId="214"/>
    <cellStyle name="Normal 3 4" xfId="215"/>
    <cellStyle name="Normal 3 4 2 2" xfId="1667"/>
    <cellStyle name="Normal 3 5" xfId="772"/>
    <cellStyle name="Normal 3 6" xfId="1645"/>
    <cellStyle name="Normal 30" xfId="216"/>
    <cellStyle name="Normal 30 2" xfId="217"/>
    <cellStyle name="Normal 30 2 2" xfId="218"/>
    <cellStyle name="Normal 30 2 2 2" xfId="546"/>
    <cellStyle name="Normal 30 2 3" xfId="547"/>
    <cellStyle name="Normal 30 3" xfId="219"/>
    <cellStyle name="Normal 30 3 2" xfId="548"/>
    <cellStyle name="Normal 30 4" xfId="549"/>
    <cellStyle name="Normal 31" xfId="220"/>
    <cellStyle name="Normal 31 2" xfId="221"/>
    <cellStyle name="Normal 31 2 2" xfId="222"/>
    <cellStyle name="Normal 31 2 2 2" xfId="550"/>
    <cellStyle name="Normal 31 2 3" xfId="551"/>
    <cellStyle name="Normal 31 3" xfId="223"/>
    <cellStyle name="Normal 31 3 2" xfId="552"/>
    <cellStyle name="Normal 31 4" xfId="553"/>
    <cellStyle name="Normal 32" xfId="224"/>
    <cellStyle name="Normal 32 2" xfId="225"/>
    <cellStyle name="Normal 32 2 2" xfId="554"/>
    <cellStyle name="Normal 32 3" xfId="555"/>
    <cellStyle name="Normal 33" xfId="226"/>
    <cellStyle name="Normal 34" xfId="227"/>
    <cellStyle name="Normal 35" xfId="228"/>
    <cellStyle name="Normal 35 2" xfId="229"/>
    <cellStyle name="Normal 35 2 2" xfId="556"/>
    <cellStyle name="Normal 35 3" xfId="557"/>
    <cellStyle name="Normal 36" xfId="230"/>
    <cellStyle name="Normal 36 2" xfId="231"/>
    <cellStyle name="Normal 36 2 2" xfId="558"/>
    <cellStyle name="Normal 36 3" xfId="559"/>
    <cellStyle name="Normal 37" xfId="232"/>
    <cellStyle name="Normal 37 2" xfId="233"/>
    <cellStyle name="Normal 37 2 2" xfId="560"/>
    <cellStyle name="Normal 37 2 2 2" xfId="719"/>
    <cellStyle name="Normal 37 2 2 2 2" xfId="1141"/>
    <cellStyle name="Normal 37 2 2 2 3" xfId="1517"/>
    <cellStyle name="Normal 37 2 2 3" xfId="1026"/>
    <cellStyle name="Normal 37 2 2 4" xfId="1402"/>
    <cellStyle name="Normal 37 2 3" xfId="664"/>
    <cellStyle name="Normal 37 2 3 2" xfId="1086"/>
    <cellStyle name="Normal 37 2 3 3" xfId="1462"/>
    <cellStyle name="Normal 37 2 4" xfId="953"/>
    <cellStyle name="Normal 37 2 5" xfId="1329"/>
    <cellStyle name="Normal 37 3" xfId="561"/>
    <cellStyle name="Normal 37 3 2" xfId="718"/>
    <cellStyle name="Normal 37 3 2 2" xfId="1140"/>
    <cellStyle name="Normal 37 3 2 3" xfId="1516"/>
    <cellStyle name="Normal 37 3 3" xfId="1027"/>
    <cellStyle name="Normal 37 3 4" xfId="1403"/>
    <cellStyle name="Normal 37 4" xfId="562"/>
    <cellStyle name="Normal 37 4 2" xfId="743"/>
    <cellStyle name="Normal 37 4 2 2" xfId="1165"/>
    <cellStyle name="Normal 37 4 2 3" xfId="1541"/>
    <cellStyle name="Normal 37 4 3" xfId="1028"/>
    <cellStyle name="Normal 37 4 4" xfId="1404"/>
    <cellStyle name="Normal 37 5" xfId="663"/>
    <cellStyle name="Normal 37 5 2" xfId="1085"/>
    <cellStyle name="Normal 37 5 3" xfId="1461"/>
    <cellStyle name="Normal 37 6" xfId="952"/>
    <cellStyle name="Normal 37 7" xfId="1328"/>
    <cellStyle name="Normal 38" xfId="234"/>
    <cellStyle name="Normal 38 2" xfId="235"/>
    <cellStyle name="Normal 38 2 2" xfId="563"/>
    <cellStyle name="Normal 38 2 2 2" xfId="721"/>
    <cellStyle name="Normal 38 2 2 2 2" xfId="1143"/>
    <cellStyle name="Normal 38 2 2 2 3" xfId="1519"/>
    <cellStyle name="Normal 38 2 2 3" xfId="1029"/>
    <cellStyle name="Normal 38 2 2 4" xfId="1405"/>
    <cellStyle name="Normal 38 2 3" xfId="666"/>
    <cellStyle name="Normal 38 2 3 2" xfId="1088"/>
    <cellStyle name="Normal 38 2 3 3" xfId="1464"/>
    <cellStyle name="Normal 38 2 4" xfId="955"/>
    <cellStyle name="Normal 38 2 5" xfId="1331"/>
    <cellStyle name="Normal 38 3" xfId="564"/>
    <cellStyle name="Normal 38 3 2" xfId="720"/>
    <cellStyle name="Normal 38 3 2 2" xfId="1142"/>
    <cellStyle name="Normal 38 3 2 3" xfId="1518"/>
    <cellStyle name="Normal 38 3 3" xfId="1030"/>
    <cellStyle name="Normal 38 3 4" xfId="1406"/>
    <cellStyle name="Normal 38 4" xfId="565"/>
    <cellStyle name="Normal 38 4 2" xfId="744"/>
    <cellStyle name="Normal 38 4 2 2" xfId="1166"/>
    <cellStyle name="Normal 38 4 2 3" xfId="1542"/>
    <cellStyle name="Normal 38 4 3" xfId="1031"/>
    <cellStyle name="Normal 38 4 4" xfId="1407"/>
    <cellStyle name="Normal 38 5" xfId="665"/>
    <cellStyle name="Normal 38 5 2" xfId="1087"/>
    <cellStyle name="Normal 38 5 3" xfId="1463"/>
    <cellStyle name="Normal 38 6" xfId="954"/>
    <cellStyle name="Normal 38 7" xfId="1330"/>
    <cellStyle name="Normal 39" xfId="236"/>
    <cellStyle name="Normal 39 2" xfId="237"/>
    <cellStyle name="Normal 39 2 2" xfId="238"/>
    <cellStyle name="Normal 39 3" xfId="239"/>
    <cellStyle name="Normal 39 3 2" xfId="566"/>
    <cellStyle name="Normal 39 4" xfId="567"/>
    <cellStyle name="Normal 4" xfId="240"/>
    <cellStyle name="Normal 4 161" xfId="857"/>
    <cellStyle name="Normal 4 161 2" xfId="1231"/>
    <cellStyle name="Normal 4 2" xfId="1621"/>
    <cellStyle name="Normal 4 2 2" xfId="1666"/>
    <cellStyle name="Normal 4 3" xfId="881"/>
    <cellStyle name="Normal 40" xfId="241"/>
    <cellStyle name="Normal 40 2" xfId="242"/>
    <cellStyle name="Normal 40 2 2" xfId="243"/>
    <cellStyle name="Normal 40 3" xfId="244"/>
    <cellStyle name="Normal 40 3 2" xfId="568"/>
    <cellStyle name="Normal 40 4" xfId="569"/>
    <cellStyle name="Normal 41" xfId="245"/>
    <cellStyle name="Normal 41 2" xfId="246"/>
    <cellStyle name="Normal 41 2 2" xfId="570"/>
    <cellStyle name="Normal 41 3" xfId="571"/>
    <cellStyle name="Normal 42" xfId="247"/>
    <cellStyle name="Normal 42 2" xfId="248"/>
    <cellStyle name="Normal 42 2 2" xfId="572"/>
    <cellStyle name="Normal 42 3" xfId="573"/>
    <cellStyle name="Normal 43" xfId="249"/>
    <cellStyle name="Normal 43 2" xfId="250"/>
    <cellStyle name="Normal 43 2 2" xfId="574"/>
    <cellStyle name="Normal 43 3" xfId="575"/>
    <cellStyle name="Normal 44" xfId="251"/>
    <cellStyle name="Normal 44 2" xfId="252"/>
    <cellStyle name="Normal 44 2 2" xfId="576"/>
    <cellStyle name="Normal 44 3" xfId="577"/>
    <cellStyle name="Normal 45" xfId="253"/>
    <cellStyle name="Normal 45 2" xfId="254"/>
    <cellStyle name="Normal 45 2 2" xfId="578"/>
    <cellStyle name="Normal 45 3" xfId="579"/>
    <cellStyle name="Normal 46" xfId="255"/>
    <cellStyle name="Normal 46 2" xfId="256"/>
    <cellStyle name="Normal 46 2 2" xfId="580"/>
    <cellStyle name="Normal 46 3" xfId="581"/>
    <cellStyle name="Normal 47" xfId="257"/>
    <cellStyle name="Normal 47 2" xfId="258"/>
    <cellStyle name="Normal 47 2 2" xfId="582"/>
    <cellStyle name="Normal 47 3" xfId="583"/>
    <cellStyle name="Normal 48" xfId="259"/>
    <cellStyle name="Normal 48 2" xfId="260"/>
    <cellStyle name="Normal 48 2 2" xfId="584"/>
    <cellStyle name="Normal 48 3" xfId="585"/>
    <cellStyle name="Normal 49" xfId="261"/>
    <cellStyle name="Normal 49 2" xfId="262"/>
    <cellStyle name="Normal 49 2 2" xfId="586"/>
    <cellStyle name="Normal 49 3" xfId="587"/>
    <cellStyle name="Normal 5" xfId="263"/>
    <cellStyle name="Normal 5 10" xfId="264"/>
    <cellStyle name="Normal 5 11" xfId="265"/>
    <cellStyle name="Normal 5 12" xfId="266"/>
    <cellStyle name="Normal 5 13" xfId="267"/>
    <cellStyle name="Normal 5 14" xfId="268"/>
    <cellStyle name="Normal 5 15" xfId="269"/>
    <cellStyle name="Normal 5 16" xfId="270"/>
    <cellStyle name="Normal 5 17" xfId="271"/>
    <cellStyle name="Normal 5 18" xfId="272"/>
    <cellStyle name="Normal 5 19" xfId="273"/>
    <cellStyle name="Normal 5 2" xfId="274"/>
    <cellStyle name="Normal 5 20" xfId="853"/>
    <cellStyle name="Normal 5 20 2" xfId="1229"/>
    <cellStyle name="Normal 5 3" xfId="275"/>
    <cellStyle name="Normal 5 4" xfId="276"/>
    <cellStyle name="Normal 5 5" xfId="277"/>
    <cellStyle name="Normal 5 6" xfId="278"/>
    <cellStyle name="Normal 5 7" xfId="279"/>
    <cellStyle name="Normal 5 8" xfId="280"/>
    <cellStyle name="Normal 5 9" xfId="281"/>
    <cellStyle name="Normal 50" xfId="282"/>
    <cellStyle name="Normal 50 2" xfId="283"/>
    <cellStyle name="Normal 50 2 2" xfId="588"/>
    <cellStyle name="Normal 50 3" xfId="589"/>
    <cellStyle name="Normal 51" xfId="284"/>
    <cellStyle name="Normal 51 2" xfId="285"/>
    <cellStyle name="Normal 51 2 2" xfId="590"/>
    <cellStyle name="Normal 51 3" xfId="591"/>
    <cellStyle name="Normal 52" xfId="286"/>
    <cellStyle name="Normal 52 2" xfId="287"/>
    <cellStyle name="Normal 52 2 2" xfId="592"/>
    <cellStyle name="Normal 52 3" xfId="593"/>
    <cellStyle name="Normal 53" xfId="288"/>
    <cellStyle name="Normal 53 2" xfId="289"/>
    <cellStyle name="Normal 53 2 2" xfId="594"/>
    <cellStyle name="Normal 53 3" xfId="595"/>
    <cellStyle name="Normal 54" xfId="290"/>
    <cellStyle name="Normal 54 2" xfId="291"/>
    <cellStyle name="Normal 54 2 2" xfId="596"/>
    <cellStyle name="Normal 54 3" xfId="597"/>
    <cellStyle name="Normal 55" xfId="292"/>
    <cellStyle name="Normal 55 2" xfId="293"/>
    <cellStyle name="Normal 55 2 2" xfId="598"/>
    <cellStyle name="Normal 55 3" xfId="599"/>
    <cellStyle name="Normal 56" xfId="294"/>
    <cellStyle name="Normal 56 2" xfId="295"/>
    <cellStyle name="Normal 56 2 2" xfId="600"/>
    <cellStyle name="Normal 56 3" xfId="601"/>
    <cellStyle name="Normal 57" xfId="296"/>
    <cellStyle name="Normal 57 2" xfId="602"/>
    <cellStyle name="Normal 57 2 2" xfId="677"/>
    <cellStyle name="Normal 57 2 2 2" xfId="1099"/>
    <cellStyle name="Normal 57 2 2 3" xfId="1475"/>
    <cellStyle name="Normal 57 2 3" xfId="1032"/>
    <cellStyle name="Normal 57 2 4" xfId="1408"/>
    <cellStyle name="Normal 57 3" xfId="603"/>
    <cellStyle name="Normal 57 4" xfId="622"/>
    <cellStyle name="Normal 57 4 2" xfId="1044"/>
    <cellStyle name="Normal 57 4 3" xfId="1420"/>
    <cellStyle name="Normal 57 5" xfId="956"/>
    <cellStyle name="Normal 57 6" xfId="1332"/>
    <cellStyle name="Normal 58" xfId="297"/>
    <cellStyle name="Normal 58 2" xfId="604"/>
    <cellStyle name="Normal 58 2 2" xfId="678"/>
    <cellStyle name="Normal 58 2 2 2" xfId="1100"/>
    <cellStyle name="Normal 58 2 2 3" xfId="1476"/>
    <cellStyle name="Normal 58 2 3" xfId="1033"/>
    <cellStyle name="Normal 58 2 4" xfId="1409"/>
    <cellStyle name="Normal 58 3" xfId="605"/>
    <cellStyle name="Normal 58 4" xfId="623"/>
    <cellStyle name="Normal 58 4 2" xfId="1045"/>
    <cellStyle name="Normal 58 4 3" xfId="1421"/>
    <cellStyle name="Normal 58 5" xfId="957"/>
    <cellStyle name="Normal 58 6" xfId="1333"/>
    <cellStyle name="Normal 59" xfId="298"/>
    <cellStyle name="Normal 59 2" xfId="606"/>
    <cellStyle name="Normal 6" xfId="299"/>
    <cellStyle name="Normal 6 10" xfId="300"/>
    <cellStyle name="Normal 6 11" xfId="301"/>
    <cellStyle name="Normal 6 12" xfId="302"/>
    <cellStyle name="Normal 6 13" xfId="303"/>
    <cellStyle name="Normal 6 14" xfId="304"/>
    <cellStyle name="Normal 6 15" xfId="305"/>
    <cellStyle name="Normal 6 16" xfId="306"/>
    <cellStyle name="Normal 6 17" xfId="307"/>
    <cellStyle name="Normal 6 18" xfId="308"/>
    <cellStyle name="Normal 6 19" xfId="309"/>
    <cellStyle name="Normal 6 2" xfId="310"/>
    <cellStyle name="Normal 6 3" xfId="311"/>
    <cellStyle name="Normal 6 4" xfId="312"/>
    <cellStyle name="Normal 6 5" xfId="313"/>
    <cellStyle name="Normal 6 6" xfId="314"/>
    <cellStyle name="Normal 6 7" xfId="315"/>
    <cellStyle name="Normal 6 8" xfId="316"/>
    <cellStyle name="Normal 6 9" xfId="317"/>
    <cellStyle name="Normal 60" xfId="318"/>
    <cellStyle name="Normal 60 2" xfId="607"/>
    <cellStyle name="Normal 60 2 2" xfId="722"/>
    <cellStyle name="Normal 60 2 2 2" xfId="1144"/>
    <cellStyle name="Normal 60 2 2 3" xfId="1520"/>
    <cellStyle name="Normal 60 2 3" xfId="1034"/>
    <cellStyle name="Normal 60 2 4" xfId="1410"/>
    <cellStyle name="Normal 60 3" xfId="667"/>
    <cellStyle name="Normal 60 3 2" xfId="1089"/>
    <cellStyle name="Normal 60 3 3" xfId="1465"/>
    <cellStyle name="Normal 60 4" xfId="958"/>
    <cellStyle name="Normal 60 5" xfId="1334"/>
    <cellStyle name="Normal 61" xfId="319"/>
    <cellStyle name="Normal 61 2" xfId="608"/>
    <cellStyle name="Normal 61 2 2" xfId="723"/>
    <cellStyle name="Normal 61 2 2 2" xfId="1145"/>
    <cellStyle name="Normal 61 2 2 3" xfId="1521"/>
    <cellStyle name="Normal 61 2 3" xfId="1035"/>
    <cellStyle name="Normal 61 2 4" xfId="1411"/>
    <cellStyle name="Normal 61 3" xfId="668"/>
    <cellStyle name="Normal 61 3 2" xfId="1090"/>
    <cellStyle name="Normal 61 3 3" xfId="1466"/>
    <cellStyle name="Normal 61 4" xfId="959"/>
    <cellStyle name="Normal 61 5" xfId="1335"/>
    <cellStyle name="Normal 62" xfId="320"/>
    <cellStyle name="Normal 62 2" xfId="609"/>
    <cellStyle name="Normal 62 2 2" xfId="724"/>
    <cellStyle name="Normal 62 2 2 2" xfId="1146"/>
    <cellStyle name="Normal 62 2 2 3" xfId="1522"/>
    <cellStyle name="Normal 62 2 3" xfId="1036"/>
    <cellStyle name="Normal 62 2 4" xfId="1412"/>
    <cellStyle name="Normal 62 3" xfId="669"/>
    <cellStyle name="Normal 62 3 2" xfId="1091"/>
    <cellStyle name="Normal 62 3 3" xfId="1467"/>
    <cellStyle name="Normal 62 4" xfId="960"/>
    <cellStyle name="Normal 62 5" xfId="1336"/>
    <cellStyle name="Normal 63" xfId="610"/>
    <cellStyle name="Normal 64" xfId="611"/>
    <cellStyle name="Normal 65" xfId="612"/>
    <cellStyle name="Normal 65 2" xfId="1600"/>
    <cellStyle name="Normal 66" xfId="755"/>
    <cellStyle name="Normal 66 2" xfId="1174"/>
    <cellStyle name="Normal 67" xfId="757"/>
    <cellStyle name="Normal 67 2" xfId="851"/>
    <cellStyle name="Normal 68" xfId="762"/>
    <cellStyle name="Normal 68 2" xfId="779"/>
    <cellStyle name="Normal 68 2 2" xfId="1185"/>
    <cellStyle name="Normal 68 3" xfId="786"/>
    <cellStyle name="Normal 68 4" xfId="820"/>
    <cellStyle name="Normal 68 4 2" xfId="1212"/>
    <cellStyle name="Normal 68 4 2 3" xfId="1663"/>
    <cellStyle name="Normal 68 4 3" xfId="1274"/>
    <cellStyle name="Normal 68 5" xfId="835"/>
    <cellStyle name="Normal 68 5 2" xfId="1221"/>
    <cellStyle name="Normal 68 6" xfId="896"/>
    <cellStyle name="Normal 68 6 2" xfId="1263"/>
    <cellStyle name="Normal 68 7" xfId="1178"/>
    <cellStyle name="Normal 68 8" xfId="1553"/>
    <cellStyle name="Normal 69" xfId="764"/>
    <cellStyle name="Normal 69 2" xfId="791"/>
    <cellStyle name="Normal 69 2 2" xfId="810"/>
    <cellStyle name="Normal 69 2 2 2" xfId="888"/>
    <cellStyle name="Normal 69 2 2 2 2" xfId="1255"/>
    <cellStyle name="Normal 69 2 2 2 3" xfId="1761"/>
    <cellStyle name="Normal 69 2 2 3" xfId="901"/>
    <cellStyle name="Normal 69 2 2 3 2" xfId="1268"/>
    <cellStyle name="Normal 69 2 2 4" xfId="1203"/>
    <cellStyle name="Normal 69 2 2 5" xfId="1575"/>
    <cellStyle name="Normal 69 2 2 6" xfId="1747"/>
    <cellStyle name="Normal 69 2 3" xfId="1194"/>
    <cellStyle name="Normal 69 2 4" xfId="1566"/>
    <cellStyle name="Normal 69 3" xfId="1180"/>
    <cellStyle name="Normal 69 3 2" xfId="1580"/>
    <cellStyle name="Normal 69 4" xfId="1555"/>
    <cellStyle name="Normal 69 5" xfId="1607"/>
    <cellStyle name="Normal 69 5 2" xfId="1617"/>
    <cellStyle name="Normal 69 5 3" xfId="1760"/>
    <cellStyle name="Normal 7" xfId="321"/>
    <cellStyle name="Normal 7 10" xfId="322"/>
    <cellStyle name="Normal 7 11" xfId="323"/>
    <cellStyle name="Normal 7 12" xfId="324"/>
    <cellStyle name="Normal 7 13" xfId="325"/>
    <cellStyle name="Normal 7 14" xfId="326"/>
    <cellStyle name="Normal 7 15" xfId="327"/>
    <cellStyle name="Normal 7 16" xfId="328"/>
    <cellStyle name="Normal 7 17" xfId="329"/>
    <cellStyle name="Normal 7 18" xfId="330"/>
    <cellStyle name="Normal 7 19" xfId="331"/>
    <cellStyle name="Normal 7 2" xfId="332"/>
    <cellStyle name="Normal 7 3" xfId="333"/>
    <cellStyle name="Normal 7 4" xfId="334"/>
    <cellStyle name="Normal 7 5" xfId="335"/>
    <cellStyle name="Normal 7 6" xfId="336"/>
    <cellStyle name="Normal 7 7" xfId="337"/>
    <cellStyle name="Normal 7 8" xfId="338"/>
    <cellStyle name="Normal 7 9" xfId="339"/>
    <cellStyle name="Normal 70" xfId="782"/>
    <cellStyle name="Normal 70 2" xfId="798"/>
    <cellStyle name="Normal 70 2 2" xfId="1199"/>
    <cellStyle name="Normal 70 2 2 2" xfId="1608"/>
    <cellStyle name="Normal 70 2 3" xfId="1571"/>
    <cellStyle name="Normal 70 3" xfId="821"/>
    <cellStyle name="Normal 70 4" xfId="1188"/>
    <cellStyle name="Normal 70 5" xfId="1560"/>
    <cellStyle name="Normal 71" xfId="789"/>
    <cellStyle name="Normal 71 2" xfId="1192"/>
    <cellStyle name="Normal 71 3" xfId="1564"/>
    <cellStyle name="Normal 72" xfId="808"/>
    <cellStyle name="Normal 72 2" xfId="1201"/>
    <cellStyle name="Normal 72 3" xfId="1573"/>
    <cellStyle name="Normal 73" xfId="814"/>
    <cellStyle name="Normal 73 2" xfId="1206"/>
    <cellStyle name="Normal 73 3" xfId="1578"/>
    <cellStyle name="Normal 73 4" xfId="1642"/>
    <cellStyle name="Normal 74" xfId="864"/>
    <cellStyle name="Normal 74 2" xfId="1237"/>
    <cellStyle name="Normal 74 3" xfId="1579"/>
    <cellStyle name="Normal 74 4" xfId="1628"/>
    <cellStyle name="Normal 75" xfId="859"/>
    <cellStyle name="Normal 75 2" xfId="1232"/>
    <cellStyle name="Normal 75 2 4" xfId="1665"/>
    <cellStyle name="Normal 75 3" xfId="1582"/>
    <cellStyle name="Normal 76" xfId="866"/>
    <cellStyle name="Normal 76 2" xfId="1239"/>
    <cellStyle name="Normal 76 3" xfId="1584"/>
    <cellStyle name="Normal 77" xfId="872"/>
    <cellStyle name="Normal 77 2" xfId="894"/>
    <cellStyle name="Normal 77 2 2" xfId="1261"/>
    <cellStyle name="Normal 77 2 2 2" xfId="1660"/>
    <cellStyle name="Normal 77 3" xfId="1245"/>
    <cellStyle name="Normal 77 4" xfId="1586"/>
    <cellStyle name="Normal 77 5" xfId="1750"/>
    <cellStyle name="Normal 78" xfId="876"/>
    <cellStyle name="Normal 78 2" xfId="1247"/>
    <cellStyle name="Normal 78 3" xfId="897"/>
    <cellStyle name="Normal 78 3 2" xfId="1264"/>
    <cellStyle name="Normal 78 3 3" xfId="1279"/>
    <cellStyle name="Normal 78 3 4" xfId="1739"/>
    <cellStyle name="Normal 78 3 4 2" xfId="1744"/>
    <cellStyle name="Normal 78 3 4 2 2" xfId="1757"/>
    <cellStyle name="Normal 78 3 4 2 2 2" xfId="1767"/>
    <cellStyle name="Normal 78 4" xfId="1277"/>
    <cellStyle name="Normal 78 5" xfId="1587"/>
    <cellStyle name="Normal 78 6" xfId="1738"/>
    <cellStyle name="Normal 78 6 2" xfId="1743"/>
    <cellStyle name="Normal 78 6 2 2" xfId="1754"/>
    <cellStyle name="Normal 78 6 2 2 2" xfId="1764"/>
    <cellStyle name="Normal 78 6 3" xfId="1763"/>
    <cellStyle name="Normal 79" xfId="882"/>
    <cellStyle name="Normal 79 2" xfId="890"/>
    <cellStyle name="Normal 79 2 2" xfId="1257"/>
    <cellStyle name="Normal 79 3" xfId="1249"/>
    <cellStyle name="Normal 79 4" xfId="1588"/>
    <cellStyle name="Normal 79 5" xfId="1748"/>
    <cellStyle name="Normal 8" xfId="340"/>
    <cellStyle name="Normal 8 10" xfId="341"/>
    <cellStyle name="Normal 8 11" xfId="342"/>
    <cellStyle name="Normal 8 12" xfId="343"/>
    <cellStyle name="Normal 8 13" xfId="344"/>
    <cellStyle name="Normal 8 14" xfId="345"/>
    <cellStyle name="Normal 8 15" xfId="346"/>
    <cellStyle name="Normal 8 16" xfId="347"/>
    <cellStyle name="Normal 8 17" xfId="348"/>
    <cellStyle name="Normal 8 18" xfId="349"/>
    <cellStyle name="Normal 8 2" xfId="350"/>
    <cellStyle name="Normal 8 3" xfId="351"/>
    <cellStyle name="Normal 8 4" xfId="352"/>
    <cellStyle name="Normal 8 5" xfId="353"/>
    <cellStyle name="Normal 8 6" xfId="354"/>
    <cellStyle name="Normal 8 7" xfId="355"/>
    <cellStyle name="Normal 8 8" xfId="356"/>
    <cellStyle name="Normal 8 9" xfId="357"/>
    <cellStyle name="Normal 80" xfId="884"/>
    <cellStyle name="Normal 80 2" xfId="892"/>
    <cellStyle name="Normal 80 2 2" xfId="1259"/>
    <cellStyle name="Normal 80 3" xfId="899"/>
    <cellStyle name="Normal 80 3 2" xfId="1266"/>
    <cellStyle name="Normal 80 4" xfId="1251"/>
    <cellStyle name="Normal 80 5" xfId="1590"/>
    <cellStyle name="Normal 81" xfId="900"/>
    <cellStyle name="Normal 81 2" xfId="1267"/>
    <cellStyle name="Normal 81 3" xfId="1592"/>
    <cellStyle name="Normal 82" xfId="903"/>
    <cellStyle name="Normal 82 2" xfId="1270"/>
    <cellStyle name="Normal 82 3" xfId="1597"/>
    <cellStyle name="Normal 82 4" xfId="1602"/>
    <cellStyle name="Normal 82 4 2" xfId="1618"/>
    <cellStyle name="Normal 83" xfId="904"/>
    <cellStyle name="Normal 83 2" xfId="1271"/>
    <cellStyle name="Normal 83 3" xfId="1595"/>
    <cellStyle name="Normal 84" xfId="907"/>
    <cellStyle name="Normal 85" xfId="1283"/>
    <cellStyle name="Normal 85 2" xfId="1664"/>
    <cellStyle name="Normal 86" xfId="1603"/>
    <cellStyle name="Normal 87" xfId="1606"/>
    <cellStyle name="Normal 87 2" xfId="1759"/>
    <cellStyle name="Normal 88" xfId="1599"/>
    <cellStyle name="Normal 88 2" xfId="1756"/>
    <cellStyle name="Normal 88 2 2" xfId="1766"/>
    <cellStyle name="Normal 89" xfId="1598"/>
    <cellStyle name="Normal 9" xfId="358"/>
    <cellStyle name="Normal 9 10" xfId="359"/>
    <cellStyle name="Normal 9 11" xfId="360"/>
    <cellStyle name="Normal 9 12" xfId="361"/>
    <cellStyle name="Normal 9 13" xfId="362"/>
    <cellStyle name="Normal 9 14" xfId="363"/>
    <cellStyle name="Normal 9 15" xfId="364"/>
    <cellStyle name="Normal 9 16" xfId="365"/>
    <cellStyle name="Normal 9 17" xfId="366"/>
    <cellStyle name="Normal 9 18" xfId="367"/>
    <cellStyle name="Normal 9 2" xfId="368"/>
    <cellStyle name="Normal 9 3" xfId="369"/>
    <cellStyle name="Normal 9 4" xfId="370"/>
    <cellStyle name="Normal 9 5" xfId="371"/>
    <cellStyle name="Normal 9 6" xfId="372"/>
    <cellStyle name="Normal 9 7" xfId="373"/>
    <cellStyle name="Normal 9 8" xfId="374"/>
    <cellStyle name="Normal 9 9" xfId="375"/>
    <cellStyle name="Normal 90" xfId="1677"/>
    <cellStyle name="Normal 90 2" xfId="1680"/>
    <cellStyle name="Normal 91" xfId="1719"/>
    <cellStyle name="Normal 92" xfId="1770"/>
    <cellStyle name="Normal_OAG-0705 Att A" xfId="1769"/>
    <cellStyle name="Note 2" xfId="1724"/>
    <cellStyle name="Output" xfId="1694" builtinId="21" customBuiltin="1"/>
    <cellStyle name="Parent row" xfId="803"/>
    <cellStyle name="Percent" xfId="751" builtinId="5"/>
    <cellStyle name="Percent 10" xfId="761"/>
    <cellStyle name="Percent 10 2" xfId="1177"/>
    <cellStyle name="Percent 10 2 2" xfId="1276"/>
    <cellStyle name="Percent 10 3" xfId="1552"/>
    <cellStyle name="Percent 11" xfId="763"/>
    <cellStyle name="Percent 11 2" xfId="781"/>
    <cellStyle name="Percent 11 2 2" xfId="1187"/>
    <cellStyle name="Percent 11 3" xfId="788"/>
    <cellStyle name="Percent 11 4" xfId="895"/>
    <cellStyle name="Percent 11 4 2" xfId="1262"/>
    <cellStyle name="Percent 11 5" xfId="1179"/>
    <cellStyle name="Percent 11 6" xfId="1554"/>
    <cellStyle name="Percent 12" xfId="776"/>
    <cellStyle name="Percent 12 4" xfId="822"/>
    <cellStyle name="Percent 13" xfId="783"/>
    <cellStyle name="Percent 13 2" xfId="796"/>
    <cellStyle name="Percent 13 2 2" xfId="832"/>
    <cellStyle name="Percent 13 2 2 2" xfId="1218"/>
    <cellStyle name="Percent 13 2 2 2 2" xfId="1614"/>
    <cellStyle name="Percent 13 2 2 3" xfId="1611"/>
    <cellStyle name="Percent 13 2 3" xfId="1197"/>
    <cellStyle name="Percent 13 2 4" xfId="1569"/>
    <cellStyle name="Percent 13 3" xfId="1189"/>
    <cellStyle name="Percent 13 4" xfId="1561"/>
    <cellStyle name="Percent 14" xfId="815"/>
    <cellStyle name="Percent 14 2" xfId="1207"/>
    <cellStyle name="Percent 14 3" xfId="1601"/>
    <cellStyle name="Percent 14 4" xfId="1622"/>
    <cellStyle name="Percent 14 5" xfId="1649"/>
    <cellStyle name="Percent 15" xfId="867"/>
    <cellStyle name="Percent 15 2" xfId="1240"/>
    <cellStyle name="Percent 15 2 3" xfId="1662"/>
    <cellStyle name="Percent 15 3" xfId="1641"/>
    <cellStyle name="Percent 15 3 2" xfId="1686"/>
    <cellStyle name="Percent 16" xfId="860"/>
    <cellStyle name="Percent 16 2" xfId="1233"/>
    <cellStyle name="Percent 16 2 2" xfId="1668"/>
    <cellStyle name="Percent 17" xfId="877"/>
    <cellStyle name="Percent 17 2" xfId="898"/>
    <cellStyle name="Percent 17 2 2" xfId="1265"/>
    <cellStyle name="Percent 17 2 3" xfId="1280"/>
    <cellStyle name="Percent 17 2 4" xfId="1740"/>
    <cellStyle name="Percent 17 2 4 2" xfId="1745"/>
    <cellStyle name="Percent 17 2 4 2 2" xfId="1758"/>
    <cellStyle name="Percent 17 2 4 2 2 2" xfId="1768"/>
    <cellStyle name="Percent 17 3" xfId="1248"/>
    <cellStyle name="Percent 17 4" xfId="1278"/>
    <cellStyle name="Percent 17 5" xfId="1741"/>
    <cellStyle name="Percent 17 5 2" xfId="1755"/>
    <cellStyle name="Percent 17 5 2 2" xfId="1765"/>
    <cellStyle name="Percent 18" xfId="886"/>
    <cellStyle name="Percent 18 2" xfId="1253"/>
    <cellStyle name="Percent 19" xfId="1647"/>
    <cellStyle name="Percent 19 2" xfId="1683"/>
    <cellStyle name="Percent 19 4 4 2" xfId="1676"/>
    <cellStyle name="Percent 2" xfId="376"/>
    <cellStyle name="Percent 2 10 3" xfId="770"/>
    <cellStyle name="Percent 2 10 3 4 2" xfId="773"/>
    <cellStyle name="Percent 2 10 3 4 2 2" xfId="1631"/>
    <cellStyle name="Percent 2 10 3 5 2" xfId="1673"/>
    <cellStyle name="Percent 2 151 2 2" xfId="1275"/>
    <cellStyle name="Percent 2 2" xfId="377"/>
    <cellStyle name="Percent 2 2 2" xfId="819"/>
    <cellStyle name="Percent 2 2 2 2" xfId="827"/>
    <cellStyle name="Percent 2 2 2 3" xfId="1211"/>
    <cellStyle name="Percent 2 2 2 31" xfId="838"/>
    <cellStyle name="Percent 2 2 2 4" xfId="1626"/>
    <cellStyle name="Percent 2 2 2 5" xfId="1654"/>
    <cellStyle name="Percent 2 2 3" xfId="826"/>
    <cellStyle name="Percent 2 2 3 2" xfId="868"/>
    <cellStyle name="Percent 2 2 3 2 2" xfId="905"/>
    <cellStyle name="Percent 2 2 3 2 2 2" xfId="1272"/>
    <cellStyle name="Percent 2 2 3 2 3" xfId="1241"/>
    <cellStyle name="Percent 2 2 3 3" xfId="1214"/>
    <cellStyle name="Percent 2 3" xfId="378"/>
    <cellStyle name="Percent 2 4" xfId="379"/>
    <cellStyle name="Percent 2 5" xfId="380"/>
    <cellStyle name="Percent 2 6" xfId="381"/>
    <cellStyle name="Percent 2 7" xfId="1732"/>
    <cellStyle name="Percent 2 8" xfId="845"/>
    <cellStyle name="Percent 2 8 2" xfId="1225"/>
    <cellStyle name="Percent 20" xfId="1678"/>
    <cellStyle name="Percent 21" xfId="1721"/>
    <cellStyle name="Percent 3" xfId="382"/>
    <cellStyle name="Percent 3 159 3 2" xfId="847"/>
    <cellStyle name="Percent 3 159 3 2 2" xfId="1226"/>
    <cellStyle name="Percent 3 159 3 2 3" xfId="1638"/>
    <cellStyle name="Percent 3 159 3 2 3 2" xfId="1658"/>
    <cellStyle name="Percent 3 2" xfId="383"/>
    <cellStyle name="Percent 3 3" xfId="384"/>
    <cellStyle name="Percent 3 4" xfId="792"/>
    <cellStyle name="Percent 4" xfId="385"/>
    <cellStyle name="Percent 4 2" xfId="386"/>
    <cellStyle name="Percent 4 3" xfId="387"/>
    <cellStyle name="Percent 4 3 2" xfId="388"/>
    <cellStyle name="Percent 4 3 2 2" xfId="613"/>
    <cellStyle name="Percent 4 3 2 2 2" xfId="726"/>
    <cellStyle name="Percent 4 3 2 2 2 2" xfId="1148"/>
    <cellStyle name="Percent 4 3 2 2 2 3" xfId="1524"/>
    <cellStyle name="Percent 4 3 2 2 3" xfId="1037"/>
    <cellStyle name="Percent 4 3 2 2 4" xfId="1413"/>
    <cellStyle name="Percent 4 3 2 3" xfId="671"/>
    <cellStyle name="Percent 4 3 2 3 2" xfId="1093"/>
    <cellStyle name="Percent 4 3 2 3 3" xfId="1469"/>
    <cellStyle name="Percent 4 3 2 4" xfId="962"/>
    <cellStyle name="Percent 4 3 2 5" xfId="1338"/>
    <cellStyle name="Percent 4 3 3" xfId="614"/>
    <cellStyle name="Percent 4 3 3 2" xfId="725"/>
    <cellStyle name="Percent 4 3 3 2 2" xfId="1147"/>
    <cellStyle name="Percent 4 3 3 2 3" xfId="1523"/>
    <cellStyle name="Percent 4 3 3 3" xfId="1038"/>
    <cellStyle name="Percent 4 3 3 4" xfId="1414"/>
    <cellStyle name="Percent 4 3 4" xfId="615"/>
    <cellStyle name="Percent 4 3 4 2" xfId="749"/>
    <cellStyle name="Percent 4 3 4 2 2" xfId="1171"/>
    <cellStyle name="Percent 4 3 4 2 3" xfId="1547"/>
    <cellStyle name="Percent 4 3 4 3" xfId="1039"/>
    <cellStyle name="Percent 4 3 4 4" xfId="1415"/>
    <cellStyle name="Percent 4 3 5" xfId="670"/>
    <cellStyle name="Percent 4 3 5 2" xfId="1092"/>
    <cellStyle name="Percent 4 3 5 3" xfId="1468"/>
    <cellStyle name="Percent 4 3 6" xfId="961"/>
    <cellStyle name="Percent 4 3 7" xfId="1337"/>
    <cellStyle name="Percent 4 4" xfId="1734"/>
    <cellStyle name="Percent 5" xfId="389"/>
    <cellStyle name="Percent 6" xfId="390"/>
    <cellStyle name="Percent 6 2" xfId="391"/>
    <cellStyle name="Percent 6 2 2" xfId="616"/>
    <cellStyle name="Percent 6 3" xfId="617"/>
    <cellStyle name="Percent 68 6 2 2 2" xfId="850"/>
    <cellStyle name="Percent 68 6 2 2 2 2" xfId="1227"/>
    <cellStyle name="Percent 68 6 2 2 2 2 2" xfId="1634"/>
    <cellStyle name="Percent 68 6 2 2 2 2 2 2" xfId="1659"/>
    <cellStyle name="Percent 7" xfId="392"/>
    <cellStyle name="Percent 76 3 4" xfId="848"/>
    <cellStyle name="Percent 8" xfId="393"/>
    <cellStyle name="Percent 9" xfId="756"/>
    <cellStyle name="Percent 9 2" xfId="799"/>
    <cellStyle name="R03A" xfId="753"/>
    <cellStyle name="R03A 2" xfId="754"/>
    <cellStyle name="Style 21" xfId="394"/>
    <cellStyle name="Style 22" xfId="395"/>
    <cellStyle name="Style 23" xfId="396"/>
    <cellStyle name="Style 24" xfId="397"/>
    <cellStyle name="Style 25" xfId="398"/>
    <cellStyle name="Style 26" xfId="399"/>
    <cellStyle name="Style 27" xfId="400"/>
    <cellStyle name="Style 28" xfId="401"/>
    <cellStyle name="Style 29" xfId="402"/>
    <cellStyle name="Style 30" xfId="403"/>
    <cellStyle name="Style 31" xfId="404"/>
    <cellStyle name="Style 32" xfId="405"/>
    <cellStyle name="Style 33" xfId="406"/>
    <cellStyle name="Style 34" xfId="407"/>
    <cellStyle name="Style 35" xfId="408"/>
    <cellStyle name="Style 36" xfId="409"/>
    <cellStyle name="Style 39" xfId="410"/>
    <cellStyle name="Table title" xfId="802"/>
    <cellStyle name="Title 2" xfId="1722"/>
    <cellStyle name="Total" xfId="1700" builtinId="25" customBuiltin="1"/>
    <cellStyle name="Total Format 1" xfId="411"/>
    <cellStyle name="Total Format 1 2" xfId="412"/>
    <cellStyle name="Total Format 1 3" xfId="413"/>
    <cellStyle name="Total Format 2" xfId="414"/>
    <cellStyle name="Total Format 2 2" xfId="415"/>
    <cellStyle name="Total Format 2 3" xfId="416"/>
    <cellStyle name="Total Format 3" xfId="417"/>
    <cellStyle name="Total Format 3 2" xfId="418"/>
    <cellStyle name="Total Format 3 3" xfId="419"/>
    <cellStyle name="Warning Text" xfId="1698" builtinId="11" customBuiltin="1"/>
  </cellStyles>
  <dxfs count="19">
    <dxf>
      <border>
        <left style="thin">
          <color rgb="FFCC6600"/>
        </left>
        <right style="thin">
          <color rgb="FFCC6600"/>
        </right>
        <top style="thin">
          <color rgb="FFCC6600"/>
        </top>
        <bottom style="thin">
          <color rgb="FFCC6600"/>
        </bottom>
      </border>
    </dxf>
    <dxf>
      <font>
        <b/>
      </font>
      <border>
        <left style="thin">
          <color rgb="FFFFC000"/>
        </left>
        <right style="thin">
          <color rgb="FFFFC000"/>
        </right>
        <top style="thin">
          <color rgb="FFFFC000"/>
        </top>
        <bottom style="thin">
          <color rgb="FFFFC000"/>
        </bottom>
      </border>
    </dxf>
    <dxf>
      <border>
        <left style="thin">
          <color rgb="FFCC6600"/>
        </left>
        <right style="thin">
          <color rgb="FFCC6600"/>
        </right>
        <top style="thin">
          <color rgb="FFCC6600"/>
        </top>
        <bottom style="thin">
          <color rgb="FFCC6600"/>
        </bottom>
      </border>
    </dxf>
    <dxf>
      <font>
        <b/>
      </font>
      <border>
        <left style="thin">
          <color rgb="FFFFC000"/>
        </left>
        <right style="thin">
          <color rgb="FFFFC000"/>
        </right>
        <top style="thin">
          <color rgb="FFFFC000"/>
        </top>
        <bottom style="thin">
          <color rgb="FFFFC000"/>
        </bottom>
      </border>
    </dxf>
    <dxf>
      <border>
        <left style="thin">
          <color rgb="FFCC6600"/>
        </left>
        <right style="thin">
          <color rgb="FFCC6600"/>
        </right>
        <top style="thin">
          <color rgb="FFCC6600"/>
        </top>
        <bottom style="thin">
          <color rgb="FFCC6600"/>
        </bottom>
      </border>
    </dxf>
    <dxf>
      <font>
        <b/>
      </font>
      <border>
        <left style="thin">
          <color rgb="FFFFC000"/>
        </left>
        <right style="thin">
          <color rgb="FFFFC000"/>
        </right>
        <top style="thin">
          <color rgb="FFFFC000"/>
        </top>
        <bottom style="thin">
          <color rgb="FFFFC000"/>
        </bottom>
      </border>
    </dxf>
    <dxf>
      <border>
        <left style="thin">
          <color rgb="FFCC6600"/>
        </left>
        <right style="thin">
          <color rgb="FFCC6600"/>
        </right>
        <top style="thin">
          <color rgb="FFCC6600"/>
        </top>
        <bottom style="thin">
          <color rgb="FFCC6600"/>
        </bottom>
      </border>
    </dxf>
    <dxf>
      <font>
        <b/>
      </font>
      <border>
        <left style="thin">
          <color rgb="FFFFC000"/>
        </left>
        <right style="thin">
          <color rgb="FFFFC000"/>
        </right>
        <top style="thin">
          <color rgb="FFFFC000"/>
        </top>
        <bottom style="thin">
          <color rgb="FFFFC000"/>
        </bottom>
      </border>
    </dxf>
    <dxf>
      <border>
        <left style="thin">
          <color rgb="FFCC6600"/>
        </left>
        <right style="thin">
          <color rgb="FFCC6600"/>
        </right>
        <top style="thin">
          <color rgb="FFCC6600"/>
        </top>
        <bottom style="thin">
          <color rgb="FFCC6600"/>
        </bottom>
      </border>
    </dxf>
    <dxf>
      <font>
        <b/>
      </font>
      <border>
        <left style="thin">
          <color rgb="FFFFC000"/>
        </left>
        <right style="thin">
          <color rgb="FFFFC000"/>
        </right>
        <top style="thin">
          <color rgb="FFFFC000"/>
        </top>
        <bottom style="thin">
          <color rgb="FFFFC000"/>
        </bottom>
      </border>
    </dxf>
    <dxf>
      <border>
        <left style="thin">
          <color rgb="FFCC6600"/>
        </left>
        <right style="thin">
          <color rgb="FFCC6600"/>
        </right>
        <top style="thin">
          <color rgb="FFCC6600"/>
        </top>
        <bottom style="thin">
          <color rgb="FFCC6600"/>
        </bottom>
      </border>
    </dxf>
    <dxf>
      <font>
        <b/>
      </font>
      <border>
        <left style="thin">
          <color rgb="FFFFC000"/>
        </left>
        <right style="thin">
          <color rgb="FFFFC000"/>
        </right>
        <top style="thin">
          <color rgb="FFFFC000"/>
        </top>
        <bottom style="thin">
          <color rgb="FFFFC000"/>
        </bottom>
      </border>
    </dxf>
    <dxf>
      <border>
        <left style="thin">
          <color rgb="FFCC6600"/>
        </left>
        <right style="thin">
          <color rgb="FFCC6600"/>
        </right>
        <top style="thin">
          <color rgb="FFCC6600"/>
        </top>
        <bottom style="thin">
          <color rgb="FFCC6600"/>
        </bottom>
      </border>
    </dxf>
    <dxf>
      <font>
        <b/>
      </font>
      <border>
        <left style="thin">
          <color rgb="FFFFC000"/>
        </left>
        <right style="thin">
          <color rgb="FFFFC000"/>
        </right>
        <top style="thin">
          <color rgb="FFFFC000"/>
        </top>
        <bottom style="thin">
          <color rgb="FFFFC000"/>
        </bottom>
      </border>
    </dxf>
    <dxf>
      <font>
        <b/>
      </font>
      <border>
        <left style="thin">
          <color rgb="FFFFC000"/>
        </left>
        <right style="thin">
          <color rgb="FFFFC000"/>
        </right>
        <top style="thin">
          <color rgb="FFFFC000"/>
        </top>
        <bottom style="thin">
          <color rgb="FFFFC000"/>
        </bottom>
      </border>
    </dxf>
    <dxf>
      <border>
        <left style="thin">
          <color rgb="FFCC6600"/>
        </left>
        <right style="thin">
          <color rgb="FFCC6600"/>
        </right>
        <top style="thin">
          <color rgb="FFCC6600"/>
        </top>
        <bottom style="thin">
          <color rgb="FFCC6600"/>
        </bottom>
      </border>
    </dxf>
    <dxf>
      <font>
        <b/>
      </font>
      <border>
        <left style="thin">
          <color rgb="FFFFC000"/>
        </left>
        <right style="thin">
          <color rgb="FFFFC000"/>
        </right>
        <top style="thin">
          <color rgb="FFFFC000"/>
        </top>
        <bottom style="thin">
          <color rgb="FFFFC000"/>
        </bottom>
      </border>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a:noFill/>
            </a:ln>
          </c:spPr>
          <c:trendline>
            <c:trendlineType val="linear"/>
            <c:dispRSqr val="1"/>
            <c:dispEq val="1"/>
            <c:trendlineLbl>
              <c:layout>
                <c:manualLayout>
                  <c:x val="6.0346830058605076E-2"/>
                  <c:y val="-0.4107701081757304"/>
                </c:manualLayout>
              </c:layout>
              <c:tx>
                <c:rich>
                  <a:bodyPr/>
                  <a:lstStyle/>
                  <a:p>
                    <a:pPr>
                      <a:defRPr/>
                    </a:pPr>
                    <a:r>
                      <a:rPr lang="en-US" baseline="0"/>
                      <a:t>y = -0.4863x + 7.567</a:t>
                    </a:r>
                    <a:br>
                      <a:rPr lang="en-US" baseline="0"/>
                    </a:br>
                    <a:r>
                      <a:rPr lang="en-US" baseline="0"/>
                      <a:t>R² = 0.874</a:t>
                    </a:r>
                    <a:endParaRPr lang="en-US"/>
                  </a:p>
                </c:rich>
              </c:tx>
              <c:numFmt formatCode="General" sourceLinked="0"/>
            </c:trendlineLbl>
          </c:trendline>
          <c:xVal>
            <c:numRef>
              <c:f>'4.13 Past Rate Cases Gas'!$J$6:$J$823</c:f>
              <c:numCache>
                <c:formatCode>_(* #,##0.00_);_(* \(#,##0.00\);_(* "-"??_);_(@_)</c:formatCode>
                <c:ptCount val="818"/>
                <c:pt idx="0">
                  <c:v>11.89</c:v>
                </c:pt>
                <c:pt idx="1">
                  <c:v>11.89</c:v>
                </c:pt>
                <c:pt idx="2">
                  <c:v>11.89</c:v>
                </c:pt>
                <c:pt idx="3">
                  <c:v>12.15</c:v>
                </c:pt>
                <c:pt idx="4">
                  <c:v>12.15</c:v>
                </c:pt>
                <c:pt idx="5">
                  <c:v>12.15</c:v>
                </c:pt>
                <c:pt idx="6">
                  <c:v>12.15</c:v>
                </c:pt>
                <c:pt idx="7">
                  <c:v>12.21</c:v>
                </c:pt>
                <c:pt idx="8">
                  <c:v>12.21</c:v>
                </c:pt>
                <c:pt idx="9">
                  <c:v>12.21</c:v>
                </c:pt>
                <c:pt idx="10">
                  <c:v>12.21</c:v>
                </c:pt>
                <c:pt idx="11">
                  <c:v>12.21</c:v>
                </c:pt>
                <c:pt idx="12">
                  <c:v>13.23</c:v>
                </c:pt>
                <c:pt idx="13">
                  <c:v>14.59</c:v>
                </c:pt>
                <c:pt idx="14">
                  <c:v>14.59</c:v>
                </c:pt>
                <c:pt idx="15">
                  <c:v>14.59</c:v>
                </c:pt>
                <c:pt idx="16">
                  <c:v>14.59</c:v>
                </c:pt>
                <c:pt idx="17">
                  <c:v>14.29</c:v>
                </c:pt>
                <c:pt idx="18">
                  <c:v>14.29</c:v>
                </c:pt>
                <c:pt idx="19">
                  <c:v>14.29</c:v>
                </c:pt>
                <c:pt idx="20">
                  <c:v>12.74</c:v>
                </c:pt>
                <c:pt idx="21">
                  <c:v>12.74</c:v>
                </c:pt>
                <c:pt idx="22">
                  <c:v>12.4</c:v>
                </c:pt>
                <c:pt idx="23">
                  <c:v>12.4</c:v>
                </c:pt>
                <c:pt idx="24">
                  <c:v>12.4</c:v>
                </c:pt>
                <c:pt idx="25">
                  <c:v>12.4</c:v>
                </c:pt>
                <c:pt idx="26">
                  <c:v>12.4</c:v>
                </c:pt>
                <c:pt idx="27">
                  <c:v>12.4</c:v>
                </c:pt>
                <c:pt idx="28">
                  <c:v>12.15</c:v>
                </c:pt>
                <c:pt idx="29">
                  <c:v>12.15</c:v>
                </c:pt>
                <c:pt idx="30">
                  <c:v>12.66</c:v>
                </c:pt>
                <c:pt idx="31">
                  <c:v>12.66</c:v>
                </c:pt>
                <c:pt idx="32">
                  <c:v>12.66</c:v>
                </c:pt>
                <c:pt idx="33">
                  <c:v>13.29</c:v>
                </c:pt>
                <c:pt idx="34">
                  <c:v>13.29</c:v>
                </c:pt>
                <c:pt idx="35">
                  <c:v>13.29</c:v>
                </c:pt>
                <c:pt idx="36">
                  <c:v>13.29</c:v>
                </c:pt>
                <c:pt idx="37">
                  <c:v>13.29</c:v>
                </c:pt>
                <c:pt idx="38">
                  <c:v>13.29</c:v>
                </c:pt>
                <c:pt idx="39">
                  <c:v>13.29</c:v>
                </c:pt>
                <c:pt idx="40">
                  <c:v>13.29</c:v>
                </c:pt>
                <c:pt idx="41">
                  <c:v>13.54</c:v>
                </c:pt>
                <c:pt idx="42">
                  <c:v>13.54</c:v>
                </c:pt>
                <c:pt idx="43">
                  <c:v>13.54</c:v>
                </c:pt>
                <c:pt idx="44">
                  <c:v>13.54</c:v>
                </c:pt>
                <c:pt idx="45">
                  <c:v>13.54</c:v>
                </c:pt>
                <c:pt idx="46">
                  <c:v>14.01</c:v>
                </c:pt>
                <c:pt idx="47">
                  <c:v>14.01</c:v>
                </c:pt>
                <c:pt idx="48">
                  <c:v>14.01</c:v>
                </c:pt>
                <c:pt idx="49">
                  <c:v>14.01</c:v>
                </c:pt>
                <c:pt idx="50">
                  <c:v>14.01</c:v>
                </c:pt>
                <c:pt idx="51">
                  <c:v>14.01</c:v>
                </c:pt>
                <c:pt idx="52">
                  <c:v>14.01</c:v>
                </c:pt>
                <c:pt idx="53">
                  <c:v>14.01</c:v>
                </c:pt>
                <c:pt idx="54">
                  <c:v>14.66</c:v>
                </c:pt>
                <c:pt idx="55">
                  <c:v>14.66</c:v>
                </c:pt>
                <c:pt idx="56">
                  <c:v>14.66</c:v>
                </c:pt>
                <c:pt idx="57">
                  <c:v>14.27</c:v>
                </c:pt>
                <c:pt idx="58">
                  <c:v>14.27</c:v>
                </c:pt>
                <c:pt idx="59">
                  <c:v>14.68</c:v>
                </c:pt>
                <c:pt idx="60">
                  <c:v>14.68</c:v>
                </c:pt>
                <c:pt idx="61">
                  <c:v>15.13</c:v>
                </c:pt>
                <c:pt idx="62">
                  <c:v>15.13</c:v>
                </c:pt>
                <c:pt idx="63">
                  <c:v>15.13</c:v>
                </c:pt>
                <c:pt idx="64">
                  <c:v>15.13</c:v>
                </c:pt>
                <c:pt idx="65">
                  <c:v>15.25</c:v>
                </c:pt>
                <c:pt idx="66">
                  <c:v>15.25</c:v>
                </c:pt>
                <c:pt idx="67">
                  <c:v>16.12</c:v>
                </c:pt>
                <c:pt idx="68">
                  <c:v>16.12</c:v>
                </c:pt>
                <c:pt idx="69">
                  <c:v>16.12</c:v>
                </c:pt>
                <c:pt idx="70">
                  <c:v>16.12</c:v>
                </c:pt>
                <c:pt idx="71">
                  <c:v>16.12</c:v>
                </c:pt>
                <c:pt idx="72">
                  <c:v>15.79</c:v>
                </c:pt>
                <c:pt idx="73">
                  <c:v>15.79</c:v>
                </c:pt>
                <c:pt idx="74">
                  <c:v>15.79</c:v>
                </c:pt>
                <c:pt idx="75">
                  <c:v>15.79</c:v>
                </c:pt>
                <c:pt idx="76">
                  <c:v>15.79</c:v>
                </c:pt>
                <c:pt idx="77">
                  <c:v>15.79</c:v>
                </c:pt>
                <c:pt idx="78">
                  <c:v>15.79</c:v>
                </c:pt>
                <c:pt idx="79">
                  <c:v>15.79</c:v>
                </c:pt>
                <c:pt idx="80">
                  <c:v>16.07</c:v>
                </c:pt>
                <c:pt idx="81">
                  <c:v>16.07</c:v>
                </c:pt>
                <c:pt idx="82">
                  <c:v>16.07</c:v>
                </c:pt>
                <c:pt idx="83">
                  <c:v>16.45</c:v>
                </c:pt>
                <c:pt idx="84">
                  <c:v>16.45</c:v>
                </c:pt>
                <c:pt idx="85">
                  <c:v>16.45</c:v>
                </c:pt>
                <c:pt idx="86">
                  <c:v>16.45</c:v>
                </c:pt>
                <c:pt idx="87">
                  <c:v>16.45</c:v>
                </c:pt>
                <c:pt idx="88">
                  <c:v>17.03</c:v>
                </c:pt>
                <c:pt idx="89">
                  <c:v>17.03</c:v>
                </c:pt>
                <c:pt idx="90">
                  <c:v>17.03</c:v>
                </c:pt>
                <c:pt idx="91">
                  <c:v>17.03</c:v>
                </c:pt>
                <c:pt idx="92">
                  <c:v>17.03</c:v>
                </c:pt>
                <c:pt idx="93">
                  <c:v>17.03</c:v>
                </c:pt>
                <c:pt idx="94">
                  <c:v>17.03</c:v>
                </c:pt>
                <c:pt idx="95">
                  <c:v>17.260000000000002</c:v>
                </c:pt>
                <c:pt idx="96">
                  <c:v>17.260000000000002</c:v>
                </c:pt>
                <c:pt idx="97">
                  <c:v>17.260000000000002</c:v>
                </c:pt>
                <c:pt idx="98">
                  <c:v>17.260000000000002</c:v>
                </c:pt>
                <c:pt idx="99">
                  <c:v>17.260000000000002</c:v>
                </c:pt>
                <c:pt idx="100">
                  <c:v>17.260000000000002</c:v>
                </c:pt>
                <c:pt idx="101">
                  <c:v>16.420000000000002</c:v>
                </c:pt>
                <c:pt idx="102">
                  <c:v>16.420000000000002</c:v>
                </c:pt>
                <c:pt idx="103">
                  <c:v>16.420000000000002</c:v>
                </c:pt>
                <c:pt idx="104">
                  <c:v>16.420000000000002</c:v>
                </c:pt>
                <c:pt idx="105">
                  <c:v>16.420000000000002</c:v>
                </c:pt>
                <c:pt idx="106">
                  <c:v>16.420000000000002</c:v>
                </c:pt>
                <c:pt idx="107">
                  <c:v>16.16</c:v>
                </c:pt>
                <c:pt idx="108">
                  <c:v>16.16</c:v>
                </c:pt>
                <c:pt idx="109">
                  <c:v>16.16</c:v>
                </c:pt>
                <c:pt idx="110">
                  <c:v>16.16</c:v>
                </c:pt>
                <c:pt idx="111">
                  <c:v>16.16</c:v>
                </c:pt>
                <c:pt idx="112">
                  <c:v>16.16</c:v>
                </c:pt>
                <c:pt idx="113">
                  <c:v>16.16</c:v>
                </c:pt>
                <c:pt idx="114">
                  <c:v>16.16</c:v>
                </c:pt>
                <c:pt idx="115">
                  <c:v>16.8</c:v>
                </c:pt>
                <c:pt idx="116">
                  <c:v>16.8</c:v>
                </c:pt>
                <c:pt idx="117">
                  <c:v>16.8</c:v>
                </c:pt>
                <c:pt idx="118">
                  <c:v>16.920000000000002</c:v>
                </c:pt>
                <c:pt idx="119">
                  <c:v>16.920000000000002</c:v>
                </c:pt>
                <c:pt idx="120">
                  <c:v>16.920000000000002</c:v>
                </c:pt>
                <c:pt idx="121">
                  <c:v>16.920000000000002</c:v>
                </c:pt>
                <c:pt idx="122">
                  <c:v>16.920000000000002</c:v>
                </c:pt>
                <c:pt idx="123">
                  <c:v>16.920000000000002</c:v>
                </c:pt>
                <c:pt idx="124">
                  <c:v>16.489999999999998</c:v>
                </c:pt>
                <c:pt idx="125">
                  <c:v>16.489999999999998</c:v>
                </c:pt>
                <c:pt idx="126">
                  <c:v>16.489999999999998</c:v>
                </c:pt>
                <c:pt idx="127">
                  <c:v>16.489999999999998</c:v>
                </c:pt>
                <c:pt idx="128">
                  <c:v>16.399999999999999</c:v>
                </c:pt>
                <c:pt idx="129">
                  <c:v>16.399999999999999</c:v>
                </c:pt>
                <c:pt idx="130">
                  <c:v>16.399999999999999</c:v>
                </c:pt>
                <c:pt idx="131">
                  <c:v>16.399999999999999</c:v>
                </c:pt>
                <c:pt idx="132">
                  <c:v>16.079999999999998</c:v>
                </c:pt>
                <c:pt idx="133">
                  <c:v>16.079999999999998</c:v>
                </c:pt>
                <c:pt idx="134">
                  <c:v>16.079999999999998</c:v>
                </c:pt>
                <c:pt idx="135">
                  <c:v>16.079999999999998</c:v>
                </c:pt>
                <c:pt idx="136">
                  <c:v>16.079999999999998</c:v>
                </c:pt>
                <c:pt idx="137">
                  <c:v>16.079999999999998</c:v>
                </c:pt>
                <c:pt idx="138">
                  <c:v>16.34</c:v>
                </c:pt>
                <c:pt idx="139">
                  <c:v>16.34</c:v>
                </c:pt>
                <c:pt idx="140">
                  <c:v>16.34</c:v>
                </c:pt>
                <c:pt idx="141">
                  <c:v>16.34</c:v>
                </c:pt>
                <c:pt idx="142">
                  <c:v>16.34</c:v>
                </c:pt>
                <c:pt idx="143">
                  <c:v>16.46</c:v>
                </c:pt>
                <c:pt idx="144">
                  <c:v>16.46</c:v>
                </c:pt>
                <c:pt idx="145">
                  <c:v>16.46</c:v>
                </c:pt>
                <c:pt idx="146">
                  <c:v>16.46</c:v>
                </c:pt>
                <c:pt idx="147">
                  <c:v>15.92</c:v>
                </c:pt>
                <c:pt idx="148">
                  <c:v>15.92</c:v>
                </c:pt>
                <c:pt idx="149">
                  <c:v>15.92</c:v>
                </c:pt>
                <c:pt idx="150">
                  <c:v>15.92</c:v>
                </c:pt>
                <c:pt idx="151">
                  <c:v>15.92</c:v>
                </c:pt>
                <c:pt idx="152">
                  <c:v>15.92</c:v>
                </c:pt>
                <c:pt idx="153">
                  <c:v>15.92</c:v>
                </c:pt>
                <c:pt idx="154">
                  <c:v>15.92</c:v>
                </c:pt>
                <c:pt idx="155">
                  <c:v>15.45</c:v>
                </c:pt>
                <c:pt idx="156">
                  <c:v>15.45</c:v>
                </c:pt>
                <c:pt idx="157">
                  <c:v>15.45</c:v>
                </c:pt>
                <c:pt idx="158">
                  <c:v>15.45</c:v>
                </c:pt>
                <c:pt idx="159">
                  <c:v>15.45</c:v>
                </c:pt>
                <c:pt idx="160">
                  <c:v>15.45</c:v>
                </c:pt>
                <c:pt idx="161">
                  <c:v>14.98</c:v>
                </c:pt>
                <c:pt idx="162">
                  <c:v>14.98</c:v>
                </c:pt>
                <c:pt idx="163">
                  <c:v>14.98</c:v>
                </c:pt>
                <c:pt idx="164">
                  <c:v>14.98</c:v>
                </c:pt>
                <c:pt idx="165">
                  <c:v>14.98</c:v>
                </c:pt>
                <c:pt idx="166">
                  <c:v>14.98</c:v>
                </c:pt>
                <c:pt idx="167">
                  <c:v>14.98</c:v>
                </c:pt>
                <c:pt idx="168">
                  <c:v>14.98</c:v>
                </c:pt>
                <c:pt idx="169">
                  <c:v>14.98</c:v>
                </c:pt>
                <c:pt idx="170">
                  <c:v>14.98</c:v>
                </c:pt>
                <c:pt idx="171">
                  <c:v>14.98</c:v>
                </c:pt>
                <c:pt idx="172">
                  <c:v>14.98</c:v>
                </c:pt>
                <c:pt idx="173">
                  <c:v>14.98</c:v>
                </c:pt>
                <c:pt idx="174">
                  <c:v>14.98</c:v>
                </c:pt>
                <c:pt idx="175">
                  <c:v>14.46</c:v>
                </c:pt>
                <c:pt idx="176">
                  <c:v>14.46</c:v>
                </c:pt>
                <c:pt idx="177">
                  <c:v>14.46</c:v>
                </c:pt>
                <c:pt idx="178">
                  <c:v>14.46</c:v>
                </c:pt>
                <c:pt idx="179">
                  <c:v>14.46</c:v>
                </c:pt>
                <c:pt idx="180">
                  <c:v>14.46</c:v>
                </c:pt>
                <c:pt idx="181">
                  <c:v>14.46</c:v>
                </c:pt>
                <c:pt idx="182">
                  <c:v>14.46</c:v>
                </c:pt>
                <c:pt idx="183">
                  <c:v>14.46</c:v>
                </c:pt>
                <c:pt idx="184">
                  <c:v>14.43</c:v>
                </c:pt>
                <c:pt idx="185">
                  <c:v>14.43</c:v>
                </c:pt>
                <c:pt idx="186">
                  <c:v>14.43</c:v>
                </c:pt>
                <c:pt idx="187">
                  <c:v>14.43</c:v>
                </c:pt>
                <c:pt idx="188">
                  <c:v>14.43</c:v>
                </c:pt>
                <c:pt idx="189">
                  <c:v>14.24</c:v>
                </c:pt>
                <c:pt idx="190">
                  <c:v>14.24</c:v>
                </c:pt>
                <c:pt idx="191">
                  <c:v>14.28</c:v>
                </c:pt>
                <c:pt idx="192">
                  <c:v>14.28</c:v>
                </c:pt>
                <c:pt idx="193">
                  <c:v>14.28</c:v>
                </c:pt>
                <c:pt idx="194">
                  <c:v>14.28</c:v>
                </c:pt>
                <c:pt idx="195">
                  <c:v>14.28</c:v>
                </c:pt>
                <c:pt idx="196">
                  <c:v>14.03</c:v>
                </c:pt>
                <c:pt idx="197">
                  <c:v>14.03</c:v>
                </c:pt>
                <c:pt idx="198">
                  <c:v>13.64</c:v>
                </c:pt>
                <c:pt idx="199">
                  <c:v>13.64</c:v>
                </c:pt>
                <c:pt idx="200">
                  <c:v>13.64</c:v>
                </c:pt>
                <c:pt idx="201">
                  <c:v>13.49</c:v>
                </c:pt>
                <c:pt idx="202">
                  <c:v>13.49</c:v>
                </c:pt>
                <c:pt idx="203">
                  <c:v>13.49</c:v>
                </c:pt>
                <c:pt idx="204">
                  <c:v>13.49</c:v>
                </c:pt>
                <c:pt idx="205">
                  <c:v>13.49</c:v>
                </c:pt>
                <c:pt idx="206">
                  <c:v>13.49</c:v>
                </c:pt>
                <c:pt idx="207">
                  <c:v>13.49</c:v>
                </c:pt>
                <c:pt idx="208">
                  <c:v>13.65</c:v>
                </c:pt>
                <c:pt idx="209">
                  <c:v>13.65</c:v>
                </c:pt>
                <c:pt idx="210">
                  <c:v>13.57</c:v>
                </c:pt>
                <c:pt idx="211">
                  <c:v>13.57</c:v>
                </c:pt>
                <c:pt idx="212">
                  <c:v>13.57</c:v>
                </c:pt>
                <c:pt idx="213">
                  <c:v>13.57</c:v>
                </c:pt>
                <c:pt idx="214">
                  <c:v>13.57</c:v>
                </c:pt>
                <c:pt idx="215">
                  <c:v>13.57</c:v>
                </c:pt>
                <c:pt idx="216">
                  <c:v>13.57</c:v>
                </c:pt>
                <c:pt idx="217">
                  <c:v>13.57</c:v>
                </c:pt>
                <c:pt idx="218">
                  <c:v>13.57</c:v>
                </c:pt>
                <c:pt idx="219">
                  <c:v>13.57</c:v>
                </c:pt>
                <c:pt idx="220">
                  <c:v>13.44</c:v>
                </c:pt>
                <c:pt idx="221">
                  <c:v>13.44</c:v>
                </c:pt>
                <c:pt idx="222">
                  <c:v>13.44</c:v>
                </c:pt>
                <c:pt idx="223">
                  <c:v>13.44</c:v>
                </c:pt>
                <c:pt idx="224">
                  <c:v>13.44</c:v>
                </c:pt>
                <c:pt idx="225">
                  <c:v>13.44</c:v>
                </c:pt>
                <c:pt idx="226">
                  <c:v>13.44</c:v>
                </c:pt>
                <c:pt idx="227">
                  <c:v>13.25</c:v>
                </c:pt>
                <c:pt idx="228">
                  <c:v>13.25</c:v>
                </c:pt>
                <c:pt idx="229">
                  <c:v>13.25</c:v>
                </c:pt>
                <c:pt idx="230">
                  <c:v>13.25</c:v>
                </c:pt>
                <c:pt idx="231">
                  <c:v>13.38</c:v>
                </c:pt>
                <c:pt idx="232">
                  <c:v>13.38</c:v>
                </c:pt>
                <c:pt idx="233">
                  <c:v>13.38</c:v>
                </c:pt>
                <c:pt idx="234">
                  <c:v>13.38</c:v>
                </c:pt>
                <c:pt idx="235">
                  <c:v>13.38</c:v>
                </c:pt>
                <c:pt idx="236">
                  <c:v>13.38</c:v>
                </c:pt>
                <c:pt idx="237">
                  <c:v>13.52</c:v>
                </c:pt>
                <c:pt idx="238">
                  <c:v>13.52</c:v>
                </c:pt>
                <c:pt idx="239">
                  <c:v>13.4</c:v>
                </c:pt>
                <c:pt idx="240">
                  <c:v>13.4</c:v>
                </c:pt>
                <c:pt idx="241">
                  <c:v>13.4</c:v>
                </c:pt>
                <c:pt idx="242">
                  <c:v>13.4</c:v>
                </c:pt>
                <c:pt idx="243">
                  <c:v>13.77</c:v>
                </c:pt>
                <c:pt idx="244">
                  <c:v>13.77</c:v>
                </c:pt>
                <c:pt idx="245">
                  <c:v>14.13</c:v>
                </c:pt>
                <c:pt idx="246">
                  <c:v>14.13</c:v>
                </c:pt>
                <c:pt idx="247">
                  <c:v>14.13</c:v>
                </c:pt>
                <c:pt idx="248">
                  <c:v>14.13</c:v>
                </c:pt>
                <c:pt idx="249">
                  <c:v>14.88</c:v>
                </c:pt>
                <c:pt idx="250">
                  <c:v>15.1</c:v>
                </c:pt>
                <c:pt idx="251">
                  <c:v>14.86</c:v>
                </c:pt>
                <c:pt idx="252">
                  <c:v>14.86</c:v>
                </c:pt>
                <c:pt idx="253">
                  <c:v>14.86</c:v>
                </c:pt>
                <c:pt idx="254">
                  <c:v>14.86</c:v>
                </c:pt>
                <c:pt idx="255">
                  <c:v>14.86</c:v>
                </c:pt>
                <c:pt idx="256">
                  <c:v>14.86</c:v>
                </c:pt>
                <c:pt idx="257">
                  <c:v>14.86</c:v>
                </c:pt>
                <c:pt idx="258">
                  <c:v>14.43</c:v>
                </c:pt>
                <c:pt idx="259">
                  <c:v>14.43</c:v>
                </c:pt>
                <c:pt idx="260">
                  <c:v>14.43</c:v>
                </c:pt>
                <c:pt idx="261">
                  <c:v>14.43</c:v>
                </c:pt>
                <c:pt idx="262">
                  <c:v>14.19</c:v>
                </c:pt>
                <c:pt idx="263">
                  <c:v>14.19</c:v>
                </c:pt>
                <c:pt idx="264">
                  <c:v>13.83</c:v>
                </c:pt>
                <c:pt idx="265">
                  <c:v>13.83</c:v>
                </c:pt>
                <c:pt idx="266">
                  <c:v>13.25</c:v>
                </c:pt>
                <c:pt idx="267">
                  <c:v>13.25</c:v>
                </c:pt>
                <c:pt idx="268">
                  <c:v>13.25</c:v>
                </c:pt>
                <c:pt idx="269">
                  <c:v>13.25</c:v>
                </c:pt>
                <c:pt idx="270">
                  <c:v>13.07</c:v>
                </c:pt>
                <c:pt idx="271">
                  <c:v>13.07</c:v>
                </c:pt>
                <c:pt idx="272">
                  <c:v>12.99</c:v>
                </c:pt>
                <c:pt idx="273">
                  <c:v>12.99</c:v>
                </c:pt>
                <c:pt idx="274">
                  <c:v>12.99</c:v>
                </c:pt>
                <c:pt idx="275">
                  <c:v>12.99</c:v>
                </c:pt>
                <c:pt idx="276">
                  <c:v>13.03</c:v>
                </c:pt>
                <c:pt idx="277">
                  <c:v>13.8</c:v>
                </c:pt>
                <c:pt idx="278">
                  <c:v>13.59</c:v>
                </c:pt>
                <c:pt idx="279">
                  <c:v>13.17</c:v>
                </c:pt>
                <c:pt idx="280">
                  <c:v>13.17</c:v>
                </c:pt>
                <c:pt idx="281">
                  <c:v>12.14</c:v>
                </c:pt>
                <c:pt idx="282">
                  <c:v>12.06</c:v>
                </c:pt>
                <c:pt idx="283">
                  <c:v>12.14</c:v>
                </c:pt>
                <c:pt idx="284">
                  <c:v>12.14</c:v>
                </c:pt>
                <c:pt idx="285">
                  <c:v>12.14</c:v>
                </c:pt>
                <c:pt idx="286">
                  <c:v>12.14</c:v>
                </c:pt>
                <c:pt idx="287">
                  <c:v>12.13</c:v>
                </c:pt>
                <c:pt idx="288">
                  <c:v>12.13</c:v>
                </c:pt>
                <c:pt idx="289">
                  <c:v>12.01</c:v>
                </c:pt>
                <c:pt idx="290">
                  <c:v>12.01</c:v>
                </c:pt>
                <c:pt idx="291">
                  <c:v>12.01</c:v>
                </c:pt>
                <c:pt idx="292">
                  <c:v>12.01</c:v>
                </c:pt>
                <c:pt idx="293">
                  <c:v>11.51</c:v>
                </c:pt>
                <c:pt idx="294">
                  <c:v>11.51</c:v>
                </c:pt>
                <c:pt idx="295">
                  <c:v>11.51</c:v>
                </c:pt>
                <c:pt idx="296">
                  <c:v>11.51</c:v>
                </c:pt>
                <c:pt idx="297">
                  <c:v>11.51</c:v>
                </c:pt>
                <c:pt idx="298">
                  <c:v>11.01</c:v>
                </c:pt>
                <c:pt idx="299">
                  <c:v>11.01</c:v>
                </c:pt>
                <c:pt idx="300">
                  <c:v>11.01</c:v>
                </c:pt>
                <c:pt idx="301">
                  <c:v>10.8</c:v>
                </c:pt>
                <c:pt idx="302">
                  <c:v>10.32</c:v>
                </c:pt>
                <c:pt idx="303">
                  <c:v>9.51</c:v>
                </c:pt>
                <c:pt idx="304">
                  <c:v>9.1300000000000008</c:v>
                </c:pt>
                <c:pt idx="305">
                  <c:v>9.1300000000000008</c:v>
                </c:pt>
                <c:pt idx="306">
                  <c:v>9.1300000000000008</c:v>
                </c:pt>
                <c:pt idx="307">
                  <c:v>9.1300000000000008</c:v>
                </c:pt>
                <c:pt idx="308">
                  <c:v>9.1300000000000008</c:v>
                </c:pt>
                <c:pt idx="309">
                  <c:v>9.57</c:v>
                </c:pt>
                <c:pt idx="310">
                  <c:v>9.57</c:v>
                </c:pt>
                <c:pt idx="311">
                  <c:v>9.65</c:v>
                </c:pt>
                <c:pt idx="312">
                  <c:v>9.65</c:v>
                </c:pt>
                <c:pt idx="313">
                  <c:v>9.35</c:v>
                </c:pt>
                <c:pt idx="314">
                  <c:v>9.31</c:v>
                </c:pt>
                <c:pt idx="315">
                  <c:v>9.5</c:v>
                </c:pt>
                <c:pt idx="316">
                  <c:v>9.5</c:v>
                </c:pt>
                <c:pt idx="317">
                  <c:v>9.5</c:v>
                </c:pt>
                <c:pt idx="318">
                  <c:v>9.5299999999999994</c:v>
                </c:pt>
                <c:pt idx="319">
                  <c:v>9.5299999999999994</c:v>
                </c:pt>
                <c:pt idx="320">
                  <c:v>9.2899999999999991</c:v>
                </c:pt>
                <c:pt idx="321">
                  <c:v>9.2899999999999991</c:v>
                </c:pt>
                <c:pt idx="322">
                  <c:v>9.1199999999999992</c:v>
                </c:pt>
                <c:pt idx="323">
                  <c:v>9.1199999999999992</c:v>
                </c:pt>
                <c:pt idx="324">
                  <c:v>9.1199999999999992</c:v>
                </c:pt>
                <c:pt idx="325">
                  <c:v>8.94</c:v>
                </c:pt>
                <c:pt idx="326">
                  <c:v>9</c:v>
                </c:pt>
                <c:pt idx="327">
                  <c:v>8.93</c:v>
                </c:pt>
                <c:pt idx="328">
                  <c:v>9.35</c:v>
                </c:pt>
                <c:pt idx="329">
                  <c:v>9.8699999999999992</c:v>
                </c:pt>
                <c:pt idx="330">
                  <c:v>9.8699999999999992</c:v>
                </c:pt>
                <c:pt idx="331">
                  <c:v>9.8699999999999992</c:v>
                </c:pt>
                <c:pt idx="332">
                  <c:v>10.44</c:v>
                </c:pt>
                <c:pt idx="333">
                  <c:v>11.18</c:v>
                </c:pt>
                <c:pt idx="334">
                  <c:v>11.18</c:v>
                </c:pt>
                <c:pt idx="335">
                  <c:v>11.18</c:v>
                </c:pt>
                <c:pt idx="336">
                  <c:v>11.36</c:v>
                </c:pt>
                <c:pt idx="337">
                  <c:v>10.82</c:v>
                </c:pt>
                <c:pt idx="338">
                  <c:v>10.82</c:v>
                </c:pt>
                <c:pt idx="339">
                  <c:v>10.94</c:v>
                </c:pt>
                <c:pt idx="340">
                  <c:v>10.94</c:v>
                </c:pt>
                <c:pt idx="341">
                  <c:v>10.94</c:v>
                </c:pt>
                <c:pt idx="342">
                  <c:v>10.94</c:v>
                </c:pt>
                <c:pt idx="343">
                  <c:v>10.52</c:v>
                </c:pt>
                <c:pt idx="344">
                  <c:v>10.52</c:v>
                </c:pt>
                <c:pt idx="345">
                  <c:v>10.79</c:v>
                </c:pt>
                <c:pt idx="346">
                  <c:v>10.79</c:v>
                </c:pt>
                <c:pt idx="347">
                  <c:v>10.79</c:v>
                </c:pt>
                <c:pt idx="348">
                  <c:v>10.79</c:v>
                </c:pt>
                <c:pt idx="349">
                  <c:v>10.81</c:v>
                </c:pt>
                <c:pt idx="350">
                  <c:v>10.81</c:v>
                </c:pt>
                <c:pt idx="351">
                  <c:v>10.81</c:v>
                </c:pt>
                <c:pt idx="352">
                  <c:v>11.17</c:v>
                </c:pt>
                <c:pt idx="353">
                  <c:v>11.17</c:v>
                </c:pt>
                <c:pt idx="354">
                  <c:v>11.17</c:v>
                </c:pt>
                <c:pt idx="355">
                  <c:v>11.17</c:v>
                </c:pt>
                <c:pt idx="356">
                  <c:v>11.17</c:v>
                </c:pt>
                <c:pt idx="357">
                  <c:v>10.67</c:v>
                </c:pt>
                <c:pt idx="358">
                  <c:v>10.67</c:v>
                </c:pt>
                <c:pt idx="359">
                  <c:v>10.67</c:v>
                </c:pt>
                <c:pt idx="360">
                  <c:v>10.67</c:v>
                </c:pt>
                <c:pt idx="361">
                  <c:v>9.98</c:v>
                </c:pt>
                <c:pt idx="362">
                  <c:v>9.98</c:v>
                </c:pt>
                <c:pt idx="363">
                  <c:v>9.89</c:v>
                </c:pt>
                <c:pt idx="364">
                  <c:v>9.89</c:v>
                </c:pt>
                <c:pt idx="365">
                  <c:v>9.89</c:v>
                </c:pt>
                <c:pt idx="366">
                  <c:v>10.050000000000001</c:v>
                </c:pt>
                <c:pt idx="367">
                  <c:v>10.050000000000001</c:v>
                </c:pt>
                <c:pt idx="368">
                  <c:v>10.050000000000001</c:v>
                </c:pt>
                <c:pt idx="369">
                  <c:v>10.24</c:v>
                </c:pt>
                <c:pt idx="370">
                  <c:v>10.19</c:v>
                </c:pt>
                <c:pt idx="371">
                  <c:v>10</c:v>
                </c:pt>
                <c:pt idx="372">
                  <c:v>9.66</c:v>
                </c:pt>
                <c:pt idx="373">
                  <c:v>9.66</c:v>
                </c:pt>
                <c:pt idx="374">
                  <c:v>9.51</c:v>
                </c:pt>
                <c:pt idx="375">
                  <c:v>9.58</c:v>
                </c:pt>
                <c:pt idx="376">
                  <c:v>9.58</c:v>
                </c:pt>
                <c:pt idx="377">
                  <c:v>9.58</c:v>
                </c:pt>
                <c:pt idx="378">
                  <c:v>9.58</c:v>
                </c:pt>
                <c:pt idx="379">
                  <c:v>9.5399999999999991</c:v>
                </c:pt>
                <c:pt idx="380">
                  <c:v>9.5399999999999991</c:v>
                </c:pt>
                <c:pt idx="381">
                  <c:v>9.52</c:v>
                </c:pt>
                <c:pt idx="382">
                  <c:v>9.52</c:v>
                </c:pt>
                <c:pt idx="383">
                  <c:v>9.52</c:v>
                </c:pt>
                <c:pt idx="384">
                  <c:v>9.52</c:v>
                </c:pt>
                <c:pt idx="385">
                  <c:v>9.52</c:v>
                </c:pt>
                <c:pt idx="386">
                  <c:v>9.52</c:v>
                </c:pt>
                <c:pt idx="387">
                  <c:v>9.43</c:v>
                </c:pt>
                <c:pt idx="388">
                  <c:v>9.43</c:v>
                </c:pt>
                <c:pt idx="389">
                  <c:v>9.76</c:v>
                </c:pt>
                <c:pt idx="390">
                  <c:v>9.76</c:v>
                </c:pt>
                <c:pt idx="391">
                  <c:v>9.76</c:v>
                </c:pt>
                <c:pt idx="392">
                  <c:v>9.85</c:v>
                </c:pt>
                <c:pt idx="393">
                  <c:v>10.01</c:v>
                </c:pt>
                <c:pt idx="394">
                  <c:v>10.01</c:v>
                </c:pt>
                <c:pt idx="395">
                  <c:v>10.01</c:v>
                </c:pt>
                <c:pt idx="396">
                  <c:v>10.01</c:v>
                </c:pt>
                <c:pt idx="397">
                  <c:v>9.81</c:v>
                </c:pt>
                <c:pt idx="398">
                  <c:v>9.76</c:v>
                </c:pt>
                <c:pt idx="399">
                  <c:v>9.76</c:v>
                </c:pt>
                <c:pt idx="400">
                  <c:v>9.76</c:v>
                </c:pt>
                <c:pt idx="401">
                  <c:v>9.9</c:v>
                </c:pt>
                <c:pt idx="402">
                  <c:v>9.9</c:v>
                </c:pt>
                <c:pt idx="403">
                  <c:v>9.9</c:v>
                </c:pt>
                <c:pt idx="404">
                  <c:v>10.119999999999999</c:v>
                </c:pt>
                <c:pt idx="405">
                  <c:v>10.06</c:v>
                </c:pt>
                <c:pt idx="406">
                  <c:v>10.06</c:v>
                </c:pt>
                <c:pt idx="407">
                  <c:v>10.06</c:v>
                </c:pt>
                <c:pt idx="408">
                  <c:v>10.06</c:v>
                </c:pt>
                <c:pt idx="409">
                  <c:v>9.91</c:v>
                </c:pt>
                <c:pt idx="410">
                  <c:v>9.91</c:v>
                </c:pt>
                <c:pt idx="411">
                  <c:v>9.91</c:v>
                </c:pt>
                <c:pt idx="412">
                  <c:v>9.91</c:v>
                </c:pt>
                <c:pt idx="413">
                  <c:v>9.91</c:v>
                </c:pt>
                <c:pt idx="414">
                  <c:v>9.73</c:v>
                </c:pt>
                <c:pt idx="415">
                  <c:v>9.73</c:v>
                </c:pt>
                <c:pt idx="416">
                  <c:v>9.7100000000000009</c:v>
                </c:pt>
                <c:pt idx="417">
                  <c:v>9.43</c:v>
                </c:pt>
                <c:pt idx="418">
                  <c:v>9.43</c:v>
                </c:pt>
                <c:pt idx="419">
                  <c:v>9.58</c:v>
                </c:pt>
                <c:pt idx="420">
                  <c:v>9.58</c:v>
                </c:pt>
                <c:pt idx="421">
                  <c:v>9.5500000000000007</c:v>
                </c:pt>
                <c:pt idx="422">
                  <c:v>9.5500000000000007</c:v>
                </c:pt>
                <c:pt idx="423">
                  <c:v>9.31</c:v>
                </c:pt>
                <c:pt idx="424">
                  <c:v>9.17</c:v>
                </c:pt>
                <c:pt idx="425">
                  <c:v>9.17</c:v>
                </c:pt>
                <c:pt idx="426">
                  <c:v>9.1199999999999992</c:v>
                </c:pt>
                <c:pt idx="427">
                  <c:v>9.1199999999999992</c:v>
                </c:pt>
                <c:pt idx="428">
                  <c:v>9.1199999999999992</c:v>
                </c:pt>
                <c:pt idx="429">
                  <c:v>9.0500000000000007</c:v>
                </c:pt>
                <c:pt idx="430">
                  <c:v>9.0500000000000007</c:v>
                </c:pt>
                <c:pt idx="431">
                  <c:v>9.0500000000000007</c:v>
                </c:pt>
                <c:pt idx="432">
                  <c:v>8.9</c:v>
                </c:pt>
                <c:pt idx="433">
                  <c:v>8.9</c:v>
                </c:pt>
                <c:pt idx="434">
                  <c:v>8.83</c:v>
                </c:pt>
                <c:pt idx="435">
                  <c:v>8.93</c:v>
                </c:pt>
                <c:pt idx="436">
                  <c:v>8.93</c:v>
                </c:pt>
                <c:pt idx="437">
                  <c:v>8.8800000000000008</c:v>
                </c:pt>
                <c:pt idx="438">
                  <c:v>8.7899999999999991</c:v>
                </c:pt>
                <c:pt idx="439">
                  <c:v>8.58</c:v>
                </c:pt>
                <c:pt idx="440">
                  <c:v>8.44</c:v>
                </c:pt>
                <c:pt idx="441">
                  <c:v>8.44</c:v>
                </c:pt>
                <c:pt idx="442">
                  <c:v>8.44</c:v>
                </c:pt>
                <c:pt idx="443">
                  <c:v>8.41</c:v>
                </c:pt>
                <c:pt idx="444">
                  <c:v>8.41</c:v>
                </c:pt>
                <c:pt idx="445">
                  <c:v>8.5299999999999994</c:v>
                </c:pt>
                <c:pt idx="446">
                  <c:v>8.5299999999999994</c:v>
                </c:pt>
                <c:pt idx="447">
                  <c:v>8.5299999999999994</c:v>
                </c:pt>
                <c:pt idx="448">
                  <c:v>8.6300000000000008</c:v>
                </c:pt>
                <c:pt idx="449">
                  <c:v>8.6300000000000008</c:v>
                </c:pt>
                <c:pt idx="450">
                  <c:v>8.6300000000000008</c:v>
                </c:pt>
                <c:pt idx="451">
                  <c:v>8.6300000000000008</c:v>
                </c:pt>
                <c:pt idx="452">
                  <c:v>8.6300000000000008</c:v>
                </c:pt>
                <c:pt idx="453">
                  <c:v>7.9</c:v>
                </c:pt>
                <c:pt idx="454">
                  <c:v>7.82</c:v>
                </c:pt>
                <c:pt idx="455">
                  <c:v>7.82</c:v>
                </c:pt>
                <c:pt idx="456">
                  <c:v>7.86</c:v>
                </c:pt>
                <c:pt idx="457">
                  <c:v>7.76</c:v>
                </c:pt>
                <c:pt idx="458">
                  <c:v>7.76</c:v>
                </c:pt>
                <c:pt idx="459">
                  <c:v>7.76</c:v>
                </c:pt>
                <c:pt idx="460">
                  <c:v>7.54</c:v>
                </c:pt>
                <c:pt idx="461">
                  <c:v>7.54</c:v>
                </c:pt>
                <c:pt idx="462">
                  <c:v>7.54</c:v>
                </c:pt>
                <c:pt idx="463">
                  <c:v>7.27</c:v>
                </c:pt>
                <c:pt idx="464">
                  <c:v>7.27</c:v>
                </c:pt>
                <c:pt idx="465">
                  <c:v>7.27</c:v>
                </c:pt>
                <c:pt idx="466">
                  <c:v>7.27</c:v>
                </c:pt>
                <c:pt idx="467">
                  <c:v>7.27</c:v>
                </c:pt>
                <c:pt idx="468">
                  <c:v>7.04</c:v>
                </c:pt>
                <c:pt idx="469">
                  <c:v>7.04</c:v>
                </c:pt>
                <c:pt idx="470">
                  <c:v>7.04</c:v>
                </c:pt>
                <c:pt idx="471">
                  <c:v>7.04</c:v>
                </c:pt>
                <c:pt idx="472">
                  <c:v>7.04</c:v>
                </c:pt>
                <c:pt idx="473">
                  <c:v>7.04</c:v>
                </c:pt>
                <c:pt idx="474">
                  <c:v>7.04</c:v>
                </c:pt>
                <c:pt idx="475">
                  <c:v>7.03</c:v>
                </c:pt>
                <c:pt idx="476">
                  <c:v>7.03</c:v>
                </c:pt>
                <c:pt idx="477">
                  <c:v>7.28</c:v>
                </c:pt>
                <c:pt idx="478">
                  <c:v>7.28</c:v>
                </c:pt>
                <c:pt idx="479">
                  <c:v>7.28</c:v>
                </c:pt>
                <c:pt idx="480">
                  <c:v>7.28</c:v>
                </c:pt>
                <c:pt idx="481">
                  <c:v>7.28</c:v>
                </c:pt>
                <c:pt idx="482">
                  <c:v>7.34</c:v>
                </c:pt>
                <c:pt idx="483">
                  <c:v>7.34</c:v>
                </c:pt>
                <c:pt idx="484">
                  <c:v>7.45</c:v>
                </c:pt>
                <c:pt idx="485">
                  <c:v>7.83</c:v>
                </c:pt>
                <c:pt idx="486">
                  <c:v>8.33</c:v>
                </c:pt>
                <c:pt idx="487">
                  <c:v>8.31</c:v>
                </c:pt>
                <c:pt idx="488">
                  <c:v>8.41</c:v>
                </c:pt>
                <c:pt idx="489">
                  <c:v>8.85</c:v>
                </c:pt>
                <c:pt idx="490">
                  <c:v>8.85</c:v>
                </c:pt>
                <c:pt idx="491">
                  <c:v>8.85</c:v>
                </c:pt>
                <c:pt idx="492">
                  <c:v>8.85</c:v>
                </c:pt>
                <c:pt idx="493">
                  <c:v>8.85</c:v>
                </c:pt>
                <c:pt idx="494">
                  <c:v>8.89</c:v>
                </c:pt>
                <c:pt idx="495">
                  <c:v>8.3699999999999992</c:v>
                </c:pt>
                <c:pt idx="496">
                  <c:v>7.69</c:v>
                </c:pt>
                <c:pt idx="497">
                  <c:v>7.84</c:v>
                </c:pt>
                <c:pt idx="498">
                  <c:v>7.84</c:v>
                </c:pt>
                <c:pt idx="499">
                  <c:v>7.84</c:v>
                </c:pt>
                <c:pt idx="500">
                  <c:v>7.62</c:v>
                </c:pt>
                <c:pt idx="501">
                  <c:v>7.62</c:v>
                </c:pt>
                <c:pt idx="502">
                  <c:v>7.62</c:v>
                </c:pt>
                <c:pt idx="503">
                  <c:v>7.47</c:v>
                </c:pt>
                <c:pt idx="504">
                  <c:v>7.47</c:v>
                </c:pt>
                <c:pt idx="505">
                  <c:v>7.47</c:v>
                </c:pt>
                <c:pt idx="506">
                  <c:v>7.47</c:v>
                </c:pt>
                <c:pt idx="507">
                  <c:v>7.44</c:v>
                </c:pt>
                <c:pt idx="508">
                  <c:v>7.25</c:v>
                </c:pt>
                <c:pt idx="509">
                  <c:v>7.21</c:v>
                </c:pt>
                <c:pt idx="510">
                  <c:v>7.35</c:v>
                </c:pt>
                <c:pt idx="511">
                  <c:v>7.72</c:v>
                </c:pt>
                <c:pt idx="512">
                  <c:v>7.72</c:v>
                </c:pt>
                <c:pt idx="513">
                  <c:v>7.84</c:v>
                </c:pt>
                <c:pt idx="514">
                  <c:v>8.02</c:v>
                </c:pt>
                <c:pt idx="515">
                  <c:v>7.78</c:v>
                </c:pt>
                <c:pt idx="516">
                  <c:v>7.78</c:v>
                </c:pt>
                <c:pt idx="517">
                  <c:v>7.78</c:v>
                </c:pt>
                <c:pt idx="518">
                  <c:v>7.78</c:v>
                </c:pt>
                <c:pt idx="519">
                  <c:v>7.5</c:v>
                </c:pt>
                <c:pt idx="520">
                  <c:v>7.57</c:v>
                </c:pt>
                <c:pt idx="521">
                  <c:v>7.57</c:v>
                </c:pt>
                <c:pt idx="522">
                  <c:v>7.57</c:v>
                </c:pt>
                <c:pt idx="523">
                  <c:v>7.57</c:v>
                </c:pt>
                <c:pt idx="524">
                  <c:v>7.77</c:v>
                </c:pt>
                <c:pt idx="525">
                  <c:v>7.64</c:v>
                </c:pt>
                <c:pt idx="526">
                  <c:v>7.87</c:v>
                </c:pt>
                <c:pt idx="527">
                  <c:v>7.72</c:v>
                </c:pt>
                <c:pt idx="528">
                  <c:v>7.16</c:v>
                </c:pt>
                <c:pt idx="529">
                  <c:v>7.16</c:v>
                </c:pt>
                <c:pt idx="530">
                  <c:v>7.16</c:v>
                </c:pt>
                <c:pt idx="531">
                  <c:v>7.02</c:v>
                </c:pt>
                <c:pt idx="532">
                  <c:v>7</c:v>
                </c:pt>
                <c:pt idx="533">
                  <c:v>7</c:v>
                </c:pt>
                <c:pt idx="534">
                  <c:v>6.94</c:v>
                </c:pt>
                <c:pt idx="535">
                  <c:v>6.96</c:v>
                </c:pt>
                <c:pt idx="536">
                  <c:v>7.04</c:v>
                </c:pt>
                <c:pt idx="537">
                  <c:v>6.97</c:v>
                </c:pt>
                <c:pt idx="538">
                  <c:v>6.97</c:v>
                </c:pt>
                <c:pt idx="539">
                  <c:v>6.97</c:v>
                </c:pt>
                <c:pt idx="540">
                  <c:v>7.21</c:v>
                </c:pt>
                <c:pt idx="541">
                  <c:v>7.93</c:v>
                </c:pt>
                <c:pt idx="542">
                  <c:v>8.06</c:v>
                </c:pt>
                <c:pt idx="543">
                  <c:v>8.1199999999999992</c:v>
                </c:pt>
                <c:pt idx="544">
                  <c:v>8.35</c:v>
                </c:pt>
                <c:pt idx="545">
                  <c:v>8.2799999999999994</c:v>
                </c:pt>
                <c:pt idx="546">
                  <c:v>8.69</c:v>
                </c:pt>
                <c:pt idx="547">
                  <c:v>8.3800000000000008</c:v>
                </c:pt>
                <c:pt idx="548">
                  <c:v>8.3800000000000008</c:v>
                </c:pt>
                <c:pt idx="549">
                  <c:v>8.3800000000000008</c:v>
                </c:pt>
                <c:pt idx="550">
                  <c:v>8.1300000000000008</c:v>
                </c:pt>
                <c:pt idx="551">
                  <c:v>8.1300000000000008</c:v>
                </c:pt>
                <c:pt idx="552">
                  <c:v>8.14</c:v>
                </c:pt>
                <c:pt idx="553">
                  <c:v>8.14</c:v>
                </c:pt>
                <c:pt idx="554">
                  <c:v>7.86</c:v>
                </c:pt>
                <c:pt idx="555">
                  <c:v>7.74</c:v>
                </c:pt>
                <c:pt idx="556">
                  <c:v>7.67</c:v>
                </c:pt>
                <c:pt idx="557">
                  <c:v>7.71</c:v>
                </c:pt>
                <c:pt idx="558">
                  <c:v>7.83</c:v>
                </c:pt>
                <c:pt idx="559">
                  <c:v>7.83</c:v>
                </c:pt>
                <c:pt idx="560">
                  <c:v>7.74</c:v>
                </c:pt>
                <c:pt idx="561">
                  <c:v>7.53</c:v>
                </c:pt>
                <c:pt idx="562">
                  <c:v>7.32</c:v>
                </c:pt>
                <c:pt idx="563">
                  <c:v>7.32</c:v>
                </c:pt>
                <c:pt idx="564">
                  <c:v>7.09</c:v>
                </c:pt>
                <c:pt idx="565">
                  <c:v>7.09</c:v>
                </c:pt>
                <c:pt idx="566">
                  <c:v>7.09</c:v>
                </c:pt>
                <c:pt idx="567">
                  <c:v>7.14</c:v>
                </c:pt>
                <c:pt idx="568">
                  <c:v>7.06</c:v>
                </c:pt>
                <c:pt idx="569">
                  <c:v>7.06</c:v>
                </c:pt>
                <c:pt idx="570">
                  <c:v>6.93</c:v>
                </c:pt>
                <c:pt idx="571">
                  <c:v>6.93</c:v>
                </c:pt>
                <c:pt idx="572">
                  <c:v>6.65</c:v>
                </c:pt>
                <c:pt idx="573">
                  <c:v>6.58</c:v>
                </c:pt>
                <c:pt idx="574">
                  <c:v>6.58</c:v>
                </c:pt>
                <c:pt idx="575">
                  <c:v>6.58</c:v>
                </c:pt>
                <c:pt idx="576">
                  <c:v>6.58</c:v>
                </c:pt>
                <c:pt idx="577">
                  <c:v>6.58</c:v>
                </c:pt>
                <c:pt idx="578">
                  <c:v>6.58</c:v>
                </c:pt>
                <c:pt idx="579">
                  <c:v>6.37</c:v>
                </c:pt>
                <c:pt idx="580">
                  <c:v>6.37</c:v>
                </c:pt>
                <c:pt idx="581">
                  <c:v>6.37</c:v>
                </c:pt>
                <c:pt idx="582">
                  <c:v>6.37</c:v>
                </c:pt>
                <c:pt idx="583">
                  <c:v>6.28</c:v>
                </c:pt>
                <c:pt idx="584">
                  <c:v>6.15</c:v>
                </c:pt>
                <c:pt idx="585">
                  <c:v>6.15</c:v>
                </c:pt>
                <c:pt idx="586">
                  <c:v>6.33</c:v>
                </c:pt>
                <c:pt idx="587">
                  <c:v>6.27</c:v>
                </c:pt>
                <c:pt idx="588">
                  <c:v>6.27</c:v>
                </c:pt>
                <c:pt idx="589">
                  <c:v>6.27</c:v>
                </c:pt>
                <c:pt idx="590">
                  <c:v>6.15</c:v>
                </c:pt>
                <c:pt idx="591">
                  <c:v>5.98</c:v>
                </c:pt>
                <c:pt idx="592">
                  <c:v>5.96</c:v>
                </c:pt>
                <c:pt idx="593">
                  <c:v>5.96</c:v>
                </c:pt>
                <c:pt idx="594">
                  <c:v>5.79</c:v>
                </c:pt>
                <c:pt idx="595">
                  <c:v>5.83</c:v>
                </c:pt>
                <c:pt idx="596">
                  <c:v>5.4</c:v>
                </c:pt>
                <c:pt idx="597">
                  <c:v>5.51</c:v>
                </c:pt>
                <c:pt idx="598">
                  <c:v>5.51</c:v>
                </c:pt>
                <c:pt idx="599">
                  <c:v>5.5</c:v>
                </c:pt>
                <c:pt idx="600">
                  <c:v>5.77</c:v>
                </c:pt>
                <c:pt idx="601">
                  <c:v>5.77</c:v>
                </c:pt>
                <c:pt idx="602">
                  <c:v>5.77</c:v>
                </c:pt>
                <c:pt idx="603">
                  <c:v>5.88</c:v>
                </c:pt>
                <c:pt idx="604">
                  <c:v>5.88</c:v>
                </c:pt>
                <c:pt idx="605">
                  <c:v>5.88</c:v>
                </c:pt>
                <c:pt idx="606">
                  <c:v>5.88</c:v>
                </c:pt>
                <c:pt idx="607">
                  <c:v>5.88</c:v>
                </c:pt>
                <c:pt idx="608">
                  <c:v>5.82</c:v>
                </c:pt>
                <c:pt idx="609">
                  <c:v>5.82</c:v>
                </c:pt>
                <c:pt idx="610">
                  <c:v>5.75</c:v>
                </c:pt>
                <c:pt idx="611">
                  <c:v>5.98</c:v>
                </c:pt>
                <c:pt idx="612">
                  <c:v>6.4</c:v>
                </c:pt>
                <c:pt idx="613">
                  <c:v>6</c:v>
                </c:pt>
                <c:pt idx="614">
                  <c:v>5.98</c:v>
                </c:pt>
                <c:pt idx="615">
                  <c:v>5.8</c:v>
                </c:pt>
                <c:pt idx="616">
                  <c:v>5.8</c:v>
                </c:pt>
                <c:pt idx="617">
                  <c:v>5.81</c:v>
                </c:pt>
                <c:pt idx="618">
                  <c:v>5.81</c:v>
                </c:pt>
                <c:pt idx="619">
                  <c:v>5.9</c:v>
                </c:pt>
                <c:pt idx="620">
                  <c:v>5.9</c:v>
                </c:pt>
                <c:pt idx="621">
                  <c:v>5.99</c:v>
                </c:pt>
                <c:pt idx="622">
                  <c:v>6.3</c:v>
                </c:pt>
                <c:pt idx="623">
                  <c:v>6.25</c:v>
                </c:pt>
                <c:pt idx="624">
                  <c:v>6.11</c:v>
                </c:pt>
                <c:pt idx="625">
                  <c:v>6.11</c:v>
                </c:pt>
                <c:pt idx="626">
                  <c:v>6.11</c:v>
                </c:pt>
                <c:pt idx="627">
                  <c:v>5.97</c:v>
                </c:pt>
                <c:pt idx="628">
                  <c:v>5.97</c:v>
                </c:pt>
                <c:pt idx="629">
                  <c:v>6.16</c:v>
                </c:pt>
                <c:pt idx="630">
                  <c:v>6.16</c:v>
                </c:pt>
                <c:pt idx="631">
                  <c:v>6.16</c:v>
                </c:pt>
                <c:pt idx="632">
                  <c:v>6.16</c:v>
                </c:pt>
                <c:pt idx="633">
                  <c:v>6.27</c:v>
                </c:pt>
                <c:pt idx="634">
                  <c:v>6.37</c:v>
                </c:pt>
                <c:pt idx="635">
                  <c:v>6.37</c:v>
                </c:pt>
                <c:pt idx="636">
                  <c:v>6.37</c:v>
                </c:pt>
                <c:pt idx="637">
                  <c:v>6.37</c:v>
                </c:pt>
                <c:pt idx="638">
                  <c:v>7.56</c:v>
                </c:pt>
                <c:pt idx="639">
                  <c:v>7.6</c:v>
                </c:pt>
                <c:pt idx="640">
                  <c:v>6.54</c:v>
                </c:pt>
                <c:pt idx="641">
                  <c:v>6.3</c:v>
                </c:pt>
                <c:pt idx="642">
                  <c:v>6.42</c:v>
                </c:pt>
                <c:pt idx="643">
                  <c:v>6.48</c:v>
                </c:pt>
                <c:pt idx="644">
                  <c:v>6.49</c:v>
                </c:pt>
                <c:pt idx="645">
                  <c:v>6.49</c:v>
                </c:pt>
                <c:pt idx="646">
                  <c:v>6.49</c:v>
                </c:pt>
                <c:pt idx="647">
                  <c:v>6.2</c:v>
                </c:pt>
                <c:pt idx="648">
                  <c:v>5.53</c:v>
                </c:pt>
                <c:pt idx="649">
                  <c:v>5.53</c:v>
                </c:pt>
                <c:pt idx="650">
                  <c:v>5.53</c:v>
                </c:pt>
                <c:pt idx="651">
                  <c:v>5.55</c:v>
                </c:pt>
                <c:pt idx="652">
                  <c:v>5.64</c:v>
                </c:pt>
                <c:pt idx="653">
                  <c:v>5.64</c:v>
                </c:pt>
                <c:pt idx="654">
                  <c:v>5.64</c:v>
                </c:pt>
                <c:pt idx="655">
                  <c:v>5.64</c:v>
                </c:pt>
                <c:pt idx="656">
                  <c:v>5.64</c:v>
                </c:pt>
                <c:pt idx="657">
                  <c:v>5.64</c:v>
                </c:pt>
                <c:pt idx="658">
                  <c:v>5.79</c:v>
                </c:pt>
                <c:pt idx="659">
                  <c:v>5.79</c:v>
                </c:pt>
                <c:pt idx="660">
                  <c:v>5.79</c:v>
                </c:pt>
                <c:pt idx="661">
                  <c:v>5.79</c:v>
                </c:pt>
                <c:pt idx="662">
                  <c:v>5.77</c:v>
                </c:pt>
                <c:pt idx="663">
                  <c:v>5.77</c:v>
                </c:pt>
                <c:pt idx="664">
                  <c:v>5.87</c:v>
                </c:pt>
                <c:pt idx="665">
                  <c:v>5.87</c:v>
                </c:pt>
                <c:pt idx="666">
                  <c:v>5.87</c:v>
                </c:pt>
                <c:pt idx="667">
                  <c:v>5.87</c:v>
                </c:pt>
                <c:pt idx="668">
                  <c:v>5.84</c:v>
                </c:pt>
                <c:pt idx="669">
                  <c:v>5.84</c:v>
                </c:pt>
                <c:pt idx="670">
                  <c:v>5.84</c:v>
                </c:pt>
                <c:pt idx="671">
                  <c:v>5.81</c:v>
                </c:pt>
                <c:pt idx="672">
                  <c:v>5.81</c:v>
                </c:pt>
                <c:pt idx="673">
                  <c:v>5.81</c:v>
                </c:pt>
                <c:pt idx="674">
                  <c:v>5.26</c:v>
                </c:pt>
                <c:pt idx="675">
                  <c:v>5.01</c:v>
                </c:pt>
                <c:pt idx="676">
                  <c:v>5.01</c:v>
                </c:pt>
                <c:pt idx="677">
                  <c:v>5.01</c:v>
                </c:pt>
                <c:pt idx="678">
                  <c:v>5.01</c:v>
                </c:pt>
                <c:pt idx="679">
                  <c:v>5.0999999999999996</c:v>
                </c:pt>
                <c:pt idx="680">
                  <c:v>5.0999999999999996</c:v>
                </c:pt>
                <c:pt idx="681">
                  <c:v>5.0999999999999996</c:v>
                </c:pt>
                <c:pt idx="682">
                  <c:v>5.37</c:v>
                </c:pt>
                <c:pt idx="683">
                  <c:v>5.37</c:v>
                </c:pt>
                <c:pt idx="684">
                  <c:v>5.37</c:v>
                </c:pt>
                <c:pt idx="685">
                  <c:v>5.37</c:v>
                </c:pt>
                <c:pt idx="686">
                  <c:v>5.68</c:v>
                </c:pt>
                <c:pt idx="687">
                  <c:v>5.32</c:v>
                </c:pt>
                <c:pt idx="688">
                  <c:v>5.26</c:v>
                </c:pt>
                <c:pt idx="689">
                  <c:v>4.4800000000000004</c:v>
                </c:pt>
                <c:pt idx="690">
                  <c:v>4.25</c:v>
                </c:pt>
                <c:pt idx="691">
                  <c:v>4.25</c:v>
                </c:pt>
                <c:pt idx="692">
                  <c:v>4.25</c:v>
                </c:pt>
                <c:pt idx="693">
                  <c:v>4.25</c:v>
                </c:pt>
                <c:pt idx="694">
                  <c:v>4.4800000000000004</c:v>
                </c:pt>
                <c:pt idx="695">
                  <c:v>4.4800000000000004</c:v>
                </c:pt>
                <c:pt idx="696">
                  <c:v>4.4000000000000004</c:v>
                </c:pt>
                <c:pt idx="697">
                  <c:v>4.4000000000000004</c:v>
                </c:pt>
                <c:pt idx="698">
                  <c:v>4.2</c:v>
                </c:pt>
                <c:pt idx="699">
                  <c:v>4.0199999999999996</c:v>
                </c:pt>
                <c:pt idx="700">
                  <c:v>4.0199999999999996</c:v>
                </c:pt>
                <c:pt idx="701">
                  <c:v>4.0199999999999996</c:v>
                </c:pt>
                <c:pt idx="702">
                  <c:v>4.0199999999999996</c:v>
                </c:pt>
                <c:pt idx="703">
                  <c:v>4.0199999999999996</c:v>
                </c:pt>
                <c:pt idx="704">
                  <c:v>4.0199999999999996</c:v>
                </c:pt>
                <c:pt idx="705">
                  <c:v>3.91</c:v>
                </c:pt>
                <c:pt idx="706">
                  <c:v>3.91</c:v>
                </c:pt>
                <c:pt idx="707">
                  <c:v>3.91</c:v>
                </c:pt>
                <c:pt idx="708">
                  <c:v>3.84</c:v>
                </c:pt>
                <c:pt idx="709">
                  <c:v>3.84</c:v>
                </c:pt>
                <c:pt idx="710">
                  <c:v>3.84</c:v>
                </c:pt>
                <c:pt idx="711">
                  <c:v>4.1500000000000004</c:v>
                </c:pt>
                <c:pt idx="712">
                  <c:v>4.2</c:v>
                </c:pt>
                <c:pt idx="713">
                  <c:v>4.17</c:v>
                </c:pt>
                <c:pt idx="714">
                  <c:v>4.17</c:v>
                </c:pt>
                <c:pt idx="715">
                  <c:v>4.7300000000000004</c:v>
                </c:pt>
                <c:pt idx="716">
                  <c:v>4.8</c:v>
                </c:pt>
                <c:pt idx="717">
                  <c:v>4.7</c:v>
                </c:pt>
                <c:pt idx="718">
                  <c:v>4.7</c:v>
                </c:pt>
                <c:pt idx="719">
                  <c:v>4.7</c:v>
                </c:pt>
                <c:pt idx="720">
                  <c:v>4.7699999999999996</c:v>
                </c:pt>
                <c:pt idx="721">
                  <c:v>4.7699999999999996</c:v>
                </c:pt>
                <c:pt idx="722">
                  <c:v>4.7699999999999996</c:v>
                </c:pt>
                <c:pt idx="723">
                  <c:v>4.8099999999999996</c:v>
                </c:pt>
                <c:pt idx="724">
                  <c:v>4.63</c:v>
                </c:pt>
                <c:pt idx="725">
                  <c:v>4.63</c:v>
                </c:pt>
                <c:pt idx="726">
                  <c:v>4.51</c:v>
                </c:pt>
                <c:pt idx="727">
                  <c:v>4.51</c:v>
                </c:pt>
                <c:pt idx="728">
                  <c:v>4.41</c:v>
                </c:pt>
                <c:pt idx="729">
                  <c:v>4.41</c:v>
                </c:pt>
                <c:pt idx="730">
                  <c:v>4.41</c:v>
                </c:pt>
                <c:pt idx="731">
                  <c:v>4.41</c:v>
                </c:pt>
                <c:pt idx="732">
                  <c:v>4.13</c:v>
                </c:pt>
                <c:pt idx="733">
                  <c:v>4.24</c:v>
                </c:pt>
                <c:pt idx="734">
                  <c:v>4.24</c:v>
                </c:pt>
                <c:pt idx="735">
                  <c:v>4.24</c:v>
                </c:pt>
                <c:pt idx="736">
                  <c:v>4.24</c:v>
                </c:pt>
                <c:pt idx="737">
                  <c:v>4.0599999999999996</c:v>
                </c:pt>
                <c:pt idx="738">
                  <c:v>3.95</c:v>
                </c:pt>
                <c:pt idx="739">
                  <c:v>3.95</c:v>
                </c:pt>
                <c:pt idx="740">
                  <c:v>4.3899999999999997</c:v>
                </c:pt>
                <c:pt idx="741">
                  <c:v>4.29</c:v>
                </c:pt>
                <c:pt idx="742">
                  <c:v>4.29</c:v>
                </c:pt>
                <c:pt idx="743">
                  <c:v>4.2699999999999996</c:v>
                </c:pt>
                <c:pt idx="744">
                  <c:v>4.2699999999999996</c:v>
                </c:pt>
                <c:pt idx="745">
                  <c:v>4.16</c:v>
                </c:pt>
                <c:pt idx="746">
                  <c:v>4.16</c:v>
                </c:pt>
                <c:pt idx="747">
                  <c:v>4</c:v>
                </c:pt>
                <c:pt idx="748">
                  <c:v>3.59</c:v>
                </c:pt>
                <c:pt idx="749">
                  <c:v>3.59</c:v>
                </c:pt>
                <c:pt idx="750">
                  <c:v>3.66</c:v>
                </c:pt>
                <c:pt idx="751">
                  <c:v>3.77</c:v>
                </c:pt>
                <c:pt idx="752">
                  <c:v>4.1399999999999997</c:v>
                </c:pt>
                <c:pt idx="753">
                  <c:v>4.2300000000000004</c:v>
                </c:pt>
                <c:pt idx="754">
                  <c:v>4.2300000000000004</c:v>
                </c:pt>
                <c:pt idx="755">
                  <c:v>3.94</c:v>
                </c:pt>
                <c:pt idx="756">
                  <c:v>3.86</c:v>
                </c:pt>
                <c:pt idx="757">
                  <c:v>3.91</c:v>
                </c:pt>
                <c:pt idx="758">
                  <c:v>3.79</c:v>
                </c:pt>
                <c:pt idx="759">
                  <c:v>3.86</c:v>
                </c:pt>
                <c:pt idx="760">
                  <c:v>3.86</c:v>
                </c:pt>
                <c:pt idx="761">
                  <c:v>3.86</c:v>
                </c:pt>
                <c:pt idx="762">
                  <c:v>4.13</c:v>
                </c:pt>
                <c:pt idx="763">
                  <c:v>4.13</c:v>
                </c:pt>
                <c:pt idx="764">
                  <c:v>4.13</c:v>
                </c:pt>
                <c:pt idx="765">
                  <c:v>4.2699999999999996</c:v>
                </c:pt>
                <c:pt idx="766">
                  <c:v>4.26</c:v>
                </c:pt>
                <c:pt idx="767">
                  <c:v>4.26</c:v>
                </c:pt>
                <c:pt idx="768">
                  <c:v>4.26</c:v>
                </c:pt>
                <c:pt idx="769">
                  <c:v>4.32</c:v>
                </c:pt>
                <c:pt idx="770">
                  <c:v>4.45</c:v>
                </c:pt>
                <c:pt idx="771">
                  <c:v>4.5199999999999996</c:v>
                </c:pt>
                <c:pt idx="772">
                  <c:v>4.5199999999999996</c:v>
                </c:pt>
                <c:pt idx="773">
                  <c:v>4.5199999999999996</c:v>
                </c:pt>
                <c:pt idx="774">
                  <c:v>4.5199999999999996</c:v>
                </c:pt>
                <c:pt idx="775" formatCode="###,##0.00;\-###,##0.00">
                  <c:v>4.16</c:v>
                </c:pt>
                <c:pt idx="776" formatCode="###,##0.00;\-###,##0.00">
                  <c:v>3.29</c:v>
                </c:pt>
                <c:pt idx="777" formatCode="General">
                  <c:v>3.29</c:v>
                </c:pt>
                <c:pt idx="778" formatCode="General">
                  <c:v>3.37</c:v>
                </c:pt>
                <c:pt idx="779" formatCode="General">
                  <c:v>3.42</c:v>
                </c:pt>
                <c:pt idx="780" formatCode="General">
                  <c:v>3.42</c:v>
                </c:pt>
                <c:pt idx="781" formatCode="General">
                  <c:v>3.42</c:v>
                </c:pt>
                <c:pt idx="782" formatCode="General">
                  <c:v>3.42</c:v>
                </c:pt>
                <c:pt idx="783" formatCode="General">
                  <c:v>3.42</c:v>
                </c:pt>
                <c:pt idx="784" formatCode="General">
                  <c:v>3.4</c:v>
                </c:pt>
                <c:pt idx="785" formatCode="General">
                  <c:v>3.29</c:v>
                </c:pt>
                <c:pt idx="786" formatCode="General">
                  <c:v>3.29</c:v>
                </c:pt>
                <c:pt idx="787" formatCode="General">
                  <c:v>3.11</c:v>
                </c:pt>
                <c:pt idx="788" formatCode="General">
                  <c:v>3.19</c:v>
                </c:pt>
                <c:pt idx="789" formatCode="General">
                  <c:v>3.14</c:v>
                </c:pt>
                <c:pt idx="790" formatCode="General">
                  <c:v>2.73</c:v>
                </c:pt>
                <c:pt idx="791" formatCode="General">
                  <c:v>2.73</c:v>
                </c:pt>
                <c:pt idx="792" formatCode="General">
                  <c:v>2.84</c:v>
                </c:pt>
                <c:pt idx="793" formatCode="General">
                  <c:v>2.95</c:v>
                </c:pt>
                <c:pt idx="794" formatCode="General">
                  <c:v>2.85</c:v>
                </c:pt>
                <c:pt idx="795" formatCode="General">
                  <c:v>2.85</c:v>
                </c:pt>
                <c:pt idx="796" formatCode="General">
                  <c:v>2.85</c:v>
                </c:pt>
                <c:pt idx="797" formatCode="General">
                  <c:v>2.91</c:v>
                </c:pt>
                <c:pt idx="798" formatCode="General">
                  <c:v>3.09</c:v>
                </c:pt>
                <c:pt idx="799" formatCode="General">
                  <c:v>3.3</c:v>
                </c:pt>
                <c:pt idx="800" formatCode="General">
                  <c:v>3.3</c:v>
                </c:pt>
                <c:pt idx="801" formatCode="General">
                  <c:v>3.33</c:v>
                </c:pt>
                <c:pt idx="802" formatCode="General">
                  <c:v>3.16</c:v>
                </c:pt>
                <c:pt idx="803" formatCode="General">
                  <c:v>2.95</c:v>
                </c:pt>
                <c:pt idx="804" formatCode="General">
                  <c:v>2.95</c:v>
                </c:pt>
                <c:pt idx="805" formatCode="General">
                  <c:v>2.96</c:v>
                </c:pt>
                <c:pt idx="806" formatCode="General">
                  <c:v>3.09</c:v>
                </c:pt>
                <c:pt idx="807" formatCode="General">
                  <c:v>3.09</c:v>
                </c:pt>
                <c:pt idx="808" formatCode="General">
                  <c:v>3.09</c:v>
                </c:pt>
                <c:pt idx="809" formatCode="General">
                  <c:v>4.32</c:v>
                </c:pt>
                <c:pt idx="810" formatCode="General">
                  <c:v>4.76</c:v>
                </c:pt>
                <c:pt idx="811" formatCode="General">
                  <c:v>5.28</c:v>
                </c:pt>
                <c:pt idx="812" formatCode="General">
                  <c:v>5.28</c:v>
                </c:pt>
                <c:pt idx="813" formatCode="General">
                  <c:v>5.75</c:v>
                </c:pt>
                <c:pt idx="814" formatCode="General">
                  <c:v>5.75</c:v>
                </c:pt>
                <c:pt idx="815" formatCode="General">
                  <c:v>5.75</c:v>
                </c:pt>
                <c:pt idx="816" formatCode="General">
                  <c:v>5.75</c:v>
                </c:pt>
                <c:pt idx="817" formatCode="General">
                  <c:v>5.75</c:v>
                </c:pt>
              </c:numCache>
            </c:numRef>
          </c:xVal>
          <c:yVal>
            <c:numRef>
              <c:f>'4.13 Past Rate Cases Gas'!$K$6:$K$823</c:f>
              <c:numCache>
                <c:formatCode>_(* #,##0.00_);_(* \(#,##0.00\);_(* "-"??_);_(@_)</c:formatCode>
                <c:ptCount val="818"/>
                <c:pt idx="0">
                  <c:v>0.66000000000000014</c:v>
                </c:pt>
                <c:pt idx="1">
                  <c:v>1.8599999999999994</c:v>
                </c:pt>
                <c:pt idx="2">
                  <c:v>1.3099999999999987</c:v>
                </c:pt>
                <c:pt idx="3">
                  <c:v>1.8499999999999996</c:v>
                </c:pt>
                <c:pt idx="4">
                  <c:v>0.45999999999999908</c:v>
                </c:pt>
                <c:pt idx="5">
                  <c:v>2.3499999999999996</c:v>
                </c:pt>
                <c:pt idx="6">
                  <c:v>0.84999999999999964</c:v>
                </c:pt>
                <c:pt idx="7">
                  <c:v>0.78999999999999915</c:v>
                </c:pt>
                <c:pt idx="8">
                  <c:v>1.7899999999999991</c:v>
                </c:pt>
                <c:pt idx="9">
                  <c:v>1.7899999999999991</c:v>
                </c:pt>
                <c:pt idx="10">
                  <c:v>1.2899999999999991</c:v>
                </c:pt>
                <c:pt idx="11">
                  <c:v>1.7899999999999991</c:v>
                </c:pt>
                <c:pt idx="12">
                  <c:v>-0.54000000000000092</c:v>
                </c:pt>
                <c:pt idx="13">
                  <c:v>-2.09</c:v>
                </c:pt>
                <c:pt idx="14">
                  <c:v>-0.32000000000000028</c:v>
                </c:pt>
                <c:pt idx="15">
                  <c:v>-0.83999999999999986</c:v>
                </c:pt>
                <c:pt idx="16">
                  <c:v>0.91000000000000014</c:v>
                </c:pt>
                <c:pt idx="17">
                  <c:v>0.3100000000000005</c:v>
                </c:pt>
                <c:pt idx="18">
                  <c:v>1.7100000000000009</c:v>
                </c:pt>
                <c:pt idx="19">
                  <c:v>-0.50999999999999979</c:v>
                </c:pt>
                <c:pt idx="20">
                  <c:v>1.5099999999999998</c:v>
                </c:pt>
                <c:pt idx="21">
                  <c:v>1.7699999999999996</c:v>
                </c:pt>
                <c:pt idx="22">
                  <c:v>0.5</c:v>
                </c:pt>
                <c:pt idx="23">
                  <c:v>1.4000000000000004</c:v>
                </c:pt>
                <c:pt idx="24">
                  <c:v>1.6999999999999993</c:v>
                </c:pt>
                <c:pt idx="25">
                  <c:v>1.7899999999999991</c:v>
                </c:pt>
                <c:pt idx="26">
                  <c:v>9.9999999999999645E-2</c:v>
                </c:pt>
                <c:pt idx="27">
                  <c:v>2.4499999999999993</c:v>
                </c:pt>
                <c:pt idx="28">
                  <c:v>1.8499999999999996</c:v>
                </c:pt>
                <c:pt idx="29">
                  <c:v>1.8499999999999996</c:v>
                </c:pt>
                <c:pt idx="30">
                  <c:v>2.34</c:v>
                </c:pt>
                <c:pt idx="31">
                  <c:v>1.8399999999999999</c:v>
                </c:pt>
                <c:pt idx="32">
                  <c:v>1.8399999999999999</c:v>
                </c:pt>
                <c:pt idx="33">
                  <c:v>1.9100000000000001</c:v>
                </c:pt>
                <c:pt idx="34">
                  <c:v>1.9100000000000001</c:v>
                </c:pt>
                <c:pt idx="35">
                  <c:v>-0.28999999999999915</c:v>
                </c:pt>
                <c:pt idx="36">
                  <c:v>-1.2899999999999991</c:v>
                </c:pt>
                <c:pt idx="37">
                  <c:v>1.2100000000000009</c:v>
                </c:pt>
                <c:pt idx="38">
                  <c:v>1.7100000000000009</c:v>
                </c:pt>
                <c:pt idx="39">
                  <c:v>1.0600000000000005</c:v>
                </c:pt>
                <c:pt idx="40">
                  <c:v>-3.9999999999999147E-2</c:v>
                </c:pt>
                <c:pt idx="41">
                  <c:v>1.9600000000000009</c:v>
                </c:pt>
                <c:pt idx="42">
                  <c:v>-3.9999999999999147E-2</c:v>
                </c:pt>
                <c:pt idx="43">
                  <c:v>1.0600000000000005</c:v>
                </c:pt>
                <c:pt idx="44">
                  <c:v>2.8599999999999994</c:v>
                </c:pt>
                <c:pt idx="45">
                  <c:v>1.9100000000000001</c:v>
                </c:pt>
                <c:pt idx="46">
                  <c:v>0.39000000000000057</c:v>
                </c:pt>
                <c:pt idx="47">
                  <c:v>0.1899999999999995</c:v>
                </c:pt>
                <c:pt idx="48">
                  <c:v>-9.9999999999997868E-3</c:v>
                </c:pt>
                <c:pt idx="49">
                  <c:v>-0.5600000000000005</c:v>
                </c:pt>
                <c:pt idx="50">
                  <c:v>-9.9999999999997868E-3</c:v>
                </c:pt>
                <c:pt idx="51">
                  <c:v>0.49000000000000021</c:v>
                </c:pt>
                <c:pt idx="52">
                  <c:v>0.29000000000000092</c:v>
                </c:pt>
                <c:pt idx="53">
                  <c:v>0.9399999999999995</c:v>
                </c:pt>
                <c:pt idx="54">
                  <c:v>0.58999999999999986</c:v>
                </c:pt>
                <c:pt idx="55">
                  <c:v>-1.4100000000000001</c:v>
                </c:pt>
                <c:pt idx="56">
                  <c:v>-0.16000000000000014</c:v>
                </c:pt>
                <c:pt idx="57">
                  <c:v>0.23000000000000043</c:v>
                </c:pt>
                <c:pt idx="58">
                  <c:v>1.3800000000000008</c:v>
                </c:pt>
                <c:pt idx="59">
                  <c:v>0.62000000000000099</c:v>
                </c:pt>
                <c:pt idx="60">
                  <c:v>0.32000000000000028</c:v>
                </c:pt>
                <c:pt idx="61">
                  <c:v>-0.88000000000000078</c:v>
                </c:pt>
                <c:pt idx="62">
                  <c:v>-1.6300000000000008</c:v>
                </c:pt>
                <c:pt idx="63">
                  <c:v>-0.13000000000000078</c:v>
                </c:pt>
                <c:pt idx="64">
                  <c:v>-1.5300000000000011</c:v>
                </c:pt>
                <c:pt idx="65">
                  <c:v>-1.25</c:v>
                </c:pt>
                <c:pt idx="66">
                  <c:v>-0.58000000000000007</c:v>
                </c:pt>
                <c:pt idx="67">
                  <c:v>-0.12000000000000099</c:v>
                </c:pt>
                <c:pt idx="68">
                  <c:v>-1.370000000000001</c:v>
                </c:pt>
                <c:pt idx="69">
                  <c:v>-2.120000000000001</c:v>
                </c:pt>
                <c:pt idx="70">
                  <c:v>-0.12000000000000099</c:v>
                </c:pt>
                <c:pt idx="71">
                  <c:v>0.77999999999999758</c:v>
                </c:pt>
                <c:pt idx="72">
                  <c:v>-9.9999999999997868E-3</c:v>
                </c:pt>
                <c:pt idx="73">
                  <c:v>-0.28999999999999915</c:v>
                </c:pt>
                <c:pt idx="74">
                  <c:v>-2.0199999999999996</c:v>
                </c:pt>
                <c:pt idx="75">
                  <c:v>-1.5899999999999999</c:v>
                </c:pt>
                <c:pt idx="76">
                  <c:v>-2.2899999999999991</c:v>
                </c:pt>
                <c:pt idx="77">
                  <c:v>-1.379999999999999</c:v>
                </c:pt>
                <c:pt idx="78">
                  <c:v>-2.0699999999999985</c:v>
                </c:pt>
                <c:pt idx="79">
                  <c:v>-2.0699999999999985</c:v>
                </c:pt>
                <c:pt idx="80">
                  <c:v>-0.62000000000000099</c:v>
                </c:pt>
                <c:pt idx="81">
                  <c:v>-1.6400000000000006</c:v>
                </c:pt>
                <c:pt idx="82">
                  <c:v>-1.0700000000000003</c:v>
                </c:pt>
                <c:pt idx="83">
                  <c:v>-0.19999999999999929</c:v>
                </c:pt>
                <c:pt idx="84">
                  <c:v>-1.9499999999999993</c:v>
                </c:pt>
                <c:pt idx="85">
                  <c:v>-0.50999999999999979</c:v>
                </c:pt>
                <c:pt idx="86">
                  <c:v>-1.6499999999999986</c:v>
                </c:pt>
                <c:pt idx="87">
                  <c:v>-0.19999999999999929</c:v>
                </c:pt>
                <c:pt idx="88">
                  <c:v>-3.0000000000001137E-2</c:v>
                </c:pt>
                <c:pt idx="89">
                  <c:v>-0.53000000000000114</c:v>
                </c:pt>
                <c:pt idx="90">
                  <c:v>-1.7800000000000011</c:v>
                </c:pt>
                <c:pt idx="91">
                  <c:v>-3.5300000000000011</c:v>
                </c:pt>
                <c:pt idx="92">
                  <c:v>-0.53000000000000114</c:v>
                </c:pt>
                <c:pt idx="93">
                  <c:v>-1.7000000000000011</c:v>
                </c:pt>
                <c:pt idx="94">
                  <c:v>-1.8600000000000012</c:v>
                </c:pt>
                <c:pt idx="95">
                  <c:v>-1.1600000000000001</c:v>
                </c:pt>
                <c:pt idx="96">
                  <c:v>-1.1600000000000001</c:v>
                </c:pt>
                <c:pt idx="97">
                  <c:v>-2.0100000000000016</c:v>
                </c:pt>
                <c:pt idx="98">
                  <c:v>-0.51000000000000156</c:v>
                </c:pt>
                <c:pt idx="99">
                  <c:v>-1.2600000000000016</c:v>
                </c:pt>
                <c:pt idx="100">
                  <c:v>-1.5600000000000023</c:v>
                </c:pt>
                <c:pt idx="101">
                  <c:v>-0.61000000000000121</c:v>
                </c:pt>
                <c:pt idx="102">
                  <c:v>-0.42000000000000171</c:v>
                </c:pt>
                <c:pt idx="103">
                  <c:v>-0.72000000000000242</c:v>
                </c:pt>
                <c:pt idx="104">
                  <c:v>-0.17000000000000171</c:v>
                </c:pt>
                <c:pt idx="105">
                  <c:v>-0.42000000000000171</c:v>
                </c:pt>
                <c:pt idx="106">
                  <c:v>-0.92000000000000171</c:v>
                </c:pt>
                <c:pt idx="107">
                  <c:v>8.9999999999999858E-2</c:v>
                </c:pt>
                <c:pt idx="108">
                  <c:v>0.67999999999999972</c:v>
                </c:pt>
                <c:pt idx="109">
                  <c:v>-2.16</c:v>
                </c:pt>
                <c:pt idx="110">
                  <c:v>7.9999999999998295E-2</c:v>
                </c:pt>
                <c:pt idx="111">
                  <c:v>-0.66000000000000014</c:v>
                </c:pt>
                <c:pt idx="112">
                  <c:v>-0.41000000000000014</c:v>
                </c:pt>
                <c:pt idx="113">
                  <c:v>-1.2100000000000009</c:v>
                </c:pt>
                <c:pt idx="114">
                  <c:v>-0.16000000000000014</c:v>
                </c:pt>
                <c:pt idx="115">
                  <c:v>-0.83999999999999986</c:v>
                </c:pt>
                <c:pt idx="116">
                  <c:v>-1.8000000000000007</c:v>
                </c:pt>
                <c:pt idx="117">
                  <c:v>0.30000000000000071</c:v>
                </c:pt>
                <c:pt idx="118">
                  <c:v>-0.92000000000000171</c:v>
                </c:pt>
                <c:pt idx="119">
                  <c:v>-0.67000000000000171</c:v>
                </c:pt>
                <c:pt idx="120">
                  <c:v>-1.9200000000000017</c:v>
                </c:pt>
                <c:pt idx="121">
                  <c:v>-0.42000000000000171</c:v>
                </c:pt>
                <c:pt idx="122">
                  <c:v>-0.22000000000000242</c:v>
                </c:pt>
                <c:pt idx="123">
                  <c:v>-1.8200000000000021</c:v>
                </c:pt>
                <c:pt idx="124">
                  <c:v>-1.7899999999999991</c:v>
                </c:pt>
                <c:pt idx="125">
                  <c:v>-1.4899999999999984</c:v>
                </c:pt>
                <c:pt idx="126">
                  <c:v>-1.9199999999999982</c:v>
                </c:pt>
                <c:pt idx="127">
                  <c:v>-0.68999999999999773</c:v>
                </c:pt>
                <c:pt idx="128">
                  <c:v>-0.57999999999999829</c:v>
                </c:pt>
                <c:pt idx="129">
                  <c:v>-0.14999999999999858</c:v>
                </c:pt>
                <c:pt idx="130">
                  <c:v>-1.8999999999999986</c:v>
                </c:pt>
                <c:pt idx="131">
                  <c:v>-0.39999999999999858</c:v>
                </c:pt>
                <c:pt idx="132">
                  <c:v>-0.57999999999999829</c:v>
                </c:pt>
                <c:pt idx="133">
                  <c:v>0.42000000000000171</c:v>
                </c:pt>
                <c:pt idx="134">
                  <c:v>-7.9999999999998295E-2</c:v>
                </c:pt>
                <c:pt idx="135">
                  <c:v>-0.52999999999999758</c:v>
                </c:pt>
                <c:pt idx="136">
                  <c:v>-0.97999999999999865</c:v>
                </c:pt>
                <c:pt idx="137">
                  <c:v>0.72000000000000242</c:v>
                </c:pt>
                <c:pt idx="138">
                  <c:v>-1.8399999999999999</c:v>
                </c:pt>
                <c:pt idx="139">
                  <c:v>-1.5199999999999996</c:v>
                </c:pt>
                <c:pt idx="140">
                  <c:v>-0.75999999999999979</c:v>
                </c:pt>
                <c:pt idx="141">
                  <c:v>0.16000000000000014</c:v>
                </c:pt>
                <c:pt idx="142">
                  <c:v>0.76999999999999957</c:v>
                </c:pt>
                <c:pt idx="143">
                  <c:v>-0.46000000000000085</c:v>
                </c:pt>
                <c:pt idx="144">
                  <c:v>-0.21000000000000085</c:v>
                </c:pt>
                <c:pt idx="145">
                  <c:v>-0.96000000000000085</c:v>
                </c:pt>
                <c:pt idx="146">
                  <c:v>-0.42000000000000171</c:v>
                </c:pt>
                <c:pt idx="147">
                  <c:v>0.11999999999999922</c:v>
                </c:pt>
                <c:pt idx="148">
                  <c:v>-0.66999999999999993</c:v>
                </c:pt>
                <c:pt idx="149">
                  <c:v>-1.42</c:v>
                </c:pt>
                <c:pt idx="150">
                  <c:v>0.77999999999999936</c:v>
                </c:pt>
                <c:pt idx="151">
                  <c:v>0.58000000000000007</c:v>
                </c:pt>
                <c:pt idx="152">
                  <c:v>-0.41999999999999993</c:v>
                </c:pt>
                <c:pt idx="153">
                  <c:v>-1.1799999999999997</c:v>
                </c:pt>
                <c:pt idx="154">
                  <c:v>-0.91999999999999993</c:v>
                </c:pt>
                <c:pt idx="155">
                  <c:v>0.45000000000000107</c:v>
                </c:pt>
                <c:pt idx="156">
                  <c:v>0.45000000000000107</c:v>
                </c:pt>
                <c:pt idx="157">
                  <c:v>1.5500000000000007</c:v>
                </c:pt>
                <c:pt idx="158">
                  <c:v>-0.69999999999999929</c:v>
                </c:pt>
                <c:pt idx="159">
                  <c:v>0.80000000000000071</c:v>
                </c:pt>
                <c:pt idx="160">
                  <c:v>0.30000000000000071</c:v>
                </c:pt>
                <c:pt idx="161">
                  <c:v>1.0199999999999996</c:v>
                </c:pt>
                <c:pt idx="162">
                  <c:v>0.51999999999999957</c:v>
                </c:pt>
                <c:pt idx="163">
                  <c:v>1.0399999999999991</c:v>
                </c:pt>
                <c:pt idx="164">
                  <c:v>-0.48000000000000043</c:v>
                </c:pt>
                <c:pt idx="165">
                  <c:v>1.120000000000001</c:v>
                </c:pt>
                <c:pt idx="166">
                  <c:v>1.0199999999999996</c:v>
                </c:pt>
                <c:pt idx="167">
                  <c:v>0.66999999999999993</c:v>
                </c:pt>
                <c:pt idx="168">
                  <c:v>0.51999999999999957</c:v>
                </c:pt>
                <c:pt idx="169">
                  <c:v>0.51999999999999957</c:v>
                </c:pt>
                <c:pt idx="170">
                  <c:v>-2</c:v>
                </c:pt>
                <c:pt idx="171">
                  <c:v>0.34999999999999964</c:v>
                </c:pt>
                <c:pt idx="172">
                  <c:v>0.76999999999999957</c:v>
                </c:pt>
                <c:pt idx="173">
                  <c:v>1.0199999999999996</c:v>
                </c:pt>
                <c:pt idx="174">
                  <c:v>1.4199999999999982</c:v>
                </c:pt>
                <c:pt idx="175">
                  <c:v>1.7899999999999991</c:v>
                </c:pt>
                <c:pt idx="176">
                  <c:v>0.53999999999999915</c:v>
                </c:pt>
                <c:pt idx="177">
                  <c:v>1.2399999999999984</c:v>
                </c:pt>
                <c:pt idx="178">
                  <c:v>0.78999999999999915</c:v>
                </c:pt>
                <c:pt idx="179">
                  <c:v>0.78999999999999915</c:v>
                </c:pt>
                <c:pt idx="180">
                  <c:v>1.7899999999999991</c:v>
                </c:pt>
                <c:pt idx="181">
                  <c:v>1.7899999999999991</c:v>
                </c:pt>
                <c:pt idx="182">
                  <c:v>1.4399999999999995</c:v>
                </c:pt>
                <c:pt idx="183">
                  <c:v>1.0399999999999991</c:v>
                </c:pt>
                <c:pt idx="184">
                  <c:v>0.57000000000000028</c:v>
                </c:pt>
                <c:pt idx="185">
                  <c:v>1.5700000000000003</c:v>
                </c:pt>
                <c:pt idx="186">
                  <c:v>1.0700000000000003</c:v>
                </c:pt>
                <c:pt idx="187">
                  <c:v>0.47000000000000064</c:v>
                </c:pt>
                <c:pt idx="188">
                  <c:v>0.57000000000000028</c:v>
                </c:pt>
                <c:pt idx="189">
                  <c:v>1.4599999999999991</c:v>
                </c:pt>
                <c:pt idx="190">
                  <c:v>1.0099999999999998</c:v>
                </c:pt>
                <c:pt idx="191">
                  <c:v>1.7200000000000006</c:v>
                </c:pt>
                <c:pt idx="192">
                  <c:v>0.68000000000000149</c:v>
                </c:pt>
                <c:pt idx="193">
                  <c:v>1.120000000000001</c:v>
                </c:pt>
                <c:pt idx="194">
                  <c:v>0.72000000000000064</c:v>
                </c:pt>
                <c:pt idx="195">
                  <c:v>-1.0299999999999994</c:v>
                </c:pt>
                <c:pt idx="196">
                  <c:v>1.370000000000001</c:v>
                </c:pt>
                <c:pt idx="197">
                  <c:v>1.4700000000000006</c:v>
                </c:pt>
                <c:pt idx="198">
                  <c:v>0.35999999999999943</c:v>
                </c:pt>
                <c:pt idx="199">
                  <c:v>0.85999999999999943</c:v>
                </c:pt>
                <c:pt idx="200">
                  <c:v>0.85999999999999943</c:v>
                </c:pt>
                <c:pt idx="201">
                  <c:v>0.66000000000000014</c:v>
                </c:pt>
                <c:pt idx="202">
                  <c:v>1.0099999999999998</c:v>
                </c:pt>
                <c:pt idx="203">
                  <c:v>2.41</c:v>
                </c:pt>
                <c:pt idx="204">
                  <c:v>1.3100000000000005</c:v>
                </c:pt>
                <c:pt idx="205">
                  <c:v>1.3100000000000005</c:v>
                </c:pt>
                <c:pt idx="206">
                  <c:v>1.5099999999999998</c:v>
                </c:pt>
                <c:pt idx="207">
                  <c:v>2.0099999999999998</c:v>
                </c:pt>
                <c:pt idx="208">
                  <c:v>1.4499999999999993</c:v>
                </c:pt>
                <c:pt idx="209">
                  <c:v>1.3499999999999996</c:v>
                </c:pt>
                <c:pt idx="210">
                  <c:v>1.7300000000000004</c:v>
                </c:pt>
                <c:pt idx="211">
                  <c:v>2.2199999999999989</c:v>
                </c:pt>
                <c:pt idx="212">
                  <c:v>1.1799999999999997</c:v>
                </c:pt>
                <c:pt idx="213">
                  <c:v>1.1799999999999997</c:v>
                </c:pt>
                <c:pt idx="214">
                  <c:v>1.9399999999999995</c:v>
                </c:pt>
                <c:pt idx="215">
                  <c:v>0.92999999999999972</c:v>
                </c:pt>
                <c:pt idx="216">
                  <c:v>0.67999999999999972</c:v>
                </c:pt>
                <c:pt idx="217">
                  <c:v>2.6799999999999997</c:v>
                </c:pt>
                <c:pt idx="218">
                  <c:v>2.5799999999999983</c:v>
                </c:pt>
                <c:pt idx="219">
                  <c:v>1.9499999999999993</c:v>
                </c:pt>
                <c:pt idx="220">
                  <c:v>1.7599999999999998</c:v>
                </c:pt>
                <c:pt idx="221">
                  <c:v>1.3100000000000005</c:v>
                </c:pt>
                <c:pt idx="222">
                  <c:v>1.8900000000000006</c:v>
                </c:pt>
                <c:pt idx="223">
                  <c:v>1.4400000000000013</c:v>
                </c:pt>
                <c:pt idx="224">
                  <c:v>3.0700000000000021</c:v>
                </c:pt>
                <c:pt idx="225">
                  <c:v>3.0700000000000021</c:v>
                </c:pt>
                <c:pt idx="226">
                  <c:v>1.3800000000000008</c:v>
                </c:pt>
                <c:pt idx="227">
                  <c:v>1.25</c:v>
                </c:pt>
                <c:pt idx="228">
                  <c:v>2.6500000000000004</c:v>
                </c:pt>
                <c:pt idx="229">
                  <c:v>2.25</c:v>
                </c:pt>
                <c:pt idx="230">
                  <c:v>1.25</c:v>
                </c:pt>
                <c:pt idx="231">
                  <c:v>2.6199999999999992</c:v>
                </c:pt>
                <c:pt idx="232">
                  <c:v>2.0199999999999996</c:v>
                </c:pt>
                <c:pt idx="233">
                  <c:v>2.3699999999999992</c:v>
                </c:pt>
                <c:pt idx="234">
                  <c:v>1.6199999999999992</c:v>
                </c:pt>
                <c:pt idx="235">
                  <c:v>2.5199999999999996</c:v>
                </c:pt>
                <c:pt idx="236">
                  <c:v>2.1199999999999992</c:v>
                </c:pt>
                <c:pt idx="237">
                  <c:v>2.0099999999999998</c:v>
                </c:pt>
                <c:pt idx="238">
                  <c:v>2.3800000000000008</c:v>
                </c:pt>
                <c:pt idx="239">
                  <c:v>1.0999999999999996</c:v>
                </c:pt>
                <c:pt idx="240">
                  <c:v>2.5999999999999996</c:v>
                </c:pt>
                <c:pt idx="241">
                  <c:v>2.0999999999999996</c:v>
                </c:pt>
                <c:pt idx="242">
                  <c:v>1.7999999999999989</c:v>
                </c:pt>
                <c:pt idx="243">
                  <c:v>2.4299999999999997</c:v>
                </c:pt>
                <c:pt idx="244">
                  <c:v>2.08</c:v>
                </c:pt>
                <c:pt idx="245">
                  <c:v>-0.78000000000000114</c:v>
                </c:pt>
                <c:pt idx="246">
                  <c:v>0.86999999999999922</c:v>
                </c:pt>
                <c:pt idx="247">
                  <c:v>0.26999999999999957</c:v>
                </c:pt>
                <c:pt idx="248">
                  <c:v>1.3699999999999992</c:v>
                </c:pt>
                <c:pt idx="249">
                  <c:v>1.1199999999999992</c:v>
                </c:pt>
                <c:pt idx="250">
                  <c:v>0.23000000000000043</c:v>
                </c:pt>
                <c:pt idx="251">
                  <c:v>-3.9999999999999147E-2</c:v>
                </c:pt>
                <c:pt idx="252">
                  <c:v>-0.21999999999999886</c:v>
                </c:pt>
                <c:pt idx="253">
                  <c:v>-0.33999999999999986</c:v>
                </c:pt>
                <c:pt idx="254">
                  <c:v>-0.10999999999999943</c:v>
                </c:pt>
                <c:pt idx="255">
                  <c:v>0.74000000000000021</c:v>
                </c:pt>
                <c:pt idx="256">
                  <c:v>1.0400000000000009</c:v>
                </c:pt>
                <c:pt idx="257">
                  <c:v>0.74000000000000021</c:v>
                </c:pt>
                <c:pt idx="258">
                  <c:v>1.8200000000000003</c:v>
                </c:pt>
                <c:pt idx="259">
                  <c:v>0.37000000000000099</c:v>
                </c:pt>
                <c:pt idx="260">
                  <c:v>0.32000000000000028</c:v>
                </c:pt>
                <c:pt idx="261">
                  <c:v>1.0700000000000003</c:v>
                </c:pt>
                <c:pt idx="262">
                  <c:v>0.8100000000000005</c:v>
                </c:pt>
                <c:pt idx="263">
                  <c:v>1.3100000000000005</c:v>
                </c:pt>
                <c:pt idx="264">
                  <c:v>2.09</c:v>
                </c:pt>
                <c:pt idx="265">
                  <c:v>1.67</c:v>
                </c:pt>
                <c:pt idx="266">
                  <c:v>1.75</c:v>
                </c:pt>
                <c:pt idx="267">
                  <c:v>1.75</c:v>
                </c:pt>
                <c:pt idx="268">
                  <c:v>2.5</c:v>
                </c:pt>
                <c:pt idx="269">
                  <c:v>2.75</c:v>
                </c:pt>
                <c:pt idx="270">
                  <c:v>1.6799999999999997</c:v>
                </c:pt>
                <c:pt idx="271">
                  <c:v>1.7799999999999994</c:v>
                </c:pt>
                <c:pt idx="272">
                  <c:v>2.0099999999999998</c:v>
                </c:pt>
                <c:pt idx="273">
                  <c:v>1.5099999999999998</c:v>
                </c:pt>
                <c:pt idx="274">
                  <c:v>1.8699999999999992</c:v>
                </c:pt>
                <c:pt idx="275">
                  <c:v>2.5099999999999998</c:v>
                </c:pt>
                <c:pt idx="276">
                  <c:v>2.4700000000000006</c:v>
                </c:pt>
                <c:pt idx="277">
                  <c:v>1.8999999999999986</c:v>
                </c:pt>
                <c:pt idx="278">
                  <c:v>2.16</c:v>
                </c:pt>
                <c:pt idx="279">
                  <c:v>1.6500000000000004</c:v>
                </c:pt>
                <c:pt idx="280">
                  <c:v>1.83</c:v>
                </c:pt>
                <c:pt idx="281">
                  <c:v>2.3599999999999994</c:v>
                </c:pt>
                <c:pt idx="282">
                  <c:v>2.4399999999999995</c:v>
                </c:pt>
                <c:pt idx="283">
                  <c:v>3.16</c:v>
                </c:pt>
                <c:pt idx="284">
                  <c:v>2.3599999999999994</c:v>
                </c:pt>
                <c:pt idx="285">
                  <c:v>2.3599999999999994</c:v>
                </c:pt>
                <c:pt idx="286">
                  <c:v>1.6600000000000001</c:v>
                </c:pt>
                <c:pt idx="287">
                  <c:v>3.1199999999999992</c:v>
                </c:pt>
                <c:pt idx="288">
                  <c:v>0.80999999999999872</c:v>
                </c:pt>
                <c:pt idx="289">
                  <c:v>2.8900000000000006</c:v>
                </c:pt>
                <c:pt idx="290">
                  <c:v>1.2900000000000009</c:v>
                </c:pt>
                <c:pt idx="291">
                  <c:v>-9.9999999999997868E-3</c:v>
                </c:pt>
                <c:pt idx="292">
                  <c:v>2.8900000000000006</c:v>
                </c:pt>
                <c:pt idx="293">
                  <c:v>3.49</c:v>
                </c:pt>
                <c:pt idx="294">
                  <c:v>3.49</c:v>
                </c:pt>
                <c:pt idx="295">
                  <c:v>3.370000000000001</c:v>
                </c:pt>
                <c:pt idx="296">
                  <c:v>2.99</c:v>
                </c:pt>
                <c:pt idx="297">
                  <c:v>2.4900000000000002</c:v>
                </c:pt>
                <c:pt idx="298">
                  <c:v>3.49</c:v>
                </c:pt>
                <c:pt idx="299">
                  <c:v>1.4900000000000002</c:v>
                </c:pt>
                <c:pt idx="300">
                  <c:v>4.1899999999999995</c:v>
                </c:pt>
                <c:pt idx="301">
                  <c:v>3.1999999999999993</c:v>
                </c:pt>
                <c:pt idx="302">
                  <c:v>2.58</c:v>
                </c:pt>
                <c:pt idx="303">
                  <c:v>3.5</c:v>
                </c:pt>
                <c:pt idx="304">
                  <c:v>4.8699999999999992</c:v>
                </c:pt>
                <c:pt idx="305">
                  <c:v>4.7699999999999996</c:v>
                </c:pt>
                <c:pt idx="306">
                  <c:v>3.8699999999999992</c:v>
                </c:pt>
                <c:pt idx="307">
                  <c:v>4.8699999999999992</c:v>
                </c:pt>
                <c:pt idx="308">
                  <c:v>4.42</c:v>
                </c:pt>
                <c:pt idx="309">
                  <c:v>2.3100000000000005</c:v>
                </c:pt>
                <c:pt idx="310">
                  <c:v>3.0299999999999994</c:v>
                </c:pt>
                <c:pt idx="311">
                  <c:v>3.6500000000000004</c:v>
                </c:pt>
                <c:pt idx="312">
                  <c:v>3.8499999999999996</c:v>
                </c:pt>
                <c:pt idx="313">
                  <c:v>3.9500000000000011</c:v>
                </c:pt>
                <c:pt idx="314">
                  <c:v>3.4399999999999995</c:v>
                </c:pt>
                <c:pt idx="315">
                  <c:v>3.5</c:v>
                </c:pt>
                <c:pt idx="316">
                  <c:v>4.25</c:v>
                </c:pt>
                <c:pt idx="317">
                  <c:v>4.5</c:v>
                </c:pt>
                <c:pt idx="318">
                  <c:v>4.2200000000000006</c:v>
                </c:pt>
                <c:pt idx="319">
                  <c:v>3.620000000000001</c:v>
                </c:pt>
                <c:pt idx="320">
                  <c:v>4.5100000000000016</c:v>
                </c:pt>
                <c:pt idx="321">
                  <c:v>4.6100000000000012</c:v>
                </c:pt>
                <c:pt idx="322">
                  <c:v>3.6300000000000008</c:v>
                </c:pt>
                <c:pt idx="323">
                  <c:v>3.0400000000000009</c:v>
                </c:pt>
                <c:pt idx="324">
                  <c:v>3.4800000000000004</c:v>
                </c:pt>
                <c:pt idx="325">
                  <c:v>3.0600000000000005</c:v>
                </c:pt>
                <c:pt idx="326">
                  <c:v>3.1999999999999993</c:v>
                </c:pt>
                <c:pt idx="327">
                  <c:v>3.92</c:v>
                </c:pt>
                <c:pt idx="328">
                  <c:v>4.1500000000000004</c:v>
                </c:pt>
                <c:pt idx="329">
                  <c:v>3.33</c:v>
                </c:pt>
                <c:pt idx="330">
                  <c:v>2.7300000000000004</c:v>
                </c:pt>
                <c:pt idx="331">
                  <c:v>3.0300000000000011</c:v>
                </c:pt>
                <c:pt idx="332">
                  <c:v>2.5600000000000005</c:v>
                </c:pt>
                <c:pt idx="333">
                  <c:v>1.8000000000000007</c:v>
                </c:pt>
                <c:pt idx="334">
                  <c:v>1.42</c:v>
                </c:pt>
                <c:pt idx="335">
                  <c:v>1.5700000000000003</c:v>
                </c:pt>
                <c:pt idx="336">
                  <c:v>1.1400000000000006</c:v>
                </c:pt>
                <c:pt idx="337">
                  <c:v>1.1799999999999997</c:v>
                </c:pt>
                <c:pt idx="338">
                  <c:v>2.4299999999999997</c:v>
                </c:pt>
                <c:pt idx="339">
                  <c:v>2.2100000000000009</c:v>
                </c:pt>
                <c:pt idx="340">
                  <c:v>1.8100000000000005</c:v>
                </c:pt>
                <c:pt idx="341">
                  <c:v>2.2599999999999998</c:v>
                </c:pt>
                <c:pt idx="342">
                  <c:v>1.6600000000000001</c:v>
                </c:pt>
                <c:pt idx="343">
                  <c:v>2.66</c:v>
                </c:pt>
                <c:pt idx="344">
                  <c:v>2.9800000000000004</c:v>
                </c:pt>
                <c:pt idx="345">
                  <c:v>0.93000000000000149</c:v>
                </c:pt>
                <c:pt idx="346">
                  <c:v>0.71000000000000085</c:v>
                </c:pt>
                <c:pt idx="347">
                  <c:v>1.9600000000000009</c:v>
                </c:pt>
                <c:pt idx="348">
                  <c:v>1.2100000000000009</c:v>
                </c:pt>
                <c:pt idx="349">
                  <c:v>1.1899999999999995</c:v>
                </c:pt>
                <c:pt idx="350">
                  <c:v>2.59</c:v>
                </c:pt>
                <c:pt idx="351">
                  <c:v>1.9299999999999997</c:v>
                </c:pt>
                <c:pt idx="352">
                  <c:v>1.7300000000000004</c:v>
                </c:pt>
                <c:pt idx="353">
                  <c:v>1.2300000000000004</c:v>
                </c:pt>
                <c:pt idx="354">
                  <c:v>2.4800000000000004</c:v>
                </c:pt>
                <c:pt idx="355">
                  <c:v>2.08</c:v>
                </c:pt>
                <c:pt idx="356">
                  <c:v>1.9299999999999997</c:v>
                </c:pt>
                <c:pt idx="357">
                  <c:v>2.1300000000000008</c:v>
                </c:pt>
                <c:pt idx="358">
                  <c:v>2.83</c:v>
                </c:pt>
                <c:pt idx="359">
                  <c:v>2.2799999999999994</c:v>
                </c:pt>
                <c:pt idx="360">
                  <c:v>2.33</c:v>
                </c:pt>
                <c:pt idx="361">
                  <c:v>2.0199999999999996</c:v>
                </c:pt>
                <c:pt idx="362">
                  <c:v>2.7699999999999996</c:v>
                </c:pt>
                <c:pt idx="363">
                  <c:v>3.1099999999999994</c:v>
                </c:pt>
                <c:pt idx="364">
                  <c:v>3.01</c:v>
                </c:pt>
                <c:pt idx="365">
                  <c:v>3.6099999999999994</c:v>
                </c:pt>
                <c:pt idx="366">
                  <c:v>2.5499999999999989</c:v>
                </c:pt>
                <c:pt idx="367">
                  <c:v>2.9499999999999993</c:v>
                </c:pt>
                <c:pt idx="368">
                  <c:v>3.3199999999999985</c:v>
                </c:pt>
                <c:pt idx="369">
                  <c:v>2.76</c:v>
                </c:pt>
                <c:pt idx="370">
                  <c:v>3.3100000000000005</c:v>
                </c:pt>
                <c:pt idx="371">
                  <c:v>1.8000000000000007</c:v>
                </c:pt>
                <c:pt idx="372">
                  <c:v>2.84</c:v>
                </c:pt>
                <c:pt idx="373">
                  <c:v>3.24</c:v>
                </c:pt>
                <c:pt idx="374">
                  <c:v>3.49</c:v>
                </c:pt>
                <c:pt idx="375">
                  <c:v>2.83</c:v>
                </c:pt>
                <c:pt idx="376">
                  <c:v>4.0199999999999996</c:v>
                </c:pt>
                <c:pt idx="377">
                  <c:v>3.6199999999999992</c:v>
                </c:pt>
                <c:pt idx="378">
                  <c:v>3.42</c:v>
                </c:pt>
                <c:pt idx="379">
                  <c:v>3.2100000000000009</c:v>
                </c:pt>
                <c:pt idx="380">
                  <c:v>3.7100000000000009</c:v>
                </c:pt>
                <c:pt idx="381">
                  <c:v>3.4800000000000004</c:v>
                </c:pt>
                <c:pt idx="382">
                  <c:v>3.3800000000000008</c:v>
                </c:pt>
                <c:pt idx="383">
                  <c:v>3.3800000000000008</c:v>
                </c:pt>
                <c:pt idx="384">
                  <c:v>3.2800000000000011</c:v>
                </c:pt>
                <c:pt idx="385">
                  <c:v>2.9800000000000004</c:v>
                </c:pt>
                <c:pt idx="386">
                  <c:v>3.4800000000000004</c:v>
                </c:pt>
                <c:pt idx="387">
                  <c:v>3.0700000000000003</c:v>
                </c:pt>
                <c:pt idx="388">
                  <c:v>2.67</c:v>
                </c:pt>
                <c:pt idx="389">
                  <c:v>3.0400000000000009</c:v>
                </c:pt>
                <c:pt idx="390">
                  <c:v>3.24</c:v>
                </c:pt>
                <c:pt idx="391">
                  <c:v>2.4399999999999995</c:v>
                </c:pt>
                <c:pt idx="392">
                  <c:v>2.5999999999999996</c:v>
                </c:pt>
                <c:pt idx="393">
                  <c:v>3.1899999999999995</c:v>
                </c:pt>
                <c:pt idx="394">
                  <c:v>2.8900000000000006</c:v>
                </c:pt>
                <c:pt idx="395">
                  <c:v>3.24</c:v>
                </c:pt>
                <c:pt idx="396">
                  <c:v>2.09</c:v>
                </c:pt>
                <c:pt idx="397">
                  <c:v>1.8899999999999988</c:v>
                </c:pt>
                <c:pt idx="398">
                  <c:v>2.74</c:v>
                </c:pt>
                <c:pt idx="399">
                  <c:v>2.74</c:v>
                </c:pt>
                <c:pt idx="400">
                  <c:v>2.74</c:v>
                </c:pt>
                <c:pt idx="401">
                  <c:v>2.8499999999999996</c:v>
                </c:pt>
                <c:pt idx="402">
                  <c:v>2.5999999999999996</c:v>
                </c:pt>
                <c:pt idx="403">
                  <c:v>3.0999999999999996</c:v>
                </c:pt>
                <c:pt idx="404">
                  <c:v>3.1300000000000008</c:v>
                </c:pt>
                <c:pt idx="405">
                  <c:v>2.4399999999999995</c:v>
                </c:pt>
                <c:pt idx="406">
                  <c:v>2.0399999999999991</c:v>
                </c:pt>
                <c:pt idx="407">
                  <c:v>2.6899999999999995</c:v>
                </c:pt>
                <c:pt idx="408">
                  <c:v>2.6899999999999995</c:v>
                </c:pt>
                <c:pt idx="409">
                  <c:v>3.1899999999999995</c:v>
                </c:pt>
                <c:pt idx="410">
                  <c:v>2.59</c:v>
                </c:pt>
                <c:pt idx="411">
                  <c:v>3.6899999999999995</c:v>
                </c:pt>
                <c:pt idx="412">
                  <c:v>3.09</c:v>
                </c:pt>
                <c:pt idx="413">
                  <c:v>2.59</c:v>
                </c:pt>
                <c:pt idx="414">
                  <c:v>3.5199999999999996</c:v>
                </c:pt>
                <c:pt idx="415">
                  <c:v>1.9699999999999989</c:v>
                </c:pt>
                <c:pt idx="416">
                  <c:v>3.09</c:v>
                </c:pt>
                <c:pt idx="417">
                  <c:v>2.2699999999999996</c:v>
                </c:pt>
                <c:pt idx="418">
                  <c:v>2.2699999999999996</c:v>
                </c:pt>
                <c:pt idx="419">
                  <c:v>2.7200000000000006</c:v>
                </c:pt>
                <c:pt idx="420">
                  <c:v>2.5199999999999996</c:v>
                </c:pt>
                <c:pt idx="421">
                  <c:v>2.6999999999999993</c:v>
                </c:pt>
                <c:pt idx="422">
                  <c:v>3.75</c:v>
                </c:pt>
                <c:pt idx="423">
                  <c:v>1.9900000000000002</c:v>
                </c:pt>
                <c:pt idx="424">
                  <c:v>4.2300000000000004</c:v>
                </c:pt>
                <c:pt idx="425">
                  <c:v>3.58</c:v>
                </c:pt>
                <c:pt idx="426">
                  <c:v>2.8800000000000008</c:v>
                </c:pt>
                <c:pt idx="427">
                  <c:v>2.4800000000000004</c:v>
                </c:pt>
                <c:pt idx="428">
                  <c:v>3.58</c:v>
                </c:pt>
                <c:pt idx="429">
                  <c:v>3.75</c:v>
                </c:pt>
                <c:pt idx="430">
                  <c:v>3.5499999999999989</c:v>
                </c:pt>
                <c:pt idx="431">
                  <c:v>3.0499999999999989</c:v>
                </c:pt>
                <c:pt idx="432">
                  <c:v>3.9399999999999995</c:v>
                </c:pt>
                <c:pt idx="433">
                  <c:v>3.0999999999999996</c:v>
                </c:pt>
                <c:pt idx="434">
                  <c:v>2.92</c:v>
                </c:pt>
                <c:pt idx="435">
                  <c:v>3.5700000000000003</c:v>
                </c:pt>
                <c:pt idx="436">
                  <c:v>3.8200000000000003</c:v>
                </c:pt>
                <c:pt idx="437">
                  <c:v>2.1199999999999992</c:v>
                </c:pt>
                <c:pt idx="438">
                  <c:v>2.41</c:v>
                </c:pt>
                <c:pt idx="439">
                  <c:v>3.8499999999999996</c:v>
                </c:pt>
                <c:pt idx="440">
                  <c:v>3.16</c:v>
                </c:pt>
                <c:pt idx="441">
                  <c:v>3.8100000000000005</c:v>
                </c:pt>
                <c:pt idx="442">
                  <c:v>4.3100000000000005</c:v>
                </c:pt>
                <c:pt idx="443">
                  <c:v>4.34</c:v>
                </c:pt>
                <c:pt idx="444">
                  <c:v>2.99</c:v>
                </c:pt>
                <c:pt idx="445">
                  <c:v>3.4700000000000006</c:v>
                </c:pt>
                <c:pt idx="446">
                  <c:v>2.4700000000000006</c:v>
                </c:pt>
                <c:pt idx="447">
                  <c:v>3.3200000000000003</c:v>
                </c:pt>
                <c:pt idx="448">
                  <c:v>3.2699999999999996</c:v>
                </c:pt>
                <c:pt idx="449">
                  <c:v>3.7699999999999996</c:v>
                </c:pt>
                <c:pt idx="450">
                  <c:v>3.67</c:v>
                </c:pt>
                <c:pt idx="451">
                  <c:v>3.3699999999999992</c:v>
                </c:pt>
                <c:pt idx="452">
                  <c:v>3.3699999999999992</c:v>
                </c:pt>
                <c:pt idx="453">
                  <c:v>3.8499999999999996</c:v>
                </c:pt>
                <c:pt idx="454">
                  <c:v>4.18</c:v>
                </c:pt>
                <c:pt idx="455">
                  <c:v>3.6799999999999997</c:v>
                </c:pt>
                <c:pt idx="456">
                  <c:v>3.8899999999999997</c:v>
                </c:pt>
                <c:pt idx="457">
                  <c:v>4.0199999999999996</c:v>
                </c:pt>
                <c:pt idx="458">
                  <c:v>3.74</c:v>
                </c:pt>
                <c:pt idx="459">
                  <c:v>2.99</c:v>
                </c:pt>
                <c:pt idx="460">
                  <c:v>4.3600000000000003</c:v>
                </c:pt>
                <c:pt idx="461">
                  <c:v>3.9300000000000006</c:v>
                </c:pt>
                <c:pt idx="462">
                  <c:v>3.71</c:v>
                </c:pt>
                <c:pt idx="463">
                  <c:v>3.2300000000000004</c:v>
                </c:pt>
                <c:pt idx="464">
                  <c:v>3.7300000000000004</c:v>
                </c:pt>
                <c:pt idx="465">
                  <c:v>4.33</c:v>
                </c:pt>
                <c:pt idx="466">
                  <c:v>4.2300000000000004</c:v>
                </c:pt>
                <c:pt idx="467">
                  <c:v>3.9299999999999997</c:v>
                </c:pt>
                <c:pt idx="468">
                  <c:v>4.71</c:v>
                </c:pt>
                <c:pt idx="469">
                  <c:v>4.5100000000000007</c:v>
                </c:pt>
                <c:pt idx="470">
                  <c:v>4.46</c:v>
                </c:pt>
                <c:pt idx="471">
                  <c:v>4.21</c:v>
                </c:pt>
                <c:pt idx="472">
                  <c:v>3.1599999999999993</c:v>
                </c:pt>
                <c:pt idx="473">
                  <c:v>3.0599999999999996</c:v>
                </c:pt>
                <c:pt idx="474">
                  <c:v>4.7600000000000007</c:v>
                </c:pt>
                <c:pt idx="475">
                  <c:v>5.47</c:v>
                </c:pt>
                <c:pt idx="476">
                  <c:v>3.9699999999999998</c:v>
                </c:pt>
                <c:pt idx="477">
                  <c:v>3.919999999999999</c:v>
                </c:pt>
                <c:pt idx="478">
                  <c:v>3.3199999999999994</c:v>
                </c:pt>
                <c:pt idx="479">
                  <c:v>4.0200000000000005</c:v>
                </c:pt>
                <c:pt idx="480">
                  <c:v>3.7199999999999998</c:v>
                </c:pt>
                <c:pt idx="481">
                  <c:v>3.7199999999999998</c:v>
                </c:pt>
                <c:pt idx="482">
                  <c:v>3.0600000000000005</c:v>
                </c:pt>
                <c:pt idx="483">
                  <c:v>3.3599999999999994</c:v>
                </c:pt>
                <c:pt idx="484">
                  <c:v>3.79</c:v>
                </c:pt>
                <c:pt idx="485">
                  <c:v>3.17</c:v>
                </c:pt>
                <c:pt idx="486">
                  <c:v>2.17</c:v>
                </c:pt>
                <c:pt idx="487">
                  <c:v>2.3899999999999988</c:v>
                </c:pt>
                <c:pt idx="488">
                  <c:v>3.4599999999999991</c:v>
                </c:pt>
                <c:pt idx="489">
                  <c:v>3.2699999999999996</c:v>
                </c:pt>
                <c:pt idx="490">
                  <c:v>2.1500000000000004</c:v>
                </c:pt>
                <c:pt idx="491">
                  <c:v>2.8499999999999996</c:v>
                </c:pt>
                <c:pt idx="492">
                  <c:v>2.6500000000000004</c:v>
                </c:pt>
                <c:pt idx="493">
                  <c:v>2.9700000000000006</c:v>
                </c:pt>
                <c:pt idx="494">
                  <c:v>2.6099999999999994</c:v>
                </c:pt>
                <c:pt idx="495">
                  <c:v>2.6300000000000008</c:v>
                </c:pt>
                <c:pt idx="496">
                  <c:v>3.6100000000000003</c:v>
                </c:pt>
                <c:pt idx="497">
                  <c:v>2.5600000000000005</c:v>
                </c:pt>
                <c:pt idx="498">
                  <c:v>3.66</c:v>
                </c:pt>
                <c:pt idx="499">
                  <c:v>2.92</c:v>
                </c:pt>
                <c:pt idx="500">
                  <c:v>4.88</c:v>
                </c:pt>
                <c:pt idx="501">
                  <c:v>3.6800000000000006</c:v>
                </c:pt>
                <c:pt idx="502">
                  <c:v>3.4799999999999995</c:v>
                </c:pt>
                <c:pt idx="503">
                  <c:v>3.4300000000000006</c:v>
                </c:pt>
                <c:pt idx="504">
                  <c:v>3.9300000000000006</c:v>
                </c:pt>
                <c:pt idx="505">
                  <c:v>6.13</c:v>
                </c:pt>
                <c:pt idx="506">
                  <c:v>3.830000000000001</c:v>
                </c:pt>
                <c:pt idx="507">
                  <c:v>4.1599999999999993</c:v>
                </c:pt>
                <c:pt idx="508">
                  <c:v>4.0500000000000007</c:v>
                </c:pt>
                <c:pt idx="509">
                  <c:v>4.3899999999999997</c:v>
                </c:pt>
                <c:pt idx="510">
                  <c:v>3.7800000000000011</c:v>
                </c:pt>
                <c:pt idx="511">
                  <c:v>2.7800000000000002</c:v>
                </c:pt>
                <c:pt idx="512">
                  <c:v>3.2800000000000002</c:v>
                </c:pt>
                <c:pt idx="513">
                  <c:v>2.16</c:v>
                </c:pt>
                <c:pt idx="514">
                  <c:v>3.2800000000000011</c:v>
                </c:pt>
                <c:pt idx="515">
                  <c:v>3.5200000000000005</c:v>
                </c:pt>
                <c:pt idx="516">
                  <c:v>3.5200000000000005</c:v>
                </c:pt>
                <c:pt idx="517">
                  <c:v>3.2199999999999998</c:v>
                </c:pt>
                <c:pt idx="518">
                  <c:v>4.1800000000000006</c:v>
                </c:pt>
                <c:pt idx="519">
                  <c:v>4</c:v>
                </c:pt>
                <c:pt idx="520">
                  <c:v>3.7300000000000004</c:v>
                </c:pt>
                <c:pt idx="521">
                  <c:v>3.6799999999999997</c:v>
                </c:pt>
                <c:pt idx="522">
                  <c:v>4.2300000000000004</c:v>
                </c:pt>
                <c:pt idx="523">
                  <c:v>3.4299999999999997</c:v>
                </c:pt>
                <c:pt idx="524">
                  <c:v>4.0300000000000011</c:v>
                </c:pt>
                <c:pt idx="525">
                  <c:v>3.1100000000000003</c:v>
                </c:pt>
                <c:pt idx="526">
                  <c:v>3.8299999999999992</c:v>
                </c:pt>
                <c:pt idx="527">
                  <c:v>4.28</c:v>
                </c:pt>
                <c:pt idx="528">
                  <c:v>3.74</c:v>
                </c:pt>
                <c:pt idx="529">
                  <c:v>5.0399999999999991</c:v>
                </c:pt>
                <c:pt idx="530">
                  <c:v>3.84</c:v>
                </c:pt>
                <c:pt idx="531">
                  <c:v>3.91</c:v>
                </c:pt>
                <c:pt idx="532">
                  <c:v>4.9000000000000004</c:v>
                </c:pt>
                <c:pt idx="533">
                  <c:v>4.0600000000000005</c:v>
                </c:pt>
                <c:pt idx="534">
                  <c:v>4.46</c:v>
                </c:pt>
                <c:pt idx="535">
                  <c:v>5.2399999999999993</c:v>
                </c:pt>
                <c:pt idx="536">
                  <c:v>5.0599999999999996</c:v>
                </c:pt>
                <c:pt idx="537">
                  <c:v>4.1800000000000006</c:v>
                </c:pt>
                <c:pt idx="538">
                  <c:v>3.6800000000000006</c:v>
                </c:pt>
                <c:pt idx="539">
                  <c:v>3.6800000000000006</c:v>
                </c:pt>
                <c:pt idx="540">
                  <c:v>4.04</c:v>
                </c:pt>
                <c:pt idx="541">
                  <c:v>2.3200000000000003</c:v>
                </c:pt>
                <c:pt idx="542">
                  <c:v>2.4399999999999995</c:v>
                </c:pt>
                <c:pt idx="543">
                  <c:v>2.5900000000000016</c:v>
                </c:pt>
                <c:pt idx="544">
                  <c:v>2.25</c:v>
                </c:pt>
                <c:pt idx="545">
                  <c:v>2.5200000000000014</c:v>
                </c:pt>
                <c:pt idx="546">
                  <c:v>2.3600000000000012</c:v>
                </c:pt>
                <c:pt idx="547">
                  <c:v>2.6799999999999997</c:v>
                </c:pt>
                <c:pt idx="548">
                  <c:v>3.8199999999999985</c:v>
                </c:pt>
                <c:pt idx="549">
                  <c:v>2.6199999999999992</c:v>
                </c:pt>
                <c:pt idx="550">
                  <c:v>3.1199999999999992</c:v>
                </c:pt>
                <c:pt idx="551">
                  <c:v>3.0299999999999994</c:v>
                </c:pt>
                <c:pt idx="552">
                  <c:v>4.76</c:v>
                </c:pt>
                <c:pt idx="553">
                  <c:v>3.9599999999999991</c:v>
                </c:pt>
                <c:pt idx="554">
                  <c:v>3.6399999999999997</c:v>
                </c:pt>
                <c:pt idx="555">
                  <c:v>3.51</c:v>
                </c:pt>
                <c:pt idx="556">
                  <c:v>3.08</c:v>
                </c:pt>
                <c:pt idx="557">
                  <c:v>3.29</c:v>
                </c:pt>
                <c:pt idx="558">
                  <c:v>3.17</c:v>
                </c:pt>
                <c:pt idx="559">
                  <c:v>3.17</c:v>
                </c:pt>
                <c:pt idx="560">
                  <c:v>3.26</c:v>
                </c:pt>
                <c:pt idx="561">
                  <c:v>4.7700000000000005</c:v>
                </c:pt>
                <c:pt idx="562">
                  <c:v>3.879999999999999</c:v>
                </c:pt>
                <c:pt idx="563">
                  <c:v>4.9800000000000004</c:v>
                </c:pt>
                <c:pt idx="564">
                  <c:v>3.51</c:v>
                </c:pt>
                <c:pt idx="565">
                  <c:v>5.51</c:v>
                </c:pt>
                <c:pt idx="566">
                  <c:v>4.3100000000000005</c:v>
                </c:pt>
                <c:pt idx="567">
                  <c:v>4.0599999999999996</c:v>
                </c:pt>
                <c:pt idx="568">
                  <c:v>5.2400000000000011</c:v>
                </c:pt>
                <c:pt idx="569">
                  <c:v>2.9000000000000012</c:v>
                </c:pt>
                <c:pt idx="570">
                  <c:v>5.07</c:v>
                </c:pt>
                <c:pt idx="571">
                  <c:v>5.07</c:v>
                </c:pt>
                <c:pt idx="572">
                  <c:v>4.4000000000000004</c:v>
                </c:pt>
                <c:pt idx="573">
                  <c:v>3.9599999999999991</c:v>
                </c:pt>
                <c:pt idx="574">
                  <c:v>4.1300000000000008</c:v>
                </c:pt>
                <c:pt idx="575">
                  <c:v>3.8800000000000008</c:v>
                </c:pt>
                <c:pt idx="576">
                  <c:v>4.17</c:v>
                </c:pt>
                <c:pt idx="577">
                  <c:v>3.6199999999999992</c:v>
                </c:pt>
                <c:pt idx="578">
                  <c:v>4.0199999999999996</c:v>
                </c:pt>
                <c:pt idx="579">
                  <c:v>4.13</c:v>
                </c:pt>
                <c:pt idx="580">
                  <c:v>5.63</c:v>
                </c:pt>
                <c:pt idx="581">
                  <c:v>5.63</c:v>
                </c:pt>
                <c:pt idx="582">
                  <c:v>5.63</c:v>
                </c:pt>
                <c:pt idx="583">
                  <c:v>4.97</c:v>
                </c:pt>
                <c:pt idx="584">
                  <c:v>4.75</c:v>
                </c:pt>
                <c:pt idx="585">
                  <c:v>4.75</c:v>
                </c:pt>
                <c:pt idx="586">
                  <c:v>3.67</c:v>
                </c:pt>
                <c:pt idx="587">
                  <c:v>4.2300000000000004</c:v>
                </c:pt>
                <c:pt idx="588">
                  <c:v>4.2300000000000004</c:v>
                </c:pt>
                <c:pt idx="589">
                  <c:v>4.1300000000000008</c:v>
                </c:pt>
                <c:pt idx="590">
                  <c:v>4.3499999999999996</c:v>
                </c:pt>
                <c:pt idx="591">
                  <c:v>4.2199999999999989</c:v>
                </c:pt>
                <c:pt idx="592">
                  <c:v>5.54</c:v>
                </c:pt>
                <c:pt idx="593">
                  <c:v>5.54</c:v>
                </c:pt>
                <c:pt idx="594">
                  <c:v>4.5100000000000007</c:v>
                </c:pt>
                <c:pt idx="595">
                  <c:v>5.17</c:v>
                </c:pt>
                <c:pt idx="596">
                  <c:v>6.1</c:v>
                </c:pt>
                <c:pt idx="597">
                  <c:v>3.9399999999999995</c:v>
                </c:pt>
                <c:pt idx="598">
                  <c:v>5</c:v>
                </c:pt>
                <c:pt idx="599">
                  <c:v>4.1999999999999993</c:v>
                </c:pt>
                <c:pt idx="600">
                  <c:v>4.2300000000000004</c:v>
                </c:pt>
                <c:pt idx="601">
                  <c:v>3.9299999999999997</c:v>
                </c:pt>
                <c:pt idx="602">
                  <c:v>5.23</c:v>
                </c:pt>
                <c:pt idx="603">
                  <c:v>4.2500000000000009</c:v>
                </c:pt>
                <c:pt idx="604">
                  <c:v>5.12</c:v>
                </c:pt>
                <c:pt idx="605">
                  <c:v>5.12</c:v>
                </c:pt>
                <c:pt idx="606">
                  <c:v>4.3199999999999994</c:v>
                </c:pt>
                <c:pt idx="607">
                  <c:v>5.12</c:v>
                </c:pt>
                <c:pt idx="608">
                  <c:v>5.379999999999999</c:v>
                </c:pt>
                <c:pt idx="609">
                  <c:v>5.379999999999999</c:v>
                </c:pt>
                <c:pt idx="610">
                  <c:v>3.75</c:v>
                </c:pt>
                <c:pt idx="611">
                  <c:v>4.6199999999999992</c:v>
                </c:pt>
                <c:pt idx="612">
                  <c:v>3.5999999999999996</c:v>
                </c:pt>
                <c:pt idx="613">
                  <c:v>3.7100000000000009</c:v>
                </c:pt>
                <c:pt idx="614">
                  <c:v>5.0199999999999996</c:v>
                </c:pt>
                <c:pt idx="615">
                  <c:v>4.6000000000000005</c:v>
                </c:pt>
                <c:pt idx="616">
                  <c:v>5.1000000000000005</c:v>
                </c:pt>
                <c:pt idx="617">
                  <c:v>4.9900000000000011</c:v>
                </c:pt>
                <c:pt idx="618">
                  <c:v>4.5900000000000007</c:v>
                </c:pt>
                <c:pt idx="619">
                  <c:v>4.5999999999999996</c:v>
                </c:pt>
                <c:pt idx="620">
                  <c:v>4.0999999999999996</c:v>
                </c:pt>
                <c:pt idx="621">
                  <c:v>3.5399999999999991</c:v>
                </c:pt>
                <c:pt idx="622">
                  <c:v>4.1000000000000005</c:v>
                </c:pt>
                <c:pt idx="623">
                  <c:v>3.4600000000000009</c:v>
                </c:pt>
                <c:pt idx="624">
                  <c:v>3.8899999999999997</c:v>
                </c:pt>
                <c:pt idx="625">
                  <c:v>3.8899999999999997</c:v>
                </c:pt>
                <c:pt idx="626">
                  <c:v>4.6900000000000004</c:v>
                </c:pt>
                <c:pt idx="627">
                  <c:v>3.13</c:v>
                </c:pt>
                <c:pt idx="628">
                  <c:v>4.78</c:v>
                </c:pt>
                <c:pt idx="629">
                  <c:v>4.59</c:v>
                </c:pt>
                <c:pt idx="630">
                  <c:v>4.59</c:v>
                </c:pt>
                <c:pt idx="631">
                  <c:v>4.0299999999999994</c:v>
                </c:pt>
                <c:pt idx="632">
                  <c:v>3.83</c:v>
                </c:pt>
                <c:pt idx="633">
                  <c:v>3.7300000000000004</c:v>
                </c:pt>
                <c:pt idx="634">
                  <c:v>4.3299999999999992</c:v>
                </c:pt>
                <c:pt idx="635">
                  <c:v>4.3099999999999996</c:v>
                </c:pt>
                <c:pt idx="636">
                  <c:v>4.3099999999999996</c:v>
                </c:pt>
                <c:pt idx="637">
                  <c:v>4.3099999999999996</c:v>
                </c:pt>
                <c:pt idx="638">
                  <c:v>2.9400000000000004</c:v>
                </c:pt>
                <c:pt idx="639">
                  <c:v>2.4000000000000004</c:v>
                </c:pt>
                <c:pt idx="640">
                  <c:v>3.5100000000000007</c:v>
                </c:pt>
                <c:pt idx="641">
                  <c:v>3.87</c:v>
                </c:pt>
                <c:pt idx="642">
                  <c:v>4.33</c:v>
                </c:pt>
                <c:pt idx="643">
                  <c:v>3.0599999999999987</c:v>
                </c:pt>
                <c:pt idx="644">
                  <c:v>3.51</c:v>
                </c:pt>
                <c:pt idx="645">
                  <c:v>3.7200000000000006</c:v>
                </c:pt>
                <c:pt idx="646">
                  <c:v>2.8200000000000003</c:v>
                </c:pt>
                <c:pt idx="647">
                  <c:v>3.0599999999999996</c:v>
                </c:pt>
                <c:pt idx="648">
                  <c:v>4.62</c:v>
                </c:pt>
                <c:pt idx="649">
                  <c:v>4.62</c:v>
                </c:pt>
                <c:pt idx="650">
                  <c:v>4.419999999999999</c:v>
                </c:pt>
                <c:pt idx="651">
                  <c:v>3.8999999999999995</c:v>
                </c:pt>
                <c:pt idx="652">
                  <c:v>4.8600000000000003</c:v>
                </c:pt>
                <c:pt idx="653">
                  <c:v>4.7600000000000007</c:v>
                </c:pt>
                <c:pt idx="654">
                  <c:v>4.7600000000000007</c:v>
                </c:pt>
                <c:pt idx="655">
                  <c:v>4.7600000000000007</c:v>
                </c:pt>
                <c:pt idx="656">
                  <c:v>4.5599999999999996</c:v>
                </c:pt>
                <c:pt idx="657">
                  <c:v>4.6000000000000005</c:v>
                </c:pt>
                <c:pt idx="658">
                  <c:v>4.54</c:v>
                </c:pt>
                <c:pt idx="659">
                  <c:v>4.4400000000000004</c:v>
                </c:pt>
                <c:pt idx="660">
                  <c:v>4.6100000000000003</c:v>
                </c:pt>
                <c:pt idx="661">
                  <c:v>4.21</c:v>
                </c:pt>
                <c:pt idx="662">
                  <c:v>4.7300000000000004</c:v>
                </c:pt>
                <c:pt idx="663">
                  <c:v>3.83</c:v>
                </c:pt>
                <c:pt idx="664">
                  <c:v>4.2600000000000007</c:v>
                </c:pt>
                <c:pt idx="665">
                  <c:v>4.8299999999999992</c:v>
                </c:pt>
                <c:pt idx="666">
                  <c:v>3.63</c:v>
                </c:pt>
                <c:pt idx="667">
                  <c:v>4.2299999999999995</c:v>
                </c:pt>
                <c:pt idx="668">
                  <c:v>3.5600000000000005</c:v>
                </c:pt>
                <c:pt idx="669">
                  <c:v>3.5600000000000005</c:v>
                </c:pt>
                <c:pt idx="670">
                  <c:v>3.3499999999999996</c:v>
                </c:pt>
                <c:pt idx="671">
                  <c:v>4.7400000000000011</c:v>
                </c:pt>
                <c:pt idx="672">
                  <c:v>4.2400000000000011</c:v>
                </c:pt>
                <c:pt idx="673">
                  <c:v>5.19</c:v>
                </c:pt>
                <c:pt idx="674">
                  <c:v>4.84</c:v>
                </c:pt>
                <c:pt idx="675">
                  <c:v>5.3900000000000006</c:v>
                </c:pt>
                <c:pt idx="676">
                  <c:v>4.74</c:v>
                </c:pt>
                <c:pt idx="677">
                  <c:v>4.74</c:v>
                </c:pt>
                <c:pt idx="678">
                  <c:v>5.74</c:v>
                </c:pt>
                <c:pt idx="679">
                  <c:v>4.99</c:v>
                </c:pt>
                <c:pt idx="680">
                  <c:v>4.4600000000000009</c:v>
                </c:pt>
                <c:pt idx="681">
                  <c:v>5.23</c:v>
                </c:pt>
                <c:pt idx="682">
                  <c:v>4.7299999999999995</c:v>
                </c:pt>
                <c:pt idx="683">
                  <c:v>4.55</c:v>
                </c:pt>
                <c:pt idx="684">
                  <c:v>4.9300000000000006</c:v>
                </c:pt>
                <c:pt idx="685">
                  <c:v>4.9300000000000006</c:v>
                </c:pt>
                <c:pt idx="686">
                  <c:v>3.7699999999999996</c:v>
                </c:pt>
                <c:pt idx="687">
                  <c:v>3.51</c:v>
                </c:pt>
                <c:pt idx="688">
                  <c:v>3.9399999999999995</c:v>
                </c:pt>
                <c:pt idx="689">
                  <c:v>5.1199999999999992</c:v>
                </c:pt>
                <c:pt idx="690">
                  <c:v>6.15</c:v>
                </c:pt>
                <c:pt idx="691">
                  <c:v>5.1999999999999993</c:v>
                </c:pt>
                <c:pt idx="692">
                  <c:v>5.1999999999999993</c:v>
                </c:pt>
                <c:pt idx="693">
                  <c:v>4.8100000000000005</c:v>
                </c:pt>
                <c:pt idx="694">
                  <c:v>5.27</c:v>
                </c:pt>
                <c:pt idx="695">
                  <c:v>5.32</c:v>
                </c:pt>
                <c:pt idx="696">
                  <c:v>5.1999999999999993</c:v>
                </c:pt>
                <c:pt idx="697">
                  <c:v>5.2999999999999989</c:v>
                </c:pt>
                <c:pt idx="698">
                  <c:v>6.2</c:v>
                </c:pt>
                <c:pt idx="699">
                  <c:v>5.48</c:v>
                </c:pt>
                <c:pt idx="700">
                  <c:v>5.98</c:v>
                </c:pt>
                <c:pt idx="701">
                  <c:v>5.8800000000000008</c:v>
                </c:pt>
                <c:pt idx="702">
                  <c:v>5.2800000000000011</c:v>
                </c:pt>
                <c:pt idx="703">
                  <c:v>5.43</c:v>
                </c:pt>
                <c:pt idx="704">
                  <c:v>6.2800000000000011</c:v>
                </c:pt>
                <c:pt idx="705">
                  <c:v>6.59</c:v>
                </c:pt>
                <c:pt idx="706">
                  <c:v>6.49</c:v>
                </c:pt>
                <c:pt idx="707">
                  <c:v>6.59</c:v>
                </c:pt>
                <c:pt idx="708">
                  <c:v>6.5600000000000005</c:v>
                </c:pt>
                <c:pt idx="709">
                  <c:v>6.4600000000000009</c:v>
                </c:pt>
                <c:pt idx="710">
                  <c:v>6.26</c:v>
                </c:pt>
                <c:pt idx="711">
                  <c:v>5.4499999999999993</c:v>
                </c:pt>
                <c:pt idx="712">
                  <c:v>5.05</c:v>
                </c:pt>
                <c:pt idx="713">
                  <c:v>5.1099999999999994</c:v>
                </c:pt>
                <c:pt idx="714">
                  <c:v>5.1099999999999994</c:v>
                </c:pt>
                <c:pt idx="715">
                  <c:v>4.8699999999999992</c:v>
                </c:pt>
                <c:pt idx="716">
                  <c:v>5.3999999999999995</c:v>
                </c:pt>
                <c:pt idx="717">
                  <c:v>4.8</c:v>
                </c:pt>
                <c:pt idx="718">
                  <c:v>5.4999999999999991</c:v>
                </c:pt>
                <c:pt idx="719">
                  <c:v>4.8999999999999995</c:v>
                </c:pt>
                <c:pt idx="720">
                  <c:v>4.9600000000000009</c:v>
                </c:pt>
                <c:pt idx="721">
                  <c:v>4.3100000000000005</c:v>
                </c:pt>
                <c:pt idx="722">
                  <c:v>4.9500000000000011</c:v>
                </c:pt>
                <c:pt idx="723">
                  <c:v>4.37</c:v>
                </c:pt>
                <c:pt idx="724">
                  <c:v>5.22</c:v>
                </c:pt>
                <c:pt idx="725">
                  <c:v>4.9200000000000008</c:v>
                </c:pt>
                <c:pt idx="726">
                  <c:v>5.2900000000000009</c:v>
                </c:pt>
                <c:pt idx="727">
                  <c:v>5.08</c:v>
                </c:pt>
                <c:pt idx="728">
                  <c:v>5.99</c:v>
                </c:pt>
                <c:pt idx="729">
                  <c:v>5.6899999999999995</c:v>
                </c:pt>
                <c:pt idx="730">
                  <c:v>5.6899999999999995</c:v>
                </c:pt>
                <c:pt idx="731">
                  <c:v>5.6899999999999995</c:v>
                </c:pt>
                <c:pt idx="732">
                  <c:v>5.22</c:v>
                </c:pt>
                <c:pt idx="733">
                  <c:v>6.5600000000000005</c:v>
                </c:pt>
                <c:pt idx="734">
                  <c:v>5.9599999999999991</c:v>
                </c:pt>
                <c:pt idx="735">
                  <c:v>6.0600000000000005</c:v>
                </c:pt>
                <c:pt idx="736">
                  <c:v>5.9599999999999991</c:v>
                </c:pt>
                <c:pt idx="737">
                  <c:v>6.14</c:v>
                </c:pt>
                <c:pt idx="738">
                  <c:v>5.1000000000000005</c:v>
                </c:pt>
                <c:pt idx="739">
                  <c:v>5.1000000000000005</c:v>
                </c:pt>
                <c:pt idx="740">
                  <c:v>5.410000000000001</c:v>
                </c:pt>
                <c:pt idx="741">
                  <c:v>5.71</c:v>
                </c:pt>
                <c:pt idx="742">
                  <c:v>5.71</c:v>
                </c:pt>
                <c:pt idx="743">
                  <c:v>5.23</c:v>
                </c:pt>
                <c:pt idx="744">
                  <c:v>5.1300000000000008</c:v>
                </c:pt>
                <c:pt idx="745">
                  <c:v>5.6400000000000006</c:v>
                </c:pt>
                <c:pt idx="746">
                  <c:v>5.33</c:v>
                </c:pt>
                <c:pt idx="747">
                  <c:v>5.65</c:v>
                </c:pt>
                <c:pt idx="748">
                  <c:v>5.91</c:v>
                </c:pt>
                <c:pt idx="749">
                  <c:v>5.52</c:v>
                </c:pt>
                <c:pt idx="750">
                  <c:v>6.1400000000000006</c:v>
                </c:pt>
                <c:pt idx="751">
                  <c:v>6.33</c:v>
                </c:pt>
                <c:pt idx="752">
                  <c:v>5.1100000000000003</c:v>
                </c:pt>
                <c:pt idx="753">
                  <c:v>4.4699999999999989</c:v>
                </c:pt>
                <c:pt idx="754">
                  <c:v>5.27</c:v>
                </c:pt>
                <c:pt idx="755">
                  <c:v>6.16</c:v>
                </c:pt>
                <c:pt idx="756">
                  <c:v>8.0200000000000014</c:v>
                </c:pt>
                <c:pt idx="757">
                  <c:v>5.8900000000000006</c:v>
                </c:pt>
                <c:pt idx="758">
                  <c:v>6.0100000000000007</c:v>
                </c:pt>
                <c:pt idx="759">
                  <c:v>5.9400000000000013</c:v>
                </c:pt>
                <c:pt idx="760">
                  <c:v>5.9400000000000013</c:v>
                </c:pt>
                <c:pt idx="761">
                  <c:v>5.6400000000000006</c:v>
                </c:pt>
                <c:pt idx="762">
                  <c:v>5.37</c:v>
                </c:pt>
                <c:pt idx="763">
                  <c:v>5.1700000000000008</c:v>
                </c:pt>
                <c:pt idx="764">
                  <c:v>5.5699999999999994</c:v>
                </c:pt>
                <c:pt idx="765">
                  <c:v>5.73</c:v>
                </c:pt>
                <c:pt idx="766">
                  <c:v>5.24</c:v>
                </c:pt>
                <c:pt idx="767">
                  <c:v>5.24</c:v>
                </c:pt>
                <c:pt idx="768">
                  <c:v>5.5400000000000009</c:v>
                </c:pt>
                <c:pt idx="769">
                  <c:v>5.379999999999999</c:v>
                </c:pt>
                <c:pt idx="770">
                  <c:v>5.2499999999999991</c:v>
                </c:pt>
                <c:pt idx="771">
                  <c:v>4.83</c:v>
                </c:pt>
                <c:pt idx="772">
                  <c:v>4.7300000000000004</c:v>
                </c:pt>
                <c:pt idx="773">
                  <c:v>4.7300000000000004</c:v>
                </c:pt>
                <c:pt idx="774">
                  <c:v>5.2800000000000011</c:v>
                </c:pt>
                <c:pt idx="775">
                  <c:v>5.49</c:v>
                </c:pt>
                <c:pt idx="776">
                  <c:v>6.61</c:v>
                </c:pt>
                <c:pt idx="777">
                  <c:v>6.44</c:v>
                </c:pt>
                <c:pt idx="778">
                  <c:v>5.9799999999999995</c:v>
                </c:pt>
                <c:pt idx="779">
                  <c:v>6.18</c:v>
                </c:pt>
                <c:pt idx="780">
                  <c:v>6.83</c:v>
                </c:pt>
                <c:pt idx="781">
                  <c:v>6.7799999999999994</c:v>
                </c:pt>
                <c:pt idx="782">
                  <c:v>6.6300000000000008</c:v>
                </c:pt>
                <c:pt idx="783">
                  <c:v>5.7799999999999994</c:v>
                </c:pt>
                <c:pt idx="784">
                  <c:v>6.0399999999999991</c:v>
                </c:pt>
                <c:pt idx="785">
                  <c:v>5.81</c:v>
                </c:pt>
                <c:pt idx="786">
                  <c:v>6.21</c:v>
                </c:pt>
                <c:pt idx="787">
                  <c:v>6.370000000000001</c:v>
                </c:pt>
                <c:pt idx="788">
                  <c:v>6.01</c:v>
                </c:pt>
                <c:pt idx="789">
                  <c:v>6.26</c:v>
                </c:pt>
                <c:pt idx="790">
                  <c:v>6.52</c:v>
                </c:pt>
                <c:pt idx="791">
                  <c:v>6.52</c:v>
                </c:pt>
                <c:pt idx="792">
                  <c:v>7.0600000000000005</c:v>
                </c:pt>
                <c:pt idx="793">
                  <c:v>6.1499999999999995</c:v>
                </c:pt>
                <c:pt idx="794">
                  <c:v>6.8000000000000007</c:v>
                </c:pt>
                <c:pt idx="795">
                  <c:v>7.15</c:v>
                </c:pt>
                <c:pt idx="796">
                  <c:v>6.82</c:v>
                </c:pt>
                <c:pt idx="797">
                  <c:v>6.9499999999999993</c:v>
                </c:pt>
                <c:pt idx="798">
                  <c:v>6.6099999999999994</c:v>
                </c:pt>
                <c:pt idx="799">
                  <c:v>6.1000000000000005</c:v>
                </c:pt>
                <c:pt idx="800">
                  <c:v>5.5000000000000009</c:v>
                </c:pt>
                <c:pt idx="801">
                  <c:v>6.91</c:v>
                </c:pt>
                <c:pt idx="802">
                  <c:v>6.379999999999999</c:v>
                </c:pt>
                <c:pt idx="803">
                  <c:v>6.72</c:v>
                </c:pt>
                <c:pt idx="804">
                  <c:v>6.7499999999999991</c:v>
                </c:pt>
                <c:pt idx="805">
                  <c:v>6.4099999999999993</c:v>
                </c:pt>
                <c:pt idx="806">
                  <c:v>6.66</c:v>
                </c:pt>
                <c:pt idx="807">
                  <c:v>6.5600000000000005</c:v>
                </c:pt>
                <c:pt idx="808">
                  <c:v>6.8100000000000005</c:v>
                </c:pt>
                <c:pt idx="809">
                  <c:v>4.91</c:v>
                </c:pt>
                <c:pt idx="810">
                  <c:v>4.84</c:v>
                </c:pt>
                <c:pt idx="811">
                  <c:v>3.919999999999999</c:v>
                </c:pt>
                <c:pt idx="812">
                  <c:v>4.919999999999999</c:v>
                </c:pt>
                <c:pt idx="813">
                  <c:v>4.0500000000000007</c:v>
                </c:pt>
                <c:pt idx="814">
                  <c:v>4.0500000000000007</c:v>
                </c:pt>
                <c:pt idx="815">
                  <c:v>3.8499999999999996</c:v>
                </c:pt>
                <c:pt idx="816">
                  <c:v>4.0500000000000007</c:v>
                </c:pt>
                <c:pt idx="817">
                  <c:v>4.0500000000000007</c:v>
                </c:pt>
              </c:numCache>
            </c:numRef>
          </c:yVal>
          <c:smooth val="0"/>
          <c:extLst>
            <c:ext xmlns:c16="http://schemas.microsoft.com/office/drawing/2014/chart" uri="{C3380CC4-5D6E-409C-BE32-E72D297353CC}">
              <c16:uniqueId val="{00000001-A44A-42DE-AA41-AFBBB853864F}"/>
            </c:ext>
          </c:extLst>
        </c:ser>
        <c:dLbls>
          <c:showLegendKey val="0"/>
          <c:showVal val="0"/>
          <c:showCatName val="0"/>
          <c:showSerName val="0"/>
          <c:showPercent val="0"/>
          <c:showBubbleSize val="0"/>
        </c:dLbls>
        <c:axId val="714141496"/>
        <c:axId val="714144632"/>
      </c:scatterChart>
      <c:valAx>
        <c:axId val="714141496"/>
        <c:scaling>
          <c:orientation val="minMax"/>
          <c:min val="3"/>
        </c:scaling>
        <c:delete val="0"/>
        <c:axPos val="b"/>
        <c:title>
          <c:tx>
            <c:rich>
              <a:bodyPr/>
              <a:lstStyle/>
              <a:p>
                <a:pPr>
                  <a:defRPr/>
                </a:pPr>
                <a:r>
                  <a:rPr lang="en-US"/>
                  <a:t>A2 Rated Moody's Bond Yield (%)</a:t>
                </a:r>
              </a:p>
            </c:rich>
          </c:tx>
          <c:overlay val="0"/>
        </c:title>
        <c:numFmt formatCode="#,##0.00" sourceLinked="0"/>
        <c:majorTickMark val="out"/>
        <c:minorTickMark val="none"/>
        <c:tickLblPos val="nextTo"/>
        <c:crossAx val="714144632"/>
        <c:crosses val="autoZero"/>
        <c:crossBetween val="midCat"/>
        <c:majorUnit val="3"/>
      </c:valAx>
      <c:valAx>
        <c:axId val="714144632"/>
        <c:scaling>
          <c:orientation val="minMax"/>
          <c:min val="-4"/>
        </c:scaling>
        <c:delete val="0"/>
        <c:axPos val="l"/>
        <c:title>
          <c:tx>
            <c:rich>
              <a:bodyPr/>
              <a:lstStyle/>
              <a:p>
                <a:pPr>
                  <a:defRPr/>
                </a:pPr>
                <a:r>
                  <a:rPr lang="en-US"/>
                  <a:t>Equity Risk Premium (%)</a:t>
                </a:r>
              </a:p>
            </c:rich>
          </c:tx>
          <c:overlay val="0"/>
        </c:title>
        <c:numFmt formatCode="_(* #,##0.00_);_(* \(#,##0.00\);_(* &quot;-&quot;??_);_(@_)" sourceLinked="1"/>
        <c:majorTickMark val="out"/>
        <c:minorTickMark val="none"/>
        <c:tickLblPos val="nextTo"/>
        <c:crossAx val="714141496"/>
        <c:crosses val="autoZero"/>
        <c:crossBetween val="midCat"/>
      </c:valAx>
    </c:plotArea>
    <c:plotVisOnly val="1"/>
    <c:dispBlanksAs val="gap"/>
    <c:showDLblsOverMax val="0"/>
  </c:chart>
  <c:spPr>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Lit>
              <c:formatCode>General</c:formatCode>
              <c:ptCount val="1069"/>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numLit>
          </c:xVal>
          <c:yVal>
            <c:numLit>
              <c:formatCode>General</c:formatCode>
              <c:ptCount val="1069"/>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numLit>
          </c:yVal>
          <c:smooth val="0"/>
          <c:extLst>
            <c:ext xmlns:c16="http://schemas.microsoft.com/office/drawing/2014/chart" uri="{C3380CC4-5D6E-409C-BE32-E72D297353CC}">
              <c16:uniqueId val="{00000001-FF59-43B8-AE61-B4298EC7991F}"/>
            </c:ext>
          </c:extLst>
        </c:ser>
        <c:dLbls>
          <c:showLegendKey val="0"/>
          <c:showVal val="0"/>
          <c:showCatName val="0"/>
          <c:showSerName val="0"/>
          <c:showPercent val="0"/>
          <c:showBubbleSize val="0"/>
        </c:dLbls>
        <c:axId val="-2035615104"/>
        <c:axId val="-2035611344"/>
      </c:scatterChart>
      <c:valAx>
        <c:axId val="-2035615104"/>
        <c:scaling>
          <c:orientation val="minMax"/>
        </c:scaling>
        <c:delete val="0"/>
        <c:axPos val="b"/>
        <c:title>
          <c:tx>
            <c:rich>
              <a:bodyPr/>
              <a:lstStyle/>
              <a:p>
                <a:pPr>
                  <a:defRPr/>
                </a:pPr>
                <a:r>
                  <a:rPr lang="en-US"/>
                  <a:t>Aaa / Aa Corporate Bond Yield</a:t>
                </a:r>
              </a:p>
            </c:rich>
          </c:tx>
          <c:overlay val="0"/>
        </c:title>
        <c:numFmt formatCode="General" sourceLinked="1"/>
        <c:majorTickMark val="out"/>
        <c:minorTickMark val="none"/>
        <c:tickLblPos val="nextTo"/>
        <c:crossAx val="-2035611344"/>
        <c:crosses val="autoZero"/>
        <c:crossBetween val="midCat"/>
      </c:valAx>
      <c:valAx>
        <c:axId val="-2035611344"/>
        <c:scaling>
          <c:orientation val="minMax"/>
        </c:scaling>
        <c:delete val="0"/>
        <c:axPos val="l"/>
        <c:title>
          <c:tx>
            <c:rich>
              <a:bodyPr/>
              <a:lstStyle/>
              <a:p>
                <a:pPr>
                  <a:defRPr/>
                </a:pPr>
                <a:r>
                  <a:rPr lang="en-US"/>
                  <a:t>Risk Premium</a:t>
                </a:r>
              </a:p>
            </c:rich>
          </c:tx>
          <c:overlay val="0"/>
        </c:title>
        <c:numFmt formatCode="General" sourceLinked="1"/>
        <c:majorTickMark val="out"/>
        <c:minorTickMark val="none"/>
        <c:tickLblPos val="nextTo"/>
        <c:crossAx val="-2035615104"/>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Lit>
              <c:formatCode>General</c:formatCode>
              <c:ptCount val="1069"/>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numLit>
          </c:xVal>
          <c:yVal>
            <c:numLit>
              <c:formatCode>General</c:formatCode>
              <c:ptCount val="1069"/>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numLit>
          </c:yVal>
          <c:smooth val="0"/>
          <c:extLst>
            <c:ext xmlns:c16="http://schemas.microsoft.com/office/drawing/2014/chart" uri="{C3380CC4-5D6E-409C-BE32-E72D297353CC}">
              <c16:uniqueId val="{00000001-0434-49AC-A148-0B683FF84611}"/>
            </c:ext>
          </c:extLst>
        </c:ser>
        <c:dLbls>
          <c:showLegendKey val="0"/>
          <c:showVal val="0"/>
          <c:showCatName val="0"/>
          <c:showSerName val="0"/>
          <c:showPercent val="0"/>
          <c:showBubbleSize val="0"/>
        </c:dLbls>
        <c:axId val="-2035583472"/>
        <c:axId val="-2035579712"/>
      </c:scatterChart>
      <c:valAx>
        <c:axId val="-2035583472"/>
        <c:scaling>
          <c:orientation val="minMax"/>
        </c:scaling>
        <c:delete val="0"/>
        <c:axPos val="b"/>
        <c:title>
          <c:tx>
            <c:rich>
              <a:bodyPr/>
              <a:lstStyle/>
              <a:p>
                <a:pPr>
                  <a:defRPr/>
                </a:pPr>
                <a:r>
                  <a:rPr lang="en-US"/>
                  <a:t>A Rated Public Utility Bond</a:t>
                </a:r>
              </a:p>
            </c:rich>
          </c:tx>
          <c:overlay val="0"/>
        </c:title>
        <c:numFmt formatCode="General" sourceLinked="1"/>
        <c:majorTickMark val="out"/>
        <c:minorTickMark val="none"/>
        <c:tickLblPos val="nextTo"/>
        <c:crossAx val="-2035579712"/>
        <c:crosses val="autoZero"/>
        <c:crossBetween val="midCat"/>
      </c:valAx>
      <c:valAx>
        <c:axId val="-2035579712"/>
        <c:scaling>
          <c:orientation val="minMax"/>
        </c:scaling>
        <c:delete val="0"/>
        <c:axPos val="l"/>
        <c:title>
          <c:tx>
            <c:rich>
              <a:bodyPr/>
              <a:lstStyle/>
              <a:p>
                <a:pPr>
                  <a:defRPr/>
                </a:pPr>
                <a:r>
                  <a:rPr lang="en-US"/>
                  <a:t>Risk Premium</a:t>
                </a:r>
              </a:p>
            </c:rich>
          </c:tx>
          <c:overlay val="0"/>
        </c:title>
        <c:numFmt formatCode="General" sourceLinked="1"/>
        <c:majorTickMark val="out"/>
        <c:minorTickMark val="none"/>
        <c:tickLblPos val="nextTo"/>
        <c:crossAx val="-2035583472"/>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Ref>
              <c:f>'MRP ERP WP'!$N$40:$N$1156</c:f>
              <c:numCache>
                <c:formatCode>0.00%</c:formatCode>
                <c:ptCount val="1117"/>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pt idx="1069">
                  <c:v>3.56E-2</c:v>
                </c:pt>
                <c:pt idx="1070">
                  <c:v>3.6150000000000002E-2</c:v>
                </c:pt>
                <c:pt idx="1071">
                  <c:v>3.9300000000000002E-2</c:v>
                </c:pt>
                <c:pt idx="1072">
                  <c:v>3.9300000000000002E-2</c:v>
                </c:pt>
                <c:pt idx="1073">
                  <c:v>4.0550000000000003E-2</c:v>
                </c:pt>
                <c:pt idx="1074">
                  <c:v>4.0349999999999997E-2</c:v>
                </c:pt>
                <c:pt idx="1075">
                  <c:v>3.9699999999999999E-2</c:v>
                </c:pt>
                <c:pt idx="1076">
                  <c:v>3.9649999999999991E-2</c:v>
                </c:pt>
                <c:pt idx="1077">
                  <c:v>3.9649999999999991E-2</c:v>
                </c:pt>
                <c:pt idx="1078">
                  <c:v>4.2099999999999999E-2</c:v>
                </c:pt>
                <c:pt idx="1079">
                  <c:v>4.3200000000000002E-2</c:v>
                </c:pt>
                <c:pt idx="1080">
                  <c:v>4.2949999999999995E-2</c:v>
                </c:pt>
                <c:pt idx="1081">
                  <c:v>4.0349999999999997E-2</c:v>
                </c:pt>
                <c:pt idx="1082">
                  <c:v>3.8900000000000004E-2</c:v>
                </c:pt>
                <c:pt idx="1083">
                  <c:v>3.8900000000000004E-2</c:v>
                </c:pt>
                <c:pt idx="1084">
                  <c:v>3.7699999999999997E-2</c:v>
                </c:pt>
                <c:pt idx="1085">
                  <c:v>3.7349999999999994E-2</c:v>
                </c:pt>
                <c:pt idx="1086">
                  <c:v>3.7349999999999994E-2</c:v>
                </c:pt>
                <c:pt idx="1087">
                  <c:v>3.3750000000000002E-2</c:v>
                </c:pt>
                <c:pt idx="1088">
                  <c:v>3.3750000000000002E-2</c:v>
                </c:pt>
                <c:pt idx="1089">
                  <c:v>3.0300000000000001E-2</c:v>
                </c:pt>
                <c:pt idx="1090">
                  <c:v>3.0800000000000001E-2</c:v>
                </c:pt>
                <c:pt idx="1091">
                  <c:v>3.1199999999999999E-2</c:v>
                </c:pt>
                <c:pt idx="1092">
                  <c:v>3.0599999999999995E-2</c:v>
                </c:pt>
                <c:pt idx="1093">
                  <c:v>2.9750000000000002E-2</c:v>
                </c:pt>
                <c:pt idx="1094">
                  <c:v>2.8150000000000001E-2</c:v>
                </c:pt>
                <c:pt idx="1095">
                  <c:v>3.0500000000000003E-2</c:v>
                </c:pt>
                <c:pt idx="1096">
                  <c:v>2.5899999999999999E-2</c:v>
                </c:pt>
                <c:pt idx="1097">
                  <c:v>2.6049999999999997E-2</c:v>
                </c:pt>
                <c:pt idx="1098">
                  <c:v>2.52E-2</c:v>
                </c:pt>
                <c:pt idx="1099">
                  <c:v>2.23E-2</c:v>
                </c:pt>
                <c:pt idx="1100">
                  <c:v>2.3100000000000002E-2</c:v>
                </c:pt>
                <c:pt idx="1101">
                  <c:v>2.3900000000000001E-2</c:v>
                </c:pt>
                <c:pt idx="1102">
                  <c:v>2.4499999999999997E-2</c:v>
                </c:pt>
                <c:pt idx="1103">
                  <c:v>2.3849999999999996E-2</c:v>
                </c:pt>
                <c:pt idx="1104">
                  <c:v>2.35E-2</c:v>
                </c:pt>
                <c:pt idx="1105">
                  <c:v>2.5300000000000003E-2</c:v>
                </c:pt>
                <c:pt idx="1106">
                  <c:v>2.7650000000000004E-2</c:v>
                </c:pt>
                <c:pt idx="1107">
                  <c:v>3.1050000000000005E-2</c:v>
                </c:pt>
                <c:pt idx="1108">
                  <c:v>2.9650000000000003E-2</c:v>
                </c:pt>
                <c:pt idx="1109">
                  <c:v>3.015E-2</c:v>
                </c:pt>
                <c:pt idx="1110">
                  <c:v>2.8500000000000004E-2</c:v>
                </c:pt>
                <c:pt idx="1111">
                  <c:v>2.6399999999999996E-2</c:v>
                </c:pt>
                <c:pt idx="1112">
                  <c:v>2.64E-2</c:v>
                </c:pt>
                <c:pt idx="1113">
                  <c:v>2.6299999999999997E-2</c:v>
                </c:pt>
                <c:pt idx="1114">
                  <c:v>2.7699999999999999E-2</c:v>
                </c:pt>
                <c:pt idx="1115">
                  <c:v>2.6949999999999998E-2</c:v>
                </c:pt>
                <c:pt idx="1116">
                  <c:v>2.7049999999999998E-2</c:v>
                </c:pt>
              </c:numCache>
            </c:numRef>
          </c:xVal>
          <c:yVal>
            <c:numRef>
              <c:f>'MRP ERP WP'!$P$40:$P$1156</c:f>
              <c:numCache>
                <c:formatCode>0.00%</c:formatCode>
                <c:ptCount val="1117"/>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pt idx="1069">
                  <c:v>0.22863347257697594</c:v>
                </c:pt>
                <c:pt idx="1070">
                  <c:v>0.13494094684898028</c:v>
                </c:pt>
                <c:pt idx="1071">
                  <c:v>0.10067726408211797</c:v>
                </c:pt>
                <c:pt idx="1072">
                  <c:v>9.3342955246589976E-2</c:v>
                </c:pt>
                <c:pt idx="1073">
                  <c:v>0.10326190264079735</c:v>
                </c:pt>
                <c:pt idx="1074">
                  <c:v>0.10346190264079713</c:v>
                </c:pt>
                <c:pt idx="1075">
                  <c:v>0.12271593711447644</c:v>
                </c:pt>
                <c:pt idx="1076">
                  <c:v>0.15695123284259635</c:v>
                </c:pt>
                <c:pt idx="1077">
                  <c:v>0.13948174590417348</c:v>
                </c:pt>
                <c:pt idx="1078">
                  <c:v>3.1367345337953295E-2</c:v>
                </c:pt>
                <c:pt idx="1079">
                  <c:v>1.9539962339038999E-2</c:v>
                </c:pt>
                <c:pt idx="1080">
                  <c:v>-8.6788845079790511E-2</c:v>
                </c:pt>
                <c:pt idx="1081">
                  <c:v>-6.356983975284336E-2</c:v>
                </c:pt>
                <c:pt idx="1082">
                  <c:v>7.8602568695775171E-3</c:v>
                </c:pt>
                <c:pt idx="1083">
                  <c:v>5.5977288993276739E-2</c:v>
                </c:pt>
                <c:pt idx="1084">
                  <c:v>9.7207171944116613E-2</c:v>
                </c:pt>
                <c:pt idx="1085">
                  <c:v>4.7889027015446395E-4</c:v>
                </c:pt>
                <c:pt idx="1086">
                  <c:v>6.6800096436295142E-2</c:v>
                </c:pt>
                <c:pt idx="1087">
                  <c:v>4.6128382014055391E-2</c:v>
                </c:pt>
                <c:pt idx="1088">
                  <c:v>-4.4876490623347309E-3</c:v>
                </c:pt>
                <c:pt idx="1089">
                  <c:v>1.2266925425275625E-2</c:v>
                </c:pt>
                <c:pt idx="1090">
                  <c:v>0.1125991280667708</c:v>
                </c:pt>
                <c:pt idx="1091">
                  <c:v>0.13001571581300941</c:v>
                </c:pt>
                <c:pt idx="1092">
                  <c:v>0.28443180216616731</c:v>
                </c:pt>
                <c:pt idx="1093">
                  <c:v>0.18727230297685499</c:v>
                </c:pt>
                <c:pt idx="1094">
                  <c:v>5.3975150122913658E-2</c:v>
                </c:pt>
                <c:pt idx="1095">
                  <c:v>-0.10006769267928764</c:v>
                </c:pt>
                <c:pt idx="1096">
                  <c:v>-1.7044902336157595E-2</c:v>
                </c:pt>
                <c:pt idx="1097">
                  <c:v>0.1024888150695579</c:v>
                </c:pt>
                <c:pt idx="1098">
                  <c:v>4.9995457720170333E-2</c:v>
                </c:pt>
                <c:pt idx="1099">
                  <c:v>9.7412619810319331E-2</c:v>
                </c:pt>
                <c:pt idx="1100">
                  <c:v>0.19638786544877218</c:v>
                </c:pt>
                <c:pt idx="1101">
                  <c:v>0.12771217881782529</c:v>
                </c:pt>
                <c:pt idx="1102">
                  <c:v>7.2670690869405002E-2</c:v>
                </c:pt>
                <c:pt idx="1103">
                  <c:v>0.150820347891156</c:v>
                </c:pt>
                <c:pt idx="1104">
                  <c:v>0.16052027688815404</c:v>
                </c:pt>
                <c:pt idx="1105">
                  <c:v>0.14723068436532982</c:v>
                </c:pt>
                <c:pt idx="1106">
                  <c:v>0.28529816525423718</c:v>
                </c:pt>
                <c:pt idx="1107">
                  <c:v>0.53250424403008889</c:v>
                </c:pt>
                <c:pt idx="1108">
                  <c:v>0.43024012645035853</c:v>
                </c:pt>
                <c:pt idx="1109">
                  <c:v>0.37316171948788768</c:v>
                </c:pt>
                <c:pt idx="1110">
                  <c:v>0.37948988386307997</c:v>
                </c:pt>
                <c:pt idx="1111">
                  <c:v>0.3381399877877902</c:v>
                </c:pt>
                <c:pt idx="1112">
                  <c:v>0.28531005076643212</c:v>
                </c:pt>
                <c:pt idx="1113">
                  <c:v>0.27382009709541877</c:v>
                </c:pt>
                <c:pt idx="1114">
                  <c:v>0.4015772918654284</c:v>
                </c:pt>
                <c:pt idx="1115">
                  <c:v>0.25237877742366593</c:v>
                </c:pt>
                <c:pt idx="1116">
                  <c:v>0.26016370055108418</c:v>
                </c:pt>
              </c:numCache>
            </c:numRef>
          </c:yVal>
          <c:smooth val="0"/>
          <c:extLst>
            <c:ext xmlns:c16="http://schemas.microsoft.com/office/drawing/2014/chart" uri="{C3380CC4-5D6E-409C-BE32-E72D297353CC}">
              <c16:uniqueId val="{00000001-C431-419F-A1C1-BC67D52EEDB2}"/>
            </c:ext>
          </c:extLst>
        </c:ser>
        <c:dLbls>
          <c:showLegendKey val="0"/>
          <c:showVal val="0"/>
          <c:showCatName val="0"/>
          <c:showSerName val="0"/>
          <c:showPercent val="0"/>
          <c:showBubbleSize val="0"/>
        </c:dLbls>
        <c:axId val="-2035615104"/>
        <c:axId val="-2035611344"/>
      </c:scatterChart>
      <c:valAx>
        <c:axId val="-2035615104"/>
        <c:scaling>
          <c:orientation val="minMax"/>
        </c:scaling>
        <c:delete val="0"/>
        <c:axPos val="b"/>
        <c:title>
          <c:tx>
            <c:rich>
              <a:bodyPr/>
              <a:lstStyle/>
              <a:p>
                <a:pPr>
                  <a:defRPr/>
                </a:pPr>
                <a:r>
                  <a:rPr lang="en-US"/>
                  <a:t>Aaa / Aa Corporate Bond Yield</a:t>
                </a:r>
              </a:p>
            </c:rich>
          </c:tx>
          <c:overlay val="0"/>
        </c:title>
        <c:numFmt formatCode="General" sourceLinked="0"/>
        <c:majorTickMark val="out"/>
        <c:minorTickMark val="none"/>
        <c:tickLblPos val="nextTo"/>
        <c:crossAx val="-2035611344"/>
        <c:crosses val="autoZero"/>
        <c:crossBetween val="midCat"/>
      </c:valAx>
      <c:valAx>
        <c:axId val="-2035611344"/>
        <c:scaling>
          <c:orientation val="minMax"/>
        </c:scaling>
        <c:delete val="0"/>
        <c:axPos val="l"/>
        <c:title>
          <c:tx>
            <c:rich>
              <a:bodyPr/>
              <a:lstStyle/>
              <a:p>
                <a:pPr>
                  <a:defRPr/>
                </a:pPr>
                <a:r>
                  <a:rPr lang="en-US"/>
                  <a:t>Risk Premium</a:t>
                </a:r>
              </a:p>
            </c:rich>
          </c:tx>
          <c:overlay val="0"/>
        </c:title>
        <c:numFmt formatCode="General" sourceLinked="0"/>
        <c:majorTickMark val="out"/>
        <c:minorTickMark val="none"/>
        <c:tickLblPos val="nextTo"/>
        <c:crossAx val="-2035615104"/>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Ref>
              <c:f>'MRP ERP WP'!$R$40:$R$1156</c:f>
              <c:numCache>
                <c:formatCode>0.00%</c:formatCode>
                <c:ptCount val="1117"/>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pt idx="1069">
                  <c:v>3.7900000000000003E-2</c:v>
                </c:pt>
                <c:pt idx="1070">
                  <c:v>3.8600000000000002E-2</c:v>
                </c:pt>
                <c:pt idx="1071">
                  <c:v>4.1300000000000003E-2</c:v>
                </c:pt>
                <c:pt idx="1072">
                  <c:v>4.1700000000000001E-2</c:v>
                </c:pt>
                <c:pt idx="1073">
                  <c:v>4.2800000000000005E-2</c:v>
                </c:pt>
                <c:pt idx="1074">
                  <c:v>4.2699999999999988E-2</c:v>
                </c:pt>
                <c:pt idx="1075">
                  <c:v>4.2699999999999988E-2</c:v>
                </c:pt>
                <c:pt idx="1076">
                  <c:v>4.2599999999999999E-2</c:v>
                </c:pt>
                <c:pt idx="1077">
                  <c:v>4.2599999999999999E-2</c:v>
                </c:pt>
                <c:pt idx="1078">
                  <c:v>4.4499999999999998E-2</c:v>
                </c:pt>
                <c:pt idx="1079">
                  <c:v>4.53E-2</c:v>
                </c:pt>
                <c:pt idx="1080">
                  <c:v>4.53E-2</c:v>
                </c:pt>
                <c:pt idx="1081">
                  <c:v>4.3499999999999997E-2</c:v>
                </c:pt>
                <c:pt idx="1082">
                  <c:v>4.2500000000000003E-2</c:v>
                </c:pt>
                <c:pt idx="1083">
                  <c:v>4.2500000000000003E-2</c:v>
                </c:pt>
                <c:pt idx="1084">
                  <c:v>4.0800000000000003E-2</c:v>
                </c:pt>
                <c:pt idx="1085">
                  <c:v>3.9800000000000002E-2</c:v>
                </c:pt>
                <c:pt idx="1086">
                  <c:v>3.9800000000000002E-2</c:v>
                </c:pt>
                <c:pt idx="1087">
                  <c:v>3.6900000000000002E-2</c:v>
                </c:pt>
                <c:pt idx="1088">
                  <c:v>3.6900000000000002E-2</c:v>
                </c:pt>
                <c:pt idx="1089">
                  <c:v>3.2899999999999999E-2</c:v>
                </c:pt>
                <c:pt idx="1090">
                  <c:v>3.3700000000000001E-2</c:v>
                </c:pt>
                <c:pt idx="1091">
                  <c:v>3.4299999999999997E-2</c:v>
                </c:pt>
                <c:pt idx="1092">
                  <c:v>3.3999999999999996E-2</c:v>
                </c:pt>
                <c:pt idx="1093">
                  <c:v>3.2800000000000003E-2</c:v>
                </c:pt>
                <c:pt idx="1094">
                  <c:v>3.1099999999999999E-2</c:v>
                </c:pt>
                <c:pt idx="1095">
                  <c:v>3.5000000000000003E-2</c:v>
                </c:pt>
                <c:pt idx="1096">
                  <c:v>3.1899999999999998E-2</c:v>
                </c:pt>
                <c:pt idx="1097">
                  <c:v>3.1400000000000004E-2</c:v>
                </c:pt>
                <c:pt idx="1098">
                  <c:v>3.0699999999999998E-2</c:v>
                </c:pt>
                <c:pt idx="1099">
                  <c:v>2.7400000000000001E-2</c:v>
                </c:pt>
                <c:pt idx="1100">
                  <c:v>2.7300000000000001E-2</c:v>
                </c:pt>
                <c:pt idx="1101">
                  <c:v>2.8400000000000002E-2</c:v>
                </c:pt>
                <c:pt idx="1102">
                  <c:v>2.9500000000000005E-2</c:v>
                </c:pt>
                <c:pt idx="1103">
                  <c:v>2.8499999999999998E-2</c:v>
                </c:pt>
                <c:pt idx="1104">
                  <c:v>2.7699999999999999E-2</c:v>
                </c:pt>
                <c:pt idx="1105">
                  <c:v>2.9100000000000001E-2</c:v>
                </c:pt>
                <c:pt idx="1106">
                  <c:v>3.09E-2</c:v>
                </c:pt>
                <c:pt idx="1107">
                  <c:v>3.44E-2</c:v>
                </c:pt>
                <c:pt idx="1108">
                  <c:v>3.3000000000000002E-2</c:v>
                </c:pt>
                <c:pt idx="1109">
                  <c:v>3.3300000000000003E-2</c:v>
                </c:pt>
                <c:pt idx="1110">
                  <c:v>3.1600000000000003E-2</c:v>
                </c:pt>
                <c:pt idx="1111">
                  <c:v>2.9500000000000005E-2</c:v>
                </c:pt>
                <c:pt idx="1112">
                  <c:v>2.9500000000000005E-2</c:v>
                </c:pt>
                <c:pt idx="1113">
                  <c:v>2.9600000000000001E-2</c:v>
                </c:pt>
                <c:pt idx="1114">
                  <c:v>3.09E-2</c:v>
                </c:pt>
                <c:pt idx="1115">
                  <c:v>3.0199999999999998E-2</c:v>
                </c:pt>
                <c:pt idx="1116">
                  <c:v>3.0400000000000003E-2</c:v>
                </c:pt>
              </c:numCache>
            </c:numRef>
          </c:xVal>
          <c:yVal>
            <c:numRef>
              <c:f>'MRP ERP WP'!$S$40:$S$1156</c:f>
              <c:numCache>
                <c:formatCode>0.00%</c:formatCode>
                <c:ptCount val="1117"/>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pt idx="1069">
                  <c:v>6.9063768796802136E-2</c:v>
                </c:pt>
                <c:pt idx="1070">
                  <c:v>-2.7336120012345456E-2</c:v>
                </c:pt>
                <c:pt idx="1071">
                  <c:v>-2.2278317864450448E-2</c:v>
                </c:pt>
                <c:pt idx="1072">
                  <c:v>-9.3313381024050929E-3</c:v>
                </c:pt>
                <c:pt idx="1073">
                  <c:v>-6.3525715647704983E-2</c:v>
                </c:pt>
                <c:pt idx="1074">
                  <c:v>-8.7755680214667564E-3</c:v>
                </c:pt>
                <c:pt idx="1075">
                  <c:v>-1.4629493934660093E-2</c:v>
                </c:pt>
                <c:pt idx="1076">
                  <c:v>-3.5541008539443891E-2</c:v>
                </c:pt>
                <c:pt idx="1077">
                  <c:v>-1.3488621865125144E-2</c:v>
                </c:pt>
                <c:pt idx="1078">
                  <c:v>-3.4703031753122962E-2</c:v>
                </c:pt>
                <c:pt idx="1079">
                  <c:v>-2.7640865576991629E-2</c:v>
                </c:pt>
                <c:pt idx="1080">
                  <c:v>-4.6576189063111048E-3</c:v>
                </c:pt>
                <c:pt idx="1081">
                  <c:v>8.2064296232975717E-2</c:v>
                </c:pt>
                <c:pt idx="1082">
                  <c:v>0.1761199966806892</c:v>
                </c:pt>
                <c:pt idx="1083">
                  <c:v>0.16566830739625413</c:v>
                </c:pt>
                <c:pt idx="1084">
                  <c:v>0.15352347958378004</c:v>
                </c:pt>
                <c:pt idx="1085">
                  <c:v>0.15887262436073885</c:v>
                </c:pt>
                <c:pt idx="1086">
                  <c:v>0.16459003491205576</c:v>
                </c:pt>
                <c:pt idx="1087">
                  <c:v>0.14230496938719156</c:v>
                </c:pt>
                <c:pt idx="1088">
                  <c:v>0.18894612312543674</c:v>
                </c:pt>
                <c:pt idx="1089">
                  <c:v>0.25275853456566127</c:v>
                </c:pt>
                <c:pt idx="1090">
                  <c:v>0.21765749274105556</c:v>
                </c:pt>
                <c:pt idx="1091">
                  <c:v>0.15167995497447739</c:v>
                </c:pt>
                <c:pt idx="1092">
                  <c:v>0.24390297679977294</c:v>
                </c:pt>
                <c:pt idx="1093">
                  <c:v>0.26721050056474821</c:v>
                </c:pt>
                <c:pt idx="1094">
                  <c:v>9.4651962172058193E-2</c:v>
                </c:pt>
                <c:pt idx="1095">
                  <c:v>-5.0024625997535849E-2</c:v>
                </c:pt>
                <c:pt idx="1096">
                  <c:v>-2.4491936879772427E-2</c:v>
                </c:pt>
                <c:pt idx="1097">
                  <c:v>2.8133108084899529E-2</c:v>
                </c:pt>
                <c:pt idx="1098">
                  <c:v>-5.1966794329057535E-2</c:v>
                </c:pt>
                <c:pt idx="1099">
                  <c:v>3.0683550748332379E-2</c:v>
                </c:pt>
                <c:pt idx="1100">
                  <c:v>-4.7514488686469028E-2</c:v>
                </c:pt>
                <c:pt idx="1101">
                  <c:v>-7.8023434565094557E-2</c:v>
                </c:pt>
                <c:pt idx="1102">
                  <c:v>-2.3462097144369455E-2</c:v>
                </c:pt>
                <c:pt idx="1103">
                  <c:v>4.1417121318349792E-3</c:v>
                </c:pt>
                <c:pt idx="1104">
                  <c:v>-2.2282017134773676E-2</c:v>
                </c:pt>
                <c:pt idx="1105">
                  <c:v>-9.5030972916153686E-2</c:v>
                </c:pt>
                <c:pt idx="1106">
                  <c:v>-5.7974562979447877E-2</c:v>
                </c:pt>
                <c:pt idx="1107">
                  <c:v>0.15992807643231521</c:v>
                </c:pt>
                <c:pt idx="1108">
                  <c:v>0.17345826189458227</c:v>
                </c:pt>
                <c:pt idx="1109">
                  <c:v>9.5390337256184732E-2</c:v>
                </c:pt>
                <c:pt idx="1110">
                  <c:v>0.12654904159604669</c:v>
                </c:pt>
                <c:pt idx="1111">
                  <c:v>8.6137239524275516E-2</c:v>
                </c:pt>
                <c:pt idx="1112">
                  <c:v>0.16206106269542939</c:v>
                </c:pt>
                <c:pt idx="1113">
                  <c:v>7.6055270762372132E-2</c:v>
                </c:pt>
                <c:pt idx="1114">
                  <c:v>7.1514938509745704E-2</c:v>
                </c:pt>
                <c:pt idx="1115">
                  <c:v>4.6227862033716434E-2</c:v>
                </c:pt>
                <c:pt idx="1116">
                  <c:v>0.14135739138849199</c:v>
                </c:pt>
              </c:numCache>
            </c:numRef>
          </c:yVal>
          <c:smooth val="0"/>
          <c:extLst>
            <c:ext xmlns:c16="http://schemas.microsoft.com/office/drawing/2014/chart" uri="{C3380CC4-5D6E-409C-BE32-E72D297353CC}">
              <c16:uniqueId val="{00000001-75BE-41CA-B3E8-4D1D36B1978D}"/>
            </c:ext>
          </c:extLst>
        </c:ser>
        <c:dLbls>
          <c:showLegendKey val="0"/>
          <c:showVal val="0"/>
          <c:showCatName val="0"/>
          <c:showSerName val="0"/>
          <c:showPercent val="0"/>
          <c:showBubbleSize val="0"/>
        </c:dLbls>
        <c:axId val="-2035583472"/>
        <c:axId val="-2035579712"/>
      </c:scatterChart>
      <c:valAx>
        <c:axId val="-2035583472"/>
        <c:scaling>
          <c:orientation val="minMax"/>
        </c:scaling>
        <c:delete val="0"/>
        <c:axPos val="b"/>
        <c:title>
          <c:tx>
            <c:rich>
              <a:bodyPr/>
              <a:lstStyle/>
              <a:p>
                <a:pPr>
                  <a:defRPr/>
                </a:pPr>
                <a:r>
                  <a:rPr lang="en-US"/>
                  <a:t>A Rated Public Utility Bond</a:t>
                </a:r>
              </a:p>
            </c:rich>
          </c:tx>
          <c:overlay val="0"/>
        </c:title>
        <c:numFmt formatCode="General" sourceLinked="0"/>
        <c:majorTickMark val="out"/>
        <c:minorTickMark val="none"/>
        <c:tickLblPos val="nextTo"/>
        <c:crossAx val="-2035579712"/>
        <c:crosses val="autoZero"/>
        <c:crossBetween val="midCat"/>
      </c:valAx>
      <c:valAx>
        <c:axId val="-2035579712"/>
        <c:scaling>
          <c:orientation val="minMax"/>
        </c:scaling>
        <c:delete val="0"/>
        <c:axPos val="l"/>
        <c:title>
          <c:tx>
            <c:rich>
              <a:bodyPr/>
              <a:lstStyle/>
              <a:p>
                <a:pPr>
                  <a:defRPr/>
                </a:pPr>
                <a:r>
                  <a:rPr lang="en-US"/>
                  <a:t>Risk Premium</a:t>
                </a:r>
              </a:p>
            </c:rich>
          </c:tx>
          <c:overlay val="0"/>
        </c:title>
        <c:numFmt formatCode="General" sourceLinked="0"/>
        <c:majorTickMark val="out"/>
        <c:minorTickMark val="none"/>
        <c:tickLblPos val="nextTo"/>
        <c:crossAx val="-2035583472"/>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tx1"/>
            </a:solidFill>
            <a:ln w="12700">
              <a:solidFill>
                <a:schemeClr val="tx1"/>
              </a:solidFill>
            </a:ln>
          </c:spPr>
          <c:invertIfNegative val="0"/>
          <c:dPt>
            <c:idx val="0"/>
            <c:invertIfNegative val="0"/>
            <c:bubble3D val="0"/>
            <c:extLst>
              <c:ext xmlns:c16="http://schemas.microsoft.com/office/drawing/2014/chart" uri="{C3380CC4-5D6E-409C-BE32-E72D297353CC}">
                <c16:uniqueId val="{00000000-4AE8-4BAC-8A5A-08727E3D7031}"/>
              </c:ext>
            </c:extLst>
          </c:dPt>
          <c:dPt>
            <c:idx val="6"/>
            <c:invertIfNegative val="0"/>
            <c:bubble3D val="0"/>
            <c:spPr>
              <a:solidFill>
                <a:srgbClr val="FFFF00"/>
              </a:solidFill>
              <a:ln w="12700">
                <a:solidFill>
                  <a:schemeClr val="tx1"/>
                </a:solidFill>
              </a:ln>
            </c:spPr>
            <c:extLst>
              <c:ext xmlns:c16="http://schemas.microsoft.com/office/drawing/2014/chart" uri="{C3380CC4-5D6E-409C-BE32-E72D297353CC}">
                <c16:uniqueId val="{00000002-4AE8-4BAC-8A5A-08727E3D7031}"/>
              </c:ext>
            </c:extLst>
          </c:dPt>
          <c:dPt>
            <c:idx val="7"/>
            <c:invertIfNegative val="0"/>
            <c:bubble3D val="0"/>
            <c:extLst>
              <c:ext xmlns:c16="http://schemas.microsoft.com/office/drawing/2014/chart" uri="{C3380CC4-5D6E-409C-BE32-E72D297353CC}">
                <c16:uniqueId val="{00000003-4AE8-4BAC-8A5A-08727E3D7031}"/>
              </c:ext>
            </c:extLst>
          </c:dPt>
          <c:dPt>
            <c:idx val="13"/>
            <c:invertIfNegative val="0"/>
            <c:bubble3D val="0"/>
            <c:spPr>
              <a:solidFill>
                <a:srgbClr val="FFFF00"/>
              </a:solidFill>
              <a:ln w="12700">
                <a:solidFill>
                  <a:schemeClr val="tx1"/>
                </a:solidFill>
              </a:ln>
            </c:spPr>
            <c:extLst>
              <c:ext xmlns:c16="http://schemas.microsoft.com/office/drawing/2014/chart" uri="{C3380CC4-5D6E-409C-BE32-E72D297353CC}">
                <c16:uniqueId val="{00000005-4AE8-4BAC-8A5A-08727E3D7031}"/>
              </c:ext>
            </c:extLst>
          </c:dPt>
          <c:dPt>
            <c:idx val="18"/>
            <c:invertIfNegative val="0"/>
            <c:bubble3D val="0"/>
            <c:extLst>
              <c:ext xmlns:c16="http://schemas.microsoft.com/office/drawing/2014/chart" uri="{C3380CC4-5D6E-409C-BE32-E72D297353CC}">
                <c16:uniqueId val="{00000006-4AE8-4BAC-8A5A-08727E3D7031}"/>
              </c:ext>
            </c:extLst>
          </c:dPt>
          <c:dPt>
            <c:idx val="21"/>
            <c:invertIfNegative val="0"/>
            <c:bubble3D val="0"/>
            <c:spPr>
              <a:solidFill>
                <a:schemeClr val="bg1"/>
              </a:solidFill>
              <a:ln w="12700">
                <a:solidFill>
                  <a:sysClr val="windowText" lastClr="000000"/>
                </a:solidFill>
              </a:ln>
            </c:spPr>
            <c:extLst>
              <c:ext xmlns:c16="http://schemas.microsoft.com/office/drawing/2014/chart" uri="{C3380CC4-5D6E-409C-BE32-E72D297353CC}">
                <c16:uniqueId val="{00000008-4AE8-4BAC-8A5A-08727E3D7031}"/>
              </c:ext>
            </c:extLst>
          </c:dPt>
          <c:dPt>
            <c:idx val="22"/>
            <c:invertIfNegative val="0"/>
            <c:bubble3D val="0"/>
            <c:extLst>
              <c:ext xmlns:c16="http://schemas.microsoft.com/office/drawing/2014/chart" uri="{C3380CC4-5D6E-409C-BE32-E72D297353CC}">
                <c16:uniqueId val="{00000009-4AE8-4BAC-8A5A-08727E3D7031}"/>
              </c:ext>
            </c:extLst>
          </c:dPt>
          <c:dLbls>
            <c:numFmt formatCode="0%" sourceLinked="0"/>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'10.1 CAPEX to Net Plant'!$N$4:$N$10</c:f>
              <c:strCache>
                <c:ptCount val="7"/>
                <c:pt idx="0">
                  <c:v>OGS</c:v>
                </c:pt>
                <c:pt idx="1">
                  <c:v>NWN</c:v>
                </c:pt>
                <c:pt idx="2">
                  <c:v>SR</c:v>
                </c:pt>
                <c:pt idx="3">
                  <c:v>NJR</c:v>
                </c:pt>
                <c:pt idx="4">
                  <c:v>NI</c:v>
                </c:pt>
                <c:pt idx="5">
                  <c:v>ATO</c:v>
                </c:pt>
                <c:pt idx="6">
                  <c:v>Peoples Gas</c:v>
                </c:pt>
              </c:strCache>
            </c:strRef>
          </c:cat>
          <c:val>
            <c:numRef>
              <c:f>'10.1 CAPEX to Net Plant'!$O$4:$O$10</c:f>
              <c:numCache>
                <c:formatCode>0%</c:formatCode>
                <c:ptCount val="7"/>
                <c:pt idx="0">
                  <c:v>0.3064526555529869</c:v>
                </c:pt>
                <c:pt idx="1">
                  <c:v>0.31633330237669588</c:v>
                </c:pt>
                <c:pt idx="2">
                  <c:v>0.38047550289771942</c:v>
                </c:pt>
                <c:pt idx="3">
                  <c:v>0.41062009677887212</c:v>
                </c:pt>
                <c:pt idx="4">
                  <c:v>0.47425657706694507</c:v>
                </c:pt>
                <c:pt idx="5">
                  <c:v>0.51892001534194843</c:v>
                </c:pt>
                <c:pt idx="6">
                  <c:v>0.60283217492135466</c:v>
                </c:pt>
              </c:numCache>
            </c:numRef>
          </c:val>
          <c:extLst>
            <c:ext xmlns:c16="http://schemas.microsoft.com/office/drawing/2014/chart" uri="{C3380CC4-5D6E-409C-BE32-E72D297353CC}">
              <c16:uniqueId val="{0000000A-4AE8-4BAC-8A5A-08727E3D7031}"/>
            </c:ext>
          </c:extLst>
        </c:ser>
        <c:dLbls>
          <c:showLegendKey val="0"/>
          <c:showVal val="0"/>
          <c:showCatName val="0"/>
          <c:showSerName val="0"/>
          <c:showPercent val="0"/>
          <c:showBubbleSize val="0"/>
        </c:dLbls>
        <c:gapWidth val="150"/>
        <c:axId val="670068392"/>
        <c:axId val="670057024"/>
      </c:barChart>
      <c:catAx>
        <c:axId val="6700683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70057024"/>
        <c:crosses val="autoZero"/>
        <c:auto val="1"/>
        <c:lblAlgn val="ctr"/>
        <c:lblOffset val="100"/>
        <c:noMultiLvlLbl val="0"/>
      </c:catAx>
      <c:valAx>
        <c:axId val="670057024"/>
        <c:scaling>
          <c:orientation val="minMax"/>
        </c:scaling>
        <c:delete val="0"/>
        <c:axPos val="l"/>
        <c:majorGridlines>
          <c:spPr>
            <a:ln>
              <a:solidFill>
                <a:schemeClr val="bg1">
                  <a:lumMod val="65000"/>
                </a:schemeClr>
              </a:solidFill>
              <a:prstDash val="sysDot"/>
            </a:ln>
          </c:spPr>
        </c:majorGridlines>
        <c:numFmt formatCode="0%" sourceLinked="1"/>
        <c:majorTickMark val="out"/>
        <c:minorTickMark val="none"/>
        <c:tickLblPos val="nextTo"/>
        <c:crossAx val="670068392"/>
        <c:crosses val="autoZero"/>
        <c:crossBetween val="between"/>
      </c:valAx>
    </c:plotArea>
    <c:plotVisOnly val="1"/>
    <c:dispBlanksAs val="gap"/>
    <c:showDLblsOverMax val="0"/>
  </c:chart>
  <c:spPr>
    <a:ln>
      <a:noFill/>
    </a:ln>
  </c:spPr>
  <c:txPr>
    <a:bodyPr/>
    <a:lstStyle/>
    <a:p>
      <a:pPr>
        <a:defRPr sz="800">
          <a:latin typeface="+mn-lt"/>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MRP SBBI</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5.20172505229511E-2"/>
                  <c:y val="-0.22799879996780401"/>
                </c:manualLayout>
              </c:layout>
              <c:numFmt formatCode="General" sourceLinked="0"/>
            </c:trendlineLbl>
          </c:trendline>
          <c:xVal>
            <c:numRef>
              <c:f>'MRP ERP WP'!$M$16:$M$1108</c:f>
              <c:numCache>
                <c:formatCode>0.00%</c:formatCode>
                <c:ptCount val="1093"/>
                <c:pt idx="0">
                  <c:v>3.6000000000000004E-2</c:v>
                </c:pt>
                <c:pt idx="1">
                  <c:v>3.6000000000000004E-2</c:v>
                </c:pt>
                <c:pt idx="2">
                  <c:v>3.2399999999999998E-2</c:v>
                </c:pt>
                <c:pt idx="3">
                  <c:v>3.4799999999999998E-2</c:v>
                </c:pt>
                <c:pt idx="4">
                  <c:v>3.2399999999999998E-2</c:v>
                </c:pt>
                <c:pt idx="5">
                  <c:v>3.3599999999999991E-2</c:v>
                </c:pt>
                <c:pt idx="6">
                  <c:v>3.2399999999999998E-2</c:v>
                </c:pt>
                <c:pt idx="7">
                  <c:v>3.2399999999999998E-2</c:v>
                </c:pt>
                <c:pt idx="8">
                  <c:v>3.4799999999999998E-2</c:v>
                </c:pt>
                <c:pt idx="9">
                  <c:v>3.2399999999999998E-2</c:v>
                </c:pt>
                <c:pt idx="10">
                  <c:v>3.3599999999999991E-2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3.3599999999999991E-2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3.3599999999999991E-2</c:v>
                </c:pt>
                <c:pt idx="44">
                  <c:v>3.1199999999999999E-2</c:v>
                </c:pt>
                <c:pt idx="45">
                  <c:v>3.4799999999999998E-2</c:v>
                </c:pt>
                <c:pt idx="46">
                  <c:v>3.2399999999999998E-2</c:v>
                </c:pt>
                <c:pt idx="47">
                  <c:v>3.1199999999999999E-2</c:v>
                </c:pt>
                <c:pt idx="48">
                  <c:v>3.3599999999999991E-2</c:v>
                </c:pt>
                <c:pt idx="49">
                  <c:v>3.3599999999999991E-2</c:v>
                </c:pt>
                <c:pt idx="50">
                  <c:v>3.1199999999999999E-2</c:v>
                </c:pt>
                <c:pt idx="51">
                  <c:v>3.4799999999999998E-2</c:v>
                </c:pt>
                <c:pt idx="52">
                  <c:v>3.2399999999999998E-2</c:v>
                </c:pt>
                <c:pt idx="53">
                  <c:v>3.1199999999999999E-2</c:v>
                </c:pt>
                <c:pt idx="54">
                  <c:v>3.3599999999999991E-2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3.3599999999999991E-2</c:v>
                </c:pt>
                <c:pt idx="66">
                  <c:v>3.3599999999999991E-2</c:v>
                </c:pt>
                <c:pt idx="67">
                  <c:v>3.3599999999999991E-2</c:v>
                </c:pt>
                <c:pt idx="68">
                  <c:v>3.3599999999999991E-2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3.3599999999999991E-2</c:v>
                </c:pt>
                <c:pt idx="78">
                  <c:v>0.03</c:v>
                </c:pt>
                <c:pt idx="79">
                  <c:v>3.1199999999999999E-2</c:v>
                </c:pt>
                <c:pt idx="80">
                  <c:v>3.1199999999999999E-2</c:v>
                </c:pt>
                <c:pt idx="81">
                  <c:v>0.03</c:v>
                </c:pt>
                <c:pt idx="82">
                  <c:v>3.1199999999999999E-2</c:v>
                </c:pt>
                <c:pt idx="83">
                  <c:v>0.03</c:v>
                </c:pt>
                <c:pt idx="84">
                  <c:v>3.3599999999999991E-2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1.6799999999999995E-2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3.3599999999999991E-2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3.3599999999999991E-2</c:v>
                </c:pt>
                <c:pt idx="384">
                  <c:v>3.9599999999999996E-2</c:v>
                </c:pt>
                <c:pt idx="385">
                  <c:v>3.7199999999999997E-2</c:v>
                </c:pt>
                <c:pt idx="386">
                  <c:v>3.7199999999999997E-2</c:v>
                </c:pt>
                <c:pt idx="387">
                  <c:v>4.200000000000001E-2</c:v>
                </c:pt>
                <c:pt idx="388">
                  <c:v>3.9599999999999996E-2</c:v>
                </c:pt>
                <c:pt idx="389">
                  <c:v>3.9599999999999996E-2</c:v>
                </c:pt>
                <c:pt idx="390">
                  <c:v>4.3200000000000002E-2</c:v>
                </c:pt>
                <c:pt idx="391">
                  <c:v>4.200000000000001E-2</c:v>
                </c:pt>
                <c:pt idx="392">
                  <c:v>4.200000000000001E-2</c:v>
                </c:pt>
                <c:pt idx="393">
                  <c:v>4.0799999999999996E-2</c:v>
                </c:pt>
                <c:pt idx="394">
                  <c:v>4.200000000000001E-2</c:v>
                </c:pt>
                <c:pt idx="395">
                  <c:v>4.200000000000001E-2</c:v>
                </c:pt>
                <c:pt idx="396">
                  <c:v>4.3200000000000002E-2</c:v>
                </c:pt>
                <c:pt idx="397">
                  <c:v>4.200000000000001E-2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4.200000000000001E-2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4.200000000000001E-2</c:v>
                </c:pt>
                <c:pt idx="446">
                  <c:v>3.8400000000000004E-2</c:v>
                </c:pt>
                <c:pt idx="447">
                  <c:v>4.4400000000000002E-2</c:v>
                </c:pt>
                <c:pt idx="448">
                  <c:v>4.200000000000001E-2</c:v>
                </c:pt>
                <c:pt idx="449">
                  <c:v>3.8400000000000004E-2</c:v>
                </c:pt>
                <c:pt idx="450">
                  <c:v>4.5600000000000002E-2</c:v>
                </c:pt>
                <c:pt idx="451">
                  <c:v>4.200000000000001E-2</c:v>
                </c:pt>
                <c:pt idx="452">
                  <c:v>4.200000000000001E-2</c:v>
                </c:pt>
                <c:pt idx="453">
                  <c:v>4.0799999999999996E-2</c:v>
                </c:pt>
                <c:pt idx="454">
                  <c:v>4.0799999999999996E-2</c:v>
                </c:pt>
                <c:pt idx="455">
                  <c:v>4.200000000000001E-2</c:v>
                </c:pt>
                <c:pt idx="456">
                  <c:v>4.200000000000001E-2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4.200000000000001E-2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4.200000000000001E-2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6.7199999999999982E-2</c:v>
                </c:pt>
                <c:pt idx="518">
                  <c:v>6.2399999999999997E-2</c:v>
                </c:pt>
                <c:pt idx="519">
                  <c:v>6.7199999999999982E-2</c:v>
                </c:pt>
                <c:pt idx="520">
                  <c:v>6.4799999999999996E-2</c:v>
                </c:pt>
                <c:pt idx="521">
                  <c:v>6.6000000000000003E-2</c:v>
                </c:pt>
                <c:pt idx="522">
                  <c:v>7.6800000000000007E-2</c:v>
                </c:pt>
                <c:pt idx="523">
                  <c:v>7.0800000000000002E-2</c:v>
                </c:pt>
                <c:pt idx="524">
                  <c:v>6.8400000000000002E-2</c:v>
                </c:pt>
                <c:pt idx="525">
                  <c:v>6.7199999999999982E-2</c:v>
                </c:pt>
                <c:pt idx="526">
                  <c:v>6.6000000000000003E-2</c:v>
                </c:pt>
                <c:pt idx="527">
                  <c:v>6.9599999999999995E-2</c:v>
                </c:pt>
                <c:pt idx="528">
                  <c:v>6.3600000000000004E-2</c:v>
                </c:pt>
                <c:pt idx="529">
                  <c:v>6.1200000000000004E-2</c:v>
                </c:pt>
                <c:pt idx="530">
                  <c:v>5.5199999999999999E-2</c:v>
                </c:pt>
                <c:pt idx="531">
                  <c:v>6.7199999999999982E-2</c:v>
                </c:pt>
                <c:pt idx="532">
                  <c:v>5.7599999999999998E-2</c:v>
                </c:pt>
                <c:pt idx="533">
                  <c:v>5.6400000000000006E-2</c:v>
                </c:pt>
                <c:pt idx="534">
                  <c:v>6.7199999999999982E-2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6.7199999999999982E-2</c:v>
                </c:pt>
                <c:pt idx="556">
                  <c:v>6.8400000000000002E-2</c:v>
                </c:pt>
                <c:pt idx="557">
                  <c:v>6.9599999999999995E-2</c:v>
                </c:pt>
                <c:pt idx="558">
                  <c:v>6.6000000000000003E-2</c:v>
                </c:pt>
                <c:pt idx="559">
                  <c:v>7.3199999999999987E-2</c:v>
                </c:pt>
                <c:pt idx="560">
                  <c:v>7.4399999999999994E-2</c:v>
                </c:pt>
                <c:pt idx="561">
                  <c:v>6.6000000000000003E-2</c:v>
                </c:pt>
                <c:pt idx="562">
                  <c:v>7.5600000000000001E-2</c:v>
                </c:pt>
                <c:pt idx="563">
                  <c:v>6.7199999999999982E-2</c:v>
                </c:pt>
                <c:pt idx="564">
                  <c:v>7.2000000000000008E-2</c:v>
                </c:pt>
                <c:pt idx="565">
                  <c:v>7.3199999999999987E-2</c:v>
                </c:pt>
                <c:pt idx="566">
                  <c:v>6.6000000000000003E-2</c:v>
                </c:pt>
                <c:pt idx="567">
                  <c:v>7.0800000000000002E-2</c:v>
                </c:pt>
                <c:pt idx="568">
                  <c:v>8.1599999999999992E-2</c:v>
                </c:pt>
                <c:pt idx="569">
                  <c:v>8.1599999999999992E-2</c:v>
                </c:pt>
                <c:pt idx="570">
                  <c:v>7.3199999999999987E-2</c:v>
                </c:pt>
                <c:pt idx="571">
                  <c:v>8.6400000000000005E-2</c:v>
                </c:pt>
                <c:pt idx="572">
                  <c:v>7.8000000000000014E-2</c:v>
                </c:pt>
                <c:pt idx="573">
                  <c:v>8.5199999999999998E-2</c:v>
                </c:pt>
                <c:pt idx="574">
                  <c:v>8.4000000000000019E-2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8.4000000000000019E-2</c:v>
                </c:pt>
                <c:pt idx="583">
                  <c:v>8.1599999999999992E-2</c:v>
                </c:pt>
                <c:pt idx="584">
                  <c:v>7.8000000000000014E-2</c:v>
                </c:pt>
                <c:pt idx="585">
                  <c:v>8.7599999999999997E-2</c:v>
                </c:pt>
                <c:pt idx="586">
                  <c:v>8.6400000000000005E-2</c:v>
                </c:pt>
                <c:pt idx="587">
                  <c:v>7.3199999999999987E-2</c:v>
                </c:pt>
                <c:pt idx="588">
                  <c:v>0.09</c:v>
                </c:pt>
                <c:pt idx="589">
                  <c:v>7.8000000000000014E-2</c:v>
                </c:pt>
                <c:pt idx="590">
                  <c:v>7.3200000000000001E-2</c:v>
                </c:pt>
                <c:pt idx="591">
                  <c:v>8.5199999999999998E-2</c:v>
                </c:pt>
                <c:pt idx="592">
                  <c:v>7.6800000000000007E-2</c:v>
                </c:pt>
                <c:pt idx="593">
                  <c:v>7.0800000000000002E-2</c:v>
                </c:pt>
                <c:pt idx="594">
                  <c:v>8.7599999999999997E-2</c:v>
                </c:pt>
                <c:pt idx="595">
                  <c:v>7.8000000000000014E-2</c:v>
                </c:pt>
                <c:pt idx="596">
                  <c:v>8.2799999999999999E-2</c:v>
                </c:pt>
                <c:pt idx="597">
                  <c:v>7.6800000000000007E-2</c:v>
                </c:pt>
                <c:pt idx="598">
                  <c:v>7.3199999999999987E-2</c:v>
                </c:pt>
                <c:pt idx="599">
                  <c:v>7.9199999999999993E-2</c:v>
                </c:pt>
                <c:pt idx="600">
                  <c:v>7.5600000000000001E-2</c:v>
                </c:pt>
                <c:pt idx="601">
                  <c:v>7.0800000000000002E-2</c:v>
                </c:pt>
                <c:pt idx="602">
                  <c:v>6.8400000000000002E-2</c:v>
                </c:pt>
                <c:pt idx="603">
                  <c:v>7.8000000000000014E-2</c:v>
                </c:pt>
                <c:pt idx="604">
                  <c:v>7.3199999999999987E-2</c:v>
                </c:pt>
                <c:pt idx="605">
                  <c:v>8.0399999999999999E-2</c:v>
                </c:pt>
                <c:pt idx="606">
                  <c:v>7.4399999999999994E-2</c:v>
                </c:pt>
                <c:pt idx="607">
                  <c:v>7.0800000000000002E-2</c:v>
                </c:pt>
                <c:pt idx="608">
                  <c:v>8.0399999999999999E-2</c:v>
                </c:pt>
                <c:pt idx="609">
                  <c:v>7.3199999999999987E-2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8.4000000000000019E-2</c:v>
                </c:pt>
                <c:pt idx="621">
                  <c:v>7.8000000000000014E-2</c:v>
                </c:pt>
                <c:pt idx="622">
                  <c:v>8.7599999999999997E-2</c:v>
                </c:pt>
                <c:pt idx="623">
                  <c:v>8.5199999999999998E-2</c:v>
                </c:pt>
                <c:pt idx="624">
                  <c:v>8.1599999999999992E-2</c:v>
                </c:pt>
                <c:pt idx="625">
                  <c:v>9.4800000000000009E-2</c:v>
                </c:pt>
                <c:pt idx="626">
                  <c:v>7.8000000000000014E-2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0.14039999999999997</c:v>
                </c:pt>
                <c:pt idx="659">
                  <c:v>0.1356</c:v>
                </c:pt>
                <c:pt idx="660">
                  <c:v>0.12</c:v>
                </c:pt>
                <c:pt idx="661">
                  <c:v>0.12959999999999999</c:v>
                </c:pt>
                <c:pt idx="662">
                  <c:v>0.1236</c:v>
                </c:pt>
                <c:pt idx="663">
                  <c:v>0.14879999999999999</c:v>
                </c:pt>
                <c:pt idx="664">
                  <c:v>0.13439999999999996</c:v>
                </c:pt>
                <c:pt idx="665">
                  <c:v>0.1212</c:v>
                </c:pt>
                <c:pt idx="666">
                  <c:v>0.14400000000000002</c:v>
                </c:pt>
                <c:pt idx="667">
                  <c:v>0.1368</c:v>
                </c:pt>
                <c:pt idx="668">
                  <c:v>0.13439999999999996</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8.4000000000000019E-2</c:v>
                </c:pt>
                <c:pt idx="715">
                  <c:v>7.9199999999999993E-2</c:v>
                </c:pt>
                <c:pt idx="716">
                  <c:v>7.5600000000000001E-2</c:v>
                </c:pt>
                <c:pt idx="717">
                  <c:v>7.8000000000000014E-2</c:v>
                </c:pt>
                <c:pt idx="718">
                  <c:v>8.2799999999999999E-2</c:v>
                </c:pt>
                <c:pt idx="719">
                  <c:v>7.0800000000000002E-2</c:v>
                </c:pt>
                <c:pt idx="720">
                  <c:v>8.4000000000000019E-2</c:v>
                </c:pt>
                <c:pt idx="721">
                  <c:v>7.6800000000000007E-2</c:v>
                </c:pt>
                <c:pt idx="722">
                  <c:v>7.0800000000000002E-2</c:v>
                </c:pt>
                <c:pt idx="723">
                  <c:v>7.9199999999999993E-2</c:v>
                </c:pt>
                <c:pt idx="724">
                  <c:v>7.8000000000000014E-2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8.4000000000000019E-2</c:v>
                </c:pt>
                <c:pt idx="737">
                  <c:v>9.3599999999999989E-2</c:v>
                </c:pt>
                <c:pt idx="738">
                  <c:v>9.1200000000000003E-2</c:v>
                </c:pt>
                <c:pt idx="739">
                  <c:v>8.5199999999999998E-2</c:v>
                </c:pt>
                <c:pt idx="740">
                  <c:v>9.9599999999999994E-2</c:v>
                </c:pt>
                <c:pt idx="741">
                  <c:v>9.1200000000000003E-2</c:v>
                </c:pt>
                <c:pt idx="742">
                  <c:v>9.1200000000000003E-2</c:v>
                </c:pt>
                <c:pt idx="743">
                  <c:v>8.4000000000000019E-2</c:v>
                </c:pt>
                <c:pt idx="744">
                  <c:v>0.09</c:v>
                </c:pt>
                <c:pt idx="745">
                  <c:v>9.6000000000000002E-2</c:v>
                </c:pt>
                <c:pt idx="746">
                  <c:v>8.2799999999999999E-2</c:v>
                </c:pt>
                <c:pt idx="747">
                  <c:v>9.4800000000000009E-2</c:v>
                </c:pt>
                <c:pt idx="748">
                  <c:v>8.4000000000000019E-2</c:v>
                </c:pt>
                <c:pt idx="749">
                  <c:v>9.6000000000000002E-2</c:v>
                </c:pt>
                <c:pt idx="750">
                  <c:v>8.4000000000000019E-2</c:v>
                </c:pt>
                <c:pt idx="751">
                  <c:v>8.1599999999999992E-2</c:v>
                </c:pt>
                <c:pt idx="752">
                  <c:v>7.9199999999999993E-2</c:v>
                </c:pt>
                <c:pt idx="753">
                  <c:v>7.8000000000000014E-2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7.8000000000000014E-2</c:v>
                </c:pt>
                <c:pt idx="779">
                  <c:v>7.2000000000000008E-2</c:v>
                </c:pt>
                <c:pt idx="780">
                  <c:v>8.1599999999999992E-2</c:v>
                </c:pt>
                <c:pt idx="781">
                  <c:v>7.3199999999999987E-2</c:v>
                </c:pt>
                <c:pt idx="782">
                  <c:v>7.0800000000000002E-2</c:v>
                </c:pt>
                <c:pt idx="783">
                  <c:v>8.0399999999999999E-2</c:v>
                </c:pt>
                <c:pt idx="784">
                  <c:v>7.8000000000000014E-2</c:v>
                </c:pt>
                <c:pt idx="785">
                  <c:v>7.3199999999999987E-2</c:v>
                </c:pt>
                <c:pt idx="786">
                  <c:v>8.0399999999999999E-2</c:v>
                </c:pt>
                <c:pt idx="787">
                  <c:v>7.5600000000000001E-2</c:v>
                </c:pt>
                <c:pt idx="788">
                  <c:v>7.2000000000000008E-2</c:v>
                </c:pt>
                <c:pt idx="789">
                  <c:v>6.9599999999999995E-2</c:v>
                </c:pt>
                <c:pt idx="790">
                  <c:v>6.8400000000000002E-2</c:v>
                </c:pt>
                <c:pt idx="791">
                  <c:v>7.3199999999999987E-2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6.7199999999999982E-2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7.3199999999999987E-2</c:v>
                </c:pt>
                <c:pt idx="811">
                  <c:v>7.2000000000000008E-2</c:v>
                </c:pt>
                <c:pt idx="812">
                  <c:v>7.9199999999999993E-2</c:v>
                </c:pt>
                <c:pt idx="813">
                  <c:v>7.3199999999999987E-2</c:v>
                </c:pt>
                <c:pt idx="814">
                  <c:v>7.9199999999999993E-2</c:v>
                </c:pt>
                <c:pt idx="815">
                  <c:v>7.6800000000000007E-2</c:v>
                </c:pt>
                <c:pt idx="816">
                  <c:v>7.9199999999999993E-2</c:v>
                </c:pt>
                <c:pt idx="817">
                  <c:v>8.4000000000000019E-2</c:v>
                </c:pt>
                <c:pt idx="818">
                  <c:v>7.0800000000000002E-2</c:v>
                </c:pt>
                <c:pt idx="819">
                  <c:v>7.6800000000000007E-2</c:v>
                </c:pt>
                <c:pt idx="820">
                  <c:v>6.9599999999999995E-2</c:v>
                </c:pt>
                <c:pt idx="821">
                  <c:v>7.8000000000000014E-2</c:v>
                </c:pt>
                <c:pt idx="822">
                  <c:v>6.4799999999999996E-2</c:v>
                </c:pt>
                <c:pt idx="823">
                  <c:v>6.7199999999999982E-2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6.7199999999999982E-2</c:v>
                </c:pt>
                <c:pt idx="841">
                  <c:v>6.7199999999999982E-2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6.7199999999999982E-2</c:v>
                </c:pt>
                <c:pt idx="876">
                  <c:v>6.6000000000000003E-2</c:v>
                </c:pt>
                <c:pt idx="877">
                  <c:v>6.8400000000000002E-2</c:v>
                </c:pt>
                <c:pt idx="878">
                  <c:v>6.1200000000000004E-2</c:v>
                </c:pt>
                <c:pt idx="879">
                  <c:v>6.4799999999999996E-2</c:v>
                </c:pt>
                <c:pt idx="880">
                  <c:v>5.6400000000000006E-2</c:v>
                </c:pt>
                <c:pt idx="881">
                  <c:v>6.7199999999999982E-2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4.200000000000001E-2</c:v>
                </c:pt>
                <c:pt idx="939">
                  <c:v>4.9200000000000008E-2</c:v>
                </c:pt>
                <c:pt idx="940">
                  <c:v>4.6799999999999994E-2</c:v>
                </c:pt>
                <c:pt idx="941">
                  <c:v>4.8000000000000001E-2</c:v>
                </c:pt>
                <c:pt idx="942">
                  <c:v>4.3200000000000002E-2</c:v>
                </c:pt>
                <c:pt idx="943">
                  <c:v>4.0799999999999996E-2</c:v>
                </c:pt>
                <c:pt idx="944">
                  <c:v>4.8000000000000001E-2</c:v>
                </c:pt>
                <c:pt idx="945">
                  <c:v>4.200000000000001E-2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4.200000000000001E-2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4.200000000000001E-2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4.200000000000001E-2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numCache>
            </c:numRef>
          </c:xVal>
          <c:yVal>
            <c:numRef>
              <c:f>'MRP ERP WP'!$O$16:$O$1108</c:f>
              <c:numCache>
                <c:formatCode>0.00%</c:formatCode>
                <c:ptCount val="1093"/>
                <c:pt idx="0">
                  <c:v>8.0074444282409535E-2</c:v>
                </c:pt>
                <c:pt idx="1">
                  <c:v>5.853420750775909E-2</c:v>
                </c:pt>
                <c:pt idx="2">
                  <c:v>0.16709110187303744</c:v>
                </c:pt>
                <c:pt idx="3">
                  <c:v>0.24894182966507422</c:v>
                </c:pt>
                <c:pt idx="4">
                  <c:v>0.24483109376898726</c:v>
                </c:pt>
                <c:pt idx="5">
                  <c:v>0.29733527965494144</c:v>
                </c:pt>
                <c:pt idx="6">
                  <c:v>0.23184214715621376</c:v>
                </c:pt>
                <c:pt idx="7">
                  <c:v>0.25488540033942164</c:v>
                </c:pt>
                <c:pt idx="8">
                  <c:v>0.28602415930611119</c:v>
                </c:pt>
                <c:pt idx="9">
                  <c:v>0.3139336387776881</c:v>
                </c:pt>
                <c:pt idx="10">
                  <c:v>0.28252565882158087</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0.35402792188365872</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-0.26831912078039188</c:v>
                </c:pt>
                <c:pt idx="44">
                  <c:v>-0.32747190821853056</c:v>
                </c:pt>
                <c:pt idx="45">
                  <c:v>-0.39062722551965029</c:v>
                </c:pt>
                <c:pt idx="46">
                  <c:v>-0.29850688643044765</c:v>
                </c:pt>
                <c:pt idx="47">
                  <c:v>-0.20030959006307592</c:v>
                </c:pt>
                <c:pt idx="48">
                  <c:v>-0.28255006127662174</c:v>
                </c:pt>
                <c:pt idx="49">
                  <c:v>-0.29222144407623685</c:v>
                </c:pt>
                <c:pt idx="50">
                  <c:v>-0.22232484877135394</c:v>
                </c:pt>
                <c:pt idx="51">
                  <c:v>-0.33717136651802387</c:v>
                </c:pt>
                <c:pt idx="52">
                  <c:v>-0.39489964087559326</c:v>
                </c:pt>
                <c:pt idx="53">
                  <c:v>-0.46984694750363987</c:v>
                </c:pt>
                <c:pt idx="54">
                  <c:v>-0.26808200447033648</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-0.37575883830972001</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0.32659681868828294</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8.9886709025017331E-2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3.1953745359200786E-2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0.27355201099138238</c:v>
                </c:pt>
                <c:pt idx="384">
                  <c:v>0.39411644308112559</c:v>
                </c:pt>
                <c:pt idx="385">
                  <c:v>0.34270918164620012</c:v>
                </c:pt>
                <c:pt idx="386">
                  <c:v>0.36930242076911035</c:v>
                </c:pt>
                <c:pt idx="387">
                  <c:v>0.32255792564935049</c:v>
                </c:pt>
                <c:pt idx="388">
                  <c:v>0.33353839050058476</c:v>
                </c:pt>
                <c:pt idx="389">
                  <c:v>0.33730336062729938</c:v>
                </c:pt>
                <c:pt idx="390">
                  <c:v>0.29338349375806894</c:v>
                </c:pt>
                <c:pt idx="391">
                  <c:v>0.28358280656664503</c:v>
                </c:pt>
                <c:pt idx="392">
                  <c:v>0.24736896810108602</c:v>
                </c:pt>
                <c:pt idx="393">
                  <c:v>0.13265959700429314</c:v>
                </c:pt>
                <c:pt idx="394">
                  <c:v>0.11523454707492478</c:v>
                </c:pt>
                <c:pt idx="395">
                  <c:v>0.1042068355217021</c:v>
                </c:pt>
                <c:pt idx="396">
                  <c:v>7.6568462381524052E-2</c:v>
                </c:pt>
                <c:pt idx="397">
                  <c:v>-6.1055704617358486E-3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5.9935175802729362E-2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2.7159938647167065E-2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9.3583335281050617E-2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3.1426549581813901E-3</c:v>
                </c:pt>
                <c:pt idx="556">
                  <c:v>-4.6003763137382622E-2</c:v>
                </c:pt>
                <c:pt idx="557">
                  <c:v>-8.3298952435268414E-2</c:v>
                </c:pt>
                <c:pt idx="558">
                  <c:v>-6.4209419361133502E-2</c:v>
                </c:pt>
                <c:pt idx="559">
                  <c:v>-3.5616941410362035E-2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7.6875433756279865E-2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-8.0462283052260941E-2</c:v>
                </c:pt>
                <c:pt idx="604">
                  <c:v>-6.3597726910985808E-2</c:v>
                </c:pt>
                <c:pt idx="605">
                  <c:v>-7.9475671416251198E-2</c:v>
                </c:pt>
                <c:pt idx="606">
                  <c:v>-6.8587503192773819E-2</c:v>
                </c:pt>
                <c:pt idx="607">
                  <c:v>-7.2668547179645576E-2</c:v>
                </c:pt>
                <c:pt idx="608">
                  <c:v>-9.766748964952518E-2</c:v>
                </c:pt>
                <c:pt idx="609">
                  <c:v>-0.11365146971433454</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4.090384241431605E-2</c:v>
                </c:pt>
                <c:pt idx="621">
                  <c:v>4.1512929431500034E-2</c:v>
                </c:pt>
                <c:pt idx="622">
                  <c:v>-2.4237458912514595E-2</c:v>
                </c:pt>
                <c:pt idx="623">
                  <c:v>-3.2248433771940255E-2</c:v>
                </c:pt>
                <c:pt idx="624">
                  <c:v>-1.6002563845032611E-2</c:v>
                </c:pt>
                <c:pt idx="625">
                  <c:v>8.5768006128402727E-2</c:v>
                </c:pt>
                <c:pt idx="626">
                  <c:v>8.8348650741737977E-2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-0.13458441520703424</c:v>
                </c:pt>
                <c:pt idx="659">
                  <c:v>-0.18905163267517805</c:v>
                </c:pt>
                <c:pt idx="660">
                  <c:v>-0.16896192088955819</c:v>
                </c:pt>
                <c:pt idx="661">
                  <c:v>-0.15007643469620674</c:v>
                </c:pt>
                <c:pt idx="662">
                  <c:v>-0.21464757420551289</c:v>
                </c:pt>
                <c:pt idx="663">
                  <c:v>-0.2793520450188885</c:v>
                </c:pt>
                <c:pt idx="664">
                  <c:v>-0.20776901953068461</c:v>
                </c:pt>
                <c:pt idx="665">
                  <c:v>-0.22848818667932183</c:v>
                </c:pt>
                <c:pt idx="666">
                  <c:v>-0.25910401920009263</c:v>
                </c:pt>
                <c:pt idx="667">
                  <c:v>-0.26947654690982037</c:v>
                </c:pt>
                <c:pt idx="668">
                  <c:v>-0.10222710358131437</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0.21362604739211508</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0.10268065553543099</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0.12130849349847056</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6.2496299490873597E-2</c:v>
                </c:pt>
                <c:pt idx="785">
                  <c:v>2.5529490325355952E-2</c:v>
                </c:pt>
                <c:pt idx="786">
                  <c:v>5.3909810227948746E-2</c:v>
                </c:pt>
                <c:pt idx="787">
                  <c:v>5.2532124466149077E-2</c:v>
                </c:pt>
                <c:pt idx="788">
                  <c:v>7.4230887121156663E-3</c:v>
                </c:pt>
                <c:pt idx="789">
                  <c:v>4.1109123521731683E-2</c:v>
                </c:pt>
                <c:pt idx="790">
                  <c:v>3.1458501533508723E-2</c:v>
                </c:pt>
                <c:pt idx="791">
                  <c:v>0.11192418092716644</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8.5113626001906251E-2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-5.9106979691114614E-2</c:v>
                </c:pt>
                <c:pt idx="811">
                  <c:v>-2.0438482555204363E-2</c:v>
                </c:pt>
                <c:pt idx="812">
                  <c:v>-2.4497678331215023E-2</c:v>
                </c:pt>
                <c:pt idx="813">
                  <c:v>-3.6354172339111035E-2</c:v>
                </c:pt>
                <c:pt idx="814">
                  <c:v>-4.052569924242283E-2</c:v>
                </c:pt>
                <c:pt idx="815">
                  <c:v>-6.6334016951033387E-2</c:v>
                </c:pt>
                <c:pt idx="816">
                  <c:v>-6.6038376051683445E-2</c:v>
                </c:pt>
                <c:pt idx="817">
                  <c:v>-7.8775135388222395E-2</c:v>
                </c:pt>
                <c:pt idx="818">
                  <c:v>2.7210549199680745E-3</c:v>
                </c:pt>
                <c:pt idx="819">
                  <c:v>7.8772904684344586E-2</c:v>
                </c:pt>
                <c:pt idx="820">
                  <c:v>0.10491298191357112</c:v>
                </c:pt>
                <c:pt idx="821">
                  <c:v>0.12378423965969426</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3.7723155802512787E-2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-0.27237363624797073</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2.7568854219980371E-2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-0.42286329860570171</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numCache>
            </c:numRef>
          </c:yVal>
          <c:smooth val="0"/>
          <c:extLst>
            <c:ext xmlns:c16="http://schemas.microsoft.com/office/drawing/2014/chart" uri="{C3380CC4-5D6E-409C-BE32-E72D297353CC}">
              <c16:uniqueId val="{00000000-0B88-4107-8781-01563DC72FE6}"/>
            </c:ext>
          </c:extLst>
        </c:ser>
        <c:dLbls>
          <c:showLegendKey val="0"/>
          <c:showVal val="0"/>
          <c:showCatName val="0"/>
          <c:showSerName val="0"/>
          <c:showPercent val="0"/>
          <c:showBubbleSize val="0"/>
        </c:dLbls>
        <c:axId val="784047144"/>
        <c:axId val="784049888"/>
      </c:scatterChart>
      <c:valAx>
        <c:axId val="784047144"/>
        <c:scaling>
          <c:orientation val="minMax"/>
        </c:scaling>
        <c:delete val="0"/>
        <c:axPos val="b"/>
        <c:title>
          <c:tx>
            <c:rich>
              <a:bodyPr/>
              <a:lstStyle/>
              <a:p>
                <a:pPr>
                  <a:defRPr/>
                </a:pPr>
                <a:r>
                  <a:rPr lang="en-US"/>
                  <a:t>Risk-Free rate</a:t>
                </a:r>
              </a:p>
            </c:rich>
          </c:tx>
          <c:overlay val="0"/>
        </c:title>
        <c:numFmt formatCode="0.00%" sourceLinked="1"/>
        <c:majorTickMark val="out"/>
        <c:minorTickMark val="none"/>
        <c:tickLblPos val="nextTo"/>
        <c:crossAx val="784049888"/>
        <c:crosses val="autoZero"/>
        <c:crossBetween val="midCat"/>
      </c:valAx>
      <c:valAx>
        <c:axId val="784049888"/>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47144"/>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Ref>
              <c:f>'MRP ERP WP'!$N$40:$N$1108</c:f>
              <c:numCache>
                <c:formatCode>0.00%</c:formatCode>
                <c:ptCount val="1069"/>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numCache>
            </c:numRef>
          </c:xVal>
          <c:yVal>
            <c:numRef>
              <c:f>'MRP ERP WP'!$P$40:$P$1108</c:f>
              <c:numCache>
                <c:formatCode>0.00%</c:formatCode>
                <c:ptCount val="1069"/>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numCache>
            </c:numRef>
          </c:yVal>
          <c:smooth val="0"/>
          <c:extLst>
            <c:ext xmlns:c16="http://schemas.microsoft.com/office/drawing/2014/chart" uri="{C3380CC4-5D6E-409C-BE32-E72D297353CC}">
              <c16:uniqueId val="{00000000-44CC-4237-A556-8A37F6C39DE5}"/>
            </c:ext>
          </c:extLst>
        </c:ser>
        <c:dLbls>
          <c:showLegendKey val="0"/>
          <c:showVal val="0"/>
          <c:showCatName val="0"/>
          <c:showSerName val="0"/>
          <c:showPercent val="0"/>
          <c:showBubbleSize val="0"/>
        </c:dLbls>
        <c:axId val="784062040"/>
        <c:axId val="784059296"/>
      </c:scatterChart>
      <c:valAx>
        <c:axId val="784062040"/>
        <c:scaling>
          <c:orientation val="minMax"/>
        </c:scaling>
        <c:delete val="0"/>
        <c:axPos val="b"/>
        <c:title>
          <c:tx>
            <c:rich>
              <a:bodyPr/>
              <a:lstStyle/>
              <a:p>
                <a:pPr>
                  <a:defRPr/>
                </a:pPr>
                <a:r>
                  <a:rPr lang="en-US"/>
                  <a:t>Aaa / Aa Corporate Bond Yield</a:t>
                </a:r>
              </a:p>
            </c:rich>
          </c:tx>
          <c:overlay val="0"/>
        </c:title>
        <c:numFmt formatCode="0.00%" sourceLinked="1"/>
        <c:majorTickMark val="out"/>
        <c:minorTickMark val="none"/>
        <c:tickLblPos val="nextTo"/>
        <c:crossAx val="784059296"/>
        <c:crosses val="autoZero"/>
        <c:crossBetween val="midCat"/>
      </c:valAx>
      <c:valAx>
        <c:axId val="784059296"/>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62040"/>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Ref>
              <c:f>'MRP ERP WP'!$R$40:$R$1108</c:f>
              <c:numCache>
                <c:formatCode>0.00%</c:formatCode>
                <c:ptCount val="1069"/>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numCache>
            </c:numRef>
          </c:xVal>
          <c:yVal>
            <c:numRef>
              <c:f>'MRP ERP WP'!$S$40:$S$1108</c:f>
              <c:numCache>
                <c:formatCode>0.00%</c:formatCode>
                <c:ptCount val="1069"/>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numCache>
            </c:numRef>
          </c:yVal>
          <c:smooth val="0"/>
          <c:extLst>
            <c:ext xmlns:c16="http://schemas.microsoft.com/office/drawing/2014/chart" uri="{C3380CC4-5D6E-409C-BE32-E72D297353CC}">
              <c16:uniqueId val="{00000000-E859-454B-8D35-5C78F967CD27}"/>
            </c:ext>
          </c:extLst>
        </c:ser>
        <c:dLbls>
          <c:showLegendKey val="0"/>
          <c:showVal val="0"/>
          <c:showCatName val="0"/>
          <c:showSerName val="0"/>
          <c:showPercent val="0"/>
          <c:showBubbleSize val="0"/>
        </c:dLbls>
        <c:axId val="784058904"/>
        <c:axId val="784056552"/>
      </c:scatterChart>
      <c:valAx>
        <c:axId val="784058904"/>
        <c:scaling>
          <c:orientation val="minMax"/>
        </c:scaling>
        <c:delete val="0"/>
        <c:axPos val="b"/>
        <c:title>
          <c:tx>
            <c:rich>
              <a:bodyPr/>
              <a:lstStyle/>
              <a:p>
                <a:pPr>
                  <a:defRPr/>
                </a:pPr>
                <a:r>
                  <a:rPr lang="en-US"/>
                  <a:t>A Rated Public Utility Bond</a:t>
                </a:r>
              </a:p>
            </c:rich>
          </c:tx>
          <c:overlay val="0"/>
        </c:title>
        <c:numFmt formatCode="0.00%" sourceLinked="1"/>
        <c:majorTickMark val="out"/>
        <c:minorTickMark val="none"/>
        <c:tickLblPos val="nextTo"/>
        <c:crossAx val="784056552"/>
        <c:crosses val="autoZero"/>
        <c:crossBetween val="midCat"/>
      </c:valAx>
      <c:valAx>
        <c:axId val="784056552"/>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58904"/>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MRP SBBI</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5.20172505229511E-2"/>
                  <c:y val="-0.22799879996780401"/>
                </c:manualLayout>
              </c:layout>
              <c:numFmt formatCode="General" sourceLinked="0"/>
            </c:trendlineLbl>
          </c:trendline>
          <c:xVal>
            <c:numRef>
              <c:f>'MRP ERP WP'!$M$16:$M$1120</c:f>
              <c:numCache>
                <c:formatCode>0.00%</c:formatCode>
                <c:ptCount val="1105"/>
                <c:pt idx="0">
                  <c:v>3.6000000000000004E-2</c:v>
                </c:pt>
                <c:pt idx="1">
                  <c:v>3.6000000000000004E-2</c:v>
                </c:pt>
                <c:pt idx="2">
                  <c:v>3.2399999999999998E-2</c:v>
                </c:pt>
                <c:pt idx="3">
                  <c:v>3.4799999999999998E-2</c:v>
                </c:pt>
                <c:pt idx="4">
                  <c:v>3.2399999999999998E-2</c:v>
                </c:pt>
                <c:pt idx="5">
                  <c:v>3.3599999999999991E-2</c:v>
                </c:pt>
                <c:pt idx="6">
                  <c:v>3.2399999999999998E-2</c:v>
                </c:pt>
                <c:pt idx="7">
                  <c:v>3.2399999999999998E-2</c:v>
                </c:pt>
                <c:pt idx="8">
                  <c:v>3.4799999999999998E-2</c:v>
                </c:pt>
                <c:pt idx="9">
                  <c:v>3.2399999999999998E-2</c:v>
                </c:pt>
                <c:pt idx="10">
                  <c:v>3.3599999999999991E-2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3.3599999999999991E-2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3.3599999999999991E-2</c:v>
                </c:pt>
                <c:pt idx="44">
                  <c:v>3.1199999999999999E-2</c:v>
                </c:pt>
                <c:pt idx="45">
                  <c:v>3.4799999999999998E-2</c:v>
                </c:pt>
                <c:pt idx="46">
                  <c:v>3.2399999999999998E-2</c:v>
                </c:pt>
                <c:pt idx="47">
                  <c:v>3.1199999999999999E-2</c:v>
                </c:pt>
                <c:pt idx="48">
                  <c:v>3.3599999999999991E-2</c:v>
                </c:pt>
                <c:pt idx="49">
                  <c:v>3.3599999999999991E-2</c:v>
                </c:pt>
                <c:pt idx="50">
                  <c:v>3.1199999999999999E-2</c:v>
                </c:pt>
                <c:pt idx="51">
                  <c:v>3.4799999999999998E-2</c:v>
                </c:pt>
                <c:pt idx="52">
                  <c:v>3.2399999999999998E-2</c:v>
                </c:pt>
                <c:pt idx="53">
                  <c:v>3.1199999999999999E-2</c:v>
                </c:pt>
                <c:pt idx="54">
                  <c:v>3.3599999999999991E-2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3.3599999999999991E-2</c:v>
                </c:pt>
                <c:pt idx="66">
                  <c:v>3.3599999999999991E-2</c:v>
                </c:pt>
                <c:pt idx="67">
                  <c:v>3.3599999999999991E-2</c:v>
                </c:pt>
                <c:pt idx="68">
                  <c:v>3.3599999999999991E-2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3.3599999999999991E-2</c:v>
                </c:pt>
                <c:pt idx="78">
                  <c:v>0.03</c:v>
                </c:pt>
                <c:pt idx="79">
                  <c:v>3.1199999999999999E-2</c:v>
                </c:pt>
                <c:pt idx="80">
                  <c:v>3.1199999999999999E-2</c:v>
                </c:pt>
                <c:pt idx="81">
                  <c:v>0.03</c:v>
                </c:pt>
                <c:pt idx="82">
                  <c:v>3.1199999999999999E-2</c:v>
                </c:pt>
                <c:pt idx="83">
                  <c:v>0.03</c:v>
                </c:pt>
                <c:pt idx="84">
                  <c:v>3.3599999999999991E-2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1.6799999999999995E-2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3.3599999999999991E-2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3.3599999999999991E-2</c:v>
                </c:pt>
                <c:pt idx="384">
                  <c:v>3.9599999999999996E-2</c:v>
                </c:pt>
                <c:pt idx="385">
                  <c:v>3.7199999999999997E-2</c:v>
                </c:pt>
                <c:pt idx="386">
                  <c:v>3.7199999999999997E-2</c:v>
                </c:pt>
                <c:pt idx="387">
                  <c:v>4.200000000000001E-2</c:v>
                </c:pt>
                <c:pt idx="388">
                  <c:v>3.9599999999999996E-2</c:v>
                </c:pt>
                <c:pt idx="389">
                  <c:v>3.9599999999999996E-2</c:v>
                </c:pt>
                <c:pt idx="390">
                  <c:v>4.3200000000000002E-2</c:v>
                </c:pt>
                <c:pt idx="391">
                  <c:v>4.200000000000001E-2</c:v>
                </c:pt>
                <c:pt idx="392">
                  <c:v>4.200000000000001E-2</c:v>
                </c:pt>
                <c:pt idx="393">
                  <c:v>4.0799999999999996E-2</c:v>
                </c:pt>
                <c:pt idx="394">
                  <c:v>4.200000000000001E-2</c:v>
                </c:pt>
                <c:pt idx="395">
                  <c:v>4.200000000000001E-2</c:v>
                </c:pt>
                <c:pt idx="396">
                  <c:v>4.3200000000000002E-2</c:v>
                </c:pt>
                <c:pt idx="397">
                  <c:v>4.200000000000001E-2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4.200000000000001E-2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4.200000000000001E-2</c:v>
                </c:pt>
                <c:pt idx="446">
                  <c:v>3.8400000000000004E-2</c:v>
                </c:pt>
                <c:pt idx="447">
                  <c:v>4.4400000000000002E-2</c:v>
                </c:pt>
                <c:pt idx="448">
                  <c:v>4.200000000000001E-2</c:v>
                </c:pt>
                <c:pt idx="449">
                  <c:v>3.8400000000000004E-2</c:v>
                </c:pt>
                <c:pt idx="450">
                  <c:v>4.5600000000000002E-2</c:v>
                </c:pt>
                <c:pt idx="451">
                  <c:v>4.200000000000001E-2</c:v>
                </c:pt>
                <c:pt idx="452">
                  <c:v>4.200000000000001E-2</c:v>
                </c:pt>
                <c:pt idx="453">
                  <c:v>4.0799999999999996E-2</c:v>
                </c:pt>
                <c:pt idx="454">
                  <c:v>4.0799999999999996E-2</c:v>
                </c:pt>
                <c:pt idx="455">
                  <c:v>4.200000000000001E-2</c:v>
                </c:pt>
                <c:pt idx="456">
                  <c:v>4.200000000000001E-2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4.200000000000001E-2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4.200000000000001E-2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6.7199999999999982E-2</c:v>
                </c:pt>
                <c:pt idx="518">
                  <c:v>6.2399999999999997E-2</c:v>
                </c:pt>
                <c:pt idx="519">
                  <c:v>6.7199999999999982E-2</c:v>
                </c:pt>
                <c:pt idx="520">
                  <c:v>6.4799999999999996E-2</c:v>
                </c:pt>
                <c:pt idx="521">
                  <c:v>6.6000000000000003E-2</c:v>
                </c:pt>
                <c:pt idx="522">
                  <c:v>7.6800000000000007E-2</c:v>
                </c:pt>
                <c:pt idx="523">
                  <c:v>7.0800000000000002E-2</c:v>
                </c:pt>
                <c:pt idx="524">
                  <c:v>6.8400000000000002E-2</c:v>
                </c:pt>
                <c:pt idx="525">
                  <c:v>6.7199999999999982E-2</c:v>
                </c:pt>
                <c:pt idx="526">
                  <c:v>6.6000000000000003E-2</c:v>
                </c:pt>
                <c:pt idx="527">
                  <c:v>6.9599999999999995E-2</c:v>
                </c:pt>
                <c:pt idx="528">
                  <c:v>6.3600000000000004E-2</c:v>
                </c:pt>
                <c:pt idx="529">
                  <c:v>6.1200000000000004E-2</c:v>
                </c:pt>
                <c:pt idx="530">
                  <c:v>5.5199999999999999E-2</c:v>
                </c:pt>
                <c:pt idx="531">
                  <c:v>6.7199999999999982E-2</c:v>
                </c:pt>
                <c:pt idx="532">
                  <c:v>5.7599999999999998E-2</c:v>
                </c:pt>
                <c:pt idx="533">
                  <c:v>5.6400000000000006E-2</c:v>
                </c:pt>
                <c:pt idx="534">
                  <c:v>6.7199999999999982E-2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6.7199999999999982E-2</c:v>
                </c:pt>
                <c:pt idx="556">
                  <c:v>6.8400000000000002E-2</c:v>
                </c:pt>
                <c:pt idx="557">
                  <c:v>6.9599999999999995E-2</c:v>
                </c:pt>
                <c:pt idx="558">
                  <c:v>6.6000000000000003E-2</c:v>
                </c:pt>
                <c:pt idx="559">
                  <c:v>7.3199999999999987E-2</c:v>
                </c:pt>
                <c:pt idx="560">
                  <c:v>7.4399999999999994E-2</c:v>
                </c:pt>
                <c:pt idx="561">
                  <c:v>6.6000000000000003E-2</c:v>
                </c:pt>
                <c:pt idx="562">
                  <c:v>7.5600000000000001E-2</c:v>
                </c:pt>
                <c:pt idx="563">
                  <c:v>6.7199999999999982E-2</c:v>
                </c:pt>
                <c:pt idx="564">
                  <c:v>7.2000000000000008E-2</c:v>
                </c:pt>
                <c:pt idx="565">
                  <c:v>7.3199999999999987E-2</c:v>
                </c:pt>
                <c:pt idx="566">
                  <c:v>6.6000000000000003E-2</c:v>
                </c:pt>
                <c:pt idx="567">
                  <c:v>7.0800000000000002E-2</c:v>
                </c:pt>
                <c:pt idx="568">
                  <c:v>8.1599999999999992E-2</c:v>
                </c:pt>
                <c:pt idx="569">
                  <c:v>8.1599999999999992E-2</c:v>
                </c:pt>
                <c:pt idx="570">
                  <c:v>7.3199999999999987E-2</c:v>
                </c:pt>
                <c:pt idx="571">
                  <c:v>8.6400000000000005E-2</c:v>
                </c:pt>
                <c:pt idx="572">
                  <c:v>7.8000000000000014E-2</c:v>
                </c:pt>
                <c:pt idx="573">
                  <c:v>8.5199999999999998E-2</c:v>
                </c:pt>
                <c:pt idx="574">
                  <c:v>8.4000000000000019E-2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8.4000000000000019E-2</c:v>
                </c:pt>
                <c:pt idx="583">
                  <c:v>8.1599999999999992E-2</c:v>
                </c:pt>
                <c:pt idx="584">
                  <c:v>7.8000000000000014E-2</c:v>
                </c:pt>
                <c:pt idx="585">
                  <c:v>8.7599999999999997E-2</c:v>
                </c:pt>
                <c:pt idx="586">
                  <c:v>8.6400000000000005E-2</c:v>
                </c:pt>
                <c:pt idx="587">
                  <c:v>7.3199999999999987E-2</c:v>
                </c:pt>
                <c:pt idx="588">
                  <c:v>0.09</c:v>
                </c:pt>
                <c:pt idx="589">
                  <c:v>7.8000000000000014E-2</c:v>
                </c:pt>
                <c:pt idx="590">
                  <c:v>7.3200000000000001E-2</c:v>
                </c:pt>
                <c:pt idx="591">
                  <c:v>8.5199999999999998E-2</c:v>
                </c:pt>
                <c:pt idx="592">
                  <c:v>7.6800000000000007E-2</c:v>
                </c:pt>
                <c:pt idx="593">
                  <c:v>7.0800000000000002E-2</c:v>
                </c:pt>
                <c:pt idx="594">
                  <c:v>8.7599999999999997E-2</c:v>
                </c:pt>
                <c:pt idx="595">
                  <c:v>7.8000000000000014E-2</c:v>
                </c:pt>
                <c:pt idx="596">
                  <c:v>8.2799999999999999E-2</c:v>
                </c:pt>
                <c:pt idx="597">
                  <c:v>7.6800000000000007E-2</c:v>
                </c:pt>
                <c:pt idx="598">
                  <c:v>7.3199999999999987E-2</c:v>
                </c:pt>
                <c:pt idx="599">
                  <c:v>7.9199999999999993E-2</c:v>
                </c:pt>
                <c:pt idx="600">
                  <c:v>7.5600000000000001E-2</c:v>
                </c:pt>
                <c:pt idx="601">
                  <c:v>7.0800000000000002E-2</c:v>
                </c:pt>
                <c:pt idx="602">
                  <c:v>6.8400000000000002E-2</c:v>
                </c:pt>
                <c:pt idx="603">
                  <c:v>7.8000000000000014E-2</c:v>
                </c:pt>
                <c:pt idx="604">
                  <c:v>7.3199999999999987E-2</c:v>
                </c:pt>
                <c:pt idx="605">
                  <c:v>8.0399999999999999E-2</c:v>
                </c:pt>
                <c:pt idx="606">
                  <c:v>7.4399999999999994E-2</c:v>
                </c:pt>
                <c:pt idx="607">
                  <c:v>7.0800000000000002E-2</c:v>
                </c:pt>
                <c:pt idx="608">
                  <c:v>8.0399999999999999E-2</c:v>
                </c:pt>
                <c:pt idx="609">
                  <c:v>7.3199999999999987E-2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8.4000000000000019E-2</c:v>
                </c:pt>
                <c:pt idx="621">
                  <c:v>7.8000000000000014E-2</c:v>
                </c:pt>
                <c:pt idx="622">
                  <c:v>8.7599999999999997E-2</c:v>
                </c:pt>
                <c:pt idx="623">
                  <c:v>8.5199999999999998E-2</c:v>
                </c:pt>
                <c:pt idx="624">
                  <c:v>8.1599999999999992E-2</c:v>
                </c:pt>
                <c:pt idx="625">
                  <c:v>9.4800000000000009E-2</c:v>
                </c:pt>
                <c:pt idx="626">
                  <c:v>7.8000000000000014E-2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0.14039999999999997</c:v>
                </c:pt>
                <c:pt idx="659">
                  <c:v>0.1356</c:v>
                </c:pt>
                <c:pt idx="660">
                  <c:v>0.12</c:v>
                </c:pt>
                <c:pt idx="661">
                  <c:v>0.12959999999999999</c:v>
                </c:pt>
                <c:pt idx="662">
                  <c:v>0.1236</c:v>
                </c:pt>
                <c:pt idx="663">
                  <c:v>0.14879999999999999</c:v>
                </c:pt>
                <c:pt idx="664">
                  <c:v>0.13439999999999996</c:v>
                </c:pt>
                <c:pt idx="665">
                  <c:v>0.1212</c:v>
                </c:pt>
                <c:pt idx="666">
                  <c:v>0.14400000000000002</c:v>
                </c:pt>
                <c:pt idx="667">
                  <c:v>0.1368</c:v>
                </c:pt>
                <c:pt idx="668">
                  <c:v>0.13439999999999996</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8.4000000000000019E-2</c:v>
                </c:pt>
                <c:pt idx="715">
                  <c:v>7.9199999999999993E-2</c:v>
                </c:pt>
                <c:pt idx="716">
                  <c:v>7.5600000000000001E-2</c:v>
                </c:pt>
                <c:pt idx="717">
                  <c:v>7.8000000000000014E-2</c:v>
                </c:pt>
                <c:pt idx="718">
                  <c:v>8.2799999999999999E-2</c:v>
                </c:pt>
                <c:pt idx="719">
                  <c:v>7.0800000000000002E-2</c:v>
                </c:pt>
                <c:pt idx="720">
                  <c:v>8.4000000000000019E-2</c:v>
                </c:pt>
                <c:pt idx="721">
                  <c:v>7.6800000000000007E-2</c:v>
                </c:pt>
                <c:pt idx="722">
                  <c:v>7.0800000000000002E-2</c:v>
                </c:pt>
                <c:pt idx="723">
                  <c:v>7.9199999999999993E-2</c:v>
                </c:pt>
                <c:pt idx="724">
                  <c:v>7.8000000000000014E-2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8.4000000000000019E-2</c:v>
                </c:pt>
                <c:pt idx="737">
                  <c:v>9.3599999999999989E-2</c:v>
                </c:pt>
                <c:pt idx="738">
                  <c:v>9.1200000000000003E-2</c:v>
                </c:pt>
                <c:pt idx="739">
                  <c:v>8.5199999999999998E-2</c:v>
                </c:pt>
                <c:pt idx="740">
                  <c:v>9.9599999999999994E-2</c:v>
                </c:pt>
                <c:pt idx="741">
                  <c:v>9.1200000000000003E-2</c:v>
                </c:pt>
                <c:pt idx="742">
                  <c:v>9.1200000000000003E-2</c:v>
                </c:pt>
                <c:pt idx="743">
                  <c:v>8.4000000000000019E-2</c:v>
                </c:pt>
                <c:pt idx="744">
                  <c:v>0.09</c:v>
                </c:pt>
                <c:pt idx="745">
                  <c:v>9.6000000000000002E-2</c:v>
                </c:pt>
                <c:pt idx="746">
                  <c:v>8.2799999999999999E-2</c:v>
                </c:pt>
                <c:pt idx="747">
                  <c:v>9.4800000000000009E-2</c:v>
                </c:pt>
                <c:pt idx="748">
                  <c:v>8.4000000000000019E-2</c:v>
                </c:pt>
                <c:pt idx="749">
                  <c:v>9.6000000000000002E-2</c:v>
                </c:pt>
                <c:pt idx="750">
                  <c:v>8.4000000000000019E-2</c:v>
                </c:pt>
                <c:pt idx="751">
                  <c:v>8.1599999999999992E-2</c:v>
                </c:pt>
                <c:pt idx="752">
                  <c:v>7.9199999999999993E-2</c:v>
                </c:pt>
                <c:pt idx="753">
                  <c:v>7.8000000000000014E-2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7.8000000000000014E-2</c:v>
                </c:pt>
                <c:pt idx="779">
                  <c:v>7.2000000000000008E-2</c:v>
                </c:pt>
                <c:pt idx="780">
                  <c:v>8.1599999999999992E-2</c:v>
                </c:pt>
                <c:pt idx="781">
                  <c:v>7.3199999999999987E-2</c:v>
                </c:pt>
                <c:pt idx="782">
                  <c:v>7.0800000000000002E-2</c:v>
                </c:pt>
                <c:pt idx="783">
                  <c:v>8.0399999999999999E-2</c:v>
                </c:pt>
                <c:pt idx="784">
                  <c:v>7.8000000000000014E-2</c:v>
                </c:pt>
                <c:pt idx="785">
                  <c:v>7.3199999999999987E-2</c:v>
                </c:pt>
                <c:pt idx="786">
                  <c:v>8.0399999999999999E-2</c:v>
                </c:pt>
                <c:pt idx="787">
                  <c:v>7.5600000000000001E-2</c:v>
                </c:pt>
                <c:pt idx="788">
                  <c:v>7.2000000000000008E-2</c:v>
                </c:pt>
                <c:pt idx="789">
                  <c:v>6.9599999999999995E-2</c:v>
                </c:pt>
                <c:pt idx="790">
                  <c:v>6.8400000000000002E-2</c:v>
                </c:pt>
                <c:pt idx="791">
                  <c:v>7.3199999999999987E-2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6.7199999999999982E-2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7.3199999999999987E-2</c:v>
                </c:pt>
                <c:pt idx="811">
                  <c:v>7.2000000000000008E-2</c:v>
                </c:pt>
                <c:pt idx="812">
                  <c:v>7.9199999999999993E-2</c:v>
                </c:pt>
                <c:pt idx="813">
                  <c:v>7.3199999999999987E-2</c:v>
                </c:pt>
                <c:pt idx="814">
                  <c:v>7.9199999999999993E-2</c:v>
                </c:pt>
                <c:pt idx="815">
                  <c:v>7.6800000000000007E-2</c:v>
                </c:pt>
                <c:pt idx="816">
                  <c:v>7.9199999999999993E-2</c:v>
                </c:pt>
                <c:pt idx="817">
                  <c:v>8.4000000000000019E-2</c:v>
                </c:pt>
                <c:pt idx="818">
                  <c:v>7.0800000000000002E-2</c:v>
                </c:pt>
                <c:pt idx="819">
                  <c:v>7.6800000000000007E-2</c:v>
                </c:pt>
                <c:pt idx="820">
                  <c:v>6.9599999999999995E-2</c:v>
                </c:pt>
                <c:pt idx="821">
                  <c:v>7.8000000000000014E-2</c:v>
                </c:pt>
                <c:pt idx="822">
                  <c:v>6.4799999999999996E-2</c:v>
                </c:pt>
                <c:pt idx="823">
                  <c:v>6.7199999999999982E-2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6.7199999999999982E-2</c:v>
                </c:pt>
                <c:pt idx="841">
                  <c:v>6.7199999999999982E-2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6.7199999999999982E-2</c:v>
                </c:pt>
                <c:pt idx="876">
                  <c:v>6.6000000000000003E-2</c:v>
                </c:pt>
                <c:pt idx="877">
                  <c:v>6.8400000000000002E-2</c:v>
                </c:pt>
                <c:pt idx="878">
                  <c:v>6.1200000000000004E-2</c:v>
                </c:pt>
                <c:pt idx="879">
                  <c:v>6.4799999999999996E-2</c:v>
                </c:pt>
                <c:pt idx="880">
                  <c:v>5.6400000000000006E-2</c:v>
                </c:pt>
                <c:pt idx="881">
                  <c:v>6.7199999999999982E-2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4.200000000000001E-2</c:v>
                </c:pt>
                <c:pt idx="939">
                  <c:v>4.9200000000000008E-2</c:v>
                </c:pt>
                <c:pt idx="940">
                  <c:v>4.6799999999999994E-2</c:v>
                </c:pt>
                <c:pt idx="941">
                  <c:v>4.8000000000000001E-2</c:v>
                </c:pt>
                <c:pt idx="942">
                  <c:v>4.3200000000000002E-2</c:v>
                </c:pt>
                <c:pt idx="943">
                  <c:v>4.0799999999999996E-2</c:v>
                </c:pt>
                <c:pt idx="944">
                  <c:v>4.8000000000000001E-2</c:v>
                </c:pt>
                <c:pt idx="945">
                  <c:v>4.200000000000001E-2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4.200000000000001E-2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4.200000000000001E-2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4.200000000000001E-2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pt idx="1093">
                  <c:v>2.8799999999999999E-2</c:v>
                </c:pt>
                <c:pt idx="1094">
                  <c:v>2.64E-2</c:v>
                </c:pt>
                <c:pt idx="1095">
                  <c:v>2.8799999999999999E-2</c:v>
                </c:pt>
                <c:pt idx="1096">
                  <c:v>0.03</c:v>
                </c:pt>
                <c:pt idx="1097">
                  <c:v>0.03</c:v>
                </c:pt>
                <c:pt idx="1098">
                  <c:v>2.76E-2</c:v>
                </c:pt>
                <c:pt idx="1099">
                  <c:v>0.03</c:v>
                </c:pt>
                <c:pt idx="1100">
                  <c:v>0.03</c:v>
                </c:pt>
                <c:pt idx="1101">
                  <c:v>2.64E-2</c:v>
                </c:pt>
                <c:pt idx="1102">
                  <c:v>3.6000000000000004E-2</c:v>
                </c:pt>
                <c:pt idx="1103">
                  <c:v>3.3599999999999998E-2</c:v>
                </c:pt>
                <c:pt idx="1104">
                  <c:v>3.2399999999999998E-2</c:v>
                </c:pt>
              </c:numCache>
            </c:numRef>
          </c:xVal>
          <c:yVal>
            <c:numRef>
              <c:f>'MRP ERP WP'!$O$16:$O$1120</c:f>
              <c:numCache>
                <c:formatCode>0.00%</c:formatCode>
                <c:ptCount val="1105"/>
                <c:pt idx="0">
                  <c:v>8.0074444282409535E-2</c:v>
                </c:pt>
                <c:pt idx="1">
                  <c:v>5.853420750775909E-2</c:v>
                </c:pt>
                <c:pt idx="2">
                  <c:v>0.16709110187303744</c:v>
                </c:pt>
                <c:pt idx="3">
                  <c:v>0.24894182966507422</c:v>
                </c:pt>
                <c:pt idx="4">
                  <c:v>0.24483109376898726</c:v>
                </c:pt>
                <c:pt idx="5">
                  <c:v>0.29733527965494144</c:v>
                </c:pt>
                <c:pt idx="6">
                  <c:v>0.23184214715621376</c:v>
                </c:pt>
                <c:pt idx="7">
                  <c:v>0.25488540033942164</c:v>
                </c:pt>
                <c:pt idx="8">
                  <c:v>0.28602415930611119</c:v>
                </c:pt>
                <c:pt idx="9">
                  <c:v>0.3139336387776881</c:v>
                </c:pt>
                <c:pt idx="10">
                  <c:v>0.28252565882158087</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0.35402792188365872</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-0.26831912078039188</c:v>
                </c:pt>
                <c:pt idx="44">
                  <c:v>-0.32747190821853056</c:v>
                </c:pt>
                <c:pt idx="45">
                  <c:v>-0.39062722551965029</c:v>
                </c:pt>
                <c:pt idx="46">
                  <c:v>-0.29850688643044765</c:v>
                </c:pt>
                <c:pt idx="47">
                  <c:v>-0.20030959006307592</c:v>
                </c:pt>
                <c:pt idx="48">
                  <c:v>-0.28255006127662174</c:v>
                </c:pt>
                <c:pt idx="49">
                  <c:v>-0.29222144407623685</c:v>
                </c:pt>
                <c:pt idx="50">
                  <c:v>-0.22232484877135394</c:v>
                </c:pt>
                <c:pt idx="51">
                  <c:v>-0.33717136651802387</c:v>
                </c:pt>
                <c:pt idx="52">
                  <c:v>-0.39489964087559326</c:v>
                </c:pt>
                <c:pt idx="53">
                  <c:v>-0.46984694750363987</c:v>
                </c:pt>
                <c:pt idx="54">
                  <c:v>-0.26808200447033648</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-0.37575883830972001</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0.32659681868828294</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8.9886709025017331E-2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3.1953745359200786E-2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0.27355201099138238</c:v>
                </c:pt>
                <c:pt idx="384">
                  <c:v>0.39411644308112559</c:v>
                </c:pt>
                <c:pt idx="385">
                  <c:v>0.34270918164620012</c:v>
                </c:pt>
                <c:pt idx="386">
                  <c:v>0.36930242076911035</c:v>
                </c:pt>
                <c:pt idx="387">
                  <c:v>0.32255792564935049</c:v>
                </c:pt>
                <c:pt idx="388">
                  <c:v>0.33353839050058476</c:v>
                </c:pt>
                <c:pt idx="389">
                  <c:v>0.33730336062729938</c:v>
                </c:pt>
                <c:pt idx="390">
                  <c:v>0.29338349375806894</c:v>
                </c:pt>
                <c:pt idx="391">
                  <c:v>0.28358280656664503</c:v>
                </c:pt>
                <c:pt idx="392">
                  <c:v>0.24736896810108602</c:v>
                </c:pt>
                <c:pt idx="393">
                  <c:v>0.13265959700429314</c:v>
                </c:pt>
                <c:pt idx="394">
                  <c:v>0.11523454707492478</c:v>
                </c:pt>
                <c:pt idx="395">
                  <c:v>0.1042068355217021</c:v>
                </c:pt>
                <c:pt idx="396">
                  <c:v>7.6568462381524052E-2</c:v>
                </c:pt>
                <c:pt idx="397">
                  <c:v>-6.1055704617358486E-3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5.9935175802729362E-2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2.7159938647167065E-2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9.3583335281050617E-2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3.1426549581813901E-3</c:v>
                </c:pt>
                <c:pt idx="556">
                  <c:v>-4.6003763137382622E-2</c:v>
                </c:pt>
                <c:pt idx="557">
                  <c:v>-8.3298952435268414E-2</c:v>
                </c:pt>
                <c:pt idx="558">
                  <c:v>-6.4209419361133502E-2</c:v>
                </c:pt>
                <c:pt idx="559">
                  <c:v>-3.5616941410362035E-2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7.6875433756279865E-2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-8.0462283052260941E-2</c:v>
                </c:pt>
                <c:pt idx="604">
                  <c:v>-6.3597726910985808E-2</c:v>
                </c:pt>
                <c:pt idx="605">
                  <c:v>-7.9475671416251198E-2</c:v>
                </c:pt>
                <c:pt idx="606">
                  <c:v>-6.8587503192773819E-2</c:v>
                </c:pt>
                <c:pt idx="607">
                  <c:v>-7.2668547179645576E-2</c:v>
                </c:pt>
                <c:pt idx="608">
                  <c:v>-9.766748964952518E-2</c:v>
                </c:pt>
                <c:pt idx="609">
                  <c:v>-0.11365146971433454</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4.090384241431605E-2</c:v>
                </c:pt>
                <c:pt idx="621">
                  <c:v>4.1512929431500034E-2</c:v>
                </c:pt>
                <c:pt idx="622">
                  <c:v>-2.4237458912514595E-2</c:v>
                </c:pt>
                <c:pt idx="623">
                  <c:v>-3.2248433771940255E-2</c:v>
                </c:pt>
                <c:pt idx="624">
                  <c:v>-1.6002563845032611E-2</c:v>
                </c:pt>
                <c:pt idx="625">
                  <c:v>8.5768006128402727E-2</c:v>
                </c:pt>
                <c:pt idx="626">
                  <c:v>8.8348650741737977E-2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-0.13458441520703424</c:v>
                </c:pt>
                <c:pt idx="659">
                  <c:v>-0.18905163267517805</c:v>
                </c:pt>
                <c:pt idx="660">
                  <c:v>-0.16896192088955819</c:v>
                </c:pt>
                <c:pt idx="661">
                  <c:v>-0.15007643469620674</c:v>
                </c:pt>
                <c:pt idx="662">
                  <c:v>-0.21464757420551289</c:v>
                </c:pt>
                <c:pt idx="663">
                  <c:v>-0.2793520450188885</c:v>
                </c:pt>
                <c:pt idx="664">
                  <c:v>-0.20776901953068461</c:v>
                </c:pt>
                <c:pt idx="665">
                  <c:v>-0.22848818667932183</c:v>
                </c:pt>
                <c:pt idx="666">
                  <c:v>-0.25910401920009263</c:v>
                </c:pt>
                <c:pt idx="667">
                  <c:v>-0.26947654690982037</c:v>
                </c:pt>
                <c:pt idx="668">
                  <c:v>-0.10222710358131437</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0.21362604739211508</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0.10268065553543099</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0.12130849349847056</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6.2496299490873597E-2</c:v>
                </c:pt>
                <c:pt idx="785">
                  <c:v>2.5529490325355952E-2</c:v>
                </c:pt>
                <c:pt idx="786">
                  <c:v>5.3909810227948746E-2</c:v>
                </c:pt>
                <c:pt idx="787">
                  <c:v>5.2532124466149077E-2</c:v>
                </c:pt>
                <c:pt idx="788">
                  <c:v>7.4230887121156663E-3</c:v>
                </c:pt>
                <c:pt idx="789">
                  <c:v>4.1109123521731683E-2</c:v>
                </c:pt>
                <c:pt idx="790">
                  <c:v>3.1458501533508723E-2</c:v>
                </c:pt>
                <c:pt idx="791">
                  <c:v>0.11192418092716644</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8.5113626001906251E-2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-5.9106979691114614E-2</c:v>
                </c:pt>
                <c:pt idx="811">
                  <c:v>-2.0438482555204363E-2</c:v>
                </c:pt>
                <c:pt idx="812">
                  <c:v>-2.4497678331215023E-2</c:v>
                </c:pt>
                <c:pt idx="813">
                  <c:v>-3.6354172339111035E-2</c:v>
                </c:pt>
                <c:pt idx="814">
                  <c:v>-4.052569924242283E-2</c:v>
                </c:pt>
                <c:pt idx="815">
                  <c:v>-6.6334016951033387E-2</c:v>
                </c:pt>
                <c:pt idx="816">
                  <c:v>-6.6038376051683445E-2</c:v>
                </c:pt>
                <c:pt idx="817">
                  <c:v>-7.8775135388222395E-2</c:v>
                </c:pt>
                <c:pt idx="818">
                  <c:v>2.7210549199680745E-3</c:v>
                </c:pt>
                <c:pt idx="819">
                  <c:v>7.8772904684344586E-2</c:v>
                </c:pt>
                <c:pt idx="820">
                  <c:v>0.10491298191357112</c:v>
                </c:pt>
                <c:pt idx="821">
                  <c:v>0.12378423965969426</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3.7723155802512787E-2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-0.27237363624797073</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2.7568854219980371E-2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-0.42286329860570171</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pt idx="1093">
                  <c:v>0.23543347257697594</c:v>
                </c:pt>
                <c:pt idx="1094">
                  <c:v>0.14469094684898029</c:v>
                </c:pt>
                <c:pt idx="1095">
                  <c:v>0.11117726408211798</c:v>
                </c:pt>
                <c:pt idx="1096">
                  <c:v>0.10264295524658998</c:v>
                </c:pt>
                <c:pt idx="1097">
                  <c:v>0.11381190264079735</c:v>
                </c:pt>
                <c:pt idx="1098">
                  <c:v>0.11621190264079713</c:v>
                </c:pt>
                <c:pt idx="1099">
                  <c:v>0.13241593711447644</c:v>
                </c:pt>
                <c:pt idx="1100">
                  <c:v>0.16660123284259634</c:v>
                </c:pt>
                <c:pt idx="1101">
                  <c:v>0.15273174590417346</c:v>
                </c:pt>
                <c:pt idx="1102">
                  <c:v>3.7467345337953289E-2</c:v>
                </c:pt>
                <c:pt idx="1103">
                  <c:v>2.9139962339039004E-2</c:v>
                </c:pt>
                <c:pt idx="1104">
                  <c:v>-7.6238845079790521E-2</c:v>
                </c:pt>
              </c:numCache>
            </c:numRef>
          </c:yVal>
          <c:smooth val="0"/>
          <c:extLst>
            <c:ext xmlns:c16="http://schemas.microsoft.com/office/drawing/2014/chart" uri="{C3380CC4-5D6E-409C-BE32-E72D297353CC}">
              <c16:uniqueId val="{00000001-655C-4D4D-A304-83224CF2FA73}"/>
            </c:ext>
          </c:extLst>
        </c:ser>
        <c:dLbls>
          <c:showLegendKey val="0"/>
          <c:showVal val="0"/>
          <c:showCatName val="0"/>
          <c:showSerName val="0"/>
          <c:showPercent val="0"/>
          <c:showBubbleSize val="0"/>
        </c:dLbls>
        <c:axId val="784051456"/>
        <c:axId val="784051848"/>
      </c:scatterChart>
      <c:valAx>
        <c:axId val="784051456"/>
        <c:scaling>
          <c:orientation val="minMax"/>
        </c:scaling>
        <c:delete val="0"/>
        <c:axPos val="b"/>
        <c:title>
          <c:tx>
            <c:rich>
              <a:bodyPr/>
              <a:lstStyle/>
              <a:p>
                <a:pPr>
                  <a:defRPr/>
                </a:pPr>
                <a:r>
                  <a:rPr lang="en-US"/>
                  <a:t>Risk-Free rate</a:t>
                </a:r>
              </a:p>
            </c:rich>
          </c:tx>
          <c:overlay val="0"/>
        </c:title>
        <c:numFmt formatCode="0.00%" sourceLinked="1"/>
        <c:majorTickMark val="out"/>
        <c:minorTickMark val="none"/>
        <c:tickLblPos val="nextTo"/>
        <c:crossAx val="784051848"/>
        <c:crosses val="autoZero"/>
        <c:crossBetween val="midCat"/>
      </c:valAx>
      <c:valAx>
        <c:axId val="784051848"/>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51456"/>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Ref>
              <c:f>'MRP ERP WP'!$N$40:$N$1120</c:f>
              <c:numCache>
                <c:formatCode>0.00%</c:formatCode>
                <c:ptCount val="1081"/>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pt idx="1069">
                  <c:v>3.56E-2</c:v>
                </c:pt>
                <c:pt idx="1070">
                  <c:v>3.6150000000000002E-2</c:v>
                </c:pt>
                <c:pt idx="1071">
                  <c:v>3.9300000000000002E-2</c:v>
                </c:pt>
                <c:pt idx="1072">
                  <c:v>3.9300000000000002E-2</c:v>
                </c:pt>
                <c:pt idx="1073">
                  <c:v>4.0550000000000003E-2</c:v>
                </c:pt>
                <c:pt idx="1074">
                  <c:v>4.0349999999999997E-2</c:v>
                </c:pt>
                <c:pt idx="1075">
                  <c:v>3.9699999999999999E-2</c:v>
                </c:pt>
                <c:pt idx="1076">
                  <c:v>3.9649999999999991E-2</c:v>
                </c:pt>
                <c:pt idx="1077">
                  <c:v>3.9649999999999991E-2</c:v>
                </c:pt>
                <c:pt idx="1078">
                  <c:v>4.2099999999999999E-2</c:v>
                </c:pt>
                <c:pt idx="1079">
                  <c:v>4.3200000000000002E-2</c:v>
                </c:pt>
                <c:pt idx="1080">
                  <c:v>4.2949999999999995E-2</c:v>
                </c:pt>
              </c:numCache>
            </c:numRef>
          </c:xVal>
          <c:yVal>
            <c:numRef>
              <c:f>'MRP ERP WP'!$P$40:$P$1120</c:f>
              <c:numCache>
                <c:formatCode>0.00%</c:formatCode>
                <c:ptCount val="1081"/>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pt idx="1069">
                  <c:v>0.22863347257697594</c:v>
                </c:pt>
                <c:pt idx="1070">
                  <c:v>0.13494094684898028</c:v>
                </c:pt>
                <c:pt idx="1071">
                  <c:v>0.10067726408211797</c:v>
                </c:pt>
                <c:pt idx="1072">
                  <c:v>9.3342955246589976E-2</c:v>
                </c:pt>
                <c:pt idx="1073">
                  <c:v>0.10326190264079735</c:v>
                </c:pt>
                <c:pt idx="1074">
                  <c:v>0.10346190264079713</c:v>
                </c:pt>
                <c:pt idx="1075">
                  <c:v>0.12271593711447644</c:v>
                </c:pt>
                <c:pt idx="1076">
                  <c:v>0.15695123284259635</c:v>
                </c:pt>
                <c:pt idx="1077">
                  <c:v>0.13948174590417348</c:v>
                </c:pt>
                <c:pt idx="1078">
                  <c:v>3.1367345337953295E-2</c:v>
                </c:pt>
                <c:pt idx="1079">
                  <c:v>1.9539962339038999E-2</c:v>
                </c:pt>
                <c:pt idx="1080">
                  <c:v>-8.6788845079790511E-2</c:v>
                </c:pt>
              </c:numCache>
            </c:numRef>
          </c:yVal>
          <c:smooth val="0"/>
          <c:extLst>
            <c:ext xmlns:c16="http://schemas.microsoft.com/office/drawing/2014/chart" uri="{C3380CC4-5D6E-409C-BE32-E72D297353CC}">
              <c16:uniqueId val="{00000001-A9A0-4641-AB4F-F3119A620851}"/>
            </c:ext>
          </c:extLst>
        </c:ser>
        <c:dLbls>
          <c:showLegendKey val="0"/>
          <c:showVal val="0"/>
          <c:showCatName val="0"/>
          <c:showSerName val="0"/>
          <c:showPercent val="0"/>
          <c:showBubbleSize val="0"/>
        </c:dLbls>
        <c:axId val="784049496"/>
        <c:axId val="784057728"/>
      </c:scatterChart>
      <c:valAx>
        <c:axId val="784049496"/>
        <c:scaling>
          <c:orientation val="minMax"/>
        </c:scaling>
        <c:delete val="0"/>
        <c:axPos val="b"/>
        <c:title>
          <c:tx>
            <c:rich>
              <a:bodyPr/>
              <a:lstStyle/>
              <a:p>
                <a:pPr>
                  <a:defRPr/>
                </a:pPr>
                <a:r>
                  <a:rPr lang="en-US"/>
                  <a:t>Aaa / Aa Corporate Bond Yield</a:t>
                </a:r>
              </a:p>
            </c:rich>
          </c:tx>
          <c:overlay val="0"/>
        </c:title>
        <c:numFmt formatCode="0.00%" sourceLinked="1"/>
        <c:majorTickMark val="out"/>
        <c:minorTickMark val="none"/>
        <c:tickLblPos val="nextTo"/>
        <c:crossAx val="784057728"/>
        <c:crosses val="autoZero"/>
        <c:crossBetween val="midCat"/>
      </c:valAx>
      <c:valAx>
        <c:axId val="784057728"/>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49496"/>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Ref>
              <c:f>'MRP ERP WP'!$R$40:$R$1120</c:f>
              <c:numCache>
                <c:formatCode>0.00%</c:formatCode>
                <c:ptCount val="1081"/>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pt idx="1069">
                  <c:v>3.7900000000000003E-2</c:v>
                </c:pt>
                <c:pt idx="1070">
                  <c:v>3.8600000000000002E-2</c:v>
                </c:pt>
                <c:pt idx="1071">
                  <c:v>4.1300000000000003E-2</c:v>
                </c:pt>
                <c:pt idx="1072">
                  <c:v>4.1700000000000001E-2</c:v>
                </c:pt>
                <c:pt idx="1073">
                  <c:v>4.2800000000000005E-2</c:v>
                </c:pt>
                <c:pt idx="1074">
                  <c:v>4.2699999999999988E-2</c:v>
                </c:pt>
                <c:pt idx="1075">
                  <c:v>4.2699999999999988E-2</c:v>
                </c:pt>
                <c:pt idx="1076">
                  <c:v>4.2599999999999999E-2</c:v>
                </c:pt>
                <c:pt idx="1077">
                  <c:v>4.2599999999999999E-2</c:v>
                </c:pt>
                <c:pt idx="1078">
                  <c:v>4.4499999999999998E-2</c:v>
                </c:pt>
                <c:pt idx="1079">
                  <c:v>4.53E-2</c:v>
                </c:pt>
                <c:pt idx="1080">
                  <c:v>4.53E-2</c:v>
                </c:pt>
              </c:numCache>
            </c:numRef>
          </c:xVal>
          <c:yVal>
            <c:numRef>
              <c:f>'MRP ERP WP'!$S$40:$S$1120</c:f>
              <c:numCache>
                <c:formatCode>0.00%</c:formatCode>
                <c:ptCount val="1081"/>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pt idx="1069">
                  <c:v>6.9063768796802136E-2</c:v>
                </c:pt>
                <c:pt idx="1070">
                  <c:v>-2.7336120012345456E-2</c:v>
                </c:pt>
                <c:pt idx="1071">
                  <c:v>-2.2278317864450448E-2</c:v>
                </c:pt>
                <c:pt idx="1072">
                  <c:v>-9.3313381024050929E-3</c:v>
                </c:pt>
                <c:pt idx="1073">
                  <c:v>-6.3525715647704983E-2</c:v>
                </c:pt>
                <c:pt idx="1074">
                  <c:v>-8.7755680214667564E-3</c:v>
                </c:pt>
                <c:pt idx="1075">
                  <c:v>-1.4629493934660093E-2</c:v>
                </c:pt>
                <c:pt idx="1076">
                  <c:v>-3.5541008539443891E-2</c:v>
                </c:pt>
                <c:pt idx="1077">
                  <c:v>-1.3488621865125144E-2</c:v>
                </c:pt>
                <c:pt idx="1078">
                  <c:v>-3.4703031753122962E-2</c:v>
                </c:pt>
                <c:pt idx="1079">
                  <c:v>-2.7640865576991629E-2</c:v>
                </c:pt>
                <c:pt idx="1080">
                  <c:v>-4.6576189063111048E-3</c:v>
                </c:pt>
              </c:numCache>
            </c:numRef>
          </c:yVal>
          <c:smooth val="0"/>
          <c:extLst>
            <c:ext xmlns:c16="http://schemas.microsoft.com/office/drawing/2014/chart" uri="{C3380CC4-5D6E-409C-BE32-E72D297353CC}">
              <c16:uniqueId val="{00000001-2E3C-40FB-B953-0D2AABFDDD7E}"/>
            </c:ext>
          </c:extLst>
        </c:ser>
        <c:dLbls>
          <c:showLegendKey val="0"/>
          <c:showVal val="0"/>
          <c:showCatName val="0"/>
          <c:showSerName val="0"/>
          <c:showPercent val="0"/>
          <c:showBubbleSize val="0"/>
        </c:dLbls>
        <c:axId val="784051064"/>
        <c:axId val="784054984"/>
      </c:scatterChart>
      <c:valAx>
        <c:axId val="784051064"/>
        <c:scaling>
          <c:orientation val="minMax"/>
        </c:scaling>
        <c:delete val="0"/>
        <c:axPos val="b"/>
        <c:title>
          <c:tx>
            <c:rich>
              <a:bodyPr/>
              <a:lstStyle/>
              <a:p>
                <a:pPr>
                  <a:defRPr/>
                </a:pPr>
                <a:r>
                  <a:rPr lang="en-US"/>
                  <a:t>A Rated Public Utility Bond</a:t>
                </a:r>
              </a:p>
            </c:rich>
          </c:tx>
          <c:overlay val="0"/>
        </c:title>
        <c:numFmt formatCode="0.00%" sourceLinked="1"/>
        <c:majorTickMark val="out"/>
        <c:minorTickMark val="none"/>
        <c:tickLblPos val="nextTo"/>
        <c:crossAx val="784054984"/>
        <c:crosses val="autoZero"/>
        <c:crossBetween val="midCat"/>
      </c:valAx>
      <c:valAx>
        <c:axId val="784054984"/>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51064"/>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MRP SBBI</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5.20172505229511E-2"/>
                  <c:y val="-0.22799879996780401"/>
                </c:manualLayout>
              </c:layout>
              <c:numFmt formatCode="General" sourceLinked="0"/>
            </c:trendlineLbl>
          </c:trendline>
          <c:xVal>
            <c:numRef>
              <c:f>'MRP ERP WP'!$M$16:$M$1156</c:f>
              <c:numCache>
                <c:formatCode>0.00%</c:formatCode>
                <c:ptCount val="1141"/>
                <c:pt idx="0">
                  <c:v>3.6000000000000004E-2</c:v>
                </c:pt>
                <c:pt idx="1">
                  <c:v>3.6000000000000004E-2</c:v>
                </c:pt>
                <c:pt idx="2">
                  <c:v>3.2399999999999998E-2</c:v>
                </c:pt>
                <c:pt idx="3">
                  <c:v>3.4799999999999998E-2</c:v>
                </c:pt>
                <c:pt idx="4">
                  <c:v>3.2399999999999998E-2</c:v>
                </c:pt>
                <c:pt idx="5">
                  <c:v>3.3599999999999991E-2</c:v>
                </c:pt>
                <c:pt idx="6">
                  <c:v>3.2399999999999998E-2</c:v>
                </c:pt>
                <c:pt idx="7">
                  <c:v>3.2399999999999998E-2</c:v>
                </c:pt>
                <c:pt idx="8">
                  <c:v>3.4799999999999998E-2</c:v>
                </c:pt>
                <c:pt idx="9">
                  <c:v>3.2399999999999998E-2</c:v>
                </c:pt>
                <c:pt idx="10">
                  <c:v>3.3599999999999991E-2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3.3599999999999991E-2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3.3599999999999991E-2</c:v>
                </c:pt>
                <c:pt idx="44">
                  <c:v>3.1199999999999999E-2</c:v>
                </c:pt>
                <c:pt idx="45">
                  <c:v>3.4799999999999998E-2</c:v>
                </c:pt>
                <c:pt idx="46">
                  <c:v>3.2399999999999998E-2</c:v>
                </c:pt>
                <c:pt idx="47">
                  <c:v>3.1199999999999999E-2</c:v>
                </c:pt>
                <c:pt idx="48">
                  <c:v>3.3599999999999991E-2</c:v>
                </c:pt>
                <c:pt idx="49">
                  <c:v>3.3599999999999991E-2</c:v>
                </c:pt>
                <c:pt idx="50">
                  <c:v>3.1199999999999999E-2</c:v>
                </c:pt>
                <c:pt idx="51">
                  <c:v>3.4799999999999998E-2</c:v>
                </c:pt>
                <c:pt idx="52">
                  <c:v>3.2399999999999998E-2</c:v>
                </c:pt>
                <c:pt idx="53">
                  <c:v>3.1199999999999999E-2</c:v>
                </c:pt>
                <c:pt idx="54">
                  <c:v>3.3599999999999991E-2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3.3599999999999991E-2</c:v>
                </c:pt>
                <c:pt idx="66">
                  <c:v>3.3599999999999991E-2</c:v>
                </c:pt>
                <c:pt idx="67">
                  <c:v>3.3599999999999991E-2</c:v>
                </c:pt>
                <c:pt idx="68">
                  <c:v>3.3599999999999991E-2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3.3599999999999991E-2</c:v>
                </c:pt>
                <c:pt idx="78">
                  <c:v>0.03</c:v>
                </c:pt>
                <c:pt idx="79">
                  <c:v>3.1199999999999999E-2</c:v>
                </c:pt>
                <c:pt idx="80">
                  <c:v>3.1199999999999999E-2</c:v>
                </c:pt>
                <c:pt idx="81">
                  <c:v>0.03</c:v>
                </c:pt>
                <c:pt idx="82">
                  <c:v>3.1199999999999999E-2</c:v>
                </c:pt>
                <c:pt idx="83">
                  <c:v>0.03</c:v>
                </c:pt>
                <c:pt idx="84">
                  <c:v>3.3599999999999991E-2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1.6799999999999995E-2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3.3599999999999991E-2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3.3599999999999991E-2</c:v>
                </c:pt>
                <c:pt idx="384">
                  <c:v>3.9599999999999996E-2</c:v>
                </c:pt>
                <c:pt idx="385">
                  <c:v>3.7199999999999997E-2</c:v>
                </c:pt>
                <c:pt idx="386">
                  <c:v>3.7199999999999997E-2</c:v>
                </c:pt>
                <c:pt idx="387">
                  <c:v>4.200000000000001E-2</c:v>
                </c:pt>
                <c:pt idx="388">
                  <c:v>3.9599999999999996E-2</c:v>
                </c:pt>
                <c:pt idx="389">
                  <c:v>3.9599999999999996E-2</c:v>
                </c:pt>
                <c:pt idx="390">
                  <c:v>4.3200000000000002E-2</c:v>
                </c:pt>
                <c:pt idx="391">
                  <c:v>4.200000000000001E-2</c:v>
                </c:pt>
                <c:pt idx="392">
                  <c:v>4.200000000000001E-2</c:v>
                </c:pt>
                <c:pt idx="393">
                  <c:v>4.0799999999999996E-2</c:v>
                </c:pt>
                <c:pt idx="394">
                  <c:v>4.200000000000001E-2</c:v>
                </c:pt>
                <c:pt idx="395">
                  <c:v>4.200000000000001E-2</c:v>
                </c:pt>
                <c:pt idx="396">
                  <c:v>4.3200000000000002E-2</c:v>
                </c:pt>
                <c:pt idx="397">
                  <c:v>4.200000000000001E-2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4.200000000000001E-2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4.200000000000001E-2</c:v>
                </c:pt>
                <c:pt idx="446">
                  <c:v>3.8400000000000004E-2</c:v>
                </c:pt>
                <c:pt idx="447">
                  <c:v>4.4400000000000002E-2</c:v>
                </c:pt>
                <c:pt idx="448">
                  <c:v>4.200000000000001E-2</c:v>
                </c:pt>
                <c:pt idx="449">
                  <c:v>3.8400000000000004E-2</c:v>
                </c:pt>
                <c:pt idx="450">
                  <c:v>4.5600000000000002E-2</c:v>
                </c:pt>
                <c:pt idx="451">
                  <c:v>4.200000000000001E-2</c:v>
                </c:pt>
                <c:pt idx="452">
                  <c:v>4.200000000000001E-2</c:v>
                </c:pt>
                <c:pt idx="453">
                  <c:v>4.0799999999999996E-2</c:v>
                </c:pt>
                <c:pt idx="454">
                  <c:v>4.0799999999999996E-2</c:v>
                </c:pt>
                <c:pt idx="455">
                  <c:v>4.200000000000001E-2</c:v>
                </c:pt>
                <c:pt idx="456">
                  <c:v>4.200000000000001E-2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4.200000000000001E-2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4.200000000000001E-2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6.7199999999999982E-2</c:v>
                </c:pt>
                <c:pt idx="518">
                  <c:v>6.2399999999999997E-2</c:v>
                </c:pt>
                <c:pt idx="519">
                  <c:v>6.7199999999999982E-2</c:v>
                </c:pt>
                <c:pt idx="520">
                  <c:v>6.4799999999999996E-2</c:v>
                </c:pt>
                <c:pt idx="521">
                  <c:v>6.6000000000000003E-2</c:v>
                </c:pt>
                <c:pt idx="522">
                  <c:v>7.6800000000000007E-2</c:v>
                </c:pt>
                <c:pt idx="523">
                  <c:v>7.0800000000000002E-2</c:v>
                </c:pt>
                <c:pt idx="524">
                  <c:v>6.8400000000000002E-2</c:v>
                </c:pt>
                <c:pt idx="525">
                  <c:v>6.7199999999999982E-2</c:v>
                </c:pt>
                <c:pt idx="526">
                  <c:v>6.6000000000000003E-2</c:v>
                </c:pt>
                <c:pt idx="527">
                  <c:v>6.9599999999999995E-2</c:v>
                </c:pt>
                <c:pt idx="528">
                  <c:v>6.3600000000000004E-2</c:v>
                </c:pt>
                <c:pt idx="529">
                  <c:v>6.1200000000000004E-2</c:v>
                </c:pt>
                <c:pt idx="530">
                  <c:v>5.5199999999999999E-2</c:v>
                </c:pt>
                <c:pt idx="531">
                  <c:v>6.7199999999999982E-2</c:v>
                </c:pt>
                <c:pt idx="532">
                  <c:v>5.7599999999999998E-2</c:v>
                </c:pt>
                <c:pt idx="533">
                  <c:v>5.6400000000000006E-2</c:v>
                </c:pt>
                <c:pt idx="534">
                  <c:v>6.7199999999999982E-2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6.7199999999999982E-2</c:v>
                </c:pt>
                <c:pt idx="556">
                  <c:v>6.8400000000000002E-2</c:v>
                </c:pt>
                <c:pt idx="557">
                  <c:v>6.9599999999999995E-2</c:v>
                </c:pt>
                <c:pt idx="558">
                  <c:v>6.6000000000000003E-2</c:v>
                </c:pt>
                <c:pt idx="559">
                  <c:v>7.3199999999999987E-2</c:v>
                </c:pt>
                <c:pt idx="560">
                  <c:v>7.4399999999999994E-2</c:v>
                </c:pt>
                <c:pt idx="561">
                  <c:v>6.6000000000000003E-2</c:v>
                </c:pt>
                <c:pt idx="562">
                  <c:v>7.5600000000000001E-2</c:v>
                </c:pt>
                <c:pt idx="563">
                  <c:v>6.7199999999999982E-2</c:v>
                </c:pt>
                <c:pt idx="564">
                  <c:v>7.2000000000000008E-2</c:v>
                </c:pt>
                <c:pt idx="565">
                  <c:v>7.3199999999999987E-2</c:v>
                </c:pt>
                <c:pt idx="566">
                  <c:v>6.6000000000000003E-2</c:v>
                </c:pt>
                <c:pt idx="567">
                  <c:v>7.0800000000000002E-2</c:v>
                </c:pt>
                <c:pt idx="568">
                  <c:v>8.1599999999999992E-2</c:v>
                </c:pt>
                <c:pt idx="569">
                  <c:v>8.1599999999999992E-2</c:v>
                </c:pt>
                <c:pt idx="570">
                  <c:v>7.3199999999999987E-2</c:v>
                </c:pt>
                <c:pt idx="571">
                  <c:v>8.6400000000000005E-2</c:v>
                </c:pt>
                <c:pt idx="572">
                  <c:v>7.8000000000000014E-2</c:v>
                </c:pt>
                <c:pt idx="573">
                  <c:v>8.5199999999999998E-2</c:v>
                </c:pt>
                <c:pt idx="574">
                  <c:v>8.4000000000000019E-2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8.4000000000000019E-2</c:v>
                </c:pt>
                <c:pt idx="583">
                  <c:v>8.1599999999999992E-2</c:v>
                </c:pt>
                <c:pt idx="584">
                  <c:v>7.8000000000000014E-2</c:v>
                </c:pt>
                <c:pt idx="585">
                  <c:v>8.7599999999999997E-2</c:v>
                </c:pt>
                <c:pt idx="586">
                  <c:v>8.6400000000000005E-2</c:v>
                </c:pt>
                <c:pt idx="587">
                  <c:v>7.3199999999999987E-2</c:v>
                </c:pt>
                <c:pt idx="588">
                  <c:v>0.09</c:v>
                </c:pt>
                <c:pt idx="589">
                  <c:v>7.8000000000000014E-2</c:v>
                </c:pt>
                <c:pt idx="590">
                  <c:v>7.3200000000000001E-2</c:v>
                </c:pt>
                <c:pt idx="591">
                  <c:v>8.5199999999999998E-2</c:v>
                </c:pt>
                <c:pt idx="592">
                  <c:v>7.6800000000000007E-2</c:v>
                </c:pt>
                <c:pt idx="593">
                  <c:v>7.0800000000000002E-2</c:v>
                </c:pt>
                <c:pt idx="594">
                  <c:v>8.7599999999999997E-2</c:v>
                </c:pt>
                <c:pt idx="595">
                  <c:v>7.8000000000000014E-2</c:v>
                </c:pt>
                <c:pt idx="596">
                  <c:v>8.2799999999999999E-2</c:v>
                </c:pt>
                <c:pt idx="597">
                  <c:v>7.6800000000000007E-2</c:v>
                </c:pt>
                <c:pt idx="598">
                  <c:v>7.3199999999999987E-2</c:v>
                </c:pt>
                <c:pt idx="599">
                  <c:v>7.9199999999999993E-2</c:v>
                </c:pt>
                <c:pt idx="600">
                  <c:v>7.5600000000000001E-2</c:v>
                </c:pt>
                <c:pt idx="601">
                  <c:v>7.0800000000000002E-2</c:v>
                </c:pt>
                <c:pt idx="602">
                  <c:v>6.8400000000000002E-2</c:v>
                </c:pt>
                <c:pt idx="603">
                  <c:v>7.8000000000000014E-2</c:v>
                </c:pt>
                <c:pt idx="604">
                  <c:v>7.3199999999999987E-2</c:v>
                </c:pt>
                <c:pt idx="605">
                  <c:v>8.0399999999999999E-2</c:v>
                </c:pt>
                <c:pt idx="606">
                  <c:v>7.4399999999999994E-2</c:v>
                </c:pt>
                <c:pt idx="607">
                  <c:v>7.0800000000000002E-2</c:v>
                </c:pt>
                <c:pt idx="608">
                  <c:v>8.0399999999999999E-2</c:v>
                </c:pt>
                <c:pt idx="609">
                  <c:v>7.3199999999999987E-2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8.4000000000000019E-2</c:v>
                </c:pt>
                <c:pt idx="621">
                  <c:v>7.8000000000000014E-2</c:v>
                </c:pt>
                <c:pt idx="622">
                  <c:v>8.7599999999999997E-2</c:v>
                </c:pt>
                <c:pt idx="623">
                  <c:v>8.5199999999999998E-2</c:v>
                </c:pt>
                <c:pt idx="624">
                  <c:v>8.1599999999999992E-2</c:v>
                </c:pt>
                <c:pt idx="625">
                  <c:v>9.4800000000000009E-2</c:v>
                </c:pt>
                <c:pt idx="626">
                  <c:v>7.8000000000000014E-2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0.14039999999999997</c:v>
                </c:pt>
                <c:pt idx="659">
                  <c:v>0.1356</c:v>
                </c:pt>
                <c:pt idx="660">
                  <c:v>0.12</c:v>
                </c:pt>
                <c:pt idx="661">
                  <c:v>0.12959999999999999</c:v>
                </c:pt>
                <c:pt idx="662">
                  <c:v>0.1236</c:v>
                </c:pt>
                <c:pt idx="663">
                  <c:v>0.14879999999999999</c:v>
                </c:pt>
                <c:pt idx="664">
                  <c:v>0.13439999999999996</c:v>
                </c:pt>
                <c:pt idx="665">
                  <c:v>0.1212</c:v>
                </c:pt>
                <c:pt idx="666">
                  <c:v>0.14400000000000002</c:v>
                </c:pt>
                <c:pt idx="667">
                  <c:v>0.1368</c:v>
                </c:pt>
                <c:pt idx="668">
                  <c:v>0.13439999999999996</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8.4000000000000019E-2</c:v>
                </c:pt>
                <c:pt idx="715">
                  <c:v>7.9199999999999993E-2</c:v>
                </c:pt>
                <c:pt idx="716">
                  <c:v>7.5600000000000001E-2</c:v>
                </c:pt>
                <c:pt idx="717">
                  <c:v>7.8000000000000014E-2</c:v>
                </c:pt>
                <c:pt idx="718">
                  <c:v>8.2799999999999999E-2</c:v>
                </c:pt>
                <c:pt idx="719">
                  <c:v>7.0800000000000002E-2</c:v>
                </c:pt>
                <c:pt idx="720">
                  <c:v>8.4000000000000019E-2</c:v>
                </c:pt>
                <c:pt idx="721">
                  <c:v>7.6800000000000007E-2</c:v>
                </c:pt>
                <c:pt idx="722">
                  <c:v>7.0800000000000002E-2</c:v>
                </c:pt>
                <c:pt idx="723">
                  <c:v>7.9199999999999993E-2</c:v>
                </c:pt>
                <c:pt idx="724">
                  <c:v>7.8000000000000014E-2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8.4000000000000019E-2</c:v>
                </c:pt>
                <c:pt idx="737">
                  <c:v>9.3599999999999989E-2</c:v>
                </c:pt>
                <c:pt idx="738">
                  <c:v>9.1200000000000003E-2</c:v>
                </c:pt>
                <c:pt idx="739">
                  <c:v>8.5199999999999998E-2</c:v>
                </c:pt>
                <c:pt idx="740">
                  <c:v>9.9599999999999994E-2</c:v>
                </c:pt>
                <c:pt idx="741">
                  <c:v>9.1200000000000003E-2</c:v>
                </c:pt>
                <c:pt idx="742">
                  <c:v>9.1200000000000003E-2</c:v>
                </c:pt>
                <c:pt idx="743">
                  <c:v>8.4000000000000019E-2</c:v>
                </c:pt>
                <c:pt idx="744">
                  <c:v>0.09</c:v>
                </c:pt>
                <c:pt idx="745">
                  <c:v>9.6000000000000002E-2</c:v>
                </c:pt>
                <c:pt idx="746">
                  <c:v>8.2799999999999999E-2</c:v>
                </c:pt>
                <c:pt idx="747">
                  <c:v>9.4800000000000009E-2</c:v>
                </c:pt>
                <c:pt idx="748">
                  <c:v>8.4000000000000019E-2</c:v>
                </c:pt>
                <c:pt idx="749">
                  <c:v>9.6000000000000002E-2</c:v>
                </c:pt>
                <c:pt idx="750">
                  <c:v>8.4000000000000019E-2</c:v>
                </c:pt>
                <c:pt idx="751">
                  <c:v>8.1599999999999992E-2</c:v>
                </c:pt>
                <c:pt idx="752">
                  <c:v>7.9199999999999993E-2</c:v>
                </c:pt>
                <c:pt idx="753">
                  <c:v>7.8000000000000014E-2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7.8000000000000014E-2</c:v>
                </c:pt>
                <c:pt idx="779">
                  <c:v>7.2000000000000008E-2</c:v>
                </c:pt>
                <c:pt idx="780">
                  <c:v>8.1599999999999992E-2</c:v>
                </c:pt>
                <c:pt idx="781">
                  <c:v>7.3199999999999987E-2</c:v>
                </c:pt>
                <c:pt idx="782">
                  <c:v>7.0800000000000002E-2</c:v>
                </c:pt>
                <c:pt idx="783">
                  <c:v>8.0399999999999999E-2</c:v>
                </c:pt>
                <c:pt idx="784">
                  <c:v>7.8000000000000014E-2</c:v>
                </c:pt>
                <c:pt idx="785">
                  <c:v>7.3199999999999987E-2</c:v>
                </c:pt>
                <c:pt idx="786">
                  <c:v>8.0399999999999999E-2</c:v>
                </c:pt>
                <c:pt idx="787">
                  <c:v>7.5600000000000001E-2</c:v>
                </c:pt>
                <c:pt idx="788">
                  <c:v>7.2000000000000008E-2</c:v>
                </c:pt>
                <c:pt idx="789">
                  <c:v>6.9599999999999995E-2</c:v>
                </c:pt>
                <c:pt idx="790">
                  <c:v>6.8400000000000002E-2</c:v>
                </c:pt>
                <c:pt idx="791">
                  <c:v>7.3199999999999987E-2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6.7199999999999982E-2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7.3199999999999987E-2</c:v>
                </c:pt>
                <c:pt idx="811">
                  <c:v>7.2000000000000008E-2</c:v>
                </c:pt>
                <c:pt idx="812">
                  <c:v>7.9199999999999993E-2</c:v>
                </c:pt>
                <c:pt idx="813">
                  <c:v>7.3199999999999987E-2</c:v>
                </c:pt>
                <c:pt idx="814">
                  <c:v>7.9199999999999993E-2</c:v>
                </c:pt>
                <c:pt idx="815">
                  <c:v>7.6800000000000007E-2</c:v>
                </c:pt>
                <c:pt idx="816">
                  <c:v>7.9199999999999993E-2</c:v>
                </c:pt>
                <c:pt idx="817">
                  <c:v>8.4000000000000019E-2</c:v>
                </c:pt>
                <c:pt idx="818">
                  <c:v>7.0800000000000002E-2</c:v>
                </c:pt>
                <c:pt idx="819">
                  <c:v>7.6800000000000007E-2</c:v>
                </c:pt>
                <c:pt idx="820">
                  <c:v>6.9599999999999995E-2</c:v>
                </c:pt>
                <c:pt idx="821">
                  <c:v>7.8000000000000014E-2</c:v>
                </c:pt>
                <c:pt idx="822">
                  <c:v>6.4799999999999996E-2</c:v>
                </c:pt>
                <c:pt idx="823">
                  <c:v>6.7199999999999982E-2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6.7199999999999982E-2</c:v>
                </c:pt>
                <c:pt idx="841">
                  <c:v>6.7199999999999982E-2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6.7199999999999982E-2</c:v>
                </c:pt>
                <c:pt idx="876">
                  <c:v>6.6000000000000003E-2</c:v>
                </c:pt>
                <c:pt idx="877">
                  <c:v>6.8400000000000002E-2</c:v>
                </c:pt>
                <c:pt idx="878">
                  <c:v>6.1200000000000004E-2</c:v>
                </c:pt>
                <c:pt idx="879">
                  <c:v>6.4799999999999996E-2</c:v>
                </c:pt>
                <c:pt idx="880">
                  <c:v>5.6400000000000006E-2</c:v>
                </c:pt>
                <c:pt idx="881">
                  <c:v>6.7199999999999982E-2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4.200000000000001E-2</c:v>
                </c:pt>
                <c:pt idx="939">
                  <c:v>4.9200000000000008E-2</c:v>
                </c:pt>
                <c:pt idx="940">
                  <c:v>4.6799999999999994E-2</c:v>
                </c:pt>
                <c:pt idx="941">
                  <c:v>4.8000000000000001E-2</c:v>
                </c:pt>
                <c:pt idx="942">
                  <c:v>4.3200000000000002E-2</c:v>
                </c:pt>
                <c:pt idx="943">
                  <c:v>4.0799999999999996E-2</c:v>
                </c:pt>
                <c:pt idx="944">
                  <c:v>4.8000000000000001E-2</c:v>
                </c:pt>
                <c:pt idx="945">
                  <c:v>4.200000000000001E-2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4.200000000000001E-2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4.200000000000001E-2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4.200000000000001E-2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pt idx="1093">
                  <c:v>2.8799999999999999E-2</c:v>
                </c:pt>
                <c:pt idx="1094">
                  <c:v>2.64E-2</c:v>
                </c:pt>
                <c:pt idx="1095">
                  <c:v>2.8799999999999999E-2</c:v>
                </c:pt>
                <c:pt idx="1096">
                  <c:v>0.03</c:v>
                </c:pt>
                <c:pt idx="1097">
                  <c:v>0.03</c:v>
                </c:pt>
                <c:pt idx="1098">
                  <c:v>2.76E-2</c:v>
                </c:pt>
                <c:pt idx="1099">
                  <c:v>0.03</c:v>
                </c:pt>
                <c:pt idx="1100">
                  <c:v>0.03</c:v>
                </c:pt>
                <c:pt idx="1101">
                  <c:v>2.64E-2</c:v>
                </c:pt>
                <c:pt idx="1102">
                  <c:v>3.6000000000000004E-2</c:v>
                </c:pt>
                <c:pt idx="1103">
                  <c:v>3.3599999999999998E-2</c:v>
                </c:pt>
                <c:pt idx="1104">
                  <c:v>3.2399999999999998E-2</c:v>
                </c:pt>
                <c:pt idx="1105">
                  <c:v>0.03</c:v>
                </c:pt>
                <c:pt idx="1106">
                  <c:v>2.64E-2</c:v>
                </c:pt>
                <c:pt idx="1107">
                  <c:v>2.76E-2</c:v>
                </c:pt>
                <c:pt idx="1108">
                  <c:v>2.76E-2</c:v>
                </c:pt>
                <c:pt idx="1109">
                  <c:v>2.76E-2</c:v>
                </c:pt>
                <c:pt idx="1110">
                  <c:v>2.1600000000000001E-2</c:v>
                </c:pt>
                <c:pt idx="1111">
                  <c:v>2.52E-2</c:v>
                </c:pt>
                <c:pt idx="1112">
                  <c:v>2.2800000000000001E-2</c:v>
                </c:pt>
                <c:pt idx="1113">
                  <c:v>1.8000000000000002E-2</c:v>
                </c:pt>
                <c:pt idx="1114">
                  <c:v>1.9200000000000002E-2</c:v>
                </c:pt>
                <c:pt idx="1115">
                  <c:v>1.9200000000000002E-2</c:v>
                </c:pt>
                <c:pt idx="1116">
                  <c:v>2.1600000000000001E-2</c:v>
                </c:pt>
                <c:pt idx="1117">
                  <c:v>2.4E-2</c:v>
                </c:pt>
                <c:pt idx="1118">
                  <c:v>1.8000000000000002E-2</c:v>
                </c:pt>
                <c:pt idx="1119">
                  <c:v>1.5599999999999999E-2</c:v>
                </c:pt>
                <c:pt idx="1120">
                  <c:v>1.0800000000000001E-2</c:v>
                </c:pt>
                <c:pt idx="1121">
                  <c:v>1.0800000000000001E-2</c:v>
                </c:pt>
                <c:pt idx="1122">
                  <c:v>1.0800000000000001E-2</c:v>
                </c:pt>
                <c:pt idx="1123">
                  <c:v>1.2E-2</c:v>
                </c:pt>
                <c:pt idx="1124">
                  <c:v>9.6000000000000009E-3</c:v>
                </c:pt>
                <c:pt idx="1125">
                  <c:v>0</c:v>
                </c:pt>
                <c:pt idx="1126">
                  <c:v>1.0800000000000001E-2</c:v>
                </c:pt>
                <c:pt idx="1127">
                  <c:v>1.32E-2</c:v>
                </c:pt>
                <c:pt idx="1128">
                  <c:v>1.32E-2</c:v>
                </c:pt>
                <c:pt idx="1129">
                  <c:v>1.32E-2</c:v>
                </c:pt>
                <c:pt idx="1130">
                  <c:v>1.44E-2</c:v>
                </c:pt>
                <c:pt idx="1131">
                  <c:v>2.1600000000000001E-2</c:v>
                </c:pt>
                <c:pt idx="1132">
                  <c:v>2.2800000000000001E-2</c:v>
                </c:pt>
                <c:pt idx="1133">
                  <c:v>2.1600000000000001E-2</c:v>
                </c:pt>
                <c:pt idx="1134">
                  <c:v>2.0399999999999998E-2</c:v>
                </c:pt>
                <c:pt idx="1135">
                  <c:v>1.9200000000000002E-2</c:v>
                </c:pt>
                <c:pt idx="1136">
                  <c:v>1.8000000000000002E-2</c:v>
                </c:pt>
                <c:pt idx="1137">
                  <c:v>1.6799999999999999E-2</c:v>
                </c:pt>
                <c:pt idx="1138">
                  <c:v>1.8000000000000002E-2</c:v>
                </c:pt>
                <c:pt idx="1139">
                  <c:v>2.0399999999999998E-2</c:v>
                </c:pt>
                <c:pt idx="1140">
                  <c:v>1.8000000000000002E-2</c:v>
                </c:pt>
              </c:numCache>
            </c:numRef>
          </c:xVal>
          <c:yVal>
            <c:numRef>
              <c:f>'MRP ERP WP'!$O$16:$O$1156</c:f>
              <c:numCache>
                <c:formatCode>0.00%</c:formatCode>
                <c:ptCount val="1141"/>
                <c:pt idx="0">
                  <c:v>8.0074444282409535E-2</c:v>
                </c:pt>
                <c:pt idx="1">
                  <c:v>5.853420750775909E-2</c:v>
                </c:pt>
                <c:pt idx="2">
                  <c:v>0.16709110187303744</c:v>
                </c:pt>
                <c:pt idx="3">
                  <c:v>0.24894182966507422</c:v>
                </c:pt>
                <c:pt idx="4">
                  <c:v>0.24483109376898726</c:v>
                </c:pt>
                <c:pt idx="5">
                  <c:v>0.29733527965494144</c:v>
                </c:pt>
                <c:pt idx="6">
                  <c:v>0.23184214715621376</c:v>
                </c:pt>
                <c:pt idx="7">
                  <c:v>0.25488540033942164</c:v>
                </c:pt>
                <c:pt idx="8">
                  <c:v>0.28602415930611119</c:v>
                </c:pt>
                <c:pt idx="9">
                  <c:v>0.3139336387776881</c:v>
                </c:pt>
                <c:pt idx="10">
                  <c:v>0.28252565882158087</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0.35402792188365872</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-0.26831912078039188</c:v>
                </c:pt>
                <c:pt idx="44">
                  <c:v>-0.32747190821853056</c:v>
                </c:pt>
                <c:pt idx="45">
                  <c:v>-0.39062722551965029</c:v>
                </c:pt>
                <c:pt idx="46">
                  <c:v>-0.29850688643044765</c:v>
                </c:pt>
                <c:pt idx="47">
                  <c:v>-0.20030959006307592</c:v>
                </c:pt>
                <c:pt idx="48">
                  <c:v>-0.28255006127662174</c:v>
                </c:pt>
                <c:pt idx="49">
                  <c:v>-0.29222144407623685</c:v>
                </c:pt>
                <c:pt idx="50">
                  <c:v>-0.22232484877135394</c:v>
                </c:pt>
                <c:pt idx="51">
                  <c:v>-0.33717136651802387</c:v>
                </c:pt>
                <c:pt idx="52">
                  <c:v>-0.39489964087559326</c:v>
                </c:pt>
                <c:pt idx="53">
                  <c:v>-0.46984694750363987</c:v>
                </c:pt>
                <c:pt idx="54">
                  <c:v>-0.26808200447033648</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-0.37575883830972001</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0.32659681868828294</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8.9886709025017331E-2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3.1953745359200786E-2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0.27355201099138238</c:v>
                </c:pt>
                <c:pt idx="384">
                  <c:v>0.39411644308112559</c:v>
                </c:pt>
                <c:pt idx="385">
                  <c:v>0.34270918164620012</c:v>
                </c:pt>
                <c:pt idx="386">
                  <c:v>0.36930242076911035</c:v>
                </c:pt>
                <c:pt idx="387">
                  <c:v>0.32255792564935049</c:v>
                </c:pt>
                <c:pt idx="388">
                  <c:v>0.33353839050058476</c:v>
                </c:pt>
                <c:pt idx="389">
                  <c:v>0.33730336062729938</c:v>
                </c:pt>
                <c:pt idx="390">
                  <c:v>0.29338349375806894</c:v>
                </c:pt>
                <c:pt idx="391">
                  <c:v>0.28358280656664503</c:v>
                </c:pt>
                <c:pt idx="392">
                  <c:v>0.24736896810108602</c:v>
                </c:pt>
                <c:pt idx="393">
                  <c:v>0.13265959700429314</c:v>
                </c:pt>
                <c:pt idx="394">
                  <c:v>0.11523454707492478</c:v>
                </c:pt>
                <c:pt idx="395">
                  <c:v>0.1042068355217021</c:v>
                </c:pt>
                <c:pt idx="396">
                  <c:v>7.6568462381524052E-2</c:v>
                </c:pt>
                <c:pt idx="397">
                  <c:v>-6.1055704617358486E-3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5.9935175802729362E-2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2.7159938647167065E-2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9.3583335281050617E-2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3.1426549581813901E-3</c:v>
                </c:pt>
                <c:pt idx="556">
                  <c:v>-4.6003763137382622E-2</c:v>
                </c:pt>
                <c:pt idx="557">
                  <c:v>-8.3298952435268414E-2</c:v>
                </c:pt>
                <c:pt idx="558">
                  <c:v>-6.4209419361133502E-2</c:v>
                </c:pt>
                <c:pt idx="559">
                  <c:v>-3.5616941410362035E-2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7.6875433756279865E-2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-8.0462283052260941E-2</c:v>
                </c:pt>
                <c:pt idx="604">
                  <c:v>-6.3597726910985808E-2</c:v>
                </c:pt>
                <c:pt idx="605">
                  <c:v>-7.9475671416251198E-2</c:v>
                </c:pt>
                <c:pt idx="606">
                  <c:v>-6.8587503192773819E-2</c:v>
                </c:pt>
                <c:pt idx="607">
                  <c:v>-7.2668547179645576E-2</c:v>
                </c:pt>
                <c:pt idx="608">
                  <c:v>-9.766748964952518E-2</c:v>
                </c:pt>
                <c:pt idx="609">
                  <c:v>-0.11365146971433454</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4.090384241431605E-2</c:v>
                </c:pt>
                <c:pt idx="621">
                  <c:v>4.1512929431500034E-2</c:v>
                </c:pt>
                <c:pt idx="622">
                  <c:v>-2.4237458912514595E-2</c:v>
                </c:pt>
                <c:pt idx="623">
                  <c:v>-3.2248433771940255E-2</c:v>
                </c:pt>
                <c:pt idx="624">
                  <c:v>-1.6002563845032611E-2</c:v>
                </c:pt>
                <c:pt idx="625">
                  <c:v>8.5768006128402727E-2</c:v>
                </c:pt>
                <c:pt idx="626">
                  <c:v>8.8348650741737977E-2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-0.13458441520703424</c:v>
                </c:pt>
                <c:pt idx="659">
                  <c:v>-0.18905163267517805</c:v>
                </c:pt>
                <c:pt idx="660">
                  <c:v>-0.16896192088955819</c:v>
                </c:pt>
                <c:pt idx="661">
                  <c:v>-0.15007643469620674</c:v>
                </c:pt>
                <c:pt idx="662">
                  <c:v>-0.21464757420551289</c:v>
                </c:pt>
                <c:pt idx="663">
                  <c:v>-0.2793520450188885</c:v>
                </c:pt>
                <c:pt idx="664">
                  <c:v>-0.20776901953068461</c:v>
                </c:pt>
                <c:pt idx="665">
                  <c:v>-0.22848818667932183</c:v>
                </c:pt>
                <c:pt idx="666">
                  <c:v>-0.25910401920009263</c:v>
                </c:pt>
                <c:pt idx="667">
                  <c:v>-0.26947654690982037</c:v>
                </c:pt>
                <c:pt idx="668">
                  <c:v>-0.10222710358131437</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0.21362604739211508</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0.10268065553543099</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0.12130849349847056</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6.2496299490873597E-2</c:v>
                </c:pt>
                <c:pt idx="785">
                  <c:v>2.5529490325355952E-2</c:v>
                </c:pt>
                <c:pt idx="786">
                  <c:v>5.3909810227948746E-2</c:v>
                </c:pt>
                <c:pt idx="787">
                  <c:v>5.2532124466149077E-2</c:v>
                </c:pt>
                <c:pt idx="788">
                  <c:v>7.4230887121156663E-3</c:v>
                </c:pt>
                <c:pt idx="789">
                  <c:v>4.1109123521731683E-2</c:v>
                </c:pt>
                <c:pt idx="790">
                  <c:v>3.1458501533508723E-2</c:v>
                </c:pt>
                <c:pt idx="791">
                  <c:v>0.11192418092716644</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8.5113626001906251E-2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-5.9106979691114614E-2</c:v>
                </c:pt>
                <c:pt idx="811">
                  <c:v>-2.0438482555204363E-2</c:v>
                </c:pt>
                <c:pt idx="812">
                  <c:v>-2.4497678331215023E-2</c:v>
                </c:pt>
                <c:pt idx="813">
                  <c:v>-3.6354172339111035E-2</c:v>
                </c:pt>
                <c:pt idx="814">
                  <c:v>-4.052569924242283E-2</c:v>
                </c:pt>
                <c:pt idx="815">
                  <c:v>-6.6334016951033387E-2</c:v>
                </c:pt>
                <c:pt idx="816">
                  <c:v>-6.6038376051683445E-2</c:v>
                </c:pt>
                <c:pt idx="817">
                  <c:v>-7.8775135388222395E-2</c:v>
                </c:pt>
                <c:pt idx="818">
                  <c:v>2.7210549199680745E-3</c:v>
                </c:pt>
                <c:pt idx="819">
                  <c:v>7.8772904684344586E-2</c:v>
                </c:pt>
                <c:pt idx="820">
                  <c:v>0.10491298191357112</c:v>
                </c:pt>
                <c:pt idx="821">
                  <c:v>0.12378423965969426</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3.7723155802512787E-2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-0.27237363624797073</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2.7568854219980371E-2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-0.42286329860570171</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pt idx="1093">
                  <c:v>0.23543347257697594</c:v>
                </c:pt>
                <c:pt idx="1094">
                  <c:v>0.14469094684898029</c:v>
                </c:pt>
                <c:pt idx="1095">
                  <c:v>0.11117726408211798</c:v>
                </c:pt>
                <c:pt idx="1096">
                  <c:v>0.10264295524658998</c:v>
                </c:pt>
                <c:pt idx="1097">
                  <c:v>0.11381190264079735</c:v>
                </c:pt>
                <c:pt idx="1098">
                  <c:v>0.11621190264079713</c:v>
                </c:pt>
                <c:pt idx="1099">
                  <c:v>0.13241593711447644</c:v>
                </c:pt>
                <c:pt idx="1100">
                  <c:v>0.16660123284259634</c:v>
                </c:pt>
                <c:pt idx="1101">
                  <c:v>0.15273174590417346</c:v>
                </c:pt>
                <c:pt idx="1102">
                  <c:v>3.7467345337953289E-2</c:v>
                </c:pt>
                <c:pt idx="1103">
                  <c:v>2.9139962339039004E-2</c:v>
                </c:pt>
                <c:pt idx="1104">
                  <c:v>-7.6238845079790521E-2</c:v>
                </c:pt>
                <c:pt idx="1105">
                  <c:v>-5.3219839752843362E-2</c:v>
                </c:pt>
                <c:pt idx="1106">
                  <c:v>2.0360256869577521E-2</c:v>
                </c:pt>
                <c:pt idx="1107">
                  <c:v>6.7277288993276743E-2</c:v>
                </c:pt>
                <c:pt idx="1108">
                  <c:v>0.10730717194411661</c:v>
                </c:pt>
                <c:pt idx="1109">
                  <c:v>1.0228890270154459E-2</c:v>
                </c:pt>
                <c:pt idx="1110">
                  <c:v>8.2550096436295128E-2</c:v>
                </c:pt>
                <c:pt idx="1111">
                  <c:v>5.4678382014055393E-2</c:v>
                </c:pt>
                <c:pt idx="1112">
                  <c:v>6.4623509376652705E-3</c:v>
                </c:pt>
                <c:pt idx="1113">
                  <c:v>2.4566925425275624E-2</c:v>
                </c:pt>
                <c:pt idx="1114">
                  <c:v>0.1241991280667708</c:v>
                </c:pt>
                <c:pt idx="1115">
                  <c:v>0.14201571581300942</c:v>
                </c:pt>
                <c:pt idx="1116">
                  <c:v>0.29343180216616732</c:v>
                </c:pt>
                <c:pt idx="1117">
                  <c:v>0.19302230297685499</c:v>
                </c:pt>
                <c:pt idx="1118">
                  <c:v>6.4125150122913657E-2</c:v>
                </c:pt>
                <c:pt idx="1119">
                  <c:v>-8.5167692679287643E-2</c:v>
                </c:pt>
                <c:pt idx="1120">
                  <c:v>-1.9449023361575966E-3</c:v>
                </c:pt>
                <c:pt idx="1121">
                  <c:v>0.11773881506955788</c:v>
                </c:pt>
                <c:pt idx="1122">
                  <c:v>6.4395457720170329E-2</c:v>
                </c:pt>
                <c:pt idx="1123">
                  <c:v>0.10771261981031933</c:v>
                </c:pt>
                <c:pt idx="1124">
                  <c:v>0.20988786544877219</c:v>
                </c:pt>
                <c:pt idx="1125">
                  <c:v>0.15161217881782529</c:v>
                </c:pt>
                <c:pt idx="1126">
                  <c:v>8.6370690869404992E-2</c:v>
                </c:pt>
                <c:pt idx="1127">
                  <c:v>0.161470347891156</c:v>
                </c:pt>
                <c:pt idx="1128">
                  <c:v>0.17082027688815404</c:v>
                </c:pt>
                <c:pt idx="1129">
                  <c:v>0.15933068436532982</c:v>
                </c:pt>
                <c:pt idx="1130">
                  <c:v>0.29854816525423716</c:v>
                </c:pt>
                <c:pt idx="1131">
                  <c:v>0.54195424403008896</c:v>
                </c:pt>
                <c:pt idx="1132">
                  <c:v>0.43709012645035855</c:v>
                </c:pt>
                <c:pt idx="1133">
                  <c:v>0.38171171948788768</c:v>
                </c:pt>
                <c:pt idx="1134">
                  <c:v>0.38758988386308002</c:v>
                </c:pt>
                <c:pt idx="1135">
                  <c:v>0.34533998778779018</c:v>
                </c:pt>
                <c:pt idx="1136">
                  <c:v>0.29371005076643208</c:v>
                </c:pt>
                <c:pt idx="1137">
                  <c:v>0.28332009709541878</c:v>
                </c:pt>
                <c:pt idx="1138">
                  <c:v>0.41127729186542838</c:v>
                </c:pt>
                <c:pt idx="1139">
                  <c:v>0.25892877742366593</c:v>
                </c:pt>
                <c:pt idx="1140">
                  <c:v>0.26921370055108418</c:v>
                </c:pt>
              </c:numCache>
            </c:numRef>
          </c:yVal>
          <c:smooth val="0"/>
          <c:extLst>
            <c:ext xmlns:c16="http://schemas.microsoft.com/office/drawing/2014/chart" uri="{C3380CC4-5D6E-409C-BE32-E72D297353CC}">
              <c16:uniqueId val="{00000001-EF1A-4553-B8CB-DD21844B566E}"/>
            </c:ext>
          </c:extLst>
        </c:ser>
        <c:dLbls>
          <c:showLegendKey val="0"/>
          <c:showVal val="0"/>
          <c:showCatName val="0"/>
          <c:showSerName val="0"/>
          <c:showPercent val="0"/>
          <c:showBubbleSize val="0"/>
        </c:dLbls>
        <c:axId val="-2035267600"/>
        <c:axId val="-2035246912"/>
      </c:scatterChart>
      <c:valAx>
        <c:axId val="-2035267600"/>
        <c:scaling>
          <c:orientation val="minMax"/>
        </c:scaling>
        <c:delete val="0"/>
        <c:axPos val="b"/>
        <c:title>
          <c:tx>
            <c:rich>
              <a:bodyPr/>
              <a:lstStyle/>
              <a:p>
                <a:pPr>
                  <a:defRPr/>
                </a:pPr>
                <a:r>
                  <a:rPr lang="en-US"/>
                  <a:t>Risk-Free rate</a:t>
                </a:r>
              </a:p>
            </c:rich>
          </c:tx>
          <c:overlay val="0"/>
        </c:title>
        <c:numFmt formatCode="General" sourceLinked="0"/>
        <c:majorTickMark val="out"/>
        <c:minorTickMark val="none"/>
        <c:tickLblPos val="nextTo"/>
        <c:crossAx val="-2035246912"/>
        <c:crosses val="autoZero"/>
        <c:crossBetween val="midCat"/>
      </c:valAx>
      <c:valAx>
        <c:axId val="-2035246912"/>
        <c:scaling>
          <c:orientation val="minMax"/>
        </c:scaling>
        <c:delete val="0"/>
        <c:axPos val="l"/>
        <c:title>
          <c:tx>
            <c:rich>
              <a:bodyPr/>
              <a:lstStyle/>
              <a:p>
                <a:pPr>
                  <a:defRPr/>
                </a:pPr>
                <a:r>
                  <a:rPr lang="en-US"/>
                  <a:t>Risk Premium</a:t>
                </a:r>
              </a:p>
            </c:rich>
          </c:tx>
          <c:overlay val="0"/>
        </c:title>
        <c:numFmt formatCode="General" sourceLinked="0"/>
        <c:majorTickMark val="out"/>
        <c:minorTickMark val="none"/>
        <c:tickLblPos val="nextTo"/>
        <c:crossAx val="-2035267600"/>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25</xdr:col>
      <xdr:colOff>11206</xdr:colOff>
      <xdr:row>3</xdr:row>
      <xdr:rowOff>209115</xdr:rowOff>
    </xdr:from>
    <xdr:to>
      <xdr:col>32</xdr:col>
      <xdr:colOff>201706</xdr:colOff>
      <xdr:row>15</xdr:row>
      <xdr:rowOff>184462</xdr:rowOff>
    </xdr:to>
    <xdr:graphicFrame macro="">
      <xdr:nvGraphicFramePr>
        <xdr:cNvPr id="2" name="Chart 1">
          <a:extLst>
            <a:ext uri="{FF2B5EF4-FFF2-40B4-BE49-F238E27FC236}">
              <a16:creationId xmlns:a16="http://schemas.microsoft.com/office/drawing/2014/main" id="{F7B8617B-BE4B-456F-A9D2-E26E43586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123265</xdr:colOff>
      <xdr:row>4</xdr:row>
      <xdr:rowOff>123264</xdr:rowOff>
    </xdr:from>
    <xdr:to>
      <xdr:col>24</xdr:col>
      <xdr:colOff>475130</xdr:colOff>
      <xdr:row>18</xdr:row>
      <xdr:rowOff>151346</xdr:rowOff>
    </xdr:to>
    <xdr:graphicFrame macro="">
      <xdr:nvGraphicFramePr>
        <xdr:cNvPr id="2" name="Chart 1">
          <a:extLst>
            <a:ext uri="{FF2B5EF4-FFF2-40B4-BE49-F238E27FC236}">
              <a16:creationId xmlns:a16="http://schemas.microsoft.com/office/drawing/2014/main" id="{1AAE1C6A-931F-49F1-88B9-31670E95DCF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23</xdr:col>
      <xdr:colOff>81643</xdr:colOff>
      <xdr:row>20</xdr:row>
      <xdr:rowOff>122464</xdr:rowOff>
    </xdr:from>
    <xdr:to>
      <xdr:col>29</xdr:col>
      <xdr:colOff>81643</xdr:colOff>
      <xdr:row>38</xdr:row>
      <xdr:rowOff>68034</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83004</xdr:colOff>
      <xdr:row>20</xdr:row>
      <xdr:rowOff>190507</xdr:rowOff>
    </xdr:from>
    <xdr:to>
      <xdr:col>39</xdr:col>
      <xdr:colOff>83004</xdr:colOff>
      <xdr:row>38</xdr:row>
      <xdr:rowOff>81642</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62593</xdr:colOff>
      <xdr:row>21</xdr:row>
      <xdr:rowOff>54435</xdr:rowOff>
    </xdr:from>
    <xdr:to>
      <xdr:col>49</xdr:col>
      <xdr:colOff>73479</xdr:colOff>
      <xdr:row>38</xdr:row>
      <xdr:rowOff>13607</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81643</xdr:colOff>
      <xdr:row>20</xdr:row>
      <xdr:rowOff>122464</xdr:rowOff>
    </xdr:from>
    <xdr:to>
      <xdr:col>29</xdr:col>
      <xdr:colOff>81643</xdr:colOff>
      <xdr:row>38</xdr:row>
      <xdr:rowOff>68034</xdr:rowOff>
    </xdr:to>
    <xdr:graphicFrame macro="">
      <xdr:nvGraphicFramePr>
        <xdr:cNvPr id="5" name="Chart 4">
          <a:extLst>
            <a:ext uri="{FF2B5EF4-FFF2-40B4-BE49-F238E27FC236}">
              <a16:creationId xmlns:a16="http://schemas.microsoft.com/office/drawing/2014/main" id="{18C43A27-4CCE-4770-8255-19D216B4C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83004</xdr:colOff>
      <xdr:row>20</xdr:row>
      <xdr:rowOff>190507</xdr:rowOff>
    </xdr:from>
    <xdr:to>
      <xdr:col>39</xdr:col>
      <xdr:colOff>83004</xdr:colOff>
      <xdr:row>38</xdr:row>
      <xdr:rowOff>81642</xdr:rowOff>
    </xdr:to>
    <xdr:graphicFrame macro="">
      <xdr:nvGraphicFramePr>
        <xdr:cNvPr id="6" name="Chart 5">
          <a:extLst>
            <a:ext uri="{FF2B5EF4-FFF2-40B4-BE49-F238E27FC236}">
              <a16:creationId xmlns:a16="http://schemas.microsoft.com/office/drawing/2014/main" id="{3FCDFF1A-FB1E-4CE6-891F-7881FB3D2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62593</xdr:colOff>
      <xdr:row>21</xdr:row>
      <xdr:rowOff>54435</xdr:rowOff>
    </xdr:from>
    <xdr:to>
      <xdr:col>49</xdr:col>
      <xdr:colOff>73479</xdr:colOff>
      <xdr:row>38</xdr:row>
      <xdr:rowOff>13607</xdr:rowOff>
    </xdr:to>
    <xdr:graphicFrame macro="">
      <xdr:nvGraphicFramePr>
        <xdr:cNvPr id="7" name="Chart 6">
          <a:extLst>
            <a:ext uri="{FF2B5EF4-FFF2-40B4-BE49-F238E27FC236}">
              <a16:creationId xmlns:a16="http://schemas.microsoft.com/office/drawing/2014/main" id="{EE6F8B00-D51E-49FD-B247-6B1861E96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81643</xdr:colOff>
      <xdr:row>20</xdr:row>
      <xdr:rowOff>122464</xdr:rowOff>
    </xdr:from>
    <xdr:to>
      <xdr:col>29</xdr:col>
      <xdr:colOff>81643</xdr:colOff>
      <xdr:row>38</xdr:row>
      <xdr:rowOff>68034</xdr:rowOff>
    </xdr:to>
    <xdr:graphicFrame macro="">
      <xdr:nvGraphicFramePr>
        <xdr:cNvPr id="8" name="Chart 7">
          <a:extLst>
            <a:ext uri="{FF2B5EF4-FFF2-40B4-BE49-F238E27FC236}">
              <a16:creationId xmlns:a16="http://schemas.microsoft.com/office/drawing/2014/main" id="{684E22E4-A414-4291-B8A5-35440C9DC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83004</xdr:colOff>
      <xdr:row>20</xdr:row>
      <xdr:rowOff>190507</xdr:rowOff>
    </xdr:from>
    <xdr:to>
      <xdr:col>39</xdr:col>
      <xdr:colOff>83004</xdr:colOff>
      <xdr:row>38</xdr:row>
      <xdr:rowOff>81642</xdr:rowOff>
    </xdr:to>
    <xdr:graphicFrame macro="">
      <xdr:nvGraphicFramePr>
        <xdr:cNvPr id="9" name="Chart 8">
          <a:extLst>
            <a:ext uri="{FF2B5EF4-FFF2-40B4-BE49-F238E27FC236}">
              <a16:creationId xmlns:a16="http://schemas.microsoft.com/office/drawing/2014/main" id="{9B7927A3-64B0-45E4-BD9E-A66251EFC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62593</xdr:colOff>
      <xdr:row>21</xdr:row>
      <xdr:rowOff>54435</xdr:rowOff>
    </xdr:from>
    <xdr:to>
      <xdr:col>49</xdr:col>
      <xdr:colOff>73479</xdr:colOff>
      <xdr:row>38</xdr:row>
      <xdr:rowOff>13607</xdr:rowOff>
    </xdr:to>
    <xdr:graphicFrame macro="">
      <xdr:nvGraphicFramePr>
        <xdr:cNvPr id="10" name="Chart 9">
          <a:extLst>
            <a:ext uri="{FF2B5EF4-FFF2-40B4-BE49-F238E27FC236}">
              <a16:creationId xmlns:a16="http://schemas.microsoft.com/office/drawing/2014/main" id="{DCBDC169-D56A-4DA8-A4BE-9CF96DAB9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83004</xdr:colOff>
      <xdr:row>20</xdr:row>
      <xdr:rowOff>190507</xdr:rowOff>
    </xdr:from>
    <xdr:to>
      <xdr:col>39</xdr:col>
      <xdr:colOff>83004</xdr:colOff>
      <xdr:row>38</xdr:row>
      <xdr:rowOff>81642</xdr:rowOff>
    </xdr:to>
    <xdr:graphicFrame macro="">
      <xdr:nvGraphicFramePr>
        <xdr:cNvPr id="12" name="Chart 11">
          <a:extLst>
            <a:ext uri="{FF2B5EF4-FFF2-40B4-BE49-F238E27FC236}">
              <a16:creationId xmlns:a16="http://schemas.microsoft.com/office/drawing/2014/main" id="{9F8120F0-23F3-49D0-8890-F8982DB1D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43</xdr:col>
      <xdr:colOff>62593</xdr:colOff>
      <xdr:row>21</xdr:row>
      <xdr:rowOff>54435</xdr:rowOff>
    </xdr:from>
    <xdr:to>
      <xdr:col>49</xdr:col>
      <xdr:colOff>73479</xdr:colOff>
      <xdr:row>38</xdr:row>
      <xdr:rowOff>13607</xdr:rowOff>
    </xdr:to>
    <xdr:graphicFrame macro="">
      <xdr:nvGraphicFramePr>
        <xdr:cNvPr id="13" name="Chart 12">
          <a:extLst>
            <a:ext uri="{FF2B5EF4-FFF2-40B4-BE49-F238E27FC236}">
              <a16:creationId xmlns:a16="http://schemas.microsoft.com/office/drawing/2014/main" id="{D6E1CF27-5F93-4006-AA59-2C7408EAB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workbookViewId="0"/>
  </sheetViews>
  <sheetFormatPr defaultRowHeight="13.2"/>
  <sheetData>
    <row r="1" spans="1:1">
      <c r="A1" t="s">
        <v>4041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H14"/>
  <sheetViews>
    <sheetView view="pageBreakPreview" zoomScale="85" zoomScaleNormal="100" zoomScaleSheetLayoutView="85" workbookViewId="0">
      <selection sqref="A1:E1"/>
    </sheetView>
  </sheetViews>
  <sheetFormatPr defaultColWidth="9" defaultRowHeight="15"/>
  <cols>
    <col min="1" max="1" width="18.88671875" style="3" customWidth="1"/>
    <col min="2" max="2" width="6.5546875" style="3" customWidth="1"/>
    <col min="3" max="3" width="9.5546875" style="3" customWidth="1"/>
    <col min="4" max="4" width="17" style="3" customWidth="1"/>
    <col min="5" max="5" width="3.88671875" style="3" customWidth="1"/>
    <col min="6" max="6" width="2.5546875" style="3" customWidth="1"/>
    <col min="7" max="7" width="17" style="3" customWidth="1"/>
    <col min="8" max="8" width="3" style="3" customWidth="1"/>
    <col min="9" max="10" width="2.5546875" style="3" customWidth="1"/>
    <col min="11" max="11" width="11.5546875" style="3" customWidth="1"/>
    <col min="12" max="13" width="2.5546875" style="3" customWidth="1"/>
    <col min="14" max="16384" width="9" style="3"/>
  </cols>
  <sheetData>
    <row r="1" spans="1:8">
      <c r="A1" s="1016" t="str">
        <f>Input!G28</f>
        <v>Peoples Gas System</v>
      </c>
      <c r="B1" s="1016"/>
      <c r="C1" s="1016"/>
      <c r="D1" s="1016"/>
      <c r="E1" s="1016"/>
      <c r="F1" s="647"/>
      <c r="G1" s="647"/>
      <c r="H1" s="647"/>
    </row>
    <row r="2" spans="1:8">
      <c r="A2" s="1017" t="s">
        <v>2214</v>
      </c>
      <c r="B2" s="1017"/>
      <c r="C2" s="1017"/>
      <c r="D2" s="1017"/>
      <c r="E2" s="1017"/>
    </row>
    <row r="3" spans="1:8">
      <c r="A3" s="1018" t="str">
        <f>Input!I29</f>
        <v>Utility Proxy Group</v>
      </c>
      <c r="B3" s="1018"/>
      <c r="C3" s="1018"/>
      <c r="D3" s="1018"/>
      <c r="E3" s="1018"/>
      <c r="F3" s="104"/>
      <c r="G3" s="104"/>
      <c r="H3" s="104"/>
    </row>
    <row r="5" spans="1:8" ht="83.25" customHeight="1">
      <c r="D5" s="1015" t="str">
        <f>Input!I30</f>
        <v>Proxy Group of Six Natural Gas Companies</v>
      </c>
      <c r="E5" s="1015"/>
    </row>
    <row r="6" spans="1:8" ht="48.75" customHeight="1">
      <c r="A6" s="12" t="s">
        <v>2196</v>
      </c>
      <c r="D6" s="7">
        <f>IFERROR('4.2 Ind. PRPM Results'!P21*100,"NA")</f>
        <v>12.02</v>
      </c>
      <c r="E6" s="72" t="s">
        <v>18</v>
      </c>
    </row>
    <row r="8" spans="1:8" ht="70.5" customHeight="1">
      <c r="A8" s="12" t="s">
        <v>228</v>
      </c>
      <c r="D8" s="80">
        <f>IFERROR('4.3 Risk Premium Summary'!G23,"NA")</f>
        <v>11.059999999999999</v>
      </c>
      <c r="E8" s="72" t="s">
        <v>18</v>
      </c>
    </row>
    <row r="10" spans="1:8" ht="15.6" thickBot="1">
      <c r="C10" s="3" t="s">
        <v>80</v>
      </c>
      <c r="D10" s="71">
        <f>IFERROR(ROUND(AVERAGE(D6:D8),2),"NA")</f>
        <v>11.54</v>
      </c>
      <c r="E10" s="72" t="s">
        <v>18</v>
      </c>
    </row>
    <row r="11" spans="1:8" ht="15.6" thickTop="1"/>
    <row r="12" spans="1:8">
      <c r="A12" s="10" t="s">
        <v>94</v>
      </c>
    </row>
    <row r="13" spans="1:8">
      <c r="A13" s="230" t="s">
        <v>95</v>
      </c>
      <c r="B13" s="3" t="s">
        <v>4398</v>
      </c>
    </row>
    <row r="14" spans="1:8">
      <c r="A14" s="230" t="s">
        <v>96</v>
      </c>
      <c r="B14" s="3" t="s">
        <v>4432</v>
      </c>
    </row>
  </sheetData>
  <mergeCells count="4">
    <mergeCell ref="D5:E5"/>
    <mergeCell ref="A1:E1"/>
    <mergeCell ref="A2:E2"/>
    <mergeCell ref="A3:E3"/>
  </mergeCells>
  <printOptions horizontalCentered="1"/>
  <pageMargins left="0.7" right="0.7" top="0.75" bottom="0.75" header="0.3" footer="0.3"/>
  <pageSetup orientation="portrait" horizontalDpi="4294967293"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W28"/>
  <sheetViews>
    <sheetView view="pageBreakPreview" zoomScale="85" zoomScaleNormal="100" zoomScaleSheetLayoutView="85" workbookViewId="0"/>
  </sheetViews>
  <sheetFormatPr defaultColWidth="9" defaultRowHeight="15"/>
  <cols>
    <col min="1" max="1" width="9" style="122"/>
    <col min="2" max="2" width="39" style="122" bestFit="1" customWidth="1"/>
    <col min="3" max="3" width="2.6640625" style="122" customWidth="1"/>
    <col min="4" max="4" width="12.33203125" style="122" customWidth="1"/>
    <col min="5" max="5" width="2.6640625" style="122" customWidth="1"/>
    <col min="6" max="6" width="11.5546875" style="122" customWidth="1"/>
    <col min="7" max="7" width="2.6640625" style="122" customWidth="1"/>
    <col min="8" max="8" width="16.88671875" style="122" customWidth="1"/>
    <col min="9" max="9" width="2.6640625" style="122" customWidth="1"/>
    <col min="10" max="10" width="12" style="122" customWidth="1"/>
    <col min="11" max="11" width="2.6640625" style="122" customWidth="1"/>
    <col min="12" max="12" width="13.33203125" style="122" customWidth="1"/>
    <col min="13" max="13" width="2.6640625" style="122" customWidth="1"/>
    <col min="14" max="14" width="12.5546875" style="122" customWidth="1"/>
    <col min="15" max="15" width="2.6640625" style="122" customWidth="1"/>
    <col min="16" max="16" width="10.5546875" style="122" customWidth="1"/>
    <col min="17" max="17" width="4" style="122" customWidth="1"/>
    <col min="18" max="18" width="10" style="122" bestFit="1" customWidth="1"/>
    <col min="19" max="19" width="18.6640625" style="122" customWidth="1"/>
    <col min="20" max="20" width="9" style="122"/>
    <col min="21" max="21" width="10.33203125" style="122" bestFit="1" customWidth="1"/>
    <col min="22" max="22" width="13" style="122" bestFit="1" customWidth="1"/>
    <col min="23" max="16384" width="9" style="122"/>
  </cols>
  <sheetData>
    <row r="1" spans="1:20">
      <c r="B1" s="1019" t="str">
        <f>Input!G28</f>
        <v>Peoples Gas System</v>
      </c>
      <c r="C1" s="1019"/>
      <c r="D1" s="1019"/>
      <c r="E1" s="1019"/>
      <c r="F1" s="1019"/>
      <c r="G1" s="1019"/>
      <c r="H1" s="1019"/>
      <c r="I1" s="1019"/>
      <c r="J1" s="1019"/>
      <c r="K1" s="1019"/>
      <c r="L1" s="1019"/>
      <c r="M1" s="1019"/>
      <c r="N1" s="1019"/>
      <c r="O1" s="1019"/>
      <c r="P1" s="1019"/>
      <c r="Q1" s="1019"/>
    </row>
    <row r="2" spans="1:20">
      <c r="B2" s="1020" t="s">
        <v>1339</v>
      </c>
      <c r="C2" s="1020"/>
      <c r="D2" s="1020"/>
      <c r="E2" s="1020"/>
      <c r="F2" s="1020"/>
      <c r="G2" s="1020"/>
      <c r="H2" s="1020"/>
      <c r="I2" s="1020"/>
      <c r="J2" s="1020"/>
      <c r="K2" s="1020"/>
      <c r="L2" s="1020"/>
      <c r="M2" s="1020"/>
      <c r="N2" s="1020"/>
      <c r="O2" s="1020"/>
      <c r="P2" s="1020"/>
      <c r="Q2" s="1020"/>
    </row>
    <row r="3" spans="1:20">
      <c r="B3" s="1019" t="s">
        <v>1340</v>
      </c>
      <c r="C3" s="1019"/>
      <c r="D3" s="1019"/>
      <c r="E3" s="1019"/>
      <c r="F3" s="1019"/>
      <c r="G3" s="1019"/>
      <c r="H3" s="1019"/>
      <c r="I3" s="1019"/>
      <c r="J3" s="1019"/>
      <c r="K3" s="1019"/>
      <c r="L3" s="1019"/>
      <c r="M3" s="1019"/>
      <c r="N3" s="1019"/>
      <c r="O3" s="1019"/>
      <c r="P3" s="1019"/>
      <c r="Q3" s="1019"/>
    </row>
    <row r="6" spans="1:20">
      <c r="D6" s="87" t="s">
        <v>1337</v>
      </c>
      <c r="E6" s="87"/>
      <c r="F6" s="87" t="s">
        <v>1336</v>
      </c>
      <c r="G6" s="87"/>
      <c r="H6" s="87" t="s">
        <v>1335</v>
      </c>
      <c r="I6" s="87"/>
      <c r="J6" s="87" t="s">
        <v>1341</v>
      </c>
      <c r="K6" s="87"/>
      <c r="L6" s="87" t="s">
        <v>1342</v>
      </c>
      <c r="M6" s="87"/>
      <c r="N6" s="87" t="s">
        <v>1345</v>
      </c>
      <c r="O6" s="87"/>
      <c r="P6" s="87" t="s">
        <v>1346</v>
      </c>
    </row>
    <row r="7" spans="1:20">
      <c r="D7" s="87"/>
      <c r="E7" s="87"/>
      <c r="F7" s="87"/>
      <c r="G7" s="87"/>
      <c r="H7" s="87"/>
      <c r="I7" s="87"/>
      <c r="J7" s="87"/>
      <c r="K7" s="87"/>
      <c r="L7" s="87"/>
      <c r="M7" s="87"/>
      <c r="N7" s="87"/>
      <c r="O7" s="87"/>
      <c r="P7" s="87"/>
    </row>
    <row r="8" spans="1:20" ht="60">
      <c r="B8" s="237" t="str">
        <f>Input!I30</f>
        <v>Proxy Group of Six Natural Gas Companies</v>
      </c>
      <c r="D8" s="462" t="s">
        <v>1344</v>
      </c>
      <c r="E8" s="238"/>
      <c r="F8" s="462" t="s">
        <v>1343</v>
      </c>
      <c r="G8" s="238"/>
      <c r="H8" s="462" t="s">
        <v>2327</v>
      </c>
      <c r="I8" s="238"/>
      <c r="J8" s="462" t="s">
        <v>196</v>
      </c>
      <c r="K8" s="238"/>
      <c r="L8" s="462" t="s">
        <v>2328</v>
      </c>
      <c r="M8" s="238"/>
      <c r="N8" s="462" t="s">
        <v>2329</v>
      </c>
      <c r="O8" s="238"/>
      <c r="P8" s="462" t="s">
        <v>4134</v>
      </c>
    </row>
    <row r="10" spans="1:20">
      <c r="A10" s="122" t="str">
        <f>'4.5 Bond Ratings'!A13</f>
        <v>ATO</v>
      </c>
      <c r="B10" s="239" t="str">
        <f>'Proxy Data Lookup'!B3</f>
        <v>Atmos Energy Corporation</v>
      </c>
      <c r="D10" s="239">
        <f>HLOOKUP(A10,'PRPM WP1'!$A$1:$M$1176,1171,FALSE)</f>
        <v>3.4214079671306117E-3</v>
      </c>
      <c r="F10" s="239">
        <f>HLOOKUP(A10,'PRPM WP1'!$A$1:$M$1176,1173,FALSE)</f>
        <v>5.5674698899313502E-3</v>
      </c>
      <c r="H10" s="239">
        <f t="shared" ref="H10:H15" si="0">AVERAGE(D10)</f>
        <v>3.4214079671306117E-3</v>
      </c>
      <c r="J10" s="84">
        <f>HLOOKUP(A10,'PRPM WP1'!$A$1:$M$1176,1175,FALSE)</f>
        <v>2.2554940000000001</v>
      </c>
      <c r="L10" s="239">
        <f t="shared" ref="L10:L15" si="1">ROUND((1+(H10*J10))^12-1,4)</f>
        <v>9.6600000000000005E-2</v>
      </c>
      <c r="N10" s="323">
        <f>'MRP WP1'!F$37/100</f>
        <v>3.9100000000000003E-2</v>
      </c>
      <c r="P10" s="240">
        <f>N10 + L10</f>
        <v>0.13570000000000002</v>
      </c>
      <c r="T10" s="236"/>
    </row>
    <row r="11" spans="1:20">
      <c r="A11" s="122" t="str">
        <f>'4.5 Bond Ratings'!A14</f>
        <v>NJR</v>
      </c>
      <c r="B11" s="239" t="str">
        <f>'Proxy Data Lookup'!B4</f>
        <v>New Jersey Resources Corporation</v>
      </c>
      <c r="D11" s="239">
        <f>HLOOKUP(A11,'PRPM WP1'!$A$1:$M$1176,1171,FALSE)</f>
        <v>3.8969337988025553E-3</v>
      </c>
      <c r="E11" s="241"/>
      <c r="F11" s="239">
        <f>HLOOKUP(A11,'PRPM WP1'!$A$1:$M$1176,1173,FALSE)</f>
        <v>6.6201482413446502E-3</v>
      </c>
      <c r="G11" s="241"/>
      <c r="H11" s="239">
        <f t="shared" si="0"/>
        <v>3.8969337988025553E-3</v>
      </c>
      <c r="I11" s="241"/>
      <c r="J11" s="84">
        <f>HLOOKUP(A11,'PRPM WP1'!$A$1:$M$1176,1175,FALSE)</f>
        <v>2.1388259999999999</v>
      </c>
      <c r="K11" s="241"/>
      <c r="L11" s="239">
        <f t="shared" si="1"/>
        <v>0.1047</v>
      </c>
      <c r="M11" s="241"/>
      <c r="N11" s="323">
        <f>'MRP WP1'!F$37/100</f>
        <v>3.9100000000000003E-2</v>
      </c>
      <c r="O11" s="241"/>
      <c r="P11" s="240">
        <f>N11 + L11</f>
        <v>0.14380000000000001</v>
      </c>
      <c r="T11" s="236"/>
    </row>
    <row r="12" spans="1:20">
      <c r="A12" s="122" t="str">
        <f>'4.5 Bond Ratings'!A15</f>
        <v>NI</v>
      </c>
      <c r="B12" s="239" t="str">
        <f>'Proxy Data Lookup'!B5</f>
        <v>NiSource Inc.</v>
      </c>
      <c r="D12" s="239">
        <f>HLOOKUP(A12,'PRPM WP1'!$A$1:$M$1176,1171,FALSE)</f>
        <v>4.8549820240255722E-3</v>
      </c>
      <c r="F12" s="239">
        <f>HLOOKUP(A12,'PRPM WP1'!$A$1:$M$1176,1173,FALSE)</f>
        <v>6.3570725045669898E-3</v>
      </c>
      <c r="H12" s="239">
        <f t="shared" si="0"/>
        <v>4.8549820240255722E-3</v>
      </c>
      <c r="J12" s="84">
        <f>HLOOKUP(A12,'PRPM WP1'!$A$1:$M$1176,1175,FALSE)</f>
        <v>0.83002699999999996</v>
      </c>
      <c r="L12" s="239">
        <f t="shared" si="1"/>
        <v>4.9399999999999999E-2</v>
      </c>
      <c r="N12" s="323">
        <f>'MRP WP1'!F$37/100</f>
        <v>3.9100000000000003E-2</v>
      </c>
      <c r="P12" s="240">
        <f>N12 + L12</f>
        <v>8.8499999999999995E-2</v>
      </c>
      <c r="R12" s="323"/>
      <c r="T12" s="236"/>
    </row>
    <row r="13" spans="1:20">
      <c r="A13" s="122" t="str">
        <f>'4.5 Bond Ratings'!A16</f>
        <v>NWN</v>
      </c>
      <c r="B13" s="239" t="str">
        <f>'Proxy Data Lookup'!B6</f>
        <v>Northwest Natural Holding Company</v>
      </c>
      <c r="D13" s="239">
        <f>HLOOKUP(A13,'PRPM WP1'!$A$1:$M$1176,1171,FALSE)</f>
        <v>3.3196893354845531E-3</v>
      </c>
      <c r="F13" s="239">
        <f>HLOOKUP(A13,'PRPM WP1'!$A$1:$M$1176,1173,FALSE)</f>
        <v>5.3204378313175902E-3</v>
      </c>
      <c r="H13" s="239">
        <f t="shared" si="0"/>
        <v>3.3196893354845531E-3</v>
      </c>
      <c r="J13" s="84">
        <f>HLOOKUP(A13,'PRPM WP1'!$A$1:$M$1176,1175,FALSE)</f>
        <v>1.484569</v>
      </c>
      <c r="L13" s="239">
        <f t="shared" si="1"/>
        <v>6.08E-2</v>
      </c>
      <c r="N13" s="323">
        <f>'MRP WP1'!F$37/100</f>
        <v>3.9100000000000003E-2</v>
      </c>
      <c r="P13" s="240">
        <f>N13 + L13</f>
        <v>9.9900000000000003E-2</v>
      </c>
      <c r="R13" s="239"/>
      <c r="T13" s="236"/>
    </row>
    <row r="14" spans="1:20">
      <c r="A14" s="122" t="str">
        <f>'4.5 Bond Ratings'!A17</f>
        <v>OGS</v>
      </c>
      <c r="B14" s="239" t="str">
        <f>'Proxy Data Lookup'!B7</f>
        <v>ONE Gas, Inc.</v>
      </c>
      <c r="D14" s="239">
        <f>HLOOKUP(A14,'PRPM WP1'!$A$1:$M$1176,1171,FALSE)</f>
        <v>3.7201554010693025E-3</v>
      </c>
      <c r="F14" s="239">
        <f>HLOOKUP(A14,'PRPM WP1'!$A$1:$M$1176,1173,FALSE)</f>
        <v>6.3138681967106003E-3</v>
      </c>
      <c r="H14" s="239">
        <f t="shared" si="0"/>
        <v>3.7201554010693025E-3</v>
      </c>
      <c r="J14" s="84">
        <f>HLOOKUP(A14,'PRPM WP1'!$A$1:$M$1176,1175,FALSE)</f>
        <v>3.291407</v>
      </c>
      <c r="L14" s="239">
        <f t="shared" si="1"/>
        <v>0.15720000000000001</v>
      </c>
      <c r="N14" s="323">
        <f>'MRP WP1'!F$37/100</f>
        <v>3.9100000000000003E-2</v>
      </c>
      <c r="P14" s="737" t="s">
        <v>4057</v>
      </c>
      <c r="R14" s="239"/>
      <c r="T14" s="236"/>
    </row>
    <row r="15" spans="1:20">
      <c r="A15" s="122" t="str">
        <f>'4.5 Bond Ratings'!A18</f>
        <v>SR</v>
      </c>
      <c r="B15" s="239" t="str">
        <f>'Proxy Data Lookup'!B8</f>
        <v>Spire Inc.</v>
      </c>
      <c r="D15" s="239">
        <f>HLOOKUP(A15,'PRPM WP1'!$A$1:$M$1176,1171,FALSE)</f>
        <v>7.0575935178436092E-3</v>
      </c>
      <c r="F15" s="239">
        <f>HLOOKUP(A15,'PRPM WP1'!$A$1:$M$1176,1173,FALSE)</f>
        <v>5.01182904834229E-3</v>
      </c>
      <c r="H15" s="239">
        <f t="shared" si="0"/>
        <v>7.0575935178436092E-3</v>
      </c>
      <c r="J15" s="84">
        <f>HLOOKUP(A15,'PRPM WP1'!$A$1:$M$1176,1175,FALSE)</f>
        <v>0.94654400000000005</v>
      </c>
      <c r="L15" s="239">
        <f t="shared" si="1"/>
        <v>8.3199999999999996E-2</v>
      </c>
      <c r="N15" s="323">
        <f>'MRP WP1'!F$37/100</f>
        <v>3.9100000000000003E-2</v>
      </c>
      <c r="P15" s="240">
        <f>N15 + L15</f>
        <v>0.12229999999999999</v>
      </c>
      <c r="R15" s="239"/>
      <c r="T15" s="236"/>
    </row>
    <row r="16" spans="1:20">
      <c r="D16" s="239"/>
      <c r="P16" s="463"/>
    </row>
    <row r="17" spans="2:23" ht="15.6" thickBot="1">
      <c r="D17" s="239"/>
      <c r="N17" s="242" t="s">
        <v>80</v>
      </c>
      <c r="P17" s="243">
        <f>AVERAGE(P10:P15)</f>
        <v>0.11803999999999999</v>
      </c>
    </row>
    <row r="18" spans="2:23" ht="15.6" thickTop="1">
      <c r="D18" s="51" t="s">
        <v>4187</v>
      </c>
      <c r="N18" s="242"/>
    </row>
    <row r="19" spans="2:23" ht="15.6" thickBot="1">
      <c r="N19" s="242" t="s">
        <v>183</v>
      </c>
      <c r="P19" s="243">
        <f>MEDIAN(P10:P15)</f>
        <v>0.12229999999999999</v>
      </c>
    </row>
    <row r="20" spans="2:23" ht="15.6" thickTop="1">
      <c r="P20" s="239"/>
    </row>
    <row r="21" spans="2:23" ht="15.6" thickBot="1">
      <c r="N21" s="10" t="s">
        <v>1376</v>
      </c>
      <c r="P21" s="243">
        <f>ROUND(AVERAGE(P17:P19),4)</f>
        <v>0.1202</v>
      </c>
    </row>
    <row r="22" spans="2:23" ht="15.6" thickTop="1">
      <c r="B22" s="242" t="s">
        <v>94</v>
      </c>
    </row>
    <row r="23" spans="2:23" ht="51" customHeight="1">
      <c r="B23" s="244" t="s">
        <v>95</v>
      </c>
      <c r="D23" s="1021" t="s">
        <v>4233</v>
      </c>
      <c r="E23" s="1021"/>
      <c r="F23" s="1021"/>
      <c r="G23" s="1021"/>
      <c r="H23" s="1021"/>
      <c r="I23" s="1021"/>
      <c r="J23" s="1021"/>
      <c r="K23" s="1021"/>
      <c r="L23" s="1021"/>
      <c r="M23" s="1021"/>
      <c r="N23" s="1021"/>
      <c r="O23" s="1021"/>
      <c r="P23" s="1021"/>
    </row>
    <row r="24" spans="2:23">
      <c r="B24" s="244" t="s">
        <v>96</v>
      </c>
      <c r="D24" s="1022" t="s">
        <v>4596</v>
      </c>
      <c r="E24" s="1022"/>
      <c r="F24" s="1022"/>
      <c r="G24" s="1022"/>
      <c r="H24" s="1022"/>
      <c r="I24" s="1022"/>
      <c r="J24" s="1022"/>
      <c r="K24" s="1022"/>
      <c r="L24" s="1022"/>
      <c r="M24" s="1022"/>
      <c r="N24" s="1022"/>
      <c r="O24" s="1022"/>
      <c r="P24" s="1022"/>
    </row>
    <row r="25" spans="2:23" ht="16.8">
      <c r="B25" s="341" t="s">
        <v>97</v>
      </c>
      <c r="D25" s="496" t="s">
        <v>4218</v>
      </c>
    </row>
    <row r="26" spans="2:23">
      <c r="B26" s="244" t="s">
        <v>98</v>
      </c>
      <c r="D26" s="686" t="s">
        <v>4505</v>
      </c>
      <c r="T26" s="239"/>
      <c r="U26" s="239"/>
      <c r="V26" s="239"/>
    </row>
    <row r="27" spans="2:23">
      <c r="B27" s="341" t="s">
        <v>110</v>
      </c>
      <c r="D27" s="496" t="s">
        <v>2197</v>
      </c>
    </row>
    <row r="28" spans="2:23" ht="30" customHeight="1">
      <c r="B28" s="228"/>
      <c r="D28" s="325"/>
      <c r="E28" s="325"/>
      <c r="F28" s="325"/>
      <c r="G28" s="325"/>
      <c r="H28" s="325"/>
      <c r="I28" s="325"/>
      <c r="J28" s="325"/>
      <c r="K28" s="325"/>
      <c r="L28" s="325"/>
      <c r="M28" s="325"/>
      <c r="N28" s="325"/>
      <c r="O28" s="325"/>
      <c r="P28" s="325"/>
      <c r="Q28" s="325"/>
      <c r="U28" s="239"/>
      <c r="V28" s="239"/>
      <c r="W28" s="239"/>
    </row>
  </sheetData>
  <mergeCells count="5">
    <mergeCell ref="B1:Q1"/>
    <mergeCell ref="B2:Q2"/>
    <mergeCell ref="B3:Q3"/>
    <mergeCell ref="D23:P23"/>
    <mergeCell ref="D24:P24"/>
  </mergeCells>
  <printOptions horizontalCentered="1"/>
  <pageMargins left="0.7" right="0.7" top="0.75" bottom="0.75" header="0.3" footer="0.3"/>
  <pageSetup scale="63" orientation="portrait" horizontalDpi="4294967294"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K29"/>
  <sheetViews>
    <sheetView view="pageBreakPreview" zoomScale="85" zoomScaleNormal="100" zoomScaleSheetLayoutView="85" workbookViewId="0">
      <selection activeCell="C26" sqref="C26:H26"/>
    </sheetView>
  </sheetViews>
  <sheetFormatPr defaultColWidth="12.33203125" defaultRowHeight="15"/>
  <cols>
    <col min="1" max="1" width="9.88671875" style="13" customWidth="1"/>
    <col min="2" max="2" width="6" style="13" customWidth="1"/>
    <col min="3" max="5" width="12.33203125" style="13" customWidth="1"/>
    <col min="6" max="6" width="8.5546875" style="13" customWidth="1"/>
    <col min="7" max="7" width="14" style="13" customWidth="1"/>
    <col min="8" max="9" width="5" style="13" customWidth="1"/>
    <col min="10" max="16384" width="12.33203125" style="13"/>
  </cols>
  <sheetData>
    <row r="1" spans="1:10">
      <c r="A1" s="14" t="str">
        <f>Input!G28</f>
        <v>Peoples Gas System</v>
      </c>
      <c r="B1" s="14"/>
      <c r="C1" s="14"/>
      <c r="D1" s="14"/>
      <c r="E1" s="14"/>
      <c r="F1" s="14"/>
      <c r="G1" s="14"/>
      <c r="H1" s="14"/>
      <c r="I1" s="296"/>
    </row>
    <row r="2" spans="1:10">
      <c r="A2" s="15" t="s">
        <v>123</v>
      </c>
      <c r="B2" s="15"/>
      <c r="C2" s="15"/>
      <c r="D2" s="15"/>
      <c r="E2" s="15"/>
      <c r="F2" s="15"/>
      <c r="G2" s="15"/>
      <c r="H2" s="15"/>
      <c r="I2" s="52"/>
    </row>
    <row r="3" spans="1:10">
      <c r="A3" s="15" t="s">
        <v>124</v>
      </c>
      <c r="B3" s="15"/>
      <c r="C3" s="15"/>
      <c r="D3" s="15"/>
      <c r="E3" s="15"/>
      <c r="F3" s="15"/>
      <c r="G3" s="15"/>
      <c r="H3" s="15"/>
      <c r="I3" s="52"/>
    </row>
    <row r="4" spans="1:10">
      <c r="A4" s="14" t="s">
        <v>125</v>
      </c>
      <c r="B4" s="14"/>
      <c r="C4" s="14"/>
      <c r="D4" s="14"/>
      <c r="E4" s="14"/>
      <c r="F4" s="14"/>
      <c r="G4" s="14"/>
      <c r="H4" s="14"/>
      <c r="I4" s="52"/>
    </row>
    <row r="6" spans="1:10" ht="67.5" customHeight="1">
      <c r="A6" s="321" t="s">
        <v>92</v>
      </c>
      <c r="B6" s="321"/>
      <c r="G6" s="1023" t="str">
        <f>'4.5 Bond Ratings'!B11</f>
        <v>Proxy Group of Six Natural Gas Companies</v>
      </c>
      <c r="H6" s="1023"/>
    </row>
    <row r="7" spans="1:10">
      <c r="A7" s="16"/>
      <c r="B7" s="16"/>
    </row>
    <row r="9" spans="1:10">
      <c r="A9" s="16" t="s">
        <v>93</v>
      </c>
      <c r="B9" s="16"/>
      <c r="C9" s="13" t="s">
        <v>126</v>
      </c>
    </row>
    <row r="10" spans="1:10">
      <c r="A10" s="16"/>
      <c r="B10" s="16"/>
      <c r="C10" s="13" t="s">
        <v>127</v>
      </c>
      <c r="G10" s="56">
        <f>'MRP WP1'!$M$37</f>
        <v>5.05</v>
      </c>
      <c r="H10" s="21" t="s">
        <v>18</v>
      </c>
      <c r="J10" s="56"/>
    </row>
    <row r="11" spans="1:10">
      <c r="A11" s="16"/>
      <c r="B11" s="16"/>
    </row>
    <row r="12" spans="1:10">
      <c r="A12" s="16" t="s">
        <v>99</v>
      </c>
      <c r="B12" s="16"/>
      <c r="C12" s="13" t="s">
        <v>128</v>
      </c>
    </row>
    <row r="13" spans="1:10">
      <c r="A13" s="16"/>
      <c r="B13" s="16"/>
      <c r="C13" s="13" t="s">
        <v>129</v>
      </c>
    </row>
    <row r="14" spans="1:10">
      <c r="A14" s="16"/>
      <c r="B14" s="16"/>
      <c r="C14" s="13" t="s">
        <v>3929</v>
      </c>
    </row>
    <row r="15" spans="1:10">
      <c r="A15" s="16"/>
      <c r="B15" s="16"/>
      <c r="C15" s="13" t="s">
        <v>4237</v>
      </c>
      <c r="G15" s="22">
        <f>'4.4 Moody''s Bond Yields'!I21</f>
        <v>0.83000000000000007</v>
      </c>
      <c r="H15" s="21"/>
      <c r="J15" s="56"/>
    </row>
    <row r="16" spans="1:10">
      <c r="A16" s="16"/>
      <c r="B16" s="16"/>
    </row>
    <row r="17" spans="1:11">
      <c r="A17" s="16" t="s">
        <v>100</v>
      </c>
      <c r="B17" s="16"/>
      <c r="C17" s="13" t="s">
        <v>3930</v>
      </c>
    </row>
    <row r="18" spans="1:11">
      <c r="A18" s="16"/>
      <c r="B18" s="16"/>
      <c r="C18" s="13" t="s">
        <v>130</v>
      </c>
      <c r="G18" s="56">
        <f>SUM(G10:G15)</f>
        <v>5.88</v>
      </c>
      <c r="H18" s="24" t="s">
        <v>18</v>
      </c>
      <c r="J18" s="56"/>
      <c r="K18" s="24"/>
    </row>
    <row r="19" spans="1:11">
      <c r="A19" s="16"/>
      <c r="B19" s="16"/>
    </row>
    <row r="20" spans="1:11">
      <c r="A20" s="25" t="s">
        <v>104</v>
      </c>
      <c r="B20" s="16"/>
      <c r="C20" s="13" t="s">
        <v>4385</v>
      </c>
      <c r="G20" s="471">
        <f>'4.7 ERP Determination'!$E$25</f>
        <v>5.18</v>
      </c>
      <c r="H20" s="24"/>
      <c r="J20" s="56"/>
    </row>
    <row r="21" spans="1:11">
      <c r="A21" s="16"/>
      <c r="B21" s="16"/>
    </row>
    <row r="22" spans="1:11">
      <c r="A22" s="25" t="s">
        <v>105</v>
      </c>
      <c r="B22" s="16"/>
      <c r="C22" s="13" t="s">
        <v>131</v>
      </c>
    </row>
    <row r="23" spans="1:11" ht="15.6" thickBot="1">
      <c r="A23" s="16"/>
      <c r="B23" s="16"/>
      <c r="C23" s="13" t="s">
        <v>132</v>
      </c>
      <c r="G23" s="26">
        <f>SUM(G18:G20)</f>
        <v>11.059999999999999</v>
      </c>
      <c r="H23" s="24" t="s">
        <v>18</v>
      </c>
      <c r="J23" s="23"/>
      <c r="K23" s="24"/>
    </row>
    <row r="24" spans="1:11" ht="15.6" thickTop="1">
      <c r="A24" s="16"/>
      <c r="B24" s="16"/>
    </row>
    <row r="25" spans="1:11">
      <c r="A25" s="16"/>
      <c r="B25" s="16"/>
    </row>
    <row r="26" spans="1:11" ht="48" customHeight="1">
      <c r="A26" s="27" t="s">
        <v>101</v>
      </c>
      <c r="B26" s="28" t="s">
        <v>95</v>
      </c>
      <c r="C26" s="1000" t="s">
        <v>4445</v>
      </c>
      <c r="D26" s="1000"/>
      <c r="E26" s="1000"/>
      <c r="F26" s="1000"/>
      <c r="G26" s="1000"/>
      <c r="H26" s="1000"/>
    </row>
    <row r="27" spans="1:11" ht="48.75" customHeight="1">
      <c r="A27" s="30"/>
      <c r="B27" s="31" t="s">
        <v>96</v>
      </c>
      <c r="C27" s="1000" t="str">
        <f>CONCATENATE("The average yield spread of A2 rated public utility bonds over Aaa rated corporate bonds of ",TEXT('4.4 Moody''s Bond Yields'!I21,"#0.00"),"% from page 4 of this Document.")</f>
        <v>The average yield spread of A2 rated public utility bonds over Aaa rated corporate bonds of 0.83% from page 4 of this Document.</v>
      </c>
      <c r="D27" s="1000"/>
      <c r="E27" s="1000"/>
      <c r="F27" s="1000"/>
      <c r="G27" s="1000"/>
      <c r="H27" s="1000"/>
    </row>
    <row r="28" spans="1:11" ht="19.5" customHeight="1">
      <c r="B28" s="31" t="s">
        <v>97</v>
      </c>
      <c r="C28" s="1000" t="s">
        <v>4433</v>
      </c>
      <c r="D28" s="1000"/>
      <c r="E28" s="1000"/>
      <c r="F28" s="1000"/>
      <c r="G28" s="1000"/>
      <c r="H28" s="1000"/>
    </row>
    <row r="29" spans="1:11" ht="15" customHeight="1"/>
  </sheetData>
  <mergeCells count="4">
    <mergeCell ref="G6:H6"/>
    <mergeCell ref="C28:H28"/>
    <mergeCell ref="C26:H26"/>
    <mergeCell ref="C27:H27"/>
  </mergeCells>
  <phoneticPr fontId="0" type="noConversion"/>
  <printOptions horizontalCentered="1"/>
  <pageMargins left="0.7" right="0.7" top="0.75" bottom="0.75" header="0.3" footer="0.3"/>
  <pageSetup orientation="portrait" horizontalDpi="4294967293"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M31"/>
  <sheetViews>
    <sheetView view="pageBreakPreview" zoomScale="85" zoomScaleNormal="100" zoomScaleSheetLayoutView="85" workbookViewId="0">
      <selection sqref="A1:K1"/>
    </sheetView>
  </sheetViews>
  <sheetFormatPr defaultColWidth="12.33203125" defaultRowHeight="15"/>
  <cols>
    <col min="1" max="1" width="13.33203125" style="13" customWidth="1"/>
    <col min="2" max="2" width="3.33203125" style="13" customWidth="1"/>
    <col min="3" max="3" width="12.33203125" style="13" customWidth="1"/>
    <col min="4" max="4" width="4" style="13" customWidth="1"/>
    <col min="5" max="5" width="3.33203125" style="13" customWidth="1"/>
    <col min="6" max="6" width="12" style="13" customWidth="1"/>
    <col min="7" max="7" width="3.33203125" style="13" customWidth="1"/>
    <col min="8" max="8" width="2.88671875" style="13" customWidth="1"/>
    <col min="9" max="9" width="12.88671875" style="13" customWidth="1"/>
    <col min="10" max="10" width="3.33203125" style="13" bestFit="1" customWidth="1"/>
    <col min="11" max="11" width="3" style="13" customWidth="1"/>
    <col min="12" max="12" width="12.33203125" style="13" customWidth="1"/>
    <col min="13" max="13" width="7" style="13" bestFit="1" customWidth="1"/>
    <col min="14" max="21" width="12.33203125" style="13" customWidth="1"/>
    <col min="22" max="16384" width="12.33203125" style="13"/>
  </cols>
  <sheetData>
    <row r="1" spans="1:13">
      <c r="A1" s="1001" t="str">
        <f>Input!G28</f>
        <v>Peoples Gas System</v>
      </c>
      <c r="B1" s="1001"/>
      <c r="C1" s="1001"/>
      <c r="D1" s="1001"/>
      <c r="E1" s="1001"/>
      <c r="F1" s="1001"/>
      <c r="G1" s="1001"/>
      <c r="H1" s="1001"/>
      <c r="I1" s="1001"/>
      <c r="J1" s="1001"/>
      <c r="K1" s="1001"/>
      <c r="L1" s="17"/>
      <c r="M1" s="17"/>
    </row>
    <row r="2" spans="1:13">
      <c r="A2" s="1024" t="s">
        <v>1329</v>
      </c>
      <c r="B2" s="1024"/>
      <c r="C2" s="1024"/>
      <c r="D2" s="1024"/>
      <c r="E2" s="1024"/>
      <c r="F2" s="1024"/>
      <c r="G2" s="1024"/>
      <c r="H2" s="1024"/>
      <c r="I2" s="1024"/>
      <c r="J2" s="1024"/>
      <c r="K2" s="1024"/>
    </row>
    <row r="3" spans="1:13">
      <c r="A3" s="1001" t="s">
        <v>1330</v>
      </c>
      <c r="B3" s="1001"/>
      <c r="C3" s="1001"/>
      <c r="D3" s="1001"/>
      <c r="E3" s="1001"/>
      <c r="F3" s="1001"/>
      <c r="G3" s="1001"/>
      <c r="H3" s="1001"/>
      <c r="I3" s="1001"/>
      <c r="J3" s="1001"/>
      <c r="K3" s="1001"/>
      <c r="L3" s="17"/>
      <c r="M3" s="17"/>
    </row>
    <row r="4" spans="1:13">
      <c r="A4" s="14"/>
      <c r="B4" s="14"/>
      <c r="C4" s="14"/>
      <c r="D4" s="14"/>
      <c r="E4" s="14"/>
      <c r="F4" s="15"/>
      <c r="G4" s="15"/>
      <c r="H4" s="15"/>
      <c r="I4" s="15"/>
    </row>
    <row r="5" spans="1:13" ht="15" customHeight="1">
      <c r="A5" s="14"/>
      <c r="B5" s="14"/>
      <c r="C5" s="14"/>
      <c r="D5" s="14"/>
      <c r="E5" s="14"/>
      <c r="F5" s="15"/>
      <c r="G5" s="15"/>
      <c r="H5" s="15"/>
      <c r="I5" s="15"/>
    </row>
    <row r="6" spans="1:13">
      <c r="A6" s="14" t="s">
        <v>4135</v>
      </c>
      <c r="B6" s="14"/>
      <c r="C6" s="14"/>
      <c r="D6" s="14"/>
      <c r="E6" s="14"/>
      <c r="F6" s="14"/>
      <c r="G6" s="14"/>
      <c r="H6" s="14"/>
      <c r="I6" s="14"/>
      <c r="J6" s="14"/>
      <c r="K6" s="14"/>
      <c r="L6" s="17"/>
      <c r="M6" s="17"/>
    </row>
    <row r="7" spans="1:13">
      <c r="A7" s="321"/>
      <c r="B7" s="321"/>
      <c r="C7" s="321"/>
      <c r="D7" s="321"/>
      <c r="E7" s="321"/>
      <c r="F7" s="321"/>
      <c r="G7" s="321"/>
      <c r="H7" s="321"/>
      <c r="I7" s="321"/>
      <c r="J7" s="321"/>
      <c r="K7" s="321"/>
      <c r="L7" s="321"/>
      <c r="M7" s="321"/>
    </row>
    <row r="8" spans="1:13">
      <c r="A8" s="321"/>
      <c r="B8" s="321"/>
      <c r="C8" s="1024" t="s">
        <v>1337</v>
      </c>
      <c r="D8" s="1024"/>
      <c r="E8" s="16"/>
      <c r="F8" s="1024" t="s">
        <v>1336</v>
      </c>
      <c r="G8" s="1024"/>
      <c r="H8" s="16"/>
      <c r="I8" s="1024" t="s">
        <v>1335</v>
      </c>
      <c r="J8" s="1024"/>
    </row>
    <row r="10" spans="1:13" s="16" customFormat="1" ht="50.25" customHeight="1">
      <c r="A10" s="357"/>
      <c r="C10" s="1025" t="s">
        <v>1331</v>
      </c>
      <c r="D10" s="1025"/>
      <c r="E10" s="57"/>
      <c r="F10" s="1025" t="s">
        <v>3931</v>
      </c>
      <c r="G10" s="1025"/>
      <c r="H10" s="78"/>
      <c r="I10" s="1025" t="s">
        <v>3932</v>
      </c>
      <c r="J10" s="1025"/>
    </row>
    <row r="11" spans="1:13" s="16" customFormat="1">
      <c r="A11" s="357"/>
      <c r="C11" s="78"/>
      <c r="D11" s="78"/>
      <c r="E11" s="57"/>
      <c r="F11" s="78"/>
      <c r="G11" s="78"/>
      <c r="H11" s="78"/>
      <c r="I11" s="78"/>
      <c r="J11" s="78"/>
    </row>
    <row r="12" spans="1:13">
      <c r="A12" s="358">
        <f>'Market Data'!B1</f>
        <v>44926</v>
      </c>
      <c r="C12" s="83">
        <f>'Market Data'!B4</f>
        <v>4.41</v>
      </c>
      <c r="D12" s="13" t="s">
        <v>18</v>
      </c>
      <c r="E12" s="103"/>
      <c r="F12" s="83">
        <f>'Market Data'!B2</f>
        <v>5.27</v>
      </c>
      <c r="G12" s="13" t="s">
        <v>18</v>
      </c>
      <c r="H12" s="103"/>
      <c r="I12" s="83">
        <f>'Market Data'!B3</f>
        <v>5.56</v>
      </c>
      <c r="J12" s="13" t="s">
        <v>18</v>
      </c>
    </row>
    <row r="13" spans="1:13">
      <c r="A13" s="358">
        <f>'Market Data'!C1</f>
        <v>44895</v>
      </c>
      <c r="C13" s="83">
        <f>'Market Data'!C4</f>
        <v>4.9000000000000004</v>
      </c>
      <c r="D13" s="20"/>
      <c r="E13" s="20"/>
      <c r="F13" s="83">
        <f>'Market Data'!C2</f>
        <v>5.75</v>
      </c>
      <c r="G13" s="83"/>
      <c r="H13" s="83"/>
      <c r="I13" s="83">
        <f>'Market Data'!C3</f>
        <v>6.05</v>
      </c>
      <c r="J13" s="23"/>
    </row>
    <row r="14" spans="1:13">
      <c r="A14" s="358">
        <f>'Market Data'!D1</f>
        <v>44864</v>
      </c>
      <c r="C14" s="225">
        <f>'Market Data'!D4</f>
        <v>5.0999999999999996</v>
      </c>
      <c r="D14" s="20"/>
      <c r="E14" s="20"/>
      <c r="F14" s="225">
        <f>'Market Data'!D2</f>
        <v>5.88</v>
      </c>
      <c r="G14" s="83"/>
      <c r="H14" s="83"/>
      <c r="I14" s="225">
        <f>'Market Data'!D3</f>
        <v>6.18</v>
      </c>
      <c r="J14" s="23"/>
    </row>
    <row r="16" spans="1:13" ht="15.6" thickBot="1">
      <c r="A16" s="13" t="s">
        <v>80</v>
      </c>
      <c r="C16" s="359">
        <f>ROUND(AVERAGE(C12:C14),2)</f>
        <v>4.8</v>
      </c>
      <c r="D16" s="13" t="s">
        <v>18</v>
      </c>
      <c r="F16" s="359">
        <f>ROUND(AVERAGE(F12:F14),2)</f>
        <v>5.63</v>
      </c>
      <c r="G16" s="13" t="s">
        <v>18</v>
      </c>
      <c r="I16" s="359">
        <f>ROUND(AVERAGE(I12:I14),2)</f>
        <v>5.93</v>
      </c>
      <c r="J16" s="13" t="s">
        <v>18</v>
      </c>
    </row>
    <row r="17" spans="1:13" ht="15.6" thickTop="1"/>
    <row r="18" spans="1:13">
      <c r="A18" s="1001" t="s">
        <v>1332</v>
      </c>
      <c r="B18" s="1001"/>
      <c r="C18" s="1001"/>
      <c r="D18" s="1001"/>
      <c r="E18" s="1001"/>
      <c r="F18" s="1001"/>
      <c r="G18" s="1001"/>
      <c r="H18" s="1001"/>
      <c r="I18" s="1001"/>
      <c r="J18" s="1001"/>
      <c r="K18" s="1001"/>
      <c r="L18" s="17"/>
      <c r="M18" s="17"/>
    </row>
    <row r="19" spans="1:13">
      <c r="L19" s="321"/>
    </row>
    <row r="20" spans="1:13">
      <c r="A20" s="122" t="s">
        <v>3933</v>
      </c>
    </row>
    <row r="21" spans="1:13" ht="15.6" thickBot="1">
      <c r="A21" s="122"/>
      <c r="I21" s="359">
        <f>F16-C16</f>
        <v>0.83000000000000007</v>
      </c>
      <c r="J21" s="360" t="s">
        <v>1333</v>
      </c>
    </row>
    <row r="22" spans="1:13" ht="15.6" thickTop="1">
      <c r="A22" s="122"/>
    </row>
    <row r="23" spans="1:13">
      <c r="A23" s="122" t="s">
        <v>3934</v>
      </c>
    </row>
    <row r="24" spans="1:13" ht="15.6" thickBot="1">
      <c r="I24" s="359">
        <f>ROUND(I16-F16,2)</f>
        <v>0.3</v>
      </c>
      <c r="J24" s="21" t="s">
        <v>1334</v>
      </c>
    </row>
    <row r="25" spans="1:13" ht="15.6" thickTop="1">
      <c r="L25" s="56"/>
      <c r="M25" s="21"/>
    </row>
    <row r="26" spans="1:13">
      <c r="A26" s="18" t="s">
        <v>94</v>
      </c>
      <c r="L26" s="56"/>
      <c r="M26" s="21"/>
    </row>
    <row r="27" spans="1:13">
      <c r="A27" s="69" t="s">
        <v>95</v>
      </c>
      <c r="B27" s="13" t="s">
        <v>3960</v>
      </c>
      <c r="L27" s="56"/>
      <c r="M27" s="21"/>
    </row>
    <row r="28" spans="1:13">
      <c r="A28" s="69" t="s">
        <v>96</v>
      </c>
      <c r="B28" s="13" t="s">
        <v>1338</v>
      </c>
      <c r="I28" s="645"/>
      <c r="L28" s="56"/>
      <c r="M28" s="21"/>
    </row>
    <row r="30" spans="1:13">
      <c r="A30" s="13" t="s">
        <v>146</v>
      </c>
    </row>
    <row r="31" spans="1:13">
      <c r="A31" s="221" t="s">
        <v>4222</v>
      </c>
    </row>
  </sheetData>
  <mergeCells count="10">
    <mergeCell ref="A18:K18"/>
    <mergeCell ref="A1:K1"/>
    <mergeCell ref="A2:K2"/>
    <mergeCell ref="A3:K3"/>
    <mergeCell ref="C10:D10"/>
    <mergeCell ref="F10:G10"/>
    <mergeCell ref="I8:J8"/>
    <mergeCell ref="I10:J10"/>
    <mergeCell ref="C8:D8"/>
    <mergeCell ref="F8:G8"/>
  </mergeCells>
  <phoneticPr fontId="0" type="noConversion"/>
  <printOptions horizontalCentered="1"/>
  <pageMargins left="0.7" right="0.7" top="0.75" bottom="0.75" header="0.3" footer="0.3"/>
  <pageSetup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167"/>
  <sheetViews>
    <sheetView view="pageBreakPreview" zoomScale="85" zoomScaleNormal="100" zoomScaleSheetLayoutView="85" workbookViewId="0"/>
  </sheetViews>
  <sheetFormatPr defaultColWidth="9" defaultRowHeight="15"/>
  <cols>
    <col min="1" max="1" width="9" style="13"/>
    <col min="2" max="2" width="39" style="13" bestFit="1" customWidth="1"/>
    <col min="3" max="3" width="4.33203125" style="13" customWidth="1"/>
    <col min="4" max="4" width="2.6640625" style="13" customWidth="1"/>
    <col min="5" max="5" width="13" style="13" customWidth="1"/>
    <col min="6" max="6" width="2.6640625" style="13" customWidth="1"/>
    <col min="7" max="7" width="15.33203125" style="13" customWidth="1"/>
    <col min="8" max="8" width="2.6640625" style="13" customWidth="1"/>
    <col min="9" max="9" width="14" style="13" bestFit="1" customWidth="1"/>
    <col min="10" max="10" width="2.6640625" style="13" customWidth="1"/>
    <col min="11" max="11" width="16.33203125" style="13" customWidth="1"/>
    <col min="12" max="16384" width="9" style="13"/>
  </cols>
  <sheetData>
    <row r="1" spans="1:18">
      <c r="B1" s="1001" t="str">
        <f>Input!G28</f>
        <v>Peoples Gas System</v>
      </c>
      <c r="C1" s="1001"/>
      <c r="D1" s="1001"/>
      <c r="E1" s="1001"/>
      <c r="F1" s="1001"/>
      <c r="G1" s="1001"/>
      <c r="H1" s="1001"/>
      <c r="I1" s="1001"/>
      <c r="J1" s="1001"/>
      <c r="K1" s="1001"/>
      <c r="L1" s="52"/>
      <c r="M1" s="52"/>
      <c r="N1" s="52"/>
      <c r="O1" s="52"/>
      <c r="P1" s="52"/>
      <c r="Q1" s="52"/>
      <c r="R1" s="52"/>
    </row>
    <row r="2" spans="1:18">
      <c r="B2" s="1024" t="s">
        <v>1358</v>
      </c>
      <c r="C2" s="1024"/>
      <c r="D2" s="1024"/>
      <c r="E2" s="1024"/>
      <c r="F2" s="1024"/>
      <c r="G2" s="1024"/>
      <c r="H2" s="1024"/>
      <c r="I2" s="1024"/>
      <c r="J2" s="1024"/>
      <c r="K2" s="1024"/>
      <c r="L2" s="52"/>
      <c r="M2" s="52"/>
      <c r="N2" s="52"/>
      <c r="O2" s="52"/>
      <c r="P2" s="52"/>
      <c r="Q2" s="52"/>
      <c r="R2" s="52"/>
    </row>
    <row r="3" spans="1:18">
      <c r="B3" s="1001" t="str">
        <f>Input!I29</f>
        <v>Utility Proxy Group</v>
      </c>
      <c r="C3" s="1024"/>
      <c r="D3" s="1024"/>
      <c r="E3" s="1024"/>
      <c r="F3" s="1024"/>
      <c r="G3" s="1024"/>
      <c r="H3" s="1024"/>
      <c r="I3" s="1024"/>
      <c r="J3" s="1024"/>
      <c r="K3" s="1024"/>
      <c r="L3" s="52"/>
      <c r="M3" s="52"/>
      <c r="N3" s="52"/>
      <c r="O3" s="52"/>
      <c r="P3" s="52"/>
      <c r="Q3" s="52"/>
      <c r="R3" s="52"/>
    </row>
    <row r="4" spans="1:18">
      <c r="B4" s="16"/>
      <c r="C4" s="16"/>
      <c r="D4" s="16"/>
      <c r="E4" s="16"/>
      <c r="F4" s="16"/>
      <c r="G4" s="16"/>
      <c r="H4" s="16"/>
      <c r="I4" s="16"/>
      <c r="J4" s="16"/>
      <c r="K4" s="16"/>
      <c r="L4" s="52"/>
      <c r="M4" s="52"/>
      <c r="N4" s="52"/>
      <c r="O4" s="52"/>
      <c r="P4" s="52"/>
      <c r="Q4" s="52"/>
      <c r="R4" s="52"/>
    </row>
    <row r="6" spans="1:18">
      <c r="E6" s="60" t="s">
        <v>140</v>
      </c>
      <c r="F6" s="60"/>
      <c r="G6" s="61"/>
      <c r="I6" s="1026" t="s">
        <v>141</v>
      </c>
      <c r="J6" s="1026"/>
      <c r="K6" s="1026"/>
    </row>
    <row r="7" spans="1:18" ht="15" customHeight="1">
      <c r="E7" s="60" t="s">
        <v>1356</v>
      </c>
      <c r="F7" s="60"/>
      <c r="G7" s="61"/>
      <c r="I7" s="60" t="s">
        <v>1356</v>
      </c>
      <c r="J7" s="60"/>
      <c r="K7" s="60"/>
    </row>
    <row r="8" spans="1:18">
      <c r="C8" s="52"/>
      <c r="D8" s="52"/>
      <c r="E8" s="62" t="str">
        <f>TEXT(Input!E2,"mmmm yyyy")</f>
        <v>December 2022</v>
      </c>
      <c r="F8" s="60"/>
      <c r="G8" s="61"/>
      <c r="I8" s="62" t="str">
        <f>E8</f>
        <v>December 2022</v>
      </c>
      <c r="J8" s="60"/>
      <c r="K8" s="60"/>
      <c r="L8" s="52"/>
      <c r="M8" s="52"/>
      <c r="N8" s="52"/>
      <c r="O8" s="52"/>
      <c r="P8" s="52"/>
      <c r="Q8" s="52"/>
      <c r="R8" s="52"/>
    </row>
    <row r="9" spans="1:18">
      <c r="C9" s="52"/>
      <c r="D9" s="52"/>
      <c r="G9" s="54"/>
      <c r="H9" s="52"/>
      <c r="L9" s="52"/>
      <c r="M9" s="52"/>
      <c r="N9" s="52"/>
      <c r="O9" s="52"/>
      <c r="P9" s="52"/>
      <c r="Q9" s="52"/>
      <c r="R9" s="52"/>
    </row>
    <row r="10" spans="1:18" ht="15" customHeight="1">
      <c r="B10" s="52"/>
      <c r="C10" s="52"/>
      <c r="D10" s="52"/>
      <c r="E10" s="16"/>
      <c r="G10" s="63"/>
      <c r="I10" s="16"/>
      <c r="K10" s="16"/>
      <c r="L10" s="52"/>
      <c r="M10" s="52"/>
      <c r="N10" s="52"/>
      <c r="O10" s="52"/>
      <c r="P10" s="52"/>
      <c r="Q10" s="52"/>
      <c r="R10" s="52"/>
    </row>
    <row r="11" spans="1:18" ht="45">
      <c r="B11" s="453" t="str">
        <f>'5.1 CAPM'!B7</f>
        <v>Proxy Group of Six Natural Gas Companies</v>
      </c>
      <c r="C11" s="454"/>
      <c r="D11" s="454"/>
      <c r="E11" s="455" t="s">
        <v>2955</v>
      </c>
      <c r="F11" s="17"/>
      <c r="G11" s="456" t="s">
        <v>2956</v>
      </c>
      <c r="H11" s="17"/>
      <c r="I11" s="455" t="str">
        <f>E11</f>
        <v>Long-Term Issuer Rating (1)</v>
      </c>
      <c r="J11" s="17"/>
      <c r="K11" s="456" t="s">
        <v>2956</v>
      </c>
      <c r="L11" s="454"/>
      <c r="M11" s="454"/>
      <c r="N11" s="454"/>
      <c r="O11" s="454"/>
      <c r="P11" s="454"/>
      <c r="Q11" s="454"/>
      <c r="R11" s="454"/>
    </row>
    <row r="12" spans="1:18" ht="15.75" customHeight="1">
      <c r="B12" s="19"/>
      <c r="C12" s="19"/>
      <c r="D12" s="454"/>
      <c r="E12" s="16"/>
      <c r="F12" s="16"/>
      <c r="G12" s="63"/>
      <c r="H12" s="16"/>
      <c r="I12" s="16"/>
      <c r="J12" s="16"/>
      <c r="K12" s="67"/>
      <c r="L12" s="454"/>
      <c r="M12" s="123"/>
      <c r="N12" s="123"/>
      <c r="O12" s="91"/>
      <c r="P12" s="454"/>
      <c r="Q12" s="454"/>
      <c r="R12" s="454"/>
    </row>
    <row r="13" spans="1:18" ht="15.75" customHeight="1">
      <c r="A13" s="13" t="str">
        <f>'5.1 CAPM'!A9</f>
        <v>ATO</v>
      </c>
      <c r="B13" s="545" t="str">
        <f>'Proxy Data Lookup'!B3</f>
        <v>Atmos Energy Corporation</v>
      </c>
      <c r="C13" s="92"/>
      <c r="D13" s="64"/>
      <c r="E13" s="16" t="str">
        <f>'Proxy Data Lookup'!O3</f>
        <v>A1</v>
      </c>
      <c r="F13" s="16"/>
      <c r="G13" s="65">
        <f>IFERROR(INDEX('4.6 Moody''s_S&amp;P numbericl'!D$6:D$26,MATCH('4.5 Bond Ratings'!E13,'4.6 Moody''s_S&amp;P numbericl'!B$6:B$26,0)), " - -")</f>
        <v>5</v>
      </c>
      <c r="H13" s="16"/>
      <c r="I13" s="16" t="str">
        <f>'Proxy Data Lookup'!N3</f>
        <v>A-</v>
      </c>
      <c r="J13" s="16"/>
      <c r="K13" s="65">
        <f>IFERROR(INDEX('4.6 Moody''s_S&amp;P numbericl'!H$6:H$26,MATCH('4.5 Bond Ratings'!I13,'4.6 Moody''s_S&amp;P numbericl'!F$6:F$26,0)), " - -")</f>
        <v>7</v>
      </c>
      <c r="M13" s="457"/>
      <c r="N13" s="457"/>
    </row>
    <row r="14" spans="1:18" ht="15.75" customHeight="1">
      <c r="A14" s="13" t="str">
        <f>'5.1 CAPM'!A10</f>
        <v>NJR</v>
      </c>
      <c r="B14" s="545" t="str">
        <f>'Proxy Data Lookup'!B4</f>
        <v>New Jersey Resources Corporation</v>
      </c>
      <c r="C14" s="92"/>
      <c r="D14" s="64"/>
      <c r="E14" s="16" t="str">
        <f>'Proxy Data Lookup'!O4</f>
        <v>A1</v>
      </c>
      <c r="F14" s="16"/>
      <c r="G14" s="65">
        <f>IFERROR(INDEX('4.6 Moody''s_S&amp;P numbericl'!D$6:D$26,MATCH('4.5 Bond Ratings'!E14,'4.6 Moody''s_S&amp;P numbericl'!B$6:B$26,0)), " - -")</f>
        <v>5</v>
      </c>
      <c r="H14" s="16"/>
      <c r="I14" s="16" t="str">
        <f>'Proxy Data Lookup'!N4</f>
        <v>NR</v>
      </c>
      <c r="J14" s="16"/>
      <c r="K14" s="65" t="str">
        <f>IFERROR(INDEX('4.6 Moody''s_S&amp;P numbericl'!H$6:H$26,MATCH('4.5 Bond Ratings'!I14,'4.6 Moody''s_S&amp;P numbericl'!F$6:F$26,0)), " - -")</f>
        <v xml:space="preserve"> - -</v>
      </c>
      <c r="M14" s="457"/>
      <c r="N14" s="457"/>
    </row>
    <row r="15" spans="1:18" ht="15.75" customHeight="1">
      <c r="A15" s="13" t="str">
        <f>'5.1 CAPM'!A11</f>
        <v>NI</v>
      </c>
      <c r="B15" s="545" t="str">
        <f>'Proxy Data Lookup'!B5</f>
        <v>NiSource Inc.</v>
      </c>
      <c r="C15" s="92"/>
      <c r="D15" s="64"/>
      <c r="E15" s="16" t="str">
        <f>'Proxy Data Lookup'!O5</f>
        <v>Baa1</v>
      </c>
      <c r="F15" s="16"/>
      <c r="G15" s="65">
        <f>IFERROR(INDEX('4.6 Moody''s_S&amp;P numbericl'!D$6:D$26,MATCH('4.5 Bond Ratings'!E15,'4.6 Moody''s_S&amp;P numbericl'!B$6:B$26,0)), " - -")</f>
        <v>8</v>
      </c>
      <c r="H15" s="16"/>
      <c r="I15" s="16" t="str">
        <f>'Proxy Data Lookup'!N5</f>
        <v>BBB+</v>
      </c>
      <c r="J15" s="16"/>
      <c r="K15" s="65">
        <f>IFERROR(INDEX('4.6 Moody''s_S&amp;P numbericl'!H$6:H$26,MATCH('4.5 Bond Ratings'!I15,'4.6 Moody''s_S&amp;P numbericl'!F$6:F$26,0)), " - -")</f>
        <v>8</v>
      </c>
      <c r="M15" s="457"/>
      <c r="N15" s="457"/>
    </row>
    <row r="16" spans="1:18" ht="15.75" customHeight="1">
      <c r="A16" s="13" t="str">
        <f>'5.1 CAPM'!A12</f>
        <v>NWN</v>
      </c>
      <c r="B16" s="545" t="str">
        <f>'Proxy Data Lookup'!B6</f>
        <v>Northwest Natural Holding Company</v>
      </c>
      <c r="C16" s="92"/>
      <c r="D16" s="64"/>
      <c r="E16" s="16" t="str">
        <f>'Proxy Data Lookup'!O6</f>
        <v>Baa1</v>
      </c>
      <c r="F16" s="16"/>
      <c r="G16" s="65">
        <f>IFERROR(INDEX('4.6 Moody''s_S&amp;P numbericl'!D$6:D$26,MATCH('4.5 Bond Ratings'!E16,'4.6 Moody''s_S&amp;P numbericl'!B$6:B$26,0)), " - -")</f>
        <v>8</v>
      </c>
      <c r="H16" s="16"/>
      <c r="I16" s="16" t="str">
        <f>'Proxy Data Lookup'!N6</f>
        <v>A+</v>
      </c>
      <c r="J16" s="16"/>
      <c r="K16" s="65">
        <f>IFERROR(INDEX('4.6 Moody''s_S&amp;P numbericl'!H$6:H$26,MATCH('4.5 Bond Ratings'!I16,'4.6 Moody''s_S&amp;P numbericl'!F$6:F$26,0)), " - -")</f>
        <v>5</v>
      </c>
      <c r="M16" s="457"/>
      <c r="N16" s="457"/>
    </row>
    <row r="17" spans="1:14" ht="15.75" customHeight="1">
      <c r="A17" s="13" t="str">
        <f>'5.1 CAPM'!A13</f>
        <v>OGS</v>
      </c>
      <c r="B17" s="545" t="str">
        <f>'Proxy Data Lookup'!B7</f>
        <v>ONE Gas, Inc.</v>
      </c>
      <c r="C17" s="92"/>
      <c r="D17" s="64"/>
      <c r="E17" s="16" t="str">
        <f>'Proxy Data Lookup'!O7</f>
        <v>A3</v>
      </c>
      <c r="F17" s="16"/>
      <c r="G17" s="65">
        <f>IFERROR(INDEX('4.6 Moody''s_S&amp;P numbericl'!D$6:D$26,MATCH('4.5 Bond Ratings'!E17,'4.6 Moody''s_S&amp;P numbericl'!B$6:B$26,0)), " - -")</f>
        <v>7</v>
      </c>
      <c r="H17" s="16"/>
      <c r="I17" s="16" t="str">
        <f>'Proxy Data Lookup'!N7</f>
        <v>A-</v>
      </c>
      <c r="J17" s="16"/>
      <c r="K17" s="65">
        <f>IFERROR(INDEX('4.6 Moody''s_S&amp;P numbericl'!H$6:H$26,MATCH('4.5 Bond Ratings'!I17,'4.6 Moody''s_S&amp;P numbericl'!F$6:F$26,0)), " - -")</f>
        <v>7</v>
      </c>
      <c r="M17" s="457"/>
      <c r="N17" s="457"/>
    </row>
    <row r="18" spans="1:14" ht="15.75" customHeight="1">
      <c r="A18" s="13" t="str">
        <f>'5.1 CAPM'!A14</f>
        <v>SR</v>
      </c>
      <c r="B18" s="545" t="str">
        <f>'Proxy Data Lookup'!B8</f>
        <v>Spire Inc.</v>
      </c>
      <c r="C18" s="92"/>
      <c r="D18" s="64"/>
      <c r="E18" s="16" t="str">
        <f>'Proxy Data Lookup'!O8</f>
        <v>A1/A2</v>
      </c>
      <c r="F18" s="16"/>
      <c r="G18" s="65">
        <v>5.5</v>
      </c>
      <c r="H18" s="16"/>
      <c r="I18" s="16" t="str">
        <f>'Proxy Data Lookup'!N8</f>
        <v>A-</v>
      </c>
      <c r="J18" s="16"/>
      <c r="K18" s="65">
        <f>IFERROR(INDEX('4.6 Moody''s_S&amp;P numbericl'!H$6:H$26,MATCH('4.5 Bond Ratings'!I18,'4.6 Moody''s_S&amp;P numbericl'!F$6:F$26,0)), " - -")</f>
        <v>7</v>
      </c>
      <c r="M18" s="457"/>
      <c r="N18" s="457"/>
    </row>
    <row r="19" spans="1:14" ht="15.75" customHeight="1">
      <c r="B19" s="64"/>
      <c r="C19" s="92"/>
      <c r="E19" s="458"/>
      <c r="F19" s="16"/>
      <c r="G19" s="459"/>
      <c r="H19" s="16"/>
      <c r="I19" s="458"/>
      <c r="J19" s="16"/>
      <c r="K19" s="459"/>
    </row>
    <row r="20" spans="1:14" ht="15.75" customHeight="1" thickBot="1">
      <c r="B20" s="460"/>
      <c r="C20" s="461" t="s">
        <v>80</v>
      </c>
      <c r="D20" s="460"/>
      <c r="E20" s="94" t="s">
        <v>189</v>
      </c>
      <c r="F20" s="460"/>
      <c r="G20" s="93">
        <f>ROUND(AVERAGE(G12:G19),1)</f>
        <v>6.4</v>
      </c>
      <c r="H20" s="16"/>
      <c r="I20" s="94" t="s">
        <v>193</v>
      </c>
      <c r="J20" s="16"/>
      <c r="K20" s="93">
        <f>ROUND(AVERAGE(K12:K19),1)</f>
        <v>6.8</v>
      </c>
    </row>
    <row r="21" spans="1:14" ht="15.75" customHeight="1" thickTop="1">
      <c r="C21" s="66"/>
      <c r="D21" s="66"/>
      <c r="E21" s="66"/>
      <c r="F21" s="66"/>
      <c r="G21" s="16"/>
      <c r="H21" s="16"/>
      <c r="I21" s="64"/>
      <c r="J21" s="16"/>
      <c r="K21" s="16"/>
      <c r="M21" s="74"/>
    </row>
    <row r="22" spans="1:14" ht="15.75" customHeight="1">
      <c r="B22" s="68" t="s">
        <v>94</v>
      </c>
      <c r="C22" s="66"/>
      <c r="D22" s="66"/>
      <c r="E22" s="66"/>
      <c r="F22" s="66"/>
      <c r="G22" s="16"/>
      <c r="H22" s="16"/>
      <c r="I22" s="64"/>
      <c r="J22" s="16"/>
      <c r="K22" s="16"/>
      <c r="M22" s="74"/>
    </row>
    <row r="23" spans="1:14" ht="30" customHeight="1">
      <c r="B23" s="469" t="s">
        <v>95</v>
      </c>
      <c r="C23" s="1000" t="s">
        <v>2957</v>
      </c>
      <c r="D23" s="1000"/>
      <c r="E23" s="1000"/>
      <c r="F23" s="1000"/>
      <c r="G23" s="1000"/>
      <c r="H23" s="1000"/>
      <c r="I23" s="1000"/>
      <c r="J23" s="1000"/>
      <c r="K23" s="1000"/>
    </row>
    <row r="24" spans="1:14" ht="15" customHeight="1">
      <c r="B24" s="95" t="s">
        <v>96</v>
      </c>
      <c r="C24" s="96" t="s">
        <v>4434</v>
      </c>
      <c r="D24" s="96"/>
      <c r="E24" s="66"/>
      <c r="F24" s="66"/>
      <c r="G24" s="66"/>
      <c r="H24" s="66"/>
      <c r="I24" s="66"/>
      <c r="J24" s="66"/>
      <c r="K24" s="66"/>
    </row>
    <row r="25" spans="1:14">
      <c r="G25" s="16"/>
      <c r="H25" s="16"/>
      <c r="I25" s="64"/>
      <c r="J25" s="16"/>
      <c r="K25" s="16"/>
    </row>
    <row r="26" spans="1:14">
      <c r="B26" s="18" t="s">
        <v>197</v>
      </c>
      <c r="C26" s="13" t="s">
        <v>4235</v>
      </c>
      <c r="G26" s="16"/>
      <c r="H26" s="16"/>
      <c r="I26" s="64"/>
      <c r="J26" s="16"/>
      <c r="K26" s="16"/>
    </row>
    <row r="27" spans="1:14">
      <c r="C27" s="13" t="s">
        <v>4236</v>
      </c>
      <c r="G27" s="16"/>
      <c r="H27" s="16"/>
      <c r="I27" s="64"/>
      <c r="J27" s="16"/>
      <c r="K27" s="16"/>
    </row>
    <row r="28" spans="1:14">
      <c r="G28" s="16"/>
      <c r="H28" s="16"/>
      <c r="I28" s="64"/>
      <c r="J28" s="16"/>
      <c r="K28" s="16"/>
    </row>
    <row r="29" spans="1:14">
      <c r="G29" s="16"/>
      <c r="H29" s="16"/>
      <c r="I29" s="64"/>
      <c r="J29" s="16"/>
      <c r="K29" s="16"/>
    </row>
    <row r="30" spans="1:14">
      <c r="G30" s="16"/>
      <c r="H30" s="16"/>
      <c r="I30" s="64"/>
      <c r="J30" s="16"/>
      <c r="K30" s="16"/>
    </row>
    <row r="31" spans="1:14">
      <c r="G31" s="16"/>
      <c r="H31" s="16"/>
      <c r="I31" s="64"/>
      <c r="J31" s="16"/>
      <c r="K31" s="16"/>
    </row>
    <row r="32" spans="1:14">
      <c r="G32" s="16"/>
      <c r="H32" s="16"/>
      <c r="I32" s="64"/>
      <c r="J32" s="16"/>
      <c r="K32" s="16"/>
    </row>
    <row r="33" spans="7:11">
      <c r="G33" s="16"/>
      <c r="H33" s="16"/>
      <c r="I33" s="64"/>
      <c r="J33" s="16"/>
      <c r="K33" s="16"/>
    </row>
    <row r="34" spans="7:11">
      <c r="G34" s="16"/>
      <c r="H34" s="16"/>
      <c r="I34" s="64"/>
      <c r="J34" s="16"/>
      <c r="K34" s="16"/>
    </row>
    <row r="35" spans="7:11">
      <c r="G35" s="16"/>
      <c r="H35" s="16"/>
      <c r="I35" s="64"/>
      <c r="J35" s="16"/>
      <c r="K35" s="16"/>
    </row>
    <row r="36" spans="7:11">
      <c r="G36" s="16"/>
      <c r="H36" s="16"/>
      <c r="I36" s="64"/>
      <c r="J36" s="16"/>
      <c r="K36" s="16"/>
    </row>
    <row r="37" spans="7:11">
      <c r="G37" s="16"/>
      <c r="H37" s="16"/>
      <c r="I37" s="64"/>
      <c r="J37" s="16"/>
      <c r="K37" s="16"/>
    </row>
    <row r="38" spans="7:11">
      <c r="G38" s="16"/>
      <c r="H38" s="16"/>
      <c r="I38" s="64"/>
      <c r="J38" s="16"/>
      <c r="K38" s="16"/>
    </row>
    <row r="39" spans="7:11">
      <c r="G39" s="16"/>
      <c r="H39" s="16"/>
      <c r="I39" s="64"/>
      <c r="J39" s="16"/>
      <c r="K39" s="16"/>
    </row>
    <row r="40" spans="7:11">
      <c r="G40" s="16"/>
      <c r="H40" s="16"/>
      <c r="I40" s="64"/>
      <c r="J40" s="16"/>
      <c r="K40" s="16"/>
    </row>
    <row r="41" spans="7:11">
      <c r="G41" s="16"/>
      <c r="H41" s="16"/>
      <c r="I41" s="64"/>
      <c r="J41" s="16"/>
      <c r="K41" s="16"/>
    </row>
    <row r="42" spans="7:11">
      <c r="G42" s="16"/>
      <c r="H42" s="16"/>
      <c r="I42" s="64"/>
      <c r="J42" s="16"/>
      <c r="K42" s="16"/>
    </row>
    <row r="43" spans="7:11">
      <c r="G43" s="16"/>
      <c r="H43" s="16"/>
      <c r="I43" s="64"/>
      <c r="J43" s="16"/>
      <c r="K43" s="16"/>
    </row>
    <row r="44" spans="7:11">
      <c r="G44" s="16"/>
      <c r="H44" s="16"/>
      <c r="I44" s="64"/>
      <c r="J44" s="16"/>
      <c r="K44" s="16"/>
    </row>
    <row r="45" spans="7:11">
      <c r="G45" s="16"/>
      <c r="H45" s="16"/>
      <c r="I45" s="64"/>
      <c r="J45" s="16"/>
      <c r="K45" s="16"/>
    </row>
    <row r="46" spans="7:11">
      <c r="G46" s="16"/>
      <c r="H46" s="16"/>
      <c r="I46" s="64"/>
      <c r="J46" s="16"/>
      <c r="K46" s="16"/>
    </row>
    <row r="47" spans="7:11">
      <c r="G47" s="16"/>
      <c r="H47" s="16"/>
      <c r="I47" s="64"/>
      <c r="J47" s="16"/>
      <c r="K47" s="16"/>
    </row>
    <row r="48" spans="7:11">
      <c r="G48" s="16"/>
      <c r="H48" s="16"/>
      <c r="I48" s="64"/>
      <c r="J48" s="16"/>
      <c r="K48" s="16"/>
    </row>
    <row r="49" spans="3:11">
      <c r="G49" s="16"/>
      <c r="H49" s="16"/>
      <c r="I49" s="64"/>
      <c r="J49" s="16"/>
      <c r="K49" s="16"/>
    </row>
    <row r="50" spans="3:11">
      <c r="C50" s="52"/>
      <c r="D50" s="52"/>
      <c r="E50" s="52"/>
      <c r="F50" s="52"/>
      <c r="G50" s="16"/>
      <c r="H50" s="16"/>
      <c r="I50" s="64"/>
      <c r="J50" s="16"/>
      <c r="K50" s="16"/>
    </row>
    <row r="51" spans="3:11">
      <c r="C51" s="52"/>
      <c r="D51" s="52"/>
      <c r="E51" s="52"/>
      <c r="F51" s="52"/>
      <c r="G51" s="16"/>
      <c r="H51" s="16"/>
      <c r="I51" s="64"/>
      <c r="J51" s="16"/>
      <c r="K51" s="16"/>
    </row>
    <row r="52" spans="3:11">
      <c r="C52" s="52"/>
      <c r="D52" s="52"/>
      <c r="E52" s="52"/>
      <c r="F52" s="52"/>
      <c r="G52" s="16"/>
      <c r="H52" s="16"/>
      <c r="I52" s="64"/>
      <c r="J52" s="16"/>
      <c r="K52" s="16"/>
    </row>
    <row r="53" spans="3:11">
      <c r="C53" s="52"/>
      <c r="D53" s="52"/>
      <c r="E53" s="52"/>
      <c r="F53" s="52"/>
      <c r="G53" s="16"/>
      <c r="H53" s="16"/>
      <c r="I53" s="64"/>
      <c r="J53" s="16"/>
      <c r="K53" s="16"/>
    </row>
    <row r="54" spans="3:11">
      <c r="C54" s="52"/>
      <c r="D54" s="52"/>
      <c r="E54" s="52"/>
      <c r="F54" s="52"/>
      <c r="G54" s="16"/>
      <c r="H54" s="16"/>
      <c r="I54" s="64"/>
      <c r="J54" s="16"/>
      <c r="K54" s="16"/>
    </row>
    <row r="55" spans="3:11">
      <c r="C55" s="52"/>
      <c r="D55" s="52"/>
      <c r="E55" s="52"/>
      <c r="F55" s="52"/>
      <c r="G55" s="16"/>
      <c r="H55" s="16"/>
      <c r="I55" s="64"/>
      <c r="J55" s="16"/>
      <c r="K55" s="16"/>
    </row>
    <row r="56" spans="3:11">
      <c r="C56" s="52"/>
      <c r="D56" s="52"/>
      <c r="E56" s="52"/>
      <c r="F56" s="52"/>
      <c r="G56" s="16"/>
      <c r="H56" s="16"/>
      <c r="I56" s="64"/>
      <c r="J56" s="16"/>
      <c r="K56" s="16"/>
    </row>
    <row r="57" spans="3:11">
      <c r="C57" s="52"/>
      <c r="D57" s="52"/>
      <c r="E57" s="52"/>
      <c r="F57" s="52"/>
      <c r="G57" s="16"/>
      <c r="H57" s="16"/>
      <c r="I57" s="64"/>
      <c r="J57" s="16"/>
      <c r="K57" s="16"/>
    </row>
    <row r="58" spans="3:11">
      <c r="C58" s="52"/>
      <c r="D58" s="52"/>
      <c r="E58" s="52"/>
      <c r="F58" s="52"/>
      <c r="G58" s="16"/>
      <c r="H58" s="16"/>
      <c r="I58" s="64"/>
      <c r="J58" s="16"/>
      <c r="K58" s="16"/>
    </row>
    <row r="59" spans="3:11">
      <c r="C59" s="52"/>
      <c r="D59" s="52"/>
      <c r="E59" s="52"/>
      <c r="F59" s="52"/>
      <c r="G59" s="16"/>
      <c r="H59" s="16"/>
      <c r="I59" s="64"/>
      <c r="J59" s="16"/>
      <c r="K59" s="16"/>
    </row>
    <row r="60" spans="3:11">
      <c r="C60" s="52"/>
      <c r="D60" s="52"/>
      <c r="E60" s="52"/>
      <c r="F60" s="52"/>
      <c r="G60" s="16"/>
      <c r="H60" s="16"/>
      <c r="I60" s="64"/>
      <c r="J60" s="16"/>
      <c r="K60" s="16"/>
    </row>
    <row r="61" spans="3:11">
      <c r="C61" s="18"/>
      <c r="D61" s="52"/>
      <c r="E61" s="52"/>
      <c r="F61" s="52"/>
      <c r="G61" s="16"/>
      <c r="H61" s="16"/>
      <c r="I61" s="64"/>
      <c r="J61" s="16"/>
      <c r="K61" s="16"/>
    </row>
    <row r="62" spans="3:11">
      <c r="C62" s="52"/>
      <c r="D62" s="52"/>
      <c r="E62" s="52"/>
      <c r="F62" s="52"/>
      <c r="G62" s="16"/>
      <c r="H62" s="16"/>
      <c r="I62" s="64"/>
      <c r="J62" s="16"/>
      <c r="K62" s="16"/>
    </row>
    <row r="63" spans="3:11">
      <c r="C63" s="52"/>
      <c r="D63" s="52"/>
      <c r="E63" s="52"/>
      <c r="F63" s="52"/>
      <c r="G63" s="16"/>
      <c r="H63" s="16"/>
      <c r="I63" s="64"/>
      <c r="J63" s="16"/>
      <c r="K63" s="16"/>
    </row>
    <row r="64" spans="3:11">
      <c r="C64" s="52"/>
      <c r="D64" s="52"/>
      <c r="E64" s="52"/>
      <c r="F64" s="52"/>
      <c r="G64" s="16"/>
      <c r="H64" s="16"/>
      <c r="I64" s="64"/>
      <c r="J64" s="16"/>
      <c r="K64" s="16"/>
    </row>
    <row r="65" spans="3:11">
      <c r="C65" s="52"/>
      <c r="D65" s="52"/>
      <c r="E65" s="52"/>
      <c r="F65" s="52"/>
      <c r="G65" s="16"/>
      <c r="H65" s="16"/>
      <c r="I65" s="64"/>
      <c r="J65" s="16"/>
      <c r="K65" s="16"/>
    </row>
    <row r="66" spans="3:11">
      <c r="C66" s="52"/>
      <c r="D66" s="52"/>
      <c r="E66" s="52"/>
      <c r="F66" s="52"/>
      <c r="G66" s="16"/>
      <c r="H66" s="16"/>
      <c r="I66" s="64"/>
      <c r="J66" s="16"/>
      <c r="K66" s="16"/>
    </row>
    <row r="67" spans="3:11">
      <c r="C67" s="52"/>
      <c r="D67" s="52"/>
      <c r="E67" s="52"/>
      <c r="F67" s="52"/>
      <c r="G67" s="16"/>
      <c r="H67" s="16"/>
      <c r="I67" s="64"/>
      <c r="J67" s="16"/>
      <c r="K67" s="16"/>
    </row>
    <row r="68" spans="3:11">
      <c r="C68" s="52"/>
      <c r="D68" s="52"/>
      <c r="E68" s="52"/>
      <c r="F68" s="52"/>
      <c r="G68" s="16"/>
      <c r="H68" s="16"/>
      <c r="I68" s="64"/>
      <c r="J68" s="16"/>
      <c r="K68" s="16"/>
    </row>
    <row r="69" spans="3:11">
      <c r="C69" s="52"/>
      <c r="D69" s="52"/>
      <c r="E69" s="52"/>
      <c r="F69" s="52"/>
      <c r="G69" s="16"/>
      <c r="H69" s="16"/>
      <c r="I69" s="64"/>
      <c r="J69" s="16"/>
      <c r="K69" s="16"/>
    </row>
    <row r="70" spans="3:11">
      <c r="C70" s="52"/>
      <c r="D70" s="52"/>
      <c r="E70" s="52"/>
      <c r="F70" s="52"/>
      <c r="G70" s="16"/>
      <c r="H70" s="16"/>
      <c r="I70" s="64"/>
      <c r="J70" s="16"/>
      <c r="K70" s="16"/>
    </row>
    <row r="71" spans="3:11">
      <c r="C71" s="52"/>
      <c r="D71" s="52"/>
      <c r="E71" s="52"/>
      <c r="F71" s="52"/>
      <c r="G71" s="16"/>
      <c r="H71" s="16"/>
      <c r="I71" s="64"/>
      <c r="J71" s="16"/>
      <c r="K71" s="16"/>
    </row>
    <row r="72" spans="3:11">
      <c r="C72" s="52"/>
      <c r="D72" s="52"/>
      <c r="E72" s="52"/>
      <c r="F72" s="52"/>
      <c r="G72" s="16"/>
      <c r="H72" s="16"/>
      <c r="I72" s="64"/>
      <c r="J72" s="16"/>
      <c r="K72" s="16"/>
    </row>
    <row r="73" spans="3:11">
      <c r="C73" s="52"/>
      <c r="D73" s="52"/>
      <c r="E73" s="52"/>
      <c r="F73" s="52"/>
      <c r="G73" s="16"/>
      <c r="H73" s="16"/>
      <c r="I73" s="64"/>
      <c r="J73" s="16"/>
      <c r="K73" s="16"/>
    </row>
    <row r="74" spans="3:11">
      <c r="C74" s="52"/>
      <c r="D74" s="52"/>
      <c r="E74" s="52"/>
      <c r="F74" s="52"/>
      <c r="G74" s="16"/>
      <c r="H74" s="16"/>
      <c r="I74" s="64"/>
      <c r="J74" s="16"/>
      <c r="K74" s="16"/>
    </row>
    <row r="75" spans="3:11">
      <c r="C75" s="52"/>
      <c r="D75" s="52"/>
      <c r="E75" s="52"/>
      <c r="F75" s="52"/>
      <c r="G75" s="16"/>
      <c r="H75" s="16"/>
      <c r="I75" s="64"/>
      <c r="J75" s="16"/>
      <c r="K75" s="16"/>
    </row>
    <row r="76" spans="3:11">
      <c r="C76" s="52"/>
      <c r="D76" s="52"/>
      <c r="E76" s="52"/>
      <c r="F76" s="52"/>
      <c r="G76" s="16"/>
      <c r="H76" s="16"/>
      <c r="I76" s="64"/>
      <c r="J76" s="16"/>
      <c r="K76" s="16"/>
    </row>
    <row r="77" spans="3:11">
      <c r="C77" s="52"/>
      <c r="D77" s="52"/>
      <c r="E77" s="52"/>
      <c r="F77" s="52"/>
      <c r="G77" s="16"/>
      <c r="H77" s="16"/>
      <c r="I77" s="64"/>
      <c r="J77" s="16"/>
      <c r="K77" s="16"/>
    </row>
    <row r="78" spans="3:11">
      <c r="C78" s="52"/>
      <c r="D78" s="52"/>
      <c r="E78" s="52"/>
      <c r="F78" s="52"/>
      <c r="G78" s="16"/>
      <c r="H78" s="16"/>
      <c r="I78" s="64"/>
      <c r="J78" s="16"/>
      <c r="K78" s="16"/>
    </row>
    <row r="79" spans="3:11">
      <c r="C79" s="52"/>
      <c r="D79" s="52"/>
      <c r="E79" s="52"/>
      <c r="F79" s="52"/>
      <c r="G79" s="16"/>
      <c r="H79" s="16"/>
      <c r="I79" s="64"/>
      <c r="J79" s="16"/>
      <c r="K79" s="16"/>
    </row>
    <row r="80" spans="3:11">
      <c r="C80" s="52"/>
      <c r="D80" s="52"/>
      <c r="E80" s="52"/>
      <c r="F80" s="52"/>
      <c r="G80" s="16"/>
      <c r="H80" s="16"/>
      <c r="I80" s="64"/>
      <c r="J80" s="16"/>
      <c r="K80" s="16"/>
    </row>
    <row r="81" spans="3:11">
      <c r="C81" s="52"/>
      <c r="D81" s="52"/>
      <c r="E81" s="52"/>
      <c r="F81" s="52"/>
      <c r="G81" s="16"/>
      <c r="H81" s="16"/>
      <c r="I81" s="64"/>
      <c r="J81" s="16"/>
      <c r="K81" s="16"/>
    </row>
    <row r="82" spans="3:11">
      <c r="G82" s="16"/>
      <c r="H82" s="16"/>
      <c r="I82" s="64"/>
      <c r="J82" s="16"/>
      <c r="K82" s="16"/>
    </row>
    <row r="83" spans="3:11">
      <c r="G83" s="16"/>
      <c r="H83" s="16"/>
      <c r="I83" s="64"/>
      <c r="J83" s="16"/>
      <c r="K83" s="16"/>
    </row>
    <row r="84" spans="3:11">
      <c r="G84" s="16"/>
      <c r="H84" s="16"/>
      <c r="I84" s="64"/>
      <c r="J84" s="16"/>
      <c r="K84" s="16"/>
    </row>
    <row r="85" spans="3:11">
      <c r="G85" s="16"/>
      <c r="H85" s="16"/>
      <c r="I85" s="64"/>
      <c r="J85" s="16"/>
      <c r="K85" s="16"/>
    </row>
    <row r="86" spans="3:11">
      <c r="G86" s="16"/>
      <c r="H86" s="16"/>
      <c r="I86" s="64"/>
      <c r="J86" s="16"/>
      <c r="K86" s="16"/>
    </row>
    <row r="87" spans="3:11">
      <c r="G87" s="16"/>
      <c r="H87" s="16"/>
      <c r="I87" s="64"/>
      <c r="J87" s="16"/>
      <c r="K87" s="16"/>
    </row>
    <row r="88" spans="3:11">
      <c r="G88" s="16"/>
      <c r="H88" s="16"/>
      <c r="I88" s="64"/>
      <c r="J88" s="16"/>
      <c r="K88" s="16"/>
    </row>
    <row r="89" spans="3:11">
      <c r="G89" s="16"/>
      <c r="H89" s="16"/>
      <c r="I89" s="64"/>
      <c r="J89" s="16"/>
      <c r="K89" s="16"/>
    </row>
    <row r="90" spans="3:11">
      <c r="G90" s="16"/>
      <c r="H90" s="16"/>
      <c r="I90" s="64"/>
      <c r="J90" s="16"/>
      <c r="K90" s="16"/>
    </row>
    <row r="91" spans="3:11">
      <c r="G91" s="16"/>
      <c r="H91" s="16"/>
      <c r="I91" s="64"/>
      <c r="J91" s="16"/>
      <c r="K91" s="16"/>
    </row>
    <row r="92" spans="3:11">
      <c r="G92" s="16"/>
      <c r="H92" s="16"/>
      <c r="I92" s="64"/>
      <c r="J92" s="16"/>
      <c r="K92" s="16"/>
    </row>
    <row r="93" spans="3:11">
      <c r="G93" s="16"/>
      <c r="H93" s="16"/>
      <c r="I93" s="64"/>
      <c r="J93" s="16"/>
      <c r="K93" s="16"/>
    </row>
    <row r="94" spans="3:11">
      <c r="G94" s="16"/>
      <c r="H94" s="16"/>
      <c r="I94" s="64"/>
      <c r="J94" s="16"/>
      <c r="K94" s="16"/>
    </row>
    <row r="95" spans="3:11">
      <c r="G95" s="16"/>
      <c r="H95" s="16"/>
      <c r="I95" s="64"/>
      <c r="J95" s="16"/>
      <c r="K95" s="16"/>
    </row>
    <row r="96" spans="3:11">
      <c r="G96" s="16"/>
      <c r="H96" s="16"/>
      <c r="I96" s="64"/>
      <c r="J96" s="16"/>
      <c r="K96" s="16"/>
    </row>
    <row r="97" spans="7:11">
      <c r="G97" s="16"/>
      <c r="H97" s="16"/>
      <c r="I97" s="64"/>
      <c r="J97" s="16"/>
      <c r="K97" s="16"/>
    </row>
    <row r="98" spans="7:11">
      <c r="G98" s="16"/>
      <c r="H98" s="16"/>
      <c r="I98" s="64"/>
      <c r="J98" s="16"/>
      <c r="K98" s="16"/>
    </row>
    <row r="99" spans="7:11">
      <c r="G99" s="16"/>
      <c r="H99" s="16"/>
      <c r="I99" s="64"/>
      <c r="J99" s="16"/>
      <c r="K99" s="16"/>
    </row>
    <row r="100" spans="7:11">
      <c r="G100" s="16"/>
      <c r="H100" s="16"/>
      <c r="I100" s="64"/>
      <c r="J100" s="16"/>
      <c r="K100" s="16"/>
    </row>
    <row r="101" spans="7:11">
      <c r="G101" s="16"/>
      <c r="H101" s="16"/>
      <c r="I101" s="64"/>
      <c r="J101" s="16"/>
      <c r="K101" s="16"/>
    </row>
    <row r="102" spans="7:11">
      <c r="G102" s="16"/>
      <c r="H102" s="16"/>
      <c r="I102" s="64"/>
      <c r="J102" s="16"/>
      <c r="K102" s="16"/>
    </row>
    <row r="103" spans="7:11">
      <c r="G103" s="16"/>
      <c r="H103" s="16"/>
      <c r="I103" s="64"/>
      <c r="J103" s="16"/>
      <c r="K103" s="16"/>
    </row>
    <row r="104" spans="7:11">
      <c r="G104" s="16"/>
      <c r="H104" s="16"/>
      <c r="I104" s="64"/>
      <c r="J104" s="16"/>
      <c r="K104" s="16"/>
    </row>
    <row r="105" spans="7:11">
      <c r="G105" s="16"/>
      <c r="H105" s="16"/>
      <c r="I105" s="64"/>
      <c r="J105" s="16"/>
      <c r="K105" s="16"/>
    </row>
    <row r="106" spans="7:11">
      <c r="G106" s="16"/>
      <c r="H106" s="16"/>
      <c r="I106" s="64"/>
      <c r="J106" s="16"/>
      <c r="K106" s="16"/>
    </row>
    <row r="107" spans="7:11">
      <c r="G107" s="16"/>
      <c r="H107" s="16"/>
      <c r="I107" s="64"/>
      <c r="J107" s="16"/>
      <c r="K107" s="16"/>
    </row>
    <row r="108" spans="7:11">
      <c r="G108" s="16"/>
      <c r="H108" s="16"/>
      <c r="I108" s="64"/>
      <c r="J108" s="16"/>
      <c r="K108" s="16"/>
    </row>
    <row r="109" spans="7:11">
      <c r="G109" s="16"/>
      <c r="H109" s="16"/>
      <c r="I109" s="64"/>
      <c r="J109" s="16"/>
      <c r="K109" s="16"/>
    </row>
    <row r="110" spans="7:11">
      <c r="G110" s="16"/>
      <c r="H110" s="16"/>
      <c r="I110" s="64"/>
      <c r="J110" s="16"/>
      <c r="K110" s="16"/>
    </row>
    <row r="111" spans="7:11">
      <c r="G111" s="16"/>
      <c r="H111" s="16"/>
      <c r="I111" s="64"/>
      <c r="J111" s="16"/>
      <c r="K111" s="16"/>
    </row>
    <row r="112" spans="7:11">
      <c r="G112" s="16"/>
      <c r="H112" s="16"/>
      <c r="I112" s="64"/>
      <c r="J112" s="16"/>
      <c r="K112" s="16"/>
    </row>
    <row r="113" spans="7:11">
      <c r="G113" s="16"/>
      <c r="H113" s="16"/>
      <c r="I113" s="64"/>
      <c r="J113" s="16"/>
      <c r="K113" s="16"/>
    </row>
    <row r="114" spans="7:11">
      <c r="G114" s="16"/>
      <c r="H114" s="16"/>
      <c r="I114" s="64"/>
      <c r="J114" s="16"/>
      <c r="K114" s="16"/>
    </row>
    <row r="115" spans="7:11">
      <c r="G115" s="16"/>
      <c r="H115" s="16"/>
      <c r="I115" s="64"/>
      <c r="J115" s="16"/>
      <c r="K115" s="16"/>
    </row>
    <row r="116" spans="7:11">
      <c r="G116" s="16"/>
      <c r="H116" s="16"/>
      <c r="I116" s="64"/>
      <c r="J116" s="16"/>
      <c r="K116" s="16"/>
    </row>
    <row r="117" spans="7:11">
      <c r="G117" s="16"/>
      <c r="H117" s="16"/>
      <c r="I117" s="64"/>
      <c r="J117" s="16"/>
      <c r="K117" s="16"/>
    </row>
    <row r="118" spans="7:11">
      <c r="G118" s="16"/>
      <c r="H118" s="16"/>
      <c r="I118" s="64"/>
      <c r="J118" s="16"/>
      <c r="K118" s="16"/>
    </row>
    <row r="119" spans="7:11">
      <c r="G119" s="16"/>
      <c r="H119" s="16"/>
      <c r="I119" s="64"/>
      <c r="J119" s="16"/>
      <c r="K119" s="16"/>
    </row>
    <row r="120" spans="7:11">
      <c r="G120" s="16"/>
      <c r="H120" s="16"/>
      <c r="I120" s="64"/>
      <c r="J120" s="16"/>
      <c r="K120" s="16"/>
    </row>
    <row r="121" spans="7:11">
      <c r="G121" s="16"/>
      <c r="H121" s="16"/>
      <c r="I121" s="64"/>
      <c r="J121" s="16"/>
      <c r="K121" s="16"/>
    </row>
    <row r="122" spans="7:11">
      <c r="G122" s="16"/>
      <c r="H122" s="16"/>
      <c r="I122" s="64"/>
      <c r="J122" s="16"/>
      <c r="K122" s="16"/>
    </row>
    <row r="123" spans="7:11">
      <c r="G123" s="16"/>
      <c r="H123" s="16"/>
      <c r="I123" s="64"/>
      <c r="J123" s="16"/>
      <c r="K123" s="16"/>
    </row>
    <row r="124" spans="7:11">
      <c r="G124" s="16"/>
      <c r="H124" s="16"/>
      <c r="I124" s="64"/>
      <c r="J124" s="16"/>
      <c r="K124" s="16"/>
    </row>
    <row r="125" spans="7:11">
      <c r="G125" s="16"/>
      <c r="H125" s="16"/>
      <c r="I125" s="64"/>
      <c r="J125" s="16"/>
      <c r="K125" s="16"/>
    </row>
    <row r="126" spans="7:11">
      <c r="G126" s="16"/>
      <c r="H126" s="16"/>
      <c r="I126" s="64"/>
      <c r="J126" s="16"/>
      <c r="K126" s="16"/>
    </row>
    <row r="127" spans="7:11">
      <c r="G127" s="16"/>
      <c r="H127" s="16"/>
      <c r="I127" s="64"/>
      <c r="J127" s="16"/>
      <c r="K127" s="16"/>
    </row>
    <row r="128" spans="7:11">
      <c r="G128" s="16"/>
      <c r="H128" s="16"/>
      <c r="I128" s="64"/>
      <c r="J128" s="16"/>
      <c r="K128" s="16"/>
    </row>
    <row r="129" spans="7:11">
      <c r="G129" s="16"/>
      <c r="H129" s="16"/>
      <c r="I129" s="64"/>
      <c r="J129" s="16"/>
      <c r="K129" s="16"/>
    </row>
    <row r="130" spans="7:11">
      <c r="G130" s="16"/>
      <c r="H130" s="16"/>
      <c r="I130" s="64"/>
      <c r="J130" s="16"/>
      <c r="K130" s="16"/>
    </row>
    <row r="131" spans="7:11">
      <c r="G131" s="16"/>
      <c r="H131" s="16"/>
      <c r="I131" s="64"/>
      <c r="J131" s="16"/>
      <c r="K131" s="16"/>
    </row>
    <row r="132" spans="7:11">
      <c r="G132" s="16"/>
      <c r="H132" s="16"/>
      <c r="I132" s="64"/>
      <c r="J132" s="16"/>
      <c r="K132" s="16"/>
    </row>
    <row r="133" spans="7:11">
      <c r="G133" s="16"/>
      <c r="H133" s="16"/>
      <c r="I133" s="64"/>
      <c r="J133" s="16"/>
      <c r="K133" s="16"/>
    </row>
    <row r="134" spans="7:11">
      <c r="G134" s="16"/>
      <c r="H134" s="16"/>
      <c r="I134" s="64"/>
      <c r="J134" s="16"/>
      <c r="K134" s="16"/>
    </row>
    <row r="135" spans="7:11">
      <c r="G135" s="16"/>
      <c r="H135" s="16"/>
      <c r="I135" s="64"/>
      <c r="J135" s="16"/>
      <c r="K135" s="16"/>
    </row>
    <row r="136" spans="7:11">
      <c r="G136" s="16"/>
      <c r="H136" s="16"/>
      <c r="I136" s="64"/>
      <c r="J136" s="16"/>
      <c r="K136" s="16"/>
    </row>
    <row r="137" spans="7:11">
      <c r="G137" s="16"/>
      <c r="H137" s="16"/>
      <c r="I137" s="64"/>
      <c r="J137" s="16"/>
      <c r="K137" s="16"/>
    </row>
    <row r="138" spans="7:11">
      <c r="G138" s="16"/>
      <c r="H138" s="16"/>
      <c r="I138" s="64"/>
      <c r="J138" s="16"/>
      <c r="K138" s="16"/>
    </row>
    <row r="139" spans="7:11">
      <c r="G139" s="16"/>
      <c r="H139" s="16"/>
      <c r="I139" s="64"/>
      <c r="J139" s="16"/>
      <c r="K139" s="16"/>
    </row>
    <row r="140" spans="7:11">
      <c r="G140" s="16"/>
      <c r="H140" s="16"/>
      <c r="I140" s="64"/>
      <c r="J140" s="16"/>
      <c r="K140" s="16"/>
    </row>
    <row r="141" spans="7:11">
      <c r="G141" s="16"/>
      <c r="H141" s="16"/>
      <c r="I141" s="64"/>
      <c r="J141" s="16"/>
      <c r="K141" s="16"/>
    </row>
    <row r="142" spans="7:11">
      <c r="G142" s="16"/>
      <c r="H142" s="16"/>
      <c r="I142" s="64"/>
      <c r="J142" s="16"/>
      <c r="K142" s="16"/>
    </row>
    <row r="143" spans="7:11">
      <c r="G143" s="16"/>
      <c r="H143" s="16"/>
      <c r="I143" s="64"/>
      <c r="J143" s="16"/>
      <c r="K143" s="16"/>
    </row>
    <row r="144" spans="7:11">
      <c r="G144" s="16"/>
      <c r="H144" s="16"/>
      <c r="I144" s="64"/>
      <c r="J144" s="16"/>
      <c r="K144" s="16"/>
    </row>
    <row r="145" spans="7:11">
      <c r="G145" s="16"/>
      <c r="H145" s="16"/>
      <c r="I145" s="64"/>
      <c r="J145" s="16"/>
      <c r="K145" s="16"/>
    </row>
    <row r="146" spans="7:11">
      <c r="G146" s="16"/>
      <c r="H146" s="16"/>
      <c r="I146" s="64"/>
      <c r="J146" s="16"/>
      <c r="K146" s="16"/>
    </row>
    <row r="147" spans="7:11">
      <c r="G147" s="16"/>
      <c r="H147" s="16"/>
      <c r="I147" s="64"/>
      <c r="J147" s="16"/>
      <c r="K147" s="16"/>
    </row>
    <row r="148" spans="7:11">
      <c r="G148" s="16"/>
      <c r="H148" s="16"/>
      <c r="I148" s="64"/>
      <c r="J148" s="16"/>
      <c r="K148" s="16"/>
    </row>
    <row r="149" spans="7:11">
      <c r="G149" s="16"/>
      <c r="H149" s="16"/>
      <c r="I149" s="64"/>
      <c r="J149" s="16"/>
      <c r="K149" s="16"/>
    </row>
    <row r="150" spans="7:11">
      <c r="G150" s="16"/>
      <c r="H150" s="16"/>
      <c r="I150" s="64"/>
      <c r="J150" s="16"/>
      <c r="K150" s="16"/>
    </row>
    <row r="151" spans="7:11">
      <c r="G151" s="16"/>
      <c r="H151" s="16"/>
      <c r="I151" s="64"/>
      <c r="J151" s="16"/>
      <c r="K151" s="16"/>
    </row>
    <row r="152" spans="7:11">
      <c r="G152" s="16"/>
      <c r="H152" s="16"/>
      <c r="I152" s="64"/>
      <c r="J152" s="16"/>
      <c r="K152" s="16"/>
    </row>
    <row r="153" spans="7:11">
      <c r="G153" s="16"/>
      <c r="H153" s="16"/>
      <c r="I153" s="64"/>
      <c r="J153" s="16"/>
      <c r="K153" s="16"/>
    </row>
    <row r="154" spans="7:11">
      <c r="G154" s="16"/>
      <c r="H154" s="16"/>
      <c r="I154" s="64"/>
      <c r="J154" s="16"/>
      <c r="K154" s="16"/>
    </row>
    <row r="155" spans="7:11">
      <c r="G155" s="16"/>
      <c r="H155" s="16"/>
      <c r="I155" s="64"/>
      <c r="J155" s="16"/>
      <c r="K155" s="16"/>
    </row>
    <row r="156" spans="7:11">
      <c r="G156" s="16"/>
      <c r="H156" s="16"/>
      <c r="I156" s="64"/>
      <c r="J156" s="16"/>
      <c r="K156" s="16"/>
    </row>
    <row r="157" spans="7:11">
      <c r="G157" s="16"/>
      <c r="H157" s="16"/>
      <c r="I157" s="64"/>
      <c r="J157" s="16"/>
      <c r="K157" s="16"/>
    </row>
    <row r="158" spans="7:11">
      <c r="G158" s="16"/>
      <c r="H158" s="16"/>
      <c r="I158" s="64"/>
      <c r="J158" s="16"/>
      <c r="K158" s="16"/>
    </row>
    <row r="159" spans="7:11">
      <c r="G159" s="16"/>
      <c r="H159" s="16"/>
      <c r="I159" s="64"/>
      <c r="J159" s="16"/>
      <c r="K159" s="16"/>
    </row>
    <row r="160" spans="7:11">
      <c r="G160" s="16"/>
      <c r="H160" s="16"/>
      <c r="I160" s="64"/>
      <c r="J160" s="16"/>
      <c r="K160" s="16"/>
    </row>
    <row r="161" spans="7:11">
      <c r="G161" s="16"/>
      <c r="H161" s="16"/>
      <c r="I161" s="64"/>
      <c r="J161" s="16"/>
      <c r="K161" s="16"/>
    </row>
    <row r="162" spans="7:11">
      <c r="G162" s="16"/>
      <c r="H162" s="16"/>
      <c r="I162" s="64"/>
      <c r="J162" s="16"/>
      <c r="K162" s="16"/>
    </row>
    <row r="163" spans="7:11">
      <c r="G163" s="16"/>
      <c r="H163" s="16"/>
      <c r="I163" s="64"/>
      <c r="J163" s="16"/>
      <c r="K163" s="16"/>
    </row>
    <row r="164" spans="7:11">
      <c r="G164" s="16"/>
      <c r="H164" s="16"/>
      <c r="I164" s="64"/>
      <c r="J164" s="16"/>
      <c r="K164" s="16"/>
    </row>
    <row r="165" spans="7:11">
      <c r="G165" s="16"/>
      <c r="H165" s="16"/>
      <c r="I165" s="64"/>
      <c r="J165" s="16"/>
      <c r="K165" s="16"/>
    </row>
    <row r="166" spans="7:11">
      <c r="G166" s="16"/>
      <c r="H166" s="16"/>
      <c r="I166" s="64"/>
      <c r="J166" s="16"/>
      <c r="K166" s="16"/>
    </row>
    <row r="167" spans="7:11">
      <c r="G167" s="16"/>
      <c r="H167" s="16"/>
      <c r="I167" s="64"/>
      <c r="J167" s="16"/>
      <c r="K167" s="16"/>
    </row>
  </sheetData>
  <mergeCells count="5">
    <mergeCell ref="B1:K1"/>
    <mergeCell ref="B2:K2"/>
    <mergeCell ref="B3:K3"/>
    <mergeCell ref="I6:K6"/>
    <mergeCell ref="C23:K23"/>
  </mergeCells>
  <phoneticPr fontId="0" type="noConversion"/>
  <printOptions horizontalCentered="1"/>
  <pageMargins left="0.7" right="0.7" top="0.75" bottom="0.75" header="0.3" footer="0.3"/>
  <pageSetup scale="82" orientation="portrait" horizontalDpi="4294967293"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26"/>
  <sheetViews>
    <sheetView view="pageBreakPreview" zoomScale="90" zoomScaleNormal="100" zoomScaleSheetLayoutView="90" workbookViewId="0"/>
  </sheetViews>
  <sheetFormatPr defaultColWidth="8.88671875" defaultRowHeight="13.2"/>
  <cols>
    <col min="1" max="1" width="8.88671875" style="108"/>
    <col min="2" max="2" width="15.5546875" style="108" customWidth="1"/>
    <col min="3" max="3" width="8" style="108" customWidth="1"/>
    <col min="4" max="4" width="15.88671875" style="108" customWidth="1"/>
    <col min="5" max="5" width="8" style="108" customWidth="1"/>
    <col min="6" max="6" width="15.5546875" style="108" customWidth="1"/>
    <col min="7" max="7" width="8.88671875" style="108"/>
    <col min="8" max="8" width="14.33203125" style="108" customWidth="1"/>
    <col min="9" max="9" width="8.88671875" style="108"/>
    <col min="10" max="10" width="10.5546875" style="108" bestFit="1" customWidth="1"/>
    <col min="11" max="16384" width="8.88671875" style="108"/>
  </cols>
  <sheetData>
    <row r="1" spans="1:8">
      <c r="B1" s="1027" t="s">
        <v>1380</v>
      </c>
      <c r="C1" s="1027"/>
      <c r="D1" s="1027"/>
      <c r="E1" s="1027"/>
      <c r="F1" s="1027"/>
    </row>
    <row r="2" spans="1:8">
      <c r="B2" s="1027" t="s">
        <v>1381</v>
      </c>
      <c r="C2" s="1027"/>
      <c r="D2" s="1027"/>
      <c r="E2" s="1027"/>
      <c r="F2" s="1027"/>
    </row>
    <row r="3" spans="1:8">
      <c r="A3" s="109"/>
      <c r="B3" s="109"/>
      <c r="C3" s="109"/>
      <c r="D3" s="109"/>
      <c r="E3" s="109"/>
      <c r="F3" s="109"/>
    </row>
    <row r="4" spans="1:8" ht="39.6">
      <c r="A4" s="112"/>
      <c r="B4" s="110" t="s">
        <v>1378</v>
      </c>
      <c r="D4" s="110" t="s">
        <v>1382</v>
      </c>
      <c r="F4" s="110" t="s">
        <v>1379</v>
      </c>
      <c r="H4" s="110" t="str">
        <f>D4</f>
        <v>Numerical Bond Weighting</v>
      </c>
    </row>
    <row r="5" spans="1:8" ht="15">
      <c r="A5" s="112"/>
      <c r="F5" s="111"/>
    </row>
    <row r="6" spans="1:8" ht="15">
      <c r="B6" s="111" t="s">
        <v>1361</v>
      </c>
      <c r="D6" s="111">
        <v>1</v>
      </c>
      <c r="F6" s="111" t="s">
        <v>1368</v>
      </c>
      <c r="G6" s="112"/>
      <c r="H6" s="111">
        <f>IF(D6="","",D6)</f>
        <v>1</v>
      </c>
    </row>
    <row r="7" spans="1:8" ht="15">
      <c r="B7" s="111"/>
      <c r="D7" s="111"/>
      <c r="F7" s="111"/>
      <c r="G7" s="112"/>
      <c r="H7" s="111" t="str">
        <f t="shared" ref="H7:H26" si="0">IF(D7="","",D7)</f>
        <v/>
      </c>
    </row>
    <row r="8" spans="1:8" ht="15">
      <c r="B8" s="111" t="s">
        <v>1362</v>
      </c>
      <c r="D8" s="111">
        <v>2</v>
      </c>
      <c r="F8" s="111" t="s">
        <v>1369</v>
      </c>
      <c r="G8" s="112"/>
      <c r="H8" s="111">
        <f t="shared" si="0"/>
        <v>2</v>
      </c>
    </row>
    <row r="9" spans="1:8" ht="15">
      <c r="B9" s="111" t="s">
        <v>1363</v>
      </c>
      <c r="D9" s="111">
        <v>3</v>
      </c>
      <c r="F9" s="111" t="s">
        <v>1313</v>
      </c>
      <c r="G9" s="112"/>
      <c r="H9" s="111">
        <f t="shared" si="0"/>
        <v>3</v>
      </c>
    </row>
    <row r="10" spans="1:8" ht="15">
      <c r="B10" s="111" t="s">
        <v>1364</v>
      </c>
      <c r="D10" s="111">
        <v>4</v>
      </c>
      <c r="F10" s="111" t="s">
        <v>1370</v>
      </c>
      <c r="G10" s="112"/>
      <c r="H10" s="111">
        <f t="shared" si="0"/>
        <v>4</v>
      </c>
    </row>
    <row r="11" spans="1:8" ht="15">
      <c r="B11" s="111"/>
      <c r="D11" s="111"/>
      <c r="F11" s="111"/>
      <c r="G11" s="112"/>
      <c r="H11" s="111" t="str">
        <f t="shared" si="0"/>
        <v/>
      </c>
    </row>
    <row r="12" spans="1:8" ht="15">
      <c r="B12" s="111" t="s">
        <v>191</v>
      </c>
      <c r="D12" s="111">
        <v>5</v>
      </c>
      <c r="F12" s="111" t="s">
        <v>190</v>
      </c>
      <c r="G12" s="112"/>
      <c r="H12" s="111">
        <f t="shared" si="0"/>
        <v>5</v>
      </c>
    </row>
    <row r="13" spans="1:8" ht="15">
      <c r="B13" s="111" t="s">
        <v>189</v>
      </c>
      <c r="D13" s="111">
        <v>6</v>
      </c>
      <c r="F13" s="111" t="s">
        <v>192</v>
      </c>
      <c r="G13" s="112"/>
      <c r="H13" s="111">
        <f t="shared" si="0"/>
        <v>6</v>
      </c>
    </row>
    <row r="14" spans="1:8" ht="15">
      <c r="B14" s="111" t="s">
        <v>219</v>
      </c>
      <c r="D14" s="111">
        <v>7</v>
      </c>
      <c r="F14" s="111" t="s">
        <v>193</v>
      </c>
      <c r="G14" s="112"/>
      <c r="H14" s="111">
        <f t="shared" si="0"/>
        <v>7</v>
      </c>
    </row>
    <row r="15" spans="1:8" ht="15">
      <c r="B15" s="111"/>
      <c r="D15" s="111"/>
      <c r="F15" s="111"/>
      <c r="G15" s="112"/>
      <c r="H15" s="111" t="str">
        <f t="shared" si="0"/>
        <v/>
      </c>
    </row>
    <row r="16" spans="1:8" ht="15">
      <c r="B16" s="111" t="s">
        <v>224</v>
      </c>
      <c r="D16" s="111">
        <v>8</v>
      </c>
      <c r="F16" s="111" t="s">
        <v>223</v>
      </c>
      <c r="G16" s="112"/>
      <c r="H16" s="111">
        <f t="shared" si="0"/>
        <v>8</v>
      </c>
    </row>
    <row r="17" spans="2:8" ht="15">
      <c r="B17" s="111" t="s">
        <v>225</v>
      </c>
      <c r="D17" s="111">
        <v>9</v>
      </c>
      <c r="F17" s="111" t="s">
        <v>222</v>
      </c>
      <c r="G17" s="112"/>
      <c r="H17" s="111">
        <f t="shared" si="0"/>
        <v>9</v>
      </c>
    </row>
    <row r="18" spans="2:8" ht="15">
      <c r="B18" s="111" t="s">
        <v>220</v>
      </c>
      <c r="D18" s="111">
        <v>10</v>
      </c>
      <c r="F18" s="111" t="s">
        <v>221</v>
      </c>
      <c r="G18" s="112"/>
      <c r="H18" s="111">
        <f t="shared" si="0"/>
        <v>10</v>
      </c>
    </row>
    <row r="19" spans="2:8" ht="15">
      <c r="B19" s="111"/>
      <c r="D19" s="111"/>
      <c r="F19" s="111"/>
      <c r="G19" s="112"/>
      <c r="H19" s="111" t="str">
        <f t="shared" si="0"/>
        <v/>
      </c>
    </row>
    <row r="20" spans="2:8" ht="15">
      <c r="B20" s="111" t="s">
        <v>1305</v>
      </c>
      <c r="D20" s="111">
        <v>11</v>
      </c>
      <c r="F20" s="111" t="s">
        <v>1304</v>
      </c>
      <c r="G20" s="112"/>
      <c r="H20" s="111">
        <f t="shared" si="0"/>
        <v>11</v>
      </c>
    </row>
    <row r="21" spans="2:8" ht="15">
      <c r="B21" s="111" t="s">
        <v>227</v>
      </c>
      <c r="D21" s="111">
        <v>12</v>
      </c>
      <c r="F21" s="111" t="s">
        <v>1303</v>
      </c>
      <c r="G21" s="112"/>
      <c r="H21" s="111">
        <f t="shared" si="0"/>
        <v>12</v>
      </c>
    </row>
    <row r="22" spans="2:8" ht="15">
      <c r="B22" s="111" t="s">
        <v>1365</v>
      </c>
      <c r="D22" s="111">
        <v>13</v>
      </c>
      <c r="F22" s="111" t="s">
        <v>1371</v>
      </c>
      <c r="G22" s="112"/>
      <c r="H22" s="111">
        <f t="shared" si="0"/>
        <v>13</v>
      </c>
    </row>
    <row r="23" spans="2:8" ht="15">
      <c r="B23" s="111"/>
      <c r="D23" s="111"/>
      <c r="F23" s="111"/>
      <c r="G23" s="112"/>
      <c r="H23" s="111" t="str">
        <f t="shared" si="0"/>
        <v/>
      </c>
    </row>
    <row r="24" spans="2:8" ht="15">
      <c r="B24" s="111" t="s">
        <v>226</v>
      </c>
      <c r="D24" s="111">
        <v>14</v>
      </c>
      <c r="F24" s="111" t="s">
        <v>1372</v>
      </c>
      <c r="G24" s="112"/>
      <c r="H24" s="111">
        <f t="shared" si="0"/>
        <v>14</v>
      </c>
    </row>
    <row r="25" spans="2:8" ht="15">
      <c r="B25" s="111" t="s">
        <v>1366</v>
      </c>
      <c r="D25" s="111">
        <v>15</v>
      </c>
      <c r="F25" s="111" t="s">
        <v>1373</v>
      </c>
      <c r="G25" s="112"/>
      <c r="H25" s="111">
        <f t="shared" si="0"/>
        <v>15</v>
      </c>
    </row>
    <row r="26" spans="2:8" ht="15">
      <c r="B26" s="111" t="s">
        <v>1367</v>
      </c>
      <c r="D26" s="111">
        <v>16</v>
      </c>
      <c r="F26" s="111" t="s">
        <v>1374</v>
      </c>
      <c r="G26" s="112"/>
      <c r="H26" s="111">
        <f t="shared" si="0"/>
        <v>16</v>
      </c>
    </row>
  </sheetData>
  <mergeCells count="2">
    <mergeCell ref="B1:F1"/>
    <mergeCell ref="B2:F2"/>
  </mergeCells>
  <printOptions horizontalCentered="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H76"/>
  <sheetViews>
    <sheetView view="pageBreakPreview" zoomScale="85" zoomScaleNormal="100" zoomScaleSheetLayoutView="85" workbookViewId="0"/>
  </sheetViews>
  <sheetFormatPr defaultColWidth="12.33203125" defaultRowHeight="15"/>
  <cols>
    <col min="1" max="1" width="8.5546875" style="13" bestFit="1" customWidth="1"/>
    <col min="2" max="2" width="4.5546875" style="13" customWidth="1"/>
    <col min="3" max="3" width="33" style="13" customWidth="1"/>
    <col min="4" max="4" width="5.5546875" style="13" customWidth="1"/>
    <col min="5" max="5" width="16.6640625" style="13" customWidth="1"/>
    <col min="6" max="6" width="3.33203125" style="13" customWidth="1"/>
    <col min="7" max="7" width="8" style="13" customWidth="1"/>
    <col min="8" max="16384" width="12.33203125" style="13"/>
  </cols>
  <sheetData>
    <row r="1" spans="1:8">
      <c r="A1" s="14" t="str">
        <f>Input!G28</f>
        <v>Peoples Gas System</v>
      </c>
      <c r="B1" s="14"/>
      <c r="C1" s="14"/>
      <c r="D1" s="14"/>
      <c r="E1" s="488"/>
      <c r="F1" s="488"/>
      <c r="G1" s="52"/>
    </row>
    <row r="2" spans="1:8">
      <c r="A2" s="15" t="s">
        <v>4220</v>
      </c>
      <c r="B2" s="15"/>
      <c r="C2" s="15"/>
      <c r="D2" s="15"/>
      <c r="E2" s="488"/>
      <c r="F2" s="488"/>
      <c r="G2" s="52"/>
    </row>
    <row r="3" spans="1:8">
      <c r="A3" s="14" t="str">
        <f>Input!I29</f>
        <v>Utility Proxy Group</v>
      </c>
      <c r="B3" s="14"/>
      <c r="C3" s="14"/>
      <c r="D3" s="14"/>
      <c r="E3" s="490"/>
      <c r="F3" s="490"/>
      <c r="G3" s="66"/>
    </row>
    <row r="4" spans="1:8">
      <c r="A4" s="16"/>
      <c r="B4" s="16"/>
      <c r="C4" s="16"/>
      <c r="D4" s="16"/>
      <c r="E4" s="66"/>
      <c r="F4" s="66"/>
      <c r="G4" s="66"/>
    </row>
    <row r="5" spans="1:8" ht="15" customHeight="1">
      <c r="A5" s="1024"/>
      <c r="B5" s="1017"/>
      <c r="C5" s="1017"/>
      <c r="D5" s="1017"/>
    </row>
    <row r="6" spans="1:8" ht="65.25" customHeight="1">
      <c r="A6" s="57" t="s">
        <v>122</v>
      </c>
      <c r="B6" s="16"/>
      <c r="D6" s="54"/>
      <c r="E6" s="1023" t="str">
        <f>'4.8-4.9 Beta Adjusted ERP'!E7</f>
        <v>Proxy Group of Six Natural Gas Companies</v>
      </c>
      <c r="F6" s="1023"/>
      <c r="G6" s="19"/>
    </row>
    <row r="7" spans="1:8">
      <c r="A7" s="58"/>
      <c r="B7" s="16"/>
      <c r="D7" s="54"/>
    </row>
    <row r="8" spans="1:8">
      <c r="B8" s="16"/>
      <c r="D8" s="54"/>
    </row>
    <row r="9" spans="1:8">
      <c r="A9" s="16" t="s">
        <v>93</v>
      </c>
      <c r="B9" s="16"/>
      <c r="C9" s="13" t="s">
        <v>112</v>
      </c>
      <c r="D9" s="54"/>
    </row>
    <row r="10" spans="1:8">
      <c r="B10" s="16"/>
      <c r="C10" s="13" t="s">
        <v>113</v>
      </c>
      <c r="D10" s="54"/>
    </row>
    <row r="11" spans="1:8">
      <c r="B11" s="16"/>
      <c r="C11" s="13" t="s">
        <v>114</v>
      </c>
      <c r="D11" s="54"/>
    </row>
    <row r="12" spans="1:8">
      <c r="B12" s="16"/>
      <c r="C12" s="13" t="s">
        <v>115</v>
      </c>
      <c r="D12" s="54"/>
      <c r="E12" s="34">
        <f>'4.8-4.9 Beta Adjusted ERP'!E27</f>
        <v>6.5</v>
      </c>
      <c r="F12" s="35" t="s">
        <v>18</v>
      </c>
      <c r="G12" s="21"/>
      <c r="H12" s="56"/>
    </row>
    <row r="13" spans="1:8">
      <c r="B13" s="16"/>
      <c r="D13" s="54"/>
      <c r="E13" s="34"/>
      <c r="F13" s="34"/>
    </row>
    <row r="14" spans="1:8">
      <c r="A14" s="16" t="s">
        <v>99</v>
      </c>
      <c r="B14" s="16"/>
      <c r="C14" s="13" t="s">
        <v>116</v>
      </c>
      <c r="D14" s="54"/>
      <c r="E14" s="34"/>
      <c r="F14" s="34"/>
    </row>
    <row r="15" spans="1:8">
      <c r="B15" s="16"/>
      <c r="C15" s="13" t="s">
        <v>117</v>
      </c>
      <c r="D15" s="54"/>
      <c r="E15" s="34"/>
      <c r="F15" s="34"/>
    </row>
    <row r="16" spans="1:8">
      <c r="B16" s="16"/>
      <c r="C16" s="13" t="s">
        <v>118</v>
      </c>
      <c r="D16" s="54"/>
      <c r="E16" s="34"/>
      <c r="F16" s="34"/>
    </row>
    <row r="17" spans="1:8">
      <c r="B17" s="16"/>
      <c r="C17" s="13" t="s">
        <v>119</v>
      </c>
      <c r="D17" s="54"/>
      <c r="E17" s="34"/>
      <c r="F17" s="34"/>
    </row>
    <row r="18" spans="1:8">
      <c r="B18" s="16"/>
      <c r="C18" s="13" t="s">
        <v>120</v>
      </c>
      <c r="D18" s="54"/>
      <c r="E18" s="34">
        <f>'4.12 S&amp;P RPM Study Returns'!E19</f>
        <v>4.32</v>
      </c>
      <c r="F18" s="34"/>
      <c r="H18" s="34"/>
    </row>
    <row r="19" spans="1:8">
      <c r="B19" s="16"/>
      <c r="D19" s="54"/>
      <c r="E19" s="34"/>
      <c r="F19" s="34"/>
    </row>
    <row r="20" spans="1:8">
      <c r="A20" s="25" t="s">
        <v>100</v>
      </c>
      <c r="B20" s="16"/>
      <c r="C20" s="13" t="s">
        <v>2786</v>
      </c>
      <c r="D20" s="54"/>
      <c r="E20" s="34"/>
      <c r="F20" s="34"/>
    </row>
    <row r="21" spans="1:8">
      <c r="B21" s="16"/>
      <c r="C21" s="221" t="s">
        <v>2787</v>
      </c>
      <c r="D21" s="54"/>
      <c r="E21" s="34"/>
      <c r="F21" s="34"/>
    </row>
    <row r="22" spans="1:8">
      <c r="B22" s="16"/>
      <c r="C22" s="221" t="s">
        <v>4607</v>
      </c>
      <c r="D22" s="54"/>
      <c r="E22" s="34"/>
      <c r="F22" s="34"/>
    </row>
    <row r="23" spans="1:8">
      <c r="B23" s="16"/>
      <c r="C23" s="452" t="s">
        <v>4395</v>
      </c>
      <c r="D23" s="54"/>
      <c r="E23" s="451">
        <f>'4.13 Past Rate Cases Gas'!AF21</f>
        <v>4.707552636716648</v>
      </c>
      <c r="F23" s="34"/>
      <c r="G23" s="56"/>
      <c r="H23" s="34"/>
    </row>
    <row r="24" spans="1:8">
      <c r="B24" s="16"/>
      <c r="D24" s="54"/>
      <c r="E24" s="34"/>
      <c r="F24" s="34"/>
    </row>
    <row r="25" spans="1:8" ht="15.6" thickBot="1">
      <c r="A25" s="25" t="s">
        <v>104</v>
      </c>
      <c r="B25" s="16"/>
      <c r="C25" s="13" t="s">
        <v>121</v>
      </c>
      <c r="D25" s="54"/>
      <c r="E25" s="41">
        <f>ROUND(AVERAGE(E12:E23),2)</f>
        <v>5.18</v>
      </c>
      <c r="F25" s="34" t="s">
        <v>18</v>
      </c>
      <c r="H25" s="56"/>
    </row>
    <row r="26" spans="1:8" ht="15.6" thickTop="1">
      <c r="B26" s="16"/>
      <c r="D26" s="54"/>
    </row>
    <row r="27" spans="1:8">
      <c r="B27" s="16"/>
      <c r="D27" s="54"/>
    </row>
    <row r="28" spans="1:8">
      <c r="A28" s="18" t="s">
        <v>101</v>
      </c>
      <c r="B28" s="16" t="s">
        <v>95</v>
      </c>
      <c r="C28" s="13" t="s">
        <v>4435</v>
      </c>
      <c r="D28" s="54"/>
    </row>
    <row r="29" spans="1:8">
      <c r="A29" s="18"/>
      <c r="B29" s="16" t="s">
        <v>96</v>
      </c>
      <c r="C29" s="13" t="s">
        <v>4436</v>
      </c>
      <c r="D29" s="54"/>
    </row>
    <row r="30" spans="1:8">
      <c r="B30" s="25" t="s">
        <v>97</v>
      </c>
      <c r="C30" s="13" t="s">
        <v>4437</v>
      </c>
      <c r="D30" s="54"/>
    </row>
    <row r="31" spans="1:8">
      <c r="B31" s="16"/>
      <c r="D31" s="54"/>
    </row>
    <row r="32" spans="1:8">
      <c r="B32" s="16"/>
      <c r="D32" s="54"/>
    </row>
    <row r="33" spans="2:4">
      <c r="B33" s="16"/>
      <c r="D33" s="54"/>
    </row>
    <row r="34" spans="2:4">
      <c r="B34" s="16"/>
      <c r="D34" s="54"/>
    </row>
    <row r="35" spans="2:4">
      <c r="B35" s="16"/>
      <c r="D35" s="54"/>
    </row>
    <row r="36" spans="2:4">
      <c r="B36" s="16"/>
      <c r="D36" s="54"/>
    </row>
    <row r="37" spans="2:4">
      <c r="B37" s="16"/>
      <c r="D37" s="54"/>
    </row>
    <row r="38" spans="2:4">
      <c r="B38" s="16"/>
      <c r="D38" s="54"/>
    </row>
    <row r="39" spans="2:4">
      <c r="B39" s="16"/>
      <c r="D39" s="54"/>
    </row>
    <row r="40" spans="2:4">
      <c r="B40" s="16"/>
      <c r="D40" s="54"/>
    </row>
    <row r="41" spans="2:4">
      <c r="B41" s="16"/>
      <c r="D41" s="54"/>
    </row>
    <row r="42" spans="2:4">
      <c r="B42" s="16"/>
      <c r="D42" s="54"/>
    </row>
    <row r="43" spans="2:4">
      <c r="B43" s="16"/>
      <c r="D43" s="54"/>
    </row>
    <row r="44" spans="2:4">
      <c r="B44" s="16"/>
      <c r="D44" s="54"/>
    </row>
    <row r="45" spans="2:4">
      <c r="B45" s="16"/>
      <c r="D45" s="54"/>
    </row>
    <row r="46" spans="2:4">
      <c r="B46" s="16"/>
      <c r="D46" s="54"/>
    </row>
    <row r="47" spans="2:4">
      <c r="B47" s="16"/>
      <c r="D47" s="54"/>
    </row>
    <row r="48" spans="2:4">
      <c r="B48" s="16"/>
      <c r="D48" s="54"/>
    </row>
    <row r="49" spans="2:4">
      <c r="B49" s="16"/>
      <c r="D49" s="54"/>
    </row>
    <row r="50" spans="2:4">
      <c r="B50" s="16"/>
      <c r="D50" s="54"/>
    </row>
    <row r="51" spans="2:4">
      <c r="B51" s="16"/>
      <c r="D51" s="54"/>
    </row>
    <row r="52" spans="2:4">
      <c r="B52" s="16"/>
      <c r="D52" s="54"/>
    </row>
    <row r="53" spans="2:4">
      <c r="B53" s="16"/>
      <c r="D53" s="54"/>
    </row>
    <row r="54" spans="2:4">
      <c r="B54" s="16"/>
      <c r="D54" s="54"/>
    </row>
    <row r="55" spans="2:4">
      <c r="B55" s="16"/>
      <c r="D55" s="54"/>
    </row>
    <row r="56" spans="2:4">
      <c r="B56" s="16"/>
      <c r="D56" s="54"/>
    </row>
    <row r="57" spans="2:4">
      <c r="B57" s="16"/>
      <c r="D57" s="54"/>
    </row>
    <row r="58" spans="2:4">
      <c r="B58" s="16"/>
      <c r="D58" s="54"/>
    </row>
    <row r="59" spans="2:4">
      <c r="B59" s="16"/>
      <c r="D59" s="54"/>
    </row>
    <row r="60" spans="2:4">
      <c r="B60" s="16"/>
      <c r="D60" s="54"/>
    </row>
    <row r="61" spans="2:4">
      <c r="B61" s="16"/>
      <c r="D61" s="54"/>
    </row>
    <row r="62" spans="2:4">
      <c r="B62" s="16"/>
      <c r="D62" s="54"/>
    </row>
    <row r="63" spans="2:4">
      <c r="B63" s="16"/>
      <c r="D63" s="54"/>
    </row>
    <row r="64" spans="2:4">
      <c r="B64" s="16"/>
      <c r="D64" s="54"/>
    </row>
    <row r="65" spans="2:4">
      <c r="B65" s="16"/>
      <c r="D65" s="54"/>
    </row>
    <row r="66" spans="2:4">
      <c r="B66" s="16"/>
      <c r="D66" s="54"/>
    </row>
    <row r="67" spans="2:4">
      <c r="B67" s="16"/>
      <c r="D67" s="54"/>
    </row>
    <row r="68" spans="2:4">
      <c r="B68" s="16"/>
      <c r="D68" s="54"/>
    </row>
    <row r="69" spans="2:4">
      <c r="B69" s="16"/>
      <c r="D69" s="54"/>
    </row>
    <row r="70" spans="2:4">
      <c r="B70" s="16"/>
      <c r="D70" s="54"/>
    </row>
    <row r="71" spans="2:4">
      <c r="B71" s="16"/>
      <c r="D71" s="54"/>
    </row>
    <row r="72" spans="2:4">
      <c r="B72" s="16"/>
      <c r="D72" s="54"/>
    </row>
    <row r="73" spans="2:4">
      <c r="B73" s="16"/>
      <c r="D73" s="54"/>
    </row>
    <row r="74" spans="2:4">
      <c r="B74" s="16"/>
      <c r="D74" s="54"/>
    </row>
    <row r="75" spans="2:4">
      <c r="B75" s="16"/>
      <c r="D75" s="54"/>
    </row>
    <row r="76" spans="2:4">
      <c r="B76" s="16"/>
      <c r="D76" s="54"/>
    </row>
  </sheetData>
  <mergeCells count="2">
    <mergeCell ref="E6:F6"/>
    <mergeCell ref="A5:D5"/>
  </mergeCells>
  <phoneticPr fontId="0" type="noConversion"/>
  <printOptions horizontalCentered="1"/>
  <pageMargins left="0.7" right="0.7" top="0.75" bottom="0.75" header="0.3" footer="0.3"/>
  <pageSetup orientation="portrait" horizontalDpi="4294967293"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H73"/>
  <sheetViews>
    <sheetView view="pageBreakPreview" zoomScale="85" zoomScaleNormal="100" zoomScaleSheetLayoutView="85" workbookViewId="0"/>
  </sheetViews>
  <sheetFormatPr defaultColWidth="12.33203125" defaultRowHeight="15"/>
  <cols>
    <col min="1" max="1" width="9.88671875" style="13" customWidth="1"/>
    <col min="2" max="2" width="5" style="13" customWidth="1"/>
    <col min="3" max="3" width="45.88671875" style="13" customWidth="1"/>
    <col min="4" max="4" width="6" style="13" customWidth="1"/>
    <col min="5" max="5" width="17.44140625" style="13" customWidth="1"/>
    <col min="6" max="6" width="3" style="13" customWidth="1"/>
    <col min="7" max="7" width="18.5546875" style="13" customWidth="1"/>
    <col min="8" max="16384" width="12.33203125" style="13"/>
  </cols>
  <sheetData>
    <row r="1" spans="1:7">
      <c r="A1" s="14" t="str">
        <f>Input!G28</f>
        <v>Peoples Gas System</v>
      </c>
      <c r="B1" s="14"/>
      <c r="C1" s="14"/>
      <c r="D1" s="14"/>
      <c r="E1" s="14"/>
      <c r="F1" s="14"/>
      <c r="G1" s="66"/>
    </row>
    <row r="2" spans="1:7">
      <c r="A2" s="15" t="s">
        <v>102</v>
      </c>
      <c r="B2" s="15"/>
      <c r="C2" s="15"/>
      <c r="D2" s="15"/>
      <c r="E2" s="15"/>
      <c r="F2" s="15"/>
      <c r="G2" s="66"/>
    </row>
    <row r="3" spans="1:7">
      <c r="A3" s="15" t="s">
        <v>2215</v>
      </c>
      <c r="B3" s="15"/>
      <c r="C3" s="15"/>
      <c r="D3" s="15"/>
      <c r="E3" s="15"/>
      <c r="F3" s="15"/>
      <c r="G3" s="66"/>
    </row>
    <row r="4" spans="1:7">
      <c r="A4" s="14" t="str">
        <f>Input!I29</f>
        <v>Utility Proxy Group</v>
      </c>
      <c r="B4" s="14"/>
      <c r="C4" s="14"/>
      <c r="D4" s="14"/>
      <c r="E4" s="14"/>
      <c r="F4" s="14"/>
      <c r="G4" s="66"/>
    </row>
    <row r="5" spans="1:7">
      <c r="A5" s="16"/>
      <c r="B5" s="5"/>
      <c r="C5" s="5"/>
      <c r="D5" s="5"/>
      <c r="E5" s="5"/>
      <c r="F5" s="5"/>
      <c r="G5" s="66"/>
    </row>
    <row r="6" spans="1:7" ht="15" customHeight="1">
      <c r="E6" s="15"/>
    </row>
    <row r="7" spans="1:7" ht="52.5" customHeight="1">
      <c r="A7" s="321" t="s">
        <v>92</v>
      </c>
      <c r="C7" s="33" t="str">
        <f>'7.5 CEM Beta Adjusted RP'!C7</f>
        <v>Equity Risk Premium Measure</v>
      </c>
      <c r="E7" s="1028" t="str">
        <f>Input!I30</f>
        <v>Proxy Group of Six Natural Gas Companies</v>
      </c>
      <c r="F7" s="1028"/>
    </row>
    <row r="9" spans="1:7">
      <c r="B9" s="17" t="s">
        <v>4559</v>
      </c>
    </row>
    <row r="11" spans="1:7">
      <c r="A11" s="16" t="s">
        <v>93</v>
      </c>
      <c r="C11" s="34" t="s">
        <v>4560</v>
      </c>
      <c r="D11" s="34"/>
      <c r="E11" s="34">
        <f>('Market Data'!B10-'Market Data'!B11)*100</f>
        <v>6.13</v>
      </c>
      <c r="F11" s="35" t="s">
        <v>18</v>
      </c>
    </row>
    <row r="12" spans="1:7">
      <c r="C12" s="34"/>
      <c r="D12" s="34"/>
      <c r="F12" s="34"/>
    </row>
    <row r="13" spans="1:7">
      <c r="A13" s="16" t="s">
        <v>99</v>
      </c>
      <c r="C13" s="34" t="s">
        <v>4561</v>
      </c>
      <c r="D13" s="34"/>
      <c r="E13" s="34">
        <f>'MRP ERP WP'!$AK$42*100</f>
        <v>7.2582293456286067</v>
      </c>
      <c r="F13" s="35"/>
    </row>
    <row r="14" spans="1:7">
      <c r="C14" s="34"/>
      <c r="D14" s="34"/>
      <c r="F14" s="34"/>
    </row>
    <row r="15" spans="1:7">
      <c r="A15" s="16" t="s">
        <v>100</v>
      </c>
      <c r="C15" s="34" t="s">
        <v>4562</v>
      </c>
      <c r="D15" s="34"/>
      <c r="E15" s="34">
        <f>'PRPM WP1'!J1177*100</f>
        <v>9.760807335589238</v>
      </c>
      <c r="F15" s="34"/>
    </row>
    <row r="16" spans="1:7">
      <c r="A16" s="16"/>
      <c r="C16" s="34"/>
      <c r="D16" s="34"/>
      <c r="F16" s="34"/>
    </row>
    <row r="17" spans="1:8" ht="30">
      <c r="A17" s="38" t="s">
        <v>104</v>
      </c>
      <c r="C17" s="37" t="s">
        <v>4141</v>
      </c>
      <c r="D17" s="34"/>
      <c r="E17" s="34">
        <f>'MRP WP1'!$M$22*100-'MRP WP1'!$M$37</f>
        <v>11.530000000000001</v>
      </c>
      <c r="F17" s="35"/>
    </row>
    <row r="18" spans="1:8">
      <c r="A18" s="38"/>
      <c r="C18" s="37"/>
      <c r="D18" s="34"/>
      <c r="F18" s="35"/>
    </row>
    <row r="19" spans="1:8" ht="30">
      <c r="A19" s="38" t="s">
        <v>105</v>
      </c>
      <c r="C19" s="37" t="s">
        <v>4142</v>
      </c>
      <c r="D19" s="34"/>
      <c r="E19" s="34">
        <f>('MRP WP3'!H504*100)-'MRP WP1'!M37</f>
        <v>10.621050750081153</v>
      </c>
      <c r="F19" s="35"/>
      <c r="G19" s="34"/>
    </row>
    <row r="20" spans="1:8">
      <c r="A20" s="38"/>
      <c r="C20" s="37"/>
      <c r="D20" s="34"/>
      <c r="F20" s="35"/>
    </row>
    <row r="21" spans="1:8" ht="30">
      <c r="A21" s="36" t="s">
        <v>106</v>
      </c>
      <c r="C21" s="37" t="s">
        <v>4143</v>
      </c>
      <c r="D21" s="34"/>
      <c r="E21" s="451">
        <f>'MRP WP2'!Q504*100-'MRP WP1'!M37</f>
        <v>6.008401239764015</v>
      </c>
      <c r="F21" s="35"/>
      <c r="G21" s="34"/>
      <c r="H21" s="34"/>
    </row>
    <row r="22" spans="1:8">
      <c r="C22" s="34"/>
      <c r="D22" s="34"/>
      <c r="F22" s="34"/>
    </row>
    <row r="23" spans="1:8">
      <c r="A23" s="25" t="s">
        <v>108</v>
      </c>
      <c r="C23" s="39" t="s">
        <v>2330</v>
      </c>
      <c r="D23" s="34"/>
      <c r="E23" s="56">
        <f>ROUND(AVERAGE(E11:E21),2)</f>
        <v>8.5500000000000007</v>
      </c>
      <c r="F23" s="35" t="s">
        <v>18</v>
      </c>
      <c r="H23" s="34"/>
    </row>
    <row r="24" spans="1:8">
      <c r="C24" s="34"/>
      <c r="D24" s="34"/>
      <c r="F24" s="34"/>
    </row>
    <row r="25" spans="1:8">
      <c r="A25" s="38" t="s">
        <v>109</v>
      </c>
      <c r="C25" s="34" t="s">
        <v>4144</v>
      </c>
      <c r="D25" s="34"/>
      <c r="E25" s="440">
        <f>'5.1 CAPM'!H20</f>
        <v>0.76</v>
      </c>
      <c r="F25" s="34"/>
    </row>
    <row r="26" spans="1:8">
      <c r="C26" s="34"/>
      <c r="D26" s="34"/>
      <c r="F26" s="34"/>
    </row>
    <row r="27" spans="1:8" ht="15.6" thickBot="1">
      <c r="A27" s="25" t="s">
        <v>2195</v>
      </c>
      <c r="C27" s="34" t="s">
        <v>107</v>
      </c>
      <c r="D27" s="34"/>
      <c r="E27" s="41">
        <f>ROUND(E23*E25,2)</f>
        <v>6.5</v>
      </c>
      <c r="F27" s="34" t="s">
        <v>18</v>
      </c>
      <c r="H27" s="56"/>
    </row>
    <row r="28" spans="1:8" ht="15.6" thickTop="1">
      <c r="C28" s="34"/>
      <c r="D28" s="34"/>
      <c r="E28" s="34"/>
      <c r="F28" s="34"/>
    </row>
    <row r="29" spans="1:8">
      <c r="A29" s="367" t="s">
        <v>4438</v>
      </c>
      <c r="C29" s="34"/>
      <c r="D29" s="34"/>
      <c r="E29" s="34"/>
      <c r="F29" s="34"/>
    </row>
    <row r="30" spans="1:8">
      <c r="C30" s="34"/>
      <c r="D30" s="34"/>
      <c r="E30" s="34"/>
      <c r="F30" s="34"/>
    </row>
    <row r="31" spans="1:8">
      <c r="B31" s="27" t="s">
        <v>101</v>
      </c>
      <c r="C31" s="34"/>
      <c r="D31" s="34"/>
      <c r="E31" s="34"/>
      <c r="F31" s="34"/>
    </row>
    <row r="32" spans="1:8" ht="68.25" customHeight="1">
      <c r="B32" s="29" t="s">
        <v>95</v>
      </c>
      <c r="C32" s="1000" t="str">
        <f>CONCATENATE("Based on the arithmetic mean historical monthly returns on large company common stocks from Kroll 2022 SBBI® Yearbook minus the arithmetic mean monthly yield of Moody's average Aaa and Aa corporate bonds from 1928-2021.")</f>
        <v>Based on the arithmetic mean historical monthly returns on large company common stocks from Kroll 2022 SBBI® Yearbook minus the arithmetic mean monthly yield of Moody's average Aaa and Aa corporate bonds from 1928-2021.</v>
      </c>
      <c r="D32" s="1000"/>
      <c r="E32" s="1000"/>
      <c r="F32" s="1000"/>
    </row>
    <row r="33" spans="1:6" ht="13.5" customHeight="1">
      <c r="B33" s="29"/>
      <c r="C33" s="435"/>
      <c r="D33" s="435"/>
      <c r="E33" s="435"/>
      <c r="F33" s="435"/>
    </row>
    <row r="34" spans="1:6" ht="69.75" customHeight="1">
      <c r="A34" s="29"/>
      <c r="B34" s="55" t="s">
        <v>96</v>
      </c>
      <c r="C34" s="1029" t="s">
        <v>4394</v>
      </c>
      <c r="D34" s="1029"/>
      <c r="E34" s="1029"/>
      <c r="F34" s="1029"/>
    </row>
    <row r="35" spans="1:6" ht="13.5" customHeight="1">
      <c r="A35" s="29"/>
      <c r="B35" s="55"/>
      <c r="C35" s="322"/>
      <c r="D35" s="322"/>
      <c r="E35" s="322"/>
      <c r="F35" s="322"/>
    </row>
    <row r="36" spans="1:6" ht="101.25" customHeight="1">
      <c r="A36" s="29"/>
      <c r="B36" s="55" t="s">
        <v>97</v>
      </c>
      <c r="C36" s="1029" t="s">
        <v>4597</v>
      </c>
      <c r="D36" s="1029"/>
      <c r="E36" s="1029"/>
      <c r="F36" s="1029"/>
    </row>
    <row r="37" spans="1:6" ht="15.75" customHeight="1">
      <c r="A37" s="29"/>
      <c r="B37" s="55"/>
      <c r="C37" s="322"/>
      <c r="D37" s="322"/>
      <c r="E37" s="322"/>
      <c r="F37" s="322"/>
    </row>
    <row r="38" spans="1:6" ht="84.75" customHeight="1">
      <c r="A38" s="29"/>
      <c r="B38" s="55" t="s">
        <v>98</v>
      </c>
      <c r="C38" s="1029" t="str">
        <f>CONCATENATE("The equity risk premium based on the Value Line Summary and Index is derived by subtracting the average consensus forecast of Aaa corporate bonds of ",TEXT('MRP WP1'!M37,"#0.00"),"% (from page 3 of this Document) from the projected 3-5 year total annual market return of ",TEXT('MRP WP1'!M22*100,"#0.00"),"% (described fully in note 1 on page 2 of Document No. 5).")</f>
        <v>The equity risk premium based on the Value Line Summary and Index is derived by subtracting the average consensus forecast of Aaa corporate bonds of 5.05% (from page 3 of this Document) from the projected 3-5 year total annual market return of 16.58% (described fully in note 1 on page 2 of Document No. 5).</v>
      </c>
      <c r="D38" s="1029"/>
      <c r="E38" s="1029"/>
      <c r="F38" s="1029"/>
    </row>
    <row r="39" spans="1:6" ht="12.75" customHeight="1">
      <c r="A39" s="29"/>
      <c r="B39" s="55"/>
      <c r="C39" s="322"/>
      <c r="D39" s="322"/>
      <c r="E39" s="322"/>
      <c r="F39" s="322"/>
    </row>
    <row r="40" spans="1:6" ht="96" customHeight="1">
      <c r="A40" s="29"/>
      <c r="B40" s="55" t="s">
        <v>110</v>
      </c>
      <c r="C40" s="1029" t="str">
        <f>_xlfn.CONCAT("Using data from Value Line for the S&amp;P 500, an expected total return of ",TEXT('MRP WP3'!H504*100,"#0.00"),"% was derived based upon expected dividend yields and long-term earnings growth estimates as a proxy for capital appreciation.  Subtracting the average consensus forecast of Aaa corporate bonds of ",TEXT('MRP WP1'!M37,"#0.00"),"% results in an expected equity risk premium of ",TEXT(E19,"#0.00"),"%.")</f>
        <v>Using data from Value Line for the S&amp;P 500, an expected total return of 15.67% was derived based upon expected dividend yields and long-term earnings growth estimates as a proxy for capital appreciation.  Subtracting the average consensus forecast of Aaa corporate bonds of 5.05% results in an expected equity risk premium of 10.62%.</v>
      </c>
      <c r="D40" s="1029"/>
      <c r="E40" s="1029"/>
      <c r="F40" s="1029"/>
    </row>
    <row r="41" spans="1:6" ht="12.75" customHeight="1">
      <c r="A41" s="29"/>
      <c r="B41" s="55"/>
      <c r="C41" s="322"/>
      <c r="D41" s="322"/>
      <c r="E41" s="322"/>
      <c r="F41" s="322"/>
    </row>
    <row r="42" spans="1:6" ht="92.25" customHeight="1">
      <c r="A42" s="29"/>
      <c r="B42" s="55" t="s">
        <v>111</v>
      </c>
      <c r="C42" s="1029" t="str">
        <f>_xlfn.CONCAT("Using data from Bloomberg for the S&amp;P 500, an expected total return of ",TEXT('MRP WP2'!Q504*100,"#0.00"),"% was derived based upon expected dividend yields and long-term earnings growth estimates as a proxy for capital appreciation.  Subtracting the average consensus forecast of Aaa corporate bonds of ",TEXT('MRP WP1'!M37,"#0.00"),"% results in an expected equity risk premium of ",TEXT(E21,"#0.00"),"%.")</f>
        <v>Using data from Bloomberg for the S&amp;P 500, an expected total return of 11.06% was derived based upon expected dividend yields and long-term earnings growth estimates as a proxy for capital appreciation.  Subtracting the average consensus forecast of Aaa corporate bonds of 5.05% results in an expected equity risk premium of 6.01%.</v>
      </c>
      <c r="D42" s="1029"/>
      <c r="E42" s="1029"/>
      <c r="F42" s="1029"/>
    </row>
    <row r="43" spans="1:6" ht="16.5" customHeight="1">
      <c r="A43" s="29"/>
      <c r="B43" s="55"/>
      <c r="C43" s="322"/>
      <c r="D43" s="322"/>
      <c r="E43" s="322"/>
      <c r="F43" s="322"/>
    </row>
    <row r="44" spans="1:6" ht="18.75" customHeight="1">
      <c r="A44" s="29"/>
      <c r="B44" s="55" t="s">
        <v>2161</v>
      </c>
      <c r="C44" s="1030" t="s">
        <v>4446</v>
      </c>
      <c r="D44" s="1030"/>
      <c r="E44" s="1030"/>
      <c r="F44" s="1030"/>
    </row>
    <row r="45" spans="1:6">
      <c r="C45" s="34"/>
      <c r="D45" s="34"/>
      <c r="E45" s="34"/>
      <c r="F45" s="34"/>
    </row>
    <row r="46" spans="1:6">
      <c r="B46" s="13" t="s">
        <v>151</v>
      </c>
      <c r="C46" s="34"/>
      <c r="D46" s="34"/>
      <c r="E46" s="34"/>
      <c r="F46" s="34"/>
    </row>
    <row r="47" spans="1:6">
      <c r="C47" s="1029" t="s">
        <v>4393</v>
      </c>
      <c r="D47" s="1029"/>
      <c r="E47" s="1029"/>
      <c r="F47" s="1029"/>
    </row>
    <row r="48" spans="1:6">
      <c r="C48" s="1029" t="s">
        <v>4223</v>
      </c>
      <c r="D48" s="1029"/>
      <c r="E48" s="1029"/>
      <c r="F48" s="1029"/>
    </row>
    <row r="49" spans="3:6">
      <c r="C49" s="1029" t="str">
        <f>'MRP WP1'!C68</f>
        <v>Blue Chip Financial Forecasts December 2, 2022 and January 1, 2022.</v>
      </c>
      <c r="D49" s="1029"/>
      <c r="E49" s="1029"/>
      <c r="F49" s="1029"/>
    </row>
    <row r="50" spans="3:6">
      <c r="C50" s="34" t="s">
        <v>4222</v>
      </c>
      <c r="D50" s="34"/>
      <c r="E50" s="34"/>
      <c r="F50" s="34"/>
    </row>
    <row r="51" spans="3:6">
      <c r="C51" s="34"/>
      <c r="D51" s="34"/>
      <c r="E51" s="34"/>
      <c r="F51" s="34"/>
    </row>
    <row r="52" spans="3:6">
      <c r="C52" s="34"/>
      <c r="D52" s="34"/>
      <c r="E52" s="34"/>
      <c r="F52" s="34"/>
    </row>
    <row r="53" spans="3:6">
      <c r="C53" s="34"/>
      <c r="D53" s="34"/>
      <c r="E53" s="34"/>
      <c r="F53" s="34"/>
    </row>
    <row r="54" spans="3:6">
      <c r="C54" s="34"/>
      <c r="D54" s="34"/>
      <c r="E54" s="34"/>
      <c r="F54" s="34"/>
    </row>
    <row r="55" spans="3:6">
      <c r="C55" s="34"/>
      <c r="D55" s="34"/>
      <c r="E55" s="34"/>
      <c r="F55" s="34"/>
    </row>
    <row r="56" spans="3:6">
      <c r="C56" s="34"/>
      <c r="D56" s="34"/>
      <c r="E56" s="34"/>
      <c r="F56" s="34"/>
    </row>
    <row r="57" spans="3:6">
      <c r="C57" s="34"/>
      <c r="D57" s="34"/>
      <c r="E57" s="34"/>
      <c r="F57" s="34"/>
    </row>
    <row r="58" spans="3:6">
      <c r="C58" s="34"/>
      <c r="D58" s="34"/>
      <c r="E58" s="34"/>
      <c r="F58" s="34"/>
    </row>
    <row r="59" spans="3:6">
      <c r="C59" s="34"/>
      <c r="D59" s="34"/>
      <c r="E59" s="34"/>
      <c r="F59" s="34"/>
    </row>
    <row r="60" spans="3:6">
      <c r="C60" s="34"/>
      <c r="D60" s="34"/>
      <c r="E60" s="34"/>
      <c r="F60" s="34"/>
    </row>
    <row r="61" spans="3:6">
      <c r="C61" s="34"/>
      <c r="D61" s="34"/>
      <c r="E61" s="34"/>
      <c r="F61" s="34"/>
    </row>
    <row r="62" spans="3:6">
      <c r="C62" s="34"/>
      <c r="D62" s="34"/>
      <c r="E62" s="34"/>
      <c r="F62" s="34"/>
    </row>
    <row r="63" spans="3:6">
      <c r="C63" s="34"/>
      <c r="D63" s="34"/>
      <c r="E63" s="34"/>
      <c r="F63" s="34"/>
    </row>
    <row r="64" spans="3:6">
      <c r="C64" s="34"/>
      <c r="D64" s="34"/>
      <c r="E64" s="34"/>
      <c r="F64" s="34"/>
    </row>
    <row r="65" spans="3:6">
      <c r="C65" s="34"/>
      <c r="D65" s="34"/>
      <c r="E65" s="34"/>
      <c r="F65" s="34"/>
    </row>
    <row r="66" spans="3:6">
      <c r="C66" s="34"/>
      <c r="D66" s="34"/>
      <c r="E66" s="34"/>
      <c r="F66" s="34"/>
    </row>
    <row r="67" spans="3:6">
      <c r="C67" s="34"/>
      <c r="D67" s="34"/>
      <c r="E67" s="34"/>
      <c r="F67" s="34"/>
    </row>
    <row r="68" spans="3:6">
      <c r="C68" s="34"/>
      <c r="D68" s="34"/>
      <c r="E68" s="34"/>
      <c r="F68" s="34"/>
    </row>
    <row r="69" spans="3:6">
      <c r="C69" s="34"/>
      <c r="D69" s="34"/>
      <c r="E69" s="34"/>
      <c r="F69" s="34"/>
    </row>
    <row r="70" spans="3:6">
      <c r="C70" s="34"/>
      <c r="D70" s="34"/>
      <c r="E70" s="34"/>
      <c r="F70" s="34"/>
    </row>
    <row r="71" spans="3:6">
      <c r="C71" s="34"/>
      <c r="D71" s="34"/>
      <c r="E71" s="34"/>
      <c r="F71" s="34"/>
    </row>
    <row r="72" spans="3:6">
      <c r="C72" s="34"/>
      <c r="D72" s="34"/>
      <c r="E72" s="34"/>
      <c r="F72" s="34"/>
    </row>
    <row r="73" spans="3:6">
      <c r="C73" s="34"/>
      <c r="D73" s="34"/>
      <c r="E73" s="34"/>
      <c r="F73" s="34"/>
    </row>
  </sheetData>
  <mergeCells count="11">
    <mergeCell ref="E7:F7"/>
    <mergeCell ref="C32:F32"/>
    <mergeCell ref="C34:F34"/>
    <mergeCell ref="C36:F36"/>
    <mergeCell ref="C49:F49"/>
    <mergeCell ref="C38:F38"/>
    <mergeCell ref="C48:F48"/>
    <mergeCell ref="C47:F47"/>
    <mergeCell ref="C44:F44"/>
    <mergeCell ref="C40:F40"/>
    <mergeCell ref="C42:F42"/>
  </mergeCells>
  <phoneticPr fontId="0" type="noConversion"/>
  <printOptions horizontalCentered="1"/>
  <pageMargins left="0.7" right="0.7" top="0.75" bottom="0.75" header="0.3" footer="0.3"/>
  <pageSetup scale="85" orientation="portrait" horizontalDpi="4294967293" r:id="rId1"/>
  <headerFooter alignWithMargins="0"/>
  <rowBreaks count="2" manualBreakCount="2">
    <brk id="30" max="9" man="1"/>
    <brk id="5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35"/>
  <sheetViews>
    <sheetView view="pageBreakPreview" zoomScale="85" zoomScaleNormal="100" zoomScaleSheetLayoutView="85" workbookViewId="0">
      <selection sqref="A1:F1"/>
    </sheetView>
  </sheetViews>
  <sheetFormatPr defaultColWidth="12.33203125" defaultRowHeight="15"/>
  <cols>
    <col min="1" max="1" width="14" style="13" customWidth="1"/>
    <col min="2" max="2" width="4.33203125" style="13" bestFit="1" customWidth="1"/>
    <col min="3" max="3" width="43" style="13" customWidth="1"/>
    <col min="4" max="4" width="5.33203125" style="13" customWidth="1"/>
    <col min="5" max="5" width="18.33203125" style="13" customWidth="1"/>
    <col min="6" max="6" width="3.33203125" style="13" bestFit="1" customWidth="1"/>
    <col min="7" max="16384" width="12.33203125" style="13"/>
  </cols>
  <sheetData>
    <row r="1" spans="1:7">
      <c r="A1" s="1001" t="str">
        <f>Input!G28</f>
        <v>Peoples Gas System</v>
      </c>
      <c r="B1" s="1001"/>
      <c r="C1" s="1001"/>
      <c r="D1" s="1001"/>
      <c r="E1" s="1001"/>
      <c r="F1" s="1001"/>
    </row>
    <row r="2" spans="1:7">
      <c r="A2" s="1024" t="s">
        <v>2244</v>
      </c>
      <c r="B2" s="1024"/>
      <c r="C2" s="1024"/>
      <c r="D2" s="1024"/>
      <c r="E2" s="1024"/>
      <c r="F2" s="1024"/>
    </row>
    <row r="3" spans="1:7">
      <c r="A3" s="1024" t="s">
        <v>2246</v>
      </c>
      <c r="B3" s="1024"/>
      <c r="C3" s="1024"/>
      <c r="D3" s="1024"/>
      <c r="E3" s="1024"/>
      <c r="F3" s="1024"/>
    </row>
    <row r="4" spans="1:7">
      <c r="A4" s="1001" t="s">
        <v>2245</v>
      </c>
      <c r="B4" s="1001"/>
      <c r="C4" s="1001"/>
      <c r="D4" s="1001"/>
      <c r="E4" s="1001"/>
      <c r="F4" s="1001"/>
    </row>
    <row r="7" spans="1:7" ht="30.75" customHeight="1">
      <c r="A7" s="321" t="s">
        <v>92</v>
      </c>
      <c r="B7" s="1032" t="s">
        <v>2243</v>
      </c>
      <c r="C7" s="1032"/>
      <c r="E7" s="1031" t="s">
        <v>2242</v>
      </c>
      <c r="F7" s="1031"/>
    </row>
    <row r="8" spans="1:7">
      <c r="G8" s="166"/>
    </row>
    <row r="9" spans="1:7">
      <c r="A9" s="36" t="s">
        <v>93</v>
      </c>
      <c r="C9" s="13" t="s">
        <v>154</v>
      </c>
      <c r="E9" s="374">
        <f>('Market Data'!B12-'Market Data'!B13)*100</f>
        <v>4.2799999999999994</v>
      </c>
      <c r="F9" s="21" t="s">
        <v>18</v>
      </c>
      <c r="G9" s="166"/>
    </row>
    <row r="10" spans="1:7">
      <c r="A10" s="79"/>
      <c r="G10" s="166"/>
    </row>
    <row r="11" spans="1:7" ht="33" customHeight="1">
      <c r="A11" s="36" t="s">
        <v>99</v>
      </c>
      <c r="C11" s="19" t="s">
        <v>4136</v>
      </c>
      <c r="E11" s="23">
        <f>'MRP ERP WP'!AU42*100</f>
        <v>4.8011535468872779</v>
      </c>
    </row>
    <row r="12" spans="1:7">
      <c r="A12" s="79"/>
      <c r="C12" s="19"/>
      <c r="E12" s="23"/>
    </row>
    <row r="13" spans="1:7" ht="30">
      <c r="A13" s="36" t="s">
        <v>100</v>
      </c>
      <c r="C13" s="19" t="s">
        <v>4137</v>
      </c>
      <c r="E13" s="23">
        <f>ROUND('PRPM WP1'!I1177*100,2)</f>
        <v>5.56</v>
      </c>
    </row>
    <row r="14" spans="1:7">
      <c r="A14" s="36"/>
      <c r="B14" s="113"/>
      <c r="C14" s="113"/>
      <c r="E14" s="23"/>
    </row>
    <row r="15" spans="1:7" ht="45">
      <c r="A15" s="38" t="s">
        <v>104</v>
      </c>
      <c r="C15" s="19" t="s">
        <v>4138</v>
      </c>
      <c r="E15" s="23">
        <f>ROUND(('ERP WP 2'!H34*100)-'4.3 Risk Premium Summary'!G18,2)</f>
        <v>3.62</v>
      </c>
      <c r="F15" s="21"/>
    </row>
    <row r="16" spans="1:7">
      <c r="A16" s="38"/>
      <c r="C16" s="19"/>
      <c r="E16" s="23"/>
    </row>
    <row r="17" spans="1:7" ht="47.25" customHeight="1">
      <c r="A17" s="38" t="s">
        <v>105</v>
      </c>
      <c r="C17" s="19" t="s">
        <v>4139</v>
      </c>
      <c r="E17" s="22">
        <f>ROUND('ERP WP1'!O33*100-'4.3 Risk Premium Summary'!G18,2)</f>
        <v>3.32</v>
      </c>
      <c r="F17" s="21"/>
    </row>
    <row r="18" spans="1:7">
      <c r="A18" s="38"/>
      <c r="G18" s="56"/>
    </row>
    <row r="19" spans="1:7" ht="15" customHeight="1" thickBot="1">
      <c r="A19" s="38" t="s">
        <v>106</v>
      </c>
      <c r="C19" s="19" t="s">
        <v>4140</v>
      </c>
      <c r="E19" s="375">
        <f>ROUND(AVERAGE(E9:E17),2)</f>
        <v>4.32</v>
      </c>
      <c r="F19" s="21" t="s">
        <v>18</v>
      </c>
    </row>
    <row r="20" spans="1:7" ht="15.6" thickTop="1"/>
    <row r="22" spans="1:7" ht="87.75" customHeight="1">
      <c r="A22" s="27" t="s">
        <v>101</v>
      </c>
      <c r="B22" s="29" t="s">
        <v>95</v>
      </c>
      <c r="C22" s="1000" t="s">
        <v>4366</v>
      </c>
      <c r="D22" s="1000"/>
      <c r="E22" s="1000"/>
      <c r="F22" s="1000"/>
    </row>
    <row r="23" spans="1:7" ht="12.75" customHeight="1">
      <c r="A23" s="27"/>
      <c r="B23" s="29"/>
      <c r="C23" s="435"/>
      <c r="D23" s="435"/>
      <c r="E23" s="435"/>
      <c r="F23" s="435"/>
    </row>
    <row r="24" spans="1:7" ht="52.5" customHeight="1">
      <c r="A24" s="30"/>
      <c r="B24" s="29" t="s">
        <v>96</v>
      </c>
      <c r="C24" s="1000" t="s">
        <v>4367</v>
      </c>
      <c r="D24" s="1000"/>
      <c r="E24" s="1000"/>
      <c r="F24" s="1000"/>
    </row>
    <row r="25" spans="1:7" ht="12.75" customHeight="1">
      <c r="A25" s="30"/>
      <c r="B25" s="29"/>
      <c r="C25" s="435"/>
      <c r="D25" s="435"/>
      <c r="E25" s="435"/>
      <c r="F25" s="435"/>
    </row>
    <row r="26" spans="1:7" ht="68.25" customHeight="1">
      <c r="A26" s="27"/>
      <c r="B26" s="55" t="s">
        <v>97</v>
      </c>
      <c r="C26" s="1000" t="str">
        <f>CONCATENATE("The Predictive Risk Premium Model (PRPM) is applied to the risk premium of the monthly total returns of the S&amp;P Utility Index and the monthly yields on Moody's A2 rated public utility bonds from January 1928 - ",Input!$G$25,".")</f>
        <v>The Predictive Risk Premium Model (PRPM) is applied to the risk premium of the monthly total returns of the S&amp;P Utility Index and the monthly yields on Moody's A2 rated public utility bonds from January 1928 - December 2022.</v>
      </c>
      <c r="D26" s="1000"/>
      <c r="E26" s="1000"/>
      <c r="F26" s="1000"/>
    </row>
    <row r="27" spans="1:7" ht="12.75" customHeight="1">
      <c r="A27" s="27"/>
      <c r="B27" s="55"/>
      <c r="C27" s="435"/>
      <c r="D27" s="435"/>
      <c r="E27" s="435"/>
      <c r="F27" s="435"/>
    </row>
    <row r="28" spans="1:7" ht="99" customHeight="1">
      <c r="A28" s="27"/>
      <c r="B28" s="47" t="s">
        <v>98</v>
      </c>
      <c r="C28" s="1000" t="str">
        <f>"Using data from Value Line for the S&amp;P Utilities Index, an expected return of "&amp;TEXT(ROUND('ERP WP 2'!H34*100,2),"#0.00")&amp;"% was derived based on expected dividend yields and long-term growth estimates as a proxy for market appreciation. Subtracting the expected A2 rated public utility bond yield of "&amp;'4.3 Risk Premium Summary'!G18&amp;"%, calculated on line 3 of page 3 of this Schedule results in an equity risk premium of "&amp;'4.12 S&amp;P RPM Study Returns'!E15&amp;"%. ("&amp;TEXT(ROUND('ERP WP 2'!H34*100,2),"#0.00")&amp;"% - "&amp;'4.3 Risk Premium Summary'!G18&amp;"% = "&amp;'4.12 S&amp;P RPM Study Returns'!E15&amp;"%)"</f>
        <v>Using data from Value Line for the S&amp;P Utilities Index, an expected return of 9.50% was derived based on expected dividend yields and long-term growth estimates as a proxy for market appreciation. Subtracting the expected A2 rated public utility bond yield of 5.88%, calculated on line 3 of page 3 of this Schedule results in an equity risk premium of 3.62%. (9.50% - 5.88% = 3.62%)</v>
      </c>
      <c r="D28" s="1000"/>
      <c r="E28" s="1000"/>
      <c r="F28" s="1000"/>
      <c r="G28" s="544"/>
    </row>
    <row r="29" spans="1:7" ht="16.5" customHeight="1">
      <c r="A29" s="27"/>
      <c r="B29" s="47"/>
      <c r="C29" s="435"/>
      <c r="D29" s="435"/>
      <c r="E29" s="435"/>
      <c r="F29" s="435"/>
      <c r="G29" s="544"/>
    </row>
    <row r="30" spans="1:7" ht="97.5" customHeight="1">
      <c r="B30" s="47" t="s">
        <v>110</v>
      </c>
      <c r="C30" s="1000" t="str">
        <f>"Using data from Bloomberg Services for the S&amp;P Utilities Index, an expected return of "&amp;TEXT(ROUND('ERP WP1'!O33*100,2),"#0.00")&amp;"% was derived based on expected dividend yields and long-term growth estimates as a proxy for market appreciation. Subtracting the expected A2 rated public utility bond yield of "&amp;'4.3 Risk Premium Summary'!G18&amp;"%, calculated on line 3 of page 3 of this Schedule results in an equity risk premium of "&amp;'4.12 S&amp;P RPM Study Returns'!E17&amp;"%. ("&amp;TEXT(ROUND('ERP WP1'!O33*100,2),"#0.00")&amp;"% - "&amp;'4.3 Risk Premium Summary'!G18&amp;"% = "&amp;'4.12 S&amp;P RPM Study Returns'!E17&amp;"%)"</f>
        <v>Using data from Bloomberg Services for the S&amp;P Utilities Index, an expected return of 9.20% was derived based on expected dividend yields and long-term growth estimates as a proxy for market appreciation. Subtracting the expected A2 rated public utility bond yield of 5.88%, calculated on line 3 of page 3 of this Schedule results in an equity risk premium of 3.32%. (9.20% - 5.88% = 3.32%)</v>
      </c>
      <c r="D30" s="1000"/>
      <c r="E30" s="1000"/>
      <c r="F30" s="1000"/>
    </row>
    <row r="31" spans="1:7" ht="14.25" customHeight="1">
      <c r="B31" s="47"/>
      <c r="C31" s="435"/>
      <c r="D31" s="435"/>
      <c r="E31" s="435"/>
      <c r="F31" s="435"/>
    </row>
    <row r="32" spans="1:7" ht="21.75" customHeight="1">
      <c r="B32" s="47" t="s">
        <v>111</v>
      </c>
      <c r="C32" s="29" t="s">
        <v>2332</v>
      </c>
    </row>
    <row r="33" spans="2:6">
      <c r="B33" s="47"/>
      <c r="C33" s="1000"/>
      <c r="D33" s="1000"/>
      <c r="E33" s="1000"/>
      <c r="F33" s="1000"/>
    </row>
    <row r="34" spans="2:6" ht="60" customHeight="1">
      <c r="B34" s="47"/>
    </row>
    <row r="35" spans="2:6" ht="15" customHeight="1">
      <c r="B35" s="21"/>
      <c r="D35" s="64"/>
      <c r="E35" s="64"/>
      <c r="F35" s="64"/>
    </row>
  </sheetData>
  <mergeCells count="12">
    <mergeCell ref="C33:F33"/>
    <mergeCell ref="C30:F30"/>
    <mergeCell ref="C28:F28"/>
    <mergeCell ref="A1:F1"/>
    <mergeCell ref="A2:F2"/>
    <mergeCell ref="A3:F3"/>
    <mergeCell ref="A4:F4"/>
    <mergeCell ref="E7:F7"/>
    <mergeCell ref="B7:C7"/>
    <mergeCell ref="C22:F22"/>
    <mergeCell ref="C24:F24"/>
    <mergeCell ref="C26:F26"/>
  </mergeCells>
  <phoneticPr fontId="0" type="noConversion"/>
  <printOptions horizontalCentered="1"/>
  <pageMargins left="0.7" right="0.7" top="0.75" bottom="0.75" header="0.3" footer="0.3"/>
  <pageSetup scale="7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outlinePr summaryBelow="0" summaryRight="0"/>
  </sheetPr>
  <dimension ref="A1:AI1464"/>
  <sheetViews>
    <sheetView view="pageBreakPreview" topLeftCell="R1" zoomScale="70" zoomScaleNormal="80" zoomScaleSheetLayoutView="70" workbookViewId="0">
      <selection activeCell="Z1" sqref="Z1"/>
    </sheetView>
  </sheetViews>
  <sheetFormatPr defaultColWidth="9" defaultRowHeight="13.2"/>
  <cols>
    <col min="1" max="1" width="25" style="273" bestFit="1" customWidth="1"/>
    <col min="2" max="2" width="30.33203125" style="273" bestFit="1" customWidth="1"/>
    <col min="3" max="3" width="30" style="273" bestFit="1" customWidth="1"/>
    <col min="4" max="4" width="11.5546875" style="273" bestFit="1" customWidth="1"/>
    <col min="5" max="5" width="13" style="273" bestFit="1" customWidth="1"/>
    <col min="6" max="6" width="12" style="273" customWidth="1"/>
    <col min="7" max="7" width="17.5546875" style="273" bestFit="1" customWidth="1"/>
    <col min="8" max="8" width="12.5546875" style="273" bestFit="1" customWidth="1"/>
    <col min="9" max="9" width="19" style="273" bestFit="1" customWidth="1"/>
    <col min="10" max="10" width="12" style="273" customWidth="1"/>
    <col min="11" max="11" width="15.33203125" style="273" customWidth="1"/>
    <col min="12" max="12" width="11.88671875" style="273" bestFit="1" customWidth="1"/>
    <col min="13" max="13" width="9" style="273"/>
    <col min="14" max="14" width="25" style="273" customWidth="1"/>
    <col min="15" max="15" width="9.6640625" style="273" customWidth="1"/>
    <col min="16" max="16" width="9" style="273" customWidth="1"/>
    <col min="17" max="17" width="14" style="273" bestFit="1" customWidth="1"/>
    <col min="18" max="19" width="13" style="273" bestFit="1" customWidth="1"/>
    <col min="20" max="23" width="13.6640625" style="273" bestFit="1" customWidth="1"/>
    <col min="24" max="25" width="9" style="273"/>
    <col min="26" max="26" width="9.33203125" style="273" customWidth="1"/>
    <col min="27" max="27" width="9" style="273"/>
    <col min="28" max="29" width="9" style="273" customWidth="1"/>
    <col min="30" max="30" width="13" style="273" customWidth="1"/>
    <col min="31" max="31" width="9" style="273" customWidth="1"/>
    <col min="32" max="32" width="13" style="273" customWidth="1"/>
    <col min="33" max="33" width="3.33203125" style="273" bestFit="1" customWidth="1"/>
    <col min="34" max="16384" width="9" style="273"/>
  </cols>
  <sheetData>
    <row r="1" spans="1:33" ht="17.399999999999999">
      <c r="A1" s="294" t="s">
        <v>2788</v>
      </c>
      <c r="O1" t="s">
        <v>2162</v>
      </c>
      <c r="P1"/>
      <c r="Q1"/>
      <c r="R1"/>
      <c r="S1"/>
      <c r="T1"/>
      <c r="U1"/>
      <c r="V1"/>
      <c r="W1"/>
      <c r="Z1" s="197" t="str">
        <f>Input!G28</f>
        <v>Peoples Gas System</v>
      </c>
      <c r="AA1" s="197"/>
      <c r="AB1" s="197"/>
      <c r="AC1" s="197"/>
      <c r="AD1" s="197"/>
      <c r="AE1" s="197"/>
      <c r="AF1" s="197"/>
      <c r="AG1" s="197"/>
    </row>
    <row r="2" spans="1:33" ht="15.6" thickBot="1">
      <c r="O2"/>
      <c r="P2"/>
      <c r="Q2"/>
      <c r="R2"/>
      <c r="S2"/>
      <c r="T2"/>
      <c r="U2"/>
      <c r="V2"/>
      <c r="W2"/>
      <c r="Z2" s="197" t="s">
        <v>2789</v>
      </c>
      <c r="AA2" s="197"/>
      <c r="AB2" s="197"/>
      <c r="AC2" s="197"/>
      <c r="AD2" s="197"/>
      <c r="AE2" s="197"/>
      <c r="AF2" s="197"/>
      <c r="AG2" s="197"/>
    </row>
    <row r="3" spans="1:33" ht="13.5" customHeight="1" thickBot="1">
      <c r="A3" s="293" t="s">
        <v>2790</v>
      </c>
      <c r="O3" s="107" t="s">
        <v>2163</v>
      </c>
      <c r="P3" s="107"/>
      <c r="Q3"/>
      <c r="R3"/>
      <c r="S3"/>
      <c r="T3"/>
      <c r="U3"/>
      <c r="V3"/>
      <c r="W3"/>
      <c r="Z3" s="197" t="s">
        <v>4221</v>
      </c>
      <c r="AA3" s="197"/>
      <c r="AB3" s="197"/>
      <c r="AC3" s="197"/>
      <c r="AD3" s="197"/>
      <c r="AE3" s="197"/>
      <c r="AF3" s="197"/>
      <c r="AG3" s="197"/>
    </row>
    <row r="4" spans="1:33" ht="15.6" thickBot="1">
      <c r="F4" s="1033" t="s">
        <v>2791</v>
      </c>
      <c r="G4" s="1033"/>
      <c r="H4" s="1033"/>
      <c r="I4" s="1033"/>
      <c r="J4" s="1033"/>
      <c r="K4" s="1033"/>
      <c r="O4" t="s">
        <v>2172</v>
      </c>
      <c r="P4">
        <v>0.93493158456930059</v>
      </c>
      <c r="Q4"/>
      <c r="R4"/>
      <c r="S4"/>
      <c r="T4"/>
      <c r="U4"/>
      <c r="V4"/>
      <c r="W4"/>
      <c r="Z4" s="196"/>
      <c r="AA4" s="196"/>
      <c r="AB4" s="196"/>
      <c r="AC4" s="196"/>
      <c r="AD4" s="196"/>
      <c r="AE4" s="196"/>
      <c r="AF4" s="196"/>
      <c r="AG4" s="196"/>
    </row>
    <row r="5" spans="1:33" ht="39.6">
      <c r="A5" s="292" t="s">
        <v>2792</v>
      </c>
      <c r="B5" s="292" t="s">
        <v>158</v>
      </c>
      <c r="C5" s="291" t="s">
        <v>2793</v>
      </c>
      <c r="D5" s="291" t="s">
        <v>2794</v>
      </c>
      <c r="E5" s="291" t="s">
        <v>2795</v>
      </c>
      <c r="F5" s="291" t="s">
        <v>147</v>
      </c>
      <c r="G5" s="291" t="s">
        <v>2796</v>
      </c>
      <c r="H5" s="290" t="s">
        <v>2797</v>
      </c>
      <c r="I5" s="290" t="s">
        <v>2798</v>
      </c>
      <c r="J5" s="290" t="s">
        <v>2799</v>
      </c>
      <c r="K5" s="290" t="s">
        <v>2800</v>
      </c>
      <c r="O5" t="s">
        <v>2173</v>
      </c>
      <c r="P5">
        <v>0.87409706782526331</v>
      </c>
      <c r="Q5"/>
      <c r="R5"/>
      <c r="S5"/>
      <c r="T5"/>
      <c r="U5"/>
      <c r="V5"/>
      <c r="W5"/>
      <c r="Z5" s="196"/>
      <c r="AA5" s="196"/>
      <c r="AB5" s="196"/>
      <c r="AC5" s="196"/>
      <c r="AD5" s="196"/>
      <c r="AE5" s="196"/>
      <c r="AF5" s="196"/>
      <c r="AG5" s="196"/>
    </row>
    <row r="6" spans="1:33" ht="15">
      <c r="A6" s="275" t="s">
        <v>2801</v>
      </c>
      <c r="B6" s="275" t="s">
        <v>3089</v>
      </c>
      <c r="C6" s="275" t="s">
        <v>3909</v>
      </c>
      <c r="D6" s="275" t="s">
        <v>3056</v>
      </c>
      <c r="E6" s="275" t="s">
        <v>2802</v>
      </c>
      <c r="F6" s="278">
        <v>29223</v>
      </c>
      <c r="G6" s="275" t="s">
        <v>2803</v>
      </c>
      <c r="H6" s="276">
        <v>12.55</v>
      </c>
      <c r="I6" s="276">
        <v>51.81</v>
      </c>
      <c r="J6" s="276">
        <v>11.89</v>
      </c>
      <c r="K6" s="276">
        <f t="shared" ref="K6:K69" si="0">H6-J6</f>
        <v>0.66000000000000014</v>
      </c>
      <c r="L6" s="335"/>
      <c r="O6" t="s">
        <v>2174</v>
      </c>
      <c r="P6">
        <v>0.87394277501622564</v>
      </c>
      <c r="Q6"/>
      <c r="R6"/>
      <c r="S6"/>
      <c r="T6"/>
      <c r="U6"/>
      <c r="V6"/>
      <c r="W6"/>
      <c r="Z6" s="196"/>
      <c r="AA6" s="196"/>
      <c r="AB6" s="196"/>
      <c r="AC6" s="196"/>
      <c r="AD6" s="196"/>
      <c r="AE6" s="196"/>
      <c r="AF6" s="196"/>
      <c r="AG6" s="196"/>
    </row>
    <row r="7" spans="1:33" ht="15">
      <c r="A7" s="275" t="s">
        <v>2804</v>
      </c>
      <c r="B7" s="275" t="s">
        <v>4373</v>
      </c>
      <c r="C7" s="275" t="s">
        <v>3908</v>
      </c>
      <c r="D7" s="275" t="s">
        <v>3056</v>
      </c>
      <c r="E7" s="275" t="s">
        <v>2802</v>
      </c>
      <c r="F7" s="278">
        <v>29224</v>
      </c>
      <c r="G7" s="275" t="s">
        <v>2803</v>
      </c>
      <c r="H7" s="276">
        <v>13.75</v>
      </c>
      <c r="I7" s="276">
        <v>35.1</v>
      </c>
      <c r="J7" s="276">
        <v>11.89</v>
      </c>
      <c r="K7" s="276">
        <f t="shared" si="0"/>
        <v>1.8599999999999994</v>
      </c>
      <c r="L7" s="335"/>
      <c r="O7" t="s">
        <v>2175</v>
      </c>
      <c r="P7">
        <v>0.76454890307022638</v>
      </c>
      <c r="Q7"/>
      <c r="R7"/>
      <c r="S7"/>
      <c r="T7"/>
      <c r="U7"/>
      <c r="V7"/>
      <c r="W7"/>
      <c r="Z7" s="196"/>
      <c r="AA7" s="196"/>
      <c r="AB7" s="196"/>
      <c r="AC7" s="196"/>
      <c r="AD7" s="196"/>
      <c r="AE7" s="196"/>
      <c r="AF7" s="196"/>
      <c r="AG7" s="196"/>
    </row>
    <row r="8" spans="1:33" ht="15.6" thickBot="1">
      <c r="A8" s="275" t="s">
        <v>2805</v>
      </c>
      <c r="B8" s="275" t="s">
        <v>3079</v>
      </c>
      <c r="C8" s="275" t="s">
        <v>3907</v>
      </c>
      <c r="D8" s="275" t="s">
        <v>3056</v>
      </c>
      <c r="E8" s="275" t="s">
        <v>2802</v>
      </c>
      <c r="F8" s="278">
        <v>29234</v>
      </c>
      <c r="G8" s="275" t="s">
        <v>2803</v>
      </c>
      <c r="H8" s="276">
        <v>13.2</v>
      </c>
      <c r="I8" s="276">
        <v>36.6</v>
      </c>
      <c r="J8" s="276">
        <v>11.89</v>
      </c>
      <c r="K8" s="276">
        <f t="shared" si="0"/>
        <v>1.3099999999999987</v>
      </c>
      <c r="L8" s="335"/>
      <c r="O8" s="105" t="s">
        <v>2176</v>
      </c>
      <c r="P8" s="105">
        <v>818</v>
      </c>
      <c r="Q8"/>
      <c r="R8"/>
      <c r="S8"/>
      <c r="T8"/>
      <c r="U8"/>
      <c r="V8"/>
      <c r="W8"/>
      <c r="Z8" s="196"/>
      <c r="AA8" s="196"/>
      <c r="AB8" s="196"/>
      <c r="AC8" s="196"/>
      <c r="AD8" s="196"/>
      <c r="AE8" s="196"/>
      <c r="AF8" s="196"/>
      <c r="AG8" s="196"/>
    </row>
    <row r="9" spans="1:33" ht="15">
      <c r="A9" s="275" t="s">
        <v>2806</v>
      </c>
      <c r="B9" s="275" t="s">
        <v>3081</v>
      </c>
      <c r="C9" s="275" t="s">
        <v>3906</v>
      </c>
      <c r="D9" s="275" t="s">
        <v>3056</v>
      </c>
      <c r="E9" s="275" t="s">
        <v>2802</v>
      </c>
      <c r="F9" s="278">
        <v>29238</v>
      </c>
      <c r="G9" s="275" t="s">
        <v>2803</v>
      </c>
      <c r="H9" s="276">
        <v>14</v>
      </c>
      <c r="I9" s="276">
        <v>35.090000000000003</v>
      </c>
      <c r="J9" s="276">
        <v>12.15</v>
      </c>
      <c r="K9" s="276">
        <f t="shared" si="0"/>
        <v>1.8499999999999996</v>
      </c>
      <c r="L9" s="335"/>
      <c r="O9"/>
      <c r="P9"/>
      <c r="Q9"/>
      <c r="R9"/>
      <c r="S9"/>
      <c r="T9"/>
      <c r="U9"/>
      <c r="V9"/>
      <c r="W9"/>
      <c r="Z9" s="196"/>
      <c r="AA9" s="196"/>
      <c r="AB9" s="196"/>
      <c r="AC9" s="196"/>
      <c r="AD9" s="196"/>
      <c r="AE9" s="196"/>
      <c r="AF9" s="196"/>
      <c r="AG9" s="196"/>
    </row>
    <row r="10" spans="1:33" ht="15.6" thickBot="1">
      <c r="A10" s="275" t="s">
        <v>2807</v>
      </c>
      <c r="B10" s="275" t="s">
        <v>3136</v>
      </c>
      <c r="C10" s="275" t="s">
        <v>3905</v>
      </c>
      <c r="D10" s="275" t="s">
        <v>3056</v>
      </c>
      <c r="E10" s="275" t="s">
        <v>2802</v>
      </c>
      <c r="F10" s="278">
        <v>29251</v>
      </c>
      <c r="G10" s="275" t="s">
        <v>2803</v>
      </c>
      <c r="H10" s="276">
        <v>12.61</v>
      </c>
      <c r="I10" s="276">
        <v>52</v>
      </c>
      <c r="J10" s="276">
        <v>12.15</v>
      </c>
      <c r="K10" s="276">
        <f t="shared" si="0"/>
        <v>0.45999999999999908</v>
      </c>
      <c r="L10" s="335"/>
      <c r="O10" t="s">
        <v>2177</v>
      </c>
      <c r="P10"/>
      <c r="Q10"/>
      <c r="R10"/>
      <c r="S10"/>
      <c r="T10"/>
      <c r="U10"/>
      <c r="V10"/>
      <c r="W10"/>
      <c r="Z10" s="196"/>
      <c r="AA10" s="196"/>
      <c r="AB10" s="196"/>
      <c r="AC10" s="196"/>
      <c r="AD10" s="196"/>
      <c r="AE10" s="196"/>
      <c r="AF10" s="196"/>
      <c r="AG10" s="196"/>
    </row>
    <row r="11" spans="1:33" ht="15">
      <c r="A11" s="275" t="s">
        <v>2808</v>
      </c>
      <c r="B11" s="275" t="s">
        <v>3409</v>
      </c>
      <c r="C11" s="275" t="s">
        <v>3904</v>
      </c>
      <c r="D11" s="275" t="s">
        <v>3056</v>
      </c>
      <c r="E11" s="275" t="s">
        <v>2802</v>
      </c>
      <c r="F11" s="278">
        <v>29259</v>
      </c>
      <c r="G11" s="275" t="s">
        <v>2803</v>
      </c>
      <c r="H11" s="276">
        <v>14.5</v>
      </c>
      <c r="I11" s="276">
        <v>49.31</v>
      </c>
      <c r="J11" s="276">
        <v>12.15</v>
      </c>
      <c r="K11" s="276">
        <f t="shared" si="0"/>
        <v>2.3499999999999996</v>
      </c>
      <c r="L11" s="335"/>
      <c r="O11" s="106"/>
      <c r="P11" s="106" t="s">
        <v>2178</v>
      </c>
      <c r="Q11" s="106" t="s">
        <v>2179</v>
      </c>
      <c r="R11" s="106" t="s">
        <v>1916</v>
      </c>
      <c r="S11" s="106" t="s">
        <v>1728</v>
      </c>
      <c r="T11" s="106" t="s">
        <v>2180</v>
      </c>
      <c r="U11"/>
      <c r="V11"/>
      <c r="W11"/>
      <c r="Z11" s="196"/>
      <c r="AA11" s="196"/>
      <c r="AB11" s="196"/>
      <c r="AC11" s="196"/>
      <c r="AD11" s="196"/>
      <c r="AE11" s="196"/>
      <c r="AF11" s="196"/>
      <c r="AG11" s="196"/>
    </row>
    <row r="12" spans="1:33" ht="15">
      <c r="A12" s="275" t="s">
        <v>2809</v>
      </c>
      <c r="B12" s="275" t="s">
        <v>2810</v>
      </c>
      <c r="C12" s="275" t="s">
        <v>3903</v>
      </c>
      <c r="D12" s="275" t="s">
        <v>3056</v>
      </c>
      <c r="E12" s="275" t="s">
        <v>2802</v>
      </c>
      <c r="F12" s="278">
        <v>29265</v>
      </c>
      <c r="G12" s="275" t="s">
        <v>2803</v>
      </c>
      <c r="H12" s="276">
        <v>13</v>
      </c>
      <c r="I12" s="276">
        <v>40</v>
      </c>
      <c r="J12" s="276">
        <v>12.15</v>
      </c>
      <c r="K12" s="276">
        <f t="shared" si="0"/>
        <v>0.84999999999999964</v>
      </c>
      <c r="L12" s="335"/>
      <c r="O12" t="s">
        <v>2181</v>
      </c>
      <c r="P12">
        <v>1</v>
      </c>
      <c r="Q12">
        <v>3311.4981491549188</v>
      </c>
      <c r="R12">
        <v>3311.4981491549188</v>
      </c>
      <c r="S12">
        <v>5665.1834474791967</v>
      </c>
      <c r="T12">
        <v>0</v>
      </c>
      <c r="U12"/>
      <c r="V12"/>
      <c r="W12"/>
      <c r="Z12" s="196"/>
      <c r="AA12" s="196"/>
      <c r="AB12" s="196"/>
      <c r="AC12" s="196"/>
      <c r="AD12" s="196"/>
      <c r="AE12" s="196"/>
      <c r="AF12" s="196"/>
      <c r="AG12" s="196"/>
    </row>
    <row r="13" spans="1:33" ht="15">
      <c r="A13" s="275" t="s">
        <v>2809</v>
      </c>
      <c r="B13" s="275" t="s">
        <v>3142</v>
      </c>
      <c r="C13" s="275" t="s">
        <v>3902</v>
      </c>
      <c r="D13" s="275" t="s">
        <v>3056</v>
      </c>
      <c r="E13" s="275" t="s">
        <v>2802</v>
      </c>
      <c r="F13" s="278">
        <v>29266</v>
      </c>
      <c r="G13" s="275" t="s">
        <v>2803</v>
      </c>
      <c r="H13" s="276">
        <v>13</v>
      </c>
      <c r="I13" s="276">
        <v>41.2</v>
      </c>
      <c r="J13" s="276">
        <v>12.21</v>
      </c>
      <c r="K13" s="276">
        <f t="shared" si="0"/>
        <v>0.78999999999999915</v>
      </c>
      <c r="L13" s="335"/>
      <c r="O13" t="s">
        <v>2182</v>
      </c>
      <c r="P13">
        <v>816</v>
      </c>
      <c r="Q13">
        <v>476.98058055168326</v>
      </c>
      <c r="R13">
        <v>0.5845350251858864</v>
      </c>
      <c r="S13"/>
      <c r="T13"/>
      <c r="U13"/>
      <c r="V13"/>
      <c r="W13"/>
      <c r="Z13" s="196"/>
      <c r="AA13" s="196"/>
      <c r="AB13" s="196"/>
      <c r="AC13" s="196"/>
      <c r="AD13" s="196"/>
      <c r="AE13" s="196"/>
      <c r="AF13" s="196"/>
      <c r="AG13" s="196"/>
    </row>
    <row r="14" spans="1:33" ht="15.6" thickBot="1">
      <c r="A14" s="275" t="s">
        <v>2811</v>
      </c>
      <c r="B14" s="275" t="s">
        <v>2812</v>
      </c>
      <c r="C14" s="275" t="s">
        <v>3901</v>
      </c>
      <c r="D14" s="275" t="s">
        <v>3056</v>
      </c>
      <c r="E14" s="275" t="s">
        <v>2802</v>
      </c>
      <c r="F14" s="278">
        <v>29280</v>
      </c>
      <c r="G14" s="275" t="s">
        <v>2803</v>
      </c>
      <c r="H14" s="276">
        <v>14</v>
      </c>
      <c r="I14" s="276">
        <v>38.5</v>
      </c>
      <c r="J14" s="276">
        <v>12.21</v>
      </c>
      <c r="K14" s="276">
        <f t="shared" si="0"/>
        <v>1.7899999999999991</v>
      </c>
      <c r="L14" s="335"/>
      <c r="O14" s="105" t="s">
        <v>86</v>
      </c>
      <c r="P14" s="105">
        <v>817</v>
      </c>
      <c r="Q14" s="105">
        <v>3788.4787297066023</v>
      </c>
      <c r="R14" s="105"/>
      <c r="S14" s="105"/>
      <c r="T14" s="105"/>
      <c r="U14"/>
      <c r="V14"/>
      <c r="W14"/>
      <c r="Z14" s="196"/>
      <c r="AA14" s="196"/>
      <c r="AB14" s="196"/>
      <c r="AC14" s="196"/>
      <c r="AD14" s="196"/>
      <c r="AE14" s="196"/>
      <c r="AF14" s="196"/>
      <c r="AG14" s="196"/>
    </row>
    <row r="15" spans="1:33" ht="15.6" thickBot="1">
      <c r="A15" s="275" t="s">
        <v>2813</v>
      </c>
      <c r="B15" s="275" t="s">
        <v>3385</v>
      </c>
      <c r="C15" s="275" t="s">
        <v>3900</v>
      </c>
      <c r="D15" s="275" t="s">
        <v>3056</v>
      </c>
      <c r="E15" s="275" t="s">
        <v>2802</v>
      </c>
      <c r="F15" s="278">
        <v>29285</v>
      </c>
      <c r="G15" s="275" t="s">
        <v>2803</v>
      </c>
      <c r="H15" s="276">
        <v>14</v>
      </c>
      <c r="I15" s="276">
        <v>33.65</v>
      </c>
      <c r="J15" s="276">
        <v>12.21</v>
      </c>
      <c r="K15" s="276">
        <f t="shared" si="0"/>
        <v>1.7899999999999991</v>
      </c>
      <c r="L15" s="335"/>
      <c r="O15"/>
      <c r="P15"/>
      <c r="Q15"/>
      <c r="R15"/>
      <c r="S15"/>
      <c r="T15"/>
      <c r="U15"/>
      <c r="V15"/>
      <c r="W15"/>
      <c r="Z15" s="196"/>
      <c r="AA15" s="196"/>
      <c r="AB15" s="196"/>
      <c r="AC15" s="196"/>
      <c r="AD15" s="196"/>
      <c r="AE15" s="196"/>
      <c r="AF15" s="196"/>
      <c r="AG15" s="196"/>
    </row>
    <row r="16" spans="1:33" ht="15">
      <c r="A16" s="275" t="s">
        <v>2811</v>
      </c>
      <c r="B16" s="275" t="s">
        <v>2814</v>
      </c>
      <c r="C16" s="275" t="s">
        <v>3899</v>
      </c>
      <c r="D16" s="275" t="s">
        <v>3056</v>
      </c>
      <c r="E16" s="275" t="s">
        <v>2802</v>
      </c>
      <c r="F16" s="278">
        <v>29287</v>
      </c>
      <c r="G16" s="275" t="s">
        <v>2803</v>
      </c>
      <c r="H16" s="276">
        <v>13.5</v>
      </c>
      <c r="I16" s="276">
        <v>44.69</v>
      </c>
      <c r="J16" s="276">
        <v>12.21</v>
      </c>
      <c r="K16" s="276">
        <f t="shared" si="0"/>
        <v>1.2899999999999991</v>
      </c>
      <c r="L16" s="335"/>
      <c r="O16" s="106"/>
      <c r="P16" s="106" t="s">
        <v>2183</v>
      </c>
      <c r="Q16" s="106" t="s">
        <v>2175</v>
      </c>
      <c r="R16" s="106" t="s">
        <v>2184</v>
      </c>
      <c r="S16" s="106" t="s">
        <v>2185</v>
      </c>
      <c r="T16" s="106" t="s">
        <v>2186</v>
      </c>
      <c r="U16" s="106" t="s">
        <v>2187</v>
      </c>
      <c r="V16" s="106" t="s">
        <v>2188</v>
      </c>
      <c r="W16" s="106" t="s">
        <v>2189</v>
      </c>
      <c r="Z16" s="196"/>
      <c r="AA16" s="196"/>
      <c r="AB16" s="196"/>
      <c r="AC16" s="196"/>
      <c r="AD16" s="196"/>
      <c r="AE16" s="196"/>
      <c r="AF16" s="196"/>
      <c r="AG16" s="196"/>
    </row>
    <row r="17" spans="1:35" ht="16.5" customHeight="1">
      <c r="A17" s="275" t="s">
        <v>2811</v>
      </c>
      <c r="B17" s="275" t="s">
        <v>4014</v>
      </c>
      <c r="C17" s="275" t="s">
        <v>3898</v>
      </c>
      <c r="D17" s="275" t="s">
        <v>3056</v>
      </c>
      <c r="E17" s="275" t="s">
        <v>2802</v>
      </c>
      <c r="F17" s="278">
        <v>29294</v>
      </c>
      <c r="G17" s="275" t="s">
        <v>2803</v>
      </c>
      <c r="H17" s="276">
        <v>14</v>
      </c>
      <c r="I17" s="276">
        <v>42.1</v>
      </c>
      <c r="J17" s="276">
        <v>12.21</v>
      </c>
      <c r="K17" s="276">
        <f t="shared" si="0"/>
        <v>1.7899999999999991</v>
      </c>
      <c r="L17" s="335"/>
      <c r="O17" t="s">
        <v>2190</v>
      </c>
      <c r="P17" s="514">
        <v>7.5669952762013377</v>
      </c>
      <c r="Q17">
        <v>6.8233493180595781E-2</v>
      </c>
      <c r="R17">
        <v>110.89854737721734</v>
      </c>
      <c r="S17">
        <v>0</v>
      </c>
      <c r="T17">
        <v>7.4330614293922457</v>
      </c>
      <c r="U17">
        <v>7.7009291230104298</v>
      </c>
      <c r="V17">
        <v>7.4330614293922457</v>
      </c>
      <c r="W17">
        <v>7.7009291230104298</v>
      </c>
      <c r="Z17" s="196"/>
      <c r="AA17" s="196"/>
      <c r="AB17" s="196"/>
      <c r="AC17" s="196"/>
      <c r="AD17" s="196"/>
      <c r="AE17" s="196"/>
      <c r="AF17" s="196"/>
      <c r="AG17" s="196"/>
    </row>
    <row r="18" spans="1:35" ht="15.6" thickBot="1">
      <c r="A18" s="275" t="s">
        <v>2811</v>
      </c>
      <c r="B18" s="275" t="s">
        <v>2815</v>
      </c>
      <c r="C18" s="275" t="s">
        <v>3897</v>
      </c>
      <c r="D18" s="275" t="s">
        <v>3056</v>
      </c>
      <c r="E18" s="275" t="s">
        <v>2802</v>
      </c>
      <c r="F18" s="278">
        <v>29307</v>
      </c>
      <c r="G18" s="275" t="s">
        <v>2803</v>
      </c>
      <c r="H18" s="276">
        <v>12.69</v>
      </c>
      <c r="I18" s="276">
        <v>39.25</v>
      </c>
      <c r="J18" s="276">
        <v>13.23</v>
      </c>
      <c r="K18" s="276">
        <f t="shared" si="0"/>
        <v>-0.54000000000000092</v>
      </c>
      <c r="L18" s="335"/>
      <c r="O18" s="105" t="s">
        <v>2799</v>
      </c>
      <c r="P18" s="515">
        <v>-0.4862997686198452</v>
      </c>
      <c r="Q18" s="105">
        <v>6.4609603248208117E-3</v>
      </c>
      <c r="R18" s="105">
        <v>-75.26741291873391</v>
      </c>
      <c r="S18" s="105">
        <v>0</v>
      </c>
      <c r="T18" s="105">
        <v>-0.49898182885225689</v>
      </c>
      <c r="U18" s="105">
        <v>-0.4736177083874335</v>
      </c>
      <c r="V18" s="105">
        <v>-0.49898182885225689</v>
      </c>
      <c r="W18" s="105">
        <v>-0.4736177083874335</v>
      </c>
      <c r="Z18" s="196"/>
      <c r="AA18" s="196"/>
      <c r="AB18" s="196"/>
      <c r="AC18" s="196"/>
      <c r="AD18" s="196"/>
      <c r="AE18" s="196"/>
      <c r="AF18" s="196"/>
      <c r="AG18" s="196"/>
    </row>
    <row r="19" spans="1:35" ht="15">
      <c r="A19" s="275" t="s">
        <v>2816</v>
      </c>
      <c r="B19" s="275" t="s">
        <v>2817</v>
      </c>
      <c r="C19" s="275" t="s">
        <v>3896</v>
      </c>
      <c r="D19" s="275" t="s">
        <v>3056</v>
      </c>
      <c r="E19" s="275" t="s">
        <v>2802</v>
      </c>
      <c r="F19" s="278">
        <v>29340</v>
      </c>
      <c r="G19" s="275" t="s">
        <v>2803</v>
      </c>
      <c r="H19" s="276">
        <v>12.5</v>
      </c>
      <c r="I19" s="276">
        <v>36.5</v>
      </c>
      <c r="J19" s="276">
        <v>14.59</v>
      </c>
      <c r="K19" s="276">
        <f t="shared" si="0"/>
        <v>-2.09</v>
      </c>
      <c r="L19" s="335"/>
      <c r="O19"/>
      <c r="P19"/>
      <c r="Q19"/>
      <c r="R19"/>
      <c r="S19"/>
      <c r="T19"/>
      <c r="U19"/>
      <c r="V19"/>
      <c r="W19"/>
      <c r="Z19" s="196"/>
      <c r="AA19" s="196"/>
      <c r="AB19" s="196"/>
      <c r="AC19" s="196"/>
      <c r="AD19" s="196"/>
      <c r="AE19" s="196"/>
      <c r="AF19" s="196"/>
      <c r="AG19" s="196"/>
    </row>
    <row r="20" spans="1:35" ht="60">
      <c r="A20" s="275" t="s">
        <v>2818</v>
      </c>
      <c r="B20" s="275" t="s">
        <v>4374</v>
      </c>
      <c r="C20" s="275" t="s">
        <v>3895</v>
      </c>
      <c r="D20" s="275" t="s">
        <v>3056</v>
      </c>
      <c r="E20" s="275" t="s">
        <v>2802</v>
      </c>
      <c r="F20" s="278">
        <v>29348</v>
      </c>
      <c r="G20" s="275" t="s">
        <v>2803</v>
      </c>
      <c r="H20" s="276">
        <v>14.27</v>
      </c>
      <c r="I20" s="276">
        <v>34.24</v>
      </c>
      <c r="J20" s="276">
        <v>14.59</v>
      </c>
      <c r="K20" s="276">
        <f t="shared" si="0"/>
        <v>-0.32000000000000028</v>
      </c>
      <c r="L20" s="335"/>
      <c r="O20"/>
      <c r="P20"/>
      <c r="Q20"/>
      <c r="R20"/>
      <c r="S20"/>
      <c r="T20"/>
      <c r="U20"/>
      <c r="V20"/>
      <c r="W20"/>
      <c r="Z20" s="342" t="s">
        <v>2826</v>
      </c>
      <c r="AA20" s="199"/>
      <c r="AB20" s="342" t="s">
        <v>2827</v>
      </c>
      <c r="AC20" s="199"/>
      <c r="AD20" s="200" t="s">
        <v>3935</v>
      </c>
      <c r="AE20" s="199"/>
      <c r="AF20" s="200" t="s">
        <v>2828</v>
      </c>
      <c r="AG20" s="196"/>
    </row>
    <row r="21" spans="1:35" ht="15">
      <c r="A21" s="275" t="s">
        <v>2819</v>
      </c>
      <c r="B21" s="275" t="s">
        <v>2820</v>
      </c>
      <c r="C21" s="275" t="s">
        <v>3894</v>
      </c>
      <c r="D21" s="275" t="s">
        <v>3056</v>
      </c>
      <c r="E21" s="275" t="s">
        <v>2802</v>
      </c>
      <c r="F21" s="278">
        <v>29349</v>
      </c>
      <c r="G21" s="275" t="s">
        <v>2803</v>
      </c>
      <c r="H21" s="276">
        <v>13.75</v>
      </c>
      <c r="I21" s="276">
        <v>35.909999999999997</v>
      </c>
      <c r="J21" s="276">
        <v>14.59</v>
      </c>
      <c r="K21" s="276">
        <f t="shared" si="0"/>
        <v>-0.83999999999999986</v>
      </c>
      <c r="L21" s="335"/>
      <c r="O21"/>
      <c r="P21"/>
      <c r="Q21"/>
      <c r="R21"/>
      <c r="S21"/>
      <c r="T21"/>
      <c r="U21"/>
      <c r="V21"/>
      <c r="W21"/>
      <c r="Z21" s="500">
        <f>P17</f>
        <v>7.5669952762013377</v>
      </c>
      <c r="AA21" s="204" t="s">
        <v>18</v>
      </c>
      <c r="AB21" s="196">
        <f>P18</f>
        <v>-0.4862997686198452</v>
      </c>
      <c r="AC21" s="196"/>
      <c r="AD21" s="343">
        <f>'4.3 Risk Premium Summary'!G18</f>
        <v>5.88</v>
      </c>
      <c r="AE21" s="204" t="s">
        <v>18</v>
      </c>
      <c r="AF21" s="343">
        <f>AB21*AD21+Z21</f>
        <v>4.707552636716648</v>
      </c>
      <c r="AG21" s="204" t="s">
        <v>18</v>
      </c>
    </row>
    <row r="22" spans="1:35" ht="15">
      <c r="A22" s="275" t="s">
        <v>2821</v>
      </c>
      <c r="B22" s="275" t="s">
        <v>3073</v>
      </c>
      <c r="C22" s="275" t="s">
        <v>3893</v>
      </c>
      <c r="D22" s="275" t="s">
        <v>3056</v>
      </c>
      <c r="E22" s="275" t="s">
        <v>2802</v>
      </c>
      <c r="F22" s="278">
        <v>29360</v>
      </c>
      <c r="G22" s="275" t="s">
        <v>2803</v>
      </c>
      <c r="H22" s="276">
        <v>15.5</v>
      </c>
      <c r="I22" s="276">
        <v>44.87</v>
      </c>
      <c r="J22" s="276">
        <v>14.59</v>
      </c>
      <c r="K22" s="276">
        <f t="shared" si="0"/>
        <v>0.91000000000000014</v>
      </c>
      <c r="L22" s="335"/>
      <c r="O22"/>
      <c r="P22"/>
      <c r="Q22"/>
      <c r="R22"/>
      <c r="S22"/>
      <c r="T22"/>
      <c r="U22"/>
      <c r="V22"/>
      <c r="W22"/>
      <c r="Z22" s="196"/>
      <c r="AA22" s="196"/>
      <c r="AB22" s="196"/>
      <c r="AC22" s="196"/>
      <c r="AD22" s="196"/>
      <c r="AE22" s="196"/>
      <c r="AF22" s="196"/>
      <c r="AG22" s="196"/>
    </row>
    <row r="23" spans="1:35" ht="15">
      <c r="A23" s="275" t="s">
        <v>2822</v>
      </c>
      <c r="B23" s="275" t="s">
        <v>2823</v>
      </c>
      <c r="C23" s="275" t="s">
        <v>3892</v>
      </c>
      <c r="D23" s="275" t="s">
        <v>3056</v>
      </c>
      <c r="E23" s="275" t="s">
        <v>2802</v>
      </c>
      <c r="F23" s="278">
        <v>29368</v>
      </c>
      <c r="G23" s="275" t="s">
        <v>2803</v>
      </c>
      <c r="H23" s="276">
        <v>14.6</v>
      </c>
      <c r="I23" s="276">
        <v>35.799999999999997</v>
      </c>
      <c r="J23" s="276">
        <v>14.29</v>
      </c>
      <c r="K23" s="276">
        <f t="shared" si="0"/>
        <v>0.3100000000000005</v>
      </c>
      <c r="L23" s="335"/>
      <c r="O23"/>
      <c r="P23"/>
      <c r="Q23"/>
      <c r="R23"/>
      <c r="S23"/>
      <c r="T23"/>
      <c r="U23"/>
      <c r="V23"/>
      <c r="W23"/>
      <c r="Z23" s="196"/>
      <c r="AA23" s="196"/>
      <c r="AB23" s="196"/>
      <c r="AC23" s="196"/>
      <c r="AD23" s="196"/>
      <c r="AE23" s="196"/>
      <c r="AF23" s="196"/>
      <c r="AG23" s="196"/>
    </row>
    <row r="24" spans="1:35" ht="15">
      <c r="A24" s="275" t="s">
        <v>2824</v>
      </c>
      <c r="B24" s="275" t="s">
        <v>2825</v>
      </c>
      <c r="C24" s="275" t="s">
        <v>3891</v>
      </c>
      <c r="D24" s="275" t="s">
        <v>3056</v>
      </c>
      <c r="E24" s="275" t="s">
        <v>2802</v>
      </c>
      <c r="F24" s="278">
        <v>29370</v>
      </c>
      <c r="G24" s="275" t="s">
        <v>2803</v>
      </c>
      <c r="H24" s="276">
        <v>16</v>
      </c>
      <c r="I24" s="276">
        <v>37.21</v>
      </c>
      <c r="J24" s="276">
        <v>14.29</v>
      </c>
      <c r="K24" s="276">
        <f t="shared" si="0"/>
        <v>1.7100000000000009</v>
      </c>
      <c r="L24" s="335"/>
      <c r="O24"/>
      <c r="P24"/>
      <c r="Q24"/>
      <c r="R24"/>
      <c r="S24"/>
      <c r="T24"/>
      <c r="U24"/>
      <c r="V24"/>
      <c r="W24"/>
      <c r="Z24" s="196" t="s">
        <v>94</v>
      </c>
      <c r="AA24" s="196"/>
      <c r="AB24" s="196"/>
      <c r="AC24" s="196"/>
      <c r="AD24" s="196"/>
      <c r="AE24" s="196"/>
      <c r="AF24" s="196"/>
      <c r="AG24" s="196"/>
    </row>
    <row r="25" spans="1:35" ht="15">
      <c r="A25" s="275" t="s">
        <v>2805</v>
      </c>
      <c r="B25" s="275" t="s">
        <v>2829</v>
      </c>
      <c r="C25" s="275" t="s">
        <v>3890</v>
      </c>
      <c r="D25" s="275" t="s">
        <v>3056</v>
      </c>
      <c r="E25" s="275" t="s">
        <v>2802</v>
      </c>
      <c r="F25" s="278">
        <v>29382</v>
      </c>
      <c r="G25" s="275" t="s">
        <v>2803</v>
      </c>
      <c r="H25" s="276">
        <v>13.78</v>
      </c>
      <c r="I25" s="276">
        <v>38.5</v>
      </c>
      <c r="J25" s="276">
        <v>14.29</v>
      </c>
      <c r="K25" s="276">
        <f t="shared" si="0"/>
        <v>-0.50999999999999979</v>
      </c>
      <c r="L25" s="335"/>
      <c r="O25"/>
      <c r="P25"/>
      <c r="Q25"/>
      <c r="R25"/>
      <c r="S25"/>
      <c r="T25"/>
      <c r="U25"/>
      <c r="V25"/>
      <c r="W25"/>
      <c r="Z25" s="426" t="s">
        <v>95</v>
      </c>
      <c r="AA25" s="344" t="s">
        <v>4439</v>
      </c>
      <c r="AB25" s="344"/>
      <c r="AC25" s="344"/>
      <c r="AD25" s="344"/>
      <c r="AE25" s="344"/>
      <c r="AF25" s="344"/>
      <c r="AG25" s="344"/>
      <c r="AI25" s="289"/>
    </row>
    <row r="26" spans="1:35" ht="15">
      <c r="A26" s="275" t="s">
        <v>2830</v>
      </c>
      <c r="B26" s="275" t="s">
        <v>3157</v>
      </c>
      <c r="C26" s="275" t="s">
        <v>4368</v>
      </c>
      <c r="D26" s="275" t="s">
        <v>3056</v>
      </c>
      <c r="E26" s="275" t="s">
        <v>2802</v>
      </c>
      <c r="F26" s="278">
        <v>29397</v>
      </c>
      <c r="G26" s="275" t="s">
        <v>2803</v>
      </c>
      <c r="H26" s="276">
        <v>14.25</v>
      </c>
      <c r="I26" s="276">
        <v>41.76</v>
      </c>
      <c r="J26" s="276">
        <v>12.74</v>
      </c>
      <c r="K26" s="276">
        <f t="shared" si="0"/>
        <v>1.5099999999999998</v>
      </c>
      <c r="L26" s="335"/>
      <c r="O26"/>
      <c r="P26"/>
      <c r="Q26"/>
      <c r="R26"/>
      <c r="S26"/>
      <c r="T26"/>
      <c r="U26"/>
      <c r="V26"/>
      <c r="W26"/>
      <c r="Z26" s="344"/>
      <c r="AA26" s="344"/>
      <c r="AB26" s="344"/>
      <c r="AC26" s="344"/>
      <c r="AD26" s="344"/>
      <c r="AE26" s="344"/>
      <c r="AF26" s="344"/>
      <c r="AG26" s="344"/>
    </row>
    <row r="27" spans="1:35" ht="15">
      <c r="A27" s="275" t="s">
        <v>2818</v>
      </c>
      <c r="B27" s="275" t="s">
        <v>4015</v>
      </c>
      <c r="C27" s="275" t="s">
        <v>3889</v>
      </c>
      <c r="D27" s="275" t="s">
        <v>3056</v>
      </c>
      <c r="E27" s="275" t="s">
        <v>2802</v>
      </c>
      <c r="F27" s="278">
        <v>29411</v>
      </c>
      <c r="G27" s="275" t="s">
        <v>2803</v>
      </c>
      <c r="H27" s="276">
        <v>14.51</v>
      </c>
      <c r="I27" s="276">
        <v>53.69</v>
      </c>
      <c r="J27" s="276">
        <v>12.74</v>
      </c>
      <c r="K27" s="276">
        <f t="shared" si="0"/>
        <v>1.7699999999999996</v>
      </c>
      <c r="L27" s="335"/>
      <c r="O27"/>
      <c r="P27"/>
      <c r="Q27"/>
      <c r="R27"/>
      <c r="S27"/>
      <c r="T27"/>
      <c r="U27"/>
      <c r="V27"/>
      <c r="W27"/>
      <c r="Z27" s="344" t="s">
        <v>4224</v>
      </c>
      <c r="AA27" s="344"/>
      <c r="AB27" s="344"/>
      <c r="AC27" s="344"/>
      <c r="AD27" s="344"/>
      <c r="AE27" s="344"/>
      <c r="AF27" s="344"/>
      <c r="AG27" s="344"/>
      <c r="AI27" s="289"/>
    </row>
    <row r="28" spans="1:35">
      <c r="A28" s="275" t="s">
        <v>2831</v>
      </c>
      <c r="B28" s="275" t="s">
        <v>4016</v>
      </c>
      <c r="C28" s="275" t="s">
        <v>3888</v>
      </c>
      <c r="D28" s="275" t="s">
        <v>3056</v>
      </c>
      <c r="E28" s="275" t="s">
        <v>2802</v>
      </c>
      <c r="F28" s="278">
        <v>29419</v>
      </c>
      <c r="G28" s="275" t="s">
        <v>2803</v>
      </c>
      <c r="H28" s="276">
        <v>12.9</v>
      </c>
      <c r="I28" s="276">
        <v>42</v>
      </c>
      <c r="J28" s="276">
        <v>12.4</v>
      </c>
      <c r="K28" s="276">
        <f t="shared" si="0"/>
        <v>0.5</v>
      </c>
      <c r="L28" s="335"/>
      <c r="O28"/>
      <c r="P28"/>
      <c r="Q28"/>
      <c r="R28"/>
      <c r="S28"/>
      <c r="T28"/>
      <c r="U28"/>
      <c r="V28"/>
      <c r="W28"/>
    </row>
    <row r="29" spans="1:35">
      <c r="A29" s="275" t="s">
        <v>2811</v>
      </c>
      <c r="B29" s="275" t="s">
        <v>4017</v>
      </c>
      <c r="C29" s="275" t="s">
        <v>3887</v>
      </c>
      <c r="D29" s="275" t="s">
        <v>3056</v>
      </c>
      <c r="E29" s="275" t="s">
        <v>2802</v>
      </c>
      <c r="F29" s="278">
        <v>29420</v>
      </c>
      <c r="G29" s="275" t="s">
        <v>2803</v>
      </c>
      <c r="H29" s="276">
        <v>13.8</v>
      </c>
      <c r="I29" s="276">
        <v>39.9</v>
      </c>
      <c r="J29" s="276">
        <v>12.4</v>
      </c>
      <c r="K29" s="276">
        <f t="shared" si="0"/>
        <v>1.4000000000000004</v>
      </c>
      <c r="L29" s="335"/>
      <c r="O29"/>
      <c r="P29"/>
      <c r="Q29"/>
      <c r="R29"/>
      <c r="S29"/>
      <c r="T29"/>
      <c r="U29"/>
      <c r="V29"/>
      <c r="W29"/>
    </row>
    <row r="30" spans="1:35">
      <c r="A30" s="275" t="s">
        <v>2811</v>
      </c>
      <c r="B30" s="275" t="s">
        <v>2832</v>
      </c>
      <c r="C30" s="275" t="s">
        <v>3886</v>
      </c>
      <c r="D30" s="275" t="s">
        <v>3056</v>
      </c>
      <c r="E30" s="275" t="s">
        <v>2802</v>
      </c>
      <c r="F30" s="278">
        <v>29424</v>
      </c>
      <c r="G30" s="275" t="s">
        <v>2803</v>
      </c>
      <c r="H30" s="276">
        <v>14.1</v>
      </c>
      <c r="I30" s="276">
        <v>39.9</v>
      </c>
      <c r="J30" s="276">
        <v>12.4</v>
      </c>
      <c r="K30" s="276">
        <f t="shared" si="0"/>
        <v>1.6999999999999993</v>
      </c>
      <c r="L30" s="335"/>
      <c r="O30"/>
      <c r="P30"/>
      <c r="Q30"/>
      <c r="R30"/>
      <c r="S30"/>
      <c r="T30"/>
      <c r="U30"/>
      <c r="V30"/>
      <c r="W30"/>
    </row>
    <row r="31" spans="1:35">
      <c r="A31" s="275" t="s">
        <v>2813</v>
      </c>
      <c r="B31" s="275" t="s">
        <v>3385</v>
      </c>
      <c r="C31" s="275" t="s">
        <v>3885</v>
      </c>
      <c r="D31" s="275" t="s">
        <v>3056</v>
      </c>
      <c r="E31" s="275" t="s">
        <v>2802</v>
      </c>
      <c r="F31" s="278">
        <v>29425</v>
      </c>
      <c r="G31" s="275" t="s">
        <v>2803</v>
      </c>
      <c r="H31" s="276">
        <v>14.19</v>
      </c>
      <c r="I31" s="276">
        <v>32.51</v>
      </c>
      <c r="J31" s="276">
        <v>12.4</v>
      </c>
      <c r="K31" s="276">
        <f t="shared" si="0"/>
        <v>1.7899999999999991</v>
      </c>
      <c r="L31" s="335"/>
      <c r="O31"/>
      <c r="P31"/>
      <c r="Q31"/>
      <c r="R31"/>
      <c r="S31"/>
      <c r="T31"/>
      <c r="U31"/>
      <c r="V31"/>
      <c r="W31"/>
    </row>
    <row r="32" spans="1:35">
      <c r="A32" s="275" t="s">
        <v>2816</v>
      </c>
      <c r="B32" s="275" t="s">
        <v>2817</v>
      </c>
      <c r="C32" s="275" t="s">
        <v>3884</v>
      </c>
      <c r="D32" s="275" t="s">
        <v>3056</v>
      </c>
      <c r="E32" s="275" t="s">
        <v>2802</v>
      </c>
      <c r="F32" s="278">
        <v>29434</v>
      </c>
      <c r="G32" s="275" t="s">
        <v>2803</v>
      </c>
      <c r="H32" s="276">
        <v>12.5</v>
      </c>
      <c r="I32" s="276">
        <v>36.44</v>
      </c>
      <c r="J32" s="276">
        <v>12.4</v>
      </c>
      <c r="K32" s="276">
        <f t="shared" si="0"/>
        <v>9.9999999999999645E-2</v>
      </c>
      <c r="L32" s="335"/>
      <c r="O32"/>
      <c r="P32"/>
      <c r="Q32"/>
      <c r="R32"/>
      <c r="S32"/>
      <c r="T32"/>
      <c r="U32"/>
      <c r="V32"/>
      <c r="W32"/>
    </row>
    <row r="33" spans="1:23">
      <c r="A33" s="275" t="s">
        <v>2833</v>
      </c>
      <c r="B33" s="275" t="s">
        <v>2834</v>
      </c>
      <c r="C33" s="275" t="s">
        <v>3883</v>
      </c>
      <c r="D33" s="275" t="s">
        <v>3056</v>
      </c>
      <c r="E33" s="275" t="s">
        <v>2802</v>
      </c>
      <c r="F33" s="278">
        <v>29444</v>
      </c>
      <c r="G33" s="275" t="s">
        <v>2803</v>
      </c>
      <c r="H33" s="276">
        <v>14.85</v>
      </c>
      <c r="I33" s="276">
        <v>36.619999999999997</v>
      </c>
      <c r="J33" s="276">
        <v>12.4</v>
      </c>
      <c r="K33" s="276">
        <f t="shared" si="0"/>
        <v>2.4499999999999993</v>
      </c>
      <c r="L33" s="335"/>
      <c r="O33" s="305"/>
      <c r="P33" s="305"/>
      <c r="Q33" s="305"/>
      <c r="R33" s="305"/>
      <c r="S33" s="305"/>
      <c r="T33" s="305"/>
      <c r="U33"/>
      <c r="V33"/>
      <c r="W33"/>
    </row>
    <row r="34" spans="1:23">
      <c r="A34" s="275" t="s">
        <v>2804</v>
      </c>
      <c r="B34" s="275" t="s">
        <v>4014</v>
      </c>
      <c r="C34" s="275" t="s">
        <v>3882</v>
      </c>
      <c r="D34" s="275" t="s">
        <v>3056</v>
      </c>
      <c r="E34" s="275" t="s">
        <v>2802</v>
      </c>
      <c r="F34" s="278">
        <v>29461</v>
      </c>
      <c r="G34" s="275" t="s">
        <v>2803</v>
      </c>
      <c r="H34" s="276">
        <v>14</v>
      </c>
      <c r="I34" s="276">
        <v>44.5</v>
      </c>
      <c r="J34" s="276">
        <v>12.15</v>
      </c>
      <c r="K34" s="276">
        <f t="shared" si="0"/>
        <v>1.8499999999999996</v>
      </c>
      <c r="L34" s="335"/>
      <c r="O34"/>
      <c r="P34"/>
      <c r="Q34"/>
      <c r="R34"/>
      <c r="S34"/>
      <c r="T34"/>
      <c r="U34"/>
      <c r="V34"/>
      <c r="W34"/>
    </row>
    <row r="35" spans="1:23">
      <c r="A35" s="275" t="s">
        <v>2811</v>
      </c>
      <c r="B35" s="275" t="s">
        <v>3623</v>
      </c>
      <c r="C35" s="275" t="s">
        <v>3881</v>
      </c>
      <c r="D35" s="275" t="s">
        <v>3056</v>
      </c>
      <c r="E35" s="275" t="s">
        <v>2802</v>
      </c>
      <c r="F35" s="278">
        <v>29468</v>
      </c>
      <c r="G35" s="275" t="s">
        <v>2803</v>
      </c>
      <c r="H35" s="276">
        <v>14</v>
      </c>
      <c r="I35" s="276">
        <v>41.14</v>
      </c>
      <c r="J35" s="276">
        <v>12.15</v>
      </c>
      <c r="K35" s="276">
        <f t="shared" si="0"/>
        <v>1.8499999999999996</v>
      </c>
      <c r="L35" s="335"/>
      <c r="O35"/>
      <c r="P35"/>
      <c r="Q35"/>
      <c r="R35"/>
      <c r="S35"/>
      <c r="T35"/>
      <c r="U35"/>
      <c r="V35"/>
      <c r="W35"/>
    </row>
    <row r="36" spans="1:23">
      <c r="A36" s="275" t="s">
        <v>2835</v>
      </c>
      <c r="B36" s="275" t="s">
        <v>2836</v>
      </c>
      <c r="C36" s="275" t="s">
        <v>3880</v>
      </c>
      <c r="D36" s="275" t="s">
        <v>3056</v>
      </c>
      <c r="E36" s="275" t="s">
        <v>2802</v>
      </c>
      <c r="F36" s="278">
        <v>29488</v>
      </c>
      <c r="G36" s="275" t="s">
        <v>2803</v>
      </c>
      <c r="H36" s="276">
        <v>15</v>
      </c>
      <c r="I36" s="276">
        <v>36.43</v>
      </c>
      <c r="J36" s="276">
        <v>12.66</v>
      </c>
      <c r="K36" s="276">
        <f t="shared" si="0"/>
        <v>2.34</v>
      </c>
      <c r="L36" s="335"/>
      <c r="O36"/>
      <c r="P36"/>
      <c r="Q36"/>
      <c r="R36"/>
      <c r="S36"/>
      <c r="T36"/>
      <c r="U36"/>
      <c r="V36"/>
      <c r="W36"/>
    </row>
    <row r="37" spans="1:23">
      <c r="A37" s="275" t="s">
        <v>2830</v>
      </c>
      <c r="B37" s="275" t="s">
        <v>4018</v>
      </c>
      <c r="C37" s="275" t="s">
        <v>3879</v>
      </c>
      <c r="D37" s="275" t="s">
        <v>3056</v>
      </c>
      <c r="E37" s="275" t="s">
        <v>2802</v>
      </c>
      <c r="F37" s="278">
        <v>29503</v>
      </c>
      <c r="G37" s="275" t="s">
        <v>2803</v>
      </c>
      <c r="H37" s="276">
        <v>14.5</v>
      </c>
      <c r="I37" s="276">
        <v>35.119999999999997</v>
      </c>
      <c r="J37" s="276">
        <v>12.66</v>
      </c>
      <c r="K37" s="276">
        <f t="shared" si="0"/>
        <v>1.8399999999999999</v>
      </c>
      <c r="L37" s="335"/>
      <c r="O37"/>
      <c r="P37"/>
      <c r="Q37"/>
      <c r="R37"/>
      <c r="S37"/>
      <c r="T37"/>
      <c r="U37"/>
      <c r="V37"/>
      <c r="W37"/>
    </row>
    <row r="38" spans="1:23">
      <c r="A38" s="275" t="s">
        <v>2830</v>
      </c>
      <c r="B38" s="275" t="s">
        <v>4018</v>
      </c>
      <c r="C38" s="275" t="s">
        <v>3878</v>
      </c>
      <c r="D38" s="275" t="s">
        <v>3056</v>
      </c>
      <c r="E38" s="275" t="s">
        <v>2802</v>
      </c>
      <c r="F38" s="278">
        <v>29503</v>
      </c>
      <c r="G38" s="275" t="s">
        <v>2803</v>
      </c>
      <c r="H38" s="276">
        <v>14.5</v>
      </c>
      <c r="I38" s="276">
        <v>37.1</v>
      </c>
      <c r="J38" s="276">
        <v>12.66</v>
      </c>
      <c r="K38" s="276">
        <f t="shared" si="0"/>
        <v>1.8399999999999999</v>
      </c>
      <c r="L38" s="335"/>
      <c r="O38" s="305"/>
      <c r="P38" s="305"/>
      <c r="Q38" s="305"/>
      <c r="R38" s="305"/>
      <c r="S38" s="305"/>
      <c r="T38" s="305"/>
      <c r="U38" s="305"/>
      <c r="V38" s="305"/>
      <c r="W38" s="305"/>
    </row>
    <row r="39" spans="1:23">
      <c r="A39" s="275" t="s">
        <v>2837</v>
      </c>
      <c r="B39" s="275" t="s">
        <v>3094</v>
      </c>
      <c r="C39" s="275" t="s">
        <v>3876</v>
      </c>
      <c r="D39" s="275" t="s">
        <v>3056</v>
      </c>
      <c r="E39" s="275" t="s">
        <v>2802</v>
      </c>
      <c r="F39" s="278">
        <v>29521</v>
      </c>
      <c r="G39" s="275" t="s">
        <v>2803</v>
      </c>
      <c r="H39" s="276">
        <v>15.2</v>
      </c>
      <c r="I39" s="276">
        <v>34.68</v>
      </c>
      <c r="J39" s="276">
        <v>13.29</v>
      </c>
      <c r="K39" s="276">
        <f t="shared" si="0"/>
        <v>1.9100000000000001</v>
      </c>
      <c r="L39" s="335"/>
      <c r="O39"/>
      <c r="P39"/>
      <c r="Q39"/>
      <c r="R39"/>
      <c r="S39"/>
      <c r="T39"/>
      <c r="U39"/>
      <c r="V39"/>
      <c r="W39"/>
    </row>
    <row r="40" spans="1:23">
      <c r="A40" s="275" t="s">
        <v>2837</v>
      </c>
      <c r="B40" s="275" t="s">
        <v>3094</v>
      </c>
      <c r="C40" s="275" t="s">
        <v>3877</v>
      </c>
      <c r="D40" s="275" t="s">
        <v>3056</v>
      </c>
      <c r="E40" s="275" t="s">
        <v>2802</v>
      </c>
      <c r="F40" s="278">
        <v>29521</v>
      </c>
      <c r="G40" s="275" t="s">
        <v>2803</v>
      </c>
      <c r="H40" s="276">
        <v>15.2</v>
      </c>
      <c r="I40" s="276">
        <v>34.68</v>
      </c>
      <c r="J40" s="276">
        <v>13.29</v>
      </c>
      <c r="K40" s="276">
        <f t="shared" si="0"/>
        <v>1.9100000000000001</v>
      </c>
      <c r="L40" s="335"/>
      <c r="O40"/>
      <c r="P40"/>
      <c r="Q40"/>
      <c r="R40"/>
      <c r="S40"/>
      <c r="T40"/>
      <c r="U40"/>
      <c r="V40"/>
      <c r="W40"/>
    </row>
    <row r="41" spans="1:23">
      <c r="A41" s="275" t="s">
        <v>2831</v>
      </c>
      <c r="B41" s="275" t="s">
        <v>4019</v>
      </c>
      <c r="C41" s="275" t="s">
        <v>3874</v>
      </c>
      <c r="D41" s="275" t="s">
        <v>3056</v>
      </c>
      <c r="E41" s="275" t="s">
        <v>2802</v>
      </c>
      <c r="F41" s="278">
        <v>29522</v>
      </c>
      <c r="G41" s="275" t="s">
        <v>2803</v>
      </c>
      <c r="H41" s="276">
        <v>13</v>
      </c>
      <c r="I41" s="276">
        <v>52</v>
      </c>
      <c r="J41" s="276">
        <v>13.29</v>
      </c>
      <c r="K41" s="276">
        <f t="shared" si="0"/>
        <v>-0.28999999999999915</v>
      </c>
      <c r="L41" s="335"/>
      <c r="O41"/>
      <c r="P41"/>
      <c r="Q41"/>
      <c r="R41"/>
      <c r="S41"/>
      <c r="T41"/>
      <c r="U41"/>
      <c r="V41"/>
      <c r="W41"/>
    </row>
    <row r="42" spans="1:23">
      <c r="A42" s="275" t="s">
        <v>2838</v>
      </c>
      <c r="B42" s="275" t="s">
        <v>3075</v>
      </c>
      <c r="C42" s="275" t="s">
        <v>3875</v>
      </c>
      <c r="D42" s="275" t="s">
        <v>3056</v>
      </c>
      <c r="E42" s="275" t="s">
        <v>2802</v>
      </c>
      <c r="F42" s="278">
        <v>29522</v>
      </c>
      <c r="G42" s="275" t="s">
        <v>2803</v>
      </c>
      <c r="H42" s="276">
        <v>12</v>
      </c>
      <c r="I42" s="276">
        <v>50.96</v>
      </c>
      <c r="J42" s="276">
        <v>13.29</v>
      </c>
      <c r="K42" s="276">
        <f t="shared" si="0"/>
        <v>-1.2899999999999991</v>
      </c>
      <c r="L42" s="335"/>
      <c r="O42"/>
      <c r="P42"/>
      <c r="Q42"/>
      <c r="R42"/>
      <c r="S42"/>
      <c r="T42"/>
      <c r="U42"/>
      <c r="V42"/>
      <c r="W42"/>
    </row>
    <row r="43" spans="1:23">
      <c r="A43" s="275" t="s">
        <v>2833</v>
      </c>
      <c r="B43" s="275" t="s">
        <v>3119</v>
      </c>
      <c r="C43" s="275" t="s">
        <v>3873</v>
      </c>
      <c r="D43" s="275" t="s">
        <v>3056</v>
      </c>
      <c r="E43" s="275" t="s">
        <v>2802</v>
      </c>
      <c r="F43" s="278">
        <v>29525</v>
      </c>
      <c r="G43" s="275" t="s">
        <v>2803</v>
      </c>
      <c r="H43" s="276">
        <v>14.5</v>
      </c>
      <c r="I43" s="276">
        <v>31.7</v>
      </c>
      <c r="J43" s="276">
        <v>13.29</v>
      </c>
      <c r="K43" s="276">
        <f t="shared" si="0"/>
        <v>1.2100000000000009</v>
      </c>
      <c r="L43" s="335"/>
      <c r="O43"/>
      <c r="P43"/>
      <c r="Q43"/>
      <c r="R43"/>
      <c r="S43"/>
      <c r="T43"/>
      <c r="U43"/>
      <c r="V43"/>
      <c r="W43"/>
    </row>
    <row r="44" spans="1:23">
      <c r="A44" s="275" t="s">
        <v>2837</v>
      </c>
      <c r="B44" s="275" t="s">
        <v>2839</v>
      </c>
      <c r="C44" s="275" t="s">
        <v>3872</v>
      </c>
      <c r="D44" s="275" t="s">
        <v>3056</v>
      </c>
      <c r="E44" s="275" t="s">
        <v>2802</v>
      </c>
      <c r="F44" s="278">
        <v>29529</v>
      </c>
      <c r="G44" s="275" t="s">
        <v>2803</v>
      </c>
      <c r="H44" s="276">
        <v>15</v>
      </c>
      <c r="I44" s="276">
        <v>37.35</v>
      </c>
      <c r="J44" s="276">
        <v>13.29</v>
      </c>
      <c r="K44" s="276">
        <f t="shared" si="0"/>
        <v>1.7100000000000009</v>
      </c>
      <c r="L44" s="335"/>
      <c r="O44"/>
      <c r="P44"/>
      <c r="Q44"/>
      <c r="R44"/>
      <c r="S44"/>
      <c r="T44"/>
      <c r="U44"/>
      <c r="V44"/>
      <c r="W44"/>
    </row>
    <row r="45" spans="1:23">
      <c r="A45" s="275" t="s">
        <v>2830</v>
      </c>
      <c r="B45" s="275" t="s">
        <v>4020</v>
      </c>
      <c r="C45" s="275" t="s">
        <v>3871</v>
      </c>
      <c r="D45" s="275" t="s">
        <v>3056</v>
      </c>
      <c r="E45" s="275" t="s">
        <v>2802</v>
      </c>
      <c r="F45" s="278">
        <v>29531</v>
      </c>
      <c r="G45" s="275" t="s">
        <v>2803</v>
      </c>
      <c r="H45" s="276">
        <v>14.35</v>
      </c>
      <c r="I45" s="276">
        <v>42.2</v>
      </c>
      <c r="J45" s="276">
        <v>13.29</v>
      </c>
      <c r="K45" s="276">
        <f t="shared" si="0"/>
        <v>1.0600000000000005</v>
      </c>
      <c r="L45" s="335"/>
      <c r="O45"/>
      <c r="P45"/>
      <c r="Q45"/>
      <c r="R45"/>
      <c r="S45"/>
      <c r="T45"/>
      <c r="U45"/>
      <c r="V45"/>
      <c r="W45"/>
    </row>
    <row r="46" spans="1:23">
      <c r="A46" s="275" t="s">
        <v>2840</v>
      </c>
      <c r="B46" s="275" t="s">
        <v>3079</v>
      </c>
      <c r="C46" s="275" t="s">
        <v>3870</v>
      </c>
      <c r="D46" s="275" t="s">
        <v>3056</v>
      </c>
      <c r="E46" s="275" t="s">
        <v>2802</v>
      </c>
      <c r="F46" s="278">
        <v>29535</v>
      </c>
      <c r="G46" s="275" t="s">
        <v>2803</v>
      </c>
      <c r="H46" s="276">
        <v>13.25</v>
      </c>
      <c r="I46" s="276">
        <v>40.1</v>
      </c>
      <c r="J46" s="276">
        <v>13.29</v>
      </c>
      <c r="K46" s="276">
        <f t="shared" si="0"/>
        <v>-3.9999999999999147E-2</v>
      </c>
      <c r="L46" s="335"/>
      <c r="O46"/>
      <c r="P46"/>
      <c r="Q46"/>
      <c r="R46"/>
      <c r="S46"/>
      <c r="T46"/>
      <c r="U46"/>
      <c r="V46"/>
      <c r="W46"/>
    </row>
    <row r="47" spans="1:23">
      <c r="A47" s="275" t="s">
        <v>2838</v>
      </c>
      <c r="B47" s="275" t="s">
        <v>2841</v>
      </c>
      <c r="C47" s="275" t="s">
        <v>3869</v>
      </c>
      <c r="D47" s="275" t="s">
        <v>3056</v>
      </c>
      <c r="E47" s="275" t="s">
        <v>2802</v>
      </c>
      <c r="F47" s="278">
        <v>29542</v>
      </c>
      <c r="G47" s="275" t="s">
        <v>2803</v>
      </c>
      <c r="H47" s="276">
        <v>15.5</v>
      </c>
      <c r="I47" s="276">
        <v>38.659999999999997</v>
      </c>
      <c r="J47" s="276">
        <v>13.54</v>
      </c>
      <c r="K47" s="276">
        <f t="shared" si="0"/>
        <v>1.9600000000000009</v>
      </c>
      <c r="L47" s="335"/>
      <c r="O47" s="306"/>
      <c r="P47" s="306"/>
      <c r="Q47"/>
      <c r="R47"/>
      <c r="S47"/>
      <c r="T47"/>
      <c r="U47"/>
      <c r="V47"/>
      <c r="W47"/>
    </row>
    <row r="48" spans="1:23">
      <c r="A48" s="275" t="s">
        <v>2842</v>
      </c>
      <c r="B48" s="275" t="s">
        <v>2843</v>
      </c>
      <c r="C48" s="275" t="s">
        <v>3868</v>
      </c>
      <c r="D48" s="275" t="s">
        <v>3056</v>
      </c>
      <c r="E48" s="275" t="s">
        <v>2802</v>
      </c>
      <c r="F48" s="278">
        <v>29544</v>
      </c>
      <c r="G48" s="275" t="s">
        <v>2803</v>
      </c>
      <c r="H48" s="276">
        <v>13.5</v>
      </c>
      <c r="I48" s="276">
        <v>34.270000000000003</v>
      </c>
      <c r="J48" s="276">
        <v>13.54</v>
      </c>
      <c r="K48" s="276">
        <f t="shared" si="0"/>
        <v>-3.9999999999999147E-2</v>
      </c>
      <c r="L48" s="335"/>
      <c r="O48"/>
      <c r="P48"/>
      <c r="Q48"/>
      <c r="R48"/>
      <c r="S48"/>
      <c r="T48"/>
      <c r="U48"/>
      <c r="V48"/>
      <c r="W48"/>
    </row>
    <row r="49" spans="1:23">
      <c r="A49" s="275" t="s">
        <v>2844</v>
      </c>
      <c r="B49" s="275" t="s">
        <v>3084</v>
      </c>
      <c r="C49" s="275" t="s">
        <v>3867</v>
      </c>
      <c r="D49" s="275" t="s">
        <v>3056</v>
      </c>
      <c r="E49" s="275" t="s">
        <v>2802</v>
      </c>
      <c r="F49" s="278">
        <v>29560</v>
      </c>
      <c r="G49" s="275" t="s">
        <v>2803</v>
      </c>
      <c r="H49" s="276">
        <v>14.6</v>
      </c>
      <c r="I49" s="276">
        <v>39.65</v>
      </c>
      <c r="J49" s="276">
        <v>13.54</v>
      </c>
      <c r="K49" s="276">
        <f t="shared" si="0"/>
        <v>1.0600000000000005</v>
      </c>
      <c r="L49" s="335"/>
      <c r="O49"/>
      <c r="P49"/>
      <c r="Q49"/>
      <c r="R49"/>
      <c r="S49"/>
      <c r="T49"/>
      <c r="U49"/>
      <c r="V49"/>
      <c r="W49"/>
    </row>
    <row r="50" spans="1:23">
      <c r="A50" s="275" t="s">
        <v>2845</v>
      </c>
      <c r="B50" s="275" t="s">
        <v>3575</v>
      </c>
      <c r="C50" s="275" t="s">
        <v>3866</v>
      </c>
      <c r="D50" s="275" t="s">
        <v>3056</v>
      </c>
      <c r="E50" s="275" t="s">
        <v>2802</v>
      </c>
      <c r="F50" s="278">
        <v>29563</v>
      </c>
      <c r="G50" s="275" t="s">
        <v>2803</v>
      </c>
      <c r="H50" s="276">
        <v>16.399999999999999</v>
      </c>
      <c r="I50" s="276">
        <v>49.1</v>
      </c>
      <c r="J50" s="276">
        <v>13.54</v>
      </c>
      <c r="K50" s="276">
        <f t="shared" si="0"/>
        <v>2.8599999999999994</v>
      </c>
      <c r="L50" s="335"/>
      <c r="O50"/>
      <c r="P50"/>
      <c r="Q50"/>
      <c r="R50"/>
      <c r="S50"/>
      <c r="T50"/>
      <c r="U50"/>
      <c r="V50"/>
      <c r="W50"/>
    </row>
    <row r="51" spans="1:23">
      <c r="A51" s="275" t="s">
        <v>2822</v>
      </c>
      <c r="B51" s="275" t="s">
        <v>2823</v>
      </c>
      <c r="C51" s="275" t="s">
        <v>3865</v>
      </c>
      <c r="D51" s="275" t="s">
        <v>3056</v>
      </c>
      <c r="E51" s="275" t="s">
        <v>2802</v>
      </c>
      <c r="F51" s="278">
        <v>29567</v>
      </c>
      <c r="G51" s="275" t="s">
        <v>2803</v>
      </c>
      <c r="H51" s="276">
        <v>15.45</v>
      </c>
      <c r="I51" s="276">
        <v>34.619999999999997</v>
      </c>
      <c r="J51" s="276">
        <v>13.54</v>
      </c>
      <c r="K51" s="276">
        <f t="shared" si="0"/>
        <v>1.9100000000000001</v>
      </c>
      <c r="L51" s="335"/>
      <c r="O51"/>
      <c r="P51"/>
      <c r="Q51"/>
      <c r="R51"/>
      <c r="S51"/>
      <c r="T51"/>
      <c r="U51"/>
      <c r="V51"/>
      <c r="W51"/>
    </row>
    <row r="52" spans="1:23">
      <c r="A52" s="275" t="s">
        <v>2801</v>
      </c>
      <c r="B52" s="275" t="s">
        <v>3139</v>
      </c>
      <c r="C52" s="275" t="s">
        <v>3863</v>
      </c>
      <c r="D52" s="275" t="s">
        <v>3056</v>
      </c>
      <c r="E52" s="275" t="s">
        <v>2802</v>
      </c>
      <c r="F52" s="278">
        <v>29572</v>
      </c>
      <c r="G52" s="275" t="s">
        <v>2803</v>
      </c>
      <c r="H52" s="276">
        <v>14.4</v>
      </c>
      <c r="I52" s="276">
        <v>39.5</v>
      </c>
      <c r="J52" s="276">
        <v>14.01</v>
      </c>
      <c r="K52" s="276">
        <f t="shared" si="0"/>
        <v>0.39000000000000057</v>
      </c>
      <c r="L52" s="335"/>
      <c r="O52"/>
      <c r="P52"/>
      <c r="Q52"/>
      <c r="R52"/>
      <c r="S52"/>
      <c r="T52"/>
      <c r="U52"/>
      <c r="V52"/>
      <c r="W52"/>
    </row>
    <row r="53" spans="1:23">
      <c r="A53" s="275" t="s">
        <v>2801</v>
      </c>
      <c r="B53" s="275" t="s">
        <v>4021</v>
      </c>
      <c r="C53" s="275" t="s">
        <v>3864</v>
      </c>
      <c r="D53" s="275" t="s">
        <v>3056</v>
      </c>
      <c r="E53" s="275" t="s">
        <v>2802</v>
      </c>
      <c r="F53" s="278">
        <v>29572</v>
      </c>
      <c r="G53" s="275" t="s">
        <v>2803</v>
      </c>
      <c r="H53" s="276">
        <v>14.2</v>
      </c>
      <c r="I53" s="276">
        <v>40.020000000000003</v>
      </c>
      <c r="J53" s="276">
        <v>14.01</v>
      </c>
      <c r="K53" s="276">
        <f t="shared" si="0"/>
        <v>0.1899999999999995</v>
      </c>
      <c r="L53" s="335"/>
      <c r="O53"/>
      <c r="P53"/>
      <c r="Q53"/>
      <c r="R53"/>
      <c r="S53"/>
      <c r="T53"/>
      <c r="U53"/>
      <c r="V53"/>
      <c r="W53"/>
    </row>
    <row r="54" spans="1:23">
      <c r="A54" s="275" t="s">
        <v>2809</v>
      </c>
      <c r="B54" s="275" t="s">
        <v>3142</v>
      </c>
      <c r="C54" s="275" t="s">
        <v>3862</v>
      </c>
      <c r="D54" s="275" t="s">
        <v>3056</v>
      </c>
      <c r="E54" s="275" t="s">
        <v>2802</v>
      </c>
      <c r="F54" s="278">
        <v>29573</v>
      </c>
      <c r="G54" s="275" t="s">
        <v>2803</v>
      </c>
      <c r="H54" s="276">
        <v>14</v>
      </c>
      <c r="I54" s="276">
        <v>42.2</v>
      </c>
      <c r="J54" s="276">
        <v>14.01</v>
      </c>
      <c r="K54" s="276">
        <f t="shared" si="0"/>
        <v>-9.9999999999997868E-3</v>
      </c>
      <c r="L54" s="335"/>
      <c r="O54"/>
      <c r="P54"/>
      <c r="Q54"/>
      <c r="R54"/>
      <c r="S54"/>
      <c r="T54"/>
      <c r="U54"/>
      <c r="V54"/>
      <c r="W54"/>
    </row>
    <row r="55" spans="1:23">
      <c r="A55" s="275" t="s">
        <v>2846</v>
      </c>
      <c r="B55" s="275" t="s">
        <v>2847</v>
      </c>
      <c r="C55" s="275" t="s">
        <v>3861</v>
      </c>
      <c r="D55" s="275" t="s">
        <v>3056</v>
      </c>
      <c r="E55" s="275" t="s">
        <v>2802</v>
      </c>
      <c r="F55" s="278">
        <v>29577</v>
      </c>
      <c r="G55" s="275" t="s">
        <v>2803</v>
      </c>
      <c r="H55" s="276">
        <v>13.45</v>
      </c>
      <c r="I55" s="276">
        <v>39.46</v>
      </c>
      <c r="J55" s="276">
        <v>14.01</v>
      </c>
      <c r="K55" s="276">
        <f t="shared" si="0"/>
        <v>-0.5600000000000005</v>
      </c>
      <c r="L55" s="335"/>
      <c r="O55" s="305"/>
      <c r="P55" s="305"/>
      <c r="Q55" s="305"/>
      <c r="R55" s="305"/>
      <c r="S55" s="305"/>
      <c r="T55" s="305"/>
      <c r="U55"/>
      <c r="V55"/>
      <c r="W55"/>
    </row>
    <row r="56" spans="1:23">
      <c r="A56" s="275" t="s">
        <v>2811</v>
      </c>
      <c r="B56" s="275" t="s">
        <v>4014</v>
      </c>
      <c r="C56" s="275" t="s">
        <v>3860</v>
      </c>
      <c r="D56" s="275" t="s">
        <v>3056</v>
      </c>
      <c r="E56" s="275" t="s">
        <v>2802</v>
      </c>
      <c r="F56" s="278">
        <v>29581</v>
      </c>
      <c r="G56" s="275" t="s">
        <v>2803</v>
      </c>
      <c r="H56" s="276">
        <v>14</v>
      </c>
      <c r="I56" s="276">
        <v>42.6</v>
      </c>
      <c r="J56" s="276">
        <v>14.01</v>
      </c>
      <c r="K56" s="276">
        <f t="shared" si="0"/>
        <v>-9.9999999999997868E-3</v>
      </c>
      <c r="L56" s="335"/>
      <c r="O56"/>
      <c r="P56"/>
      <c r="Q56"/>
      <c r="R56"/>
      <c r="S56"/>
      <c r="T56"/>
      <c r="U56"/>
      <c r="V56"/>
      <c r="W56"/>
    </row>
    <row r="57" spans="1:23">
      <c r="A57" s="275" t="s">
        <v>2844</v>
      </c>
      <c r="B57" s="275" t="s">
        <v>2848</v>
      </c>
      <c r="C57" s="275" t="s">
        <v>3859</v>
      </c>
      <c r="D57" s="275" t="s">
        <v>3056</v>
      </c>
      <c r="E57" s="275" t="s">
        <v>2802</v>
      </c>
      <c r="F57" s="278">
        <v>29585</v>
      </c>
      <c r="G57" s="275" t="s">
        <v>2803</v>
      </c>
      <c r="H57" s="276">
        <v>14.5</v>
      </c>
      <c r="I57" s="276">
        <v>36.25</v>
      </c>
      <c r="J57" s="276">
        <v>14.01</v>
      </c>
      <c r="K57" s="276">
        <f t="shared" si="0"/>
        <v>0.49000000000000021</v>
      </c>
      <c r="L57" s="335"/>
      <c r="O57"/>
      <c r="P57"/>
      <c r="Q57"/>
      <c r="R57"/>
      <c r="S57"/>
      <c r="T57"/>
      <c r="U57"/>
      <c r="V57"/>
      <c r="W57"/>
    </row>
    <row r="58" spans="1:23">
      <c r="A58" s="275" t="s">
        <v>2801</v>
      </c>
      <c r="B58" s="275" t="s">
        <v>2849</v>
      </c>
      <c r="C58" s="275" t="s">
        <v>3858</v>
      </c>
      <c r="D58" s="275" t="s">
        <v>3056</v>
      </c>
      <c r="E58" s="275" t="s">
        <v>2802</v>
      </c>
      <c r="F58" s="278">
        <v>29593</v>
      </c>
      <c r="G58" s="275" t="s">
        <v>2803</v>
      </c>
      <c r="H58" s="276">
        <v>14.3</v>
      </c>
      <c r="I58" s="276">
        <v>35.56</v>
      </c>
      <c r="J58" s="276">
        <v>14.01</v>
      </c>
      <c r="K58" s="276">
        <f t="shared" si="0"/>
        <v>0.29000000000000092</v>
      </c>
      <c r="L58" s="335"/>
      <c r="O58"/>
      <c r="P58"/>
      <c r="Q58"/>
      <c r="R58"/>
      <c r="S58"/>
      <c r="T58"/>
      <c r="U58"/>
      <c r="V58"/>
      <c r="W58"/>
    </row>
    <row r="59" spans="1:23">
      <c r="A59" s="275" t="s">
        <v>2850</v>
      </c>
      <c r="B59" s="275" t="s">
        <v>3361</v>
      </c>
      <c r="C59" s="275" t="s">
        <v>3857</v>
      </c>
      <c r="D59" s="275" t="s">
        <v>3056</v>
      </c>
      <c r="E59" s="275" t="s">
        <v>2802</v>
      </c>
      <c r="F59" s="278">
        <v>29598</v>
      </c>
      <c r="G59" s="275" t="s">
        <v>2803</v>
      </c>
      <c r="H59" s="276">
        <v>14.95</v>
      </c>
      <c r="I59" s="276">
        <v>37.590000000000003</v>
      </c>
      <c r="J59" s="276">
        <v>14.01</v>
      </c>
      <c r="K59" s="276">
        <f t="shared" si="0"/>
        <v>0.9399999999999995</v>
      </c>
      <c r="L59" s="335"/>
      <c r="O59"/>
      <c r="P59"/>
      <c r="Q59"/>
      <c r="R59"/>
      <c r="S59"/>
      <c r="T59"/>
      <c r="U59"/>
      <c r="V59"/>
      <c r="W59"/>
    </row>
    <row r="60" spans="1:23">
      <c r="A60" s="275" t="s">
        <v>2842</v>
      </c>
      <c r="B60" s="275" t="s">
        <v>2834</v>
      </c>
      <c r="C60" s="275" t="s">
        <v>3856</v>
      </c>
      <c r="D60" s="275" t="s">
        <v>3056</v>
      </c>
      <c r="E60" s="275" t="s">
        <v>2802</v>
      </c>
      <c r="F60" s="278">
        <v>29612</v>
      </c>
      <c r="G60" s="275" t="s">
        <v>2803</v>
      </c>
      <c r="H60" s="276">
        <v>15.25</v>
      </c>
      <c r="I60" s="276">
        <v>36.020000000000003</v>
      </c>
      <c r="J60" s="276">
        <v>14.66</v>
      </c>
      <c r="K60" s="276">
        <f t="shared" si="0"/>
        <v>0.58999999999999986</v>
      </c>
      <c r="L60" s="335"/>
      <c r="O60" s="305"/>
      <c r="P60" s="305"/>
      <c r="Q60" s="305"/>
      <c r="R60" s="305"/>
      <c r="S60" s="305"/>
      <c r="T60" s="305"/>
      <c r="U60" s="305"/>
      <c r="V60" s="305"/>
      <c r="W60" s="305"/>
    </row>
    <row r="61" spans="1:23">
      <c r="A61" s="275" t="s">
        <v>2851</v>
      </c>
      <c r="B61" s="275" t="s">
        <v>3105</v>
      </c>
      <c r="C61" s="275" t="s">
        <v>3855</v>
      </c>
      <c r="D61" s="275" t="s">
        <v>3056</v>
      </c>
      <c r="E61" s="275" t="s">
        <v>2802</v>
      </c>
      <c r="F61" s="278">
        <v>29616</v>
      </c>
      <c r="G61" s="275" t="s">
        <v>2803</v>
      </c>
      <c r="H61" s="276">
        <v>13.25</v>
      </c>
      <c r="I61" s="276">
        <v>34.4</v>
      </c>
      <c r="J61" s="276">
        <v>14.66</v>
      </c>
      <c r="K61" s="276">
        <f t="shared" si="0"/>
        <v>-1.4100000000000001</v>
      </c>
      <c r="L61" s="335"/>
      <c r="O61"/>
      <c r="P61"/>
      <c r="Q61"/>
      <c r="R61"/>
      <c r="S61"/>
      <c r="T61"/>
      <c r="U61"/>
      <c r="V61"/>
      <c r="W61"/>
    </row>
    <row r="62" spans="1:23">
      <c r="A62" s="275" t="s">
        <v>2808</v>
      </c>
      <c r="B62" s="275" t="s">
        <v>3409</v>
      </c>
      <c r="C62" s="275" t="s">
        <v>3854</v>
      </c>
      <c r="D62" s="275" t="s">
        <v>3056</v>
      </c>
      <c r="E62" s="275" t="s">
        <v>2802</v>
      </c>
      <c r="F62" s="278">
        <v>29628</v>
      </c>
      <c r="G62" s="275" t="s">
        <v>2803</v>
      </c>
      <c r="H62" s="276">
        <v>14.5</v>
      </c>
      <c r="I62" s="276">
        <v>48.94</v>
      </c>
      <c r="J62" s="276">
        <v>14.66</v>
      </c>
      <c r="K62" s="276">
        <f t="shared" si="0"/>
        <v>-0.16000000000000014</v>
      </c>
      <c r="L62" s="335"/>
      <c r="O62"/>
      <c r="P62"/>
      <c r="Q62"/>
      <c r="R62"/>
      <c r="S62"/>
      <c r="T62"/>
      <c r="U62"/>
      <c r="V62"/>
      <c r="W62"/>
    </row>
    <row r="63" spans="1:23">
      <c r="A63" s="275" t="s">
        <v>2808</v>
      </c>
      <c r="B63" s="275" t="s">
        <v>3129</v>
      </c>
      <c r="C63" s="275" t="s">
        <v>3853</v>
      </c>
      <c r="D63" s="275" t="s">
        <v>3056</v>
      </c>
      <c r="E63" s="275" t="s">
        <v>2802</v>
      </c>
      <c r="F63" s="278">
        <v>29637</v>
      </c>
      <c r="G63" s="275" t="s">
        <v>2803</v>
      </c>
      <c r="H63" s="276">
        <v>14.5</v>
      </c>
      <c r="I63" s="276">
        <v>55.03</v>
      </c>
      <c r="J63" s="276">
        <v>14.27</v>
      </c>
      <c r="K63" s="276">
        <f t="shared" si="0"/>
        <v>0.23000000000000043</v>
      </c>
      <c r="L63" s="335"/>
      <c r="O63"/>
      <c r="P63"/>
      <c r="Q63"/>
      <c r="R63"/>
      <c r="S63"/>
      <c r="T63"/>
      <c r="U63"/>
      <c r="V63"/>
      <c r="W63"/>
    </row>
    <row r="64" spans="1:23">
      <c r="A64" s="275" t="s">
        <v>2811</v>
      </c>
      <c r="B64" s="275" t="s">
        <v>2812</v>
      </c>
      <c r="C64" s="275" t="s">
        <v>3852</v>
      </c>
      <c r="D64" s="275" t="s">
        <v>3056</v>
      </c>
      <c r="E64" s="275" t="s">
        <v>2802</v>
      </c>
      <c r="F64" s="278">
        <v>29657</v>
      </c>
      <c r="G64" s="275" t="s">
        <v>2803</v>
      </c>
      <c r="H64" s="276">
        <v>15.65</v>
      </c>
      <c r="I64" s="276">
        <v>39.5</v>
      </c>
      <c r="J64" s="276">
        <v>14.27</v>
      </c>
      <c r="K64" s="276">
        <f t="shared" si="0"/>
        <v>1.3800000000000008</v>
      </c>
      <c r="L64" s="335"/>
      <c r="O64"/>
      <c r="P64"/>
      <c r="Q64"/>
      <c r="R64"/>
      <c r="S64"/>
      <c r="T64"/>
      <c r="U64"/>
      <c r="V64"/>
      <c r="W64"/>
    </row>
    <row r="65" spans="1:23">
      <c r="A65" s="275" t="s">
        <v>2801</v>
      </c>
      <c r="B65" s="275" t="s">
        <v>2849</v>
      </c>
      <c r="C65" s="275" t="s">
        <v>3851</v>
      </c>
      <c r="D65" s="275" t="s">
        <v>3056</v>
      </c>
      <c r="E65" s="275" t="s">
        <v>2802</v>
      </c>
      <c r="F65" s="278">
        <v>29670</v>
      </c>
      <c r="G65" s="275" t="s">
        <v>2803</v>
      </c>
      <c r="H65" s="276">
        <v>15.3</v>
      </c>
      <c r="I65" s="276">
        <v>37.6</v>
      </c>
      <c r="J65" s="276">
        <v>14.68</v>
      </c>
      <c r="K65" s="276">
        <f t="shared" si="0"/>
        <v>0.62000000000000099</v>
      </c>
      <c r="L65" s="335"/>
      <c r="O65"/>
      <c r="P65"/>
      <c r="Q65"/>
      <c r="R65"/>
      <c r="S65"/>
      <c r="T65"/>
      <c r="U65"/>
      <c r="V65"/>
      <c r="W65"/>
    </row>
    <row r="66" spans="1:23">
      <c r="A66" s="275" t="s">
        <v>2838</v>
      </c>
      <c r="B66" s="275" t="s">
        <v>2954</v>
      </c>
      <c r="C66" s="275" t="s">
        <v>3850</v>
      </c>
      <c r="D66" s="275" t="s">
        <v>3056</v>
      </c>
      <c r="E66" s="275" t="s">
        <v>2802</v>
      </c>
      <c r="F66" s="278">
        <v>29685</v>
      </c>
      <c r="G66" s="275" t="s">
        <v>2803</v>
      </c>
      <c r="H66" s="276">
        <v>15</v>
      </c>
      <c r="I66" s="276">
        <v>30.16</v>
      </c>
      <c r="J66" s="276">
        <v>14.68</v>
      </c>
      <c r="K66" s="276">
        <f t="shared" si="0"/>
        <v>0.32000000000000028</v>
      </c>
      <c r="L66" s="335"/>
    </row>
    <row r="67" spans="1:23">
      <c r="A67" s="275" t="s">
        <v>2842</v>
      </c>
      <c r="B67" s="275" t="s">
        <v>3769</v>
      </c>
      <c r="C67" s="275" t="s">
        <v>3848</v>
      </c>
      <c r="D67" s="275" t="s">
        <v>3056</v>
      </c>
      <c r="E67" s="275" t="s">
        <v>2802</v>
      </c>
      <c r="F67" s="278">
        <v>29705</v>
      </c>
      <c r="G67" s="275" t="s">
        <v>2803</v>
      </c>
      <c r="H67" s="276">
        <v>14.25</v>
      </c>
      <c r="I67" s="276">
        <v>37.17</v>
      </c>
      <c r="J67" s="276">
        <v>15.13</v>
      </c>
      <c r="K67" s="276">
        <f t="shared" si="0"/>
        <v>-0.88000000000000078</v>
      </c>
      <c r="L67" s="335"/>
    </row>
    <row r="68" spans="1:23">
      <c r="A68" s="275" t="s">
        <v>2846</v>
      </c>
      <c r="B68" s="275" t="s">
        <v>4022</v>
      </c>
      <c r="C68" s="275" t="s">
        <v>3849</v>
      </c>
      <c r="D68" s="275" t="s">
        <v>3056</v>
      </c>
      <c r="E68" s="275" t="s">
        <v>2802</v>
      </c>
      <c r="F68" s="278">
        <v>29705</v>
      </c>
      <c r="G68" s="275" t="s">
        <v>2803</v>
      </c>
      <c r="H68" s="276">
        <v>13.5</v>
      </c>
      <c r="I68" s="276">
        <v>46.11</v>
      </c>
      <c r="J68" s="276">
        <v>15.13</v>
      </c>
      <c r="K68" s="276">
        <f t="shared" si="0"/>
        <v>-1.6300000000000008</v>
      </c>
      <c r="L68" s="335"/>
    </row>
    <row r="69" spans="1:23">
      <c r="A69" s="275" t="s">
        <v>2824</v>
      </c>
      <c r="B69" s="275" t="s">
        <v>3094</v>
      </c>
      <c r="C69" s="275" t="s">
        <v>3846</v>
      </c>
      <c r="D69" s="275" t="s">
        <v>3056</v>
      </c>
      <c r="E69" s="275" t="s">
        <v>2802</v>
      </c>
      <c r="F69" s="278">
        <v>29706</v>
      </c>
      <c r="G69" s="275" t="s">
        <v>2803</v>
      </c>
      <c r="H69" s="276">
        <v>15</v>
      </c>
      <c r="I69" s="276" t="s">
        <v>1447</v>
      </c>
      <c r="J69" s="276">
        <v>15.13</v>
      </c>
      <c r="K69" s="276">
        <f t="shared" si="0"/>
        <v>-0.13000000000000078</v>
      </c>
      <c r="L69" s="335"/>
    </row>
    <row r="70" spans="1:23">
      <c r="A70" s="275" t="s">
        <v>2816</v>
      </c>
      <c r="B70" s="275" t="s">
        <v>2852</v>
      </c>
      <c r="C70" s="275" t="s">
        <v>3847</v>
      </c>
      <c r="D70" s="275" t="s">
        <v>3056</v>
      </c>
      <c r="E70" s="275" t="s">
        <v>2802</v>
      </c>
      <c r="F70" s="278">
        <v>29706</v>
      </c>
      <c r="G70" s="275" t="s">
        <v>2803</v>
      </c>
      <c r="H70" s="276">
        <v>13.6</v>
      </c>
      <c r="I70" s="276">
        <v>34.56</v>
      </c>
      <c r="J70" s="276">
        <v>15.13</v>
      </c>
      <c r="K70" s="276">
        <f t="shared" ref="K70:K133" si="1">H70-J70</f>
        <v>-1.5300000000000011</v>
      </c>
      <c r="L70" s="335"/>
    </row>
    <row r="71" spans="1:23">
      <c r="A71" s="275" t="s">
        <v>2809</v>
      </c>
      <c r="B71" s="275" t="s">
        <v>2853</v>
      </c>
      <c r="C71" s="275" t="s">
        <v>3845</v>
      </c>
      <c r="D71" s="275" t="s">
        <v>3056</v>
      </c>
      <c r="E71" s="275" t="s">
        <v>2802</v>
      </c>
      <c r="F71" s="278">
        <v>29727</v>
      </c>
      <c r="G71" s="275" t="s">
        <v>2803</v>
      </c>
      <c r="H71" s="276">
        <v>14</v>
      </c>
      <c r="I71" s="276">
        <v>38.200000000000003</v>
      </c>
      <c r="J71" s="276">
        <v>15.25</v>
      </c>
      <c r="K71" s="276">
        <f t="shared" si="1"/>
        <v>-1.25</v>
      </c>
      <c r="L71" s="335"/>
    </row>
    <row r="72" spans="1:23">
      <c r="A72" s="275" t="s">
        <v>2801</v>
      </c>
      <c r="B72" s="275" t="s">
        <v>2817</v>
      </c>
      <c r="C72" s="275" t="s">
        <v>3844</v>
      </c>
      <c r="D72" s="275" t="s">
        <v>3056</v>
      </c>
      <c r="E72" s="275" t="s">
        <v>2802</v>
      </c>
      <c r="F72" s="278">
        <v>29740</v>
      </c>
      <c r="G72" s="275" t="s">
        <v>2803</v>
      </c>
      <c r="H72" s="276">
        <v>14.67</v>
      </c>
      <c r="I72" s="276">
        <v>35.799999999999997</v>
      </c>
      <c r="J72" s="276">
        <v>15.25</v>
      </c>
      <c r="K72" s="276">
        <f t="shared" si="1"/>
        <v>-0.58000000000000007</v>
      </c>
      <c r="L72" s="335"/>
    </row>
    <row r="73" spans="1:23">
      <c r="A73" s="275" t="s">
        <v>2821</v>
      </c>
      <c r="B73" s="275" t="s">
        <v>3073</v>
      </c>
      <c r="C73" s="275" t="s">
        <v>3843</v>
      </c>
      <c r="D73" s="275" t="s">
        <v>3056</v>
      </c>
      <c r="E73" s="275" t="s">
        <v>2802</v>
      </c>
      <c r="F73" s="278">
        <v>29759</v>
      </c>
      <c r="G73" s="275" t="s">
        <v>2803</v>
      </c>
      <c r="H73" s="276">
        <v>16</v>
      </c>
      <c r="I73" s="276">
        <v>35.520000000000003</v>
      </c>
      <c r="J73" s="276">
        <v>16.12</v>
      </c>
      <c r="K73" s="276">
        <f t="shared" si="1"/>
        <v>-0.12000000000000099</v>
      </c>
      <c r="L73" s="335"/>
    </row>
    <row r="74" spans="1:23">
      <c r="A74" s="275" t="s">
        <v>2809</v>
      </c>
      <c r="B74" s="275" t="s">
        <v>2854</v>
      </c>
      <c r="C74" s="275" t="s">
        <v>3842</v>
      </c>
      <c r="D74" s="275" t="s">
        <v>3056</v>
      </c>
      <c r="E74" s="275" t="s">
        <v>2802</v>
      </c>
      <c r="F74" s="278">
        <v>29762</v>
      </c>
      <c r="G74" s="275" t="s">
        <v>2803</v>
      </c>
      <c r="H74" s="276">
        <v>14.75</v>
      </c>
      <c r="I74" s="276">
        <v>39.4</v>
      </c>
      <c r="J74" s="276">
        <v>16.12</v>
      </c>
      <c r="K74" s="276">
        <f t="shared" si="1"/>
        <v>-1.370000000000001</v>
      </c>
      <c r="L74" s="335"/>
    </row>
    <row r="75" spans="1:23">
      <c r="A75" s="275" t="s">
        <v>3392</v>
      </c>
      <c r="B75" s="275" t="s">
        <v>3059</v>
      </c>
      <c r="C75" s="275" t="s">
        <v>3841</v>
      </c>
      <c r="D75" s="275" t="s">
        <v>3056</v>
      </c>
      <c r="E75" s="275" t="s">
        <v>2802</v>
      </c>
      <c r="F75" s="278">
        <v>29769</v>
      </c>
      <c r="G75" s="275" t="s">
        <v>2803</v>
      </c>
      <c r="H75" s="276">
        <v>14</v>
      </c>
      <c r="I75" s="276">
        <v>37.19</v>
      </c>
      <c r="J75" s="276">
        <v>16.12</v>
      </c>
      <c r="K75" s="276">
        <f t="shared" si="1"/>
        <v>-2.120000000000001</v>
      </c>
      <c r="L75" s="335"/>
    </row>
    <row r="76" spans="1:23">
      <c r="A76" s="275" t="s">
        <v>2811</v>
      </c>
      <c r="B76" s="275" t="s">
        <v>4017</v>
      </c>
      <c r="C76" s="275" t="s">
        <v>3840</v>
      </c>
      <c r="D76" s="275" t="s">
        <v>3056</v>
      </c>
      <c r="E76" s="275" t="s">
        <v>2802</v>
      </c>
      <c r="F76" s="278">
        <v>29777</v>
      </c>
      <c r="G76" s="275" t="s">
        <v>2803</v>
      </c>
      <c r="H76" s="276">
        <v>16</v>
      </c>
      <c r="I76" s="276">
        <v>40.15</v>
      </c>
      <c r="J76" s="276">
        <v>16.12</v>
      </c>
      <c r="K76" s="276">
        <f t="shared" si="1"/>
        <v>-0.12000000000000099</v>
      </c>
      <c r="L76" s="335"/>
    </row>
    <row r="77" spans="1:23">
      <c r="A77" s="275" t="s">
        <v>2811</v>
      </c>
      <c r="B77" s="275" t="s">
        <v>2855</v>
      </c>
      <c r="C77" s="275" t="s">
        <v>3839</v>
      </c>
      <c r="D77" s="275" t="s">
        <v>3056</v>
      </c>
      <c r="E77" s="275" t="s">
        <v>2802</v>
      </c>
      <c r="F77" s="278">
        <v>29781</v>
      </c>
      <c r="G77" s="275" t="s">
        <v>2803</v>
      </c>
      <c r="H77" s="276">
        <v>16.899999999999999</v>
      </c>
      <c r="I77" s="276">
        <v>38.04</v>
      </c>
      <c r="J77" s="276">
        <v>16.12</v>
      </c>
      <c r="K77" s="276">
        <f t="shared" si="1"/>
        <v>0.77999999999999758</v>
      </c>
      <c r="L77" s="335"/>
    </row>
    <row r="78" spans="1:23">
      <c r="A78" s="275" t="s">
        <v>2856</v>
      </c>
      <c r="B78" s="275" t="s">
        <v>3292</v>
      </c>
      <c r="C78" s="275" t="s">
        <v>3838</v>
      </c>
      <c r="D78" s="275" t="s">
        <v>3056</v>
      </c>
      <c r="E78" s="275" t="s">
        <v>2802</v>
      </c>
      <c r="F78" s="278">
        <v>29788</v>
      </c>
      <c r="G78" s="275" t="s">
        <v>2803</v>
      </c>
      <c r="H78" s="276">
        <v>15.78</v>
      </c>
      <c r="I78" s="276">
        <v>54</v>
      </c>
      <c r="J78" s="276">
        <v>15.79</v>
      </c>
      <c r="K78" s="276">
        <f t="shared" si="1"/>
        <v>-9.9999999999997868E-3</v>
      </c>
      <c r="L78" s="335"/>
    </row>
    <row r="79" spans="1:23">
      <c r="A79" s="275" t="s">
        <v>2858</v>
      </c>
      <c r="B79" s="275" t="s">
        <v>2859</v>
      </c>
      <c r="C79" s="275" t="s">
        <v>3836</v>
      </c>
      <c r="D79" s="275" t="s">
        <v>3056</v>
      </c>
      <c r="E79" s="275" t="s">
        <v>2802</v>
      </c>
      <c r="F79" s="278">
        <v>29794</v>
      </c>
      <c r="G79" s="275" t="s">
        <v>2803</v>
      </c>
      <c r="H79" s="276">
        <v>15.5</v>
      </c>
      <c r="I79" s="276">
        <v>47.5</v>
      </c>
      <c r="J79" s="276">
        <v>15.79</v>
      </c>
      <c r="K79" s="276">
        <f t="shared" si="1"/>
        <v>-0.28999999999999915</v>
      </c>
      <c r="L79" s="335"/>
    </row>
    <row r="80" spans="1:23">
      <c r="A80" s="275" t="s">
        <v>2857</v>
      </c>
      <c r="B80" s="275" t="s">
        <v>4023</v>
      </c>
      <c r="C80" s="275" t="s">
        <v>3837</v>
      </c>
      <c r="D80" s="275" t="s">
        <v>3056</v>
      </c>
      <c r="E80" s="275" t="s">
        <v>2802</v>
      </c>
      <c r="F80" s="278">
        <v>29794</v>
      </c>
      <c r="G80" s="275" t="s">
        <v>2803</v>
      </c>
      <c r="H80" s="276">
        <v>13.77</v>
      </c>
      <c r="I80" s="276">
        <v>41.46</v>
      </c>
      <c r="J80" s="276">
        <v>15.79</v>
      </c>
      <c r="K80" s="276">
        <f t="shared" si="1"/>
        <v>-2.0199999999999996</v>
      </c>
      <c r="L80" s="335"/>
    </row>
    <row r="81" spans="1:12">
      <c r="A81" s="275" t="s">
        <v>2816</v>
      </c>
      <c r="B81" s="275" t="s">
        <v>2817</v>
      </c>
      <c r="C81" s="275" t="s">
        <v>3834</v>
      </c>
      <c r="D81" s="275" t="s">
        <v>3056</v>
      </c>
      <c r="E81" s="275" t="s">
        <v>2802</v>
      </c>
      <c r="F81" s="278">
        <v>29798</v>
      </c>
      <c r="G81" s="275" t="s">
        <v>2803</v>
      </c>
      <c r="H81" s="276">
        <v>14.2</v>
      </c>
      <c r="I81" s="276">
        <v>40.01</v>
      </c>
      <c r="J81" s="276">
        <v>15.79</v>
      </c>
      <c r="K81" s="276">
        <f t="shared" si="1"/>
        <v>-1.5899999999999999</v>
      </c>
      <c r="L81" s="335"/>
    </row>
    <row r="82" spans="1:12">
      <c r="A82" s="275" t="s">
        <v>2816</v>
      </c>
      <c r="B82" s="275" t="s">
        <v>2817</v>
      </c>
      <c r="C82" s="275" t="s">
        <v>3835</v>
      </c>
      <c r="D82" s="275" t="s">
        <v>3056</v>
      </c>
      <c r="E82" s="275" t="s">
        <v>2802</v>
      </c>
      <c r="F82" s="278">
        <v>29798</v>
      </c>
      <c r="G82" s="275" t="s">
        <v>2803</v>
      </c>
      <c r="H82" s="276">
        <v>13.5</v>
      </c>
      <c r="I82" s="276">
        <v>39.4</v>
      </c>
      <c r="J82" s="276">
        <v>15.79</v>
      </c>
      <c r="K82" s="276">
        <f t="shared" si="1"/>
        <v>-2.2899999999999991</v>
      </c>
      <c r="L82" s="335"/>
    </row>
    <row r="83" spans="1:12">
      <c r="A83" s="275" t="s">
        <v>2818</v>
      </c>
      <c r="B83" s="275" t="s">
        <v>4015</v>
      </c>
      <c r="C83" s="275" t="s">
        <v>3831</v>
      </c>
      <c r="D83" s="275" t="s">
        <v>3056</v>
      </c>
      <c r="E83" s="275" t="s">
        <v>2802</v>
      </c>
      <c r="F83" s="278">
        <v>29810</v>
      </c>
      <c r="G83" s="275" t="s">
        <v>2803</v>
      </c>
      <c r="H83" s="276">
        <v>14.41</v>
      </c>
      <c r="I83" s="276">
        <v>57.6</v>
      </c>
      <c r="J83" s="276">
        <v>15.79</v>
      </c>
      <c r="K83" s="276">
        <f t="shared" si="1"/>
        <v>-1.379999999999999</v>
      </c>
      <c r="L83" s="335"/>
    </row>
    <row r="84" spans="1:12">
      <c r="A84" s="275" t="s">
        <v>2818</v>
      </c>
      <c r="B84" s="275" t="s">
        <v>4024</v>
      </c>
      <c r="C84" s="275" t="s">
        <v>3833</v>
      </c>
      <c r="D84" s="275" t="s">
        <v>3056</v>
      </c>
      <c r="E84" s="275" t="s">
        <v>2802</v>
      </c>
      <c r="F84" s="278">
        <v>29810</v>
      </c>
      <c r="G84" s="275" t="s">
        <v>2803</v>
      </c>
      <c r="H84" s="276">
        <v>13.72</v>
      </c>
      <c r="I84" s="276">
        <v>48.32</v>
      </c>
      <c r="J84" s="276">
        <v>15.79</v>
      </c>
      <c r="K84" s="276">
        <f t="shared" si="1"/>
        <v>-2.0699999999999985</v>
      </c>
      <c r="L84" s="335"/>
    </row>
    <row r="85" spans="1:12">
      <c r="A85" s="275" t="s">
        <v>2818</v>
      </c>
      <c r="B85" s="275" t="s">
        <v>4024</v>
      </c>
      <c r="C85" s="275" t="s">
        <v>3832</v>
      </c>
      <c r="D85" s="275" t="s">
        <v>3056</v>
      </c>
      <c r="E85" s="275" t="s">
        <v>2802</v>
      </c>
      <c r="F85" s="278">
        <v>29810</v>
      </c>
      <c r="G85" s="275" t="s">
        <v>2803</v>
      </c>
      <c r="H85" s="276">
        <v>13.72</v>
      </c>
      <c r="I85" s="276">
        <v>48.32</v>
      </c>
      <c r="J85" s="276">
        <v>15.79</v>
      </c>
      <c r="K85" s="276">
        <f t="shared" si="1"/>
        <v>-2.0699999999999985</v>
      </c>
      <c r="L85" s="335"/>
    </row>
    <row r="86" spans="1:12">
      <c r="A86" s="275" t="s">
        <v>2830</v>
      </c>
      <c r="B86" s="275" t="s">
        <v>4020</v>
      </c>
      <c r="C86" s="275" t="s">
        <v>3830</v>
      </c>
      <c r="D86" s="275" t="s">
        <v>3056</v>
      </c>
      <c r="E86" s="275" t="s">
        <v>2802</v>
      </c>
      <c r="F86" s="278">
        <v>29823</v>
      </c>
      <c r="G86" s="275" t="s">
        <v>2803</v>
      </c>
      <c r="H86" s="276">
        <v>15.45</v>
      </c>
      <c r="I86" s="276">
        <v>39.9</v>
      </c>
      <c r="J86" s="276">
        <v>16.07</v>
      </c>
      <c r="K86" s="276">
        <f t="shared" si="1"/>
        <v>-0.62000000000000099</v>
      </c>
      <c r="L86" s="335"/>
    </row>
    <row r="87" spans="1:12">
      <c r="A87" s="275" t="s">
        <v>2857</v>
      </c>
      <c r="B87" s="275" t="s">
        <v>3129</v>
      </c>
      <c r="C87" s="275" t="s">
        <v>3829</v>
      </c>
      <c r="D87" s="275" t="s">
        <v>3056</v>
      </c>
      <c r="E87" s="275" t="s">
        <v>2802</v>
      </c>
      <c r="F87" s="278">
        <v>29825</v>
      </c>
      <c r="G87" s="275" t="s">
        <v>2803</v>
      </c>
      <c r="H87" s="276">
        <v>14.43</v>
      </c>
      <c r="I87" s="276">
        <v>52.87</v>
      </c>
      <c r="J87" s="276">
        <v>16.07</v>
      </c>
      <c r="K87" s="276">
        <f t="shared" si="1"/>
        <v>-1.6400000000000006</v>
      </c>
      <c r="L87" s="335"/>
    </row>
    <row r="88" spans="1:12">
      <c r="A88" s="275" t="s">
        <v>2837</v>
      </c>
      <c r="B88" s="275" t="s">
        <v>2839</v>
      </c>
      <c r="C88" s="275" t="s">
        <v>3828</v>
      </c>
      <c r="D88" s="275" t="s">
        <v>3056</v>
      </c>
      <c r="E88" s="275" t="s">
        <v>2802</v>
      </c>
      <c r="F88" s="278">
        <v>29826</v>
      </c>
      <c r="G88" s="275" t="s">
        <v>2803</v>
      </c>
      <c r="H88" s="276">
        <v>15</v>
      </c>
      <c r="I88" s="276">
        <v>35.1</v>
      </c>
      <c r="J88" s="276">
        <v>16.07</v>
      </c>
      <c r="K88" s="276">
        <f t="shared" si="1"/>
        <v>-1.0700000000000003</v>
      </c>
      <c r="L88" s="335"/>
    </row>
    <row r="89" spans="1:12">
      <c r="A89" s="275" t="s">
        <v>2842</v>
      </c>
      <c r="B89" s="275" t="s">
        <v>2843</v>
      </c>
      <c r="C89" s="275" t="s">
        <v>3827</v>
      </c>
      <c r="D89" s="275" t="s">
        <v>3056</v>
      </c>
      <c r="E89" s="275" t="s">
        <v>2802</v>
      </c>
      <c r="F89" s="278">
        <v>29853</v>
      </c>
      <c r="G89" s="275" t="s">
        <v>2803</v>
      </c>
      <c r="H89" s="276">
        <v>16.25</v>
      </c>
      <c r="I89" s="276">
        <v>35</v>
      </c>
      <c r="J89" s="276">
        <v>16.45</v>
      </c>
      <c r="K89" s="276">
        <f t="shared" si="1"/>
        <v>-0.19999999999999929</v>
      </c>
      <c r="L89" s="335"/>
    </row>
    <row r="90" spans="1:12">
      <c r="A90" s="275" t="s">
        <v>2809</v>
      </c>
      <c r="B90" s="275" t="s">
        <v>4025</v>
      </c>
      <c r="C90" s="275" t="s">
        <v>3826</v>
      </c>
      <c r="D90" s="275" t="s">
        <v>3056</v>
      </c>
      <c r="E90" s="275" t="s">
        <v>2802</v>
      </c>
      <c r="F90" s="278">
        <v>29858</v>
      </c>
      <c r="G90" s="275" t="s">
        <v>2803</v>
      </c>
      <c r="H90" s="276">
        <v>14.5</v>
      </c>
      <c r="I90" s="276">
        <v>38</v>
      </c>
      <c r="J90" s="276">
        <v>16.45</v>
      </c>
      <c r="K90" s="276">
        <f t="shared" si="1"/>
        <v>-1.9499999999999993</v>
      </c>
      <c r="L90" s="335"/>
    </row>
    <row r="91" spans="1:12">
      <c r="A91" s="275" t="s">
        <v>2818</v>
      </c>
      <c r="B91" s="275" t="s">
        <v>4374</v>
      </c>
      <c r="C91" s="275" t="s">
        <v>3825</v>
      </c>
      <c r="D91" s="275" t="s">
        <v>3056</v>
      </c>
      <c r="E91" s="275" t="s">
        <v>2802</v>
      </c>
      <c r="F91" s="278">
        <v>29859</v>
      </c>
      <c r="G91" s="275" t="s">
        <v>2803</v>
      </c>
      <c r="H91" s="276">
        <v>15.94</v>
      </c>
      <c r="I91" s="276">
        <v>36.74</v>
      </c>
      <c r="J91" s="276">
        <v>16.45</v>
      </c>
      <c r="K91" s="276">
        <f t="shared" si="1"/>
        <v>-0.50999999999999979</v>
      </c>
      <c r="L91" s="335"/>
    </row>
    <row r="92" spans="1:12">
      <c r="A92" s="275" t="s">
        <v>2860</v>
      </c>
      <c r="B92" s="275" t="s">
        <v>3063</v>
      </c>
      <c r="C92" s="275" t="s">
        <v>3824</v>
      </c>
      <c r="D92" s="275" t="s">
        <v>3056</v>
      </c>
      <c r="E92" s="275" t="s">
        <v>2802</v>
      </c>
      <c r="F92" s="278">
        <v>29861</v>
      </c>
      <c r="G92" s="275" t="s">
        <v>2803</v>
      </c>
      <c r="H92" s="276">
        <v>14.8</v>
      </c>
      <c r="I92" s="276">
        <v>38.58</v>
      </c>
      <c r="J92" s="276">
        <v>16.45</v>
      </c>
      <c r="K92" s="276">
        <f t="shared" si="1"/>
        <v>-1.6499999999999986</v>
      </c>
      <c r="L92" s="335"/>
    </row>
    <row r="93" spans="1:12">
      <c r="A93" s="275" t="s">
        <v>2861</v>
      </c>
      <c r="B93" s="275" t="s">
        <v>3328</v>
      </c>
      <c r="C93" s="275" t="s">
        <v>3823</v>
      </c>
      <c r="D93" s="275" t="s">
        <v>3056</v>
      </c>
      <c r="E93" s="275" t="s">
        <v>2802</v>
      </c>
      <c r="F93" s="278">
        <v>29871</v>
      </c>
      <c r="G93" s="275" t="s">
        <v>2803</v>
      </c>
      <c r="H93" s="276">
        <v>16.25</v>
      </c>
      <c r="I93" s="276">
        <v>50.14</v>
      </c>
      <c r="J93" s="276">
        <v>16.45</v>
      </c>
      <c r="K93" s="276">
        <f t="shared" si="1"/>
        <v>-0.19999999999999929</v>
      </c>
      <c r="L93" s="335"/>
    </row>
    <row r="94" spans="1:12">
      <c r="A94" s="275" t="s">
        <v>2811</v>
      </c>
      <c r="B94" s="275" t="s">
        <v>2832</v>
      </c>
      <c r="C94" s="275" t="s">
        <v>3820</v>
      </c>
      <c r="D94" s="275" t="s">
        <v>3056</v>
      </c>
      <c r="E94" s="275" t="s">
        <v>2802</v>
      </c>
      <c r="F94" s="278">
        <v>29879</v>
      </c>
      <c r="G94" s="275" t="s">
        <v>2803</v>
      </c>
      <c r="H94" s="276">
        <v>17</v>
      </c>
      <c r="I94" s="276">
        <v>39.659999999999997</v>
      </c>
      <c r="J94" s="276">
        <v>17.03</v>
      </c>
      <c r="K94" s="276">
        <f t="shared" si="1"/>
        <v>-3.0000000000001137E-2</v>
      </c>
      <c r="L94" s="335"/>
    </row>
    <row r="95" spans="1:12">
      <c r="A95" s="275" t="s">
        <v>2811</v>
      </c>
      <c r="B95" s="275" t="s">
        <v>3623</v>
      </c>
      <c r="C95" s="275" t="s">
        <v>3821</v>
      </c>
      <c r="D95" s="275" t="s">
        <v>3056</v>
      </c>
      <c r="E95" s="275" t="s">
        <v>2802</v>
      </c>
      <c r="F95" s="278">
        <v>29879</v>
      </c>
      <c r="G95" s="275" t="s">
        <v>2803</v>
      </c>
      <c r="H95" s="276">
        <v>16.5</v>
      </c>
      <c r="I95" s="276">
        <v>39.22</v>
      </c>
      <c r="J95" s="276">
        <v>17.03</v>
      </c>
      <c r="K95" s="276">
        <f t="shared" si="1"/>
        <v>-0.53000000000000114</v>
      </c>
      <c r="L95" s="335"/>
    </row>
    <row r="96" spans="1:12">
      <c r="A96" s="275" t="s">
        <v>2833</v>
      </c>
      <c r="B96" s="275" t="s">
        <v>2834</v>
      </c>
      <c r="C96" s="275" t="s">
        <v>3822</v>
      </c>
      <c r="D96" s="275" t="s">
        <v>3056</v>
      </c>
      <c r="E96" s="275" t="s">
        <v>2802</v>
      </c>
      <c r="F96" s="278">
        <v>29879</v>
      </c>
      <c r="G96" s="275" t="s">
        <v>2803</v>
      </c>
      <c r="H96" s="276">
        <v>15.25</v>
      </c>
      <c r="I96" s="276">
        <v>40</v>
      </c>
      <c r="J96" s="276">
        <v>17.03</v>
      </c>
      <c r="K96" s="276">
        <f t="shared" si="1"/>
        <v>-1.7800000000000011</v>
      </c>
      <c r="L96" s="335"/>
    </row>
    <row r="97" spans="1:12">
      <c r="A97" s="275" t="s">
        <v>2838</v>
      </c>
      <c r="B97" s="275" t="s">
        <v>3129</v>
      </c>
      <c r="C97" s="275" t="s">
        <v>3819</v>
      </c>
      <c r="D97" s="275" t="s">
        <v>3056</v>
      </c>
      <c r="E97" s="275" t="s">
        <v>2802</v>
      </c>
      <c r="F97" s="278">
        <v>29885</v>
      </c>
      <c r="G97" s="275" t="s">
        <v>2803</v>
      </c>
      <c r="H97" s="276">
        <v>13.5</v>
      </c>
      <c r="I97" s="276">
        <v>55.33</v>
      </c>
      <c r="J97" s="276">
        <v>17.03</v>
      </c>
      <c r="K97" s="276">
        <f t="shared" si="1"/>
        <v>-3.5300000000000011</v>
      </c>
      <c r="L97" s="335"/>
    </row>
    <row r="98" spans="1:12">
      <c r="A98" s="275" t="s">
        <v>2824</v>
      </c>
      <c r="B98" s="275" t="s">
        <v>2825</v>
      </c>
      <c r="C98" s="275" t="s">
        <v>3818</v>
      </c>
      <c r="D98" s="275" t="s">
        <v>3056</v>
      </c>
      <c r="E98" s="275" t="s">
        <v>2802</v>
      </c>
      <c r="F98" s="278">
        <v>29888</v>
      </c>
      <c r="G98" s="275" t="s">
        <v>2803</v>
      </c>
      <c r="H98" s="276">
        <v>16.5</v>
      </c>
      <c r="I98" s="276">
        <v>40.35</v>
      </c>
      <c r="J98" s="276">
        <v>17.03</v>
      </c>
      <c r="K98" s="276">
        <f t="shared" si="1"/>
        <v>-0.53000000000000114</v>
      </c>
      <c r="L98" s="335"/>
    </row>
    <row r="99" spans="1:12">
      <c r="A99" s="275" t="s">
        <v>2813</v>
      </c>
      <c r="B99" s="275" t="s">
        <v>3385</v>
      </c>
      <c r="C99" s="275" t="s">
        <v>3817</v>
      </c>
      <c r="D99" s="275" t="s">
        <v>3056</v>
      </c>
      <c r="E99" s="275" t="s">
        <v>2802</v>
      </c>
      <c r="F99" s="278">
        <v>29894</v>
      </c>
      <c r="G99" s="275" t="s">
        <v>2803</v>
      </c>
      <c r="H99" s="276">
        <v>15.33</v>
      </c>
      <c r="I99" s="276">
        <v>32.630000000000003</v>
      </c>
      <c r="J99" s="276">
        <v>17.03</v>
      </c>
      <c r="K99" s="276">
        <f t="shared" si="1"/>
        <v>-1.7000000000000011</v>
      </c>
      <c r="L99" s="335"/>
    </row>
    <row r="100" spans="1:12">
      <c r="A100" s="275" t="s">
        <v>2816</v>
      </c>
      <c r="B100" s="275" t="s">
        <v>2817</v>
      </c>
      <c r="C100" s="275" t="s">
        <v>3816</v>
      </c>
      <c r="D100" s="275" t="s">
        <v>3056</v>
      </c>
      <c r="E100" s="275" t="s">
        <v>2802</v>
      </c>
      <c r="F100" s="278">
        <v>29896</v>
      </c>
      <c r="G100" s="275" t="s">
        <v>2803</v>
      </c>
      <c r="H100" s="276">
        <v>15.17</v>
      </c>
      <c r="I100" s="276">
        <v>37.1</v>
      </c>
      <c r="J100" s="276">
        <v>17.03</v>
      </c>
      <c r="K100" s="276">
        <f t="shared" si="1"/>
        <v>-1.8600000000000012</v>
      </c>
      <c r="L100" s="335"/>
    </row>
    <row r="101" spans="1:12">
      <c r="A101" s="275" t="s">
        <v>2830</v>
      </c>
      <c r="B101" s="275" t="s">
        <v>4018</v>
      </c>
      <c r="C101" s="275" t="s">
        <v>3814</v>
      </c>
      <c r="D101" s="275" t="s">
        <v>3056</v>
      </c>
      <c r="E101" s="275" t="s">
        <v>2802</v>
      </c>
      <c r="F101" s="278">
        <v>29915</v>
      </c>
      <c r="G101" s="275" t="s">
        <v>2803</v>
      </c>
      <c r="H101" s="276">
        <v>16.100000000000001</v>
      </c>
      <c r="I101" s="276">
        <v>33.520000000000003</v>
      </c>
      <c r="J101" s="276">
        <v>17.260000000000002</v>
      </c>
      <c r="K101" s="276">
        <f t="shared" si="1"/>
        <v>-1.1600000000000001</v>
      </c>
      <c r="L101" s="335"/>
    </row>
    <row r="102" spans="1:12">
      <c r="A102" s="275" t="s">
        <v>2830</v>
      </c>
      <c r="B102" s="275" t="s">
        <v>4018</v>
      </c>
      <c r="C102" s="275" t="s">
        <v>3813</v>
      </c>
      <c r="D102" s="275" t="s">
        <v>3056</v>
      </c>
      <c r="E102" s="275" t="s">
        <v>2802</v>
      </c>
      <c r="F102" s="278">
        <v>29915</v>
      </c>
      <c r="G102" s="275" t="s">
        <v>2803</v>
      </c>
      <c r="H102" s="276">
        <v>16.100000000000001</v>
      </c>
      <c r="I102" s="276">
        <v>36.74</v>
      </c>
      <c r="J102" s="276">
        <v>17.260000000000002</v>
      </c>
      <c r="K102" s="276">
        <f t="shared" si="1"/>
        <v>-1.1600000000000001</v>
      </c>
      <c r="L102" s="335"/>
    </row>
    <row r="103" spans="1:12">
      <c r="A103" s="275" t="s">
        <v>2842</v>
      </c>
      <c r="B103" s="275" t="s">
        <v>2834</v>
      </c>
      <c r="C103" s="275" t="s">
        <v>3815</v>
      </c>
      <c r="D103" s="275" t="s">
        <v>3056</v>
      </c>
      <c r="E103" s="275" t="s">
        <v>2802</v>
      </c>
      <c r="F103" s="278">
        <v>29915</v>
      </c>
      <c r="G103" s="275" t="s">
        <v>2803</v>
      </c>
      <c r="H103" s="276">
        <v>15.25</v>
      </c>
      <c r="I103" s="276">
        <v>38</v>
      </c>
      <c r="J103" s="276">
        <v>17.260000000000002</v>
      </c>
      <c r="K103" s="276">
        <f t="shared" si="1"/>
        <v>-2.0100000000000016</v>
      </c>
      <c r="L103" s="335"/>
    </row>
    <row r="104" spans="1:12">
      <c r="A104" s="275" t="s">
        <v>2824</v>
      </c>
      <c r="B104" s="275" t="s">
        <v>3094</v>
      </c>
      <c r="C104" s="275" t="s">
        <v>3812</v>
      </c>
      <c r="D104" s="275" t="s">
        <v>3056</v>
      </c>
      <c r="E104" s="275" t="s">
        <v>2802</v>
      </c>
      <c r="F104" s="278">
        <v>29920</v>
      </c>
      <c r="G104" s="275" t="s">
        <v>2803</v>
      </c>
      <c r="H104" s="276">
        <v>16.75</v>
      </c>
      <c r="I104" s="276">
        <v>35.6</v>
      </c>
      <c r="J104" s="276">
        <v>17.260000000000002</v>
      </c>
      <c r="K104" s="276">
        <f t="shared" si="1"/>
        <v>-0.51000000000000156</v>
      </c>
      <c r="L104" s="335"/>
    </row>
    <row r="105" spans="1:12">
      <c r="A105" s="275" t="s">
        <v>2811</v>
      </c>
      <c r="B105" s="275" t="s">
        <v>2815</v>
      </c>
      <c r="C105" s="275" t="s">
        <v>3810</v>
      </c>
      <c r="D105" s="275" t="s">
        <v>3056</v>
      </c>
      <c r="E105" s="275" t="s">
        <v>2802</v>
      </c>
      <c r="F105" s="278">
        <v>29921</v>
      </c>
      <c r="G105" s="275" t="s">
        <v>2803</v>
      </c>
      <c r="H105" s="276">
        <v>16</v>
      </c>
      <c r="I105" s="276">
        <v>43.11</v>
      </c>
      <c r="J105" s="276">
        <v>17.260000000000002</v>
      </c>
      <c r="K105" s="276">
        <f t="shared" si="1"/>
        <v>-1.2600000000000016</v>
      </c>
      <c r="L105" s="335"/>
    </row>
    <row r="106" spans="1:12">
      <c r="A106" s="275" t="s">
        <v>2822</v>
      </c>
      <c r="B106" s="275" t="s">
        <v>2823</v>
      </c>
      <c r="C106" s="275" t="s">
        <v>3811</v>
      </c>
      <c r="D106" s="275" t="s">
        <v>3056</v>
      </c>
      <c r="E106" s="275" t="s">
        <v>2802</v>
      </c>
      <c r="F106" s="278">
        <v>29921</v>
      </c>
      <c r="G106" s="275" t="s">
        <v>2803</v>
      </c>
      <c r="H106" s="276">
        <v>15.7</v>
      </c>
      <c r="I106" s="276">
        <v>39.090000000000003</v>
      </c>
      <c r="J106" s="276">
        <v>17.260000000000002</v>
      </c>
      <c r="K106" s="276">
        <f t="shared" si="1"/>
        <v>-1.5600000000000023</v>
      </c>
      <c r="L106" s="335"/>
    </row>
    <row r="107" spans="1:12">
      <c r="A107" s="275" t="s">
        <v>2862</v>
      </c>
      <c r="B107" s="275" t="s">
        <v>2863</v>
      </c>
      <c r="C107" s="275" t="s">
        <v>3809</v>
      </c>
      <c r="D107" s="275" t="s">
        <v>3056</v>
      </c>
      <c r="E107" s="275" t="s">
        <v>2802</v>
      </c>
      <c r="F107" s="278">
        <v>29935</v>
      </c>
      <c r="G107" s="275" t="s">
        <v>2803</v>
      </c>
      <c r="H107" s="276">
        <v>15.81</v>
      </c>
      <c r="I107" s="276">
        <v>36.06</v>
      </c>
      <c r="J107" s="276">
        <v>16.420000000000002</v>
      </c>
      <c r="K107" s="276">
        <f t="shared" si="1"/>
        <v>-0.61000000000000121</v>
      </c>
      <c r="L107" s="335"/>
    </row>
    <row r="108" spans="1:12">
      <c r="A108" s="275" t="s">
        <v>2806</v>
      </c>
      <c r="B108" s="275" t="s">
        <v>3081</v>
      </c>
      <c r="C108" s="275" t="s">
        <v>3807</v>
      </c>
      <c r="D108" s="275" t="s">
        <v>3056</v>
      </c>
      <c r="E108" s="275" t="s">
        <v>2802</v>
      </c>
      <c r="F108" s="278">
        <v>29942</v>
      </c>
      <c r="G108" s="275" t="s">
        <v>2803</v>
      </c>
      <c r="H108" s="276">
        <v>16</v>
      </c>
      <c r="I108" s="276">
        <v>38.369999999999997</v>
      </c>
      <c r="J108" s="276">
        <v>16.420000000000002</v>
      </c>
      <c r="K108" s="276">
        <f t="shared" si="1"/>
        <v>-0.42000000000000171</v>
      </c>
      <c r="L108" s="335"/>
    </row>
    <row r="109" spans="1:12">
      <c r="A109" s="275" t="s">
        <v>2811</v>
      </c>
      <c r="B109" s="275" t="s">
        <v>4014</v>
      </c>
      <c r="C109" s="275" t="s">
        <v>3808</v>
      </c>
      <c r="D109" s="275" t="s">
        <v>3056</v>
      </c>
      <c r="E109" s="275" t="s">
        <v>2802</v>
      </c>
      <c r="F109" s="278">
        <v>29942</v>
      </c>
      <c r="G109" s="275" t="s">
        <v>2803</v>
      </c>
      <c r="H109" s="276">
        <v>15.7</v>
      </c>
      <c r="I109" s="276">
        <v>43</v>
      </c>
      <c r="J109" s="276">
        <v>16.420000000000002</v>
      </c>
      <c r="K109" s="276">
        <f t="shared" si="1"/>
        <v>-0.72000000000000242</v>
      </c>
      <c r="L109" s="335"/>
    </row>
    <row r="110" spans="1:12">
      <c r="A110" s="275" t="s">
        <v>2844</v>
      </c>
      <c r="B110" s="275" t="s">
        <v>2848</v>
      </c>
      <c r="C110" s="275" t="s">
        <v>3805</v>
      </c>
      <c r="D110" s="275" t="s">
        <v>3056</v>
      </c>
      <c r="E110" s="275" t="s">
        <v>2802</v>
      </c>
      <c r="F110" s="278">
        <v>29950</v>
      </c>
      <c r="G110" s="275" t="s">
        <v>2803</v>
      </c>
      <c r="H110" s="276">
        <v>16.25</v>
      </c>
      <c r="I110" s="276">
        <v>37.25</v>
      </c>
      <c r="J110" s="276">
        <v>16.420000000000002</v>
      </c>
      <c r="K110" s="276">
        <f t="shared" si="1"/>
        <v>-0.17000000000000171</v>
      </c>
      <c r="L110" s="335"/>
    </row>
    <row r="111" spans="1:12">
      <c r="A111" s="275" t="s">
        <v>2844</v>
      </c>
      <c r="B111" s="275" t="s">
        <v>2864</v>
      </c>
      <c r="C111" s="275" t="s">
        <v>3806</v>
      </c>
      <c r="D111" s="275" t="s">
        <v>3056</v>
      </c>
      <c r="E111" s="275" t="s">
        <v>2802</v>
      </c>
      <c r="F111" s="278">
        <v>29950</v>
      </c>
      <c r="G111" s="275" t="s">
        <v>2803</v>
      </c>
      <c r="H111" s="276">
        <v>16</v>
      </c>
      <c r="I111" s="276">
        <v>41</v>
      </c>
      <c r="J111" s="276">
        <v>16.420000000000002</v>
      </c>
      <c r="K111" s="276">
        <f t="shared" si="1"/>
        <v>-0.42000000000000171</v>
      </c>
      <c r="L111" s="335"/>
    </row>
    <row r="112" spans="1:12">
      <c r="A112" s="275" t="s">
        <v>2835</v>
      </c>
      <c r="B112" s="275" t="s">
        <v>2836</v>
      </c>
      <c r="C112" s="275" t="s">
        <v>3804</v>
      </c>
      <c r="D112" s="275" t="s">
        <v>3056</v>
      </c>
      <c r="E112" s="275" t="s">
        <v>2802</v>
      </c>
      <c r="F112" s="278">
        <v>29955</v>
      </c>
      <c r="G112" s="275" t="s">
        <v>2803</v>
      </c>
      <c r="H112" s="276">
        <v>15.5</v>
      </c>
      <c r="I112" s="276">
        <v>38.6</v>
      </c>
      <c r="J112" s="276">
        <v>16.420000000000002</v>
      </c>
      <c r="K112" s="276">
        <f t="shared" si="1"/>
        <v>-0.92000000000000171</v>
      </c>
      <c r="L112" s="335"/>
    </row>
    <row r="113" spans="1:12">
      <c r="A113" s="275" t="s">
        <v>2813</v>
      </c>
      <c r="B113" s="275" t="s">
        <v>3385</v>
      </c>
      <c r="C113" s="275" t="s">
        <v>3803</v>
      </c>
      <c r="D113" s="275" t="s">
        <v>3056</v>
      </c>
      <c r="E113" s="275" t="s">
        <v>2802</v>
      </c>
      <c r="F113" s="278">
        <v>29976</v>
      </c>
      <c r="G113" s="275" t="s">
        <v>2803</v>
      </c>
      <c r="H113" s="276">
        <v>16.25</v>
      </c>
      <c r="I113" s="276">
        <v>33.799999999999997</v>
      </c>
      <c r="J113" s="276">
        <v>16.16</v>
      </c>
      <c r="K113" s="276">
        <f t="shared" si="1"/>
        <v>8.9999999999999858E-2</v>
      </c>
      <c r="L113" s="335"/>
    </row>
    <row r="114" spans="1:12">
      <c r="A114" s="275" t="s">
        <v>2818</v>
      </c>
      <c r="B114" s="275" t="s">
        <v>2865</v>
      </c>
      <c r="C114" s="275" t="s">
        <v>3802</v>
      </c>
      <c r="D114" s="275" t="s">
        <v>3056</v>
      </c>
      <c r="E114" s="275" t="s">
        <v>2802</v>
      </c>
      <c r="F114" s="278">
        <v>29978</v>
      </c>
      <c r="G114" s="275" t="s">
        <v>2803</v>
      </c>
      <c r="H114" s="276">
        <v>16.84</v>
      </c>
      <c r="I114" s="276">
        <v>34.5</v>
      </c>
      <c r="J114" s="276">
        <v>16.16</v>
      </c>
      <c r="K114" s="276">
        <f t="shared" si="1"/>
        <v>0.67999999999999972</v>
      </c>
      <c r="L114" s="335"/>
    </row>
    <row r="115" spans="1:12">
      <c r="A115" s="275" t="s">
        <v>2807</v>
      </c>
      <c r="B115" s="275" t="s">
        <v>4026</v>
      </c>
      <c r="C115" s="275" t="s">
        <v>3801</v>
      </c>
      <c r="D115" s="275" t="s">
        <v>3056</v>
      </c>
      <c r="E115" s="275" t="s">
        <v>2802</v>
      </c>
      <c r="F115" s="278">
        <v>29982</v>
      </c>
      <c r="G115" s="275" t="s">
        <v>2803</v>
      </c>
      <c r="H115" s="276">
        <v>14</v>
      </c>
      <c r="I115" s="276">
        <v>38.29</v>
      </c>
      <c r="J115" s="276">
        <v>16.16</v>
      </c>
      <c r="K115" s="276">
        <f t="shared" si="1"/>
        <v>-2.16</v>
      </c>
      <c r="L115" s="335"/>
    </row>
    <row r="116" spans="1:12">
      <c r="A116" s="275" t="s">
        <v>2850</v>
      </c>
      <c r="B116" s="275" t="s">
        <v>3328</v>
      </c>
      <c r="C116" s="275" t="s">
        <v>3800</v>
      </c>
      <c r="D116" s="275" t="s">
        <v>3056</v>
      </c>
      <c r="E116" s="275" t="s">
        <v>2802</v>
      </c>
      <c r="F116" s="278">
        <v>29984</v>
      </c>
      <c r="G116" s="275" t="s">
        <v>2803</v>
      </c>
      <c r="H116" s="276">
        <v>16.239999999999998</v>
      </c>
      <c r="I116" s="276">
        <v>50.81</v>
      </c>
      <c r="J116" s="276">
        <v>16.16</v>
      </c>
      <c r="K116" s="276">
        <f t="shared" si="1"/>
        <v>7.9999999999998295E-2</v>
      </c>
      <c r="L116" s="335"/>
    </row>
    <row r="117" spans="1:12">
      <c r="A117" s="275" t="s">
        <v>2805</v>
      </c>
      <c r="B117" s="275" t="s">
        <v>2829</v>
      </c>
      <c r="C117" s="275" t="s">
        <v>3799</v>
      </c>
      <c r="D117" s="275" t="s">
        <v>3056</v>
      </c>
      <c r="E117" s="275" t="s">
        <v>2802</v>
      </c>
      <c r="F117" s="278">
        <v>29990</v>
      </c>
      <c r="G117" s="275" t="s">
        <v>2803</v>
      </c>
      <c r="H117" s="276">
        <v>15.5</v>
      </c>
      <c r="I117" s="276">
        <v>38.61</v>
      </c>
      <c r="J117" s="276">
        <v>16.16</v>
      </c>
      <c r="K117" s="276">
        <f t="shared" si="1"/>
        <v>-0.66000000000000014</v>
      </c>
      <c r="L117" s="335"/>
    </row>
    <row r="118" spans="1:12">
      <c r="A118" s="275" t="s">
        <v>2833</v>
      </c>
      <c r="B118" s="275" t="s">
        <v>3119</v>
      </c>
      <c r="C118" s="275" t="s">
        <v>3797</v>
      </c>
      <c r="D118" s="275" t="s">
        <v>3056</v>
      </c>
      <c r="E118" s="275" t="s">
        <v>2802</v>
      </c>
      <c r="F118" s="278">
        <v>29991</v>
      </c>
      <c r="G118" s="275" t="s">
        <v>2803</v>
      </c>
      <c r="H118" s="276">
        <v>15.75</v>
      </c>
      <c r="I118" s="276">
        <v>33.340000000000003</v>
      </c>
      <c r="J118" s="276">
        <v>16.16</v>
      </c>
      <c r="K118" s="276">
        <f t="shared" si="1"/>
        <v>-0.41000000000000014</v>
      </c>
      <c r="L118" s="335"/>
    </row>
    <row r="119" spans="1:12">
      <c r="A119" s="275" t="s">
        <v>2840</v>
      </c>
      <c r="B119" s="275" t="s">
        <v>3079</v>
      </c>
      <c r="C119" s="275" t="s">
        <v>3798</v>
      </c>
      <c r="D119" s="275" t="s">
        <v>3056</v>
      </c>
      <c r="E119" s="275" t="s">
        <v>2802</v>
      </c>
      <c r="F119" s="278">
        <v>29991</v>
      </c>
      <c r="G119" s="275" t="s">
        <v>2803</v>
      </c>
      <c r="H119" s="276">
        <v>14.95</v>
      </c>
      <c r="I119" s="276">
        <v>44</v>
      </c>
      <c r="J119" s="276">
        <v>16.16</v>
      </c>
      <c r="K119" s="276">
        <f t="shared" si="1"/>
        <v>-1.2100000000000009</v>
      </c>
      <c r="L119" s="335"/>
    </row>
    <row r="120" spans="1:12">
      <c r="A120" s="275" t="s">
        <v>2819</v>
      </c>
      <c r="B120" s="275" t="s">
        <v>2820</v>
      </c>
      <c r="C120" s="275" t="s">
        <v>3796</v>
      </c>
      <c r="D120" s="275" t="s">
        <v>3056</v>
      </c>
      <c r="E120" s="275" t="s">
        <v>2802</v>
      </c>
      <c r="F120" s="278">
        <v>29993</v>
      </c>
      <c r="G120" s="275" t="s">
        <v>2803</v>
      </c>
      <c r="H120" s="276">
        <v>16</v>
      </c>
      <c r="I120" s="276" t="s">
        <v>1447</v>
      </c>
      <c r="J120" s="276">
        <v>16.16</v>
      </c>
      <c r="K120" s="276">
        <f t="shared" si="1"/>
        <v>-0.16000000000000014</v>
      </c>
      <c r="L120" s="335"/>
    </row>
    <row r="121" spans="1:12">
      <c r="A121" s="275" t="s">
        <v>2805</v>
      </c>
      <c r="B121" s="275" t="s">
        <v>3079</v>
      </c>
      <c r="C121" s="275" t="s">
        <v>3795</v>
      </c>
      <c r="D121" s="275" t="s">
        <v>3056</v>
      </c>
      <c r="E121" s="275" t="s">
        <v>2802</v>
      </c>
      <c r="F121" s="278">
        <v>30011</v>
      </c>
      <c r="G121" s="275" t="s">
        <v>2803</v>
      </c>
      <c r="H121" s="276">
        <v>15.96</v>
      </c>
      <c r="I121" s="276">
        <v>38.4</v>
      </c>
      <c r="J121" s="276">
        <v>16.8</v>
      </c>
      <c r="K121" s="276">
        <f t="shared" si="1"/>
        <v>-0.83999999999999986</v>
      </c>
      <c r="L121" s="335"/>
    </row>
    <row r="122" spans="1:12">
      <c r="A122" s="275" t="s">
        <v>2816</v>
      </c>
      <c r="B122" s="275" t="s">
        <v>2817</v>
      </c>
      <c r="C122" s="275" t="s">
        <v>3794</v>
      </c>
      <c r="D122" s="275" t="s">
        <v>3056</v>
      </c>
      <c r="E122" s="275" t="s">
        <v>2802</v>
      </c>
      <c r="F122" s="278">
        <v>30013</v>
      </c>
      <c r="G122" s="275" t="s">
        <v>2803</v>
      </c>
      <c r="H122" s="276">
        <v>15</v>
      </c>
      <c r="I122" s="276">
        <v>36.75</v>
      </c>
      <c r="J122" s="276">
        <v>16.8</v>
      </c>
      <c r="K122" s="276">
        <f t="shared" si="1"/>
        <v>-1.8000000000000007</v>
      </c>
      <c r="L122" s="335"/>
    </row>
    <row r="123" spans="1:12">
      <c r="A123" s="275" t="s">
        <v>2811</v>
      </c>
      <c r="B123" s="275" t="s">
        <v>2812</v>
      </c>
      <c r="C123" s="275" t="s">
        <v>3793</v>
      </c>
      <c r="D123" s="275" t="s">
        <v>3056</v>
      </c>
      <c r="E123" s="275" t="s">
        <v>2802</v>
      </c>
      <c r="F123" s="278">
        <v>30018</v>
      </c>
      <c r="G123" s="275" t="s">
        <v>2803</v>
      </c>
      <c r="H123" s="276">
        <v>17.100000000000001</v>
      </c>
      <c r="I123" s="276">
        <v>41.48</v>
      </c>
      <c r="J123" s="276">
        <v>16.8</v>
      </c>
      <c r="K123" s="276">
        <f t="shared" si="1"/>
        <v>0.30000000000000071</v>
      </c>
      <c r="L123" s="335"/>
    </row>
    <row r="124" spans="1:12">
      <c r="A124" s="275" t="s">
        <v>2804</v>
      </c>
      <c r="B124" s="275" t="s">
        <v>4014</v>
      </c>
      <c r="C124" s="275" t="s">
        <v>3792</v>
      </c>
      <c r="D124" s="275" t="s">
        <v>3056</v>
      </c>
      <c r="E124" s="275" t="s">
        <v>2802</v>
      </c>
      <c r="F124" s="278">
        <v>30036</v>
      </c>
      <c r="G124" s="275" t="s">
        <v>2803</v>
      </c>
      <c r="H124" s="276">
        <v>16</v>
      </c>
      <c r="I124" s="276">
        <v>48</v>
      </c>
      <c r="J124" s="276">
        <v>16.920000000000002</v>
      </c>
      <c r="K124" s="276">
        <f t="shared" si="1"/>
        <v>-0.92000000000000171</v>
      </c>
      <c r="L124" s="335"/>
    </row>
    <row r="125" spans="1:12">
      <c r="A125" s="275" t="s">
        <v>2808</v>
      </c>
      <c r="B125" s="275" t="s">
        <v>3409</v>
      </c>
      <c r="C125" s="275" t="s">
        <v>3791</v>
      </c>
      <c r="D125" s="275" t="s">
        <v>3056</v>
      </c>
      <c r="E125" s="275" t="s">
        <v>2802</v>
      </c>
      <c r="F125" s="278">
        <v>30041</v>
      </c>
      <c r="G125" s="275" t="s">
        <v>2803</v>
      </c>
      <c r="H125" s="276">
        <v>16.25</v>
      </c>
      <c r="I125" s="276">
        <v>48.67</v>
      </c>
      <c r="J125" s="276">
        <v>16.920000000000002</v>
      </c>
      <c r="K125" s="276">
        <f t="shared" si="1"/>
        <v>-0.67000000000000171</v>
      </c>
      <c r="L125" s="335"/>
    </row>
    <row r="126" spans="1:12">
      <c r="A126" s="275" t="s">
        <v>2809</v>
      </c>
      <c r="B126" s="275" t="s">
        <v>3142</v>
      </c>
      <c r="C126" s="275" t="s">
        <v>3790</v>
      </c>
      <c r="D126" s="275" t="s">
        <v>3056</v>
      </c>
      <c r="E126" s="275" t="s">
        <v>2802</v>
      </c>
      <c r="F126" s="278">
        <v>30047</v>
      </c>
      <c r="G126" s="275" t="s">
        <v>2803</v>
      </c>
      <c r="H126" s="276">
        <v>15</v>
      </c>
      <c r="I126" s="276">
        <v>41.11</v>
      </c>
      <c r="J126" s="276">
        <v>16.920000000000002</v>
      </c>
      <c r="K126" s="276">
        <f t="shared" si="1"/>
        <v>-1.9200000000000017</v>
      </c>
      <c r="L126" s="335"/>
    </row>
    <row r="127" spans="1:12">
      <c r="A127" s="275" t="s">
        <v>2842</v>
      </c>
      <c r="B127" s="275" t="s">
        <v>3769</v>
      </c>
      <c r="C127" s="275" t="s">
        <v>3789</v>
      </c>
      <c r="D127" s="275" t="s">
        <v>3056</v>
      </c>
      <c r="E127" s="275" t="s">
        <v>2802</v>
      </c>
      <c r="F127" s="278">
        <v>30050</v>
      </c>
      <c r="G127" s="275" t="s">
        <v>2803</v>
      </c>
      <c r="H127" s="276">
        <v>16.5</v>
      </c>
      <c r="I127" s="276">
        <v>38.979999999999997</v>
      </c>
      <c r="J127" s="276">
        <v>16.920000000000002</v>
      </c>
      <c r="K127" s="276">
        <f t="shared" si="1"/>
        <v>-0.42000000000000171</v>
      </c>
      <c r="L127" s="335"/>
    </row>
    <row r="128" spans="1:12">
      <c r="A128" s="275" t="s">
        <v>2837</v>
      </c>
      <c r="B128" s="275" t="s">
        <v>3094</v>
      </c>
      <c r="C128" s="275" t="s">
        <v>3787</v>
      </c>
      <c r="D128" s="275" t="s">
        <v>3056</v>
      </c>
      <c r="E128" s="275" t="s">
        <v>2802</v>
      </c>
      <c r="F128" s="278">
        <v>30053</v>
      </c>
      <c r="G128" s="275" t="s">
        <v>2803</v>
      </c>
      <c r="H128" s="276">
        <v>16.7</v>
      </c>
      <c r="I128" s="276">
        <v>31.84</v>
      </c>
      <c r="J128" s="276">
        <v>16.920000000000002</v>
      </c>
      <c r="K128" s="276">
        <f t="shared" si="1"/>
        <v>-0.22000000000000242</v>
      </c>
      <c r="L128" s="335"/>
    </row>
    <row r="129" spans="1:12">
      <c r="A129" s="275" t="s">
        <v>2866</v>
      </c>
      <c r="B129" s="275" t="s">
        <v>4022</v>
      </c>
      <c r="C129" s="275" t="s">
        <v>3788</v>
      </c>
      <c r="D129" s="275" t="s">
        <v>3056</v>
      </c>
      <c r="E129" s="275" t="s">
        <v>2802</v>
      </c>
      <c r="F129" s="278">
        <v>30053</v>
      </c>
      <c r="G129" s="275" t="s">
        <v>2803</v>
      </c>
      <c r="H129" s="276">
        <v>15.1</v>
      </c>
      <c r="I129" s="276">
        <v>38.479999999999997</v>
      </c>
      <c r="J129" s="276">
        <v>16.920000000000002</v>
      </c>
      <c r="K129" s="276">
        <f t="shared" si="1"/>
        <v>-1.8200000000000021</v>
      </c>
      <c r="L129" s="335"/>
    </row>
    <row r="130" spans="1:12">
      <c r="A130" s="275" t="s">
        <v>2846</v>
      </c>
      <c r="B130" s="275" t="s">
        <v>4022</v>
      </c>
      <c r="C130" s="275" t="s">
        <v>3786</v>
      </c>
      <c r="D130" s="275" t="s">
        <v>3056</v>
      </c>
      <c r="E130" s="275" t="s">
        <v>2802</v>
      </c>
      <c r="F130" s="278">
        <v>30059</v>
      </c>
      <c r="G130" s="275" t="s">
        <v>2803</v>
      </c>
      <c r="H130" s="276">
        <v>14.7</v>
      </c>
      <c r="I130" s="276">
        <v>38.79</v>
      </c>
      <c r="J130" s="276">
        <v>16.489999999999998</v>
      </c>
      <c r="K130" s="276">
        <f t="shared" si="1"/>
        <v>-1.7899999999999991</v>
      </c>
      <c r="L130" s="335"/>
    </row>
    <row r="131" spans="1:12">
      <c r="A131" s="275" t="s">
        <v>2809</v>
      </c>
      <c r="B131" s="275" t="s">
        <v>2853</v>
      </c>
      <c r="C131" s="275" t="s">
        <v>3785</v>
      </c>
      <c r="D131" s="275" t="s">
        <v>3056</v>
      </c>
      <c r="E131" s="275" t="s">
        <v>2802</v>
      </c>
      <c r="F131" s="278">
        <v>30068</v>
      </c>
      <c r="G131" s="275" t="s">
        <v>2803</v>
      </c>
      <c r="H131" s="276">
        <v>15</v>
      </c>
      <c r="I131" s="276">
        <v>39.090000000000003</v>
      </c>
      <c r="J131" s="276">
        <v>16.489999999999998</v>
      </c>
      <c r="K131" s="276">
        <f t="shared" si="1"/>
        <v>-1.4899999999999984</v>
      </c>
      <c r="L131" s="335"/>
    </row>
    <row r="132" spans="1:12">
      <c r="A132" s="275" t="s">
        <v>2846</v>
      </c>
      <c r="B132" s="275" t="s">
        <v>2847</v>
      </c>
      <c r="C132" s="275" t="s">
        <v>3784</v>
      </c>
      <c r="D132" s="275" t="s">
        <v>3056</v>
      </c>
      <c r="E132" s="275" t="s">
        <v>2802</v>
      </c>
      <c r="F132" s="278">
        <v>30081</v>
      </c>
      <c r="G132" s="275" t="s">
        <v>2803</v>
      </c>
      <c r="H132" s="276">
        <v>14.57</v>
      </c>
      <c r="I132" s="276">
        <v>38.090000000000003</v>
      </c>
      <c r="J132" s="276">
        <v>16.489999999999998</v>
      </c>
      <c r="K132" s="276">
        <f t="shared" si="1"/>
        <v>-1.9199999999999982</v>
      </c>
      <c r="L132" s="335"/>
    </row>
    <row r="133" spans="1:12">
      <c r="A133" s="275" t="s">
        <v>2850</v>
      </c>
      <c r="B133" s="275" t="s">
        <v>3361</v>
      </c>
      <c r="C133" s="275" t="s">
        <v>3783</v>
      </c>
      <c r="D133" s="275" t="s">
        <v>3056</v>
      </c>
      <c r="E133" s="275" t="s">
        <v>2802</v>
      </c>
      <c r="F133" s="278">
        <v>30085</v>
      </c>
      <c r="G133" s="275" t="s">
        <v>2803</v>
      </c>
      <c r="H133" s="276">
        <v>15.8</v>
      </c>
      <c r="I133" s="276">
        <v>44.26</v>
      </c>
      <c r="J133" s="276">
        <v>16.489999999999998</v>
      </c>
      <c r="K133" s="276">
        <f t="shared" si="1"/>
        <v>-0.68999999999999773</v>
      </c>
      <c r="L133" s="335"/>
    </row>
    <row r="134" spans="1:12">
      <c r="A134" s="275" t="s">
        <v>2838</v>
      </c>
      <c r="B134" s="275" t="s">
        <v>3075</v>
      </c>
      <c r="C134" s="275" t="s">
        <v>3782</v>
      </c>
      <c r="D134" s="275" t="s">
        <v>3056</v>
      </c>
      <c r="E134" s="275" t="s">
        <v>2802</v>
      </c>
      <c r="F134" s="278">
        <v>30091</v>
      </c>
      <c r="G134" s="275" t="s">
        <v>2803</v>
      </c>
      <c r="H134" s="276">
        <v>15.82</v>
      </c>
      <c r="I134" s="276">
        <v>47.15</v>
      </c>
      <c r="J134" s="276">
        <v>16.399999999999999</v>
      </c>
      <c r="K134" s="276">
        <f t="shared" ref="K134:K197" si="2">H134-J134</f>
        <v>-0.57999999999999829</v>
      </c>
      <c r="L134" s="335"/>
    </row>
    <row r="135" spans="1:12">
      <c r="A135" s="275" t="s">
        <v>2830</v>
      </c>
      <c r="B135" s="275" t="s">
        <v>3157</v>
      </c>
      <c r="C135" s="275" t="s">
        <v>3781</v>
      </c>
      <c r="D135" s="275" t="s">
        <v>3056</v>
      </c>
      <c r="E135" s="275" t="s">
        <v>2802</v>
      </c>
      <c r="F135" s="278">
        <v>30096</v>
      </c>
      <c r="G135" s="275" t="s">
        <v>2803</v>
      </c>
      <c r="H135" s="276">
        <v>16.25</v>
      </c>
      <c r="I135" s="276">
        <v>39.630000000000003</v>
      </c>
      <c r="J135" s="276">
        <v>16.399999999999999</v>
      </c>
      <c r="K135" s="276">
        <f t="shared" si="2"/>
        <v>-0.14999999999999858</v>
      </c>
      <c r="L135" s="335"/>
    </row>
    <row r="136" spans="1:12">
      <c r="A136" s="275" t="s">
        <v>2831</v>
      </c>
      <c r="B136" s="275" t="s">
        <v>4016</v>
      </c>
      <c r="C136" s="275" t="s">
        <v>3780</v>
      </c>
      <c r="D136" s="275" t="s">
        <v>3056</v>
      </c>
      <c r="E136" s="275" t="s">
        <v>2802</v>
      </c>
      <c r="F136" s="278">
        <v>30104</v>
      </c>
      <c r="G136" s="275" t="s">
        <v>2803</v>
      </c>
      <c r="H136" s="276">
        <v>14.5</v>
      </c>
      <c r="I136" s="276" t="s">
        <v>1447</v>
      </c>
      <c r="J136" s="276">
        <v>16.399999999999999</v>
      </c>
      <c r="K136" s="276">
        <f t="shared" si="2"/>
        <v>-1.8999999999999986</v>
      </c>
      <c r="L136" s="335"/>
    </row>
    <row r="137" spans="1:12">
      <c r="A137" s="275" t="s">
        <v>2811</v>
      </c>
      <c r="B137" s="275" t="s">
        <v>2814</v>
      </c>
      <c r="C137" s="275" t="s">
        <v>3779</v>
      </c>
      <c r="D137" s="275" t="s">
        <v>3056</v>
      </c>
      <c r="E137" s="275" t="s">
        <v>2802</v>
      </c>
      <c r="F137" s="278">
        <v>30109</v>
      </c>
      <c r="G137" s="275" t="s">
        <v>2803</v>
      </c>
      <c r="H137" s="276">
        <v>16</v>
      </c>
      <c r="I137" s="276">
        <v>48.03</v>
      </c>
      <c r="J137" s="276">
        <v>16.399999999999999</v>
      </c>
      <c r="K137" s="276">
        <f t="shared" si="2"/>
        <v>-0.39999999999999858</v>
      </c>
      <c r="L137" s="335"/>
    </row>
    <row r="138" spans="1:12">
      <c r="A138" s="275" t="s">
        <v>2867</v>
      </c>
      <c r="B138" s="275" t="s">
        <v>2868</v>
      </c>
      <c r="C138" s="275" t="s">
        <v>3778</v>
      </c>
      <c r="D138" s="275" t="s">
        <v>3056</v>
      </c>
      <c r="E138" s="275" t="s">
        <v>2802</v>
      </c>
      <c r="F138" s="278">
        <v>30125</v>
      </c>
      <c r="G138" s="275" t="s">
        <v>2803</v>
      </c>
      <c r="H138" s="276">
        <v>15.5</v>
      </c>
      <c r="I138" s="276">
        <v>42.2</v>
      </c>
      <c r="J138" s="276">
        <v>16.079999999999998</v>
      </c>
      <c r="K138" s="276">
        <f t="shared" si="2"/>
        <v>-0.57999999999999829</v>
      </c>
      <c r="L138" s="335"/>
    </row>
    <row r="139" spans="1:12">
      <c r="A139" s="275" t="s">
        <v>2804</v>
      </c>
      <c r="B139" s="275" t="s">
        <v>4373</v>
      </c>
      <c r="C139" s="275" t="s">
        <v>3777</v>
      </c>
      <c r="D139" s="275" t="s">
        <v>3056</v>
      </c>
      <c r="E139" s="275" t="s">
        <v>2802</v>
      </c>
      <c r="F139" s="278">
        <v>30127</v>
      </c>
      <c r="G139" s="275" t="s">
        <v>2803</v>
      </c>
      <c r="H139" s="276">
        <v>16.5</v>
      </c>
      <c r="I139" s="276">
        <v>37.4</v>
      </c>
      <c r="J139" s="276">
        <v>16.079999999999998</v>
      </c>
      <c r="K139" s="276">
        <f t="shared" si="2"/>
        <v>0.42000000000000171</v>
      </c>
      <c r="L139" s="335"/>
    </row>
    <row r="140" spans="1:12">
      <c r="A140" s="275" t="s">
        <v>2801</v>
      </c>
      <c r="B140" s="275" t="s">
        <v>2849</v>
      </c>
      <c r="C140" s="275" t="s">
        <v>3775</v>
      </c>
      <c r="D140" s="275" t="s">
        <v>3056</v>
      </c>
      <c r="E140" s="275" t="s">
        <v>2802</v>
      </c>
      <c r="F140" s="278">
        <v>30133</v>
      </c>
      <c r="G140" s="275" t="s">
        <v>2803</v>
      </c>
      <c r="H140" s="276">
        <v>16</v>
      </c>
      <c r="I140" s="276">
        <v>41.29</v>
      </c>
      <c r="J140" s="276">
        <v>16.079999999999998</v>
      </c>
      <c r="K140" s="276">
        <f t="shared" si="2"/>
        <v>-7.9999999999998295E-2</v>
      </c>
      <c r="L140" s="335"/>
    </row>
    <row r="141" spans="1:12">
      <c r="A141" s="275" t="s">
        <v>2801</v>
      </c>
      <c r="B141" s="275" t="s">
        <v>3089</v>
      </c>
      <c r="C141" s="275" t="s">
        <v>3776</v>
      </c>
      <c r="D141" s="275" t="s">
        <v>3056</v>
      </c>
      <c r="E141" s="275" t="s">
        <v>2802</v>
      </c>
      <c r="F141" s="278">
        <v>30133</v>
      </c>
      <c r="G141" s="275" t="s">
        <v>2803</v>
      </c>
      <c r="H141" s="276">
        <v>15.55</v>
      </c>
      <c r="I141" s="276">
        <v>55.59</v>
      </c>
      <c r="J141" s="276">
        <v>16.079999999999998</v>
      </c>
      <c r="K141" s="276">
        <f t="shared" si="2"/>
        <v>-0.52999999999999758</v>
      </c>
      <c r="L141" s="335"/>
    </row>
    <row r="142" spans="1:12">
      <c r="A142" s="275" t="s">
        <v>2816</v>
      </c>
      <c r="B142" s="275" t="s">
        <v>2852</v>
      </c>
      <c r="C142" s="275" t="s">
        <v>3774</v>
      </c>
      <c r="D142" s="275" t="s">
        <v>3056</v>
      </c>
      <c r="E142" s="275" t="s">
        <v>2802</v>
      </c>
      <c r="F142" s="278">
        <v>30134</v>
      </c>
      <c r="G142" s="275" t="s">
        <v>2803</v>
      </c>
      <c r="H142" s="276">
        <v>15.1</v>
      </c>
      <c r="I142" s="276">
        <v>36.08</v>
      </c>
      <c r="J142" s="276">
        <v>16.079999999999998</v>
      </c>
      <c r="K142" s="276">
        <f t="shared" si="2"/>
        <v>-0.97999999999999865</v>
      </c>
      <c r="L142" s="335"/>
    </row>
    <row r="143" spans="1:12">
      <c r="A143" s="275" t="s">
        <v>2811</v>
      </c>
      <c r="B143" s="275" t="s">
        <v>4017</v>
      </c>
      <c r="C143" s="275" t="s">
        <v>3773</v>
      </c>
      <c r="D143" s="275" t="s">
        <v>3056</v>
      </c>
      <c r="E143" s="275" t="s">
        <v>2802</v>
      </c>
      <c r="F143" s="278">
        <v>30145</v>
      </c>
      <c r="G143" s="275" t="s">
        <v>2803</v>
      </c>
      <c r="H143" s="276">
        <v>16.8</v>
      </c>
      <c r="I143" s="276">
        <v>41.7</v>
      </c>
      <c r="J143" s="276">
        <v>16.079999999999998</v>
      </c>
      <c r="K143" s="276">
        <f t="shared" si="2"/>
        <v>0.72000000000000242</v>
      </c>
      <c r="L143" s="335"/>
    </row>
    <row r="144" spans="1:12">
      <c r="A144" s="275" t="s">
        <v>2809</v>
      </c>
      <c r="B144" s="275" t="s">
        <v>2810</v>
      </c>
      <c r="C144" s="275" t="s">
        <v>3772</v>
      </c>
      <c r="D144" s="275" t="s">
        <v>3056</v>
      </c>
      <c r="E144" s="275" t="s">
        <v>2802</v>
      </c>
      <c r="F144" s="278">
        <v>30154</v>
      </c>
      <c r="G144" s="275" t="s">
        <v>2803</v>
      </c>
      <c r="H144" s="276">
        <v>14.5</v>
      </c>
      <c r="I144" s="276">
        <v>41.2</v>
      </c>
      <c r="J144" s="276">
        <v>16.34</v>
      </c>
      <c r="K144" s="276">
        <f t="shared" si="2"/>
        <v>-1.8399999999999999</v>
      </c>
      <c r="L144" s="335"/>
    </row>
    <row r="145" spans="1:12">
      <c r="A145" s="275" t="s">
        <v>2851</v>
      </c>
      <c r="B145" s="275" t="s">
        <v>3105</v>
      </c>
      <c r="C145" s="275" t="s">
        <v>3771</v>
      </c>
      <c r="D145" s="275" t="s">
        <v>3056</v>
      </c>
      <c r="E145" s="275" t="s">
        <v>2802</v>
      </c>
      <c r="F145" s="278">
        <v>30162</v>
      </c>
      <c r="G145" s="275" t="s">
        <v>2803</v>
      </c>
      <c r="H145" s="276">
        <v>14.82</v>
      </c>
      <c r="I145" s="276">
        <v>30.27</v>
      </c>
      <c r="J145" s="276">
        <v>16.34</v>
      </c>
      <c r="K145" s="276">
        <f t="shared" si="2"/>
        <v>-1.5199999999999996</v>
      </c>
      <c r="L145" s="335"/>
    </row>
    <row r="146" spans="1:12">
      <c r="A146" s="275" t="s">
        <v>2818</v>
      </c>
      <c r="B146" s="275" t="s">
        <v>4015</v>
      </c>
      <c r="C146" s="275" t="s">
        <v>3770</v>
      </c>
      <c r="D146" s="275" t="s">
        <v>3056</v>
      </c>
      <c r="E146" s="275" t="s">
        <v>2802</v>
      </c>
      <c r="F146" s="278">
        <v>30167</v>
      </c>
      <c r="G146" s="275" t="s">
        <v>2803</v>
      </c>
      <c r="H146" s="276">
        <v>15.58</v>
      </c>
      <c r="I146" s="276">
        <v>59.46</v>
      </c>
      <c r="J146" s="276">
        <v>16.34</v>
      </c>
      <c r="K146" s="276">
        <f t="shared" si="2"/>
        <v>-0.75999999999999979</v>
      </c>
      <c r="L146" s="335"/>
    </row>
    <row r="147" spans="1:12">
      <c r="A147" s="275" t="s">
        <v>2842</v>
      </c>
      <c r="B147" s="275" t="s">
        <v>3769</v>
      </c>
      <c r="C147" s="275" t="s">
        <v>3768</v>
      </c>
      <c r="D147" s="275" t="s">
        <v>3056</v>
      </c>
      <c r="E147" s="275" t="s">
        <v>2802</v>
      </c>
      <c r="F147" s="278">
        <v>30169</v>
      </c>
      <c r="G147" s="275" t="s">
        <v>2803</v>
      </c>
      <c r="H147" s="276">
        <v>16.5</v>
      </c>
      <c r="I147" s="276">
        <v>38.979999999999997</v>
      </c>
      <c r="J147" s="276">
        <v>16.34</v>
      </c>
      <c r="K147" s="276">
        <f t="shared" si="2"/>
        <v>0.16000000000000014</v>
      </c>
      <c r="L147" s="335"/>
    </row>
    <row r="148" spans="1:12">
      <c r="A148" s="275" t="s">
        <v>2845</v>
      </c>
      <c r="B148" s="275" t="s">
        <v>2869</v>
      </c>
      <c r="C148" s="275" t="s">
        <v>3767</v>
      </c>
      <c r="D148" s="275" t="s">
        <v>3056</v>
      </c>
      <c r="E148" s="275" t="s">
        <v>2802</v>
      </c>
      <c r="F148" s="278">
        <v>30174</v>
      </c>
      <c r="G148" s="275" t="s">
        <v>2803</v>
      </c>
      <c r="H148" s="276">
        <v>17.11</v>
      </c>
      <c r="I148" s="276">
        <v>32.74</v>
      </c>
      <c r="J148" s="276">
        <v>16.34</v>
      </c>
      <c r="K148" s="276">
        <f t="shared" si="2"/>
        <v>0.76999999999999957</v>
      </c>
      <c r="L148" s="335"/>
    </row>
    <row r="149" spans="1:12">
      <c r="A149" s="275" t="s">
        <v>2801</v>
      </c>
      <c r="B149" s="275" t="s">
        <v>2817</v>
      </c>
      <c r="C149" s="275" t="s">
        <v>3766</v>
      </c>
      <c r="D149" s="275" t="s">
        <v>3056</v>
      </c>
      <c r="E149" s="275" t="s">
        <v>2802</v>
      </c>
      <c r="F149" s="278">
        <v>30188</v>
      </c>
      <c r="G149" s="275" t="s">
        <v>2803</v>
      </c>
      <c r="H149" s="276">
        <v>16</v>
      </c>
      <c r="I149" s="276">
        <v>37.08</v>
      </c>
      <c r="J149" s="276">
        <v>16.46</v>
      </c>
      <c r="K149" s="276">
        <f t="shared" si="2"/>
        <v>-0.46000000000000085</v>
      </c>
      <c r="L149" s="335"/>
    </row>
    <row r="150" spans="1:12">
      <c r="A150" s="275" t="s">
        <v>2858</v>
      </c>
      <c r="B150" s="275" t="s">
        <v>2859</v>
      </c>
      <c r="C150" s="275" t="s">
        <v>3765</v>
      </c>
      <c r="D150" s="275" t="s">
        <v>3056</v>
      </c>
      <c r="E150" s="275" t="s">
        <v>2802</v>
      </c>
      <c r="F150" s="278">
        <v>30193</v>
      </c>
      <c r="G150" s="275" t="s">
        <v>2803</v>
      </c>
      <c r="H150" s="276">
        <v>16.25</v>
      </c>
      <c r="I150" s="276">
        <v>44</v>
      </c>
      <c r="J150" s="276">
        <v>16.46</v>
      </c>
      <c r="K150" s="276">
        <f t="shared" si="2"/>
        <v>-0.21000000000000085</v>
      </c>
      <c r="L150" s="335"/>
    </row>
    <row r="151" spans="1:12">
      <c r="A151" s="275" t="s">
        <v>2870</v>
      </c>
      <c r="B151" s="275" t="s">
        <v>4027</v>
      </c>
      <c r="C151" s="275" t="s">
        <v>3764</v>
      </c>
      <c r="D151" s="275" t="s">
        <v>3056</v>
      </c>
      <c r="E151" s="275" t="s">
        <v>2802</v>
      </c>
      <c r="F151" s="278">
        <v>30197</v>
      </c>
      <c r="G151" s="275" t="s">
        <v>2803</v>
      </c>
      <c r="H151" s="276">
        <v>15.5</v>
      </c>
      <c r="I151" s="276">
        <v>37.9</v>
      </c>
      <c r="J151" s="276">
        <v>16.46</v>
      </c>
      <c r="K151" s="276">
        <f t="shared" si="2"/>
        <v>-0.96000000000000085</v>
      </c>
      <c r="L151" s="335"/>
    </row>
    <row r="152" spans="1:12">
      <c r="A152" s="275" t="s">
        <v>2818</v>
      </c>
      <c r="B152" s="275" t="s">
        <v>4024</v>
      </c>
      <c r="C152" s="275" t="s">
        <v>3763</v>
      </c>
      <c r="D152" s="275" t="s">
        <v>3056</v>
      </c>
      <c r="E152" s="275" t="s">
        <v>2802</v>
      </c>
      <c r="F152" s="278">
        <v>30203</v>
      </c>
      <c r="G152" s="275" t="s">
        <v>2803</v>
      </c>
      <c r="H152" s="276">
        <v>16.04</v>
      </c>
      <c r="I152" s="276">
        <v>49.07</v>
      </c>
      <c r="J152" s="276">
        <v>16.46</v>
      </c>
      <c r="K152" s="276">
        <f t="shared" si="2"/>
        <v>-0.42000000000000171</v>
      </c>
      <c r="L152" s="335"/>
    </row>
    <row r="153" spans="1:12">
      <c r="A153" s="275" t="s">
        <v>2818</v>
      </c>
      <c r="B153" s="275" t="s">
        <v>4024</v>
      </c>
      <c r="C153" s="275" t="s">
        <v>3762</v>
      </c>
      <c r="D153" s="275" t="s">
        <v>3056</v>
      </c>
      <c r="E153" s="275" t="s">
        <v>2802</v>
      </c>
      <c r="F153" s="278">
        <v>30209</v>
      </c>
      <c r="G153" s="275" t="s">
        <v>2803</v>
      </c>
      <c r="H153" s="276">
        <v>16.04</v>
      </c>
      <c r="I153" s="276">
        <v>49.07</v>
      </c>
      <c r="J153" s="276">
        <v>15.92</v>
      </c>
      <c r="K153" s="276">
        <f t="shared" si="2"/>
        <v>0.11999999999999922</v>
      </c>
      <c r="L153" s="335"/>
    </row>
    <row r="154" spans="1:12">
      <c r="A154" s="275" t="s">
        <v>2833</v>
      </c>
      <c r="B154" s="275" t="s">
        <v>2834</v>
      </c>
      <c r="C154" s="275" t="s">
        <v>3761</v>
      </c>
      <c r="D154" s="275" t="s">
        <v>3056</v>
      </c>
      <c r="E154" s="275" t="s">
        <v>2802</v>
      </c>
      <c r="F154" s="278">
        <v>30211</v>
      </c>
      <c r="G154" s="275" t="s">
        <v>2803</v>
      </c>
      <c r="H154" s="276">
        <v>15.25</v>
      </c>
      <c r="I154" s="276">
        <v>40</v>
      </c>
      <c r="J154" s="276">
        <v>15.92</v>
      </c>
      <c r="K154" s="276">
        <f t="shared" si="2"/>
        <v>-0.66999999999999993</v>
      </c>
      <c r="L154" s="335"/>
    </row>
    <row r="155" spans="1:12">
      <c r="A155" s="275" t="s">
        <v>2861</v>
      </c>
      <c r="B155" s="275" t="s">
        <v>4028</v>
      </c>
      <c r="C155" s="275" t="s">
        <v>3760</v>
      </c>
      <c r="D155" s="275" t="s">
        <v>3056</v>
      </c>
      <c r="E155" s="275" t="s">
        <v>2802</v>
      </c>
      <c r="F155" s="278">
        <v>30223</v>
      </c>
      <c r="G155" s="275" t="s">
        <v>2803</v>
      </c>
      <c r="H155" s="276">
        <v>14.5</v>
      </c>
      <c r="I155" s="276">
        <v>38.25</v>
      </c>
      <c r="J155" s="276">
        <v>15.92</v>
      </c>
      <c r="K155" s="276">
        <f t="shared" si="2"/>
        <v>-1.42</v>
      </c>
      <c r="L155" s="335"/>
    </row>
    <row r="156" spans="1:12">
      <c r="A156" s="275" t="s">
        <v>2806</v>
      </c>
      <c r="B156" s="275" t="s">
        <v>3081</v>
      </c>
      <c r="C156" s="275" t="s">
        <v>3756</v>
      </c>
      <c r="D156" s="275" t="s">
        <v>3056</v>
      </c>
      <c r="E156" s="275" t="s">
        <v>2802</v>
      </c>
      <c r="F156" s="278">
        <v>30224</v>
      </c>
      <c r="G156" s="275" t="s">
        <v>2803</v>
      </c>
      <c r="H156" s="276">
        <v>16.7</v>
      </c>
      <c r="I156" s="276">
        <v>33.799999999999997</v>
      </c>
      <c r="J156" s="276">
        <v>15.92</v>
      </c>
      <c r="K156" s="276">
        <f t="shared" si="2"/>
        <v>0.77999999999999936</v>
      </c>
      <c r="L156" s="335"/>
    </row>
    <row r="157" spans="1:12">
      <c r="A157" s="275" t="s">
        <v>2824</v>
      </c>
      <c r="B157" s="275" t="s">
        <v>3094</v>
      </c>
      <c r="C157" s="275" t="s">
        <v>3757</v>
      </c>
      <c r="D157" s="275" t="s">
        <v>3056</v>
      </c>
      <c r="E157" s="275" t="s">
        <v>2802</v>
      </c>
      <c r="F157" s="278">
        <v>30224</v>
      </c>
      <c r="G157" s="275" t="s">
        <v>2803</v>
      </c>
      <c r="H157" s="276">
        <v>16.5</v>
      </c>
      <c r="I157" s="276">
        <v>33.14</v>
      </c>
      <c r="J157" s="276">
        <v>15.92</v>
      </c>
      <c r="K157" s="276">
        <f t="shared" si="2"/>
        <v>0.58000000000000007</v>
      </c>
      <c r="L157" s="335"/>
    </row>
    <row r="158" spans="1:12">
      <c r="A158" s="275" t="s">
        <v>2807</v>
      </c>
      <c r="B158" s="275" t="s">
        <v>3103</v>
      </c>
      <c r="C158" s="275" t="s">
        <v>3758</v>
      </c>
      <c r="D158" s="275" t="s">
        <v>3056</v>
      </c>
      <c r="E158" s="275" t="s">
        <v>2802</v>
      </c>
      <c r="F158" s="278">
        <v>30224</v>
      </c>
      <c r="G158" s="275" t="s">
        <v>2803</v>
      </c>
      <c r="H158" s="276">
        <v>15.5</v>
      </c>
      <c r="I158" s="276">
        <v>52</v>
      </c>
      <c r="J158" s="276">
        <v>15.92</v>
      </c>
      <c r="K158" s="276">
        <f t="shared" si="2"/>
        <v>-0.41999999999999993</v>
      </c>
      <c r="L158" s="335"/>
    </row>
    <row r="159" spans="1:12">
      <c r="A159" s="275" t="s">
        <v>2857</v>
      </c>
      <c r="B159" s="275" t="s">
        <v>4023</v>
      </c>
      <c r="C159" s="275" t="s">
        <v>3759</v>
      </c>
      <c r="D159" s="275" t="s">
        <v>3056</v>
      </c>
      <c r="E159" s="275" t="s">
        <v>2802</v>
      </c>
      <c r="F159" s="278">
        <v>30224</v>
      </c>
      <c r="G159" s="275" t="s">
        <v>2803</v>
      </c>
      <c r="H159" s="276">
        <v>14.74</v>
      </c>
      <c r="I159" s="276">
        <v>41.75</v>
      </c>
      <c r="J159" s="276">
        <v>15.92</v>
      </c>
      <c r="K159" s="276">
        <f t="shared" si="2"/>
        <v>-1.1799999999999997</v>
      </c>
      <c r="L159" s="335"/>
    </row>
    <row r="160" spans="1:12">
      <c r="A160" s="275" t="s">
        <v>2819</v>
      </c>
      <c r="B160" s="275" t="s">
        <v>3637</v>
      </c>
      <c r="C160" s="275" t="s">
        <v>3755</v>
      </c>
      <c r="D160" s="275" t="s">
        <v>3056</v>
      </c>
      <c r="E160" s="275" t="s">
        <v>2802</v>
      </c>
      <c r="F160" s="278">
        <v>30232</v>
      </c>
      <c r="G160" s="275" t="s">
        <v>2803</v>
      </c>
      <c r="H160" s="276">
        <v>15</v>
      </c>
      <c r="I160" s="276">
        <v>38</v>
      </c>
      <c r="J160" s="276">
        <v>15.92</v>
      </c>
      <c r="K160" s="276">
        <f t="shared" si="2"/>
        <v>-0.91999999999999993</v>
      </c>
      <c r="L160" s="335"/>
    </row>
    <row r="161" spans="1:12">
      <c r="A161" s="275" t="s">
        <v>2811</v>
      </c>
      <c r="B161" s="275" t="s">
        <v>2855</v>
      </c>
      <c r="C161" s="275" t="s">
        <v>3754</v>
      </c>
      <c r="D161" s="275" t="s">
        <v>3056</v>
      </c>
      <c r="E161" s="275" t="s">
        <v>2802</v>
      </c>
      <c r="F161" s="278">
        <v>30239</v>
      </c>
      <c r="G161" s="275" t="s">
        <v>2803</v>
      </c>
      <c r="H161" s="276">
        <v>15.9</v>
      </c>
      <c r="I161" s="276">
        <v>40.46</v>
      </c>
      <c r="J161" s="276">
        <v>15.45</v>
      </c>
      <c r="K161" s="276">
        <f t="shared" si="2"/>
        <v>0.45000000000000107</v>
      </c>
      <c r="L161" s="335"/>
    </row>
    <row r="162" spans="1:12">
      <c r="A162" s="275" t="s">
        <v>2811</v>
      </c>
      <c r="B162" s="275" t="s">
        <v>3623</v>
      </c>
      <c r="C162" s="275" t="s">
        <v>3753</v>
      </c>
      <c r="D162" s="275" t="s">
        <v>3056</v>
      </c>
      <c r="E162" s="275" t="s">
        <v>2802</v>
      </c>
      <c r="F162" s="278">
        <v>30243</v>
      </c>
      <c r="G162" s="275" t="s">
        <v>2803</v>
      </c>
      <c r="H162" s="276">
        <v>15.9</v>
      </c>
      <c r="I162" s="276">
        <v>40.299999999999997</v>
      </c>
      <c r="J162" s="276">
        <v>15.45</v>
      </c>
      <c r="K162" s="276">
        <f t="shared" si="2"/>
        <v>0.45000000000000107</v>
      </c>
      <c r="L162" s="335"/>
    </row>
    <row r="163" spans="1:12">
      <c r="A163" s="275" t="s">
        <v>2845</v>
      </c>
      <c r="B163" s="275" t="s">
        <v>3575</v>
      </c>
      <c r="C163" s="275" t="s">
        <v>3752</v>
      </c>
      <c r="D163" s="275" t="s">
        <v>3056</v>
      </c>
      <c r="E163" s="275" t="s">
        <v>2802</v>
      </c>
      <c r="F163" s="278">
        <v>30251</v>
      </c>
      <c r="G163" s="275" t="s">
        <v>2803</v>
      </c>
      <c r="H163" s="276">
        <v>17</v>
      </c>
      <c r="I163" s="276">
        <v>36.6</v>
      </c>
      <c r="J163" s="276">
        <v>15.45</v>
      </c>
      <c r="K163" s="276">
        <f t="shared" si="2"/>
        <v>1.5500000000000007</v>
      </c>
      <c r="L163" s="335"/>
    </row>
    <row r="164" spans="1:12">
      <c r="A164" s="275" t="s">
        <v>2809</v>
      </c>
      <c r="B164" s="275" t="s">
        <v>4025</v>
      </c>
      <c r="C164" s="275" t="s">
        <v>3751</v>
      </c>
      <c r="D164" s="275" t="s">
        <v>3056</v>
      </c>
      <c r="E164" s="275" t="s">
        <v>2802</v>
      </c>
      <c r="F164" s="278">
        <v>30252</v>
      </c>
      <c r="G164" s="275" t="s">
        <v>2803</v>
      </c>
      <c r="H164" s="276">
        <v>14.75</v>
      </c>
      <c r="I164" s="276">
        <v>44.73</v>
      </c>
      <c r="J164" s="276">
        <v>15.45</v>
      </c>
      <c r="K164" s="276">
        <f t="shared" si="2"/>
        <v>-0.69999999999999929</v>
      </c>
      <c r="L164" s="335"/>
    </row>
    <row r="165" spans="1:12">
      <c r="A165" s="275" t="s">
        <v>2830</v>
      </c>
      <c r="B165" s="275" t="s">
        <v>4020</v>
      </c>
      <c r="C165" s="275" t="s">
        <v>3750</v>
      </c>
      <c r="D165" s="275" t="s">
        <v>3056</v>
      </c>
      <c r="E165" s="275" t="s">
        <v>2802</v>
      </c>
      <c r="F165" s="278">
        <v>30257</v>
      </c>
      <c r="G165" s="275" t="s">
        <v>2803</v>
      </c>
      <c r="H165" s="276">
        <v>16.25</v>
      </c>
      <c r="I165" s="276">
        <v>36.64</v>
      </c>
      <c r="J165" s="276">
        <v>15.45</v>
      </c>
      <c r="K165" s="276">
        <f t="shared" si="2"/>
        <v>0.80000000000000071</v>
      </c>
      <c r="L165" s="335"/>
    </row>
    <row r="166" spans="1:12">
      <c r="A166" s="275" t="s">
        <v>2833</v>
      </c>
      <c r="B166" s="275" t="s">
        <v>3119</v>
      </c>
      <c r="C166" s="275" t="s">
        <v>3749</v>
      </c>
      <c r="D166" s="275" t="s">
        <v>3056</v>
      </c>
      <c r="E166" s="275" t="s">
        <v>2802</v>
      </c>
      <c r="F166" s="278">
        <v>30259</v>
      </c>
      <c r="G166" s="275" t="s">
        <v>2803</v>
      </c>
      <c r="H166" s="276">
        <v>15.75</v>
      </c>
      <c r="I166" s="276">
        <v>41.09</v>
      </c>
      <c r="J166" s="276">
        <v>15.45</v>
      </c>
      <c r="K166" s="276">
        <f t="shared" si="2"/>
        <v>0.30000000000000071</v>
      </c>
      <c r="L166" s="335"/>
    </row>
    <row r="167" spans="1:12">
      <c r="A167" s="275" t="s">
        <v>2844</v>
      </c>
      <c r="B167" s="275" t="s">
        <v>3094</v>
      </c>
      <c r="C167" s="275" t="s">
        <v>3748</v>
      </c>
      <c r="D167" s="275" t="s">
        <v>3056</v>
      </c>
      <c r="E167" s="275" t="s">
        <v>2802</v>
      </c>
      <c r="F167" s="278">
        <v>30272</v>
      </c>
      <c r="G167" s="275" t="s">
        <v>2803</v>
      </c>
      <c r="H167" s="276">
        <v>16</v>
      </c>
      <c r="I167" s="276">
        <v>40.5</v>
      </c>
      <c r="J167" s="276">
        <v>14.98</v>
      </c>
      <c r="K167" s="276">
        <f t="shared" si="2"/>
        <v>1.0199999999999996</v>
      </c>
      <c r="L167" s="335"/>
    </row>
    <row r="168" spans="1:12">
      <c r="A168" s="275" t="s">
        <v>2801</v>
      </c>
      <c r="B168" s="275" t="s">
        <v>2849</v>
      </c>
      <c r="C168" s="275" t="s">
        <v>3747</v>
      </c>
      <c r="D168" s="275" t="s">
        <v>3056</v>
      </c>
      <c r="E168" s="275" t="s">
        <v>2802</v>
      </c>
      <c r="F168" s="278">
        <v>30278</v>
      </c>
      <c r="G168" s="275" t="s">
        <v>2803</v>
      </c>
      <c r="H168" s="276">
        <v>15.5</v>
      </c>
      <c r="I168" s="276">
        <v>40.68</v>
      </c>
      <c r="J168" s="276">
        <v>14.98</v>
      </c>
      <c r="K168" s="276">
        <f t="shared" si="2"/>
        <v>0.51999999999999957</v>
      </c>
      <c r="L168" s="335"/>
    </row>
    <row r="169" spans="1:12">
      <c r="A169" s="275" t="s">
        <v>2805</v>
      </c>
      <c r="B169" s="275" t="s">
        <v>3079</v>
      </c>
      <c r="C169" s="275" t="s">
        <v>3745</v>
      </c>
      <c r="D169" s="275" t="s">
        <v>3056</v>
      </c>
      <c r="E169" s="275" t="s">
        <v>2802</v>
      </c>
      <c r="F169" s="278">
        <v>30279</v>
      </c>
      <c r="G169" s="275" t="s">
        <v>2803</v>
      </c>
      <c r="H169" s="276">
        <v>16.02</v>
      </c>
      <c r="I169" s="276">
        <v>39.5</v>
      </c>
      <c r="J169" s="276">
        <v>14.98</v>
      </c>
      <c r="K169" s="276">
        <f t="shared" si="2"/>
        <v>1.0399999999999991</v>
      </c>
      <c r="L169" s="335"/>
    </row>
    <row r="170" spans="1:12">
      <c r="A170" s="275" t="s">
        <v>2871</v>
      </c>
      <c r="B170" s="275" t="s">
        <v>3079</v>
      </c>
      <c r="C170" s="275" t="s">
        <v>3746</v>
      </c>
      <c r="D170" s="275" t="s">
        <v>3056</v>
      </c>
      <c r="E170" s="275" t="s">
        <v>2802</v>
      </c>
      <c r="F170" s="278">
        <v>30279</v>
      </c>
      <c r="G170" s="275" t="s">
        <v>2803</v>
      </c>
      <c r="H170" s="276">
        <v>14.5</v>
      </c>
      <c r="I170" s="276">
        <v>36.82</v>
      </c>
      <c r="J170" s="276">
        <v>14.98</v>
      </c>
      <c r="K170" s="276">
        <f t="shared" si="2"/>
        <v>-0.48000000000000043</v>
      </c>
      <c r="L170" s="335"/>
    </row>
    <row r="171" spans="1:12">
      <c r="A171" s="275" t="s">
        <v>2807</v>
      </c>
      <c r="B171" s="275" t="s">
        <v>3101</v>
      </c>
      <c r="C171" s="275" t="s">
        <v>3739</v>
      </c>
      <c r="D171" s="275" t="s">
        <v>3056</v>
      </c>
      <c r="E171" s="275" t="s">
        <v>2802</v>
      </c>
      <c r="F171" s="278">
        <v>30285</v>
      </c>
      <c r="G171" s="275" t="s">
        <v>2803</v>
      </c>
      <c r="H171" s="276">
        <v>16.100000000000001</v>
      </c>
      <c r="I171" s="276">
        <v>32.92</v>
      </c>
      <c r="J171" s="276">
        <v>14.98</v>
      </c>
      <c r="K171" s="276">
        <f t="shared" si="2"/>
        <v>1.120000000000001</v>
      </c>
      <c r="L171" s="335"/>
    </row>
    <row r="172" spans="1:12">
      <c r="A172" s="275" t="s">
        <v>2837</v>
      </c>
      <c r="B172" s="275" t="s">
        <v>3094</v>
      </c>
      <c r="C172" s="275" t="s">
        <v>3740</v>
      </c>
      <c r="D172" s="275" t="s">
        <v>3056</v>
      </c>
      <c r="E172" s="275" t="s">
        <v>2802</v>
      </c>
      <c r="F172" s="278">
        <v>30285</v>
      </c>
      <c r="G172" s="275" t="s">
        <v>2803</v>
      </c>
      <c r="H172" s="276">
        <v>16</v>
      </c>
      <c r="I172" s="276" t="s">
        <v>1447</v>
      </c>
      <c r="J172" s="276">
        <v>14.98</v>
      </c>
      <c r="K172" s="276">
        <f t="shared" si="2"/>
        <v>1.0199999999999996</v>
      </c>
      <c r="L172" s="335"/>
    </row>
    <row r="173" spans="1:12">
      <c r="A173" s="275" t="s">
        <v>2850</v>
      </c>
      <c r="B173" s="275" t="s">
        <v>3328</v>
      </c>
      <c r="C173" s="275" t="s">
        <v>3741</v>
      </c>
      <c r="D173" s="275" t="s">
        <v>3056</v>
      </c>
      <c r="E173" s="275" t="s">
        <v>2802</v>
      </c>
      <c r="F173" s="278">
        <v>30285</v>
      </c>
      <c r="G173" s="275" t="s">
        <v>2803</v>
      </c>
      <c r="H173" s="276">
        <v>15.65</v>
      </c>
      <c r="I173" s="276">
        <v>53.17</v>
      </c>
      <c r="J173" s="276">
        <v>14.98</v>
      </c>
      <c r="K173" s="276">
        <f t="shared" si="2"/>
        <v>0.66999999999999993</v>
      </c>
      <c r="L173" s="335"/>
    </row>
    <row r="174" spans="1:12">
      <c r="A174" s="275" t="s">
        <v>2807</v>
      </c>
      <c r="B174" s="275" t="s">
        <v>3136</v>
      </c>
      <c r="C174" s="275" t="s">
        <v>3742</v>
      </c>
      <c r="D174" s="275" t="s">
        <v>3056</v>
      </c>
      <c r="E174" s="275" t="s">
        <v>2802</v>
      </c>
      <c r="F174" s="278">
        <v>30285</v>
      </c>
      <c r="G174" s="275" t="s">
        <v>2803</v>
      </c>
      <c r="H174" s="276">
        <v>15.5</v>
      </c>
      <c r="I174" s="276">
        <v>51.72</v>
      </c>
      <c r="J174" s="276">
        <v>14.98</v>
      </c>
      <c r="K174" s="276">
        <f t="shared" si="2"/>
        <v>0.51999999999999957</v>
      </c>
      <c r="L174" s="335"/>
    </row>
    <row r="175" spans="1:12">
      <c r="A175" s="275" t="s">
        <v>2807</v>
      </c>
      <c r="B175" s="275" t="s">
        <v>4026</v>
      </c>
      <c r="C175" s="275" t="s">
        <v>3743</v>
      </c>
      <c r="D175" s="275" t="s">
        <v>3056</v>
      </c>
      <c r="E175" s="275" t="s">
        <v>2802</v>
      </c>
      <c r="F175" s="278">
        <v>30285</v>
      </c>
      <c r="G175" s="275" t="s">
        <v>2803</v>
      </c>
      <c r="H175" s="276">
        <v>15.5</v>
      </c>
      <c r="I175" s="276">
        <v>33.200000000000003</v>
      </c>
      <c r="J175" s="276">
        <v>14.98</v>
      </c>
      <c r="K175" s="276">
        <f t="shared" si="2"/>
        <v>0.51999999999999957</v>
      </c>
      <c r="L175" s="335"/>
    </row>
    <row r="176" spans="1:12">
      <c r="A176" s="275" t="s">
        <v>2872</v>
      </c>
      <c r="B176" s="275" t="s">
        <v>3075</v>
      </c>
      <c r="C176" s="275" t="s">
        <v>3744</v>
      </c>
      <c r="D176" s="275" t="s">
        <v>3056</v>
      </c>
      <c r="E176" s="275" t="s">
        <v>2802</v>
      </c>
      <c r="F176" s="278">
        <v>30285</v>
      </c>
      <c r="G176" s="275" t="s">
        <v>2803</v>
      </c>
      <c r="H176" s="276">
        <v>12.98</v>
      </c>
      <c r="I176" s="276" t="s">
        <v>1447</v>
      </c>
      <c r="J176" s="276">
        <v>14.98</v>
      </c>
      <c r="K176" s="276">
        <f t="shared" si="2"/>
        <v>-2</v>
      </c>
      <c r="L176" s="335"/>
    </row>
    <row r="177" spans="1:12">
      <c r="A177" s="275" t="s">
        <v>2813</v>
      </c>
      <c r="B177" s="275" t="s">
        <v>3385</v>
      </c>
      <c r="C177" s="275" t="s">
        <v>3738</v>
      </c>
      <c r="D177" s="275" t="s">
        <v>3056</v>
      </c>
      <c r="E177" s="275" t="s">
        <v>2802</v>
      </c>
      <c r="F177" s="278">
        <v>30288</v>
      </c>
      <c r="G177" s="275" t="s">
        <v>2803</v>
      </c>
      <c r="H177" s="276">
        <v>15.33</v>
      </c>
      <c r="I177" s="276">
        <v>32.78</v>
      </c>
      <c r="J177" s="276">
        <v>14.98</v>
      </c>
      <c r="K177" s="276">
        <f t="shared" si="2"/>
        <v>0.34999999999999964</v>
      </c>
      <c r="L177" s="335"/>
    </row>
    <row r="178" spans="1:12">
      <c r="A178" s="275" t="s">
        <v>2844</v>
      </c>
      <c r="B178" s="275" t="s">
        <v>3084</v>
      </c>
      <c r="C178" s="275" t="s">
        <v>3737</v>
      </c>
      <c r="D178" s="275" t="s">
        <v>3056</v>
      </c>
      <c r="E178" s="275" t="s">
        <v>2802</v>
      </c>
      <c r="F178" s="278">
        <v>30293</v>
      </c>
      <c r="G178" s="275" t="s">
        <v>2803</v>
      </c>
      <c r="H178" s="276">
        <v>15.75</v>
      </c>
      <c r="I178" s="276">
        <v>42</v>
      </c>
      <c r="J178" s="276">
        <v>14.98</v>
      </c>
      <c r="K178" s="276">
        <f t="shared" si="2"/>
        <v>0.76999999999999957</v>
      </c>
      <c r="L178" s="335"/>
    </row>
    <row r="179" spans="1:12">
      <c r="A179" s="275" t="s">
        <v>2873</v>
      </c>
      <c r="B179" s="275" t="s">
        <v>3972</v>
      </c>
      <c r="C179" s="275" t="s">
        <v>3736</v>
      </c>
      <c r="D179" s="275" t="s">
        <v>3056</v>
      </c>
      <c r="E179" s="275" t="s">
        <v>2802</v>
      </c>
      <c r="F179" s="278">
        <v>30298</v>
      </c>
      <c r="G179" s="275" t="s">
        <v>2803</v>
      </c>
      <c r="H179" s="276">
        <v>16</v>
      </c>
      <c r="I179" s="276">
        <v>49.72</v>
      </c>
      <c r="J179" s="276">
        <v>14.98</v>
      </c>
      <c r="K179" s="276">
        <f t="shared" si="2"/>
        <v>1.0199999999999996</v>
      </c>
      <c r="L179" s="335"/>
    </row>
    <row r="180" spans="1:12">
      <c r="A180" s="275" t="s">
        <v>2830</v>
      </c>
      <c r="B180" s="275" t="s">
        <v>4018</v>
      </c>
      <c r="C180" s="275" t="s">
        <v>3735</v>
      </c>
      <c r="D180" s="275" t="s">
        <v>3056</v>
      </c>
      <c r="E180" s="275" t="s">
        <v>2802</v>
      </c>
      <c r="F180" s="278">
        <v>30299</v>
      </c>
      <c r="G180" s="275" t="s">
        <v>2803</v>
      </c>
      <c r="H180" s="276">
        <v>16.399999999999999</v>
      </c>
      <c r="I180" s="276">
        <v>37.369999999999997</v>
      </c>
      <c r="J180" s="276">
        <v>14.98</v>
      </c>
      <c r="K180" s="276">
        <f t="shared" si="2"/>
        <v>1.4199999999999982</v>
      </c>
      <c r="L180" s="335"/>
    </row>
    <row r="181" spans="1:12">
      <c r="A181" s="275" t="s">
        <v>2804</v>
      </c>
      <c r="B181" s="275" t="s">
        <v>2874</v>
      </c>
      <c r="C181" s="275" t="s">
        <v>3734</v>
      </c>
      <c r="D181" s="275" t="s">
        <v>3056</v>
      </c>
      <c r="E181" s="275" t="s">
        <v>2802</v>
      </c>
      <c r="F181" s="278">
        <v>30302</v>
      </c>
      <c r="G181" s="275" t="s">
        <v>2803</v>
      </c>
      <c r="H181" s="276">
        <v>16.25</v>
      </c>
      <c r="I181" s="276">
        <v>43.7</v>
      </c>
      <c r="J181" s="276">
        <v>14.46</v>
      </c>
      <c r="K181" s="276">
        <f t="shared" si="2"/>
        <v>1.7899999999999991</v>
      </c>
      <c r="L181" s="335"/>
    </row>
    <row r="182" spans="1:12">
      <c r="A182" s="275" t="s">
        <v>2871</v>
      </c>
      <c r="B182" s="275" t="s">
        <v>3277</v>
      </c>
      <c r="C182" s="275" t="s">
        <v>3733</v>
      </c>
      <c r="D182" s="275" t="s">
        <v>3056</v>
      </c>
      <c r="E182" s="275" t="s">
        <v>2802</v>
      </c>
      <c r="F182" s="278">
        <v>30305</v>
      </c>
      <c r="G182" s="275" t="s">
        <v>2803</v>
      </c>
      <c r="H182" s="276">
        <v>15</v>
      </c>
      <c r="I182" s="276">
        <v>35.6</v>
      </c>
      <c r="J182" s="276">
        <v>14.46</v>
      </c>
      <c r="K182" s="276">
        <f t="shared" si="2"/>
        <v>0.53999999999999915</v>
      </c>
      <c r="L182" s="335"/>
    </row>
    <row r="183" spans="1:12">
      <c r="A183" s="275" t="s">
        <v>2811</v>
      </c>
      <c r="B183" s="275" t="s">
        <v>4014</v>
      </c>
      <c r="C183" s="275" t="s">
        <v>3732</v>
      </c>
      <c r="D183" s="275" t="s">
        <v>3056</v>
      </c>
      <c r="E183" s="275" t="s">
        <v>2802</v>
      </c>
      <c r="F183" s="278">
        <v>30306</v>
      </c>
      <c r="G183" s="275" t="s">
        <v>2803</v>
      </c>
      <c r="H183" s="276">
        <v>15.7</v>
      </c>
      <c r="I183" s="276">
        <v>46</v>
      </c>
      <c r="J183" s="276">
        <v>14.46</v>
      </c>
      <c r="K183" s="276">
        <f t="shared" si="2"/>
        <v>1.2399999999999984</v>
      </c>
      <c r="L183" s="335"/>
    </row>
    <row r="184" spans="1:12">
      <c r="A184" s="275" t="s">
        <v>2801</v>
      </c>
      <c r="B184" s="275" t="s">
        <v>3139</v>
      </c>
      <c r="C184" s="275" t="s">
        <v>3731</v>
      </c>
      <c r="D184" s="275" t="s">
        <v>3056</v>
      </c>
      <c r="E184" s="275" t="s">
        <v>2802</v>
      </c>
      <c r="F184" s="278">
        <v>30313</v>
      </c>
      <c r="G184" s="275" t="s">
        <v>2803</v>
      </c>
      <c r="H184" s="276">
        <v>15.25</v>
      </c>
      <c r="I184" s="276">
        <v>42.41</v>
      </c>
      <c r="J184" s="276">
        <v>14.46</v>
      </c>
      <c r="K184" s="276">
        <f t="shared" si="2"/>
        <v>0.78999999999999915</v>
      </c>
      <c r="L184" s="335"/>
    </row>
    <row r="185" spans="1:12">
      <c r="A185" s="275" t="s">
        <v>2801</v>
      </c>
      <c r="B185" s="275" t="s">
        <v>4021</v>
      </c>
      <c r="C185" s="275" t="s">
        <v>3730</v>
      </c>
      <c r="D185" s="275" t="s">
        <v>3056</v>
      </c>
      <c r="E185" s="275" t="s">
        <v>2802</v>
      </c>
      <c r="F185" s="278">
        <v>30313</v>
      </c>
      <c r="G185" s="275" t="s">
        <v>2803</v>
      </c>
      <c r="H185" s="276">
        <v>15.25</v>
      </c>
      <c r="I185" s="276">
        <v>42.75</v>
      </c>
      <c r="J185" s="276">
        <v>14.46</v>
      </c>
      <c r="K185" s="276">
        <f t="shared" si="2"/>
        <v>0.78999999999999915</v>
      </c>
      <c r="L185" s="335"/>
    </row>
    <row r="186" spans="1:12">
      <c r="A186" s="275" t="s">
        <v>2842</v>
      </c>
      <c r="B186" s="275" t="s">
        <v>2834</v>
      </c>
      <c r="C186" s="275" t="s">
        <v>3729</v>
      </c>
      <c r="D186" s="275" t="s">
        <v>3056</v>
      </c>
      <c r="E186" s="275" t="s">
        <v>2802</v>
      </c>
      <c r="F186" s="278">
        <v>30314</v>
      </c>
      <c r="G186" s="275" t="s">
        <v>2803</v>
      </c>
      <c r="H186" s="276">
        <v>16.25</v>
      </c>
      <c r="I186" s="276">
        <v>38</v>
      </c>
      <c r="J186" s="276">
        <v>14.46</v>
      </c>
      <c r="K186" s="276">
        <f t="shared" si="2"/>
        <v>1.7899999999999991</v>
      </c>
      <c r="L186" s="335"/>
    </row>
    <row r="187" spans="1:12">
      <c r="A187" s="275" t="s">
        <v>2842</v>
      </c>
      <c r="B187" s="275" t="s">
        <v>2843</v>
      </c>
      <c r="C187" s="275" t="s">
        <v>3728</v>
      </c>
      <c r="D187" s="275" t="s">
        <v>3056</v>
      </c>
      <c r="E187" s="275" t="s">
        <v>2802</v>
      </c>
      <c r="F187" s="278">
        <v>30314</v>
      </c>
      <c r="G187" s="275" t="s">
        <v>2803</v>
      </c>
      <c r="H187" s="276">
        <v>16.25</v>
      </c>
      <c r="I187" s="276">
        <v>35</v>
      </c>
      <c r="J187" s="276">
        <v>14.46</v>
      </c>
      <c r="K187" s="276">
        <f t="shared" si="2"/>
        <v>1.7899999999999991</v>
      </c>
      <c r="L187" s="335"/>
    </row>
    <row r="188" spans="1:12">
      <c r="A188" s="275" t="s">
        <v>2811</v>
      </c>
      <c r="B188" s="275" t="s">
        <v>2832</v>
      </c>
      <c r="C188" s="275" t="s">
        <v>3727</v>
      </c>
      <c r="D188" s="275" t="s">
        <v>3056</v>
      </c>
      <c r="E188" s="275" t="s">
        <v>2802</v>
      </c>
      <c r="F188" s="278">
        <v>30327</v>
      </c>
      <c r="G188" s="275" t="s">
        <v>2803</v>
      </c>
      <c r="H188" s="276">
        <v>15.9</v>
      </c>
      <c r="I188" s="276">
        <v>40.69</v>
      </c>
      <c r="J188" s="276">
        <v>14.46</v>
      </c>
      <c r="K188" s="276">
        <f t="shared" si="2"/>
        <v>1.4399999999999995</v>
      </c>
      <c r="L188" s="335"/>
    </row>
    <row r="189" spans="1:12">
      <c r="A189" s="275" t="s">
        <v>2801</v>
      </c>
      <c r="B189" s="275" t="s">
        <v>2849</v>
      </c>
      <c r="C189" s="275" t="s">
        <v>3726</v>
      </c>
      <c r="D189" s="275" t="s">
        <v>3056</v>
      </c>
      <c r="E189" s="275" t="s">
        <v>2802</v>
      </c>
      <c r="F189" s="278">
        <v>30328</v>
      </c>
      <c r="G189" s="275" t="s">
        <v>2803</v>
      </c>
      <c r="H189" s="276">
        <v>15.5</v>
      </c>
      <c r="I189" s="276">
        <v>42.82</v>
      </c>
      <c r="J189" s="276">
        <v>14.46</v>
      </c>
      <c r="K189" s="276">
        <f t="shared" si="2"/>
        <v>1.0399999999999991</v>
      </c>
      <c r="L189" s="335"/>
    </row>
    <row r="190" spans="1:12">
      <c r="A190" s="275" t="s">
        <v>2809</v>
      </c>
      <c r="B190" s="275" t="s">
        <v>3142</v>
      </c>
      <c r="C190" s="275" t="s">
        <v>3725</v>
      </c>
      <c r="D190" s="275" t="s">
        <v>3056</v>
      </c>
      <c r="E190" s="275" t="s">
        <v>2802</v>
      </c>
      <c r="F190" s="278">
        <v>30334</v>
      </c>
      <c r="G190" s="275" t="s">
        <v>2803</v>
      </c>
      <c r="H190" s="276">
        <v>15</v>
      </c>
      <c r="I190" s="276">
        <v>43.07</v>
      </c>
      <c r="J190" s="276">
        <v>14.43</v>
      </c>
      <c r="K190" s="276">
        <f t="shared" si="2"/>
        <v>0.57000000000000028</v>
      </c>
      <c r="L190" s="335"/>
    </row>
    <row r="191" spans="1:12">
      <c r="A191" s="275" t="s">
        <v>2837</v>
      </c>
      <c r="B191" s="275" t="s">
        <v>3094</v>
      </c>
      <c r="C191" s="275" t="s">
        <v>3723</v>
      </c>
      <c r="D191" s="275" t="s">
        <v>3056</v>
      </c>
      <c r="E191" s="275" t="s">
        <v>2802</v>
      </c>
      <c r="F191" s="278">
        <v>30340</v>
      </c>
      <c r="G191" s="275" t="s">
        <v>2803</v>
      </c>
      <c r="H191" s="276">
        <v>16</v>
      </c>
      <c r="I191" s="276">
        <v>34.229999999999997</v>
      </c>
      <c r="J191" s="276">
        <v>14.43</v>
      </c>
      <c r="K191" s="276">
        <f t="shared" si="2"/>
        <v>1.5700000000000003</v>
      </c>
      <c r="L191" s="335"/>
    </row>
    <row r="192" spans="1:12">
      <c r="A192" s="275" t="s">
        <v>2811</v>
      </c>
      <c r="B192" s="275" t="s">
        <v>2875</v>
      </c>
      <c r="C192" s="275" t="s">
        <v>3724</v>
      </c>
      <c r="D192" s="275" t="s">
        <v>3056</v>
      </c>
      <c r="E192" s="275" t="s">
        <v>2802</v>
      </c>
      <c r="F192" s="278">
        <v>30340</v>
      </c>
      <c r="G192" s="275" t="s">
        <v>2803</v>
      </c>
      <c r="H192" s="276">
        <v>15.5</v>
      </c>
      <c r="I192" s="276">
        <v>44.59</v>
      </c>
      <c r="J192" s="276">
        <v>14.43</v>
      </c>
      <c r="K192" s="276">
        <f t="shared" si="2"/>
        <v>1.0700000000000003</v>
      </c>
      <c r="L192" s="335"/>
    </row>
    <row r="193" spans="1:12">
      <c r="A193" s="275" t="s">
        <v>2857</v>
      </c>
      <c r="B193" s="275" t="s">
        <v>3099</v>
      </c>
      <c r="C193" s="275" t="s">
        <v>3722</v>
      </c>
      <c r="D193" s="275" t="s">
        <v>3056</v>
      </c>
      <c r="E193" s="275" t="s">
        <v>2802</v>
      </c>
      <c r="F193" s="278">
        <v>30344</v>
      </c>
      <c r="G193" s="275" t="s">
        <v>2803</v>
      </c>
      <c r="H193" s="276">
        <v>14.9</v>
      </c>
      <c r="I193" s="276">
        <v>49.9</v>
      </c>
      <c r="J193" s="276">
        <v>14.43</v>
      </c>
      <c r="K193" s="276">
        <f t="shared" si="2"/>
        <v>0.47000000000000064</v>
      </c>
      <c r="L193" s="335"/>
    </row>
    <row r="194" spans="1:12">
      <c r="A194" s="275" t="s">
        <v>2816</v>
      </c>
      <c r="B194" s="275" t="s">
        <v>2817</v>
      </c>
      <c r="C194" s="275" t="s">
        <v>3721</v>
      </c>
      <c r="D194" s="275" t="s">
        <v>3056</v>
      </c>
      <c r="E194" s="275" t="s">
        <v>2802</v>
      </c>
      <c r="F194" s="278">
        <v>30357</v>
      </c>
      <c r="G194" s="275" t="s">
        <v>2803</v>
      </c>
      <c r="H194" s="276">
        <v>15</v>
      </c>
      <c r="I194" s="276">
        <v>40.29</v>
      </c>
      <c r="J194" s="276">
        <v>14.43</v>
      </c>
      <c r="K194" s="276">
        <f t="shared" si="2"/>
        <v>0.57000000000000028</v>
      </c>
      <c r="L194" s="335"/>
    </row>
    <row r="195" spans="1:12">
      <c r="A195" s="275" t="s">
        <v>2840</v>
      </c>
      <c r="B195" s="275" t="s">
        <v>3079</v>
      </c>
      <c r="C195" s="275" t="s">
        <v>3720</v>
      </c>
      <c r="D195" s="275" t="s">
        <v>3056</v>
      </c>
      <c r="E195" s="275" t="s">
        <v>2802</v>
      </c>
      <c r="F195" s="278">
        <v>30372</v>
      </c>
      <c r="G195" s="275" t="s">
        <v>2803</v>
      </c>
      <c r="H195" s="276">
        <v>15.7</v>
      </c>
      <c r="I195" s="276">
        <v>41.9</v>
      </c>
      <c r="J195" s="276">
        <v>14.24</v>
      </c>
      <c r="K195" s="276">
        <f t="shared" si="2"/>
        <v>1.4599999999999991</v>
      </c>
      <c r="L195" s="335"/>
    </row>
    <row r="196" spans="1:12">
      <c r="A196" s="275" t="s">
        <v>2835</v>
      </c>
      <c r="B196" s="275" t="s">
        <v>2836</v>
      </c>
      <c r="C196" s="275" t="s">
        <v>3719</v>
      </c>
      <c r="D196" s="275" t="s">
        <v>3056</v>
      </c>
      <c r="E196" s="275" t="s">
        <v>2802</v>
      </c>
      <c r="F196" s="278">
        <v>30377</v>
      </c>
      <c r="G196" s="275" t="s">
        <v>2803</v>
      </c>
      <c r="H196" s="276">
        <v>15.25</v>
      </c>
      <c r="I196" s="276">
        <v>39.46</v>
      </c>
      <c r="J196" s="276">
        <v>14.24</v>
      </c>
      <c r="K196" s="276">
        <f t="shared" si="2"/>
        <v>1.0099999999999998</v>
      </c>
      <c r="L196" s="335"/>
    </row>
    <row r="197" spans="1:12">
      <c r="A197" s="275" t="s">
        <v>2873</v>
      </c>
      <c r="B197" s="275" t="s">
        <v>3328</v>
      </c>
      <c r="C197" s="275" t="s">
        <v>3718</v>
      </c>
      <c r="D197" s="275" t="s">
        <v>3056</v>
      </c>
      <c r="E197" s="275" t="s">
        <v>2802</v>
      </c>
      <c r="F197" s="278">
        <v>30391</v>
      </c>
      <c r="G197" s="275" t="s">
        <v>2803</v>
      </c>
      <c r="H197" s="276">
        <v>16</v>
      </c>
      <c r="I197" s="276">
        <v>57.44</v>
      </c>
      <c r="J197" s="276">
        <v>14.28</v>
      </c>
      <c r="K197" s="276">
        <f t="shared" si="2"/>
        <v>1.7200000000000006</v>
      </c>
      <c r="L197" s="335"/>
    </row>
    <row r="198" spans="1:12">
      <c r="A198" s="275" t="s">
        <v>2857</v>
      </c>
      <c r="B198" s="275" t="s">
        <v>3129</v>
      </c>
      <c r="C198" s="275" t="s">
        <v>3717</v>
      </c>
      <c r="D198" s="275" t="s">
        <v>3056</v>
      </c>
      <c r="E198" s="275" t="s">
        <v>2802</v>
      </c>
      <c r="F198" s="278">
        <v>30396</v>
      </c>
      <c r="G198" s="275" t="s">
        <v>2803</v>
      </c>
      <c r="H198" s="276">
        <v>14.96</v>
      </c>
      <c r="I198" s="276">
        <v>55.07</v>
      </c>
      <c r="J198" s="276">
        <v>14.28</v>
      </c>
      <c r="K198" s="276">
        <f t="shared" ref="K198:K261" si="3">H198-J198</f>
        <v>0.68000000000000149</v>
      </c>
      <c r="L198" s="335"/>
    </row>
    <row r="199" spans="1:12">
      <c r="A199" s="275" t="s">
        <v>2811</v>
      </c>
      <c r="B199" s="275" t="s">
        <v>2812</v>
      </c>
      <c r="C199" s="275" t="s">
        <v>3716</v>
      </c>
      <c r="D199" s="275" t="s">
        <v>3056</v>
      </c>
      <c r="E199" s="275" t="s">
        <v>2802</v>
      </c>
      <c r="F199" s="278">
        <v>30398</v>
      </c>
      <c r="G199" s="275" t="s">
        <v>2803</v>
      </c>
      <c r="H199" s="276">
        <v>15.4</v>
      </c>
      <c r="I199" s="276">
        <v>41.97</v>
      </c>
      <c r="J199" s="276">
        <v>14.28</v>
      </c>
      <c r="K199" s="276">
        <f t="shared" si="3"/>
        <v>1.120000000000001</v>
      </c>
      <c r="L199" s="335"/>
    </row>
    <row r="200" spans="1:12">
      <c r="A200" s="275" t="s">
        <v>2809</v>
      </c>
      <c r="B200" s="275" t="s">
        <v>2853</v>
      </c>
      <c r="C200" s="275" t="s">
        <v>3715</v>
      </c>
      <c r="D200" s="275" t="s">
        <v>3056</v>
      </c>
      <c r="E200" s="275" t="s">
        <v>2802</v>
      </c>
      <c r="F200" s="278">
        <v>30399</v>
      </c>
      <c r="G200" s="275" t="s">
        <v>2803</v>
      </c>
      <c r="H200" s="276">
        <v>15</v>
      </c>
      <c r="I200" s="276">
        <v>42.5</v>
      </c>
      <c r="J200" s="276">
        <v>14.28</v>
      </c>
      <c r="K200" s="276">
        <f t="shared" si="3"/>
        <v>0.72000000000000064</v>
      </c>
      <c r="L200" s="335"/>
    </row>
    <row r="201" spans="1:12">
      <c r="A201" s="275" t="s">
        <v>2851</v>
      </c>
      <c r="B201" s="275" t="s">
        <v>2876</v>
      </c>
      <c r="C201" s="275" t="s">
        <v>3714</v>
      </c>
      <c r="D201" s="275" t="s">
        <v>3056</v>
      </c>
      <c r="E201" s="275" t="s">
        <v>2802</v>
      </c>
      <c r="F201" s="278">
        <v>30418</v>
      </c>
      <c r="G201" s="275" t="s">
        <v>2803</v>
      </c>
      <c r="H201" s="276">
        <v>13.25</v>
      </c>
      <c r="I201" s="276">
        <v>28.42</v>
      </c>
      <c r="J201" s="276">
        <v>14.28</v>
      </c>
      <c r="K201" s="276">
        <f t="shared" si="3"/>
        <v>-1.0299999999999994</v>
      </c>
      <c r="L201" s="335"/>
    </row>
    <row r="202" spans="1:12">
      <c r="A202" s="275" t="s">
        <v>2821</v>
      </c>
      <c r="B202" s="275" t="s">
        <v>3073</v>
      </c>
      <c r="C202" s="275" t="s">
        <v>3713</v>
      </c>
      <c r="D202" s="275" t="s">
        <v>3056</v>
      </c>
      <c r="E202" s="275" t="s">
        <v>2802</v>
      </c>
      <c r="F202" s="278">
        <v>30439</v>
      </c>
      <c r="G202" s="275" t="s">
        <v>2803</v>
      </c>
      <c r="H202" s="276">
        <v>15.4</v>
      </c>
      <c r="I202" s="276">
        <v>43</v>
      </c>
      <c r="J202" s="276">
        <v>14.03</v>
      </c>
      <c r="K202" s="276">
        <f t="shared" si="3"/>
        <v>1.370000000000001</v>
      </c>
      <c r="L202" s="335"/>
    </row>
    <row r="203" spans="1:12">
      <c r="A203" s="275" t="s">
        <v>2837</v>
      </c>
      <c r="B203" s="275" t="s">
        <v>2839</v>
      </c>
      <c r="C203" s="275" t="s">
        <v>3712</v>
      </c>
      <c r="D203" s="275" t="s">
        <v>3056</v>
      </c>
      <c r="E203" s="275" t="s">
        <v>2802</v>
      </c>
      <c r="F203" s="278">
        <v>30445</v>
      </c>
      <c r="G203" s="275" t="s">
        <v>2803</v>
      </c>
      <c r="H203" s="276">
        <v>15.5</v>
      </c>
      <c r="I203" s="276">
        <v>38.340000000000003</v>
      </c>
      <c r="J203" s="276">
        <v>14.03</v>
      </c>
      <c r="K203" s="276">
        <f t="shared" si="3"/>
        <v>1.4700000000000006</v>
      </c>
      <c r="L203" s="335"/>
    </row>
    <row r="204" spans="1:12">
      <c r="A204" s="275" t="s">
        <v>2811</v>
      </c>
      <c r="B204" s="275" t="s">
        <v>2815</v>
      </c>
      <c r="C204" s="275" t="s">
        <v>3711</v>
      </c>
      <c r="D204" s="275" t="s">
        <v>3056</v>
      </c>
      <c r="E204" s="275" t="s">
        <v>2802</v>
      </c>
      <c r="F204" s="278">
        <v>30467</v>
      </c>
      <c r="G204" s="275" t="s">
        <v>2803</v>
      </c>
      <c r="H204" s="276">
        <v>14</v>
      </c>
      <c r="I204" s="276">
        <v>47.12</v>
      </c>
      <c r="J204" s="276">
        <v>13.64</v>
      </c>
      <c r="K204" s="276">
        <f t="shared" si="3"/>
        <v>0.35999999999999943</v>
      </c>
      <c r="L204" s="335"/>
    </row>
    <row r="205" spans="1:12">
      <c r="A205" s="275" t="s">
        <v>2809</v>
      </c>
      <c r="B205" s="275" t="s">
        <v>2810</v>
      </c>
      <c r="C205" s="275" t="s">
        <v>3710</v>
      </c>
      <c r="D205" s="275" t="s">
        <v>3056</v>
      </c>
      <c r="E205" s="275" t="s">
        <v>2802</v>
      </c>
      <c r="F205" s="278">
        <v>30469</v>
      </c>
      <c r="G205" s="275" t="s">
        <v>2803</v>
      </c>
      <c r="H205" s="276">
        <v>14.5</v>
      </c>
      <c r="I205" s="276">
        <v>42.75</v>
      </c>
      <c r="J205" s="276">
        <v>13.64</v>
      </c>
      <c r="K205" s="276">
        <f t="shared" si="3"/>
        <v>0.85999999999999943</v>
      </c>
      <c r="L205" s="335"/>
    </row>
    <row r="206" spans="1:12">
      <c r="A206" s="275" t="s">
        <v>2831</v>
      </c>
      <c r="B206" s="275" t="s">
        <v>4016</v>
      </c>
      <c r="C206" s="275" t="s">
        <v>3709</v>
      </c>
      <c r="D206" s="275" t="s">
        <v>3056</v>
      </c>
      <c r="E206" s="275" t="s">
        <v>2802</v>
      </c>
      <c r="F206" s="278">
        <v>30474</v>
      </c>
      <c r="G206" s="275" t="s">
        <v>2803</v>
      </c>
      <c r="H206" s="276">
        <v>14.5</v>
      </c>
      <c r="I206" s="276">
        <v>44.18</v>
      </c>
      <c r="J206" s="276">
        <v>13.64</v>
      </c>
      <c r="K206" s="276">
        <f t="shared" si="3"/>
        <v>0.85999999999999943</v>
      </c>
      <c r="L206" s="335"/>
    </row>
    <row r="207" spans="1:12">
      <c r="A207" s="275" t="s">
        <v>2846</v>
      </c>
      <c r="B207" s="275" t="s">
        <v>4022</v>
      </c>
      <c r="C207" s="275" t="s">
        <v>3708</v>
      </c>
      <c r="D207" s="275" t="s">
        <v>3056</v>
      </c>
      <c r="E207" s="275" t="s">
        <v>2802</v>
      </c>
      <c r="F207" s="278">
        <v>30487</v>
      </c>
      <c r="G207" s="275" t="s">
        <v>2803</v>
      </c>
      <c r="H207" s="276">
        <v>14.15</v>
      </c>
      <c r="I207" s="276">
        <v>40.93</v>
      </c>
      <c r="J207" s="276">
        <v>13.49</v>
      </c>
      <c r="K207" s="276">
        <f t="shared" si="3"/>
        <v>0.66000000000000014</v>
      </c>
      <c r="L207" s="335"/>
    </row>
    <row r="208" spans="1:12">
      <c r="A208" s="275" t="s">
        <v>2838</v>
      </c>
      <c r="B208" s="275" t="s">
        <v>3075</v>
      </c>
      <c r="C208" s="275" t="s">
        <v>3707</v>
      </c>
      <c r="D208" s="275" t="s">
        <v>3056</v>
      </c>
      <c r="E208" s="275" t="s">
        <v>2802</v>
      </c>
      <c r="F208" s="278">
        <v>30494</v>
      </c>
      <c r="G208" s="275" t="s">
        <v>2803</v>
      </c>
      <c r="H208" s="276">
        <v>14.5</v>
      </c>
      <c r="I208" s="276" t="s">
        <v>1447</v>
      </c>
      <c r="J208" s="276">
        <v>13.49</v>
      </c>
      <c r="K208" s="276">
        <f t="shared" si="3"/>
        <v>1.0099999999999998</v>
      </c>
      <c r="L208" s="335"/>
    </row>
    <row r="209" spans="1:12">
      <c r="A209" s="275" t="s">
        <v>2830</v>
      </c>
      <c r="B209" s="275" t="s">
        <v>3157</v>
      </c>
      <c r="C209" s="275" t="s">
        <v>3705</v>
      </c>
      <c r="D209" s="275" t="s">
        <v>3056</v>
      </c>
      <c r="E209" s="275" t="s">
        <v>2802</v>
      </c>
      <c r="F209" s="278">
        <v>30497</v>
      </c>
      <c r="G209" s="275" t="s">
        <v>2803</v>
      </c>
      <c r="H209" s="276">
        <v>15.9</v>
      </c>
      <c r="I209" s="276">
        <v>32.75</v>
      </c>
      <c r="J209" s="276">
        <v>13.49</v>
      </c>
      <c r="K209" s="276">
        <f t="shared" si="3"/>
        <v>2.41</v>
      </c>
      <c r="L209" s="335"/>
    </row>
    <row r="210" spans="1:12">
      <c r="A210" s="275" t="s">
        <v>3392</v>
      </c>
      <c r="B210" s="275" t="s">
        <v>4029</v>
      </c>
      <c r="C210" s="275" t="s">
        <v>3706</v>
      </c>
      <c r="D210" s="275" t="s">
        <v>3056</v>
      </c>
      <c r="E210" s="275" t="s">
        <v>2802</v>
      </c>
      <c r="F210" s="278">
        <v>30497</v>
      </c>
      <c r="G210" s="275" t="s">
        <v>2803</v>
      </c>
      <c r="H210" s="276">
        <v>14.8</v>
      </c>
      <c r="I210" s="276">
        <v>46</v>
      </c>
      <c r="J210" s="276">
        <v>13.49</v>
      </c>
      <c r="K210" s="276">
        <f t="shared" si="3"/>
        <v>1.3100000000000005</v>
      </c>
      <c r="L210" s="335"/>
    </row>
    <row r="211" spans="1:12">
      <c r="A211" s="275" t="s">
        <v>2805</v>
      </c>
      <c r="B211" s="275" t="s">
        <v>2829</v>
      </c>
      <c r="C211" s="275" t="s">
        <v>3704</v>
      </c>
      <c r="D211" s="275" t="s">
        <v>3056</v>
      </c>
      <c r="E211" s="275" t="s">
        <v>2802</v>
      </c>
      <c r="F211" s="278">
        <v>30498</v>
      </c>
      <c r="G211" s="275" t="s">
        <v>2803</v>
      </c>
      <c r="H211" s="276">
        <v>14.8</v>
      </c>
      <c r="I211" s="276">
        <v>40.299999999999997</v>
      </c>
      <c r="J211" s="276">
        <v>13.49</v>
      </c>
      <c r="K211" s="276">
        <f t="shared" si="3"/>
        <v>1.3100000000000005</v>
      </c>
      <c r="L211" s="335"/>
    </row>
    <row r="212" spans="1:12">
      <c r="A212" s="275" t="s">
        <v>2835</v>
      </c>
      <c r="B212" s="275" t="s">
        <v>3531</v>
      </c>
      <c r="C212" s="275" t="s">
        <v>3703</v>
      </c>
      <c r="D212" s="275" t="s">
        <v>3056</v>
      </c>
      <c r="E212" s="275" t="s">
        <v>2802</v>
      </c>
      <c r="F212" s="278">
        <v>30502</v>
      </c>
      <c r="G212" s="275" t="s">
        <v>2803</v>
      </c>
      <c r="H212" s="276">
        <v>15</v>
      </c>
      <c r="I212" s="276">
        <v>43.06</v>
      </c>
      <c r="J212" s="276">
        <v>13.49</v>
      </c>
      <c r="K212" s="276">
        <f t="shared" si="3"/>
        <v>1.5099999999999998</v>
      </c>
      <c r="L212" s="335"/>
    </row>
    <row r="213" spans="1:12">
      <c r="A213" s="275" t="s">
        <v>2804</v>
      </c>
      <c r="B213" s="275" t="s">
        <v>3495</v>
      </c>
      <c r="C213" s="275" t="s">
        <v>3702</v>
      </c>
      <c r="D213" s="275" t="s">
        <v>3056</v>
      </c>
      <c r="E213" s="275" t="s">
        <v>2802</v>
      </c>
      <c r="F213" s="278">
        <v>30505</v>
      </c>
      <c r="G213" s="275" t="s">
        <v>2803</v>
      </c>
      <c r="H213" s="276">
        <v>15.5</v>
      </c>
      <c r="I213" s="276">
        <v>54</v>
      </c>
      <c r="J213" s="276">
        <v>13.49</v>
      </c>
      <c r="K213" s="276">
        <f t="shared" si="3"/>
        <v>2.0099999999999998</v>
      </c>
      <c r="L213" s="335"/>
    </row>
    <row r="214" spans="1:12">
      <c r="A214" s="275" t="s">
        <v>2811</v>
      </c>
      <c r="B214" s="275" t="s">
        <v>4017</v>
      </c>
      <c r="C214" s="275" t="s">
        <v>3700</v>
      </c>
      <c r="D214" s="275" t="s">
        <v>3056</v>
      </c>
      <c r="E214" s="275" t="s">
        <v>2802</v>
      </c>
      <c r="F214" s="278">
        <v>30516</v>
      </c>
      <c r="G214" s="275" t="s">
        <v>2803</v>
      </c>
      <c r="H214" s="276">
        <v>15.1</v>
      </c>
      <c r="I214" s="276">
        <v>41.92</v>
      </c>
      <c r="J214" s="276">
        <v>13.65</v>
      </c>
      <c r="K214" s="276">
        <f t="shared" si="3"/>
        <v>1.4499999999999993</v>
      </c>
      <c r="L214" s="335"/>
    </row>
    <row r="215" spans="1:12">
      <c r="A215" s="275" t="s">
        <v>2809</v>
      </c>
      <c r="B215" s="275" t="s">
        <v>4023</v>
      </c>
      <c r="C215" s="275" t="s">
        <v>3701</v>
      </c>
      <c r="D215" s="275" t="s">
        <v>3056</v>
      </c>
      <c r="E215" s="275" t="s">
        <v>2802</v>
      </c>
      <c r="F215" s="278">
        <v>30516</v>
      </c>
      <c r="G215" s="275" t="s">
        <v>2803</v>
      </c>
      <c r="H215" s="276">
        <v>15</v>
      </c>
      <c r="I215" s="276">
        <v>43.7</v>
      </c>
      <c r="J215" s="276">
        <v>13.65</v>
      </c>
      <c r="K215" s="276">
        <f t="shared" si="3"/>
        <v>1.3499999999999996</v>
      </c>
      <c r="L215" s="335"/>
    </row>
    <row r="216" spans="1:12">
      <c r="A216" s="275" t="s">
        <v>2850</v>
      </c>
      <c r="B216" s="275" t="s">
        <v>3361</v>
      </c>
      <c r="C216" s="275" t="s">
        <v>3699</v>
      </c>
      <c r="D216" s="275" t="s">
        <v>3056</v>
      </c>
      <c r="E216" s="275" t="s">
        <v>2802</v>
      </c>
      <c r="F216" s="278">
        <v>30546</v>
      </c>
      <c r="G216" s="275" t="s">
        <v>2803</v>
      </c>
      <c r="H216" s="276">
        <v>15.3</v>
      </c>
      <c r="I216" s="276">
        <v>42.97</v>
      </c>
      <c r="J216" s="276">
        <v>13.57</v>
      </c>
      <c r="K216" s="276">
        <f t="shared" si="3"/>
        <v>1.7300000000000004</v>
      </c>
      <c r="L216" s="335"/>
    </row>
    <row r="217" spans="1:12">
      <c r="A217" s="275" t="s">
        <v>2818</v>
      </c>
      <c r="B217" s="275" t="s">
        <v>4015</v>
      </c>
      <c r="C217" s="275" t="s">
        <v>3698</v>
      </c>
      <c r="D217" s="275" t="s">
        <v>3056</v>
      </c>
      <c r="E217" s="275" t="s">
        <v>2802</v>
      </c>
      <c r="F217" s="278">
        <v>30547</v>
      </c>
      <c r="G217" s="275" t="s">
        <v>2803</v>
      </c>
      <c r="H217" s="276">
        <v>15.79</v>
      </c>
      <c r="I217" s="276">
        <v>64.489999999999995</v>
      </c>
      <c r="J217" s="276">
        <v>13.57</v>
      </c>
      <c r="K217" s="276">
        <f t="shared" si="3"/>
        <v>2.2199999999999989</v>
      </c>
      <c r="L217" s="335"/>
    </row>
    <row r="218" spans="1:12">
      <c r="A218" s="275" t="s">
        <v>2809</v>
      </c>
      <c r="B218" s="275" t="s">
        <v>2854</v>
      </c>
      <c r="C218" s="275" t="s">
        <v>3697</v>
      </c>
      <c r="D218" s="275" t="s">
        <v>3056</v>
      </c>
      <c r="E218" s="275" t="s">
        <v>2802</v>
      </c>
      <c r="F218" s="278">
        <v>30559</v>
      </c>
      <c r="G218" s="275" t="s">
        <v>2803</v>
      </c>
      <c r="H218" s="276">
        <v>14.75</v>
      </c>
      <c r="I218" s="276">
        <v>45.5</v>
      </c>
      <c r="J218" s="276">
        <v>13.57</v>
      </c>
      <c r="K218" s="276">
        <f t="shared" si="3"/>
        <v>1.1799999999999997</v>
      </c>
      <c r="L218" s="335"/>
    </row>
    <row r="219" spans="1:12">
      <c r="A219" s="275" t="s">
        <v>2809</v>
      </c>
      <c r="B219" s="275" t="s">
        <v>4025</v>
      </c>
      <c r="C219" s="275" t="s">
        <v>3696</v>
      </c>
      <c r="D219" s="275" t="s">
        <v>3056</v>
      </c>
      <c r="E219" s="275" t="s">
        <v>2802</v>
      </c>
      <c r="F219" s="278">
        <v>30567</v>
      </c>
      <c r="G219" s="275" t="s">
        <v>2803</v>
      </c>
      <c r="H219" s="276">
        <v>14.75</v>
      </c>
      <c r="I219" s="276">
        <v>47.79</v>
      </c>
      <c r="J219" s="276">
        <v>13.57</v>
      </c>
      <c r="K219" s="276">
        <f t="shared" si="3"/>
        <v>1.1799999999999997</v>
      </c>
      <c r="L219" s="335"/>
    </row>
    <row r="220" spans="1:12">
      <c r="A220" s="275" t="s">
        <v>2808</v>
      </c>
      <c r="B220" s="275" t="s">
        <v>3129</v>
      </c>
      <c r="C220" s="275" t="s">
        <v>3695</v>
      </c>
      <c r="D220" s="275" t="s">
        <v>3056</v>
      </c>
      <c r="E220" s="275" t="s">
        <v>2802</v>
      </c>
      <c r="F220" s="278">
        <v>30575</v>
      </c>
      <c r="G220" s="275" t="s">
        <v>2803</v>
      </c>
      <c r="H220" s="276">
        <v>15.51</v>
      </c>
      <c r="I220" s="276">
        <v>50.87</v>
      </c>
      <c r="J220" s="276">
        <v>13.57</v>
      </c>
      <c r="K220" s="276">
        <f t="shared" si="3"/>
        <v>1.9399999999999995</v>
      </c>
      <c r="L220" s="335"/>
    </row>
    <row r="221" spans="1:12">
      <c r="A221" s="275" t="s">
        <v>2838</v>
      </c>
      <c r="B221" s="275" t="s">
        <v>3129</v>
      </c>
      <c r="C221" s="275" t="s">
        <v>3694</v>
      </c>
      <c r="D221" s="275" t="s">
        <v>3056</v>
      </c>
      <c r="E221" s="275" t="s">
        <v>2802</v>
      </c>
      <c r="F221" s="278">
        <v>30585</v>
      </c>
      <c r="G221" s="275" t="s">
        <v>2803</v>
      </c>
      <c r="H221" s="276">
        <v>14.5</v>
      </c>
      <c r="I221" s="276">
        <v>49.09</v>
      </c>
      <c r="J221" s="276">
        <v>13.57</v>
      </c>
      <c r="K221" s="276">
        <f t="shared" si="3"/>
        <v>0.92999999999999972</v>
      </c>
      <c r="L221" s="335"/>
    </row>
    <row r="222" spans="1:12">
      <c r="A222" s="275" t="s">
        <v>2861</v>
      </c>
      <c r="B222" s="275" t="s">
        <v>4028</v>
      </c>
      <c r="C222" s="275" t="s">
        <v>3693</v>
      </c>
      <c r="D222" s="275" t="s">
        <v>3056</v>
      </c>
      <c r="E222" s="275" t="s">
        <v>2802</v>
      </c>
      <c r="F222" s="278">
        <v>30587</v>
      </c>
      <c r="G222" s="275" t="s">
        <v>2803</v>
      </c>
      <c r="H222" s="276">
        <v>14.25</v>
      </c>
      <c r="I222" s="276">
        <v>41.77</v>
      </c>
      <c r="J222" s="276">
        <v>13.57</v>
      </c>
      <c r="K222" s="276">
        <f t="shared" si="3"/>
        <v>0.67999999999999972</v>
      </c>
      <c r="L222" s="335"/>
    </row>
    <row r="223" spans="1:12">
      <c r="A223" s="275" t="s">
        <v>2806</v>
      </c>
      <c r="B223" s="275" t="s">
        <v>3081</v>
      </c>
      <c r="C223" s="275" t="s">
        <v>3691</v>
      </c>
      <c r="D223" s="275" t="s">
        <v>3056</v>
      </c>
      <c r="E223" s="275" t="s">
        <v>2802</v>
      </c>
      <c r="F223" s="278">
        <v>30589</v>
      </c>
      <c r="G223" s="275" t="s">
        <v>2803</v>
      </c>
      <c r="H223" s="276">
        <v>16.25</v>
      </c>
      <c r="I223" s="276">
        <v>34.409999999999997</v>
      </c>
      <c r="J223" s="276">
        <v>13.57</v>
      </c>
      <c r="K223" s="276">
        <f t="shared" si="3"/>
        <v>2.6799999999999997</v>
      </c>
      <c r="L223" s="335"/>
    </row>
    <row r="224" spans="1:12">
      <c r="A224" s="275" t="s">
        <v>2824</v>
      </c>
      <c r="B224" s="275" t="s">
        <v>2825</v>
      </c>
      <c r="C224" s="275" t="s">
        <v>3692</v>
      </c>
      <c r="D224" s="275" t="s">
        <v>3056</v>
      </c>
      <c r="E224" s="275" t="s">
        <v>2802</v>
      </c>
      <c r="F224" s="278">
        <v>30589</v>
      </c>
      <c r="G224" s="275" t="s">
        <v>2803</v>
      </c>
      <c r="H224" s="276">
        <v>16.149999999999999</v>
      </c>
      <c r="I224" s="276">
        <v>42.5</v>
      </c>
      <c r="J224" s="276">
        <v>13.57</v>
      </c>
      <c r="K224" s="276">
        <f t="shared" si="3"/>
        <v>2.5799999999999983</v>
      </c>
      <c r="L224" s="335"/>
    </row>
    <row r="225" spans="1:12">
      <c r="A225" s="275" t="s">
        <v>2801</v>
      </c>
      <c r="B225" s="275" t="s">
        <v>2817</v>
      </c>
      <c r="C225" s="275" t="s">
        <v>3690</v>
      </c>
      <c r="D225" s="275" t="s">
        <v>3056</v>
      </c>
      <c r="E225" s="275" t="s">
        <v>2802</v>
      </c>
      <c r="F225" s="278">
        <v>30602</v>
      </c>
      <c r="G225" s="275" t="s">
        <v>2803</v>
      </c>
      <c r="H225" s="276">
        <v>15.52</v>
      </c>
      <c r="I225" s="276">
        <v>36.159999999999997</v>
      </c>
      <c r="J225" s="276">
        <v>13.57</v>
      </c>
      <c r="K225" s="276">
        <f t="shared" si="3"/>
        <v>1.9499999999999993</v>
      </c>
      <c r="L225" s="335"/>
    </row>
    <row r="226" spans="1:12">
      <c r="A226" s="275" t="s">
        <v>2811</v>
      </c>
      <c r="B226" s="275" t="s">
        <v>3623</v>
      </c>
      <c r="C226" s="275" t="s">
        <v>3689</v>
      </c>
      <c r="D226" s="275" t="s">
        <v>3056</v>
      </c>
      <c r="E226" s="275" t="s">
        <v>2802</v>
      </c>
      <c r="F226" s="278">
        <v>30608</v>
      </c>
      <c r="G226" s="275" t="s">
        <v>2803</v>
      </c>
      <c r="H226" s="276">
        <v>15.2</v>
      </c>
      <c r="I226" s="276">
        <v>42.6</v>
      </c>
      <c r="J226" s="276">
        <v>13.44</v>
      </c>
      <c r="K226" s="276">
        <f t="shared" si="3"/>
        <v>1.7599999999999998</v>
      </c>
      <c r="L226" s="335"/>
    </row>
    <row r="227" spans="1:12">
      <c r="A227" s="275" t="s">
        <v>2858</v>
      </c>
      <c r="B227" s="275" t="s">
        <v>2859</v>
      </c>
      <c r="C227" s="275" t="s">
        <v>3688</v>
      </c>
      <c r="D227" s="275" t="s">
        <v>3056</v>
      </c>
      <c r="E227" s="275" t="s">
        <v>2802</v>
      </c>
      <c r="F227" s="278">
        <v>30615</v>
      </c>
      <c r="G227" s="275" t="s">
        <v>2803</v>
      </c>
      <c r="H227" s="276">
        <v>14.75</v>
      </c>
      <c r="I227" s="276">
        <v>46</v>
      </c>
      <c r="J227" s="276">
        <v>13.44</v>
      </c>
      <c r="K227" s="276">
        <f t="shared" si="3"/>
        <v>1.3100000000000005</v>
      </c>
      <c r="L227" s="335"/>
    </row>
    <row r="228" spans="1:12">
      <c r="A228" s="275" t="s">
        <v>2813</v>
      </c>
      <c r="B228" s="275" t="s">
        <v>3385</v>
      </c>
      <c r="C228" s="275" t="s">
        <v>3686</v>
      </c>
      <c r="D228" s="275" t="s">
        <v>3056</v>
      </c>
      <c r="E228" s="275" t="s">
        <v>2802</v>
      </c>
      <c r="F228" s="278">
        <v>30616</v>
      </c>
      <c r="G228" s="275" t="s">
        <v>2803</v>
      </c>
      <c r="H228" s="276">
        <v>15.33</v>
      </c>
      <c r="I228" s="276">
        <v>31.18</v>
      </c>
      <c r="J228" s="276">
        <v>13.44</v>
      </c>
      <c r="K228" s="276">
        <f t="shared" si="3"/>
        <v>1.8900000000000006</v>
      </c>
      <c r="L228" s="335"/>
    </row>
    <row r="229" spans="1:12">
      <c r="A229" s="275" t="s">
        <v>2808</v>
      </c>
      <c r="B229" s="275" t="s">
        <v>3409</v>
      </c>
      <c r="C229" s="275" t="s">
        <v>3687</v>
      </c>
      <c r="D229" s="275" t="s">
        <v>3056</v>
      </c>
      <c r="E229" s="275" t="s">
        <v>2802</v>
      </c>
      <c r="F229" s="278">
        <v>30616</v>
      </c>
      <c r="G229" s="275" t="s">
        <v>2803</v>
      </c>
      <c r="H229" s="276">
        <v>14.88</v>
      </c>
      <c r="I229" s="276">
        <v>48.08</v>
      </c>
      <c r="J229" s="276">
        <v>13.44</v>
      </c>
      <c r="K229" s="276">
        <f t="shared" si="3"/>
        <v>1.4400000000000013</v>
      </c>
      <c r="L229" s="335"/>
    </row>
    <row r="230" spans="1:12">
      <c r="A230" s="275" t="s">
        <v>2818</v>
      </c>
      <c r="B230" s="275" t="s">
        <v>4024</v>
      </c>
      <c r="C230" s="275" t="s">
        <v>3684</v>
      </c>
      <c r="D230" s="275" t="s">
        <v>3056</v>
      </c>
      <c r="E230" s="275" t="s">
        <v>2802</v>
      </c>
      <c r="F230" s="278">
        <v>30629</v>
      </c>
      <c r="G230" s="275" t="s">
        <v>2803</v>
      </c>
      <c r="H230" s="276">
        <v>16.510000000000002</v>
      </c>
      <c r="I230" s="276">
        <v>49.28</v>
      </c>
      <c r="J230" s="276">
        <v>13.44</v>
      </c>
      <c r="K230" s="276">
        <f t="shared" si="3"/>
        <v>3.0700000000000021</v>
      </c>
      <c r="L230" s="335"/>
    </row>
    <row r="231" spans="1:12">
      <c r="A231" s="275" t="s">
        <v>2818</v>
      </c>
      <c r="B231" s="275" t="s">
        <v>4024</v>
      </c>
      <c r="C231" s="275" t="s">
        <v>3683</v>
      </c>
      <c r="D231" s="275" t="s">
        <v>3056</v>
      </c>
      <c r="E231" s="275" t="s">
        <v>2802</v>
      </c>
      <c r="F231" s="278">
        <v>30629</v>
      </c>
      <c r="G231" s="275" t="s">
        <v>2803</v>
      </c>
      <c r="H231" s="276">
        <v>16.510000000000002</v>
      </c>
      <c r="I231" s="276">
        <v>49.28</v>
      </c>
      <c r="J231" s="276">
        <v>13.44</v>
      </c>
      <c r="K231" s="276">
        <f t="shared" si="3"/>
        <v>3.0700000000000021</v>
      </c>
      <c r="L231" s="335"/>
    </row>
    <row r="232" spans="1:12">
      <c r="A232" s="275" t="s">
        <v>2851</v>
      </c>
      <c r="B232" s="275" t="s">
        <v>3105</v>
      </c>
      <c r="C232" s="275" t="s">
        <v>3685</v>
      </c>
      <c r="D232" s="275" t="s">
        <v>3056</v>
      </c>
      <c r="E232" s="275" t="s">
        <v>2802</v>
      </c>
      <c r="F232" s="278">
        <v>30629</v>
      </c>
      <c r="G232" s="275" t="s">
        <v>2803</v>
      </c>
      <c r="H232" s="276">
        <v>14.82</v>
      </c>
      <c r="I232" s="276">
        <v>31.09</v>
      </c>
      <c r="J232" s="276">
        <v>13.44</v>
      </c>
      <c r="K232" s="276">
        <f t="shared" si="3"/>
        <v>1.3800000000000008</v>
      </c>
      <c r="L232" s="335"/>
    </row>
    <row r="233" spans="1:12">
      <c r="A233" s="275" t="s">
        <v>2835</v>
      </c>
      <c r="B233" s="275" t="s">
        <v>3075</v>
      </c>
      <c r="C233" s="275" t="s">
        <v>3682</v>
      </c>
      <c r="D233" s="275" t="s">
        <v>3056</v>
      </c>
      <c r="E233" s="275" t="s">
        <v>2802</v>
      </c>
      <c r="F233" s="278">
        <v>30651</v>
      </c>
      <c r="G233" s="275" t="s">
        <v>2803</v>
      </c>
      <c r="H233" s="276">
        <v>14.5</v>
      </c>
      <c r="I233" s="276">
        <v>48.4</v>
      </c>
      <c r="J233" s="276">
        <v>13.25</v>
      </c>
      <c r="K233" s="276">
        <f t="shared" si="3"/>
        <v>1.25</v>
      </c>
      <c r="L233" s="335"/>
    </row>
    <row r="234" spans="1:12">
      <c r="A234" s="275" t="s">
        <v>2830</v>
      </c>
      <c r="B234" s="275" t="s">
        <v>4018</v>
      </c>
      <c r="C234" s="275" t="s">
        <v>3681</v>
      </c>
      <c r="D234" s="275" t="s">
        <v>3056</v>
      </c>
      <c r="E234" s="275" t="s">
        <v>2802</v>
      </c>
      <c r="F234" s="278">
        <v>30658</v>
      </c>
      <c r="G234" s="275" t="s">
        <v>2803</v>
      </c>
      <c r="H234" s="276">
        <v>15.9</v>
      </c>
      <c r="I234" s="276">
        <v>36.96</v>
      </c>
      <c r="J234" s="276">
        <v>13.25</v>
      </c>
      <c r="K234" s="276">
        <f t="shared" si="3"/>
        <v>2.6500000000000004</v>
      </c>
      <c r="L234" s="335"/>
    </row>
    <row r="235" spans="1:12">
      <c r="A235" s="275" t="s">
        <v>2850</v>
      </c>
      <c r="B235" s="275" t="s">
        <v>3472</v>
      </c>
      <c r="C235" s="275" t="s">
        <v>3679</v>
      </c>
      <c r="D235" s="275" t="s">
        <v>3056</v>
      </c>
      <c r="E235" s="275" t="s">
        <v>2802</v>
      </c>
      <c r="F235" s="278">
        <v>30662</v>
      </c>
      <c r="G235" s="275" t="s">
        <v>2803</v>
      </c>
      <c r="H235" s="276">
        <v>15.5</v>
      </c>
      <c r="I235" s="276">
        <v>55</v>
      </c>
      <c r="J235" s="276">
        <v>13.25</v>
      </c>
      <c r="K235" s="276">
        <f t="shared" si="3"/>
        <v>2.25</v>
      </c>
      <c r="L235" s="335"/>
    </row>
    <row r="236" spans="1:12">
      <c r="A236" s="275" t="s">
        <v>2838</v>
      </c>
      <c r="B236" s="275" t="s">
        <v>2841</v>
      </c>
      <c r="C236" s="275" t="s">
        <v>3680</v>
      </c>
      <c r="D236" s="275" t="s">
        <v>3056</v>
      </c>
      <c r="E236" s="275" t="s">
        <v>2802</v>
      </c>
      <c r="F236" s="278">
        <v>30662</v>
      </c>
      <c r="G236" s="275" t="s">
        <v>2803</v>
      </c>
      <c r="H236" s="276">
        <v>14.5</v>
      </c>
      <c r="I236" s="276">
        <v>38</v>
      </c>
      <c r="J236" s="276">
        <v>13.25</v>
      </c>
      <c r="K236" s="276">
        <f t="shared" si="3"/>
        <v>1.25</v>
      </c>
      <c r="L236" s="335"/>
    </row>
    <row r="237" spans="1:12">
      <c r="A237" s="275" t="s">
        <v>2844</v>
      </c>
      <c r="B237" s="275" t="s">
        <v>2848</v>
      </c>
      <c r="C237" s="275" t="s">
        <v>3677</v>
      </c>
      <c r="D237" s="275" t="s">
        <v>3056</v>
      </c>
      <c r="E237" s="275" t="s">
        <v>2802</v>
      </c>
      <c r="F237" s="278">
        <v>30670</v>
      </c>
      <c r="G237" s="275" t="s">
        <v>2803</v>
      </c>
      <c r="H237" s="276">
        <v>16</v>
      </c>
      <c r="I237" s="276">
        <v>43</v>
      </c>
      <c r="J237" s="276">
        <v>13.38</v>
      </c>
      <c r="K237" s="276">
        <f t="shared" si="3"/>
        <v>2.6199999999999992</v>
      </c>
      <c r="L237" s="335"/>
    </row>
    <row r="238" spans="1:12">
      <c r="A238" s="275" t="s">
        <v>2811</v>
      </c>
      <c r="B238" s="275" t="s">
        <v>4014</v>
      </c>
      <c r="C238" s="275" t="s">
        <v>3678</v>
      </c>
      <c r="D238" s="275" t="s">
        <v>3056</v>
      </c>
      <c r="E238" s="275" t="s">
        <v>2802</v>
      </c>
      <c r="F238" s="278">
        <v>30670</v>
      </c>
      <c r="G238" s="275" t="s">
        <v>2803</v>
      </c>
      <c r="H238" s="276">
        <v>15.4</v>
      </c>
      <c r="I238" s="276">
        <v>41.3</v>
      </c>
      <c r="J238" s="276">
        <v>13.38</v>
      </c>
      <c r="K238" s="276">
        <f t="shared" si="3"/>
        <v>2.0199999999999996</v>
      </c>
      <c r="L238" s="335"/>
    </row>
    <row r="239" spans="1:12">
      <c r="A239" s="275" t="s">
        <v>2844</v>
      </c>
      <c r="B239" s="275" t="s">
        <v>2864</v>
      </c>
      <c r="C239" s="275" t="s">
        <v>3676</v>
      </c>
      <c r="D239" s="275" t="s">
        <v>3056</v>
      </c>
      <c r="E239" s="275" t="s">
        <v>2802</v>
      </c>
      <c r="F239" s="278">
        <v>30672</v>
      </c>
      <c r="G239" s="275" t="s">
        <v>2803</v>
      </c>
      <c r="H239" s="276">
        <v>15.75</v>
      </c>
      <c r="I239" s="276">
        <v>42.25</v>
      </c>
      <c r="J239" s="276">
        <v>13.38</v>
      </c>
      <c r="K239" s="276">
        <f t="shared" si="3"/>
        <v>2.3699999999999992</v>
      </c>
      <c r="L239" s="335"/>
    </row>
    <row r="240" spans="1:12">
      <c r="A240" s="275" t="s">
        <v>2809</v>
      </c>
      <c r="B240" s="275" t="s">
        <v>3142</v>
      </c>
      <c r="C240" s="275" t="s">
        <v>3675</v>
      </c>
      <c r="D240" s="275" t="s">
        <v>3056</v>
      </c>
      <c r="E240" s="275" t="s">
        <v>2802</v>
      </c>
      <c r="F240" s="278">
        <v>30679</v>
      </c>
      <c r="G240" s="275" t="s">
        <v>2803</v>
      </c>
      <c r="H240" s="276">
        <v>15</v>
      </c>
      <c r="I240" s="276">
        <v>44.27</v>
      </c>
      <c r="J240" s="276">
        <v>13.38</v>
      </c>
      <c r="K240" s="276">
        <f t="shared" si="3"/>
        <v>1.6199999999999992</v>
      </c>
      <c r="L240" s="335"/>
    </row>
    <row r="241" spans="1:12">
      <c r="A241" s="275" t="s">
        <v>2811</v>
      </c>
      <c r="B241" s="275" t="s">
        <v>2855</v>
      </c>
      <c r="C241" s="275" t="s">
        <v>3674</v>
      </c>
      <c r="D241" s="275" t="s">
        <v>3056</v>
      </c>
      <c r="E241" s="275" t="s">
        <v>2802</v>
      </c>
      <c r="F241" s="278">
        <v>30691</v>
      </c>
      <c r="G241" s="275" t="s">
        <v>2803</v>
      </c>
      <c r="H241" s="276">
        <v>15.9</v>
      </c>
      <c r="I241" s="276">
        <v>40.96</v>
      </c>
      <c r="J241" s="276">
        <v>13.38</v>
      </c>
      <c r="K241" s="276">
        <f t="shared" si="3"/>
        <v>2.5199999999999996</v>
      </c>
      <c r="L241" s="335"/>
    </row>
    <row r="242" spans="1:12">
      <c r="A242" s="275" t="s">
        <v>2804</v>
      </c>
      <c r="B242" s="275" t="s">
        <v>3540</v>
      </c>
      <c r="C242" s="275" t="s">
        <v>3673</v>
      </c>
      <c r="D242" s="275" t="s">
        <v>3056</v>
      </c>
      <c r="E242" s="275" t="s">
        <v>2802</v>
      </c>
      <c r="F242" s="278">
        <v>30694</v>
      </c>
      <c r="G242" s="275" t="s">
        <v>2803</v>
      </c>
      <c r="H242" s="276">
        <v>15.5</v>
      </c>
      <c r="I242" s="276">
        <v>57</v>
      </c>
      <c r="J242" s="276">
        <v>13.38</v>
      </c>
      <c r="K242" s="276">
        <f t="shared" si="3"/>
        <v>2.1199999999999992</v>
      </c>
      <c r="L242" s="335"/>
    </row>
    <row r="243" spans="1:12">
      <c r="A243" s="275" t="s">
        <v>2845</v>
      </c>
      <c r="B243" s="275" t="s">
        <v>3575</v>
      </c>
      <c r="C243" s="275" t="s">
        <v>3672</v>
      </c>
      <c r="D243" s="275" t="s">
        <v>3056</v>
      </c>
      <c r="E243" s="275" t="s">
        <v>2802</v>
      </c>
      <c r="F243" s="278">
        <v>30699</v>
      </c>
      <c r="G243" s="275" t="s">
        <v>2803</v>
      </c>
      <c r="H243" s="276">
        <v>15.53</v>
      </c>
      <c r="I243" s="276">
        <v>38.4</v>
      </c>
      <c r="J243" s="276">
        <v>13.52</v>
      </c>
      <c r="K243" s="276">
        <f t="shared" si="3"/>
        <v>2.0099999999999998</v>
      </c>
      <c r="L243" s="335"/>
    </row>
    <row r="244" spans="1:12">
      <c r="A244" s="275" t="s">
        <v>2804</v>
      </c>
      <c r="B244" s="275" t="s">
        <v>2874</v>
      </c>
      <c r="C244" s="275" t="s">
        <v>3671</v>
      </c>
      <c r="D244" s="275" t="s">
        <v>3056</v>
      </c>
      <c r="E244" s="275" t="s">
        <v>2802</v>
      </c>
      <c r="F244" s="278">
        <v>30707</v>
      </c>
      <c r="G244" s="275" t="s">
        <v>2803</v>
      </c>
      <c r="H244" s="276">
        <v>15.9</v>
      </c>
      <c r="I244" s="276">
        <v>47</v>
      </c>
      <c r="J244" s="276">
        <v>13.52</v>
      </c>
      <c r="K244" s="276">
        <f t="shared" si="3"/>
        <v>2.3800000000000008</v>
      </c>
      <c r="L244" s="335"/>
    </row>
    <row r="245" spans="1:12">
      <c r="A245" s="275" t="s">
        <v>2809</v>
      </c>
      <c r="B245" s="275" t="s">
        <v>2810</v>
      </c>
      <c r="C245" s="275" t="s">
        <v>3670</v>
      </c>
      <c r="D245" s="275" t="s">
        <v>3056</v>
      </c>
      <c r="E245" s="275" t="s">
        <v>2802</v>
      </c>
      <c r="F245" s="278">
        <v>30740</v>
      </c>
      <c r="G245" s="275" t="s">
        <v>2803</v>
      </c>
      <c r="H245" s="276">
        <v>14.5</v>
      </c>
      <c r="I245" s="276">
        <v>45.5</v>
      </c>
      <c r="J245" s="276">
        <v>13.4</v>
      </c>
      <c r="K245" s="276">
        <f t="shared" si="3"/>
        <v>1.0999999999999996</v>
      </c>
      <c r="L245" s="335"/>
    </row>
    <row r="246" spans="1:12">
      <c r="A246" s="275" t="s">
        <v>2811</v>
      </c>
      <c r="B246" s="275" t="s">
        <v>2812</v>
      </c>
      <c r="C246" s="275" t="s">
        <v>3669</v>
      </c>
      <c r="D246" s="275" t="s">
        <v>3056</v>
      </c>
      <c r="E246" s="275" t="s">
        <v>2802</v>
      </c>
      <c r="F246" s="278">
        <v>30761</v>
      </c>
      <c r="G246" s="275" t="s">
        <v>2803</v>
      </c>
      <c r="H246" s="276">
        <v>16</v>
      </c>
      <c r="I246" s="276">
        <v>43.13</v>
      </c>
      <c r="J246" s="276">
        <v>13.4</v>
      </c>
      <c r="K246" s="276">
        <f t="shared" si="3"/>
        <v>2.5999999999999996</v>
      </c>
      <c r="L246" s="335"/>
    </row>
    <row r="247" spans="1:12">
      <c r="A247" s="275" t="s">
        <v>2819</v>
      </c>
      <c r="B247" s="275" t="s">
        <v>2820</v>
      </c>
      <c r="C247" s="275" t="s">
        <v>3668</v>
      </c>
      <c r="D247" s="275" t="s">
        <v>3056</v>
      </c>
      <c r="E247" s="275" t="s">
        <v>2802</v>
      </c>
      <c r="F247" s="278">
        <v>30764</v>
      </c>
      <c r="G247" s="275" t="s">
        <v>2803</v>
      </c>
      <c r="H247" s="276">
        <v>15.5</v>
      </c>
      <c r="I247" s="276">
        <v>40.49</v>
      </c>
      <c r="J247" s="276">
        <v>13.4</v>
      </c>
      <c r="K247" s="276">
        <f t="shared" si="3"/>
        <v>2.0999999999999996</v>
      </c>
      <c r="L247" s="335"/>
    </row>
    <row r="248" spans="1:12">
      <c r="A248" s="275" t="s">
        <v>2837</v>
      </c>
      <c r="B248" s="275" t="s">
        <v>3094</v>
      </c>
      <c r="C248" s="275" t="s">
        <v>3667</v>
      </c>
      <c r="D248" s="275" t="s">
        <v>3056</v>
      </c>
      <c r="E248" s="275" t="s">
        <v>2802</v>
      </c>
      <c r="F248" s="278">
        <v>30781</v>
      </c>
      <c r="G248" s="275" t="s">
        <v>2803</v>
      </c>
      <c r="H248" s="276">
        <v>15.2</v>
      </c>
      <c r="I248" s="276">
        <v>36.89</v>
      </c>
      <c r="J248" s="276">
        <v>13.4</v>
      </c>
      <c r="K248" s="276">
        <f t="shared" si="3"/>
        <v>1.7999999999999989</v>
      </c>
      <c r="L248" s="335"/>
    </row>
    <row r="249" spans="1:12">
      <c r="A249" s="275" t="s">
        <v>2811</v>
      </c>
      <c r="B249" s="275" t="s">
        <v>2832</v>
      </c>
      <c r="C249" s="275" t="s">
        <v>3666</v>
      </c>
      <c r="D249" s="275" t="s">
        <v>3056</v>
      </c>
      <c r="E249" s="275" t="s">
        <v>2802</v>
      </c>
      <c r="F249" s="278">
        <v>30790</v>
      </c>
      <c r="G249" s="275" t="s">
        <v>2803</v>
      </c>
      <c r="H249" s="276">
        <v>16.2</v>
      </c>
      <c r="I249" s="276">
        <v>41.42</v>
      </c>
      <c r="J249" s="276">
        <v>13.77</v>
      </c>
      <c r="K249" s="276">
        <f t="shared" si="3"/>
        <v>2.4299999999999997</v>
      </c>
      <c r="L249" s="335"/>
    </row>
    <row r="250" spans="1:12">
      <c r="A250" s="275" t="s">
        <v>2804</v>
      </c>
      <c r="B250" s="275" t="s">
        <v>4373</v>
      </c>
      <c r="C250" s="275" t="s">
        <v>3665</v>
      </c>
      <c r="D250" s="275" t="s">
        <v>3056</v>
      </c>
      <c r="E250" s="275" t="s">
        <v>2802</v>
      </c>
      <c r="F250" s="278">
        <v>30799</v>
      </c>
      <c r="G250" s="275" t="s">
        <v>2803</v>
      </c>
      <c r="H250" s="276">
        <v>15.85</v>
      </c>
      <c r="I250" s="276">
        <v>38.1</v>
      </c>
      <c r="J250" s="276">
        <v>13.77</v>
      </c>
      <c r="K250" s="276">
        <f t="shared" si="3"/>
        <v>2.08</v>
      </c>
      <c r="L250" s="335"/>
    </row>
    <row r="251" spans="1:12">
      <c r="A251" s="275" t="s">
        <v>2846</v>
      </c>
      <c r="B251" s="275" t="s">
        <v>4022</v>
      </c>
      <c r="C251" s="275" t="s">
        <v>3664</v>
      </c>
      <c r="D251" s="275" t="s">
        <v>3056</v>
      </c>
      <c r="E251" s="275" t="s">
        <v>2802</v>
      </c>
      <c r="F251" s="278">
        <v>30817</v>
      </c>
      <c r="G251" s="275" t="s">
        <v>2803</v>
      </c>
      <c r="H251" s="276">
        <v>13.35</v>
      </c>
      <c r="I251" s="276">
        <v>42.74</v>
      </c>
      <c r="J251" s="276">
        <v>14.13</v>
      </c>
      <c r="K251" s="276">
        <f t="shared" si="3"/>
        <v>-0.78000000000000114</v>
      </c>
      <c r="L251" s="335"/>
    </row>
    <row r="252" spans="1:12">
      <c r="A252" s="275" t="s">
        <v>2835</v>
      </c>
      <c r="B252" s="275" t="s">
        <v>2836</v>
      </c>
      <c r="C252" s="275" t="s">
        <v>3663</v>
      </c>
      <c r="D252" s="275" t="s">
        <v>3056</v>
      </c>
      <c r="E252" s="275" t="s">
        <v>2802</v>
      </c>
      <c r="F252" s="278">
        <v>30818</v>
      </c>
      <c r="G252" s="275" t="s">
        <v>2803</v>
      </c>
      <c r="H252" s="276">
        <v>15</v>
      </c>
      <c r="I252" s="276">
        <v>40.130000000000003</v>
      </c>
      <c r="J252" s="276">
        <v>14.13</v>
      </c>
      <c r="K252" s="276">
        <f t="shared" si="3"/>
        <v>0.86999999999999922</v>
      </c>
      <c r="L252" s="335"/>
    </row>
    <row r="253" spans="1:12">
      <c r="A253" s="275" t="s">
        <v>2822</v>
      </c>
      <c r="B253" s="275" t="s">
        <v>2823</v>
      </c>
      <c r="C253" s="275" t="s">
        <v>3662</v>
      </c>
      <c r="D253" s="275" t="s">
        <v>3056</v>
      </c>
      <c r="E253" s="275" t="s">
        <v>2802</v>
      </c>
      <c r="F253" s="278">
        <v>30824</v>
      </c>
      <c r="G253" s="275" t="s">
        <v>2803</v>
      </c>
      <c r="H253" s="276">
        <v>14.4</v>
      </c>
      <c r="I253" s="276">
        <v>38.590000000000003</v>
      </c>
      <c r="J253" s="276">
        <v>14.13</v>
      </c>
      <c r="K253" s="276">
        <f t="shared" si="3"/>
        <v>0.26999999999999957</v>
      </c>
      <c r="L253" s="335"/>
    </row>
    <row r="254" spans="1:12">
      <c r="A254" s="275" t="s">
        <v>2824</v>
      </c>
      <c r="B254" s="275" t="s">
        <v>3094</v>
      </c>
      <c r="C254" s="275" t="s">
        <v>3661</v>
      </c>
      <c r="D254" s="275" t="s">
        <v>3056</v>
      </c>
      <c r="E254" s="275" t="s">
        <v>2802</v>
      </c>
      <c r="F254" s="278">
        <v>30846</v>
      </c>
      <c r="G254" s="275" t="s">
        <v>2803</v>
      </c>
      <c r="H254" s="276">
        <v>15.5</v>
      </c>
      <c r="I254" s="276">
        <v>44.6</v>
      </c>
      <c r="J254" s="276">
        <v>14.13</v>
      </c>
      <c r="K254" s="276">
        <f t="shared" si="3"/>
        <v>1.3699999999999992</v>
      </c>
      <c r="L254" s="335"/>
    </row>
    <row r="255" spans="1:12">
      <c r="A255" s="275" t="s">
        <v>2811</v>
      </c>
      <c r="B255" s="275" t="s">
        <v>4017</v>
      </c>
      <c r="C255" s="275" t="s">
        <v>3660</v>
      </c>
      <c r="D255" s="275" t="s">
        <v>3056</v>
      </c>
      <c r="E255" s="275" t="s">
        <v>2802</v>
      </c>
      <c r="F255" s="278">
        <v>30873</v>
      </c>
      <c r="G255" s="275" t="s">
        <v>2803</v>
      </c>
      <c r="H255" s="276">
        <v>16</v>
      </c>
      <c r="I255" s="276">
        <v>42.74</v>
      </c>
      <c r="J255" s="276">
        <v>14.88</v>
      </c>
      <c r="K255" s="276">
        <f t="shared" si="3"/>
        <v>1.1199999999999992</v>
      </c>
      <c r="L255" s="335"/>
    </row>
    <row r="256" spans="1:12">
      <c r="A256" s="275" t="s">
        <v>2813</v>
      </c>
      <c r="B256" s="275" t="s">
        <v>3385</v>
      </c>
      <c r="C256" s="275" t="s">
        <v>3659</v>
      </c>
      <c r="D256" s="275" t="s">
        <v>3056</v>
      </c>
      <c r="E256" s="275" t="s">
        <v>2802</v>
      </c>
      <c r="F256" s="278">
        <v>30903</v>
      </c>
      <c r="G256" s="275" t="s">
        <v>2803</v>
      </c>
      <c r="H256" s="276">
        <v>15.33</v>
      </c>
      <c r="I256" s="276">
        <v>34.9</v>
      </c>
      <c r="J256" s="276">
        <v>15.1</v>
      </c>
      <c r="K256" s="276">
        <f t="shared" si="3"/>
        <v>0.23000000000000043</v>
      </c>
      <c r="L256" s="335"/>
    </row>
    <row r="257" spans="1:12">
      <c r="A257" s="275" t="s">
        <v>2851</v>
      </c>
      <c r="B257" s="275" t="s">
        <v>2876</v>
      </c>
      <c r="C257" s="275" t="s">
        <v>3658</v>
      </c>
      <c r="D257" s="275" t="s">
        <v>3056</v>
      </c>
      <c r="E257" s="275" t="s">
        <v>2802</v>
      </c>
      <c r="F257" s="278">
        <v>30911</v>
      </c>
      <c r="G257" s="275" t="s">
        <v>2803</v>
      </c>
      <c r="H257" s="276">
        <v>14.82</v>
      </c>
      <c r="I257" s="276">
        <v>29.24</v>
      </c>
      <c r="J257" s="276">
        <v>14.86</v>
      </c>
      <c r="K257" s="276">
        <f t="shared" si="3"/>
        <v>-3.9999999999999147E-2</v>
      </c>
      <c r="L257" s="335"/>
    </row>
    <row r="258" spans="1:12">
      <c r="A258" s="275" t="s">
        <v>2816</v>
      </c>
      <c r="B258" s="275" t="s">
        <v>2817</v>
      </c>
      <c r="C258" s="275" t="s">
        <v>3657</v>
      </c>
      <c r="D258" s="275" t="s">
        <v>3056</v>
      </c>
      <c r="E258" s="275" t="s">
        <v>2802</v>
      </c>
      <c r="F258" s="278">
        <v>30915</v>
      </c>
      <c r="G258" s="275" t="s">
        <v>2803</v>
      </c>
      <c r="H258" s="276">
        <v>14.64</v>
      </c>
      <c r="I258" s="276">
        <v>38.700000000000003</v>
      </c>
      <c r="J258" s="276">
        <v>14.86</v>
      </c>
      <c r="K258" s="276">
        <f t="shared" si="3"/>
        <v>-0.21999999999999886</v>
      </c>
      <c r="L258" s="335"/>
    </row>
    <row r="259" spans="1:12">
      <c r="A259" s="275" t="s">
        <v>2804</v>
      </c>
      <c r="B259" s="275" t="s">
        <v>3500</v>
      </c>
      <c r="C259" s="275" t="s">
        <v>3656</v>
      </c>
      <c r="D259" s="275" t="s">
        <v>3056</v>
      </c>
      <c r="E259" s="275" t="s">
        <v>2802</v>
      </c>
      <c r="F259" s="278">
        <v>30921</v>
      </c>
      <c r="G259" s="275" t="s">
        <v>2803</v>
      </c>
      <c r="H259" s="276">
        <v>14.52</v>
      </c>
      <c r="I259" s="276">
        <v>49.36</v>
      </c>
      <c r="J259" s="276">
        <v>14.86</v>
      </c>
      <c r="K259" s="276">
        <f t="shared" si="3"/>
        <v>-0.33999999999999986</v>
      </c>
      <c r="L259" s="335"/>
    </row>
    <row r="260" spans="1:12">
      <c r="A260" s="275" t="s">
        <v>2809</v>
      </c>
      <c r="B260" s="275" t="s">
        <v>4025</v>
      </c>
      <c r="C260" s="275" t="s">
        <v>3655</v>
      </c>
      <c r="D260" s="275" t="s">
        <v>3056</v>
      </c>
      <c r="E260" s="275" t="s">
        <v>2802</v>
      </c>
      <c r="F260" s="278">
        <v>30922</v>
      </c>
      <c r="G260" s="275" t="s">
        <v>2803</v>
      </c>
      <c r="H260" s="276">
        <v>14.75</v>
      </c>
      <c r="I260" s="276">
        <v>50.82</v>
      </c>
      <c r="J260" s="276">
        <v>14.86</v>
      </c>
      <c r="K260" s="276">
        <f t="shared" si="3"/>
        <v>-0.10999999999999943</v>
      </c>
      <c r="L260" s="335"/>
    </row>
    <row r="261" spans="1:12">
      <c r="A261" s="275" t="s">
        <v>2801</v>
      </c>
      <c r="B261" s="275" t="s">
        <v>4021</v>
      </c>
      <c r="C261" s="275" t="s">
        <v>3654</v>
      </c>
      <c r="D261" s="275" t="s">
        <v>3056</v>
      </c>
      <c r="E261" s="275" t="s">
        <v>2802</v>
      </c>
      <c r="F261" s="278">
        <v>30924</v>
      </c>
      <c r="G261" s="275" t="s">
        <v>2803</v>
      </c>
      <c r="H261" s="276">
        <v>15.6</v>
      </c>
      <c r="I261" s="276">
        <v>44.1</v>
      </c>
      <c r="J261" s="276">
        <v>14.86</v>
      </c>
      <c r="K261" s="276">
        <f t="shared" si="3"/>
        <v>0.74000000000000021</v>
      </c>
      <c r="L261" s="335"/>
    </row>
    <row r="262" spans="1:12">
      <c r="A262" s="275" t="s">
        <v>2830</v>
      </c>
      <c r="B262" s="275" t="s">
        <v>3157</v>
      </c>
      <c r="C262" s="275" t="s">
        <v>3652</v>
      </c>
      <c r="D262" s="275" t="s">
        <v>3056</v>
      </c>
      <c r="E262" s="275" t="s">
        <v>2802</v>
      </c>
      <c r="F262" s="278">
        <v>30937</v>
      </c>
      <c r="G262" s="275" t="s">
        <v>2803</v>
      </c>
      <c r="H262" s="276">
        <v>15.9</v>
      </c>
      <c r="I262" s="276">
        <v>48.44</v>
      </c>
      <c r="J262" s="276">
        <v>14.86</v>
      </c>
      <c r="K262" s="276">
        <f t="shared" ref="K262:K325" si="4">H262-J262</f>
        <v>1.0400000000000009</v>
      </c>
      <c r="L262" s="335"/>
    </row>
    <row r="263" spans="1:12">
      <c r="A263" s="275" t="s">
        <v>2801</v>
      </c>
      <c r="B263" s="275" t="s">
        <v>3139</v>
      </c>
      <c r="C263" s="275" t="s">
        <v>3653</v>
      </c>
      <c r="D263" s="275" t="s">
        <v>3056</v>
      </c>
      <c r="E263" s="275" t="s">
        <v>2802</v>
      </c>
      <c r="F263" s="278">
        <v>30937</v>
      </c>
      <c r="G263" s="275" t="s">
        <v>2803</v>
      </c>
      <c r="H263" s="276">
        <v>15.6</v>
      </c>
      <c r="I263" s="276">
        <v>45.96</v>
      </c>
      <c r="J263" s="276">
        <v>14.86</v>
      </c>
      <c r="K263" s="276">
        <f t="shared" si="4"/>
        <v>0.74000000000000021</v>
      </c>
      <c r="L263" s="335"/>
    </row>
    <row r="264" spans="1:12">
      <c r="A264" s="275" t="s">
        <v>2806</v>
      </c>
      <c r="B264" s="275" t="s">
        <v>3081</v>
      </c>
      <c r="C264" s="275" t="s">
        <v>3651</v>
      </c>
      <c r="D264" s="275" t="s">
        <v>3056</v>
      </c>
      <c r="E264" s="275" t="s">
        <v>2802</v>
      </c>
      <c r="F264" s="278">
        <v>30950</v>
      </c>
      <c r="G264" s="275" t="s">
        <v>2803</v>
      </c>
      <c r="H264" s="276">
        <v>16.25</v>
      </c>
      <c r="I264" s="276">
        <v>41.52</v>
      </c>
      <c r="J264" s="276">
        <v>14.43</v>
      </c>
      <c r="K264" s="276">
        <f t="shared" si="4"/>
        <v>1.8200000000000003</v>
      </c>
      <c r="L264" s="335"/>
    </row>
    <row r="265" spans="1:12">
      <c r="A265" s="275" t="s">
        <v>2838</v>
      </c>
      <c r="B265" s="275" t="s">
        <v>3075</v>
      </c>
      <c r="C265" s="275" t="s">
        <v>3650</v>
      </c>
      <c r="D265" s="275" t="s">
        <v>3056</v>
      </c>
      <c r="E265" s="275" t="s">
        <v>2802</v>
      </c>
      <c r="F265" s="278">
        <v>30957</v>
      </c>
      <c r="G265" s="275" t="s">
        <v>2803</v>
      </c>
      <c r="H265" s="276">
        <v>14.8</v>
      </c>
      <c r="I265" s="276">
        <v>60.49</v>
      </c>
      <c r="J265" s="276">
        <v>14.43</v>
      </c>
      <c r="K265" s="276">
        <f t="shared" si="4"/>
        <v>0.37000000000000099</v>
      </c>
      <c r="L265" s="335"/>
    </row>
    <row r="266" spans="1:12">
      <c r="A266" s="275" t="s">
        <v>2809</v>
      </c>
      <c r="B266" s="275" t="s">
        <v>2854</v>
      </c>
      <c r="C266" s="275" t="s">
        <v>3649</v>
      </c>
      <c r="D266" s="275" t="s">
        <v>3056</v>
      </c>
      <c r="E266" s="275" t="s">
        <v>2802</v>
      </c>
      <c r="F266" s="278">
        <v>30964</v>
      </c>
      <c r="G266" s="275" t="s">
        <v>2803</v>
      </c>
      <c r="H266" s="276">
        <v>14.75</v>
      </c>
      <c r="I266" s="276">
        <v>45.27</v>
      </c>
      <c r="J266" s="276">
        <v>14.43</v>
      </c>
      <c r="K266" s="276">
        <f t="shared" si="4"/>
        <v>0.32000000000000028</v>
      </c>
      <c r="L266" s="335"/>
    </row>
    <row r="267" spans="1:12">
      <c r="A267" s="275" t="s">
        <v>2811</v>
      </c>
      <c r="B267" s="275" t="s">
        <v>3623</v>
      </c>
      <c r="C267" s="275" t="s">
        <v>3648</v>
      </c>
      <c r="D267" s="275" t="s">
        <v>3056</v>
      </c>
      <c r="E267" s="275" t="s">
        <v>2802</v>
      </c>
      <c r="F267" s="278">
        <v>30965</v>
      </c>
      <c r="G267" s="275" t="s">
        <v>2803</v>
      </c>
      <c r="H267" s="276">
        <v>15.5</v>
      </c>
      <c r="I267" s="276">
        <v>45.58</v>
      </c>
      <c r="J267" s="276">
        <v>14.43</v>
      </c>
      <c r="K267" s="276">
        <f t="shared" si="4"/>
        <v>1.0700000000000003</v>
      </c>
      <c r="L267" s="335"/>
    </row>
    <row r="268" spans="1:12">
      <c r="A268" s="275" t="s">
        <v>2835</v>
      </c>
      <c r="B268" s="275" t="s">
        <v>3531</v>
      </c>
      <c r="C268" s="275" t="s">
        <v>3647</v>
      </c>
      <c r="D268" s="275" t="s">
        <v>3056</v>
      </c>
      <c r="E268" s="275" t="s">
        <v>2802</v>
      </c>
      <c r="F268" s="278">
        <v>30973</v>
      </c>
      <c r="G268" s="275" t="s">
        <v>2803</v>
      </c>
      <c r="H268" s="276">
        <v>15</v>
      </c>
      <c r="I268" s="276">
        <v>45.77</v>
      </c>
      <c r="J268" s="276">
        <v>14.19</v>
      </c>
      <c r="K268" s="276">
        <f t="shared" si="4"/>
        <v>0.8100000000000005</v>
      </c>
      <c r="L268" s="335"/>
    </row>
    <row r="269" spans="1:12">
      <c r="A269" s="275" t="s">
        <v>2835</v>
      </c>
      <c r="B269" s="275" t="s">
        <v>2877</v>
      </c>
      <c r="C269" s="275" t="s">
        <v>3646</v>
      </c>
      <c r="D269" s="275" t="s">
        <v>3056</v>
      </c>
      <c r="E269" s="275" t="s">
        <v>2802</v>
      </c>
      <c r="F269" s="278">
        <v>30979</v>
      </c>
      <c r="G269" s="275" t="s">
        <v>2803</v>
      </c>
      <c r="H269" s="276">
        <v>15.5</v>
      </c>
      <c r="I269" s="276">
        <v>36</v>
      </c>
      <c r="J269" s="276">
        <v>14.19</v>
      </c>
      <c r="K269" s="276">
        <f t="shared" si="4"/>
        <v>1.3100000000000005</v>
      </c>
      <c r="L269" s="335"/>
    </row>
    <row r="270" spans="1:12">
      <c r="A270" s="275" t="s">
        <v>2818</v>
      </c>
      <c r="B270" s="275" t="s">
        <v>2865</v>
      </c>
      <c r="C270" s="275" t="s">
        <v>3645</v>
      </c>
      <c r="D270" s="275" t="s">
        <v>3056</v>
      </c>
      <c r="E270" s="275" t="s">
        <v>2802</v>
      </c>
      <c r="F270" s="278">
        <v>31006</v>
      </c>
      <c r="G270" s="275" t="s">
        <v>2803</v>
      </c>
      <c r="H270" s="276">
        <v>15.92</v>
      </c>
      <c r="I270" s="276">
        <v>37.799999999999997</v>
      </c>
      <c r="J270" s="276">
        <v>13.83</v>
      </c>
      <c r="K270" s="276">
        <f t="shared" si="4"/>
        <v>2.09</v>
      </c>
      <c r="L270" s="335"/>
    </row>
    <row r="271" spans="1:12">
      <c r="A271" s="275" t="s">
        <v>2867</v>
      </c>
      <c r="B271" s="275" t="s">
        <v>2868</v>
      </c>
      <c r="C271" s="275" t="s">
        <v>3644</v>
      </c>
      <c r="D271" s="275" t="s">
        <v>3056</v>
      </c>
      <c r="E271" s="275" t="s">
        <v>2802</v>
      </c>
      <c r="F271" s="278">
        <v>31016</v>
      </c>
      <c r="G271" s="275" t="s">
        <v>2803</v>
      </c>
      <c r="H271" s="276">
        <v>15.5</v>
      </c>
      <c r="I271" s="276">
        <v>48.07</v>
      </c>
      <c r="J271" s="276">
        <v>13.83</v>
      </c>
      <c r="K271" s="276">
        <f t="shared" si="4"/>
        <v>1.67</v>
      </c>
      <c r="L271" s="335"/>
    </row>
    <row r="272" spans="1:12">
      <c r="A272" s="275" t="s">
        <v>2871</v>
      </c>
      <c r="B272" s="275" t="s">
        <v>3277</v>
      </c>
      <c r="C272" s="275" t="s">
        <v>3643</v>
      </c>
      <c r="D272" s="275" t="s">
        <v>3056</v>
      </c>
      <c r="E272" s="275" t="s">
        <v>2802</v>
      </c>
      <c r="F272" s="278">
        <v>31034</v>
      </c>
      <c r="G272" s="275" t="s">
        <v>2803</v>
      </c>
      <c r="H272" s="276">
        <v>15</v>
      </c>
      <c r="I272" s="276">
        <v>35.89</v>
      </c>
      <c r="J272" s="276">
        <v>13.25</v>
      </c>
      <c r="K272" s="276">
        <f t="shared" si="4"/>
        <v>1.75</v>
      </c>
      <c r="L272" s="335"/>
    </row>
    <row r="273" spans="1:12">
      <c r="A273" s="275" t="s">
        <v>2809</v>
      </c>
      <c r="B273" s="275" t="s">
        <v>3142</v>
      </c>
      <c r="C273" s="275" t="s">
        <v>3642</v>
      </c>
      <c r="D273" s="275" t="s">
        <v>3056</v>
      </c>
      <c r="E273" s="275" t="s">
        <v>2802</v>
      </c>
      <c r="F273" s="278">
        <v>31036</v>
      </c>
      <c r="G273" s="275" t="s">
        <v>2803</v>
      </c>
      <c r="H273" s="276">
        <v>15</v>
      </c>
      <c r="I273" s="276">
        <v>45.49</v>
      </c>
      <c r="J273" s="276">
        <v>13.25</v>
      </c>
      <c r="K273" s="276">
        <f t="shared" si="4"/>
        <v>1.75</v>
      </c>
      <c r="L273" s="335"/>
    </row>
    <row r="274" spans="1:12">
      <c r="A274" s="275" t="s">
        <v>2844</v>
      </c>
      <c r="B274" s="275" t="s">
        <v>3084</v>
      </c>
      <c r="C274" s="275" t="s">
        <v>3641</v>
      </c>
      <c r="D274" s="275" t="s">
        <v>3056</v>
      </c>
      <c r="E274" s="275" t="s">
        <v>2802</v>
      </c>
      <c r="F274" s="278">
        <v>31044</v>
      </c>
      <c r="G274" s="275" t="s">
        <v>2803</v>
      </c>
      <c r="H274" s="276">
        <v>15.75</v>
      </c>
      <c r="I274" s="276">
        <v>42.2</v>
      </c>
      <c r="J274" s="276">
        <v>13.25</v>
      </c>
      <c r="K274" s="276">
        <f t="shared" si="4"/>
        <v>2.5</v>
      </c>
      <c r="L274" s="335"/>
    </row>
    <row r="275" spans="1:12">
      <c r="A275" s="275" t="s">
        <v>2830</v>
      </c>
      <c r="B275" s="275" t="s">
        <v>4020</v>
      </c>
      <c r="C275" s="275" t="s">
        <v>3640</v>
      </c>
      <c r="D275" s="275" t="s">
        <v>3056</v>
      </c>
      <c r="E275" s="275" t="s">
        <v>2802</v>
      </c>
      <c r="F275" s="278">
        <v>31049</v>
      </c>
      <c r="G275" s="275" t="s">
        <v>2803</v>
      </c>
      <c r="H275" s="276">
        <v>16</v>
      </c>
      <c r="I275" s="276">
        <v>35.58</v>
      </c>
      <c r="J275" s="276">
        <v>13.25</v>
      </c>
      <c r="K275" s="276">
        <f t="shared" si="4"/>
        <v>2.75</v>
      </c>
      <c r="L275" s="335"/>
    </row>
    <row r="276" spans="1:12">
      <c r="A276" s="275" t="s">
        <v>2809</v>
      </c>
      <c r="B276" s="275" t="s">
        <v>2853</v>
      </c>
      <c r="C276" s="275" t="s">
        <v>3639</v>
      </c>
      <c r="D276" s="275" t="s">
        <v>3056</v>
      </c>
      <c r="E276" s="275" t="s">
        <v>2802</v>
      </c>
      <c r="F276" s="278">
        <v>31078</v>
      </c>
      <c r="G276" s="275" t="s">
        <v>2803</v>
      </c>
      <c r="H276" s="276">
        <v>14.75</v>
      </c>
      <c r="I276" s="276">
        <v>50</v>
      </c>
      <c r="J276" s="276">
        <v>13.07</v>
      </c>
      <c r="K276" s="276">
        <f t="shared" si="4"/>
        <v>1.6799999999999997</v>
      </c>
      <c r="L276" s="335"/>
    </row>
    <row r="277" spans="1:12">
      <c r="A277" s="275" t="s">
        <v>2821</v>
      </c>
      <c r="B277" s="275" t="s">
        <v>3073</v>
      </c>
      <c r="C277" s="275" t="s">
        <v>3638</v>
      </c>
      <c r="D277" s="275" t="s">
        <v>3056</v>
      </c>
      <c r="E277" s="275" t="s">
        <v>2802</v>
      </c>
      <c r="F277" s="278">
        <v>31085</v>
      </c>
      <c r="G277" s="275" t="s">
        <v>2803</v>
      </c>
      <c r="H277" s="276">
        <v>14.85</v>
      </c>
      <c r="I277" s="276">
        <v>44.8</v>
      </c>
      <c r="J277" s="276">
        <v>13.07</v>
      </c>
      <c r="K277" s="276">
        <f t="shared" si="4"/>
        <v>1.7799999999999994</v>
      </c>
      <c r="L277" s="335"/>
    </row>
    <row r="278" spans="1:12">
      <c r="A278" s="275" t="s">
        <v>2819</v>
      </c>
      <c r="B278" s="275" t="s">
        <v>3637</v>
      </c>
      <c r="C278" s="275" t="s">
        <v>3636</v>
      </c>
      <c r="D278" s="275" t="s">
        <v>3056</v>
      </c>
      <c r="E278" s="275" t="s">
        <v>2802</v>
      </c>
      <c r="F278" s="278">
        <v>31093</v>
      </c>
      <c r="G278" s="275" t="s">
        <v>2803</v>
      </c>
      <c r="H278" s="276">
        <v>15</v>
      </c>
      <c r="I278" s="276" t="s">
        <v>1447</v>
      </c>
      <c r="J278" s="276">
        <v>12.99</v>
      </c>
      <c r="K278" s="276">
        <f t="shared" si="4"/>
        <v>2.0099999999999998</v>
      </c>
      <c r="L278" s="335"/>
    </row>
    <row r="279" spans="1:12">
      <c r="A279" s="275" t="s">
        <v>2871</v>
      </c>
      <c r="B279" s="275" t="s">
        <v>3079</v>
      </c>
      <c r="C279" s="275" t="s">
        <v>3635</v>
      </c>
      <c r="D279" s="275" t="s">
        <v>3056</v>
      </c>
      <c r="E279" s="275" t="s">
        <v>2802</v>
      </c>
      <c r="F279" s="278">
        <v>31098</v>
      </c>
      <c r="G279" s="275" t="s">
        <v>2803</v>
      </c>
      <c r="H279" s="276">
        <v>14.5</v>
      </c>
      <c r="I279" s="276">
        <v>43.91</v>
      </c>
      <c r="J279" s="276">
        <v>12.99</v>
      </c>
      <c r="K279" s="276">
        <f t="shared" si="4"/>
        <v>1.5099999999999998</v>
      </c>
      <c r="L279" s="335"/>
    </row>
    <row r="280" spans="1:12">
      <c r="A280" s="275" t="s">
        <v>2862</v>
      </c>
      <c r="B280" s="275" t="s">
        <v>2863</v>
      </c>
      <c r="C280" s="275" t="s">
        <v>3634</v>
      </c>
      <c r="D280" s="275" t="s">
        <v>3056</v>
      </c>
      <c r="E280" s="275" t="s">
        <v>2802</v>
      </c>
      <c r="F280" s="278">
        <v>31100</v>
      </c>
      <c r="G280" s="275" t="s">
        <v>2803</v>
      </c>
      <c r="H280" s="276">
        <v>14.86</v>
      </c>
      <c r="I280" s="276">
        <v>42.18</v>
      </c>
      <c r="J280" s="276">
        <v>12.99</v>
      </c>
      <c r="K280" s="276">
        <f t="shared" si="4"/>
        <v>1.8699999999999992</v>
      </c>
      <c r="L280" s="335"/>
    </row>
    <row r="281" spans="1:12">
      <c r="A281" s="275" t="s">
        <v>2811</v>
      </c>
      <c r="B281" s="275" t="s">
        <v>2812</v>
      </c>
      <c r="C281" s="275" t="s">
        <v>3633</v>
      </c>
      <c r="D281" s="275" t="s">
        <v>3056</v>
      </c>
      <c r="E281" s="275" t="s">
        <v>2802</v>
      </c>
      <c r="F281" s="278">
        <v>31120</v>
      </c>
      <c r="G281" s="275" t="s">
        <v>2803</v>
      </c>
      <c r="H281" s="276">
        <v>15.5</v>
      </c>
      <c r="I281" s="276">
        <v>43.35</v>
      </c>
      <c r="J281" s="276">
        <v>12.99</v>
      </c>
      <c r="K281" s="276">
        <f t="shared" si="4"/>
        <v>2.5099999999999998</v>
      </c>
      <c r="L281" s="335"/>
    </row>
    <row r="282" spans="1:12">
      <c r="A282" s="275" t="s">
        <v>2811</v>
      </c>
      <c r="B282" s="275" t="s">
        <v>2832</v>
      </c>
      <c r="C282" s="275" t="s">
        <v>3632</v>
      </c>
      <c r="D282" s="275" t="s">
        <v>3056</v>
      </c>
      <c r="E282" s="275" t="s">
        <v>2802</v>
      </c>
      <c r="F282" s="278">
        <v>31146</v>
      </c>
      <c r="G282" s="275" t="s">
        <v>2803</v>
      </c>
      <c r="H282" s="276">
        <v>15.5</v>
      </c>
      <c r="I282" s="276">
        <v>40.97</v>
      </c>
      <c r="J282" s="276">
        <v>13.03</v>
      </c>
      <c r="K282" s="276">
        <f t="shared" si="4"/>
        <v>2.4700000000000006</v>
      </c>
      <c r="L282" s="335"/>
    </row>
    <row r="283" spans="1:12">
      <c r="A283" s="275" t="s">
        <v>2811</v>
      </c>
      <c r="B283" s="275" t="s">
        <v>2855</v>
      </c>
      <c r="C283" s="275" t="s">
        <v>3631</v>
      </c>
      <c r="D283" s="275" t="s">
        <v>3056</v>
      </c>
      <c r="E283" s="275" t="s">
        <v>2802</v>
      </c>
      <c r="F283" s="278">
        <v>31153</v>
      </c>
      <c r="G283" s="275" t="s">
        <v>2803</v>
      </c>
      <c r="H283" s="276">
        <v>15.7</v>
      </c>
      <c r="I283" s="276">
        <v>42.09</v>
      </c>
      <c r="J283" s="276">
        <v>13.8</v>
      </c>
      <c r="K283" s="276">
        <f t="shared" si="4"/>
        <v>1.8999999999999986</v>
      </c>
      <c r="L283" s="335"/>
    </row>
    <row r="284" spans="1:12">
      <c r="A284" s="275" t="s">
        <v>2873</v>
      </c>
      <c r="B284" s="275" t="s">
        <v>3075</v>
      </c>
      <c r="C284" s="275" t="s">
        <v>3630</v>
      </c>
      <c r="D284" s="275" t="s">
        <v>3056</v>
      </c>
      <c r="E284" s="275" t="s">
        <v>2802</v>
      </c>
      <c r="F284" s="278">
        <v>31208</v>
      </c>
      <c r="G284" s="275" t="s">
        <v>2803</v>
      </c>
      <c r="H284" s="276">
        <v>15.75</v>
      </c>
      <c r="I284" s="276">
        <v>37.9</v>
      </c>
      <c r="J284" s="276">
        <v>13.59</v>
      </c>
      <c r="K284" s="276">
        <f t="shared" si="4"/>
        <v>2.16</v>
      </c>
      <c r="L284" s="335"/>
    </row>
    <row r="285" spans="1:12">
      <c r="A285" s="275" t="s">
        <v>2851</v>
      </c>
      <c r="B285" s="275" t="s">
        <v>3105</v>
      </c>
      <c r="C285" s="275" t="s">
        <v>3629</v>
      </c>
      <c r="D285" s="275" t="s">
        <v>3056</v>
      </c>
      <c r="E285" s="275" t="s">
        <v>2802</v>
      </c>
      <c r="F285" s="278">
        <v>31224</v>
      </c>
      <c r="G285" s="275" t="s">
        <v>2803</v>
      </c>
      <c r="H285" s="276">
        <v>14.82</v>
      </c>
      <c r="I285" s="276">
        <v>28.01</v>
      </c>
      <c r="J285" s="276">
        <v>13.17</v>
      </c>
      <c r="K285" s="276">
        <f t="shared" si="4"/>
        <v>1.6500000000000004</v>
      </c>
      <c r="L285" s="335"/>
    </row>
    <row r="286" spans="1:12">
      <c r="A286" s="275" t="s">
        <v>2811</v>
      </c>
      <c r="B286" s="275" t="s">
        <v>4017</v>
      </c>
      <c r="C286" s="275" t="s">
        <v>3628</v>
      </c>
      <c r="D286" s="275" t="s">
        <v>3056</v>
      </c>
      <c r="E286" s="275" t="s">
        <v>2802</v>
      </c>
      <c r="F286" s="278">
        <v>31237</v>
      </c>
      <c r="G286" s="275" t="s">
        <v>2803</v>
      </c>
      <c r="H286" s="276">
        <v>15</v>
      </c>
      <c r="I286" s="276">
        <v>44.23</v>
      </c>
      <c r="J286" s="276">
        <v>13.17</v>
      </c>
      <c r="K286" s="276">
        <f t="shared" si="4"/>
        <v>1.83</v>
      </c>
      <c r="L286" s="335"/>
    </row>
    <row r="287" spans="1:12">
      <c r="A287" s="275" t="s">
        <v>2809</v>
      </c>
      <c r="B287" s="275" t="s">
        <v>2810</v>
      </c>
      <c r="C287" s="275" t="s">
        <v>3627</v>
      </c>
      <c r="D287" s="275" t="s">
        <v>3056</v>
      </c>
      <c r="E287" s="275" t="s">
        <v>2802</v>
      </c>
      <c r="F287" s="278">
        <v>31254</v>
      </c>
      <c r="G287" s="275" t="s">
        <v>2803</v>
      </c>
      <c r="H287" s="276">
        <v>14.5</v>
      </c>
      <c r="I287" s="276">
        <v>47.88</v>
      </c>
      <c r="J287" s="276">
        <v>12.14</v>
      </c>
      <c r="K287" s="276">
        <f t="shared" si="4"/>
        <v>2.3599999999999994</v>
      </c>
      <c r="L287" s="335"/>
    </row>
    <row r="288" spans="1:12">
      <c r="A288" s="275" t="s">
        <v>2809</v>
      </c>
      <c r="B288" s="275" t="s">
        <v>2854</v>
      </c>
      <c r="C288" s="275" t="s">
        <v>3626</v>
      </c>
      <c r="D288" s="275" t="s">
        <v>3056</v>
      </c>
      <c r="E288" s="275" t="s">
        <v>2802</v>
      </c>
      <c r="F288" s="278">
        <v>31288</v>
      </c>
      <c r="G288" s="275" t="s">
        <v>2803</v>
      </c>
      <c r="H288" s="276">
        <v>14.5</v>
      </c>
      <c r="I288" s="276">
        <v>46.94</v>
      </c>
      <c r="J288" s="276">
        <v>12.06</v>
      </c>
      <c r="K288" s="276">
        <f t="shared" si="4"/>
        <v>2.4399999999999995</v>
      </c>
      <c r="L288" s="335"/>
    </row>
    <row r="289" spans="1:12">
      <c r="A289" s="275" t="s">
        <v>2806</v>
      </c>
      <c r="B289" s="275" t="s">
        <v>3081</v>
      </c>
      <c r="C289" s="275" t="s">
        <v>3625</v>
      </c>
      <c r="D289" s="275" t="s">
        <v>3056</v>
      </c>
      <c r="E289" s="275" t="s">
        <v>2802</v>
      </c>
      <c r="F289" s="278">
        <v>31313</v>
      </c>
      <c r="G289" s="275" t="s">
        <v>2803</v>
      </c>
      <c r="H289" s="276">
        <v>15.3</v>
      </c>
      <c r="I289" s="276">
        <v>43.06</v>
      </c>
      <c r="J289" s="276">
        <v>12.14</v>
      </c>
      <c r="K289" s="276">
        <f t="shared" si="4"/>
        <v>3.16</v>
      </c>
      <c r="L289" s="335"/>
    </row>
    <row r="290" spans="1:12">
      <c r="A290" s="275" t="s">
        <v>2838</v>
      </c>
      <c r="B290" s="275" t="s">
        <v>3075</v>
      </c>
      <c r="C290" s="275" t="s">
        <v>3624</v>
      </c>
      <c r="D290" s="275" t="s">
        <v>3056</v>
      </c>
      <c r="E290" s="275" t="s">
        <v>2802</v>
      </c>
      <c r="F290" s="278">
        <v>31315</v>
      </c>
      <c r="G290" s="275" t="s">
        <v>2803</v>
      </c>
      <c r="H290" s="276">
        <v>14.5</v>
      </c>
      <c r="I290" s="276" t="s">
        <v>1447</v>
      </c>
      <c r="J290" s="276">
        <v>12.14</v>
      </c>
      <c r="K290" s="276">
        <f t="shared" si="4"/>
        <v>2.3599999999999994</v>
      </c>
      <c r="L290" s="335"/>
    </row>
    <row r="291" spans="1:12">
      <c r="A291" s="275" t="s">
        <v>2804</v>
      </c>
      <c r="B291" s="275" t="s">
        <v>3495</v>
      </c>
      <c r="C291" s="275" t="s">
        <v>3621</v>
      </c>
      <c r="D291" s="275" t="s">
        <v>3056</v>
      </c>
      <c r="E291" s="275" t="s">
        <v>2802</v>
      </c>
      <c r="F291" s="278">
        <v>31316</v>
      </c>
      <c r="G291" s="275" t="s">
        <v>2803</v>
      </c>
      <c r="H291" s="276">
        <v>14.5</v>
      </c>
      <c r="I291" s="276">
        <v>54</v>
      </c>
      <c r="J291" s="276">
        <v>12.14</v>
      </c>
      <c r="K291" s="276">
        <f t="shared" si="4"/>
        <v>2.3599999999999994</v>
      </c>
      <c r="L291" s="335"/>
    </row>
    <row r="292" spans="1:12">
      <c r="A292" s="275" t="s">
        <v>2811</v>
      </c>
      <c r="B292" s="275" t="s">
        <v>3623</v>
      </c>
      <c r="C292" s="275" t="s">
        <v>3622</v>
      </c>
      <c r="D292" s="275" t="s">
        <v>3056</v>
      </c>
      <c r="E292" s="275" t="s">
        <v>2802</v>
      </c>
      <c r="F292" s="278">
        <v>31316</v>
      </c>
      <c r="G292" s="275" t="s">
        <v>2803</v>
      </c>
      <c r="H292" s="276">
        <v>13.8</v>
      </c>
      <c r="I292" s="276">
        <v>49.09</v>
      </c>
      <c r="J292" s="276">
        <v>12.14</v>
      </c>
      <c r="K292" s="276">
        <f t="shared" si="4"/>
        <v>1.6600000000000001</v>
      </c>
      <c r="L292" s="335"/>
    </row>
    <row r="293" spans="1:12">
      <c r="A293" s="275" t="s">
        <v>2873</v>
      </c>
      <c r="B293" s="275" t="s">
        <v>3328</v>
      </c>
      <c r="C293" s="275" t="s">
        <v>3620</v>
      </c>
      <c r="D293" s="275" t="s">
        <v>3056</v>
      </c>
      <c r="E293" s="275" t="s">
        <v>2802</v>
      </c>
      <c r="F293" s="278">
        <v>31345</v>
      </c>
      <c r="G293" s="275" t="s">
        <v>2803</v>
      </c>
      <c r="H293" s="276">
        <v>15.25</v>
      </c>
      <c r="I293" s="276">
        <v>41.41</v>
      </c>
      <c r="J293" s="276">
        <v>12.13</v>
      </c>
      <c r="K293" s="276">
        <f t="shared" si="4"/>
        <v>3.1199999999999992</v>
      </c>
      <c r="L293" s="335"/>
    </row>
    <row r="294" spans="1:12">
      <c r="A294" s="275" t="s">
        <v>2872</v>
      </c>
      <c r="B294" s="275" t="s">
        <v>3075</v>
      </c>
      <c r="C294" s="275" t="s">
        <v>3619</v>
      </c>
      <c r="D294" s="275" t="s">
        <v>3056</v>
      </c>
      <c r="E294" s="275" t="s">
        <v>2802</v>
      </c>
      <c r="F294" s="278">
        <v>31359</v>
      </c>
      <c r="G294" s="275" t="s">
        <v>2803</v>
      </c>
      <c r="H294" s="276">
        <v>12.94</v>
      </c>
      <c r="I294" s="276">
        <v>77.760000000000005</v>
      </c>
      <c r="J294" s="276">
        <v>12.13</v>
      </c>
      <c r="K294" s="276">
        <f t="shared" si="4"/>
        <v>0.80999999999999872</v>
      </c>
      <c r="L294" s="335"/>
    </row>
    <row r="295" spans="1:12">
      <c r="A295" s="275" t="s">
        <v>2850</v>
      </c>
      <c r="B295" s="275" t="s">
        <v>3361</v>
      </c>
      <c r="C295" s="275" t="s">
        <v>3618</v>
      </c>
      <c r="D295" s="275" t="s">
        <v>3056</v>
      </c>
      <c r="E295" s="275" t="s">
        <v>2802</v>
      </c>
      <c r="F295" s="278">
        <v>31371</v>
      </c>
      <c r="G295" s="275" t="s">
        <v>2803</v>
      </c>
      <c r="H295" s="276">
        <v>14.9</v>
      </c>
      <c r="I295" s="276">
        <v>41.87</v>
      </c>
      <c r="J295" s="276">
        <v>12.01</v>
      </c>
      <c r="K295" s="276">
        <f t="shared" si="4"/>
        <v>2.8900000000000006</v>
      </c>
      <c r="L295" s="335"/>
    </row>
    <row r="296" spans="1:12">
      <c r="A296" s="275" t="s">
        <v>2811</v>
      </c>
      <c r="B296" s="275" t="s">
        <v>2814</v>
      </c>
      <c r="C296" s="275" t="s">
        <v>3617</v>
      </c>
      <c r="D296" s="275" t="s">
        <v>3056</v>
      </c>
      <c r="E296" s="275" t="s">
        <v>2802</v>
      </c>
      <c r="F296" s="278">
        <v>31376</v>
      </c>
      <c r="G296" s="275" t="s">
        <v>2803</v>
      </c>
      <c r="H296" s="276">
        <v>13.3</v>
      </c>
      <c r="I296" s="276">
        <v>50</v>
      </c>
      <c r="J296" s="276">
        <v>12.01</v>
      </c>
      <c r="K296" s="276">
        <f t="shared" si="4"/>
        <v>1.2900000000000009</v>
      </c>
      <c r="L296" s="335"/>
    </row>
    <row r="297" spans="1:12">
      <c r="A297" s="275" t="s">
        <v>2856</v>
      </c>
      <c r="B297" s="275" t="s">
        <v>3129</v>
      </c>
      <c r="C297" s="275" t="s">
        <v>3616</v>
      </c>
      <c r="D297" s="275" t="s">
        <v>3056</v>
      </c>
      <c r="E297" s="275" t="s">
        <v>2802</v>
      </c>
      <c r="F297" s="278">
        <v>31387</v>
      </c>
      <c r="G297" s="275" t="s">
        <v>2803</v>
      </c>
      <c r="H297" s="276">
        <v>12</v>
      </c>
      <c r="I297" s="276">
        <v>31.84</v>
      </c>
      <c r="J297" s="276">
        <v>12.01</v>
      </c>
      <c r="K297" s="276">
        <f t="shared" si="4"/>
        <v>-9.9999999999997868E-3</v>
      </c>
      <c r="L297" s="335"/>
    </row>
    <row r="298" spans="1:12">
      <c r="A298" s="275" t="s">
        <v>2850</v>
      </c>
      <c r="B298" s="275" t="s">
        <v>3328</v>
      </c>
      <c r="C298" s="275" t="s">
        <v>3615</v>
      </c>
      <c r="D298" s="275" t="s">
        <v>3056</v>
      </c>
      <c r="E298" s="275" t="s">
        <v>2802</v>
      </c>
      <c r="F298" s="278">
        <v>31392</v>
      </c>
      <c r="G298" s="275" t="s">
        <v>2803</v>
      </c>
      <c r="H298" s="276">
        <v>14.9</v>
      </c>
      <c r="I298" s="276">
        <v>46.04</v>
      </c>
      <c r="J298" s="276">
        <v>12.01</v>
      </c>
      <c r="K298" s="276">
        <f t="shared" si="4"/>
        <v>2.8900000000000006</v>
      </c>
      <c r="L298" s="335"/>
    </row>
    <row r="299" spans="1:12">
      <c r="A299" s="275" t="s">
        <v>2844</v>
      </c>
      <c r="B299" s="275" t="s">
        <v>2848</v>
      </c>
      <c r="C299" s="275" t="s">
        <v>3613</v>
      </c>
      <c r="D299" s="275" t="s">
        <v>3056</v>
      </c>
      <c r="E299" s="275" t="s">
        <v>2802</v>
      </c>
      <c r="F299" s="278">
        <v>31401</v>
      </c>
      <c r="G299" s="275" t="s">
        <v>2803</v>
      </c>
      <c r="H299" s="276">
        <v>15</v>
      </c>
      <c r="I299" s="276">
        <v>48</v>
      </c>
      <c r="J299" s="276">
        <v>11.51</v>
      </c>
      <c r="K299" s="276">
        <f t="shared" si="4"/>
        <v>3.49</v>
      </c>
      <c r="L299" s="335"/>
    </row>
    <row r="300" spans="1:12">
      <c r="A300" s="275" t="s">
        <v>2809</v>
      </c>
      <c r="B300" s="275" t="s">
        <v>3142</v>
      </c>
      <c r="C300" s="275" t="s">
        <v>3612</v>
      </c>
      <c r="D300" s="275" t="s">
        <v>3056</v>
      </c>
      <c r="E300" s="275" t="s">
        <v>2802</v>
      </c>
      <c r="F300" s="278">
        <v>31401</v>
      </c>
      <c r="G300" s="275" t="s">
        <v>2803</v>
      </c>
      <c r="H300" s="276">
        <v>15</v>
      </c>
      <c r="I300" s="276">
        <v>43.75</v>
      </c>
      <c r="J300" s="276">
        <v>11.51</v>
      </c>
      <c r="K300" s="276">
        <f t="shared" si="4"/>
        <v>3.49</v>
      </c>
      <c r="L300" s="335"/>
    </row>
    <row r="301" spans="1:12">
      <c r="A301" s="275" t="s">
        <v>2808</v>
      </c>
      <c r="B301" s="275" t="s">
        <v>3409</v>
      </c>
      <c r="C301" s="275" t="s">
        <v>3614</v>
      </c>
      <c r="D301" s="275" t="s">
        <v>3056</v>
      </c>
      <c r="E301" s="275" t="s">
        <v>2802</v>
      </c>
      <c r="F301" s="278">
        <v>31401</v>
      </c>
      <c r="G301" s="275" t="s">
        <v>2803</v>
      </c>
      <c r="H301" s="276">
        <v>14.88</v>
      </c>
      <c r="I301" s="276">
        <v>54.24</v>
      </c>
      <c r="J301" s="276">
        <v>11.51</v>
      </c>
      <c r="K301" s="276">
        <f t="shared" si="4"/>
        <v>3.370000000000001</v>
      </c>
      <c r="L301" s="335"/>
    </row>
    <row r="302" spans="1:12">
      <c r="A302" s="275" t="s">
        <v>2871</v>
      </c>
      <c r="B302" s="275" t="s">
        <v>3079</v>
      </c>
      <c r="C302" s="275" t="s">
        <v>3610</v>
      </c>
      <c r="D302" s="275" t="s">
        <v>3056</v>
      </c>
      <c r="E302" s="275" t="s">
        <v>2802</v>
      </c>
      <c r="F302" s="278">
        <v>31412</v>
      </c>
      <c r="G302" s="275" t="s">
        <v>2803</v>
      </c>
      <c r="H302" s="276">
        <v>14.5</v>
      </c>
      <c r="I302" s="276">
        <v>48.96</v>
      </c>
      <c r="J302" s="276">
        <v>11.51</v>
      </c>
      <c r="K302" s="276">
        <f t="shared" si="4"/>
        <v>2.99</v>
      </c>
      <c r="L302" s="335"/>
    </row>
    <row r="303" spans="1:12">
      <c r="A303" s="275" t="s">
        <v>2857</v>
      </c>
      <c r="B303" s="275" t="s">
        <v>4023</v>
      </c>
      <c r="C303" s="275" t="s">
        <v>3611</v>
      </c>
      <c r="D303" s="275" t="s">
        <v>3056</v>
      </c>
      <c r="E303" s="275" t="s">
        <v>2802</v>
      </c>
      <c r="F303" s="278">
        <v>31412</v>
      </c>
      <c r="G303" s="275" t="s">
        <v>2803</v>
      </c>
      <c r="H303" s="276">
        <v>14</v>
      </c>
      <c r="I303" s="276">
        <v>45.56</v>
      </c>
      <c r="J303" s="276">
        <v>11.51</v>
      </c>
      <c r="K303" s="276">
        <f t="shared" si="4"/>
        <v>2.4900000000000002</v>
      </c>
      <c r="L303" s="335"/>
    </row>
    <row r="304" spans="1:12">
      <c r="A304" s="275" t="s">
        <v>2808</v>
      </c>
      <c r="B304" s="275" t="s">
        <v>3129</v>
      </c>
      <c r="C304" s="275" t="s">
        <v>3609</v>
      </c>
      <c r="D304" s="275" t="s">
        <v>3056</v>
      </c>
      <c r="E304" s="275" t="s">
        <v>2802</v>
      </c>
      <c r="F304" s="278">
        <v>31429</v>
      </c>
      <c r="G304" s="275" t="s">
        <v>2803</v>
      </c>
      <c r="H304" s="276">
        <v>14.5</v>
      </c>
      <c r="I304" s="276">
        <v>54</v>
      </c>
      <c r="J304" s="276">
        <v>11.01</v>
      </c>
      <c r="K304" s="276">
        <f t="shared" si="4"/>
        <v>3.49</v>
      </c>
      <c r="L304" s="335"/>
    </row>
    <row r="305" spans="1:12">
      <c r="A305" s="275" t="s">
        <v>2811</v>
      </c>
      <c r="B305" s="275" t="s">
        <v>2815</v>
      </c>
      <c r="C305" s="275" t="s">
        <v>3608</v>
      </c>
      <c r="D305" s="275" t="s">
        <v>3056</v>
      </c>
      <c r="E305" s="275" t="s">
        <v>2802</v>
      </c>
      <c r="F305" s="278">
        <v>31454</v>
      </c>
      <c r="G305" s="275" t="s">
        <v>2803</v>
      </c>
      <c r="H305" s="276">
        <v>12.5</v>
      </c>
      <c r="I305" s="276">
        <v>43.01</v>
      </c>
      <c r="J305" s="276">
        <v>11.01</v>
      </c>
      <c r="K305" s="276">
        <f t="shared" si="4"/>
        <v>1.4900000000000002</v>
      </c>
      <c r="L305" s="335"/>
    </row>
    <row r="306" spans="1:12">
      <c r="A306" s="275" t="s">
        <v>2873</v>
      </c>
      <c r="B306" s="275" t="s">
        <v>3972</v>
      </c>
      <c r="C306" s="275" t="s">
        <v>3607</v>
      </c>
      <c r="D306" s="275" t="s">
        <v>3056</v>
      </c>
      <c r="E306" s="275" t="s">
        <v>2802</v>
      </c>
      <c r="F306" s="278">
        <v>31455</v>
      </c>
      <c r="G306" s="275" t="s">
        <v>2803</v>
      </c>
      <c r="H306" s="276">
        <v>15.2</v>
      </c>
      <c r="I306" s="276">
        <v>51.5</v>
      </c>
      <c r="J306" s="276">
        <v>11.01</v>
      </c>
      <c r="K306" s="276">
        <f t="shared" si="4"/>
        <v>4.1899999999999995</v>
      </c>
      <c r="L306" s="335"/>
    </row>
    <row r="307" spans="1:12">
      <c r="A307" s="275" t="s">
        <v>2851</v>
      </c>
      <c r="B307" s="275" t="s">
        <v>4030</v>
      </c>
      <c r="C307" s="275" t="s">
        <v>3606</v>
      </c>
      <c r="D307" s="275" t="s">
        <v>3056</v>
      </c>
      <c r="E307" s="275" t="s">
        <v>2802</v>
      </c>
      <c r="F307" s="278">
        <v>31482</v>
      </c>
      <c r="G307" s="275" t="s">
        <v>2803</v>
      </c>
      <c r="H307" s="276">
        <v>14</v>
      </c>
      <c r="I307" s="276">
        <v>33.14</v>
      </c>
      <c r="J307" s="276">
        <v>10.8</v>
      </c>
      <c r="K307" s="276">
        <f t="shared" si="4"/>
        <v>3.1999999999999993</v>
      </c>
      <c r="L307" s="335"/>
    </row>
    <row r="308" spans="1:12">
      <c r="A308" s="275" t="s">
        <v>2811</v>
      </c>
      <c r="B308" s="275" t="s">
        <v>4014</v>
      </c>
      <c r="C308" s="275" t="s">
        <v>3605</v>
      </c>
      <c r="D308" s="275" t="s">
        <v>3056</v>
      </c>
      <c r="E308" s="275" t="s">
        <v>2802</v>
      </c>
      <c r="F308" s="278">
        <v>31504</v>
      </c>
      <c r="G308" s="275" t="s">
        <v>2803</v>
      </c>
      <c r="H308" s="276">
        <v>12.9</v>
      </c>
      <c r="I308" s="276">
        <v>52.19</v>
      </c>
      <c r="J308" s="276">
        <v>10.32</v>
      </c>
      <c r="K308" s="276">
        <f t="shared" si="4"/>
        <v>2.58</v>
      </c>
      <c r="L308" s="335"/>
    </row>
    <row r="309" spans="1:12">
      <c r="A309" s="275" t="s">
        <v>2816</v>
      </c>
      <c r="B309" s="275" t="s">
        <v>2817</v>
      </c>
      <c r="C309" s="275" t="s">
        <v>3604</v>
      </c>
      <c r="D309" s="275" t="s">
        <v>3056</v>
      </c>
      <c r="E309" s="275" t="s">
        <v>2802</v>
      </c>
      <c r="F309" s="278">
        <v>31530</v>
      </c>
      <c r="G309" s="275" t="s">
        <v>2803</v>
      </c>
      <c r="H309" s="276">
        <v>13.01</v>
      </c>
      <c r="I309" s="276">
        <v>33.83</v>
      </c>
      <c r="J309" s="276">
        <v>9.51</v>
      </c>
      <c r="K309" s="276">
        <f t="shared" si="4"/>
        <v>3.5</v>
      </c>
      <c r="L309" s="335"/>
    </row>
    <row r="310" spans="1:12">
      <c r="A310" s="275" t="s">
        <v>2838</v>
      </c>
      <c r="B310" s="275" t="s">
        <v>3129</v>
      </c>
      <c r="C310" s="275" t="s">
        <v>3603</v>
      </c>
      <c r="D310" s="275" t="s">
        <v>3056</v>
      </c>
      <c r="E310" s="275" t="s">
        <v>2802</v>
      </c>
      <c r="F310" s="278">
        <v>31560</v>
      </c>
      <c r="G310" s="275" t="s">
        <v>2803</v>
      </c>
      <c r="H310" s="276">
        <v>14</v>
      </c>
      <c r="I310" s="276" t="s">
        <v>1447</v>
      </c>
      <c r="J310" s="276">
        <v>9.1300000000000008</v>
      </c>
      <c r="K310" s="276">
        <f t="shared" si="4"/>
        <v>4.8699999999999992</v>
      </c>
      <c r="L310" s="335"/>
    </row>
    <row r="311" spans="1:12">
      <c r="A311" s="275" t="s">
        <v>2809</v>
      </c>
      <c r="B311" s="275" t="s">
        <v>2810</v>
      </c>
      <c r="C311" s="275" t="s">
        <v>3602</v>
      </c>
      <c r="D311" s="275" t="s">
        <v>3056</v>
      </c>
      <c r="E311" s="275" t="s">
        <v>2802</v>
      </c>
      <c r="F311" s="278">
        <v>31561</v>
      </c>
      <c r="G311" s="275" t="s">
        <v>2803</v>
      </c>
      <c r="H311" s="276">
        <v>13.9</v>
      </c>
      <c r="I311" s="276">
        <v>49</v>
      </c>
      <c r="J311" s="276">
        <v>9.1300000000000008</v>
      </c>
      <c r="K311" s="276">
        <f t="shared" si="4"/>
        <v>4.7699999999999996</v>
      </c>
      <c r="L311" s="335"/>
    </row>
    <row r="312" spans="1:12">
      <c r="A312" s="275" t="s">
        <v>2846</v>
      </c>
      <c r="B312" s="275" t="s">
        <v>4022</v>
      </c>
      <c r="C312" s="275" t="s">
        <v>3601</v>
      </c>
      <c r="D312" s="275" t="s">
        <v>3056</v>
      </c>
      <c r="E312" s="275" t="s">
        <v>2802</v>
      </c>
      <c r="F312" s="278">
        <v>31565</v>
      </c>
      <c r="G312" s="275" t="s">
        <v>2803</v>
      </c>
      <c r="H312" s="276">
        <v>13</v>
      </c>
      <c r="I312" s="276">
        <v>39.83</v>
      </c>
      <c r="J312" s="276">
        <v>9.1300000000000008</v>
      </c>
      <c r="K312" s="276">
        <f t="shared" si="4"/>
        <v>3.8699999999999992</v>
      </c>
      <c r="L312" s="335"/>
    </row>
    <row r="313" spans="1:12">
      <c r="A313" s="275" t="s">
        <v>2830</v>
      </c>
      <c r="B313" s="275" t="s">
        <v>4018</v>
      </c>
      <c r="C313" s="275" t="s">
        <v>3600</v>
      </c>
      <c r="D313" s="275" t="s">
        <v>3056</v>
      </c>
      <c r="E313" s="275" t="s">
        <v>2802</v>
      </c>
      <c r="F313" s="278">
        <v>31574</v>
      </c>
      <c r="G313" s="275" t="s">
        <v>2803</v>
      </c>
      <c r="H313" s="276">
        <v>14</v>
      </c>
      <c r="I313" s="276">
        <v>39.520000000000003</v>
      </c>
      <c r="J313" s="276">
        <v>9.1300000000000008</v>
      </c>
      <c r="K313" s="276">
        <f t="shared" si="4"/>
        <v>4.8699999999999992</v>
      </c>
      <c r="L313" s="335"/>
    </row>
    <row r="314" spans="1:12">
      <c r="A314" s="275" t="s">
        <v>2813</v>
      </c>
      <c r="B314" s="275" t="s">
        <v>3385</v>
      </c>
      <c r="C314" s="275" t="s">
        <v>3599</v>
      </c>
      <c r="D314" s="275" t="s">
        <v>3056</v>
      </c>
      <c r="E314" s="275" t="s">
        <v>2802</v>
      </c>
      <c r="F314" s="278">
        <v>31576</v>
      </c>
      <c r="G314" s="275" t="s">
        <v>2803</v>
      </c>
      <c r="H314" s="276">
        <v>13.55</v>
      </c>
      <c r="I314" s="276">
        <v>36.96</v>
      </c>
      <c r="J314" s="276">
        <v>9.1300000000000008</v>
      </c>
      <c r="K314" s="276">
        <f t="shared" si="4"/>
        <v>4.42</v>
      </c>
      <c r="L314" s="335"/>
    </row>
    <row r="315" spans="1:12">
      <c r="A315" s="275" t="s">
        <v>2816</v>
      </c>
      <c r="B315" s="275" t="s">
        <v>2817</v>
      </c>
      <c r="C315" s="275" t="s">
        <v>3598</v>
      </c>
      <c r="D315" s="275" t="s">
        <v>3056</v>
      </c>
      <c r="E315" s="275" t="s">
        <v>2802</v>
      </c>
      <c r="F315" s="278">
        <v>31590</v>
      </c>
      <c r="G315" s="275" t="s">
        <v>2803</v>
      </c>
      <c r="H315" s="276">
        <v>11.88</v>
      </c>
      <c r="I315" s="276">
        <v>45</v>
      </c>
      <c r="J315" s="276">
        <v>9.57</v>
      </c>
      <c r="K315" s="276">
        <f t="shared" si="4"/>
        <v>2.3100000000000005</v>
      </c>
      <c r="L315" s="335"/>
    </row>
    <row r="316" spans="1:12">
      <c r="A316" s="275" t="s">
        <v>2811</v>
      </c>
      <c r="B316" s="275" t="s">
        <v>4017</v>
      </c>
      <c r="C316" s="275" t="s">
        <v>3597</v>
      </c>
      <c r="D316" s="275" t="s">
        <v>3056</v>
      </c>
      <c r="E316" s="275" t="s">
        <v>2802</v>
      </c>
      <c r="F316" s="278">
        <v>31607</v>
      </c>
      <c r="G316" s="275" t="s">
        <v>2803</v>
      </c>
      <c r="H316" s="276">
        <v>12.6</v>
      </c>
      <c r="I316" s="276">
        <v>45.86</v>
      </c>
      <c r="J316" s="276">
        <v>9.57</v>
      </c>
      <c r="K316" s="276">
        <f t="shared" si="4"/>
        <v>3.0299999999999994</v>
      </c>
      <c r="L316" s="335"/>
    </row>
    <row r="317" spans="1:12">
      <c r="A317" s="275" t="s">
        <v>2819</v>
      </c>
      <c r="B317" s="275" t="s">
        <v>3515</v>
      </c>
      <c r="C317" s="275" t="s">
        <v>3596</v>
      </c>
      <c r="D317" s="275" t="s">
        <v>3056</v>
      </c>
      <c r="E317" s="275" t="s">
        <v>2802</v>
      </c>
      <c r="F317" s="278">
        <v>31623</v>
      </c>
      <c r="G317" s="275" t="s">
        <v>2803</v>
      </c>
      <c r="H317" s="276">
        <v>13.3</v>
      </c>
      <c r="I317" s="276">
        <v>45.41</v>
      </c>
      <c r="J317" s="276">
        <v>9.65</v>
      </c>
      <c r="K317" s="276">
        <f t="shared" si="4"/>
        <v>3.6500000000000004</v>
      </c>
      <c r="L317" s="335"/>
    </row>
    <row r="318" spans="1:12">
      <c r="A318" s="275" t="s">
        <v>2809</v>
      </c>
      <c r="B318" s="275" t="s">
        <v>2854</v>
      </c>
      <c r="C318" s="275" t="s">
        <v>3595</v>
      </c>
      <c r="D318" s="275" t="s">
        <v>3056</v>
      </c>
      <c r="E318" s="275" t="s">
        <v>2802</v>
      </c>
      <c r="F318" s="278">
        <v>31638</v>
      </c>
      <c r="G318" s="275" t="s">
        <v>2803</v>
      </c>
      <c r="H318" s="276">
        <v>13.5</v>
      </c>
      <c r="I318" s="276">
        <v>46.78</v>
      </c>
      <c r="J318" s="276">
        <v>9.65</v>
      </c>
      <c r="K318" s="276">
        <f t="shared" si="4"/>
        <v>3.8499999999999996</v>
      </c>
      <c r="L318" s="335"/>
    </row>
    <row r="319" spans="1:12">
      <c r="A319" s="275" t="s">
        <v>2840</v>
      </c>
      <c r="B319" s="275" t="s">
        <v>3079</v>
      </c>
      <c r="C319" s="275" t="s">
        <v>3594</v>
      </c>
      <c r="D319" s="275" t="s">
        <v>3056</v>
      </c>
      <c r="E319" s="275" t="s">
        <v>2802</v>
      </c>
      <c r="F319" s="278">
        <v>31660</v>
      </c>
      <c r="G319" s="275" t="s">
        <v>2803</v>
      </c>
      <c r="H319" s="276">
        <v>13.3</v>
      </c>
      <c r="I319" s="276">
        <v>54.1</v>
      </c>
      <c r="J319" s="276">
        <v>9.35</v>
      </c>
      <c r="K319" s="276">
        <f t="shared" si="4"/>
        <v>3.9500000000000011</v>
      </c>
      <c r="L319" s="335"/>
    </row>
    <row r="320" spans="1:12">
      <c r="A320" s="275" t="s">
        <v>2806</v>
      </c>
      <c r="B320" s="275" t="s">
        <v>3081</v>
      </c>
      <c r="C320" s="275" t="s">
        <v>3593</v>
      </c>
      <c r="D320" s="275" t="s">
        <v>3056</v>
      </c>
      <c r="E320" s="275" t="s">
        <v>2802</v>
      </c>
      <c r="F320" s="278">
        <v>31678</v>
      </c>
      <c r="G320" s="275" t="s">
        <v>2803</v>
      </c>
      <c r="H320" s="276">
        <v>12.75</v>
      </c>
      <c r="I320" s="276">
        <v>45.47</v>
      </c>
      <c r="J320" s="276">
        <v>9.31</v>
      </c>
      <c r="K320" s="276">
        <f t="shared" si="4"/>
        <v>3.4399999999999995</v>
      </c>
      <c r="L320" s="335"/>
    </row>
    <row r="321" spans="1:12">
      <c r="A321" s="275" t="s">
        <v>2804</v>
      </c>
      <c r="B321" s="275" t="s">
        <v>3540</v>
      </c>
      <c r="C321" s="275" t="s">
        <v>3592</v>
      </c>
      <c r="D321" s="275" t="s">
        <v>3056</v>
      </c>
      <c r="E321" s="275" t="s">
        <v>2802</v>
      </c>
      <c r="F321" s="278">
        <v>31715</v>
      </c>
      <c r="G321" s="275" t="s">
        <v>2803</v>
      </c>
      <c r="H321" s="276">
        <v>13</v>
      </c>
      <c r="I321" s="276">
        <v>61.2</v>
      </c>
      <c r="J321" s="276">
        <v>9.5</v>
      </c>
      <c r="K321" s="276">
        <f t="shared" si="4"/>
        <v>3.5</v>
      </c>
      <c r="L321" s="335"/>
    </row>
    <row r="322" spans="1:12">
      <c r="A322" s="275" t="s">
        <v>2835</v>
      </c>
      <c r="B322" s="275" t="s">
        <v>3075</v>
      </c>
      <c r="C322" s="275" t="s">
        <v>3591</v>
      </c>
      <c r="D322" s="275" t="s">
        <v>3056</v>
      </c>
      <c r="E322" s="275" t="s">
        <v>2802</v>
      </c>
      <c r="F322" s="278">
        <v>31716</v>
      </c>
      <c r="G322" s="275" t="s">
        <v>2803</v>
      </c>
      <c r="H322" s="276">
        <v>13.75</v>
      </c>
      <c r="I322" s="276">
        <v>53.46</v>
      </c>
      <c r="J322" s="276">
        <v>9.5</v>
      </c>
      <c r="K322" s="276">
        <f t="shared" si="4"/>
        <v>4.25</v>
      </c>
      <c r="L322" s="335"/>
    </row>
    <row r="323" spans="1:12">
      <c r="A323" s="275" t="s">
        <v>2850</v>
      </c>
      <c r="B323" s="275" t="s">
        <v>3472</v>
      </c>
      <c r="C323" s="275" t="s">
        <v>3590</v>
      </c>
      <c r="D323" s="275" t="s">
        <v>3056</v>
      </c>
      <c r="E323" s="275" t="s">
        <v>2802</v>
      </c>
      <c r="F323" s="278">
        <v>31726</v>
      </c>
      <c r="G323" s="275" t="s">
        <v>2803</v>
      </c>
      <c r="H323" s="276">
        <v>14</v>
      </c>
      <c r="I323" s="276">
        <v>43.59</v>
      </c>
      <c r="J323" s="276">
        <v>9.5</v>
      </c>
      <c r="K323" s="276">
        <f t="shared" si="4"/>
        <v>4.5</v>
      </c>
      <c r="L323" s="335"/>
    </row>
    <row r="324" spans="1:12">
      <c r="A324" s="275" t="s">
        <v>2850</v>
      </c>
      <c r="B324" s="275" t="s">
        <v>3361</v>
      </c>
      <c r="C324" s="275" t="s">
        <v>3589</v>
      </c>
      <c r="D324" s="275" t="s">
        <v>3056</v>
      </c>
      <c r="E324" s="275" t="s">
        <v>2802</v>
      </c>
      <c r="F324" s="278">
        <v>31735</v>
      </c>
      <c r="G324" s="275" t="s">
        <v>2803</v>
      </c>
      <c r="H324" s="276">
        <v>13.75</v>
      </c>
      <c r="I324" s="276">
        <v>40.57</v>
      </c>
      <c r="J324" s="276">
        <v>9.5299999999999994</v>
      </c>
      <c r="K324" s="276">
        <f t="shared" si="4"/>
        <v>4.2200000000000006</v>
      </c>
      <c r="L324" s="335"/>
    </row>
    <row r="325" spans="1:12">
      <c r="A325" s="275" t="s">
        <v>2804</v>
      </c>
      <c r="B325" s="275" t="s">
        <v>4014</v>
      </c>
      <c r="C325" s="275" t="s">
        <v>3588</v>
      </c>
      <c r="D325" s="275" t="s">
        <v>3056</v>
      </c>
      <c r="E325" s="275" t="s">
        <v>2802</v>
      </c>
      <c r="F325" s="278">
        <v>31741</v>
      </c>
      <c r="G325" s="275" t="s">
        <v>2803</v>
      </c>
      <c r="H325" s="276">
        <v>13.15</v>
      </c>
      <c r="I325" s="276">
        <v>51.2</v>
      </c>
      <c r="J325" s="276">
        <v>9.5299999999999994</v>
      </c>
      <c r="K325" s="276">
        <f t="shared" si="4"/>
        <v>3.620000000000001</v>
      </c>
      <c r="L325" s="335"/>
    </row>
    <row r="326" spans="1:12">
      <c r="A326" s="275" t="s">
        <v>2844</v>
      </c>
      <c r="B326" s="275" t="s">
        <v>2864</v>
      </c>
      <c r="C326" s="275" t="s">
        <v>3587</v>
      </c>
      <c r="D326" s="275" t="s">
        <v>3056</v>
      </c>
      <c r="E326" s="275" t="s">
        <v>2802</v>
      </c>
      <c r="F326" s="278">
        <v>31768</v>
      </c>
      <c r="G326" s="275" t="s">
        <v>2803</v>
      </c>
      <c r="H326" s="276">
        <v>13.8</v>
      </c>
      <c r="I326" s="276">
        <v>44.5</v>
      </c>
      <c r="J326" s="276">
        <v>9.2899999999999991</v>
      </c>
      <c r="K326" s="276">
        <f t="shared" ref="K326:K389" si="5">H326-J326</f>
        <v>4.5100000000000016</v>
      </c>
      <c r="L326" s="335"/>
    </row>
    <row r="327" spans="1:12">
      <c r="A327" s="275" t="s">
        <v>2809</v>
      </c>
      <c r="B327" s="275" t="s">
        <v>3142</v>
      </c>
      <c r="C327" s="275" t="s">
        <v>3586</v>
      </c>
      <c r="D327" s="275" t="s">
        <v>3056</v>
      </c>
      <c r="E327" s="275" t="s">
        <v>2802</v>
      </c>
      <c r="F327" s="278">
        <v>31776</v>
      </c>
      <c r="G327" s="275" t="s">
        <v>2803</v>
      </c>
      <c r="H327" s="276">
        <v>13.9</v>
      </c>
      <c r="I327" s="276">
        <v>45.86</v>
      </c>
      <c r="J327" s="276">
        <v>9.2899999999999991</v>
      </c>
      <c r="K327" s="276">
        <f t="shared" si="5"/>
        <v>4.6100000000000012</v>
      </c>
      <c r="L327" s="335"/>
    </row>
    <row r="328" spans="1:12">
      <c r="A328" s="275" t="s">
        <v>2857</v>
      </c>
      <c r="B328" s="275" t="s">
        <v>3099</v>
      </c>
      <c r="C328" s="275" t="s">
        <v>3585</v>
      </c>
      <c r="D328" s="275" t="s">
        <v>3056</v>
      </c>
      <c r="E328" s="275" t="s">
        <v>2802</v>
      </c>
      <c r="F328" s="278">
        <v>31797</v>
      </c>
      <c r="G328" s="275" t="s">
        <v>2803</v>
      </c>
      <c r="H328" s="276">
        <v>12.75</v>
      </c>
      <c r="I328" s="276">
        <v>37.799999999999997</v>
      </c>
      <c r="J328" s="276">
        <v>9.1199999999999992</v>
      </c>
      <c r="K328" s="276">
        <f t="shared" si="5"/>
        <v>3.6300000000000008</v>
      </c>
      <c r="L328" s="335"/>
    </row>
    <row r="329" spans="1:12">
      <c r="A329" s="275" t="s">
        <v>2857</v>
      </c>
      <c r="B329" s="275" t="s">
        <v>4023</v>
      </c>
      <c r="C329" s="275" t="s">
        <v>3584</v>
      </c>
      <c r="D329" s="275" t="s">
        <v>3056</v>
      </c>
      <c r="E329" s="275" t="s">
        <v>2802</v>
      </c>
      <c r="F329" s="278">
        <v>31804</v>
      </c>
      <c r="G329" s="275" t="s">
        <v>2803</v>
      </c>
      <c r="H329" s="276">
        <v>12.16</v>
      </c>
      <c r="I329" s="276">
        <v>45</v>
      </c>
      <c r="J329" s="276">
        <v>9.1199999999999992</v>
      </c>
      <c r="K329" s="276">
        <f t="shared" si="5"/>
        <v>3.0400000000000009</v>
      </c>
      <c r="L329" s="335"/>
    </row>
    <row r="330" spans="1:12">
      <c r="A330" s="275" t="s">
        <v>2873</v>
      </c>
      <c r="B330" s="275" t="s">
        <v>3075</v>
      </c>
      <c r="C330" s="275" t="s">
        <v>3583</v>
      </c>
      <c r="D330" s="275" t="s">
        <v>3056</v>
      </c>
      <c r="E330" s="275" t="s">
        <v>2802</v>
      </c>
      <c r="F330" s="278">
        <v>31821</v>
      </c>
      <c r="G330" s="275" t="s">
        <v>2803</v>
      </c>
      <c r="H330" s="276">
        <v>12.6</v>
      </c>
      <c r="I330" s="276">
        <v>45.8</v>
      </c>
      <c r="J330" s="276">
        <v>9.1199999999999992</v>
      </c>
      <c r="K330" s="276">
        <f t="shared" si="5"/>
        <v>3.4800000000000004</v>
      </c>
      <c r="L330" s="335"/>
    </row>
    <row r="331" spans="1:12">
      <c r="A331" s="275" t="s">
        <v>2838</v>
      </c>
      <c r="B331" s="275" t="s">
        <v>3075</v>
      </c>
      <c r="C331" s="275" t="s">
        <v>3582</v>
      </c>
      <c r="D331" s="275" t="s">
        <v>3056</v>
      </c>
      <c r="E331" s="275" t="s">
        <v>2802</v>
      </c>
      <c r="F331" s="278">
        <v>31832</v>
      </c>
      <c r="G331" s="275" t="s">
        <v>2803</v>
      </c>
      <c r="H331" s="276">
        <v>12</v>
      </c>
      <c r="I331" s="276" t="s">
        <v>1447</v>
      </c>
      <c r="J331" s="276">
        <v>8.94</v>
      </c>
      <c r="K331" s="276">
        <f t="shared" si="5"/>
        <v>3.0600000000000005</v>
      </c>
      <c r="L331" s="335"/>
    </row>
    <row r="332" spans="1:12">
      <c r="A332" s="275" t="s">
        <v>2816</v>
      </c>
      <c r="B332" s="275" t="s">
        <v>3453</v>
      </c>
      <c r="C332" s="275" t="s">
        <v>3581</v>
      </c>
      <c r="D332" s="275" t="s">
        <v>3056</v>
      </c>
      <c r="E332" s="275" t="s">
        <v>2802</v>
      </c>
      <c r="F332" s="278">
        <v>31866</v>
      </c>
      <c r="G332" s="275" t="s">
        <v>2803</v>
      </c>
      <c r="H332" s="276">
        <v>12.2</v>
      </c>
      <c r="I332" s="276">
        <v>37.119999999999997</v>
      </c>
      <c r="J332" s="276">
        <v>9</v>
      </c>
      <c r="K332" s="276">
        <f t="shared" si="5"/>
        <v>3.1999999999999993</v>
      </c>
      <c r="L332" s="335"/>
    </row>
    <row r="333" spans="1:12">
      <c r="A333" s="275" t="s">
        <v>2805</v>
      </c>
      <c r="B333" s="275" t="s">
        <v>2829</v>
      </c>
      <c r="C333" s="275" t="s">
        <v>3580</v>
      </c>
      <c r="D333" s="275" t="s">
        <v>3056</v>
      </c>
      <c r="E333" s="275" t="s">
        <v>2802</v>
      </c>
      <c r="F333" s="278">
        <v>31902</v>
      </c>
      <c r="G333" s="275" t="s">
        <v>2803</v>
      </c>
      <c r="H333" s="276">
        <v>12.85</v>
      </c>
      <c r="I333" s="276">
        <v>42.98</v>
      </c>
      <c r="J333" s="276">
        <v>8.93</v>
      </c>
      <c r="K333" s="276">
        <f t="shared" si="5"/>
        <v>3.92</v>
      </c>
      <c r="L333" s="335"/>
    </row>
    <row r="334" spans="1:12">
      <c r="A334" s="275" t="s">
        <v>2809</v>
      </c>
      <c r="B334" s="275" t="s">
        <v>2810</v>
      </c>
      <c r="C334" s="275" t="s">
        <v>3579</v>
      </c>
      <c r="D334" s="275" t="s">
        <v>3056</v>
      </c>
      <c r="E334" s="275" t="s">
        <v>2802</v>
      </c>
      <c r="F334" s="278">
        <v>31925</v>
      </c>
      <c r="G334" s="275" t="s">
        <v>2803</v>
      </c>
      <c r="H334" s="276">
        <v>13.5</v>
      </c>
      <c r="I334" s="276">
        <v>47.9</v>
      </c>
      <c r="J334" s="276">
        <v>9.35</v>
      </c>
      <c r="K334" s="276">
        <f t="shared" si="5"/>
        <v>4.1500000000000004</v>
      </c>
      <c r="L334" s="335"/>
    </row>
    <row r="335" spans="1:12">
      <c r="A335" s="275" t="s">
        <v>2811</v>
      </c>
      <c r="B335" s="275" t="s">
        <v>4017</v>
      </c>
      <c r="C335" s="275" t="s">
        <v>3578</v>
      </c>
      <c r="D335" s="275" t="s">
        <v>3056</v>
      </c>
      <c r="E335" s="275" t="s">
        <v>2802</v>
      </c>
      <c r="F335" s="278">
        <v>31943</v>
      </c>
      <c r="G335" s="275" t="s">
        <v>2803</v>
      </c>
      <c r="H335" s="276">
        <v>13.2</v>
      </c>
      <c r="I335" s="276">
        <v>36.9</v>
      </c>
      <c r="J335" s="276">
        <v>9.8699999999999992</v>
      </c>
      <c r="K335" s="276">
        <f t="shared" si="5"/>
        <v>3.33</v>
      </c>
      <c r="L335" s="335"/>
    </row>
    <row r="336" spans="1:12">
      <c r="A336" s="275" t="s">
        <v>2830</v>
      </c>
      <c r="B336" s="275" t="s">
        <v>3157</v>
      </c>
      <c r="C336" s="275" t="s">
        <v>3577</v>
      </c>
      <c r="D336" s="275" t="s">
        <v>3056</v>
      </c>
      <c r="E336" s="275" t="s">
        <v>2802</v>
      </c>
      <c r="F336" s="278">
        <v>31958</v>
      </c>
      <c r="G336" s="275" t="s">
        <v>2803</v>
      </c>
      <c r="H336" s="276">
        <v>12.6</v>
      </c>
      <c r="I336" s="276">
        <v>47.99</v>
      </c>
      <c r="J336" s="276">
        <v>9.8699999999999992</v>
      </c>
      <c r="K336" s="276">
        <f t="shared" si="5"/>
        <v>2.7300000000000004</v>
      </c>
      <c r="L336" s="335"/>
    </row>
    <row r="337" spans="1:12">
      <c r="A337" s="275" t="s">
        <v>2809</v>
      </c>
      <c r="B337" s="275" t="s">
        <v>2853</v>
      </c>
      <c r="C337" s="275" t="s">
        <v>3576</v>
      </c>
      <c r="D337" s="275" t="s">
        <v>3056</v>
      </c>
      <c r="E337" s="275" t="s">
        <v>2802</v>
      </c>
      <c r="F337" s="278">
        <v>31968</v>
      </c>
      <c r="G337" s="275" t="s">
        <v>2803</v>
      </c>
      <c r="H337" s="276">
        <v>12.9</v>
      </c>
      <c r="I337" s="276">
        <v>48.01</v>
      </c>
      <c r="J337" s="276">
        <v>9.8699999999999992</v>
      </c>
      <c r="K337" s="276">
        <f t="shared" si="5"/>
        <v>3.0300000000000011</v>
      </c>
      <c r="L337" s="335"/>
    </row>
    <row r="338" spans="1:12">
      <c r="A338" s="275" t="s">
        <v>2845</v>
      </c>
      <c r="B338" s="275" t="s">
        <v>3575</v>
      </c>
      <c r="C338" s="275" t="s">
        <v>3574</v>
      </c>
      <c r="D338" s="275" t="s">
        <v>3056</v>
      </c>
      <c r="E338" s="275" t="s">
        <v>2802</v>
      </c>
      <c r="F338" s="278">
        <v>32038</v>
      </c>
      <c r="G338" s="275" t="s">
        <v>2803</v>
      </c>
      <c r="H338" s="276">
        <v>13</v>
      </c>
      <c r="I338" s="276">
        <v>41.67</v>
      </c>
      <c r="J338" s="276">
        <v>10.44</v>
      </c>
      <c r="K338" s="276">
        <f t="shared" si="5"/>
        <v>2.5600000000000005</v>
      </c>
      <c r="L338" s="335"/>
    </row>
    <row r="339" spans="1:12">
      <c r="A339" s="275" t="s">
        <v>2813</v>
      </c>
      <c r="B339" s="275" t="s">
        <v>3385</v>
      </c>
      <c r="C339" s="275" t="s">
        <v>3572</v>
      </c>
      <c r="D339" s="275" t="s">
        <v>3056</v>
      </c>
      <c r="E339" s="275" t="s">
        <v>2802</v>
      </c>
      <c r="F339" s="278">
        <v>32070</v>
      </c>
      <c r="G339" s="275" t="s">
        <v>2803</v>
      </c>
      <c r="H339" s="276">
        <v>12.98</v>
      </c>
      <c r="I339" s="276" t="s">
        <v>1447</v>
      </c>
      <c r="J339" s="276">
        <v>11.18</v>
      </c>
      <c r="K339" s="276">
        <f t="shared" si="5"/>
        <v>1.8000000000000007</v>
      </c>
      <c r="L339" s="335"/>
    </row>
    <row r="340" spans="1:12">
      <c r="A340" s="275" t="s">
        <v>2830</v>
      </c>
      <c r="B340" s="275" t="s">
        <v>4020</v>
      </c>
      <c r="C340" s="275" t="s">
        <v>3573</v>
      </c>
      <c r="D340" s="275" t="s">
        <v>3056</v>
      </c>
      <c r="E340" s="275" t="s">
        <v>2802</v>
      </c>
      <c r="F340" s="278">
        <v>32070</v>
      </c>
      <c r="G340" s="275" t="s">
        <v>2803</v>
      </c>
      <c r="H340" s="276">
        <v>12.6</v>
      </c>
      <c r="I340" s="276">
        <v>41.2</v>
      </c>
      <c r="J340" s="276">
        <v>11.18</v>
      </c>
      <c r="K340" s="276">
        <f t="shared" si="5"/>
        <v>1.42</v>
      </c>
      <c r="L340" s="335"/>
    </row>
    <row r="341" spans="1:12">
      <c r="A341" s="275" t="s">
        <v>2861</v>
      </c>
      <c r="B341" s="275" t="s">
        <v>4028</v>
      </c>
      <c r="C341" s="275" t="s">
        <v>3571</v>
      </c>
      <c r="D341" s="275" t="s">
        <v>3056</v>
      </c>
      <c r="E341" s="275" t="s">
        <v>2802</v>
      </c>
      <c r="F341" s="278">
        <v>32093</v>
      </c>
      <c r="G341" s="275" t="s">
        <v>2803</v>
      </c>
      <c r="H341" s="276">
        <v>12.75</v>
      </c>
      <c r="I341" s="276">
        <v>44.18</v>
      </c>
      <c r="J341" s="276">
        <v>11.18</v>
      </c>
      <c r="K341" s="276">
        <f t="shared" si="5"/>
        <v>1.5700000000000003</v>
      </c>
      <c r="L341" s="335"/>
    </row>
    <row r="342" spans="1:12">
      <c r="A342" s="275" t="s">
        <v>2838</v>
      </c>
      <c r="B342" s="275" t="s">
        <v>3129</v>
      </c>
      <c r="C342" s="275" t="s">
        <v>3570</v>
      </c>
      <c r="D342" s="275" t="s">
        <v>3056</v>
      </c>
      <c r="E342" s="275" t="s">
        <v>2802</v>
      </c>
      <c r="F342" s="278">
        <v>32105</v>
      </c>
      <c r="G342" s="275" t="s">
        <v>2803</v>
      </c>
      <c r="H342" s="276">
        <v>12.5</v>
      </c>
      <c r="I342" s="276">
        <v>51.71</v>
      </c>
      <c r="J342" s="276">
        <v>11.36</v>
      </c>
      <c r="K342" s="276">
        <f t="shared" si="5"/>
        <v>1.1400000000000006</v>
      </c>
      <c r="L342" s="335"/>
    </row>
    <row r="343" spans="1:12">
      <c r="A343" s="275" t="s">
        <v>2809</v>
      </c>
      <c r="B343" s="275" t="s">
        <v>4023</v>
      </c>
      <c r="C343" s="275" t="s">
        <v>3569</v>
      </c>
      <c r="D343" s="275" t="s">
        <v>3056</v>
      </c>
      <c r="E343" s="275" t="s">
        <v>2802</v>
      </c>
      <c r="F343" s="278">
        <v>32133</v>
      </c>
      <c r="G343" s="275" t="s">
        <v>2803</v>
      </c>
      <c r="H343" s="276">
        <v>12</v>
      </c>
      <c r="I343" s="276">
        <v>58.57</v>
      </c>
      <c r="J343" s="276">
        <v>10.82</v>
      </c>
      <c r="K343" s="276">
        <f t="shared" si="5"/>
        <v>1.1799999999999997</v>
      </c>
      <c r="L343" s="335"/>
    </row>
    <row r="344" spans="1:12">
      <c r="A344" s="275" t="s">
        <v>2807</v>
      </c>
      <c r="B344" s="275" t="s">
        <v>3136</v>
      </c>
      <c r="C344" s="275" t="s">
        <v>3568</v>
      </c>
      <c r="D344" s="275" t="s">
        <v>3056</v>
      </c>
      <c r="E344" s="275" t="s">
        <v>2802</v>
      </c>
      <c r="F344" s="278">
        <v>32142</v>
      </c>
      <c r="G344" s="275" t="s">
        <v>2803</v>
      </c>
      <c r="H344" s="276">
        <v>13.25</v>
      </c>
      <c r="I344" s="276">
        <v>51.09</v>
      </c>
      <c r="J344" s="276">
        <v>10.82</v>
      </c>
      <c r="K344" s="276">
        <f t="shared" si="5"/>
        <v>2.4299999999999997</v>
      </c>
      <c r="L344" s="335"/>
    </row>
    <row r="345" spans="1:12">
      <c r="A345" s="275" t="s">
        <v>2804</v>
      </c>
      <c r="B345" s="275" t="s">
        <v>4373</v>
      </c>
      <c r="C345" s="275" t="s">
        <v>3567</v>
      </c>
      <c r="D345" s="275" t="s">
        <v>3056</v>
      </c>
      <c r="E345" s="275" t="s">
        <v>2802</v>
      </c>
      <c r="F345" s="278">
        <v>32157</v>
      </c>
      <c r="G345" s="275" t="s">
        <v>2803</v>
      </c>
      <c r="H345" s="276">
        <v>13.15</v>
      </c>
      <c r="I345" s="276">
        <v>38.6</v>
      </c>
      <c r="J345" s="276">
        <v>10.94</v>
      </c>
      <c r="K345" s="276">
        <f t="shared" si="5"/>
        <v>2.2100000000000009</v>
      </c>
      <c r="L345" s="335"/>
    </row>
    <row r="346" spans="1:12">
      <c r="A346" s="275" t="s">
        <v>2801</v>
      </c>
      <c r="B346" s="275" t="s">
        <v>3089</v>
      </c>
      <c r="C346" s="275" t="s">
        <v>3566</v>
      </c>
      <c r="D346" s="275" t="s">
        <v>3056</v>
      </c>
      <c r="E346" s="275" t="s">
        <v>2802</v>
      </c>
      <c r="F346" s="278">
        <v>32162</v>
      </c>
      <c r="G346" s="275" t="s">
        <v>2803</v>
      </c>
      <c r="H346" s="276">
        <v>12.75</v>
      </c>
      <c r="I346" s="276">
        <v>59.18</v>
      </c>
      <c r="J346" s="276">
        <v>10.94</v>
      </c>
      <c r="K346" s="276">
        <f t="shared" si="5"/>
        <v>1.8100000000000005</v>
      </c>
      <c r="L346" s="335"/>
    </row>
    <row r="347" spans="1:12">
      <c r="A347" s="275" t="s">
        <v>2809</v>
      </c>
      <c r="B347" s="275" t="s">
        <v>2853</v>
      </c>
      <c r="C347" s="275" t="s">
        <v>3565</v>
      </c>
      <c r="D347" s="275" t="s">
        <v>3056</v>
      </c>
      <c r="E347" s="275" t="s">
        <v>2802</v>
      </c>
      <c r="F347" s="278">
        <v>32171</v>
      </c>
      <c r="G347" s="275" t="s">
        <v>2803</v>
      </c>
      <c r="H347" s="276">
        <v>13.2</v>
      </c>
      <c r="I347" s="276">
        <v>50.79</v>
      </c>
      <c r="J347" s="276">
        <v>10.94</v>
      </c>
      <c r="K347" s="276">
        <f t="shared" si="5"/>
        <v>2.2599999999999998</v>
      </c>
      <c r="L347" s="335"/>
    </row>
    <row r="348" spans="1:12">
      <c r="A348" s="275" t="s">
        <v>2830</v>
      </c>
      <c r="B348" s="275" t="s">
        <v>4018</v>
      </c>
      <c r="C348" s="275" t="s">
        <v>3564</v>
      </c>
      <c r="D348" s="275" t="s">
        <v>3056</v>
      </c>
      <c r="E348" s="275" t="s">
        <v>2802</v>
      </c>
      <c r="F348" s="278">
        <v>32177</v>
      </c>
      <c r="G348" s="275" t="s">
        <v>2803</v>
      </c>
      <c r="H348" s="276">
        <v>12.6</v>
      </c>
      <c r="I348" s="276">
        <v>37.72</v>
      </c>
      <c r="J348" s="276">
        <v>10.94</v>
      </c>
      <c r="K348" s="276">
        <f t="shared" si="5"/>
        <v>1.6600000000000001</v>
      </c>
      <c r="L348" s="335"/>
    </row>
    <row r="349" spans="1:12">
      <c r="A349" s="275" t="s">
        <v>2804</v>
      </c>
      <c r="B349" s="275" t="s">
        <v>4014</v>
      </c>
      <c r="C349" s="275" t="s">
        <v>3563</v>
      </c>
      <c r="D349" s="275" t="s">
        <v>3056</v>
      </c>
      <c r="E349" s="275" t="s">
        <v>2802</v>
      </c>
      <c r="F349" s="278">
        <v>32290</v>
      </c>
      <c r="G349" s="275" t="s">
        <v>2803</v>
      </c>
      <c r="H349" s="276">
        <v>13.18</v>
      </c>
      <c r="I349" s="276">
        <v>50.1</v>
      </c>
      <c r="J349" s="276">
        <v>10.52</v>
      </c>
      <c r="K349" s="276">
        <f t="shared" si="5"/>
        <v>2.66</v>
      </c>
      <c r="L349" s="335"/>
    </row>
    <row r="350" spans="1:12">
      <c r="A350" s="275" t="s">
        <v>2809</v>
      </c>
      <c r="B350" s="275" t="s">
        <v>2810</v>
      </c>
      <c r="C350" s="275" t="s">
        <v>3562</v>
      </c>
      <c r="D350" s="275" t="s">
        <v>3056</v>
      </c>
      <c r="E350" s="275" t="s">
        <v>2802</v>
      </c>
      <c r="F350" s="278">
        <v>32308</v>
      </c>
      <c r="G350" s="275" t="s">
        <v>2803</v>
      </c>
      <c r="H350" s="276">
        <v>13.5</v>
      </c>
      <c r="I350" s="276">
        <v>48.09</v>
      </c>
      <c r="J350" s="276">
        <v>10.52</v>
      </c>
      <c r="K350" s="276">
        <f t="shared" si="5"/>
        <v>2.9800000000000004</v>
      </c>
      <c r="L350" s="335"/>
    </row>
    <row r="351" spans="1:12">
      <c r="A351" s="275" t="s">
        <v>2816</v>
      </c>
      <c r="B351" s="275" t="s">
        <v>2817</v>
      </c>
      <c r="C351" s="275" t="s">
        <v>3561</v>
      </c>
      <c r="D351" s="275" t="s">
        <v>3056</v>
      </c>
      <c r="E351" s="275" t="s">
        <v>2802</v>
      </c>
      <c r="F351" s="278">
        <v>32311</v>
      </c>
      <c r="G351" s="275" t="s">
        <v>2803</v>
      </c>
      <c r="H351" s="276">
        <v>11.72</v>
      </c>
      <c r="I351" s="276">
        <v>39.770000000000003</v>
      </c>
      <c r="J351" s="276">
        <v>10.79</v>
      </c>
      <c r="K351" s="276">
        <f t="shared" si="5"/>
        <v>0.93000000000000149</v>
      </c>
      <c r="L351" s="335"/>
    </row>
    <row r="352" spans="1:12">
      <c r="A352" s="275" t="s">
        <v>2837</v>
      </c>
      <c r="B352" s="275" t="s">
        <v>2839</v>
      </c>
      <c r="C352" s="275" t="s">
        <v>3560</v>
      </c>
      <c r="D352" s="275" t="s">
        <v>3056</v>
      </c>
      <c r="E352" s="275" t="s">
        <v>2802</v>
      </c>
      <c r="F352" s="278">
        <v>32318</v>
      </c>
      <c r="G352" s="275" t="s">
        <v>2803</v>
      </c>
      <c r="H352" s="276">
        <v>11.5</v>
      </c>
      <c r="I352" s="276">
        <v>41.49</v>
      </c>
      <c r="J352" s="276">
        <v>10.79</v>
      </c>
      <c r="K352" s="276">
        <f t="shared" si="5"/>
        <v>0.71000000000000085</v>
      </c>
      <c r="L352" s="335"/>
    </row>
    <row r="353" spans="1:12">
      <c r="A353" s="275" t="s">
        <v>2835</v>
      </c>
      <c r="B353" s="275" t="s">
        <v>2836</v>
      </c>
      <c r="C353" s="275" t="s">
        <v>3559</v>
      </c>
      <c r="D353" s="275" t="s">
        <v>3056</v>
      </c>
      <c r="E353" s="275" t="s">
        <v>2802</v>
      </c>
      <c r="F353" s="278">
        <v>32325</v>
      </c>
      <c r="G353" s="275" t="s">
        <v>2803</v>
      </c>
      <c r="H353" s="276">
        <v>12.75</v>
      </c>
      <c r="I353" s="276">
        <v>44.43</v>
      </c>
      <c r="J353" s="276">
        <v>10.79</v>
      </c>
      <c r="K353" s="276">
        <f t="shared" si="5"/>
        <v>1.9600000000000009</v>
      </c>
      <c r="L353" s="335"/>
    </row>
    <row r="354" spans="1:12">
      <c r="A354" s="275" t="s">
        <v>2838</v>
      </c>
      <c r="B354" s="275" t="s">
        <v>3129</v>
      </c>
      <c r="C354" s="275" t="s">
        <v>3558</v>
      </c>
      <c r="D354" s="275" t="s">
        <v>3056</v>
      </c>
      <c r="E354" s="275" t="s">
        <v>2802</v>
      </c>
      <c r="F354" s="278">
        <v>32332</v>
      </c>
      <c r="G354" s="275" t="s">
        <v>2803</v>
      </c>
      <c r="H354" s="276">
        <v>12</v>
      </c>
      <c r="I354" s="276" t="s">
        <v>1447</v>
      </c>
      <c r="J354" s="276">
        <v>10.79</v>
      </c>
      <c r="K354" s="276">
        <f t="shared" si="5"/>
        <v>1.2100000000000009</v>
      </c>
      <c r="L354" s="335"/>
    </row>
    <row r="355" spans="1:12">
      <c r="A355" s="275" t="s">
        <v>2811</v>
      </c>
      <c r="B355" s="275" t="s">
        <v>4014</v>
      </c>
      <c r="C355" s="275" t="s">
        <v>3557</v>
      </c>
      <c r="D355" s="275" t="s">
        <v>3056</v>
      </c>
      <c r="E355" s="275" t="s">
        <v>2802</v>
      </c>
      <c r="F355" s="278">
        <v>32342</v>
      </c>
      <c r="G355" s="275" t="s">
        <v>2803</v>
      </c>
      <c r="H355" s="276">
        <v>12</v>
      </c>
      <c r="I355" s="276">
        <v>49.7</v>
      </c>
      <c r="J355" s="276">
        <v>10.81</v>
      </c>
      <c r="K355" s="276">
        <f t="shared" si="5"/>
        <v>1.1899999999999995</v>
      </c>
      <c r="L355" s="335"/>
    </row>
    <row r="356" spans="1:12">
      <c r="A356" s="275" t="s">
        <v>2811</v>
      </c>
      <c r="B356" s="275" t="s">
        <v>4017</v>
      </c>
      <c r="C356" s="275" t="s">
        <v>3556</v>
      </c>
      <c r="D356" s="275" t="s">
        <v>3056</v>
      </c>
      <c r="E356" s="275" t="s">
        <v>2802</v>
      </c>
      <c r="F356" s="278">
        <v>32344</v>
      </c>
      <c r="G356" s="275" t="s">
        <v>2803</v>
      </c>
      <c r="H356" s="276">
        <v>13.4</v>
      </c>
      <c r="I356" s="276" t="s">
        <v>1447</v>
      </c>
      <c r="J356" s="276">
        <v>10.81</v>
      </c>
      <c r="K356" s="276">
        <f t="shared" si="5"/>
        <v>2.59</v>
      </c>
      <c r="L356" s="335"/>
    </row>
    <row r="357" spans="1:12">
      <c r="A357" s="275" t="s">
        <v>2858</v>
      </c>
      <c r="B357" s="275" t="s">
        <v>2859</v>
      </c>
      <c r="C357" s="275" t="s">
        <v>3555</v>
      </c>
      <c r="D357" s="275" t="s">
        <v>3056</v>
      </c>
      <c r="E357" s="275" t="s">
        <v>2802</v>
      </c>
      <c r="F357" s="278">
        <v>32363</v>
      </c>
      <c r="G357" s="275" t="s">
        <v>2803</v>
      </c>
      <c r="H357" s="276">
        <v>12.74</v>
      </c>
      <c r="I357" s="276">
        <v>50.7</v>
      </c>
      <c r="J357" s="276">
        <v>10.81</v>
      </c>
      <c r="K357" s="276">
        <f t="shared" si="5"/>
        <v>1.9299999999999997</v>
      </c>
      <c r="L357" s="335"/>
    </row>
    <row r="358" spans="1:12">
      <c r="A358" s="275" t="s">
        <v>2805</v>
      </c>
      <c r="B358" s="275" t="s">
        <v>3079</v>
      </c>
      <c r="C358" s="275" t="s">
        <v>3554</v>
      </c>
      <c r="D358" s="275" t="s">
        <v>3056</v>
      </c>
      <c r="E358" s="275" t="s">
        <v>2802</v>
      </c>
      <c r="F358" s="278">
        <v>32406</v>
      </c>
      <c r="G358" s="275" t="s">
        <v>2803</v>
      </c>
      <c r="H358" s="276">
        <v>12.9</v>
      </c>
      <c r="I358" s="276">
        <v>51.4</v>
      </c>
      <c r="J358" s="276">
        <v>11.17</v>
      </c>
      <c r="K358" s="276">
        <f t="shared" si="5"/>
        <v>1.7300000000000004</v>
      </c>
      <c r="L358" s="335"/>
    </row>
    <row r="359" spans="1:12">
      <c r="A359" s="275" t="s">
        <v>2813</v>
      </c>
      <c r="B359" s="275" t="s">
        <v>3385</v>
      </c>
      <c r="C359" s="275" t="s">
        <v>3553</v>
      </c>
      <c r="D359" s="275" t="s">
        <v>3056</v>
      </c>
      <c r="E359" s="275" t="s">
        <v>2802</v>
      </c>
      <c r="F359" s="278">
        <v>32412</v>
      </c>
      <c r="G359" s="275" t="s">
        <v>2803</v>
      </c>
      <c r="H359" s="276">
        <v>12.4</v>
      </c>
      <c r="I359" s="276">
        <v>41.32</v>
      </c>
      <c r="J359" s="276">
        <v>11.17</v>
      </c>
      <c r="K359" s="276">
        <f t="shared" si="5"/>
        <v>1.2300000000000004</v>
      </c>
      <c r="L359" s="335"/>
    </row>
    <row r="360" spans="1:12">
      <c r="A360" s="275" t="s">
        <v>2809</v>
      </c>
      <c r="B360" s="275" t="s">
        <v>4025</v>
      </c>
      <c r="C360" s="275" t="s">
        <v>3552</v>
      </c>
      <c r="D360" s="275" t="s">
        <v>3056</v>
      </c>
      <c r="E360" s="275" t="s">
        <v>2802</v>
      </c>
      <c r="F360" s="278">
        <v>32413</v>
      </c>
      <c r="G360" s="275" t="s">
        <v>2803</v>
      </c>
      <c r="H360" s="276">
        <v>13.65</v>
      </c>
      <c r="I360" s="276">
        <v>51.15</v>
      </c>
      <c r="J360" s="276">
        <v>11.17</v>
      </c>
      <c r="K360" s="276">
        <f t="shared" si="5"/>
        <v>2.4800000000000004</v>
      </c>
      <c r="L360" s="335"/>
    </row>
    <row r="361" spans="1:12">
      <c r="A361" s="275" t="s">
        <v>2807</v>
      </c>
      <c r="B361" s="275" t="s">
        <v>3103</v>
      </c>
      <c r="C361" s="275" t="s">
        <v>3551</v>
      </c>
      <c r="D361" s="275" t="s">
        <v>3056</v>
      </c>
      <c r="E361" s="275" t="s">
        <v>2802</v>
      </c>
      <c r="F361" s="278">
        <v>32416</v>
      </c>
      <c r="G361" s="275" t="s">
        <v>2803</v>
      </c>
      <c r="H361" s="276">
        <v>13.25</v>
      </c>
      <c r="I361" s="276">
        <v>50.2</v>
      </c>
      <c r="J361" s="276">
        <v>11.17</v>
      </c>
      <c r="K361" s="276">
        <f t="shared" si="5"/>
        <v>2.08</v>
      </c>
      <c r="L361" s="335"/>
    </row>
    <row r="362" spans="1:12">
      <c r="A362" s="275" t="s">
        <v>2809</v>
      </c>
      <c r="B362" s="275" t="s">
        <v>2854</v>
      </c>
      <c r="C362" s="275" t="s">
        <v>3550</v>
      </c>
      <c r="D362" s="275" t="s">
        <v>3056</v>
      </c>
      <c r="E362" s="275" t="s">
        <v>2802</v>
      </c>
      <c r="F362" s="278">
        <v>32429</v>
      </c>
      <c r="G362" s="275" t="s">
        <v>2803</v>
      </c>
      <c r="H362" s="276">
        <v>13.1</v>
      </c>
      <c r="I362" s="276">
        <v>49.52</v>
      </c>
      <c r="J362" s="276">
        <v>11.17</v>
      </c>
      <c r="K362" s="276">
        <f t="shared" si="5"/>
        <v>1.9299999999999997</v>
      </c>
      <c r="L362" s="335"/>
    </row>
    <row r="363" spans="1:12">
      <c r="A363" s="275" t="s">
        <v>2835</v>
      </c>
      <c r="B363" s="275" t="s">
        <v>3531</v>
      </c>
      <c r="C363" s="275" t="s">
        <v>3549</v>
      </c>
      <c r="D363" s="275" t="s">
        <v>3056</v>
      </c>
      <c r="E363" s="275" t="s">
        <v>2802</v>
      </c>
      <c r="F363" s="278">
        <v>32437</v>
      </c>
      <c r="G363" s="275" t="s">
        <v>2803</v>
      </c>
      <c r="H363" s="276">
        <v>12.8</v>
      </c>
      <c r="I363" s="276">
        <v>48.43</v>
      </c>
      <c r="J363" s="276">
        <v>10.67</v>
      </c>
      <c r="K363" s="276">
        <f t="shared" si="5"/>
        <v>2.1300000000000008</v>
      </c>
      <c r="L363" s="335"/>
    </row>
    <row r="364" spans="1:12">
      <c r="A364" s="275" t="s">
        <v>2845</v>
      </c>
      <c r="B364" s="275" t="s">
        <v>2869</v>
      </c>
      <c r="C364" s="275" t="s">
        <v>3548</v>
      </c>
      <c r="D364" s="275" t="s">
        <v>3056</v>
      </c>
      <c r="E364" s="275" t="s">
        <v>2802</v>
      </c>
      <c r="F364" s="278">
        <v>32442</v>
      </c>
      <c r="G364" s="275" t="s">
        <v>2803</v>
      </c>
      <c r="H364" s="276">
        <v>13.5</v>
      </c>
      <c r="I364" s="276">
        <v>28.46</v>
      </c>
      <c r="J364" s="276">
        <v>10.67</v>
      </c>
      <c r="K364" s="276">
        <f t="shared" si="5"/>
        <v>2.83</v>
      </c>
      <c r="L364" s="335"/>
    </row>
    <row r="365" spans="1:12">
      <c r="A365" s="275" t="s">
        <v>2840</v>
      </c>
      <c r="B365" s="275" t="s">
        <v>3079</v>
      </c>
      <c r="C365" s="275" t="s">
        <v>3547</v>
      </c>
      <c r="D365" s="275" t="s">
        <v>3056</v>
      </c>
      <c r="E365" s="275" t="s">
        <v>2802</v>
      </c>
      <c r="F365" s="278">
        <v>32443</v>
      </c>
      <c r="G365" s="275" t="s">
        <v>2803</v>
      </c>
      <c r="H365" s="276">
        <v>12.95</v>
      </c>
      <c r="I365" s="276">
        <v>53.3</v>
      </c>
      <c r="J365" s="276">
        <v>10.67</v>
      </c>
      <c r="K365" s="276">
        <f t="shared" si="5"/>
        <v>2.2799999999999994</v>
      </c>
      <c r="L365" s="335"/>
    </row>
    <row r="366" spans="1:12">
      <c r="A366" s="275" t="s">
        <v>2871</v>
      </c>
      <c r="B366" s="275" t="s">
        <v>3079</v>
      </c>
      <c r="C366" s="275" t="s">
        <v>3546</v>
      </c>
      <c r="D366" s="275" t="s">
        <v>3056</v>
      </c>
      <c r="E366" s="275" t="s">
        <v>2802</v>
      </c>
      <c r="F366" s="278">
        <v>32444</v>
      </c>
      <c r="G366" s="275" t="s">
        <v>2803</v>
      </c>
      <c r="H366" s="276">
        <v>13</v>
      </c>
      <c r="I366" s="276">
        <v>49.83</v>
      </c>
      <c r="J366" s="276">
        <v>10.67</v>
      </c>
      <c r="K366" s="276">
        <f t="shared" si="5"/>
        <v>2.33</v>
      </c>
      <c r="L366" s="335"/>
    </row>
    <row r="367" spans="1:12">
      <c r="A367" s="275" t="s">
        <v>2838</v>
      </c>
      <c r="B367" s="275" t="s">
        <v>3075</v>
      </c>
      <c r="C367" s="275" t="s">
        <v>3545</v>
      </c>
      <c r="D367" s="275" t="s">
        <v>3056</v>
      </c>
      <c r="E367" s="275" t="s">
        <v>2802</v>
      </c>
      <c r="F367" s="278">
        <v>32462</v>
      </c>
      <c r="G367" s="275" t="s">
        <v>2803</v>
      </c>
      <c r="H367" s="276">
        <v>12</v>
      </c>
      <c r="I367" s="276" t="s">
        <v>1447</v>
      </c>
      <c r="J367" s="276">
        <v>9.98</v>
      </c>
      <c r="K367" s="276">
        <f t="shared" si="5"/>
        <v>2.0199999999999996</v>
      </c>
      <c r="L367" s="335"/>
    </row>
    <row r="368" spans="1:12">
      <c r="A368" s="275" t="s">
        <v>2806</v>
      </c>
      <c r="B368" s="275" t="s">
        <v>3081</v>
      </c>
      <c r="C368" s="275" t="s">
        <v>3544</v>
      </c>
      <c r="D368" s="275" t="s">
        <v>3056</v>
      </c>
      <c r="E368" s="275" t="s">
        <v>2802</v>
      </c>
      <c r="F368" s="278">
        <v>32476</v>
      </c>
      <c r="G368" s="275" t="s">
        <v>2803</v>
      </c>
      <c r="H368" s="276">
        <v>12.75</v>
      </c>
      <c r="I368" s="276">
        <v>47.36</v>
      </c>
      <c r="J368" s="276">
        <v>9.98</v>
      </c>
      <c r="K368" s="276">
        <f t="shared" si="5"/>
        <v>2.7699999999999996</v>
      </c>
      <c r="L368" s="335"/>
    </row>
    <row r="369" spans="1:12">
      <c r="A369" s="275" t="s">
        <v>2844</v>
      </c>
      <c r="B369" s="275" t="s">
        <v>2848</v>
      </c>
      <c r="C369" s="275" t="s">
        <v>3543</v>
      </c>
      <c r="D369" s="275" t="s">
        <v>3056</v>
      </c>
      <c r="E369" s="275" t="s">
        <v>2802</v>
      </c>
      <c r="F369" s="278">
        <v>32496</v>
      </c>
      <c r="G369" s="275" t="s">
        <v>2803</v>
      </c>
      <c r="H369" s="276">
        <v>13</v>
      </c>
      <c r="I369" s="276">
        <v>48</v>
      </c>
      <c r="J369" s="276">
        <v>9.89</v>
      </c>
      <c r="K369" s="276">
        <f t="shared" si="5"/>
        <v>3.1099999999999994</v>
      </c>
      <c r="L369" s="335"/>
    </row>
    <row r="370" spans="1:12">
      <c r="A370" s="275" t="s">
        <v>2830</v>
      </c>
      <c r="B370" s="275" t="s">
        <v>4018</v>
      </c>
      <c r="C370" s="275" t="s">
        <v>3542</v>
      </c>
      <c r="D370" s="275" t="s">
        <v>3056</v>
      </c>
      <c r="E370" s="275" t="s">
        <v>2802</v>
      </c>
      <c r="F370" s="278">
        <v>32498</v>
      </c>
      <c r="G370" s="275" t="s">
        <v>2803</v>
      </c>
      <c r="H370" s="276">
        <v>12.9</v>
      </c>
      <c r="I370" s="276">
        <v>36.950000000000003</v>
      </c>
      <c r="J370" s="276">
        <v>9.89</v>
      </c>
      <c r="K370" s="276">
        <f t="shared" si="5"/>
        <v>3.01</v>
      </c>
      <c r="L370" s="335"/>
    </row>
    <row r="371" spans="1:12">
      <c r="A371" s="275" t="s">
        <v>2851</v>
      </c>
      <c r="B371" s="275" t="s">
        <v>3105</v>
      </c>
      <c r="C371" s="275" t="s">
        <v>3541</v>
      </c>
      <c r="D371" s="275" t="s">
        <v>3056</v>
      </c>
      <c r="E371" s="275" t="s">
        <v>2802</v>
      </c>
      <c r="F371" s="278">
        <v>32499</v>
      </c>
      <c r="G371" s="275" t="s">
        <v>2803</v>
      </c>
      <c r="H371" s="276">
        <v>13.5</v>
      </c>
      <c r="I371" s="276">
        <v>31.12</v>
      </c>
      <c r="J371" s="276">
        <v>9.89</v>
      </c>
      <c r="K371" s="276">
        <f t="shared" si="5"/>
        <v>3.6099999999999994</v>
      </c>
      <c r="L371" s="335"/>
    </row>
    <row r="372" spans="1:12">
      <c r="A372" s="275" t="s">
        <v>2804</v>
      </c>
      <c r="B372" s="275" t="s">
        <v>3540</v>
      </c>
      <c r="C372" s="275" t="s">
        <v>3539</v>
      </c>
      <c r="D372" s="275" t="s">
        <v>3056</v>
      </c>
      <c r="E372" s="275" t="s">
        <v>2802</v>
      </c>
      <c r="F372" s="278">
        <v>32534</v>
      </c>
      <c r="G372" s="275" t="s">
        <v>2803</v>
      </c>
      <c r="H372" s="276">
        <v>12.6</v>
      </c>
      <c r="I372" s="276">
        <v>59.5</v>
      </c>
      <c r="J372" s="276">
        <v>10.050000000000001</v>
      </c>
      <c r="K372" s="276">
        <f t="shared" si="5"/>
        <v>2.5499999999999989</v>
      </c>
      <c r="L372" s="335"/>
    </row>
    <row r="373" spans="1:12">
      <c r="A373" s="275" t="s">
        <v>2809</v>
      </c>
      <c r="B373" s="275" t="s">
        <v>2853</v>
      </c>
      <c r="C373" s="275" t="s">
        <v>3538</v>
      </c>
      <c r="D373" s="275" t="s">
        <v>3056</v>
      </c>
      <c r="E373" s="275" t="s">
        <v>2802</v>
      </c>
      <c r="F373" s="278">
        <v>32535</v>
      </c>
      <c r="G373" s="275" t="s">
        <v>2803</v>
      </c>
      <c r="H373" s="276">
        <v>13</v>
      </c>
      <c r="I373" s="276">
        <v>52.76</v>
      </c>
      <c r="J373" s="276">
        <v>10.050000000000001</v>
      </c>
      <c r="K373" s="276">
        <f t="shared" si="5"/>
        <v>2.9499999999999993</v>
      </c>
      <c r="L373" s="335"/>
    </row>
    <row r="374" spans="1:12">
      <c r="A374" s="275" t="s">
        <v>2850</v>
      </c>
      <c r="B374" s="275" t="s">
        <v>3328</v>
      </c>
      <c r="C374" s="275" t="s">
        <v>3537</v>
      </c>
      <c r="D374" s="275" t="s">
        <v>3056</v>
      </c>
      <c r="E374" s="275" t="s">
        <v>2802</v>
      </c>
      <c r="F374" s="278">
        <v>32547</v>
      </c>
      <c r="G374" s="275" t="s">
        <v>2803</v>
      </c>
      <c r="H374" s="276">
        <v>13.37</v>
      </c>
      <c r="I374" s="276">
        <v>49.81</v>
      </c>
      <c r="J374" s="276">
        <v>10.050000000000001</v>
      </c>
      <c r="K374" s="276">
        <f t="shared" si="5"/>
        <v>3.3199999999999985</v>
      </c>
      <c r="L374" s="335"/>
    </row>
    <row r="375" spans="1:12">
      <c r="A375" s="275" t="s">
        <v>2867</v>
      </c>
      <c r="B375" s="275" t="s">
        <v>2868</v>
      </c>
      <c r="C375" s="275" t="s">
        <v>3536</v>
      </c>
      <c r="D375" s="275" t="s">
        <v>3056</v>
      </c>
      <c r="E375" s="275" t="s">
        <v>2802</v>
      </c>
      <c r="F375" s="278">
        <v>32632</v>
      </c>
      <c r="G375" s="275" t="s">
        <v>2803</v>
      </c>
      <c r="H375" s="276">
        <v>13</v>
      </c>
      <c r="I375" s="276">
        <v>49.35</v>
      </c>
      <c r="J375" s="276">
        <v>10.24</v>
      </c>
      <c r="K375" s="276">
        <f t="shared" si="5"/>
        <v>2.76</v>
      </c>
      <c r="L375" s="335"/>
    </row>
    <row r="376" spans="1:12">
      <c r="A376" s="275" t="s">
        <v>2809</v>
      </c>
      <c r="B376" s="275" t="s">
        <v>2810</v>
      </c>
      <c r="C376" s="275" t="s">
        <v>3535</v>
      </c>
      <c r="D376" s="275" t="s">
        <v>3056</v>
      </c>
      <c r="E376" s="275" t="s">
        <v>2802</v>
      </c>
      <c r="F376" s="278">
        <v>32667</v>
      </c>
      <c r="G376" s="275" t="s">
        <v>2803</v>
      </c>
      <c r="H376" s="276">
        <v>13.5</v>
      </c>
      <c r="I376" s="276">
        <v>47.81</v>
      </c>
      <c r="J376" s="276">
        <v>10.19</v>
      </c>
      <c r="K376" s="276">
        <f t="shared" si="5"/>
        <v>3.3100000000000005</v>
      </c>
      <c r="L376" s="335"/>
    </row>
    <row r="377" spans="1:12">
      <c r="A377" s="275" t="s">
        <v>2811</v>
      </c>
      <c r="B377" s="275" t="s">
        <v>4014</v>
      </c>
      <c r="C377" s="275" t="s">
        <v>3534</v>
      </c>
      <c r="D377" s="275" t="s">
        <v>3056</v>
      </c>
      <c r="E377" s="275" t="s">
        <v>2802</v>
      </c>
      <c r="F377" s="278">
        <v>32708</v>
      </c>
      <c r="G377" s="275" t="s">
        <v>2803</v>
      </c>
      <c r="H377" s="276">
        <v>11.8</v>
      </c>
      <c r="I377" s="276">
        <v>49.75</v>
      </c>
      <c r="J377" s="276">
        <v>10</v>
      </c>
      <c r="K377" s="276">
        <f t="shared" si="5"/>
        <v>1.8000000000000007</v>
      </c>
      <c r="L377" s="335"/>
    </row>
    <row r="378" spans="1:12">
      <c r="A378" s="275" t="s">
        <v>2846</v>
      </c>
      <c r="B378" s="275" t="s">
        <v>2847</v>
      </c>
      <c r="C378" s="275" t="s">
        <v>3533</v>
      </c>
      <c r="D378" s="275" t="s">
        <v>3056</v>
      </c>
      <c r="E378" s="275" t="s">
        <v>2802</v>
      </c>
      <c r="F378" s="278">
        <v>32734</v>
      </c>
      <c r="G378" s="275" t="s">
        <v>2803</v>
      </c>
      <c r="H378" s="276">
        <v>12.5</v>
      </c>
      <c r="I378" s="276">
        <v>44</v>
      </c>
      <c r="J378" s="276">
        <v>9.66</v>
      </c>
      <c r="K378" s="276">
        <f t="shared" si="5"/>
        <v>2.84</v>
      </c>
      <c r="L378" s="335"/>
    </row>
    <row r="379" spans="1:12">
      <c r="A379" s="275" t="s">
        <v>2830</v>
      </c>
      <c r="B379" s="275" t="s">
        <v>3157</v>
      </c>
      <c r="C379" s="275" t="s">
        <v>3532</v>
      </c>
      <c r="D379" s="275" t="s">
        <v>3056</v>
      </c>
      <c r="E379" s="275" t="s">
        <v>2802</v>
      </c>
      <c r="F379" s="278">
        <v>32743</v>
      </c>
      <c r="G379" s="275" t="s">
        <v>2803</v>
      </c>
      <c r="H379" s="276">
        <v>12.9</v>
      </c>
      <c r="I379" s="276">
        <v>50.88</v>
      </c>
      <c r="J379" s="276">
        <v>9.66</v>
      </c>
      <c r="K379" s="276">
        <f t="shared" si="5"/>
        <v>3.24</v>
      </c>
      <c r="L379" s="335"/>
    </row>
    <row r="380" spans="1:12">
      <c r="A380" s="275" t="s">
        <v>2835</v>
      </c>
      <c r="B380" s="275" t="s">
        <v>3531</v>
      </c>
      <c r="C380" s="275" t="s">
        <v>3530</v>
      </c>
      <c r="D380" s="275" t="s">
        <v>3056</v>
      </c>
      <c r="E380" s="275" t="s">
        <v>2802</v>
      </c>
      <c r="F380" s="278">
        <v>32787</v>
      </c>
      <c r="G380" s="275" t="s">
        <v>2803</v>
      </c>
      <c r="H380" s="276">
        <v>13</v>
      </c>
      <c r="I380" s="276">
        <v>47.24</v>
      </c>
      <c r="J380" s="276">
        <v>9.51</v>
      </c>
      <c r="K380" s="276">
        <f t="shared" si="5"/>
        <v>3.49</v>
      </c>
      <c r="L380" s="335"/>
    </row>
    <row r="381" spans="1:12">
      <c r="A381" s="275" t="s">
        <v>2818</v>
      </c>
      <c r="B381" s="275" t="s">
        <v>4024</v>
      </c>
      <c r="C381" s="275" t="s">
        <v>3529</v>
      </c>
      <c r="D381" s="275" t="s">
        <v>3056</v>
      </c>
      <c r="E381" s="275" t="s">
        <v>2802</v>
      </c>
      <c r="F381" s="278">
        <v>32798</v>
      </c>
      <c r="G381" s="275" t="s">
        <v>2803</v>
      </c>
      <c r="H381" s="276">
        <v>12.41</v>
      </c>
      <c r="I381" s="276">
        <v>52.48</v>
      </c>
      <c r="J381" s="276">
        <v>9.58</v>
      </c>
      <c r="K381" s="276">
        <f t="shared" si="5"/>
        <v>2.83</v>
      </c>
      <c r="L381" s="335"/>
    </row>
    <row r="382" spans="1:12">
      <c r="A382" s="275" t="s">
        <v>2809</v>
      </c>
      <c r="B382" s="275" t="s">
        <v>3142</v>
      </c>
      <c r="C382" s="275" t="s">
        <v>3528</v>
      </c>
      <c r="D382" s="275" t="s">
        <v>3056</v>
      </c>
      <c r="E382" s="275" t="s">
        <v>2802</v>
      </c>
      <c r="F382" s="278">
        <v>32812</v>
      </c>
      <c r="G382" s="275" t="s">
        <v>2803</v>
      </c>
      <c r="H382" s="276">
        <v>13.6</v>
      </c>
      <c r="I382" s="276">
        <v>49.41</v>
      </c>
      <c r="J382" s="276">
        <v>9.58</v>
      </c>
      <c r="K382" s="276">
        <f t="shared" si="5"/>
        <v>4.0199999999999996</v>
      </c>
      <c r="L382" s="335"/>
    </row>
    <row r="383" spans="1:12">
      <c r="A383" s="275" t="s">
        <v>2850</v>
      </c>
      <c r="B383" s="275" t="s">
        <v>3361</v>
      </c>
      <c r="C383" s="275" t="s">
        <v>3527</v>
      </c>
      <c r="D383" s="275" t="s">
        <v>3056</v>
      </c>
      <c r="E383" s="275" t="s">
        <v>2802</v>
      </c>
      <c r="F383" s="278">
        <v>32817</v>
      </c>
      <c r="G383" s="275" t="s">
        <v>2803</v>
      </c>
      <c r="H383" s="276">
        <v>13.2</v>
      </c>
      <c r="I383" s="276">
        <v>50.71</v>
      </c>
      <c r="J383" s="276">
        <v>9.58</v>
      </c>
      <c r="K383" s="276">
        <f t="shared" si="5"/>
        <v>3.6199999999999992</v>
      </c>
      <c r="L383" s="335"/>
    </row>
    <row r="384" spans="1:12">
      <c r="A384" s="275" t="s">
        <v>2809</v>
      </c>
      <c r="B384" s="275" t="s">
        <v>2854</v>
      </c>
      <c r="C384" s="275" t="s">
        <v>3526</v>
      </c>
      <c r="D384" s="275" t="s">
        <v>3056</v>
      </c>
      <c r="E384" s="275" t="s">
        <v>2802</v>
      </c>
      <c r="F384" s="278">
        <v>32821</v>
      </c>
      <c r="G384" s="275" t="s">
        <v>2803</v>
      </c>
      <c r="H384" s="276">
        <v>13</v>
      </c>
      <c r="I384" s="276">
        <v>49.5</v>
      </c>
      <c r="J384" s="276">
        <v>9.58</v>
      </c>
      <c r="K384" s="276">
        <f t="shared" si="5"/>
        <v>3.42</v>
      </c>
      <c r="L384" s="335"/>
    </row>
    <row r="385" spans="1:17">
      <c r="A385" s="275" t="s">
        <v>2861</v>
      </c>
      <c r="B385" s="275" t="s">
        <v>4028</v>
      </c>
      <c r="C385" s="275" t="s">
        <v>3525</v>
      </c>
      <c r="D385" s="275" t="s">
        <v>3056</v>
      </c>
      <c r="E385" s="275" t="s">
        <v>2802</v>
      </c>
      <c r="F385" s="278">
        <v>32840</v>
      </c>
      <c r="G385" s="275" t="s">
        <v>2803</v>
      </c>
      <c r="H385" s="276">
        <v>12.75</v>
      </c>
      <c r="I385" s="276">
        <v>45</v>
      </c>
      <c r="J385" s="276">
        <v>9.5399999999999991</v>
      </c>
      <c r="K385" s="276">
        <f t="shared" si="5"/>
        <v>3.2100000000000009</v>
      </c>
      <c r="L385" s="335"/>
    </row>
    <row r="386" spans="1:17">
      <c r="A386" s="275" t="s">
        <v>2851</v>
      </c>
      <c r="B386" s="275" t="s">
        <v>2876</v>
      </c>
      <c r="C386" s="275" t="s">
        <v>3524</v>
      </c>
      <c r="D386" s="275" t="s">
        <v>3056</v>
      </c>
      <c r="E386" s="275" t="s">
        <v>2802</v>
      </c>
      <c r="F386" s="278">
        <v>32849</v>
      </c>
      <c r="G386" s="275" t="s">
        <v>2803</v>
      </c>
      <c r="H386" s="276">
        <v>13.25</v>
      </c>
      <c r="I386" s="276">
        <v>35.520000000000003</v>
      </c>
      <c r="J386" s="276">
        <v>9.5399999999999991</v>
      </c>
      <c r="K386" s="276">
        <f t="shared" si="5"/>
        <v>3.7100000000000009</v>
      </c>
      <c r="L386" s="335"/>
    </row>
    <row r="387" spans="1:17">
      <c r="A387" s="275" t="s">
        <v>2805</v>
      </c>
      <c r="B387" s="275" t="s">
        <v>2829</v>
      </c>
      <c r="C387" s="275" t="s">
        <v>3523</v>
      </c>
      <c r="D387" s="275" t="s">
        <v>3056</v>
      </c>
      <c r="E387" s="275" t="s">
        <v>2802</v>
      </c>
      <c r="F387" s="278">
        <v>32857</v>
      </c>
      <c r="G387" s="275" t="s">
        <v>2803</v>
      </c>
      <c r="H387" s="276">
        <v>13</v>
      </c>
      <c r="I387" s="276">
        <v>43.06</v>
      </c>
      <c r="J387" s="276">
        <v>9.52</v>
      </c>
      <c r="K387" s="276">
        <f t="shared" si="5"/>
        <v>3.4800000000000004</v>
      </c>
      <c r="L387" s="335"/>
    </row>
    <row r="388" spans="1:17">
      <c r="A388" s="275" t="s">
        <v>2844</v>
      </c>
      <c r="B388" s="275" t="s">
        <v>2864</v>
      </c>
      <c r="C388" s="275" t="s">
        <v>3522</v>
      </c>
      <c r="D388" s="275" t="s">
        <v>3056</v>
      </c>
      <c r="E388" s="275" t="s">
        <v>2802</v>
      </c>
      <c r="F388" s="278">
        <v>32862</v>
      </c>
      <c r="G388" s="275" t="s">
        <v>2803</v>
      </c>
      <c r="H388" s="276">
        <v>12.9</v>
      </c>
      <c r="I388" s="276">
        <v>46.75</v>
      </c>
      <c r="J388" s="276">
        <v>9.52</v>
      </c>
      <c r="K388" s="276">
        <f t="shared" si="5"/>
        <v>3.3800000000000008</v>
      </c>
      <c r="L388" s="335"/>
    </row>
    <row r="389" spans="1:17">
      <c r="A389" s="275" t="s">
        <v>2809</v>
      </c>
      <c r="B389" s="275" t="s">
        <v>2853</v>
      </c>
      <c r="C389" s="275" t="s">
        <v>3520</v>
      </c>
      <c r="D389" s="275" t="s">
        <v>3056</v>
      </c>
      <c r="E389" s="275" t="s">
        <v>2802</v>
      </c>
      <c r="F389" s="278">
        <v>32863</v>
      </c>
      <c r="G389" s="275" t="s">
        <v>2803</v>
      </c>
      <c r="H389" s="276">
        <v>12.9</v>
      </c>
      <c r="I389" s="276">
        <v>53.6</v>
      </c>
      <c r="J389" s="276">
        <v>9.52</v>
      </c>
      <c r="K389" s="276">
        <f t="shared" si="5"/>
        <v>3.3800000000000008</v>
      </c>
      <c r="L389" s="335"/>
    </row>
    <row r="390" spans="1:17">
      <c r="A390" s="275" t="s">
        <v>2804</v>
      </c>
      <c r="B390" s="275" t="s">
        <v>4014</v>
      </c>
      <c r="C390" s="275" t="s">
        <v>3521</v>
      </c>
      <c r="D390" s="275" t="s">
        <v>3056</v>
      </c>
      <c r="E390" s="275" t="s">
        <v>2802</v>
      </c>
      <c r="F390" s="278">
        <v>32863</v>
      </c>
      <c r="G390" s="275" t="s">
        <v>2803</v>
      </c>
      <c r="H390" s="276">
        <v>12.8</v>
      </c>
      <c r="I390" s="276">
        <v>48.3</v>
      </c>
      <c r="J390" s="276">
        <v>9.52</v>
      </c>
      <c r="K390" s="276">
        <f t="shared" ref="K390:K453" si="6">H390-J390</f>
        <v>3.2800000000000011</v>
      </c>
      <c r="L390" s="335"/>
    </row>
    <row r="391" spans="1:17" ht="13.8">
      <c r="A391" s="275" t="s">
        <v>2809</v>
      </c>
      <c r="B391" s="275" t="s">
        <v>4023</v>
      </c>
      <c r="C391" s="275" t="s">
        <v>3519</v>
      </c>
      <c r="D391" s="275" t="s">
        <v>3056</v>
      </c>
      <c r="E391" s="275" t="s">
        <v>2802</v>
      </c>
      <c r="F391" s="278">
        <v>32869</v>
      </c>
      <c r="G391" s="275" t="s">
        <v>2803</v>
      </c>
      <c r="H391" s="276">
        <v>12.5</v>
      </c>
      <c r="I391" s="276">
        <v>56.61</v>
      </c>
      <c r="J391" s="276">
        <v>9.52</v>
      </c>
      <c r="K391" s="276">
        <f t="shared" si="6"/>
        <v>2.9800000000000004</v>
      </c>
      <c r="L391" s="335"/>
      <c r="N391" s="288"/>
      <c r="O391" s="287"/>
      <c r="P391" s="287"/>
      <c r="Q391" s="287"/>
    </row>
    <row r="392" spans="1:17" ht="13.8">
      <c r="A392" s="275" t="s">
        <v>2844</v>
      </c>
      <c r="B392" s="275" t="s">
        <v>3084</v>
      </c>
      <c r="C392" s="275" t="s">
        <v>3518</v>
      </c>
      <c r="D392" s="275" t="s">
        <v>3056</v>
      </c>
      <c r="E392" s="275" t="s">
        <v>2802</v>
      </c>
      <c r="F392" s="278">
        <v>32882</v>
      </c>
      <c r="G392" s="275" t="s">
        <v>2803</v>
      </c>
      <c r="H392" s="276">
        <v>13</v>
      </c>
      <c r="I392" s="276">
        <v>45.3</v>
      </c>
      <c r="J392" s="276">
        <v>9.52</v>
      </c>
      <c r="K392" s="276">
        <f t="shared" si="6"/>
        <v>3.4800000000000004</v>
      </c>
      <c r="L392" s="335"/>
      <c r="N392" s="288"/>
      <c r="O392" s="287"/>
      <c r="P392" s="287"/>
      <c r="Q392" s="287"/>
    </row>
    <row r="393" spans="1:17" ht="13.8">
      <c r="A393" s="275" t="s">
        <v>2819</v>
      </c>
      <c r="B393" s="275" t="s">
        <v>4031</v>
      </c>
      <c r="C393" s="275" t="s">
        <v>3517</v>
      </c>
      <c r="D393" s="275" t="s">
        <v>3056</v>
      </c>
      <c r="E393" s="275" t="s">
        <v>2802</v>
      </c>
      <c r="F393" s="278">
        <v>32891</v>
      </c>
      <c r="G393" s="275" t="s">
        <v>2803</v>
      </c>
      <c r="H393" s="276">
        <v>12.5</v>
      </c>
      <c r="I393" s="276">
        <v>54.82</v>
      </c>
      <c r="J393" s="276">
        <v>9.43</v>
      </c>
      <c r="K393" s="276">
        <f t="shared" si="6"/>
        <v>3.0700000000000003</v>
      </c>
      <c r="L393" s="335"/>
      <c r="N393" s="288"/>
      <c r="O393" s="287"/>
      <c r="P393" s="287"/>
      <c r="Q393" s="287"/>
    </row>
    <row r="394" spans="1:17" ht="13.8">
      <c r="A394" s="275" t="s">
        <v>2811</v>
      </c>
      <c r="B394" s="275" t="s">
        <v>2875</v>
      </c>
      <c r="C394" s="275" t="s">
        <v>3516</v>
      </c>
      <c r="D394" s="275" t="s">
        <v>3056</v>
      </c>
      <c r="E394" s="275" t="s">
        <v>2802</v>
      </c>
      <c r="F394" s="278">
        <v>32899</v>
      </c>
      <c r="G394" s="275" t="s">
        <v>2803</v>
      </c>
      <c r="H394" s="276">
        <v>12.1</v>
      </c>
      <c r="I394" s="276">
        <v>29.67</v>
      </c>
      <c r="J394" s="276">
        <v>9.43</v>
      </c>
      <c r="K394" s="276">
        <f t="shared" si="6"/>
        <v>2.67</v>
      </c>
      <c r="L394" s="335"/>
      <c r="N394" s="288"/>
      <c r="O394" s="287"/>
      <c r="P394" s="287"/>
      <c r="Q394" s="287"/>
    </row>
    <row r="395" spans="1:17" ht="13.8">
      <c r="A395" s="275" t="s">
        <v>2819</v>
      </c>
      <c r="B395" s="275" t="s">
        <v>3515</v>
      </c>
      <c r="C395" s="275" t="s">
        <v>3514</v>
      </c>
      <c r="D395" s="275" t="s">
        <v>3056</v>
      </c>
      <c r="E395" s="275" t="s">
        <v>2802</v>
      </c>
      <c r="F395" s="278">
        <v>32953</v>
      </c>
      <c r="G395" s="275" t="s">
        <v>2803</v>
      </c>
      <c r="H395" s="276">
        <v>12.8</v>
      </c>
      <c r="I395" s="276">
        <v>52.6</v>
      </c>
      <c r="J395" s="276">
        <v>9.76</v>
      </c>
      <c r="K395" s="276">
        <f t="shared" si="6"/>
        <v>3.0400000000000009</v>
      </c>
      <c r="L395" s="335"/>
      <c r="N395" s="288"/>
      <c r="O395" s="287"/>
      <c r="P395" s="287"/>
      <c r="Q395" s="287"/>
    </row>
    <row r="396" spans="1:17" ht="13.8">
      <c r="A396" s="275" t="s">
        <v>2830</v>
      </c>
      <c r="B396" s="275" t="s">
        <v>4020</v>
      </c>
      <c r="C396" s="275" t="s">
        <v>3513</v>
      </c>
      <c r="D396" s="275" t="s">
        <v>3056</v>
      </c>
      <c r="E396" s="275" t="s">
        <v>2802</v>
      </c>
      <c r="F396" s="278">
        <v>32960</v>
      </c>
      <c r="G396" s="275" t="s">
        <v>2803</v>
      </c>
      <c r="H396" s="276">
        <v>13</v>
      </c>
      <c r="I396" s="276">
        <v>44.7</v>
      </c>
      <c r="J396" s="276">
        <v>9.76</v>
      </c>
      <c r="K396" s="276">
        <f t="shared" si="6"/>
        <v>3.24</v>
      </c>
      <c r="L396" s="335"/>
      <c r="N396" s="288"/>
      <c r="O396" s="287"/>
      <c r="P396" s="287"/>
      <c r="Q396" s="287"/>
    </row>
    <row r="397" spans="1:17" ht="13.8">
      <c r="A397" s="275" t="s">
        <v>2818</v>
      </c>
      <c r="B397" s="275" t="s">
        <v>4024</v>
      </c>
      <c r="C397" s="275" t="s">
        <v>3512</v>
      </c>
      <c r="D397" s="275" t="s">
        <v>3056</v>
      </c>
      <c r="E397" s="275" t="s">
        <v>2802</v>
      </c>
      <c r="F397" s="278">
        <v>32968</v>
      </c>
      <c r="G397" s="275" t="s">
        <v>2803</v>
      </c>
      <c r="H397" s="276">
        <v>12.2</v>
      </c>
      <c r="I397" s="276">
        <v>52.68</v>
      </c>
      <c r="J397" s="276">
        <v>9.76</v>
      </c>
      <c r="K397" s="276">
        <f t="shared" si="6"/>
        <v>2.4399999999999995</v>
      </c>
      <c r="L397" s="335"/>
      <c r="N397" s="288"/>
      <c r="O397" s="287"/>
      <c r="P397" s="287"/>
      <c r="Q397" s="287"/>
    </row>
    <row r="398" spans="1:17" ht="13.8">
      <c r="A398" s="275" t="s">
        <v>2816</v>
      </c>
      <c r="B398" s="275" t="s">
        <v>2852</v>
      </c>
      <c r="C398" s="275" t="s">
        <v>3511</v>
      </c>
      <c r="D398" s="275" t="s">
        <v>3056</v>
      </c>
      <c r="E398" s="275" t="s">
        <v>2802</v>
      </c>
      <c r="F398" s="278">
        <v>32993</v>
      </c>
      <c r="G398" s="275" t="s">
        <v>2803</v>
      </c>
      <c r="H398" s="276">
        <v>12.45</v>
      </c>
      <c r="I398" s="276">
        <v>48.81</v>
      </c>
      <c r="J398" s="276">
        <v>9.85</v>
      </c>
      <c r="K398" s="276">
        <f t="shared" si="6"/>
        <v>2.5999999999999996</v>
      </c>
      <c r="L398" s="335"/>
      <c r="N398" s="288"/>
      <c r="O398" s="287"/>
      <c r="P398" s="287"/>
      <c r="Q398" s="287"/>
    </row>
    <row r="399" spans="1:17" ht="13.8">
      <c r="A399" s="275" t="s">
        <v>2809</v>
      </c>
      <c r="B399" s="275" t="s">
        <v>2810</v>
      </c>
      <c r="C399" s="275" t="s">
        <v>3510</v>
      </c>
      <c r="D399" s="275" t="s">
        <v>3056</v>
      </c>
      <c r="E399" s="275" t="s">
        <v>2802</v>
      </c>
      <c r="F399" s="278">
        <v>33039</v>
      </c>
      <c r="G399" s="275" t="s">
        <v>2803</v>
      </c>
      <c r="H399" s="276">
        <v>13.2</v>
      </c>
      <c r="I399" s="276">
        <v>51.37</v>
      </c>
      <c r="J399" s="276">
        <v>10.01</v>
      </c>
      <c r="K399" s="276">
        <f t="shared" si="6"/>
        <v>3.1899999999999995</v>
      </c>
      <c r="L399" s="335"/>
      <c r="N399" s="288"/>
      <c r="O399" s="287"/>
      <c r="P399" s="287"/>
      <c r="Q399" s="287"/>
    </row>
    <row r="400" spans="1:17" ht="13.8">
      <c r="A400" s="275" t="s">
        <v>2809</v>
      </c>
      <c r="B400" s="275" t="s">
        <v>2854</v>
      </c>
      <c r="C400" s="275" t="s">
        <v>3509</v>
      </c>
      <c r="D400" s="275" t="s">
        <v>3056</v>
      </c>
      <c r="E400" s="275" t="s">
        <v>2802</v>
      </c>
      <c r="F400" s="278">
        <v>33051</v>
      </c>
      <c r="G400" s="275" t="s">
        <v>2803</v>
      </c>
      <c r="H400" s="276">
        <v>12.9</v>
      </c>
      <c r="I400" s="276">
        <v>50.16</v>
      </c>
      <c r="J400" s="276">
        <v>10.01</v>
      </c>
      <c r="K400" s="276">
        <f t="shared" si="6"/>
        <v>2.8900000000000006</v>
      </c>
      <c r="L400" s="335"/>
      <c r="N400" s="288"/>
      <c r="O400" s="287"/>
      <c r="P400" s="287"/>
      <c r="Q400" s="287"/>
    </row>
    <row r="401" spans="1:17" ht="13.8">
      <c r="A401" s="275" t="s">
        <v>2851</v>
      </c>
      <c r="B401" s="275" t="s">
        <v>3508</v>
      </c>
      <c r="C401" s="275" t="s">
        <v>3507</v>
      </c>
      <c r="D401" s="275" t="s">
        <v>3056</v>
      </c>
      <c r="E401" s="275" t="s">
        <v>2802</v>
      </c>
      <c r="F401" s="278">
        <v>33053</v>
      </c>
      <c r="G401" s="275" t="s">
        <v>2803</v>
      </c>
      <c r="H401" s="276">
        <v>13.25</v>
      </c>
      <c r="I401" s="276">
        <v>38.61</v>
      </c>
      <c r="J401" s="276">
        <v>10.01</v>
      </c>
      <c r="K401" s="276">
        <f t="shared" si="6"/>
        <v>3.24</v>
      </c>
      <c r="L401" s="335"/>
      <c r="N401" s="288"/>
      <c r="O401" s="287"/>
      <c r="P401" s="287"/>
      <c r="Q401" s="287"/>
    </row>
    <row r="402" spans="1:17" ht="13.8">
      <c r="A402" s="275" t="s">
        <v>2811</v>
      </c>
      <c r="B402" s="275" t="s">
        <v>4017</v>
      </c>
      <c r="C402" s="275" t="s">
        <v>3506</v>
      </c>
      <c r="D402" s="275" t="s">
        <v>3056</v>
      </c>
      <c r="E402" s="275" t="s">
        <v>2802</v>
      </c>
      <c r="F402" s="278">
        <v>33060</v>
      </c>
      <c r="G402" s="275" t="s">
        <v>2803</v>
      </c>
      <c r="H402" s="276">
        <v>12.1</v>
      </c>
      <c r="I402" s="276">
        <v>40.479999999999997</v>
      </c>
      <c r="J402" s="276">
        <v>10.01</v>
      </c>
      <c r="K402" s="276">
        <f t="shared" si="6"/>
        <v>2.09</v>
      </c>
      <c r="L402" s="335"/>
      <c r="N402" s="288"/>
      <c r="O402" s="287"/>
      <c r="P402" s="287"/>
      <c r="Q402" s="287"/>
    </row>
    <row r="403" spans="1:17" ht="13.8">
      <c r="A403" s="275" t="s">
        <v>2811</v>
      </c>
      <c r="B403" s="275" t="s">
        <v>4014</v>
      </c>
      <c r="C403" s="275" t="s">
        <v>3505</v>
      </c>
      <c r="D403" s="275" t="s">
        <v>3056</v>
      </c>
      <c r="E403" s="275" t="s">
        <v>2802</v>
      </c>
      <c r="F403" s="278">
        <v>33073</v>
      </c>
      <c r="G403" s="275" t="s">
        <v>2803</v>
      </c>
      <c r="H403" s="276">
        <v>11.7</v>
      </c>
      <c r="I403" s="276">
        <v>52.8</v>
      </c>
      <c r="J403" s="276">
        <v>9.81</v>
      </c>
      <c r="K403" s="276">
        <f t="shared" si="6"/>
        <v>1.8899999999999988</v>
      </c>
      <c r="L403" s="335"/>
      <c r="N403" s="288"/>
      <c r="O403" s="287"/>
      <c r="P403" s="287"/>
      <c r="Q403" s="287"/>
    </row>
    <row r="404" spans="1:17" ht="13.8">
      <c r="A404" s="275" t="s">
        <v>2824</v>
      </c>
      <c r="B404" s="275" t="s">
        <v>3094</v>
      </c>
      <c r="C404" s="275" t="s">
        <v>3504</v>
      </c>
      <c r="D404" s="275" t="s">
        <v>3056</v>
      </c>
      <c r="E404" s="275" t="s">
        <v>2802</v>
      </c>
      <c r="F404" s="278">
        <v>33116</v>
      </c>
      <c r="G404" s="275" t="s">
        <v>2803</v>
      </c>
      <c r="H404" s="276">
        <v>12.5</v>
      </c>
      <c r="I404" s="276">
        <v>45</v>
      </c>
      <c r="J404" s="276">
        <v>9.76</v>
      </c>
      <c r="K404" s="276">
        <f t="shared" si="6"/>
        <v>2.74</v>
      </c>
      <c r="L404" s="335"/>
      <c r="N404" s="288"/>
      <c r="O404" s="287"/>
      <c r="P404" s="287"/>
      <c r="Q404" s="287"/>
    </row>
    <row r="405" spans="1:17" ht="13.8">
      <c r="A405" s="275" t="s">
        <v>2824</v>
      </c>
      <c r="B405" s="275" t="s">
        <v>3094</v>
      </c>
      <c r="C405" s="275" t="s">
        <v>3503</v>
      </c>
      <c r="D405" s="275" t="s">
        <v>3056</v>
      </c>
      <c r="E405" s="275" t="s">
        <v>2802</v>
      </c>
      <c r="F405" s="278">
        <v>33116</v>
      </c>
      <c r="G405" s="275" t="s">
        <v>2803</v>
      </c>
      <c r="H405" s="276">
        <v>12.5</v>
      </c>
      <c r="I405" s="276">
        <v>45</v>
      </c>
      <c r="J405" s="276">
        <v>9.76</v>
      </c>
      <c r="K405" s="276">
        <f t="shared" si="6"/>
        <v>2.74</v>
      </c>
      <c r="L405" s="335"/>
      <c r="N405" s="288"/>
      <c r="O405" s="287"/>
      <c r="P405" s="287"/>
      <c r="Q405" s="287"/>
    </row>
    <row r="406" spans="1:17" ht="13.8">
      <c r="A406" s="275" t="s">
        <v>2835</v>
      </c>
      <c r="B406" s="275" t="s">
        <v>3075</v>
      </c>
      <c r="C406" s="275" t="s">
        <v>3502</v>
      </c>
      <c r="D406" s="275" t="s">
        <v>3056</v>
      </c>
      <c r="E406" s="275" t="s">
        <v>2802</v>
      </c>
      <c r="F406" s="278">
        <v>33129</v>
      </c>
      <c r="G406" s="275" t="s">
        <v>2803</v>
      </c>
      <c r="H406" s="276">
        <v>12.5</v>
      </c>
      <c r="I406" s="276">
        <v>41.54</v>
      </c>
      <c r="J406" s="276">
        <v>9.76</v>
      </c>
      <c r="K406" s="276">
        <f t="shared" si="6"/>
        <v>2.74</v>
      </c>
      <c r="L406" s="335"/>
      <c r="N406" s="288"/>
      <c r="O406" s="287"/>
      <c r="P406" s="287"/>
      <c r="Q406" s="287"/>
    </row>
    <row r="407" spans="1:17" ht="13.8">
      <c r="A407" s="275" t="s">
        <v>2806</v>
      </c>
      <c r="B407" s="275" t="s">
        <v>3081</v>
      </c>
      <c r="C407" s="275" t="s">
        <v>3501</v>
      </c>
      <c r="D407" s="275" t="s">
        <v>3056</v>
      </c>
      <c r="E407" s="275" t="s">
        <v>2802</v>
      </c>
      <c r="F407" s="278">
        <v>33134</v>
      </c>
      <c r="G407" s="275" t="s">
        <v>2803</v>
      </c>
      <c r="H407" s="276">
        <v>12.75</v>
      </c>
      <c r="I407" s="276">
        <v>48.96</v>
      </c>
      <c r="J407" s="276">
        <v>9.9</v>
      </c>
      <c r="K407" s="276">
        <f t="shared" si="6"/>
        <v>2.8499999999999996</v>
      </c>
      <c r="L407" s="335"/>
      <c r="N407" s="288"/>
      <c r="O407" s="287"/>
      <c r="P407" s="287"/>
      <c r="Q407" s="287"/>
    </row>
    <row r="408" spans="1:17" ht="13.8">
      <c r="A408" s="275" t="s">
        <v>2804</v>
      </c>
      <c r="B408" s="275" t="s">
        <v>3500</v>
      </c>
      <c r="C408" s="275" t="s">
        <v>3499</v>
      </c>
      <c r="D408" s="275" t="s">
        <v>3056</v>
      </c>
      <c r="E408" s="275" t="s">
        <v>2802</v>
      </c>
      <c r="F408" s="278">
        <v>33136</v>
      </c>
      <c r="G408" s="275" t="s">
        <v>2803</v>
      </c>
      <c r="H408" s="276">
        <v>12.5</v>
      </c>
      <c r="I408" s="276">
        <v>47.5</v>
      </c>
      <c r="J408" s="276">
        <v>9.9</v>
      </c>
      <c r="K408" s="276">
        <f t="shared" si="6"/>
        <v>2.5999999999999996</v>
      </c>
      <c r="L408" s="335"/>
      <c r="N408" s="288"/>
      <c r="O408" s="287"/>
      <c r="P408" s="287"/>
      <c r="Q408" s="287"/>
    </row>
    <row r="409" spans="1:17" ht="13.8">
      <c r="A409" s="275" t="s">
        <v>2835</v>
      </c>
      <c r="B409" s="275" t="s">
        <v>2877</v>
      </c>
      <c r="C409" s="275" t="s">
        <v>3498</v>
      </c>
      <c r="D409" s="275" t="s">
        <v>3056</v>
      </c>
      <c r="E409" s="275" t="s">
        <v>2802</v>
      </c>
      <c r="F409" s="278">
        <v>33148</v>
      </c>
      <c r="G409" s="275" t="s">
        <v>2803</v>
      </c>
      <c r="H409" s="276">
        <v>13</v>
      </c>
      <c r="I409" s="276">
        <v>49.9</v>
      </c>
      <c r="J409" s="276">
        <v>9.9</v>
      </c>
      <c r="K409" s="276">
        <f t="shared" si="6"/>
        <v>3.0999999999999996</v>
      </c>
      <c r="L409" s="335"/>
      <c r="N409" s="288"/>
      <c r="O409" s="287"/>
      <c r="P409" s="287"/>
      <c r="Q409" s="287"/>
    </row>
    <row r="410" spans="1:17" ht="13.8">
      <c r="A410" s="275" t="s">
        <v>2801</v>
      </c>
      <c r="B410" s="275" t="s">
        <v>4021</v>
      </c>
      <c r="C410" s="275" t="s">
        <v>3497</v>
      </c>
      <c r="D410" s="275" t="s">
        <v>3056</v>
      </c>
      <c r="E410" s="275" t="s">
        <v>2802</v>
      </c>
      <c r="F410" s="278">
        <v>33186</v>
      </c>
      <c r="G410" s="275" t="s">
        <v>2803</v>
      </c>
      <c r="H410" s="276">
        <v>13.25</v>
      </c>
      <c r="I410" s="276">
        <v>47.76</v>
      </c>
      <c r="J410" s="276">
        <v>10.119999999999999</v>
      </c>
      <c r="K410" s="276">
        <f t="shared" si="6"/>
        <v>3.1300000000000008</v>
      </c>
      <c r="L410" s="335"/>
      <c r="N410" s="288"/>
      <c r="O410" s="287"/>
      <c r="P410" s="287"/>
      <c r="Q410" s="287"/>
    </row>
    <row r="411" spans="1:17" ht="13.8">
      <c r="A411" s="275" t="s">
        <v>2804</v>
      </c>
      <c r="B411" s="275" t="s">
        <v>3495</v>
      </c>
      <c r="C411" s="275" t="s">
        <v>3494</v>
      </c>
      <c r="D411" s="275" t="s">
        <v>3056</v>
      </c>
      <c r="E411" s="275" t="s">
        <v>2802</v>
      </c>
      <c r="F411" s="278">
        <v>33198</v>
      </c>
      <c r="G411" s="275" t="s">
        <v>2803</v>
      </c>
      <c r="H411" s="276">
        <v>12.5</v>
      </c>
      <c r="I411" s="276">
        <v>49.2</v>
      </c>
      <c r="J411" s="276">
        <v>10.06</v>
      </c>
      <c r="K411" s="276">
        <f t="shared" si="6"/>
        <v>2.4399999999999995</v>
      </c>
      <c r="L411" s="335"/>
      <c r="N411" s="288"/>
      <c r="O411" s="287"/>
      <c r="P411" s="287"/>
      <c r="Q411" s="287"/>
    </row>
    <row r="412" spans="1:17" ht="13.8">
      <c r="A412" s="275" t="s">
        <v>2821</v>
      </c>
      <c r="B412" s="275" t="s">
        <v>3073</v>
      </c>
      <c r="C412" s="275" t="s">
        <v>3496</v>
      </c>
      <c r="D412" s="275" t="s">
        <v>3056</v>
      </c>
      <c r="E412" s="275" t="s">
        <v>2802</v>
      </c>
      <c r="F412" s="278">
        <v>33198</v>
      </c>
      <c r="G412" s="275" t="s">
        <v>2803</v>
      </c>
      <c r="H412" s="276">
        <v>12.1</v>
      </c>
      <c r="I412" s="276">
        <v>51.09</v>
      </c>
      <c r="J412" s="276">
        <v>10.06</v>
      </c>
      <c r="K412" s="276">
        <f t="shared" si="6"/>
        <v>2.0399999999999991</v>
      </c>
      <c r="L412" s="335"/>
      <c r="N412" s="288"/>
      <c r="O412" s="287"/>
      <c r="P412" s="287"/>
      <c r="Q412" s="287"/>
    </row>
    <row r="413" spans="1:17" ht="13.8">
      <c r="A413" s="275" t="s">
        <v>2801</v>
      </c>
      <c r="B413" s="275" t="s">
        <v>2849</v>
      </c>
      <c r="C413" s="275" t="s">
        <v>3493</v>
      </c>
      <c r="D413" s="275" t="s">
        <v>3056</v>
      </c>
      <c r="E413" s="275" t="s">
        <v>2802</v>
      </c>
      <c r="F413" s="278">
        <v>33205</v>
      </c>
      <c r="G413" s="275" t="s">
        <v>2803</v>
      </c>
      <c r="H413" s="276">
        <v>12.75</v>
      </c>
      <c r="I413" s="276">
        <v>48.76</v>
      </c>
      <c r="J413" s="276">
        <v>10.06</v>
      </c>
      <c r="K413" s="276">
        <f t="shared" si="6"/>
        <v>2.6899999999999995</v>
      </c>
      <c r="L413" s="335"/>
      <c r="N413" s="288"/>
      <c r="O413" s="287"/>
      <c r="P413" s="287"/>
      <c r="Q413" s="287"/>
    </row>
    <row r="414" spans="1:17" ht="13.8">
      <c r="A414" s="275" t="s">
        <v>2871</v>
      </c>
      <c r="B414" s="275" t="s">
        <v>3357</v>
      </c>
      <c r="C414" s="275" t="s">
        <v>3492</v>
      </c>
      <c r="D414" s="275" t="s">
        <v>3056</v>
      </c>
      <c r="E414" s="275" t="s">
        <v>2802</v>
      </c>
      <c r="F414" s="278">
        <v>33206</v>
      </c>
      <c r="G414" s="275" t="s">
        <v>2803</v>
      </c>
      <c r="H414" s="276">
        <v>12.75</v>
      </c>
      <c r="I414" s="276">
        <v>44.2</v>
      </c>
      <c r="J414" s="276">
        <v>10.06</v>
      </c>
      <c r="K414" s="276">
        <f t="shared" si="6"/>
        <v>2.6899999999999995</v>
      </c>
      <c r="L414" s="335"/>
      <c r="N414" s="288"/>
      <c r="O414" s="287"/>
      <c r="P414" s="287"/>
      <c r="Q414" s="287"/>
    </row>
    <row r="415" spans="1:17" ht="13.8">
      <c r="A415" s="275" t="s">
        <v>2809</v>
      </c>
      <c r="B415" s="275" t="s">
        <v>2853</v>
      </c>
      <c r="C415" s="275" t="s">
        <v>3491</v>
      </c>
      <c r="D415" s="275" t="s">
        <v>3056</v>
      </c>
      <c r="E415" s="275" t="s">
        <v>2802</v>
      </c>
      <c r="F415" s="278">
        <v>33225</v>
      </c>
      <c r="G415" s="275" t="s">
        <v>2803</v>
      </c>
      <c r="H415" s="276">
        <v>13.1</v>
      </c>
      <c r="I415" s="276">
        <v>50.98</v>
      </c>
      <c r="J415" s="276">
        <v>9.91</v>
      </c>
      <c r="K415" s="276">
        <f t="shared" si="6"/>
        <v>3.1899999999999995</v>
      </c>
      <c r="L415" s="335"/>
      <c r="N415" s="288"/>
      <c r="O415" s="287"/>
      <c r="P415" s="287"/>
      <c r="Q415" s="287"/>
    </row>
    <row r="416" spans="1:17" ht="13.8">
      <c r="A416" s="275" t="s">
        <v>2804</v>
      </c>
      <c r="B416" s="275" t="s">
        <v>4014</v>
      </c>
      <c r="C416" s="275" t="s">
        <v>3490</v>
      </c>
      <c r="D416" s="275" t="s">
        <v>3056</v>
      </c>
      <c r="E416" s="275" t="s">
        <v>2802</v>
      </c>
      <c r="F416" s="278">
        <v>33227</v>
      </c>
      <c r="G416" s="275" t="s">
        <v>2803</v>
      </c>
      <c r="H416" s="276">
        <v>12.5</v>
      </c>
      <c r="I416" s="276">
        <v>49.2</v>
      </c>
      <c r="J416" s="276">
        <v>9.91</v>
      </c>
      <c r="K416" s="276">
        <f t="shared" si="6"/>
        <v>2.59</v>
      </c>
      <c r="L416" s="335"/>
      <c r="N416" s="288"/>
      <c r="O416" s="287"/>
      <c r="P416" s="287"/>
      <c r="Q416" s="287"/>
    </row>
    <row r="417" spans="1:17" ht="13.8">
      <c r="A417" s="275" t="s">
        <v>3392</v>
      </c>
      <c r="B417" s="275" t="s">
        <v>4029</v>
      </c>
      <c r="C417" s="275" t="s">
        <v>3487</v>
      </c>
      <c r="D417" s="275" t="s">
        <v>3056</v>
      </c>
      <c r="E417" s="275" t="s">
        <v>2802</v>
      </c>
      <c r="F417" s="278">
        <v>33228</v>
      </c>
      <c r="G417" s="275" t="s">
        <v>2803</v>
      </c>
      <c r="H417" s="276">
        <v>13.6</v>
      </c>
      <c r="I417" s="276">
        <v>47.06</v>
      </c>
      <c r="J417" s="276">
        <v>9.91</v>
      </c>
      <c r="K417" s="276">
        <f t="shared" si="6"/>
        <v>3.6899999999999995</v>
      </c>
      <c r="L417" s="335"/>
      <c r="N417" s="288"/>
      <c r="O417" s="287"/>
      <c r="P417" s="287"/>
      <c r="Q417" s="287"/>
    </row>
    <row r="418" spans="1:17" ht="13.8">
      <c r="A418" s="275" t="s">
        <v>2878</v>
      </c>
      <c r="B418" s="275" t="s">
        <v>3309</v>
      </c>
      <c r="C418" s="275" t="s">
        <v>3488</v>
      </c>
      <c r="D418" s="275" t="s">
        <v>3056</v>
      </c>
      <c r="E418" s="275" t="s">
        <v>2802</v>
      </c>
      <c r="F418" s="278">
        <v>33228</v>
      </c>
      <c r="G418" s="275" t="s">
        <v>2803</v>
      </c>
      <c r="H418" s="276">
        <v>13</v>
      </c>
      <c r="I418" s="276">
        <v>50.75</v>
      </c>
      <c r="J418" s="276">
        <v>9.91</v>
      </c>
      <c r="K418" s="276">
        <f t="shared" si="6"/>
        <v>3.09</v>
      </c>
      <c r="L418" s="335"/>
      <c r="N418" s="288"/>
      <c r="O418" s="287"/>
      <c r="P418" s="287"/>
      <c r="Q418" s="287"/>
    </row>
    <row r="419" spans="1:17" ht="13.8">
      <c r="A419" s="275" t="s">
        <v>2835</v>
      </c>
      <c r="B419" s="275" t="s">
        <v>2836</v>
      </c>
      <c r="C419" s="275" t="s">
        <v>3489</v>
      </c>
      <c r="D419" s="275" t="s">
        <v>3056</v>
      </c>
      <c r="E419" s="275" t="s">
        <v>2802</v>
      </c>
      <c r="F419" s="278">
        <v>33228</v>
      </c>
      <c r="G419" s="275" t="s">
        <v>2803</v>
      </c>
      <c r="H419" s="276">
        <v>12.5</v>
      </c>
      <c r="I419" s="276">
        <v>44</v>
      </c>
      <c r="J419" s="276">
        <v>9.91</v>
      </c>
      <c r="K419" s="276">
        <f t="shared" si="6"/>
        <v>2.59</v>
      </c>
      <c r="L419" s="335"/>
      <c r="N419" s="288"/>
      <c r="O419" s="287"/>
      <c r="P419" s="287"/>
      <c r="Q419" s="287"/>
    </row>
    <row r="420" spans="1:17" ht="13.8">
      <c r="A420" s="275" t="s">
        <v>2801</v>
      </c>
      <c r="B420" s="275" t="s">
        <v>2849</v>
      </c>
      <c r="C420" s="275" t="s">
        <v>3486</v>
      </c>
      <c r="D420" s="275" t="s">
        <v>3056</v>
      </c>
      <c r="E420" s="275" t="s">
        <v>2802</v>
      </c>
      <c r="F420" s="278">
        <v>33254</v>
      </c>
      <c r="G420" s="275" t="s">
        <v>2803</v>
      </c>
      <c r="H420" s="276">
        <v>13.25</v>
      </c>
      <c r="I420" s="276">
        <v>46.52</v>
      </c>
      <c r="J420" s="276">
        <v>9.73</v>
      </c>
      <c r="K420" s="276">
        <f t="shared" si="6"/>
        <v>3.5199999999999996</v>
      </c>
      <c r="L420" s="335"/>
      <c r="N420" s="288"/>
      <c r="O420" s="287"/>
      <c r="P420" s="287"/>
      <c r="Q420" s="287"/>
    </row>
    <row r="421" spans="1:17" ht="13.8">
      <c r="A421" s="275" t="s">
        <v>2811</v>
      </c>
      <c r="B421" s="275" t="s">
        <v>2832</v>
      </c>
      <c r="C421" s="275" t="s">
        <v>3485</v>
      </c>
      <c r="D421" s="275" t="s">
        <v>3056</v>
      </c>
      <c r="E421" s="275" t="s">
        <v>2802</v>
      </c>
      <c r="F421" s="278">
        <v>33263</v>
      </c>
      <c r="G421" s="275" t="s">
        <v>2803</v>
      </c>
      <c r="H421" s="276">
        <v>11.7</v>
      </c>
      <c r="I421" s="276">
        <v>41.96</v>
      </c>
      <c r="J421" s="276">
        <v>9.73</v>
      </c>
      <c r="K421" s="276">
        <f t="shared" si="6"/>
        <v>1.9699999999999989</v>
      </c>
      <c r="L421" s="335"/>
      <c r="N421" s="288"/>
      <c r="O421" s="287"/>
      <c r="P421" s="287"/>
      <c r="Q421" s="287"/>
    </row>
    <row r="422" spans="1:17" ht="13.8">
      <c r="A422" s="275" t="s">
        <v>2867</v>
      </c>
      <c r="B422" s="275" t="s">
        <v>2868</v>
      </c>
      <c r="C422" s="275" t="s">
        <v>3484</v>
      </c>
      <c r="D422" s="275" t="s">
        <v>3056</v>
      </c>
      <c r="E422" s="275" t="s">
        <v>2802</v>
      </c>
      <c r="F422" s="278">
        <v>33284</v>
      </c>
      <c r="G422" s="275" t="s">
        <v>2803</v>
      </c>
      <c r="H422" s="276">
        <v>12.8</v>
      </c>
      <c r="I422" s="276">
        <v>41.02</v>
      </c>
      <c r="J422" s="276">
        <v>9.7100000000000009</v>
      </c>
      <c r="K422" s="276">
        <f t="shared" si="6"/>
        <v>3.09</v>
      </c>
      <c r="L422" s="335"/>
      <c r="N422" s="288"/>
      <c r="O422" s="287"/>
      <c r="P422" s="287"/>
      <c r="Q422" s="287"/>
    </row>
    <row r="423" spans="1:17" ht="13.8">
      <c r="A423" s="275" t="s">
        <v>2811</v>
      </c>
      <c r="B423" s="275" t="s">
        <v>4017</v>
      </c>
      <c r="C423" s="275" t="s">
        <v>3483</v>
      </c>
      <c r="D423" s="275" t="s">
        <v>3056</v>
      </c>
      <c r="E423" s="275" t="s">
        <v>2802</v>
      </c>
      <c r="F423" s="278">
        <v>33414</v>
      </c>
      <c r="G423" s="275" t="s">
        <v>2803</v>
      </c>
      <c r="H423" s="276">
        <v>11.7</v>
      </c>
      <c r="I423" s="276">
        <v>41.79</v>
      </c>
      <c r="J423" s="276">
        <v>9.43</v>
      </c>
      <c r="K423" s="276">
        <f t="shared" si="6"/>
        <v>2.2699999999999996</v>
      </c>
      <c r="L423" s="335"/>
      <c r="N423" s="288"/>
      <c r="O423" s="287"/>
      <c r="P423" s="287"/>
      <c r="Q423" s="287"/>
    </row>
    <row r="424" spans="1:17" ht="13.8">
      <c r="A424" s="275" t="s">
        <v>2811</v>
      </c>
      <c r="B424" s="275" t="s">
        <v>2855</v>
      </c>
      <c r="C424" s="275" t="s">
        <v>3482</v>
      </c>
      <c r="D424" s="275" t="s">
        <v>3056</v>
      </c>
      <c r="E424" s="275" t="s">
        <v>2802</v>
      </c>
      <c r="F424" s="278">
        <v>33420</v>
      </c>
      <c r="G424" s="275" t="s">
        <v>2803</v>
      </c>
      <c r="H424" s="276">
        <v>11.7</v>
      </c>
      <c r="I424" s="276">
        <v>41.48</v>
      </c>
      <c r="J424" s="276">
        <v>9.43</v>
      </c>
      <c r="K424" s="276">
        <f t="shared" si="6"/>
        <v>2.2699999999999996</v>
      </c>
      <c r="L424" s="335"/>
      <c r="N424" s="288"/>
      <c r="O424" s="287"/>
      <c r="P424" s="287"/>
      <c r="Q424" s="287"/>
    </row>
    <row r="425" spans="1:17" ht="13.8">
      <c r="A425" s="275" t="s">
        <v>2811</v>
      </c>
      <c r="B425" s="275" t="s">
        <v>4014</v>
      </c>
      <c r="C425" s="275" t="s">
        <v>3480</v>
      </c>
      <c r="D425" s="275" t="s">
        <v>3056</v>
      </c>
      <c r="E425" s="275" t="s">
        <v>2802</v>
      </c>
      <c r="F425" s="278">
        <v>33438</v>
      </c>
      <c r="G425" s="275" t="s">
        <v>2803</v>
      </c>
      <c r="H425" s="276">
        <v>12.3</v>
      </c>
      <c r="I425" s="276">
        <v>49.36</v>
      </c>
      <c r="J425" s="276">
        <v>9.58</v>
      </c>
      <c r="K425" s="276">
        <f t="shared" si="6"/>
        <v>2.7200000000000006</v>
      </c>
      <c r="L425" s="335"/>
      <c r="N425" s="288"/>
      <c r="O425" s="287"/>
      <c r="P425" s="287"/>
      <c r="Q425" s="287"/>
    </row>
    <row r="426" spans="1:17" ht="13.8">
      <c r="A426" s="275" t="s">
        <v>2846</v>
      </c>
      <c r="B426" s="275" t="s">
        <v>2847</v>
      </c>
      <c r="C426" s="275" t="s">
        <v>3481</v>
      </c>
      <c r="D426" s="275" t="s">
        <v>3056</v>
      </c>
      <c r="E426" s="275" t="s">
        <v>2802</v>
      </c>
      <c r="F426" s="278">
        <v>33438</v>
      </c>
      <c r="G426" s="275" t="s">
        <v>2803</v>
      </c>
      <c r="H426" s="276">
        <v>12.1</v>
      </c>
      <c r="I426" s="276">
        <v>44.78</v>
      </c>
      <c r="J426" s="276">
        <v>9.58</v>
      </c>
      <c r="K426" s="276">
        <f t="shared" si="6"/>
        <v>2.5199999999999996</v>
      </c>
      <c r="L426" s="335"/>
      <c r="N426" s="288"/>
      <c r="O426" s="287"/>
      <c r="P426" s="287"/>
      <c r="Q426" s="287"/>
    </row>
    <row r="427" spans="1:17" ht="13.8">
      <c r="A427" s="275" t="s">
        <v>2871</v>
      </c>
      <c r="B427" s="275" t="s">
        <v>3277</v>
      </c>
      <c r="C427" s="275" t="s">
        <v>3479</v>
      </c>
      <c r="D427" s="275" t="s">
        <v>3056</v>
      </c>
      <c r="E427" s="275" t="s">
        <v>2802</v>
      </c>
      <c r="F427" s="278">
        <v>33465</v>
      </c>
      <c r="G427" s="275" t="s">
        <v>2803</v>
      </c>
      <c r="H427" s="276">
        <v>12.25</v>
      </c>
      <c r="I427" s="276">
        <v>60.34</v>
      </c>
      <c r="J427" s="276">
        <v>9.5500000000000007</v>
      </c>
      <c r="K427" s="276">
        <f t="shared" si="6"/>
        <v>2.6999999999999993</v>
      </c>
      <c r="L427" s="335"/>
      <c r="N427" s="288"/>
      <c r="O427" s="287"/>
      <c r="P427" s="287"/>
      <c r="Q427" s="287"/>
    </row>
    <row r="428" spans="1:17" ht="13.8">
      <c r="A428" s="275" t="s">
        <v>2809</v>
      </c>
      <c r="B428" s="275" t="s">
        <v>4025</v>
      </c>
      <c r="C428" s="275" t="s">
        <v>3478</v>
      </c>
      <c r="D428" s="275" t="s">
        <v>3056</v>
      </c>
      <c r="E428" s="275" t="s">
        <v>2802</v>
      </c>
      <c r="F428" s="278">
        <v>33479</v>
      </c>
      <c r="G428" s="275" t="s">
        <v>2803</v>
      </c>
      <c r="H428" s="276">
        <v>13.3</v>
      </c>
      <c r="I428" s="276">
        <v>52.73</v>
      </c>
      <c r="J428" s="276">
        <v>9.5500000000000007</v>
      </c>
      <c r="K428" s="276">
        <f t="shared" si="6"/>
        <v>3.75</v>
      </c>
      <c r="L428" s="335"/>
      <c r="N428" s="288"/>
      <c r="O428" s="287"/>
      <c r="P428" s="287"/>
      <c r="Q428" s="287"/>
    </row>
    <row r="429" spans="1:17" ht="13.8">
      <c r="A429" s="275" t="s">
        <v>2811</v>
      </c>
      <c r="B429" s="275" t="s">
        <v>2814</v>
      </c>
      <c r="C429" s="275" t="s">
        <v>3477</v>
      </c>
      <c r="D429" s="275" t="s">
        <v>3056</v>
      </c>
      <c r="E429" s="275" t="s">
        <v>2802</v>
      </c>
      <c r="F429" s="278">
        <v>33514</v>
      </c>
      <c r="G429" s="275" t="s">
        <v>2803</v>
      </c>
      <c r="H429" s="276">
        <v>11.3</v>
      </c>
      <c r="I429" s="276">
        <v>50</v>
      </c>
      <c r="J429" s="276">
        <v>9.31</v>
      </c>
      <c r="K429" s="276">
        <f t="shared" si="6"/>
        <v>1.9900000000000002</v>
      </c>
      <c r="L429" s="335"/>
      <c r="N429" s="288"/>
      <c r="O429" s="287"/>
      <c r="P429" s="287"/>
      <c r="Q429" s="287"/>
    </row>
    <row r="430" spans="1:17" ht="13.8">
      <c r="A430" s="275" t="s">
        <v>2809</v>
      </c>
      <c r="B430" s="275" t="s">
        <v>3142</v>
      </c>
      <c r="C430" s="275" t="s">
        <v>3476</v>
      </c>
      <c r="D430" s="275" t="s">
        <v>3056</v>
      </c>
      <c r="E430" s="275" t="s">
        <v>2802</v>
      </c>
      <c r="F430" s="278">
        <v>33526</v>
      </c>
      <c r="G430" s="275" t="s">
        <v>2803</v>
      </c>
      <c r="H430" s="276">
        <v>13.4</v>
      </c>
      <c r="I430" s="276">
        <v>49.09</v>
      </c>
      <c r="J430" s="276">
        <v>9.17</v>
      </c>
      <c r="K430" s="276">
        <f t="shared" si="6"/>
        <v>4.2300000000000004</v>
      </c>
      <c r="L430" s="335"/>
      <c r="N430" s="288"/>
      <c r="O430" s="287"/>
      <c r="P430" s="287"/>
      <c r="Q430" s="287"/>
    </row>
    <row r="431" spans="1:17" ht="13.8">
      <c r="A431" s="275" t="s">
        <v>2801</v>
      </c>
      <c r="B431" s="275" t="s">
        <v>3139</v>
      </c>
      <c r="C431" s="275" t="s">
        <v>3475</v>
      </c>
      <c r="D431" s="275" t="s">
        <v>3056</v>
      </c>
      <c r="E431" s="275" t="s">
        <v>2802</v>
      </c>
      <c r="F431" s="278">
        <v>33550</v>
      </c>
      <c r="G431" s="275" t="s">
        <v>2803</v>
      </c>
      <c r="H431" s="276">
        <v>12.75</v>
      </c>
      <c r="I431" s="276">
        <v>53.63</v>
      </c>
      <c r="J431" s="276">
        <v>9.17</v>
      </c>
      <c r="K431" s="276">
        <f t="shared" si="6"/>
        <v>3.58</v>
      </c>
      <c r="L431" s="335"/>
      <c r="N431" s="288"/>
      <c r="O431" s="287"/>
      <c r="P431" s="287"/>
      <c r="Q431" s="287"/>
    </row>
    <row r="432" spans="1:17" ht="13.8">
      <c r="A432" s="275" t="s">
        <v>2806</v>
      </c>
      <c r="B432" s="275" t="s">
        <v>3081</v>
      </c>
      <c r="C432" s="275" t="s">
        <v>3473</v>
      </c>
      <c r="D432" s="275" t="s">
        <v>3056</v>
      </c>
      <c r="E432" s="275" t="s">
        <v>2802</v>
      </c>
      <c r="F432" s="278">
        <v>33568</v>
      </c>
      <c r="G432" s="275" t="s">
        <v>2803</v>
      </c>
      <c r="H432" s="276">
        <v>12</v>
      </c>
      <c r="I432" s="276">
        <v>44.25</v>
      </c>
      <c r="J432" s="276">
        <v>9.1199999999999992</v>
      </c>
      <c r="K432" s="276">
        <f t="shared" si="6"/>
        <v>2.8800000000000008</v>
      </c>
      <c r="L432" s="335"/>
      <c r="N432" s="288"/>
      <c r="O432" s="287"/>
      <c r="P432" s="287"/>
      <c r="Q432" s="287"/>
    </row>
    <row r="433" spans="1:17" ht="13.8">
      <c r="A433" s="275" t="s">
        <v>2811</v>
      </c>
      <c r="B433" s="275" t="s">
        <v>2875</v>
      </c>
      <c r="C433" s="275" t="s">
        <v>3474</v>
      </c>
      <c r="D433" s="275" t="s">
        <v>3056</v>
      </c>
      <c r="E433" s="275" t="s">
        <v>2802</v>
      </c>
      <c r="F433" s="278">
        <v>33568</v>
      </c>
      <c r="G433" s="275" t="s">
        <v>2803</v>
      </c>
      <c r="H433" s="276">
        <v>11.6</v>
      </c>
      <c r="I433" s="276">
        <v>28.4</v>
      </c>
      <c r="J433" s="276">
        <v>9.1199999999999992</v>
      </c>
      <c r="K433" s="276">
        <f t="shared" si="6"/>
        <v>2.4800000000000004</v>
      </c>
      <c r="L433" s="335"/>
      <c r="N433" s="288"/>
      <c r="O433" s="287"/>
      <c r="P433" s="287"/>
      <c r="Q433" s="287"/>
    </row>
    <row r="434" spans="1:17" ht="13.8">
      <c r="A434" s="275" t="s">
        <v>2850</v>
      </c>
      <c r="B434" s="275" t="s">
        <v>3472</v>
      </c>
      <c r="C434" s="275" t="s">
        <v>3471</v>
      </c>
      <c r="D434" s="275" t="s">
        <v>3056</v>
      </c>
      <c r="E434" s="275" t="s">
        <v>2802</v>
      </c>
      <c r="F434" s="278">
        <v>33578</v>
      </c>
      <c r="G434" s="275" t="s">
        <v>2803</v>
      </c>
      <c r="H434" s="276">
        <v>12.7</v>
      </c>
      <c r="I434" s="276">
        <v>49</v>
      </c>
      <c r="J434" s="276">
        <v>9.1199999999999992</v>
      </c>
      <c r="K434" s="276">
        <f t="shared" si="6"/>
        <v>3.58</v>
      </c>
      <c r="L434" s="335"/>
      <c r="N434" s="288"/>
      <c r="O434" s="287"/>
      <c r="P434" s="287"/>
      <c r="Q434" s="287"/>
    </row>
    <row r="435" spans="1:17" ht="13.8">
      <c r="A435" s="275" t="s">
        <v>2809</v>
      </c>
      <c r="B435" s="275" t="s">
        <v>2853</v>
      </c>
      <c r="C435" s="275" t="s">
        <v>3469</v>
      </c>
      <c r="D435" s="275" t="s">
        <v>3056</v>
      </c>
      <c r="E435" s="275" t="s">
        <v>2802</v>
      </c>
      <c r="F435" s="278">
        <v>33591</v>
      </c>
      <c r="G435" s="275" t="s">
        <v>2803</v>
      </c>
      <c r="H435" s="276">
        <v>12.8</v>
      </c>
      <c r="I435" s="276">
        <v>52.97</v>
      </c>
      <c r="J435" s="276">
        <v>9.0500000000000007</v>
      </c>
      <c r="K435" s="276">
        <f t="shared" si="6"/>
        <v>3.75</v>
      </c>
      <c r="L435" s="335"/>
      <c r="N435" s="288"/>
      <c r="O435" s="287"/>
      <c r="P435" s="287"/>
      <c r="Q435" s="287"/>
    </row>
    <row r="436" spans="1:17" ht="13.8">
      <c r="A436" s="275" t="s">
        <v>2809</v>
      </c>
      <c r="B436" s="275" t="s">
        <v>4023</v>
      </c>
      <c r="C436" s="275" t="s">
        <v>3470</v>
      </c>
      <c r="D436" s="275" t="s">
        <v>3056</v>
      </c>
      <c r="E436" s="275" t="s">
        <v>2802</v>
      </c>
      <c r="F436" s="278">
        <v>33591</v>
      </c>
      <c r="G436" s="275" t="s">
        <v>2803</v>
      </c>
      <c r="H436" s="276">
        <v>12.6</v>
      </c>
      <c r="I436" s="276">
        <v>57.08</v>
      </c>
      <c r="J436" s="276">
        <v>9.0500000000000007</v>
      </c>
      <c r="K436" s="276">
        <f t="shared" si="6"/>
        <v>3.5499999999999989</v>
      </c>
      <c r="L436" s="335"/>
      <c r="N436" s="288"/>
      <c r="O436" s="287"/>
      <c r="P436" s="287"/>
      <c r="Q436" s="287"/>
    </row>
    <row r="437" spans="1:17" ht="13.8">
      <c r="A437" s="275" t="s">
        <v>2813</v>
      </c>
      <c r="B437" s="275" t="s">
        <v>3385</v>
      </c>
      <c r="C437" s="275" t="s">
        <v>3468</v>
      </c>
      <c r="D437" s="275" t="s">
        <v>3056</v>
      </c>
      <c r="E437" s="275" t="s">
        <v>2802</v>
      </c>
      <c r="F437" s="278">
        <v>33602</v>
      </c>
      <c r="G437" s="275" t="s">
        <v>2803</v>
      </c>
      <c r="H437" s="276">
        <v>12.1</v>
      </c>
      <c r="I437" s="276">
        <v>36.840000000000003</v>
      </c>
      <c r="J437" s="276">
        <v>9.0500000000000007</v>
      </c>
      <c r="K437" s="276">
        <f t="shared" si="6"/>
        <v>3.0499999999999989</v>
      </c>
      <c r="L437" s="335"/>
      <c r="N437" s="288"/>
      <c r="O437" s="287"/>
      <c r="P437" s="287"/>
      <c r="Q437" s="287"/>
    </row>
    <row r="438" spans="1:17" ht="13.8">
      <c r="A438" s="275" t="s">
        <v>2860</v>
      </c>
      <c r="B438" s="275" t="s">
        <v>3063</v>
      </c>
      <c r="C438" s="275" t="s">
        <v>3467</v>
      </c>
      <c r="D438" s="275" t="s">
        <v>3056</v>
      </c>
      <c r="E438" s="275" t="s">
        <v>2802</v>
      </c>
      <c r="F438" s="278">
        <v>33625</v>
      </c>
      <c r="G438" s="275" t="s">
        <v>2803</v>
      </c>
      <c r="H438" s="276">
        <v>12.84</v>
      </c>
      <c r="I438" s="276">
        <v>45.25</v>
      </c>
      <c r="J438" s="276">
        <v>8.9</v>
      </c>
      <c r="K438" s="276">
        <f t="shared" si="6"/>
        <v>3.9399999999999995</v>
      </c>
      <c r="L438" s="335"/>
      <c r="N438" s="288"/>
      <c r="O438" s="287"/>
      <c r="P438" s="287"/>
      <c r="Q438" s="287"/>
    </row>
    <row r="439" spans="1:17" ht="13.8">
      <c r="A439" s="275" t="s">
        <v>2837</v>
      </c>
      <c r="B439" s="275" t="s">
        <v>2839</v>
      </c>
      <c r="C439" s="275" t="s">
        <v>3466</v>
      </c>
      <c r="D439" s="275" t="s">
        <v>3056</v>
      </c>
      <c r="E439" s="275" t="s">
        <v>2802</v>
      </c>
      <c r="F439" s="278">
        <v>33634</v>
      </c>
      <c r="G439" s="275" t="s">
        <v>2803</v>
      </c>
      <c r="H439" s="276">
        <v>12</v>
      </c>
      <c r="I439" s="276">
        <v>42.01</v>
      </c>
      <c r="J439" s="276">
        <v>8.9</v>
      </c>
      <c r="K439" s="276">
        <f t="shared" si="6"/>
        <v>3.0999999999999996</v>
      </c>
      <c r="L439" s="335"/>
      <c r="N439" s="288"/>
      <c r="O439" s="287"/>
      <c r="P439" s="287"/>
      <c r="Q439" s="287"/>
    </row>
    <row r="440" spans="1:17" ht="13.8">
      <c r="A440" s="275" t="s">
        <v>2824</v>
      </c>
      <c r="B440" s="275" t="s">
        <v>3094</v>
      </c>
      <c r="C440" s="275" t="s">
        <v>3465</v>
      </c>
      <c r="D440" s="275" t="s">
        <v>3056</v>
      </c>
      <c r="E440" s="275" t="s">
        <v>2802</v>
      </c>
      <c r="F440" s="278">
        <v>33661</v>
      </c>
      <c r="G440" s="275" t="s">
        <v>2803</v>
      </c>
      <c r="H440" s="276">
        <v>11.75</v>
      </c>
      <c r="I440" s="276">
        <v>40</v>
      </c>
      <c r="J440" s="276">
        <v>8.83</v>
      </c>
      <c r="K440" s="276">
        <f t="shared" si="6"/>
        <v>2.92</v>
      </c>
      <c r="L440" s="335"/>
      <c r="N440" s="288"/>
      <c r="O440" s="287"/>
      <c r="P440" s="287"/>
      <c r="Q440" s="287"/>
    </row>
    <row r="441" spans="1:17" ht="13.8">
      <c r="A441" s="275" t="s">
        <v>2801</v>
      </c>
      <c r="B441" s="275" t="s">
        <v>2849</v>
      </c>
      <c r="C441" s="275" t="s">
        <v>3464</v>
      </c>
      <c r="D441" s="275" t="s">
        <v>3056</v>
      </c>
      <c r="E441" s="275" t="s">
        <v>2802</v>
      </c>
      <c r="F441" s="278">
        <v>33681</v>
      </c>
      <c r="G441" s="275" t="s">
        <v>2803</v>
      </c>
      <c r="H441" s="276">
        <v>12.5</v>
      </c>
      <c r="I441" s="276">
        <v>49.11</v>
      </c>
      <c r="J441" s="276">
        <v>8.93</v>
      </c>
      <c r="K441" s="276">
        <f t="shared" si="6"/>
        <v>3.5700000000000003</v>
      </c>
      <c r="L441" s="335"/>
      <c r="N441" s="288"/>
      <c r="O441" s="287"/>
      <c r="P441" s="287"/>
      <c r="Q441" s="287"/>
    </row>
    <row r="442" spans="1:17" ht="13.8">
      <c r="A442" s="275" t="s">
        <v>2816</v>
      </c>
      <c r="B442" s="275" t="s">
        <v>2817</v>
      </c>
      <c r="C442" s="275" t="s">
        <v>3463</v>
      </c>
      <c r="D442" s="275" t="s">
        <v>3056</v>
      </c>
      <c r="E442" s="275" t="s">
        <v>2802</v>
      </c>
      <c r="F442" s="278">
        <v>33739</v>
      </c>
      <c r="G442" s="275" t="s">
        <v>2803</v>
      </c>
      <c r="H442" s="276">
        <v>12.75</v>
      </c>
      <c r="I442" s="276">
        <v>40.86</v>
      </c>
      <c r="J442" s="276">
        <v>8.93</v>
      </c>
      <c r="K442" s="276">
        <f t="shared" si="6"/>
        <v>3.8200000000000003</v>
      </c>
      <c r="L442" s="335"/>
      <c r="N442" s="288"/>
      <c r="O442" s="287"/>
      <c r="P442" s="287"/>
      <c r="Q442" s="287"/>
    </row>
    <row r="443" spans="1:17" ht="13.8">
      <c r="A443" s="275" t="s">
        <v>2811</v>
      </c>
      <c r="B443" s="275" t="s">
        <v>4017</v>
      </c>
      <c r="C443" s="275" t="s">
        <v>3462</v>
      </c>
      <c r="D443" s="275" t="s">
        <v>3056</v>
      </c>
      <c r="E443" s="275" t="s">
        <v>2802</v>
      </c>
      <c r="F443" s="278">
        <v>33784</v>
      </c>
      <c r="G443" s="275" t="s">
        <v>2803</v>
      </c>
      <c r="H443" s="276">
        <v>11</v>
      </c>
      <c r="I443" s="276">
        <v>42.79</v>
      </c>
      <c r="J443" s="276">
        <v>8.8800000000000008</v>
      </c>
      <c r="K443" s="276">
        <f t="shared" si="6"/>
        <v>2.1199999999999992</v>
      </c>
      <c r="L443" s="335"/>
      <c r="N443" s="288"/>
      <c r="O443" s="287"/>
      <c r="P443" s="287"/>
      <c r="Q443" s="287"/>
    </row>
    <row r="444" spans="1:17" ht="13.8">
      <c r="A444" s="275" t="s">
        <v>2811</v>
      </c>
      <c r="B444" s="275" t="s">
        <v>2832</v>
      </c>
      <c r="C444" s="275" t="s">
        <v>3461</v>
      </c>
      <c r="D444" s="275" t="s">
        <v>3056</v>
      </c>
      <c r="E444" s="275" t="s">
        <v>2802</v>
      </c>
      <c r="F444" s="278">
        <v>33807</v>
      </c>
      <c r="G444" s="275" t="s">
        <v>2803</v>
      </c>
      <c r="H444" s="276">
        <v>11.2</v>
      </c>
      <c r="I444" s="276">
        <v>45.02</v>
      </c>
      <c r="J444" s="276">
        <v>8.7899999999999991</v>
      </c>
      <c r="K444" s="276">
        <f t="shared" si="6"/>
        <v>2.41</v>
      </c>
      <c r="L444" s="335"/>
      <c r="N444" s="288"/>
      <c r="O444" s="287"/>
      <c r="P444" s="287"/>
      <c r="Q444" s="287"/>
    </row>
    <row r="445" spans="1:17" ht="13.8">
      <c r="A445" s="275" t="s">
        <v>2830</v>
      </c>
      <c r="B445" s="275" t="s">
        <v>3198</v>
      </c>
      <c r="C445" s="275" t="s">
        <v>3460</v>
      </c>
      <c r="D445" s="275" t="s">
        <v>3056</v>
      </c>
      <c r="E445" s="275" t="s">
        <v>2802</v>
      </c>
      <c r="F445" s="278">
        <v>33842</v>
      </c>
      <c r="G445" s="275" t="s">
        <v>2803</v>
      </c>
      <c r="H445" s="276">
        <v>12.43</v>
      </c>
      <c r="I445" s="276">
        <v>46.61</v>
      </c>
      <c r="J445" s="276">
        <v>8.58</v>
      </c>
      <c r="K445" s="276">
        <f t="shared" si="6"/>
        <v>3.8499999999999996</v>
      </c>
      <c r="L445" s="335"/>
      <c r="N445" s="288"/>
      <c r="O445" s="287"/>
      <c r="P445" s="287"/>
      <c r="Q445" s="287"/>
    </row>
    <row r="446" spans="1:17" ht="13.8">
      <c r="A446" s="275" t="s">
        <v>2806</v>
      </c>
      <c r="B446" s="275" t="s">
        <v>3081</v>
      </c>
      <c r="C446" s="275" t="s">
        <v>3459</v>
      </c>
      <c r="D446" s="275" t="s">
        <v>3056</v>
      </c>
      <c r="E446" s="275" t="s">
        <v>2802</v>
      </c>
      <c r="F446" s="278">
        <v>33877</v>
      </c>
      <c r="G446" s="275" t="s">
        <v>2803</v>
      </c>
      <c r="H446" s="276">
        <v>11.6</v>
      </c>
      <c r="I446" s="276">
        <v>44.2</v>
      </c>
      <c r="J446" s="276">
        <v>8.44</v>
      </c>
      <c r="K446" s="276">
        <f t="shared" si="6"/>
        <v>3.16</v>
      </c>
      <c r="L446" s="335"/>
      <c r="N446" s="288"/>
      <c r="O446" s="287"/>
      <c r="P446" s="287"/>
      <c r="Q446" s="287"/>
    </row>
    <row r="447" spans="1:17" ht="13.8">
      <c r="A447" s="275" t="s">
        <v>2801</v>
      </c>
      <c r="B447" s="275" t="s">
        <v>4021</v>
      </c>
      <c r="C447" s="275" t="s">
        <v>3458</v>
      </c>
      <c r="D447" s="275" t="s">
        <v>3056</v>
      </c>
      <c r="E447" s="275" t="s">
        <v>2802</v>
      </c>
      <c r="F447" s="278">
        <v>33883</v>
      </c>
      <c r="G447" s="275" t="s">
        <v>2803</v>
      </c>
      <c r="H447" s="276">
        <v>12.25</v>
      </c>
      <c r="I447" s="276">
        <v>53.08</v>
      </c>
      <c r="J447" s="276">
        <v>8.44</v>
      </c>
      <c r="K447" s="276">
        <f t="shared" si="6"/>
        <v>3.8100000000000005</v>
      </c>
      <c r="L447" s="335"/>
      <c r="N447" s="288"/>
      <c r="O447" s="287"/>
      <c r="P447" s="287"/>
      <c r="Q447" s="287"/>
    </row>
    <row r="448" spans="1:17" ht="13.8">
      <c r="A448" s="275" t="s">
        <v>2809</v>
      </c>
      <c r="B448" s="275" t="s">
        <v>4025</v>
      </c>
      <c r="C448" s="275" t="s">
        <v>3457</v>
      </c>
      <c r="D448" s="275" t="s">
        <v>3056</v>
      </c>
      <c r="E448" s="275" t="s">
        <v>2802</v>
      </c>
      <c r="F448" s="278">
        <v>33890</v>
      </c>
      <c r="G448" s="275" t="s">
        <v>2803</v>
      </c>
      <c r="H448" s="276">
        <v>12.75</v>
      </c>
      <c r="I448" s="276">
        <v>53.69</v>
      </c>
      <c r="J448" s="276">
        <v>8.44</v>
      </c>
      <c r="K448" s="276">
        <f t="shared" si="6"/>
        <v>4.3100000000000005</v>
      </c>
      <c r="L448" s="335"/>
      <c r="N448" s="288"/>
      <c r="O448" s="287"/>
      <c r="P448" s="287"/>
      <c r="Q448" s="287"/>
    </row>
    <row r="449" spans="1:17" ht="13.8">
      <c r="A449" s="275" t="s">
        <v>2809</v>
      </c>
      <c r="B449" s="275" t="s">
        <v>3142</v>
      </c>
      <c r="C449" s="275" t="s">
        <v>3456</v>
      </c>
      <c r="D449" s="275" t="s">
        <v>3056</v>
      </c>
      <c r="E449" s="275" t="s">
        <v>2802</v>
      </c>
      <c r="F449" s="278">
        <v>33906</v>
      </c>
      <c r="G449" s="275" t="s">
        <v>2803</v>
      </c>
      <c r="H449" s="276">
        <v>12.75</v>
      </c>
      <c r="I449" s="276">
        <v>49.45</v>
      </c>
      <c r="J449" s="276">
        <v>8.41</v>
      </c>
      <c r="K449" s="276">
        <f t="shared" si="6"/>
        <v>4.34</v>
      </c>
      <c r="L449" s="335"/>
      <c r="N449" s="288"/>
      <c r="O449" s="287"/>
      <c r="P449" s="287"/>
      <c r="Q449" s="287"/>
    </row>
    <row r="450" spans="1:17" ht="13.8">
      <c r="A450" s="275" t="s">
        <v>2807</v>
      </c>
      <c r="B450" s="275" t="s">
        <v>4026</v>
      </c>
      <c r="C450" s="275" t="s">
        <v>3455</v>
      </c>
      <c r="D450" s="275" t="s">
        <v>3056</v>
      </c>
      <c r="E450" s="275" t="s">
        <v>2802</v>
      </c>
      <c r="F450" s="278">
        <v>33907</v>
      </c>
      <c r="G450" s="275" t="s">
        <v>2803</v>
      </c>
      <c r="H450" s="276">
        <v>11.4</v>
      </c>
      <c r="I450" s="276">
        <v>57.06</v>
      </c>
      <c r="J450" s="276">
        <v>8.41</v>
      </c>
      <c r="K450" s="276">
        <f t="shared" si="6"/>
        <v>2.99</v>
      </c>
      <c r="L450" s="335"/>
      <c r="N450" s="288"/>
      <c r="O450" s="287"/>
      <c r="P450" s="287"/>
      <c r="Q450" s="287"/>
    </row>
    <row r="451" spans="1:17" ht="13.8">
      <c r="A451" s="275" t="s">
        <v>2816</v>
      </c>
      <c r="B451" s="275" t="s">
        <v>3453</v>
      </c>
      <c r="C451" s="275" t="s">
        <v>3452</v>
      </c>
      <c r="D451" s="275" t="s">
        <v>3056</v>
      </c>
      <c r="E451" s="275" t="s">
        <v>2802</v>
      </c>
      <c r="F451" s="278">
        <v>33933</v>
      </c>
      <c r="G451" s="275" t="s">
        <v>2803</v>
      </c>
      <c r="H451" s="276">
        <v>12</v>
      </c>
      <c r="I451" s="276">
        <v>40.200000000000003</v>
      </c>
      <c r="J451" s="276">
        <v>8.5299999999999994</v>
      </c>
      <c r="K451" s="276">
        <f t="shared" si="6"/>
        <v>3.4700000000000006</v>
      </c>
      <c r="L451" s="335"/>
      <c r="N451" s="288"/>
      <c r="O451" s="287"/>
      <c r="P451" s="287"/>
      <c r="Q451" s="287"/>
    </row>
    <row r="452" spans="1:17" ht="13.8">
      <c r="A452" s="275" t="s">
        <v>2811</v>
      </c>
      <c r="B452" s="275" t="s">
        <v>2875</v>
      </c>
      <c r="C452" s="275" t="s">
        <v>3454</v>
      </c>
      <c r="D452" s="275" t="s">
        <v>3056</v>
      </c>
      <c r="E452" s="275" t="s">
        <v>2802</v>
      </c>
      <c r="F452" s="278">
        <v>33933</v>
      </c>
      <c r="G452" s="275" t="s">
        <v>2803</v>
      </c>
      <c r="H452" s="276">
        <v>11</v>
      </c>
      <c r="I452" s="276">
        <v>26.79</v>
      </c>
      <c r="J452" s="276">
        <v>8.5299999999999994</v>
      </c>
      <c r="K452" s="276">
        <f t="shared" si="6"/>
        <v>2.4700000000000006</v>
      </c>
      <c r="L452" s="335"/>
      <c r="N452" s="288"/>
      <c r="O452" s="287"/>
      <c r="P452" s="287"/>
      <c r="Q452" s="287"/>
    </row>
    <row r="453" spans="1:17" ht="13.8">
      <c r="A453" s="275" t="s">
        <v>2844</v>
      </c>
      <c r="B453" s="275" t="s">
        <v>2848</v>
      </c>
      <c r="C453" s="275" t="s">
        <v>3451</v>
      </c>
      <c r="D453" s="275" t="s">
        <v>3056</v>
      </c>
      <c r="E453" s="275" t="s">
        <v>2802</v>
      </c>
      <c r="F453" s="278">
        <v>33941</v>
      </c>
      <c r="G453" s="275" t="s">
        <v>2803</v>
      </c>
      <c r="H453" s="276">
        <v>11.85</v>
      </c>
      <c r="I453" s="276">
        <v>49.5</v>
      </c>
      <c r="J453" s="276">
        <v>8.5299999999999994</v>
      </c>
      <c r="K453" s="276">
        <f t="shared" si="6"/>
        <v>3.3200000000000003</v>
      </c>
      <c r="L453" s="335"/>
      <c r="N453" s="288"/>
      <c r="O453" s="287"/>
      <c r="P453" s="287"/>
      <c r="Q453" s="287"/>
    </row>
    <row r="454" spans="1:17" ht="13.8">
      <c r="A454" s="275" t="s">
        <v>2844</v>
      </c>
      <c r="B454" s="275" t="s">
        <v>2864</v>
      </c>
      <c r="C454" s="275" t="s">
        <v>3450</v>
      </c>
      <c r="D454" s="275" t="s">
        <v>3056</v>
      </c>
      <c r="E454" s="275" t="s">
        <v>2802</v>
      </c>
      <c r="F454" s="278">
        <v>33954</v>
      </c>
      <c r="G454" s="275" t="s">
        <v>2803</v>
      </c>
      <c r="H454" s="276">
        <v>11.9</v>
      </c>
      <c r="I454" s="276">
        <v>46.75</v>
      </c>
      <c r="J454" s="276">
        <v>8.6300000000000008</v>
      </c>
      <c r="K454" s="276">
        <f t="shared" ref="K454:K517" si="7">H454-J454</f>
        <v>3.2699999999999996</v>
      </c>
      <c r="L454" s="335"/>
      <c r="N454" s="288"/>
      <c r="O454" s="287"/>
      <c r="P454" s="287"/>
      <c r="Q454" s="287"/>
    </row>
    <row r="455" spans="1:17" ht="13.8">
      <c r="A455" s="275" t="s">
        <v>2809</v>
      </c>
      <c r="B455" s="275" t="s">
        <v>2854</v>
      </c>
      <c r="C455" s="275" t="s">
        <v>3448</v>
      </c>
      <c r="D455" s="275" t="s">
        <v>3056</v>
      </c>
      <c r="E455" s="275" t="s">
        <v>2802</v>
      </c>
      <c r="F455" s="278">
        <v>33960</v>
      </c>
      <c r="G455" s="275" t="s">
        <v>2803</v>
      </c>
      <c r="H455" s="276">
        <v>12.4</v>
      </c>
      <c r="I455" s="276">
        <v>49.53</v>
      </c>
      <c r="J455" s="276">
        <v>8.6300000000000008</v>
      </c>
      <c r="K455" s="276">
        <f t="shared" si="7"/>
        <v>3.7699999999999996</v>
      </c>
      <c r="L455" s="335"/>
      <c r="N455" s="288"/>
      <c r="O455" s="287"/>
      <c r="P455" s="287"/>
      <c r="Q455" s="287"/>
    </row>
    <row r="456" spans="1:17" ht="13.8">
      <c r="A456" s="275" t="s">
        <v>2809</v>
      </c>
      <c r="B456" s="275" t="s">
        <v>2853</v>
      </c>
      <c r="C456" s="275" t="s">
        <v>3449</v>
      </c>
      <c r="D456" s="275" t="s">
        <v>3056</v>
      </c>
      <c r="E456" s="275" t="s">
        <v>2802</v>
      </c>
      <c r="F456" s="278">
        <v>33960</v>
      </c>
      <c r="G456" s="275" t="s">
        <v>2803</v>
      </c>
      <c r="H456" s="276">
        <v>12.3</v>
      </c>
      <c r="I456" s="276">
        <v>54.15</v>
      </c>
      <c r="J456" s="276">
        <v>8.6300000000000008</v>
      </c>
      <c r="K456" s="276">
        <f t="shared" si="7"/>
        <v>3.67</v>
      </c>
      <c r="L456" s="335"/>
      <c r="N456" s="288"/>
      <c r="O456" s="287"/>
      <c r="P456" s="287"/>
      <c r="Q456" s="287"/>
    </row>
    <row r="457" spans="1:17" ht="13.8">
      <c r="A457" s="275" t="s">
        <v>2813</v>
      </c>
      <c r="B457" s="275" t="s">
        <v>3075</v>
      </c>
      <c r="C457" s="275" t="s">
        <v>3447</v>
      </c>
      <c r="D457" s="275" t="s">
        <v>3056</v>
      </c>
      <c r="E457" s="275" t="s">
        <v>2802</v>
      </c>
      <c r="F457" s="278">
        <v>33981</v>
      </c>
      <c r="G457" s="275" t="s">
        <v>2803</v>
      </c>
      <c r="H457" s="276">
        <v>12</v>
      </c>
      <c r="I457" s="276">
        <v>41.09</v>
      </c>
      <c r="J457" s="276">
        <v>8.6300000000000008</v>
      </c>
      <c r="K457" s="276">
        <f t="shared" si="7"/>
        <v>3.3699999999999992</v>
      </c>
      <c r="L457" s="335"/>
      <c r="N457" s="288"/>
      <c r="O457" s="287"/>
      <c r="P457" s="287"/>
      <c r="Q457" s="287"/>
    </row>
    <row r="458" spans="1:17" ht="13.8">
      <c r="A458" s="275" t="s">
        <v>2809</v>
      </c>
      <c r="B458" s="275" t="s">
        <v>4023</v>
      </c>
      <c r="C458" s="275" t="s">
        <v>3446</v>
      </c>
      <c r="D458" s="275" t="s">
        <v>3056</v>
      </c>
      <c r="E458" s="275" t="s">
        <v>2802</v>
      </c>
      <c r="F458" s="278">
        <v>33981</v>
      </c>
      <c r="G458" s="275" t="s">
        <v>2803</v>
      </c>
      <c r="H458" s="276">
        <v>12</v>
      </c>
      <c r="I458" s="276">
        <v>56.94</v>
      </c>
      <c r="J458" s="276">
        <v>8.6300000000000008</v>
      </c>
      <c r="K458" s="276">
        <f t="shared" si="7"/>
        <v>3.3699999999999992</v>
      </c>
      <c r="L458" s="335"/>
      <c r="N458" s="288"/>
      <c r="O458" s="287"/>
      <c r="P458" s="287"/>
      <c r="Q458" s="287"/>
    </row>
    <row r="459" spans="1:17" ht="13.8">
      <c r="A459" s="275" t="s">
        <v>2805</v>
      </c>
      <c r="B459" s="275" t="s">
        <v>2829</v>
      </c>
      <c r="C459" s="275" t="s">
        <v>3445</v>
      </c>
      <c r="D459" s="275" t="s">
        <v>3056</v>
      </c>
      <c r="E459" s="275" t="s">
        <v>2802</v>
      </c>
      <c r="F459" s="278">
        <v>34082</v>
      </c>
      <c r="G459" s="275" t="s">
        <v>2803</v>
      </c>
      <c r="H459" s="276">
        <v>11.75</v>
      </c>
      <c r="I459" s="276">
        <v>44.55</v>
      </c>
      <c r="J459" s="276">
        <v>7.9</v>
      </c>
      <c r="K459" s="276">
        <f t="shared" si="7"/>
        <v>3.8499999999999996</v>
      </c>
      <c r="L459" s="335"/>
      <c r="N459" s="288"/>
      <c r="O459" s="287"/>
      <c r="P459" s="287"/>
      <c r="Q459" s="287"/>
    </row>
    <row r="460" spans="1:17" ht="13.8">
      <c r="A460" s="275" t="s">
        <v>2809</v>
      </c>
      <c r="B460" s="275" t="s">
        <v>2810</v>
      </c>
      <c r="C460" s="275" t="s">
        <v>3444</v>
      </c>
      <c r="D460" s="275" t="s">
        <v>3056</v>
      </c>
      <c r="E460" s="275" t="s">
        <v>2802</v>
      </c>
      <c r="F460" s="278">
        <v>34123</v>
      </c>
      <c r="G460" s="275" t="s">
        <v>2803</v>
      </c>
      <c r="H460" s="276">
        <v>12</v>
      </c>
      <c r="I460" s="276">
        <v>50.66</v>
      </c>
      <c r="J460" s="276">
        <v>7.82</v>
      </c>
      <c r="K460" s="276">
        <f t="shared" si="7"/>
        <v>4.18</v>
      </c>
      <c r="L460" s="335"/>
      <c r="N460" s="288"/>
      <c r="O460" s="287"/>
      <c r="P460" s="287"/>
      <c r="Q460" s="287"/>
    </row>
    <row r="461" spans="1:17" ht="13.8">
      <c r="A461" s="275" t="s">
        <v>2837</v>
      </c>
      <c r="B461" s="275" t="s">
        <v>2839</v>
      </c>
      <c r="C461" s="275" t="s">
        <v>3443</v>
      </c>
      <c r="D461" s="275" t="s">
        <v>3056</v>
      </c>
      <c r="E461" s="275" t="s">
        <v>2802</v>
      </c>
      <c r="F461" s="278">
        <v>34127</v>
      </c>
      <c r="G461" s="275" t="s">
        <v>2803</v>
      </c>
      <c r="H461" s="276">
        <v>11.5</v>
      </c>
      <c r="I461" s="276">
        <v>38.22</v>
      </c>
      <c r="J461" s="276">
        <v>7.82</v>
      </c>
      <c r="K461" s="276">
        <f t="shared" si="7"/>
        <v>3.6799999999999997</v>
      </c>
      <c r="L461" s="335"/>
      <c r="N461" s="288"/>
      <c r="O461" s="287"/>
      <c r="P461" s="287"/>
      <c r="Q461" s="287"/>
    </row>
    <row r="462" spans="1:17" ht="13.8">
      <c r="A462" s="275" t="s">
        <v>2871</v>
      </c>
      <c r="B462" s="275" t="s">
        <v>3277</v>
      </c>
      <c r="C462" s="275" t="s">
        <v>3442</v>
      </c>
      <c r="D462" s="275" t="s">
        <v>3056</v>
      </c>
      <c r="E462" s="275" t="s">
        <v>2802</v>
      </c>
      <c r="F462" s="278">
        <v>34142</v>
      </c>
      <c r="G462" s="275" t="s">
        <v>2803</v>
      </c>
      <c r="H462" s="276">
        <v>11.75</v>
      </c>
      <c r="I462" s="276">
        <v>56.79</v>
      </c>
      <c r="J462" s="276">
        <v>7.86</v>
      </c>
      <c r="K462" s="276">
        <f t="shared" si="7"/>
        <v>3.8899999999999997</v>
      </c>
      <c r="L462" s="335"/>
      <c r="N462" s="288"/>
      <c r="O462" s="287"/>
      <c r="P462" s="287"/>
      <c r="Q462" s="287"/>
    </row>
    <row r="463" spans="1:17" ht="13.8">
      <c r="A463" s="275" t="s">
        <v>2801</v>
      </c>
      <c r="B463" s="275" t="s">
        <v>2817</v>
      </c>
      <c r="C463" s="275" t="s">
        <v>3441</v>
      </c>
      <c r="D463" s="275" t="s">
        <v>3056</v>
      </c>
      <c r="E463" s="275" t="s">
        <v>2802</v>
      </c>
      <c r="F463" s="278">
        <v>34171</v>
      </c>
      <c r="G463" s="275" t="s">
        <v>2803</v>
      </c>
      <c r="H463" s="276">
        <v>11.78</v>
      </c>
      <c r="I463" s="276">
        <v>48.05</v>
      </c>
      <c r="J463" s="276">
        <v>7.76</v>
      </c>
      <c r="K463" s="276">
        <f t="shared" si="7"/>
        <v>4.0199999999999996</v>
      </c>
      <c r="L463" s="335"/>
      <c r="N463" s="288"/>
      <c r="O463" s="287"/>
      <c r="P463" s="287"/>
      <c r="Q463" s="287"/>
    </row>
    <row r="464" spans="1:17" ht="13.8">
      <c r="A464" s="275" t="s">
        <v>2835</v>
      </c>
      <c r="B464" s="275" t="s">
        <v>2877</v>
      </c>
      <c r="C464" s="275" t="s">
        <v>3440</v>
      </c>
      <c r="D464" s="275" t="s">
        <v>3056</v>
      </c>
      <c r="E464" s="275" t="s">
        <v>2802</v>
      </c>
      <c r="F464" s="278">
        <v>34173</v>
      </c>
      <c r="G464" s="275" t="s">
        <v>2803</v>
      </c>
      <c r="H464" s="276">
        <v>11.5</v>
      </c>
      <c r="I464" s="276">
        <v>46.8</v>
      </c>
      <c r="J464" s="276">
        <v>7.76</v>
      </c>
      <c r="K464" s="276">
        <f t="shared" si="7"/>
        <v>3.74</v>
      </c>
      <c r="L464" s="335"/>
      <c r="N464" s="288"/>
      <c r="O464" s="287"/>
      <c r="P464" s="287"/>
      <c r="Q464" s="287"/>
    </row>
    <row r="465" spans="1:17" ht="13.8">
      <c r="A465" s="275" t="s">
        <v>2824</v>
      </c>
      <c r="B465" s="275" t="s">
        <v>3094</v>
      </c>
      <c r="C465" s="275" t="s">
        <v>3439</v>
      </c>
      <c r="D465" s="275" t="s">
        <v>3056</v>
      </c>
      <c r="E465" s="275" t="s">
        <v>2802</v>
      </c>
      <c r="F465" s="278">
        <v>34193</v>
      </c>
      <c r="G465" s="275" t="s">
        <v>2803</v>
      </c>
      <c r="H465" s="276">
        <v>10.75</v>
      </c>
      <c r="I465" s="276">
        <v>40</v>
      </c>
      <c r="J465" s="276">
        <v>7.76</v>
      </c>
      <c r="K465" s="276">
        <f t="shared" si="7"/>
        <v>2.99</v>
      </c>
      <c r="L465" s="335"/>
      <c r="N465" s="288"/>
      <c r="O465" s="287"/>
      <c r="P465" s="287"/>
      <c r="Q465" s="287"/>
    </row>
    <row r="466" spans="1:17" ht="13.8">
      <c r="A466" s="275" t="s">
        <v>2809</v>
      </c>
      <c r="B466" s="275" t="s">
        <v>4025</v>
      </c>
      <c r="C466" s="275" t="s">
        <v>3438</v>
      </c>
      <c r="D466" s="275" t="s">
        <v>3056</v>
      </c>
      <c r="E466" s="275" t="s">
        <v>2802</v>
      </c>
      <c r="F466" s="278">
        <v>34212</v>
      </c>
      <c r="G466" s="275" t="s">
        <v>2803</v>
      </c>
      <c r="H466" s="276">
        <v>11.9</v>
      </c>
      <c r="I466" s="276">
        <v>51.12</v>
      </c>
      <c r="J466" s="276">
        <v>7.54</v>
      </c>
      <c r="K466" s="276">
        <f t="shared" si="7"/>
        <v>4.3600000000000003</v>
      </c>
      <c r="L466" s="335"/>
      <c r="N466" s="288"/>
      <c r="O466" s="287"/>
      <c r="P466" s="287"/>
      <c r="Q466" s="287"/>
    </row>
    <row r="467" spans="1:17" ht="13.8">
      <c r="A467" s="275" t="s">
        <v>2857</v>
      </c>
      <c r="B467" s="275" t="s">
        <v>4023</v>
      </c>
      <c r="C467" s="275" t="s">
        <v>3436</v>
      </c>
      <c r="D467" s="275" t="s">
        <v>3056</v>
      </c>
      <c r="E467" s="275" t="s">
        <v>2802</v>
      </c>
      <c r="F467" s="278">
        <v>34213</v>
      </c>
      <c r="G467" s="275" t="s">
        <v>2803</v>
      </c>
      <c r="H467" s="276">
        <v>11.47</v>
      </c>
      <c r="I467" s="276">
        <v>48.39</v>
      </c>
      <c r="J467" s="276">
        <v>7.54</v>
      </c>
      <c r="K467" s="276">
        <f t="shared" si="7"/>
        <v>3.9300000000000006</v>
      </c>
      <c r="L467" s="335"/>
      <c r="N467" s="288"/>
      <c r="O467" s="287"/>
      <c r="P467" s="287"/>
      <c r="Q467" s="287"/>
    </row>
    <row r="468" spans="1:17" ht="13.8">
      <c r="A468" s="275" t="s">
        <v>2816</v>
      </c>
      <c r="B468" s="275" t="s">
        <v>2852</v>
      </c>
      <c r="C468" s="275" t="s">
        <v>3437</v>
      </c>
      <c r="D468" s="275" t="s">
        <v>3056</v>
      </c>
      <c r="E468" s="275" t="s">
        <v>2802</v>
      </c>
      <c r="F468" s="278">
        <v>34213</v>
      </c>
      <c r="G468" s="275" t="s">
        <v>2803</v>
      </c>
      <c r="H468" s="276">
        <v>11.25</v>
      </c>
      <c r="I468" s="276">
        <v>44.26</v>
      </c>
      <c r="J468" s="276">
        <v>7.54</v>
      </c>
      <c r="K468" s="276">
        <f t="shared" si="7"/>
        <v>3.71</v>
      </c>
      <c r="L468" s="335"/>
      <c r="N468" s="288"/>
      <c r="O468" s="287"/>
      <c r="P468" s="287"/>
      <c r="Q468" s="287"/>
    </row>
    <row r="469" spans="1:17" ht="13.8">
      <c r="A469" s="275" t="s">
        <v>2842</v>
      </c>
      <c r="B469" s="275" t="s">
        <v>2843</v>
      </c>
      <c r="C469" s="275" t="s">
        <v>3435</v>
      </c>
      <c r="D469" s="275" t="s">
        <v>3056</v>
      </c>
      <c r="E469" s="275" t="s">
        <v>2802</v>
      </c>
      <c r="F469" s="278">
        <v>34239</v>
      </c>
      <c r="G469" s="275" t="s">
        <v>2803</v>
      </c>
      <c r="H469" s="276">
        <v>10.5</v>
      </c>
      <c r="I469" s="276">
        <v>44</v>
      </c>
      <c r="J469" s="276">
        <v>7.27</v>
      </c>
      <c r="K469" s="276">
        <f t="shared" si="7"/>
        <v>3.2300000000000004</v>
      </c>
      <c r="L469" s="335"/>
      <c r="N469" s="288"/>
      <c r="O469" s="287"/>
      <c r="P469" s="287"/>
      <c r="Q469" s="287"/>
    </row>
    <row r="470" spans="1:17" ht="13.8">
      <c r="A470" s="275" t="s">
        <v>2806</v>
      </c>
      <c r="B470" s="275" t="s">
        <v>3081</v>
      </c>
      <c r="C470" s="275" t="s">
        <v>3434</v>
      </c>
      <c r="D470" s="275" t="s">
        <v>3056</v>
      </c>
      <c r="E470" s="275" t="s">
        <v>2802</v>
      </c>
      <c r="F470" s="278">
        <v>34241</v>
      </c>
      <c r="G470" s="275" t="s">
        <v>2803</v>
      </c>
      <c r="H470" s="276">
        <v>11</v>
      </c>
      <c r="I470" s="276">
        <v>42.97</v>
      </c>
      <c r="J470" s="276">
        <v>7.27</v>
      </c>
      <c r="K470" s="276">
        <f t="shared" si="7"/>
        <v>3.7300000000000004</v>
      </c>
      <c r="L470" s="335"/>
      <c r="N470" s="288"/>
      <c r="O470" s="287"/>
      <c r="P470" s="287"/>
      <c r="Q470" s="287"/>
    </row>
    <row r="471" spans="1:17" ht="13.8">
      <c r="A471" s="275" t="s">
        <v>2809</v>
      </c>
      <c r="B471" s="275" t="s">
        <v>2854</v>
      </c>
      <c r="C471" s="275" t="s">
        <v>3433</v>
      </c>
      <c r="D471" s="275" t="s">
        <v>3056</v>
      </c>
      <c r="E471" s="275" t="s">
        <v>2802</v>
      </c>
      <c r="F471" s="278">
        <v>34242</v>
      </c>
      <c r="G471" s="275" t="s">
        <v>2803</v>
      </c>
      <c r="H471" s="276">
        <v>11.6</v>
      </c>
      <c r="I471" s="276">
        <v>50.31</v>
      </c>
      <c r="J471" s="276">
        <v>7.27</v>
      </c>
      <c r="K471" s="276">
        <f t="shared" si="7"/>
        <v>4.33</v>
      </c>
      <c r="L471" s="335"/>
      <c r="N471" s="288"/>
      <c r="O471" s="287"/>
      <c r="P471" s="287"/>
      <c r="Q471" s="287"/>
    </row>
    <row r="472" spans="1:17" ht="13.8">
      <c r="A472" s="275" t="s">
        <v>2840</v>
      </c>
      <c r="B472" s="275" t="s">
        <v>3079</v>
      </c>
      <c r="C472" s="275" t="s">
        <v>3432</v>
      </c>
      <c r="D472" s="275" t="s">
        <v>3056</v>
      </c>
      <c r="E472" s="275" t="s">
        <v>2802</v>
      </c>
      <c r="F472" s="278">
        <v>34250</v>
      </c>
      <c r="G472" s="275" t="s">
        <v>2803</v>
      </c>
      <c r="H472" s="276">
        <v>11.5</v>
      </c>
      <c r="I472" s="276">
        <v>54</v>
      </c>
      <c r="J472" s="276">
        <v>7.27</v>
      </c>
      <c r="K472" s="276">
        <f t="shared" si="7"/>
        <v>4.2300000000000004</v>
      </c>
      <c r="L472" s="335"/>
      <c r="N472" s="288"/>
      <c r="O472" s="287"/>
      <c r="P472" s="287"/>
      <c r="Q472" s="287"/>
    </row>
    <row r="473" spans="1:17" ht="13.8">
      <c r="A473" s="275" t="s">
        <v>2867</v>
      </c>
      <c r="B473" s="275" t="s">
        <v>2868</v>
      </c>
      <c r="C473" s="275" t="s">
        <v>3431</v>
      </c>
      <c r="D473" s="275" t="s">
        <v>3056</v>
      </c>
      <c r="E473" s="275" t="s">
        <v>2802</v>
      </c>
      <c r="F473" s="278">
        <v>34256</v>
      </c>
      <c r="G473" s="275" t="s">
        <v>2803</v>
      </c>
      <c r="H473" s="276">
        <v>11.2</v>
      </c>
      <c r="I473" s="276">
        <v>43.09</v>
      </c>
      <c r="J473" s="276">
        <v>7.27</v>
      </c>
      <c r="K473" s="276">
        <f t="shared" si="7"/>
        <v>3.9299999999999997</v>
      </c>
      <c r="L473" s="335"/>
      <c r="N473" s="288"/>
      <c r="O473" s="287"/>
      <c r="P473" s="287"/>
      <c r="Q473" s="287"/>
    </row>
    <row r="474" spans="1:17" ht="13.8">
      <c r="A474" s="275" t="s">
        <v>2871</v>
      </c>
      <c r="B474" s="275" t="s">
        <v>3357</v>
      </c>
      <c r="C474" s="275" t="s">
        <v>3430</v>
      </c>
      <c r="D474" s="275" t="s">
        <v>3056</v>
      </c>
      <c r="E474" s="275" t="s">
        <v>2802</v>
      </c>
      <c r="F474" s="278">
        <v>34257</v>
      </c>
      <c r="G474" s="275" t="s">
        <v>2803</v>
      </c>
      <c r="H474" s="276">
        <v>11.75</v>
      </c>
      <c r="I474" s="276">
        <v>46.31</v>
      </c>
      <c r="J474" s="276">
        <v>7.04</v>
      </c>
      <c r="K474" s="276">
        <f t="shared" si="7"/>
        <v>4.71</v>
      </c>
      <c r="L474" s="335"/>
      <c r="N474" s="288"/>
      <c r="O474" s="287"/>
      <c r="P474" s="287"/>
      <c r="Q474" s="287"/>
    </row>
    <row r="475" spans="1:17" ht="13.8">
      <c r="A475" s="275" t="s">
        <v>2837</v>
      </c>
      <c r="B475" s="275" t="s">
        <v>3094</v>
      </c>
      <c r="C475" s="275" t="s">
        <v>3429</v>
      </c>
      <c r="D475" s="275" t="s">
        <v>3056</v>
      </c>
      <c r="E475" s="275" t="s">
        <v>2802</v>
      </c>
      <c r="F475" s="278">
        <v>34267</v>
      </c>
      <c r="G475" s="275" t="s">
        <v>2803</v>
      </c>
      <c r="H475" s="276">
        <v>11.55</v>
      </c>
      <c r="I475" s="276">
        <v>36</v>
      </c>
      <c r="J475" s="276">
        <v>7.04</v>
      </c>
      <c r="K475" s="276">
        <f t="shared" si="7"/>
        <v>4.5100000000000007</v>
      </c>
      <c r="L475" s="335"/>
      <c r="N475" s="288"/>
      <c r="O475" s="287"/>
      <c r="P475" s="287"/>
      <c r="Q475" s="287"/>
    </row>
    <row r="476" spans="1:17" ht="13.8">
      <c r="A476" s="275" t="s">
        <v>2851</v>
      </c>
      <c r="B476" s="275" t="s">
        <v>3105</v>
      </c>
      <c r="C476" s="275" t="s">
        <v>3428</v>
      </c>
      <c r="D476" s="275" t="s">
        <v>3056</v>
      </c>
      <c r="E476" s="275" t="s">
        <v>2802</v>
      </c>
      <c r="F476" s="278">
        <v>34270</v>
      </c>
      <c r="G476" s="275" t="s">
        <v>2803</v>
      </c>
      <c r="H476" s="276">
        <v>11.5</v>
      </c>
      <c r="I476" s="276">
        <v>34.97</v>
      </c>
      <c r="J476" s="276">
        <v>7.04</v>
      </c>
      <c r="K476" s="276">
        <f t="shared" si="7"/>
        <v>4.46</v>
      </c>
      <c r="L476" s="335"/>
      <c r="N476" s="288"/>
      <c r="O476" s="287"/>
      <c r="P476" s="287"/>
      <c r="Q476" s="287"/>
    </row>
    <row r="477" spans="1:17" ht="13.8">
      <c r="A477" s="275" t="s">
        <v>2807</v>
      </c>
      <c r="B477" s="275" t="s">
        <v>3103</v>
      </c>
      <c r="C477" s="275" t="s">
        <v>3425</v>
      </c>
      <c r="D477" s="275" t="s">
        <v>3056</v>
      </c>
      <c r="E477" s="275" t="s">
        <v>2802</v>
      </c>
      <c r="F477" s="278">
        <v>34271</v>
      </c>
      <c r="G477" s="275" t="s">
        <v>2803</v>
      </c>
      <c r="H477" s="276">
        <v>11.25</v>
      </c>
      <c r="I477" s="276">
        <v>47.99</v>
      </c>
      <c r="J477" s="276">
        <v>7.04</v>
      </c>
      <c r="K477" s="276">
        <f t="shared" si="7"/>
        <v>4.21</v>
      </c>
      <c r="L477" s="335"/>
      <c r="N477" s="288"/>
      <c r="O477" s="287"/>
      <c r="P477" s="287"/>
      <c r="Q477" s="287"/>
    </row>
    <row r="478" spans="1:17" ht="13.8">
      <c r="A478" s="275" t="s">
        <v>2831</v>
      </c>
      <c r="B478" s="275" t="s">
        <v>4019</v>
      </c>
      <c r="C478" s="275" t="s">
        <v>3426</v>
      </c>
      <c r="D478" s="275" t="s">
        <v>3056</v>
      </c>
      <c r="E478" s="275" t="s">
        <v>2802</v>
      </c>
      <c r="F478" s="278">
        <v>34271</v>
      </c>
      <c r="G478" s="275" t="s">
        <v>2803</v>
      </c>
      <c r="H478" s="276">
        <v>10.199999999999999</v>
      </c>
      <c r="I478" s="276">
        <v>52</v>
      </c>
      <c r="J478" s="276">
        <v>7.04</v>
      </c>
      <c r="K478" s="276">
        <f t="shared" si="7"/>
        <v>3.1599999999999993</v>
      </c>
      <c r="L478" s="335"/>
      <c r="N478" s="288"/>
      <c r="O478" s="287"/>
      <c r="P478" s="287"/>
      <c r="Q478" s="287"/>
    </row>
    <row r="479" spans="1:17" ht="13.8">
      <c r="A479" s="275" t="s">
        <v>2831</v>
      </c>
      <c r="B479" s="275" t="s">
        <v>4016</v>
      </c>
      <c r="C479" s="275" t="s">
        <v>3427</v>
      </c>
      <c r="D479" s="275" t="s">
        <v>3056</v>
      </c>
      <c r="E479" s="275" t="s">
        <v>2802</v>
      </c>
      <c r="F479" s="278">
        <v>34271</v>
      </c>
      <c r="G479" s="275" t="s">
        <v>2803</v>
      </c>
      <c r="H479" s="276">
        <v>10.1</v>
      </c>
      <c r="I479" s="276">
        <v>52.22</v>
      </c>
      <c r="J479" s="276">
        <v>7.04</v>
      </c>
      <c r="K479" s="276">
        <f t="shared" si="7"/>
        <v>3.0599999999999996</v>
      </c>
      <c r="L479" s="335"/>
      <c r="N479" s="288"/>
      <c r="O479" s="287"/>
      <c r="P479" s="287"/>
      <c r="Q479" s="287"/>
    </row>
    <row r="480" spans="1:17" ht="13.8">
      <c r="A480" s="275" t="s">
        <v>2809</v>
      </c>
      <c r="B480" s="275" t="s">
        <v>3142</v>
      </c>
      <c r="C480" s="275" t="s">
        <v>3424</v>
      </c>
      <c r="D480" s="275" t="s">
        <v>3056</v>
      </c>
      <c r="E480" s="275" t="s">
        <v>2802</v>
      </c>
      <c r="F480" s="278">
        <v>34285</v>
      </c>
      <c r="G480" s="275" t="s">
        <v>2803</v>
      </c>
      <c r="H480" s="276">
        <v>11.8</v>
      </c>
      <c r="I480" s="276">
        <v>48.43</v>
      </c>
      <c r="J480" s="276">
        <v>7.04</v>
      </c>
      <c r="K480" s="276">
        <f t="shared" si="7"/>
        <v>4.7600000000000007</v>
      </c>
      <c r="L480" s="335"/>
      <c r="N480" s="288"/>
      <c r="O480" s="287"/>
      <c r="P480" s="287"/>
      <c r="Q480" s="287"/>
    </row>
    <row r="481" spans="1:17" ht="13.8">
      <c r="A481" s="275" t="s">
        <v>2862</v>
      </c>
      <c r="B481" s="275" t="s">
        <v>2863</v>
      </c>
      <c r="C481" s="275" t="s">
        <v>3423</v>
      </c>
      <c r="D481" s="275" t="s">
        <v>3056</v>
      </c>
      <c r="E481" s="275" t="s">
        <v>2802</v>
      </c>
      <c r="F481" s="278">
        <v>34296</v>
      </c>
      <c r="G481" s="275" t="s">
        <v>2803</v>
      </c>
      <c r="H481" s="276">
        <v>12.5</v>
      </c>
      <c r="I481" s="276">
        <v>42.86</v>
      </c>
      <c r="J481" s="276">
        <v>7.03</v>
      </c>
      <c r="K481" s="276">
        <f t="shared" si="7"/>
        <v>5.47</v>
      </c>
      <c r="L481" s="335"/>
      <c r="N481" s="288"/>
      <c r="O481" s="287"/>
      <c r="P481" s="287"/>
      <c r="Q481" s="287"/>
    </row>
    <row r="482" spans="1:17" ht="13.8">
      <c r="A482" s="275" t="s">
        <v>2822</v>
      </c>
      <c r="B482" s="275" t="s">
        <v>2823</v>
      </c>
      <c r="C482" s="275" t="s">
        <v>3422</v>
      </c>
      <c r="D482" s="275" t="s">
        <v>3056</v>
      </c>
      <c r="E482" s="275" t="s">
        <v>2802</v>
      </c>
      <c r="F482" s="278">
        <v>34299</v>
      </c>
      <c r="G482" s="275" t="s">
        <v>2803</v>
      </c>
      <c r="H482" s="276">
        <v>11</v>
      </c>
      <c r="I482" s="276">
        <v>44.62</v>
      </c>
      <c r="J482" s="276">
        <v>7.03</v>
      </c>
      <c r="K482" s="276">
        <f t="shared" si="7"/>
        <v>3.9699999999999998</v>
      </c>
      <c r="L482" s="335"/>
      <c r="N482" s="288"/>
      <c r="O482" s="287"/>
      <c r="P482" s="287"/>
      <c r="Q482" s="287"/>
    </row>
    <row r="483" spans="1:17" ht="13.8">
      <c r="A483" s="275" t="s">
        <v>2830</v>
      </c>
      <c r="B483" s="275" t="s">
        <v>3157</v>
      </c>
      <c r="C483" s="275" t="s">
        <v>3420</v>
      </c>
      <c r="D483" s="275" t="s">
        <v>3056</v>
      </c>
      <c r="E483" s="275" t="s">
        <v>2802</v>
      </c>
      <c r="F483" s="278">
        <v>34319</v>
      </c>
      <c r="G483" s="275" t="s">
        <v>2803</v>
      </c>
      <c r="H483" s="276">
        <v>11.2</v>
      </c>
      <c r="I483" s="276">
        <v>50.35</v>
      </c>
      <c r="J483" s="276">
        <v>7.28</v>
      </c>
      <c r="K483" s="276">
        <f t="shared" si="7"/>
        <v>3.919999999999999</v>
      </c>
      <c r="L483" s="335"/>
      <c r="N483" s="288"/>
      <c r="O483" s="287"/>
      <c r="P483" s="287"/>
      <c r="Q483" s="287"/>
    </row>
    <row r="484" spans="1:17" ht="13.8">
      <c r="A484" s="275" t="s">
        <v>2811</v>
      </c>
      <c r="B484" s="275" t="s">
        <v>2855</v>
      </c>
      <c r="C484" s="275" t="s">
        <v>3421</v>
      </c>
      <c r="D484" s="275" t="s">
        <v>3056</v>
      </c>
      <c r="E484" s="275" t="s">
        <v>2802</v>
      </c>
      <c r="F484" s="278">
        <v>34319</v>
      </c>
      <c r="G484" s="275" t="s">
        <v>2803</v>
      </c>
      <c r="H484" s="276">
        <v>10.6</v>
      </c>
      <c r="I484" s="276">
        <v>44.61</v>
      </c>
      <c r="J484" s="276">
        <v>7.28</v>
      </c>
      <c r="K484" s="276">
        <f t="shared" si="7"/>
        <v>3.3199999999999994</v>
      </c>
      <c r="L484" s="335"/>
      <c r="N484" s="288"/>
      <c r="O484" s="287"/>
      <c r="P484" s="287"/>
      <c r="Q484" s="287"/>
    </row>
    <row r="485" spans="1:17" ht="13.8">
      <c r="A485" s="275" t="s">
        <v>2809</v>
      </c>
      <c r="B485" s="275" t="s">
        <v>2853</v>
      </c>
      <c r="C485" s="275" t="s">
        <v>3419</v>
      </c>
      <c r="D485" s="275" t="s">
        <v>3056</v>
      </c>
      <c r="E485" s="275" t="s">
        <v>2802</v>
      </c>
      <c r="F485" s="278">
        <v>34324</v>
      </c>
      <c r="G485" s="275" t="s">
        <v>2803</v>
      </c>
      <c r="H485" s="276">
        <v>11.3</v>
      </c>
      <c r="I485" s="276">
        <v>55.61</v>
      </c>
      <c r="J485" s="276">
        <v>7.28</v>
      </c>
      <c r="K485" s="276">
        <f t="shared" si="7"/>
        <v>4.0200000000000005</v>
      </c>
      <c r="L485" s="335"/>
      <c r="N485" s="288"/>
      <c r="O485" s="287"/>
      <c r="P485" s="287"/>
      <c r="Q485" s="287"/>
    </row>
    <row r="486" spans="1:17" ht="13.8">
      <c r="A486" s="275" t="s">
        <v>2844</v>
      </c>
      <c r="B486" s="275" t="s">
        <v>3084</v>
      </c>
      <c r="C486" s="275" t="s">
        <v>3418</v>
      </c>
      <c r="D486" s="275" t="s">
        <v>3056</v>
      </c>
      <c r="E486" s="275" t="s">
        <v>2802</v>
      </c>
      <c r="F486" s="278">
        <v>34325</v>
      </c>
      <c r="G486" s="275" t="s">
        <v>2803</v>
      </c>
      <c r="H486" s="276">
        <v>11</v>
      </c>
      <c r="I486" s="276">
        <v>46.8</v>
      </c>
      <c r="J486" s="276">
        <v>7.28</v>
      </c>
      <c r="K486" s="276">
        <f t="shared" si="7"/>
        <v>3.7199999999999998</v>
      </c>
      <c r="L486" s="335"/>
      <c r="N486" s="288"/>
      <c r="O486" s="287"/>
      <c r="P486" s="287"/>
      <c r="Q486" s="287"/>
    </row>
    <row r="487" spans="1:17" ht="13.8">
      <c r="A487" s="275" t="s">
        <v>2821</v>
      </c>
      <c r="B487" s="275" t="s">
        <v>3073</v>
      </c>
      <c r="C487" s="275" t="s">
        <v>3417</v>
      </c>
      <c r="D487" s="275" t="s">
        <v>3056</v>
      </c>
      <c r="E487" s="275" t="s">
        <v>2802</v>
      </c>
      <c r="F487" s="278">
        <v>34344</v>
      </c>
      <c r="G487" s="275" t="s">
        <v>2803</v>
      </c>
      <c r="H487" s="276">
        <v>11</v>
      </c>
      <c r="I487" s="276">
        <v>53.59</v>
      </c>
      <c r="J487" s="276">
        <v>7.28</v>
      </c>
      <c r="K487" s="276">
        <f t="shared" si="7"/>
        <v>3.7199999999999998</v>
      </c>
      <c r="L487" s="335"/>
      <c r="N487" s="288"/>
      <c r="O487" s="287"/>
      <c r="P487" s="287"/>
      <c r="Q487" s="287"/>
    </row>
    <row r="488" spans="1:17" ht="13.8">
      <c r="A488" s="275" t="s">
        <v>2811</v>
      </c>
      <c r="B488" s="275" t="s">
        <v>2812</v>
      </c>
      <c r="C488" s="275" t="s">
        <v>3416</v>
      </c>
      <c r="D488" s="275" t="s">
        <v>3056</v>
      </c>
      <c r="E488" s="275" t="s">
        <v>2802</v>
      </c>
      <c r="F488" s="278">
        <v>34367</v>
      </c>
      <c r="G488" s="275" t="s">
        <v>2803</v>
      </c>
      <c r="H488" s="276">
        <v>10.4</v>
      </c>
      <c r="I488" s="276">
        <v>40.26</v>
      </c>
      <c r="J488" s="276">
        <v>7.34</v>
      </c>
      <c r="K488" s="276">
        <f t="shared" si="7"/>
        <v>3.0600000000000005</v>
      </c>
      <c r="L488" s="335"/>
      <c r="N488" s="288"/>
      <c r="O488" s="287"/>
      <c r="P488" s="287"/>
      <c r="Q488" s="287"/>
    </row>
    <row r="489" spans="1:17" ht="13.8">
      <c r="A489" s="275" t="s">
        <v>2856</v>
      </c>
      <c r="B489" s="275" t="s">
        <v>3129</v>
      </c>
      <c r="C489" s="275" t="s">
        <v>3415</v>
      </c>
      <c r="D489" s="275" t="s">
        <v>3056</v>
      </c>
      <c r="E489" s="275" t="s">
        <v>2802</v>
      </c>
      <c r="F489" s="278">
        <v>34374</v>
      </c>
      <c r="G489" s="275" t="s">
        <v>2803</v>
      </c>
      <c r="H489" s="276">
        <v>10.7</v>
      </c>
      <c r="I489" s="276">
        <v>33.56</v>
      </c>
      <c r="J489" s="276">
        <v>7.34</v>
      </c>
      <c r="K489" s="276">
        <f t="shared" si="7"/>
        <v>3.3599999999999994</v>
      </c>
      <c r="L489" s="335"/>
      <c r="N489" s="288"/>
      <c r="O489" s="287"/>
      <c r="P489" s="287"/>
      <c r="Q489" s="287"/>
    </row>
    <row r="490" spans="1:17" ht="13.8">
      <c r="A490" s="275" t="s">
        <v>2801</v>
      </c>
      <c r="B490" s="275" t="s">
        <v>2849</v>
      </c>
      <c r="C490" s="275" t="s">
        <v>3414</v>
      </c>
      <c r="D490" s="275" t="s">
        <v>3056</v>
      </c>
      <c r="E490" s="275" t="s">
        <v>2802</v>
      </c>
      <c r="F490" s="278">
        <v>34430</v>
      </c>
      <c r="G490" s="275" t="s">
        <v>2803</v>
      </c>
      <c r="H490" s="276">
        <v>11.24</v>
      </c>
      <c r="I490" s="276">
        <v>40.630000000000003</v>
      </c>
      <c r="J490" s="276">
        <v>7.45</v>
      </c>
      <c r="K490" s="276">
        <f t="shared" si="7"/>
        <v>3.79</v>
      </c>
      <c r="L490" s="335"/>
      <c r="N490" s="288"/>
      <c r="O490" s="287"/>
      <c r="P490" s="287"/>
      <c r="Q490" s="287"/>
    </row>
    <row r="491" spans="1:17" ht="13.8">
      <c r="A491" s="275" t="s">
        <v>2846</v>
      </c>
      <c r="B491" s="275" t="s">
        <v>2847</v>
      </c>
      <c r="C491" s="275" t="s">
        <v>3413</v>
      </c>
      <c r="D491" s="275" t="s">
        <v>3056</v>
      </c>
      <c r="E491" s="275" t="s">
        <v>2802</v>
      </c>
      <c r="F491" s="278">
        <v>34449</v>
      </c>
      <c r="G491" s="275" t="s">
        <v>2803</v>
      </c>
      <c r="H491" s="276">
        <v>11</v>
      </c>
      <c r="I491" s="276">
        <v>44.12</v>
      </c>
      <c r="J491" s="276">
        <v>7.83</v>
      </c>
      <c r="K491" s="276">
        <f t="shared" si="7"/>
        <v>3.17</v>
      </c>
      <c r="L491" s="335"/>
      <c r="N491" s="288"/>
      <c r="O491" s="287"/>
      <c r="P491" s="287"/>
      <c r="Q491" s="287"/>
    </row>
    <row r="492" spans="1:17" ht="13.8">
      <c r="A492" s="275" t="s">
        <v>2824</v>
      </c>
      <c r="B492" s="275" t="s">
        <v>3190</v>
      </c>
      <c r="C492" s="275" t="s">
        <v>3412</v>
      </c>
      <c r="D492" s="275" t="s">
        <v>3056</v>
      </c>
      <c r="E492" s="275" t="s">
        <v>2802</v>
      </c>
      <c r="F492" s="278">
        <v>34501</v>
      </c>
      <c r="G492" s="275" t="s">
        <v>2803</v>
      </c>
      <c r="H492" s="276">
        <v>10.5</v>
      </c>
      <c r="I492" s="276">
        <v>61.57</v>
      </c>
      <c r="J492" s="276">
        <v>8.33</v>
      </c>
      <c r="K492" s="276">
        <f t="shared" si="7"/>
        <v>2.17</v>
      </c>
      <c r="L492" s="335"/>
      <c r="N492" s="288"/>
      <c r="O492" s="287"/>
      <c r="P492" s="287"/>
      <c r="Q492" s="287"/>
    </row>
    <row r="493" spans="1:17" ht="13.8">
      <c r="A493" s="275" t="s">
        <v>2811</v>
      </c>
      <c r="B493" s="275" t="s">
        <v>4014</v>
      </c>
      <c r="C493" s="275" t="s">
        <v>3411</v>
      </c>
      <c r="D493" s="275" t="s">
        <v>3056</v>
      </c>
      <c r="E493" s="275" t="s">
        <v>2802</v>
      </c>
      <c r="F493" s="278">
        <v>34534</v>
      </c>
      <c r="G493" s="275" t="s">
        <v>2803</v>
      </c>
      <c r="H493" s="276">
        <v>10.7</v>
      </c>
      <c r="I493" s="276">
        <v>53.4</v>
      </c>
      <c r="J493" s="276">
        <v>8.31</v>
      </c>
      <c r="K493" s="276">
        <f t="shared" si="7"/>
        <v>2.3899999999999988</v>
      </c>
      <c r="L493" s="335"/>
      <c r="N493" s="288"/>
      <c r="O493" s="287"/>
      <c r="P493" s="287"/>
      <c r="Q493" s="287"/>
    </row>
    <row r="494" spans="1:17" ht="13.8">
      <c r="A494" s="275" t="s">
        <v>2850</v>
      </c>
      <c r="B494" s="275" t="s">
        <v>3361</v>
      </c>
      <c r="C494" s="275" t="s">
        <v>3410</v>
      </c>
      <c r="D494" s="275" t="s">
        <v>3056</v>
      </c>
      <c r="E494" s="275" t="s">
        <v>2802</v>
      </c>
      <c r="F494" s="278">
        <v>34614</v>
      </c>
      <c r="G494" s="275" t="s">
        <v>2803</v>
      </c>
      <c r="H494" s="276">
        <v>11.87</v>
      </c>
      <c r="I494" s="276">
        <v>50</v>
      </c>
      <c r="J494" s="276">
        <v>8.41</v>
      </c>
      <c r="K494" s="276">
        <f t="shared" si="7"/>
        <v>3.4599999999999991</v>
      </c>
      <c r="L494" s="335"/>
      <c r="N494" s="288"/>
      <c r="O494" s="287"/>
      <c r="P494" s="287"/>
      <c r="Q494" s="287"/>
    </row>
    <row r="495" spans="1:17" ht="13.8">
      <c r="A495" s="275" t="s">
        <v>2808</v>
      </c>
      <c r="B495" s="275" t="s">
        <v>3409</v>
      </c>
      <c r="C495" s="275" t="s">
        <v>3408</v>
      </c>
      <c r="D495" s="275" t="s">
        <v>3056</v>
      </c>
      <c r="E495" s="275" t="s">
        <v>2802</v>
      </c>
      <c r="F495" s="278">
        <v>34660</v>
      </c>
      <c r="G495" s="275" t="s">
        <v>2803</v>
      </c>
      <c r="H495" s="276">
        <v>12.12</v>
      </c>
      <c r="I495" s="276">
        <v>48.21</v>
      </c>
      <c r="J495" s="276">
        <v>8.85</v>
      </c>
      <c r="K495" s="276">
        <f t="shared" si="7"/>
        <v>3.2699999999999996</v>
      </c>
      <c r="L495" s="335"/>
      <c r="N495" s="288"/>
      <c r="O495" s="287"/>
      <c r="P495" s="287"/>
      <c r="Q495" s="287"/>
    </row>
    <row r="496" spans="1:17" ht="13.8">
      <c r="A496" s="275" t="s">
        <v>2804</v>
      </c>
      <c r="B496" s="275" t="s">
        <v>4014</v>
      </c>
      <c r="C496" s="275" t="s">
        <v>3407</v>
      </c>
      <c r="D496" s="275" t="s">
        <v>3056</v>
      </c>
      <c r="E496" s="275" t="s">
        <v>2802</v>
      </c>
      <c r="F496" s="278">
        <v>34669</v>
      </c>
      <c r="G496" s="275" t="s">
        <v>2803</v>
      </c>
      <c r="H496" s="276">
        <v>11</v>
      </c>
      <c r="I496" s="276">
        <v>53.2</v>
      </c>
      <c r="J496" s="276">
        <v>8.85</v>
      </c>
      <c r="K496" s="276">
        <f t="shared" si="7"/>
        <v>2.1500000000000004</v>
      </c>
      <c r="L496" s="335"/>
      <c r="N496" s="288"/>
      <c r="O496" s="287"/>
      <c r="P496" s="287"/>
      <c r="Q496" s="287"/>
    </row>
    <row r="497" spans="1:17" ht="13.8">
      <c r="A497" s="275" t="s">
        <v>2809</v>
      </c>
      <c r="B497" s="275" t="s">
        <v>2810</v>
      </c>
      <c r="C497" s="275" t="s">
        <v>3405</v>
      </c>
      <c r="D497" s="275" t="s">
        <v>3056</v>
      </c>
      <c r="E497" s="275" t="s">
        <v>2802</v>
      </c>
      <c r="F497" s="278">
        <v>34676</v>
      </c>
      <c r="G497" s="275" t="s">
        <v>2803</v>
      </c>
      <c r="H497" s="276">
        <v>11.7</v>
      </c>
      <c r="I497" s="276">
        <v>53.89</v>
      </c>
      <c r="J497" s="276">
        <v>8.85</v>
      </c>
      <c r="K497" s="276">
        <f t="shared" si="7"/>
        <v>2.8499999999999996</v>
      </c>
      <c r="L497" s="335"/>
      <c r="N497" s="288"/>
      <c r="O497" s="287"/>
      <c r="P497" s="287"/>
      <c r="Q497" s="287"/>
    </row>
    <row r="498" spans="1:17" ht="13.8">
      <c r="A498" s="275" t="s">
        <v>2809</v>
      </c>
      <c r="B498" s="275" t="s">
        <v>2854</v>
      </c>
      <c r="C498" s="275" t="s">
        <v>3406</v>
      </c>
      <c r="D498" s="275" t="s">
        <v>3056</v>
      </c>
      <c r="E498" s="275" t="s">
        <v>2802</v>
      </c>
      <c r="F498" s="278">
        <v>34676</v>
      </c>
      <c r="G498" s="275" t="s">
        <v>2803</v>
      </c>
      <c r="H498" s="276">
        <v>11.5</v>
      </c>
      <c r="I498" s="276">
        <v>51.93</v>
      </c>
      <c r="J498" s="276">
        <v>8.85</v>
      </c>
      <c r="K498" s="276">
        <f t="shared" si="7"/>
        <v>2.6500000000000004</v>
      </c>
      <c r="L498" s="335"/>
      <c r="N498" s="288"/>
      <c r="O498" s="287"/>
      <c r="P498" s="287"/>
      <c r="Q498" s="287"/>
    </row>
    <row r="499" spans="1:17" ht="13.8">
      <c r="A499" s="275" t="s">
        <v>2801</v>
      </c>
      <c r="B499" s="275" t="s">
        <v>2849</v>
      </c>
      <c r="C499" s="275" t="s">
        <v>3404</v>
      </c>
      <c r="D499" s="275" t="s">
        <v>3056</v>
      </c>
      <c r="E499" s="275" t="s">
        <v>2802</v>
      </c>
      <c r="F499" s="278">
        <v>34680</v>
      </c>
      <c r="G499" s="275" t="s">
        <v>2803</v>
      </c>
      <c r="H499" s="276">
        <v>11.82</v>
      </c>
      <c r="I499" s="276">
        <v>47.9</v>
      </c>
      <c r="J499" s="276">
        <v>8.85</v>
      </c>
      <c r="K499" s="276">
        <f t="shared" si="7"/>
        <v>2.9700000000000006</v>
      </c>
      <c r="L499" s="335"/>
      <c r="N499" s="288"/>
      <c r="O499" s="287"/>
      <c r="P499" s="287"/>
      <c r="Q499" s="287"/>
    </row>
    <row r="500" spans="1:17" ht="13.8">
      <c r="A500" s="275" t="s">
        <v>2809</v>
      </c>
      <c r="B500" s="275" t="s">
        <v>2853</v>
      </c>
      <c r="C500" s="275" t="s">
        <v>3403</v>
      </c>
      <c r="D500" s="275" t="s">
        <v>3056</v>
      </c>
      <c r="E500" s="275" t="s">
        <v>2802</v>
      </c>
      <c r="F500" s="278">
        <v>34687</v>
      </c>
      <c r="G500" s="275" t="s">
        <v>2803</v>
      </c>
      <c r="H500" s="276">
        <v>11.5</v>
      </c>
      <c r="I500" s="276">
        <v>55.43</v>
      </c>
      <c r="J500" s="276">
        <v>8.89</v>
      </c>
      <c r="K500" s="276">
        <f t="shared" si="7"/>
        <v>2.6099999999999994</v>
      </c>
      <c r="L500" s="335"/>
      <c r="N500" s="288"/>
      <c r="O500" s="287"/>
      <c r="P500" s="287"/>
      <c r="Q500" s="287"/>
    </row>
    <row r="501" spans="1:17" ht="13.8">
      <c r="A501" s="275" t="s">
        <v>2811</v>
      </c>
      <c r="B501" s="275" t="s">
        <v>2812</v>
      </c>
      <c r="C501" s="275" t="s">
        <v>3402</v>
      </c>
      <c r="D501" s="275" t="s">
        <v>3056</v>
      </c>
      <c r="E501" s="275" t="s">
        <v>2802</v>
      </c>
      <c r="F501" s="278">
        <v>34808</v>
      </c>
      <c r="G501" s="275" t="s">
        <v>2803</v>
      </c>
      <c r="H501" s="276">
        <v>11</v>
      </c>
      <c r="I501" s="276">
        <v>39.85</v>
      </c>
      <c r="J501" s="276">
        <v>8.3699999999999992</v>
      </c>
      <c r="K501" s="276">
        <f t="shared" si="7"/>
        <v>2.6300000000000008</v>
      </c>
      <c r="L501" s="335"/>
      <c r="N501" s="288"/>
      <c r="O501" s="287"/>
      <c r="P501" s="287"/>
      <c r="Q501" s="287"/>
    </row>
    <row r="502" spans="1:17" ht="13.8">
      <c r="A502" s="275" t="s">
        <v>2809</v>
      </c>
      <c r="B502" s="275" t="s">
        <v>4025</v>
      </c>
      <c r="C502" s="275" t="s">
        <v>3401</v>
      </c>
      <c r="D502" s="275" t="s">
        <v>3056</v>
      </c>
      <c r="E502" s="275" t="s">
        <v>2802</v>
      </c>
      <c r="F502" s="278">
        <v>34953</v>
      </c>
      <c r="G502" s="275" t="s">
        <v>2803</v>
      </c>
      <c r="H502" s="276">
        <v>11.3</v>
      </c>
      <c r="I502" s="276">
        <v>53.96</v>
      </c>
      <c r="J502" s="276">
        <v>7.69</v>
      </c>
      <c r="K502" s="276">
        <f t="shared" si="7"/>
        <v>3.6100000000000003</v>
      </c>
      <c r="L502" s="335"/>
      <c r="N502" s="288"/>
      <c r="O502" s="287"/>
      <c r="P502" s="287"/>
      <c r="Q502" s="287"/>
    </row>
    <row r="503" spans="1:17" ht="13.8">
      <c r="A503" s="275" t="s">
        <v>2811</v>
      </c>
      <c r="B503" s="275" t="s">
        <v>4014</v>
      </c>
      <c r="C503" s="275" t="s">
        <v>3400</v>
      </c>
      <c r="D503" s="275" t="s">
        <v>3056</v>
      </c>
      <c r="E503" s="275" t="s">
        <v>2802</v>
      </c>
      <c r="F503" s="278">
        <v>34957</v>
      </c>
      <c r="G503" s="275" t="s">
        <v>2803</v>
      </c>
      <c r="H503" s="276">
        <v>10.4</v>
      </c>
      <c r="I503" s="276">
        <v>54.7</v>
      </c>
      <c r="J503" s="276">
        <v>7.84</v>
      </c>
      <c r="K503" s="276">
        <f t="shared" si="7"/>
        <v>2.5600000000000005</v>
      </c>
      <c r="L503" s="335"/>
      <c r="N503" s="288"/>
      <c r="O503" s="287"/>
      <c r="P503" s="287"/>
      <c r="Q503" s="287"/>
    </row>
    <row r="504" spans="1:17" ht="13.8">
      <c r="A504" s="275" t="s">
        <v>2871</v>
      </c>
      <c r="B504" s="275" t="s">
        <v>3079</v>
      </c>
      <c r="C504" s="275" t="s">
        <v>3399</v>
      </c>
      <c r="D504" s="275" t="s">
        <v>3056</v>
      </c>
      <c r="E504" s="275" t="s">
        <v>2802</v>
      </c>
      <c r="F504" s="278">
        <v>34971</v>
      </c>
      <c r="G504" s="275" t="s">
        <v>2803</v>
      </c>
      <c r="H504" s="276">
        <v>11.5</v>
      </c>
      <c r="I504" s="276">
        <v>51.61</v>
      </c>
      <c r="J504" s="276">
        <v>7.84</v>
      </c>
      <c r="K504" s="276">
        <f t="shared" si="7"/>
        <v>3.66</v>
      </c>
      <c r="L504" s="335"/>
      <c r="N504" s="288"/>
      <c r="O504" s="287"/>
      <c r="P504" s="287"/>
      <c r="Q504" s="287"/>
    </row>
    <row r="505" spans="1:17" ht="13.8">
      <c r="A505" s="275" t="s">
        <v>2830</v>
      </c>
      <c r="B505" s="275" t="s">
        <v>3157</v>
      </c>
      <c r="C505" s="275" t="s">
        <v>3398</v>
      </c>
      <c r="D505" s="275" t="s">
        <v>3056</v>
      </c>
      <c r="E505" s="275" t="s">
        <v>2802</v>
      </c>
      <c r="F505" s="278">
        <v>34985</v>
      </c>
      <c r="G505" s="275" t="s">
        <v>2803</v>
      </c>
      <c r="H505" s="276">
        <v>10.76</v>
      </c>
      <c r="I505" s="276">
        <v>51.16</v>
      </c>
      <c r="J505" s="276">
        <v>7.84</v>
      </c>
      <c r="K505" s="276">
        <f t="shared" si="7"/>
        <v>2.92</v>
      </c>
      <c r="L505" s="335"/>
      <c r="N505" s="288"/>
      <c r="O505" s="287"/>
      <c r="P505" s="287"/>
      <c r="Q505" s="287"/>
    </row>
    <row r="506" spans="1:17" ht="13.8">
      <c r="A506" s="275" t="s">
        <v>2861</v>
      </c>
      <c r="B506" s="275" t="s">
        <v>3328</v>
      </c>
      <c r="C506" s="275" t="s">
        <v>3397</v>
      </c>
      <c r="D506" s="275" t="s">
        <v>3056</v>
      </c>
      <c r="E506" s="275" t="s">
        <v>2802</v>
      </c>
      <c r="F506" s="278">
        <v>35010</v>
      </c>
      <c r="G506" s="275" t="s">
        <v>2803</v>
      </c>
      <c r="H506" s="276">
        <v>12.5</v>
      </c>
      <c r="I506" s="276">
        <v>54.19</v>
      </c>
      <c r="J506" s="276">
        <v>7.62</v>
      </c>
      <c r="K506" s="276">
        <f t="shared" si="7"/>
        <v>4.88</v>
      </c>
      <c r="L506" s="335"/>
      <c r="N506" s="288"/>
      <c r="O506" s="287"/>
      <c r="P506" s="287"/>
      <c r="Q506" s="287"/>
    </row>
    <row r="507" spans="1:17" ht="13.8">
      <c r="A507" s="275" t="s">
        <v>2801</v>
      </c>
      <c r="B507" s="275" t="s">
        <v>3139</v>
      </c>
      <c r="C507" s="275" t="s">
        <v>3395</v>
      </c>
      <c r="D507" s="275" t="s">
        <v>3056</v>
      </c>
      <c r="E507" s="275" t="s">
        <v>2802</v>
      </c>
      <c r="F507" s="278">
        <v>35011</v>
      </c>
      <c r="G507" s="275" t="s">
        <v>2803</v>
      </c>
      <c r="H507" s="276">
        <v>11.3</v>
      </c>
      <c r="I507" s="276">
        <v>57.04</v>
      </c>
      <c r="J507" s="276">
        <v>7.62</v>
      </c>
      <c r="K507" s="276">
        <f t="shared" si="7"/>
        <v>3.6800000000000006</v>
      </c>
      <c r="L507" s="335"/>
      <c r="N507" s="288"/>
      <c r="O507" s="287"/>
      <c r="P507" s="287"/>
      <c r="Q507" s="287"/>
    </row>
    <row r="508" spans="1:17" ht="13.8">
      <c r="A508" s="275" t="s">
        <v>2801</v>
      </c>
      <c r="B508" s="275" t="s">
        <v>4021</v>
      </c>
      <c r="C508" s="275" t="s">
        <v>3396</v>
      </c>
      <c r="D508" s="275" t="s">
        <v>3056</v>
      </c>
      <c r="E508" s="275" t="s">
        <v>2802</v>
      </c>
      <c r="F508" s="278">
        <v>35011</v>
      </c>
      <c r="G508" s="275" t="s">
        <v>2803</v>
      </c>
      <c r="H508" s="276">
        <v>11.1</v>
      </c>
      <c r="I508" s="276">
        <v>51.08</v>
      </c>
      <c r="J508" s="276">
        <v>7.62</v>
      </c>
      <c r="K508" s="276">
        <f t="shared" si="7"/>
        <v>3.4799999999999995</v>
      </c>
      <c r="L508" s="335"/>
      <c r="N508" s="288"/>
      <c r="O508" s="287"/>
      <c r="P508" s="287"/>
      <c r="Q508" s="287"/>
    </row>
    <row r="509" spans="1:17" ht="13.8">
      <c r="A509" s="275" t="s">
        <v>2867</v>
      </c>
      <c r="B509" s="275" t="s">
        <v>2868</v>
      </c>
      <c r="C509" s="275" t="s">
        <v>3394</v>
      </c>
      <c r="D509" s="275" t="s">
        <v>3056</v>
      </c>
      <c r="E509" s="275" t="s">
        <v>2802</v>
      </c>
      <c r="F509" s="278">
        <v>35020</v>
      </c>
      <c r="G509" s="275" t="s">
        <v>2803</v>
      </c>
      <c r="H509" s="276">
        <v>10.9</v>
      </c>
      <c r="I509" s="276">
        <v>43.13</v>
      </c>
      <c r="J509" s="276">
        <v>7.47</v>
      </c>
      <c r="K509" s="276">
        <f t="shared" si="7"/>
        <v>3.4300000000000006</v>
      </c>
      <c r="L509" s="335"/>
      <c r="N509" s="288"/>
      <c r="O509" s="287"/>
      <c r="P509" s="287"/>
      <c r="Q509" s="287"/>
    </row>
    <row r="510" spans="1:17" ht="13.8">
      <c r="A510" s="275" t="s">
        <v>2805</v>
      </c>
      <c r="B510" s="275" t="s">
        <v>2829</v>
      </c>
      <c r="C510" s="275" t="s">
        <v>3393</v>
      </c>
      <c r="D510" s="275" t="s">
        <v>3056</v>
      </c>
      <c r="E510" s="275" t="s">
        <v>2802</v>
      </c>
      <c r="F510" s="278">
        <v>35023</v>
      </c>
      <c r="G510" s="275" t="s">
        <v>2803</v>
      </c>
      <c r="H510" s="276">
        <v>11.4</v>
      </c>
      <c r="I510" s="276">
        <v>45.2</v>
      </c>
      <c r="J510" s="276">
        <v>7.47</v>
      </c>
      <c r="K510" s="276">
        <f t="shared" si="7"/>
        <v>3.9300000000000006</v>
      </c>
      <c r="L510" s="335"/>
      <c r="N510" s="288"/>
      <c r="O510" s="287"/>
      <c r="P510" s="287"/>
      <c r="Q510" s="287"/>
    </row>
    <row r="511" spans="1:17" ht="13.8">
      <c r="A511" s="275" t="s">
        <v>3392</v>
      </c>
      <c r="B511" s="275" t="s">
        <v>4029</v>
      </c>
      <c r="C511" s="275" t="s">
        <v>3391</v>
      </c>
      <c r="D511" s="275" t="s">
        <v>3056</v>
      </c>
      <c r="E511" s="275" t="s">
        <v>2802</v>
      </c>
      <c r="F511" s="278">
        <v>35030</v>
      </c>
      <c r="G511" s="275" t="s">
        <v>2803</v>
      </c>
      <c r="H511" s="276">
        <v>13.6</v>
      </c>
      <c r="I511" s="276">
        <v>46.99</v>
      </c>
      <c r="J511" s="276">
        <v>7.47</v>
      </c>
      <c r="K511" s="276">
        <f t="shared" si="7"/>
        <v>6.13</v>
      </c>
      <c r="L511" s="335"/>
      <c r="N511" s="288"/>
      <c r="O511" s="287"/>
      <c r="P511" s="287"/>
      <c r="Q511" s="287"/>
    </row>
    <row r="512" spans="1:17" ht="13.8">
      <c r="A512" s="275" t="s">
        <v>2809</v>
      </c>
      <c r="B512" s="275" t="s">
        <v>4023</v>
      </c>
      <c r="C512" s="275" t="s">
        <v>3390</v>
      </c>
      <c r="D512" s="275" t="s">
        <v>3056</v>
      </c>
      <c r="E512" s="275" t="s">
        <v>2802</v>
      </c>
      <c r="F512" s="278">
        <v>35047</v>
      </c>
      <c r="G512" s="275" t="s">
        <v>2803</v>
      </c>
      <c r="H512" s="276">
        <v>11.3</v>
      </c>
      <c r="I512" s="276">
        <v>54.99</v>
      </c>
      <c r="J512" s="276">
        <v>7.47</v>
      </c>
      <c r="K512" s="276">
        <f t="shared" si="7"/>
        <v>3.830000000000001</v>
      </c>
      <c r="L512" s="335"/>
      <c r="N512" s="288"/>
      <c r="O512" s="287"/>
      <c r="P512" s="287"/>
      <c r="Q512" s="287"/>
    </row>
    <row r="513" spans="1:17" ht="13.8">
      <c r="A513" s="275" t="s">
        <v>2844</v>
      </c>
      <c r="B513" s="275" t="s">
        <v>2864</v>
      </c>
      <c r="C513" s="275" t="s">
        <v>3389</v>
      </c>
      <c r="D513" s="275" t="s">
        <v>3056</v>
      </c>
      <c r="E513" s="275" t="s">
        <v>2802</v>
      </c>
      <c r="F513" s="278">
        <v>35053</v>
      </c>
      <c r="G513" s="275" t="s">
        <v>2803</v>
      </c>
      <c r="H513" s="276">
        <v>11.6</v>
      </c>
      <c r="I513" s="276">
        <v>48</v>
      </c>
      <c r="J513" s="276">
        <v>7.44</v>
      </c>
      <c r="K513" s="276">
        <f t="shared" si="7"/>
        <v>4.1599999999999993</v>
      </c>
      <c r="L513" s="335"/>
      <c r="N513" s="288"/>
      <c r="O513" s="287"/>
      <c r="P513" s="287"/>
      <c r="Q513" s="287"/>
    </row>
    <row r="514" spans="1:17" ht="13.8">
      <c r="A514" s="275" t="s">
        <v>2871</v>
      </c>
      <c r="B514" s="275" t="s">
        <v>3277</v>
      </c>
      <c r="C514" s="275" t="s">
        <v>3388</v>
      </c>
      <c r="D514" s="275" t="s">
        <v>3056</v>
      </c>
      <c r="E514" s="275" t="s">
        <v>2802</v>
      </c>
      <c r="F514" s="278">
        <v>35095</v>
      </c>
      <c r="G514" s="275" t="s">
        <v>2803</v>
      </c>
      <c r="H514" s="276">
        <v>11.3</v>
      </c>
      <c r="I514" s="276">
        <v>59.16</v>
      </c>
      <c r="J514" s="276">
        <v>7.25</v>
      </c>
      <c r="K514" s="276">
        <f t="shared" si="7"/>
        <v>4.0500000000000007</v>
      </c>
      <c r="L514" s="335"/>
      <c r="N514" s="288"/>
      <c r="O514" s="287"/>
      <c r="P514" s="287"/>
      <c r="Q514" s="287"/>
    </row>
    <row r="515" spans="1:17" ht="13.8">
      <c r="A515" s="275" t="s">
        <v>2851</v>
      </c>
      <c r="B515" s="275" t="s">
        <v>2876</v>
      </c>
      <c r="C515" s="275" t="s">
        <v>3387</v>
      </c>
      <c r="D515" s="275" t="s">
        <v>3056</v>
      </c>
      <c r="E515" s="275" t="s">
        <v>2802</v>
      </c>
      <c r="F515" s="278">
        <v>35135</v>
      </c>
      <c r="G515" s="275" t="s">
        <v>2803</v>
      </c>
      <c r="H515" s="276">
        <v>11.6</v>
      </c>
      <c r="I515" s="276">
        <v>29.71</v>
      </c>
      <c r="J515" s="276">
        <v>7.21</v>
      </c>
      <c r="K515" s="276">
        <f t="shared" si="7"/>
        <v>4.3899999999999997</v>
      </c>
      <c r="L515" s="335"/>
      <c r="N515" s="288"/>
      <c r="O515" s="287"/>
      <c r="P515" s="287"/>
      <c r="Q515" s="287"/>
    </row>
    <row r="516" spans="1:17" ht="13.8">
      <c r="A516" s="275" t="s">
        <v>2801</v>
      </c>
      <c r="B516" s="275" t="s">
        <v>3089</v>
      </c>
      <c r="C516" s="275" t="s">
        <v>3386</v>
      </c>
      <c r="D516" s="275" t="s">
        <v>3056</v>
      </c>
      <c r="E516" s="275" t="s">
        <v>2802</v>
      </c>
      <c r="F516" s="278">
        <v>35158</v>
      </c>
      <c r="G516" s="275" t="s">
        <v>2803</v>
      </c>
      <c r="H516" s="276">
        <v>11.13</v>
      </c>
      <c r="I516" s="276">
        <v>58.08</v>
      </c>
      <c r="J516" s="276">
        <v>7.35</v>
      </c>
      <c r="K516" s="276">
        <f t="shared" si="7"/>
        <v>3.7800000000000011</v>
      </c>
      <c r="L516" s="335"/>
      <c r="N516" s="288"/>
      <c r="O516" s="287"/>
      <c r="P516" s="287"/>
      <c r="Q516" s="287"/>
    </row>
    <row r="517" spans="1:17" ht="13.8">
      <c r="A517" s="275" t="s">
        <v>2813</v>
      </c>
      <c r="B517" s="275" t="s">
        <v>3385</v>
      </c>
      <c r="C517" s="275" t="s">
        <v>3384</v>
      </c>
      <c r="D517" s="275" t="s">
        <v>3056</v>
      </c>
      <c r="E517" s="275" t="s">
        <v>2802</v>
      </c>
      <c r="F517" s="278">
        <v>35170</v>
      </c>
      <c r="G517" s="275" t="s">
        <v>2803</v>
      </c>
      <c r="H517" s="276">
        <v>10.5</v>
      </c>
      <c r="I517" s="276">
        <v>49.29</v>
      </c>
      <c r="J517" s="276">
        <v>7.72</v>
      </c>
      <c r="K517" s="276">
        <f t="shared" si="7"/>
        <v>2.7800000000000002</v>
      </c>
      <c r="L517" s="335"/>
      <c r="N517" s="288"/>
      <c r="O517" s="287"/>
      <c r="P517" s="287"/>
      <c r="Q517" s="287"/>
    </row>
    <row r="518" spans="1:17" ht="13.8">
      <c r="A518" s="275" t="s">
        <v>2857</v>
      </c>
      <c r="B518" s="275" t="s">
        <v>3129</v>
      </c>
      <c r="C518" s="275" t="s">
        <v>3383</v>
      </c>
      <c r="D518" s="275" t="s">
        <v>3056</v>
      </c>
      <c r="E518" s="275" t="s">
        <v>2802</v>
      </c>
      <c r="F518" s="278">
        <v>35195</v>
      </c>
      <c r="G518" s="275" t="s">
        <v>2803</v>
      </c>
      <c r="H518" s="276">
        <v>11</v>
      </c>
      <c r="I518" s="276">
        <v>48.16</v>
      </c>
      <c r="J518" s="276">
        <v>7.72</v>
      </c>
      <c r="K518" s="276">
        <f t="shared" ref="K518:K581" si="8">H518-J518</f>
        <v>3.2800000000000002</v>
      </c>
      <c r="L518" s="335"/>
      <c r="N518" s="288"/>
      <c r="O518" s="287"/>
      <c r="P518" s="287"/>
      <c r="Q518" s="287"/>
    </row>
    <row r="519" spans="1:17" ht="13.8">
      <c r="A519" s="275" t="s">
        <v>2811</v>
      </c>
      <c r="B519" s="275" t="s">
        <v>2855</v>
      </c>
      <c r="C519" s="275" t="s">
        <v>3382</v>
      </c>
      <c r="D519" s="275" t="s">
        <v>3056</v>
      </c>
      <c r="E519" s="275" t="s">
        <v>2802</v>
      </c>
      <c r="F519" s="278">
        <v>35341</v>
      </c>
      <c r="G519" s="275" t="s">
        <v>2803</v>
      </c>
      <c r="H519" s="276">
        <v>10</v>
      </c>
      <c r="I519" s="276">
        <v>50.75</v>
      </c>
      <c r="J519" s="276">
        <v>7.84</v>
      </c>
      <c r="K519" s="276">
        <f t="shared" si="8"/>
        <v>2.16</v>
      </c>
      <c r="L519" s="335"/>
      <c r="N519" s="288"/>
      <c r="O519" s="287"/>
      <c r="P519" s="287"/>
      <c r="Q519" s="287"/>
    </row>
    <row r="520" spans="1:17" ht="13.8">
      <c r="A520" s="275" t="s">
        <v>2878</v>
      </c>
      <c r="B520" s="275" t="s">
        <v>3309</v>
      </c>
      <c r="C520" s="275" t="s">
        <v>3381</v>
      </c>
      <c r="D520" s="275" t="s">
        <v>3056</v>
      </c>
      <c r="E520" s="275" t="s">
        <v>2802</v>
      </c>
      <c r="F520" s="278">
        <v>35367</v>
      </c>
      <c r="G520" s="275" t="s">
        <v>2803</v>
      </c>
      <c r="H520" s="276">
        <v>11.3</v>
      </c>
      <c r="I520" s="276">
        <v>35.04</v>
      </c>
      <c r="J520" s="276">
        <v>8.02</v>
      </c>
      <c r="K520" s="276">
        <f t="shared" si="8"/>
        <v>3.2800000000000011</v>
      </c>
      <c r="L520" s="335"/>
      <c r="N520" s="288"/>
      <c r="O520" s="287"/>
      <c r="P520" s="287"/>
      <c r="Q520" s="287"/>
    </row>
    <row r="521" spans="1:17" ht="13.8">
      <c r="A521" s="275" t="s">
        <v>2809</v>
      </c>
      <c r="B521" s="275" t="s">
        <v>4023</v>
      </c>
      <c r="C521" s="275" t="s">
        <v>3380</v>
      </c>
      <c r="D521" s="275" t="s">
        <v>3056</v>
      </c>
      <c r="E521" s="275" t="s">
        <v>2802</v>
      </c>
      <c r="F521" s="278">
        <v>35395</v>
      </c>
      <c r="G521" s="275" t="s">
        <v>2803</v>
      </c>
      <c r="H521" s="276">
        <v>11.3</v>
      </c>
      <c r="I521" s="276">
        <v>55</v>
      </c>
      <c r="J521" s="276">
        <v>7.78</v>
      </c>
      <c r="K521" s="276">
        <f t="shared" si="8"/>
        <v>3.5200000000000005</v>
      </c>
      <c r="L521" s="335"/>
      <c r="N521" s="288"/>
      <c r="O521" s="287"/>
      <c r="P521" s="287"/>
      <c r="Q521" s="287"/>
    </row>
    <row r="522" spans="1:17" ht="13.8">
      <c r="A522" s="275" t="s">
        <v>2856</v>
      </c>
      <c r="B522" s="275" t="s">
        <v>3292</v>
      </c>
      <c r="C522" s="275" t="s">
        <v>3379</v>
      </c>
      <c r="D522" s="275" t="s">
        <v>3056</v>
      </c>
      <c r="E522" s="275" t="s">
        <v>2802</v>
      </c>
      <c r="F522" s="278">
        <v>35396</v>
      </c>
      <c r="G522" s="275" t="s">
        <v>2803</v>
      </c>
      <c r="H522" s="276">
        <v>11.3</v>
      </c>
      <c r="I522" s="276">
        <v>41.29</v>
      </c>
      <c r="J522" s="276">
        <v>7.78</v>
      </c>
      <c r="K522" s="276">
        <f t="shared" si="8"/>
        <v>3.5200000000000005</v>
      </c>
      <c r="L522" s="335"/>
      <c r="N522" s="288"/>
      <c r="O522" s="287"/>
      <c r="P522" s="287"/>
      <c r="Q522" s="287"/>
    </row>
    <row r="523" spans="1:17" ht="13.8">
      <c r="A523" s="275" t="s">
        <v>2807</v>
      </c>
      <c r="B523" s="275" t="s">
        <v>3103</v>
      </c>
      <c r="C523" s="275" t="s">
        <v>3378</v>
      </c>
      <c r="D523" s="275" t="s">
        <v>3056</v>
      </c>
      <c r="E523" s="275" t="s">
        <v>2802</v>
      </c>
      <c r="F523" s="278">
        <v>35398</v>
      </c>
      <c r="G523" s="275" t="s">
        <v>2803</v>
      </c>
      <c r="H523" s="276">
        <v>11</v>
      </c>
      <c r="I523" s="276">
        <v>47.16</v>
      </c>
      <c r="J523" s="276">
        <v>7.78</v>
      </c>
      <c r="K523" s="276">
        <f t="shared" si="8"/>
        <v>3.2199999999999998</v>
      </c>
      <c r="L523" s="335"/>
      <c r="N523" s="288"/>
      <c r="O523" s="287"/>
      <c r="P523" s="287"/>
      <c r="Q523" s="287"/>
    </row>
    <row r="524" spans="1:17" ht="13.8">
      <c r="A524" s="275" t="s">
        <v>2818</v>
      </c>
      <c r="B524" s="275" t="s">
        <v>2865</v>
      </c>
      <c r="C524" s="275" t="s">
        <v>3377</v>
      </c>
      <c r="D524" s="275" t="s">
        <v>3056</v>
      </c>
      <c r="E524" s="275" t="s">
        <v>2802</v>
      </c>
      <c r="F524" s="278">
        <v>35411</v>
      </c>
      <c r="G524" s="275" t="s">
        <v>2803</v>
      </c>
      <c r="H524" s="276">
        <v>11.96</v>
      </c>
      <c r="I524" s="276">
        <v>47.98</v>
      </c>
      <c r="J524" s="276">
        <v>7.78</v>
      </c>
      <c r="K524" s="276">
        <f t="shared" si="8"/>
        <v>4.1800000000000006</v>
      </c>
      <c r="L524" s="335"/>
      <c r="N524" s="288"/>
      <c r="O524" s="287"/>
      <c r="P524" s="287"/>
      <c r="Q524" s="287"/>
    </row>
    <row r="525" spans="1:17" ht="13.8">
      <c r="A525" s="275" t="s">
        <v>2873</v>
      </c>
      <c r="B525" s="275" t="s">
        <v>3328</v>
      </c>
      <c r="C525" s="275" t="s">
        <v>3376</v>
      </c>
      <c r="D525" s="275" t="s">
        <v>3056</v>
      </c>
      <c r="E525" s="275" t="s">
        <v>2802</v>
      </c>
      <c r="F525" s="278">
        <v>35416</v>
      </c>
      <c r="G525" s="275" t="s">
        <v>2803</v>
      </c>
      <c r="H525" s="276">
        <v>11.5</v>
      </c>
      <c r="I525" s="276">
        <v>49.6</v>
      </c>
      <c r="J525" s="276">
        <v>7.5</v>
      </c>
      <c r="K525" s="276">
        <f t="shared" si="8"/>
        <v>4</v>
      </c>
      <c r="L525" s="335"/>
      <c r="N525" s="288"/>
      <c r="O525" s="287"/>
      <c r="P525" s="287"/>
      <c r="Q525" s="287"/>
    </row>
    <row r="526" spans="1:17" ht="13.8">
      <c r="A526" s="275" t="s">
        <v>2860</v>
      </c>
      <c r="B526" s="275" t="s">
        <v>3063</v>
      </c>
      <c r="C526" s="275" t="s">
        <v>3375</v>
      </c>
      <c r="D526" s="275" t="s">
        <v>3056</v>
      </c>
      <c r="E526" s="275" t="s">
        <v>2802</v>
      </c>
      <c r="F526" s="278">
        <v>35452</v>
      </c>
      <c r="G526" s="275" t="s">
        <v>2803</v>
      </c>
      <c r="H526" s="276">
        <v>11.3</v>
      </c>
      <c r="I526" s="276">
        <v>33.130000000000003</v>
      </c>
      <c r="J526" s="276">
        <v>7.57</v>
      </c>
      <c r="K526" s="276">
        <f t="shared" si="8"/>
        <v>3.7300000000000004</v>
      </c>
      <c r="L526" s="335"/>
      <c r="N526" s="288"/>
      <c r="O526" s="287"/>
      <c r="P526" s="287"/>
      <c r="Q526" s="287"/>
    </row>
    <row r="527" spans="1:17" ht="13.8">
      <c r="A527" s="275" t="s">
        <v>2822</v>
      </c>
      <c r="B527" s="275" t="s">
        <v>2823</v>
      </c>
      <c r="C527" s="275" t="s">
        <v>3374</v>
      </c>
      <c r="D527" s="275" t="s">
        <v>3056</v>
      </c>
      <c r="E527" s="275" t="s">
        <v>2802</v>
      </c>
      <c r="F527" s="278">
        <v>35461</v>
      </c>
      <c r="G527" s="275" t="s">
        <v>2803</v>
      </c>
      <c r="H527" s="276">
        <v>11.25</v>
      </c>
      <c r="I527" s="276">
        <v>52.79</v>
      </c>
      <c r="J527" s="276">
        <v>7.57</v>
      </c>
      <c r="K527" s="276">
        <f t="shared" si="8"/>
        <v>3.6799999999999997</v>
      </c>
      <c r="L527" s="335"/>
      <c r="N527" s="288"/>
      <c r="O527" s="287"/>
      <c r="P527" s="287"/>
      <c r="Q527" s="287"/>
    </row>
    <row r="528" spans="1:17" ht="13.8">
      <c r="A528" s="275" t="s">
        <v>2809</v>
      </c>
      <c r="B528" s="275" t="s">
        <v>4025</v>
      </c>
      <c r="C528" s="275" t="s">
        <v>3372</v>
      </c>
      <c r="D528" s="275" t="s">
        <v>3056</v>
      </c>
      <c r="E528" s="275" t="s">
        <v>2802</v>
      </c>
      <c r="F528" s="278">
        <v>35474</v>
      </c>
      <c r="G528" s="275" t="s">
        <v>2803</v>
      </c>
      <c r="H528" s="276">
        <v>11.8</v>
      </c>
      <c r="I528" s="276">
        <v>53.35</v>
      </c>
      <c r="J528" s="276">
        <v>7.57</v>
      </c>
      <c r="K528" s="276">
        <f t="shared" si="8"/>
        <v>4.2300000000000004</v>
      </c>
      <c r="L528" s="335"/>
      <c r="N528" s="288"/>
      <c r="O528" s="287"/>
      <c r="P528" s="287"/>
      <c r="Q528" s="287"/>
    </row>
    <row r="529" spans="1:17" ht="13.8">
      <c r="A529" s="275" t="s">
        <v>2858</v>
      </c>
      <c r="B529" s="275" t="s">
        <v>2859</v>
      </c>
      <c r="C529" s="275" t="s">
        <v>3373</v>
      </c>
      <c r="D529" s="275" t="s">
        <v>3056</v>
      </c>
      <c r="E529" s="275" t="s">
        <v>2802</v>
      </c>
      <c r="F529" s="278">
        <v>35474</v>
      </c>
      <c r="G529" s="275" t="s">
        <v>2803</v>
      </c>
      <c r="H529" s="276">
        <v>11</v>
      </c>
      <c r="I529" s="276">
        <v>50.5</v>
      </c>
      <c r="J529" s="276">
        <v>7.57</v>
      </c>
      <c r="K529" s="276">
        <f t="shared" si="8"/>
        <v>3.4299999999999997</v>
      </c>
      <c r="L529" s="335"/>
      <c r="N529" s="288"/>
      <c r="O529" s="287"/>
      <c r="P529" s="287"/>
      <c r="Q529" s="287"/>
    </row>
    <row r="530" spans="1:17" ht="13.8">
      <c r="A530" s="275" t="s">
        <v>2809</v>
      </c>
      <c r="B530" s="275" t="s">
        <v>2853</v>
      </c>
      <c r="C530" s="275" t="s">
        <v>3371</v>
      </c>
      <c r="D530" s="275" t="s">
        <v>3056</v>
      </c>
      <c r="E530" s="275" t="s">
        <v>2802</v>
      </c>
      <c r="F530" s="278">
        <v>35481</v>
      </c>
      <c r="G530" s="275" t="s">
        <v>2803</v>
      </c>
      <c r="H530" s="276">
        <v>11.8</v>
      </c>
      <c r="I530" s="276">
        <v>54.8</v>
      </c>
      <c r="J530" s="276">
        <v>7.77</v>
      </c>
      <c r="K530" s="276">
        <f t="shared" si="8"/>
        <v>4.0300000000000011</v>
      </c>
      <c r="L530" s="335"/>
      <c r="N530" s="288"/>
      <c r="O530" s="287"/>
      <c r="P530" s="287"/>
      <c r="Q530" s="287"/>
    </row>
    <row r="531" spans="1:17" ht="13.8">
      <c r="A531" s="275" t="s">
        <v>2851</v>
      </c>
      <c r="B531" s="275" t="s">
        <v>4030</v>
      </c>
      <c r="C531" s="275" t="s">
        <v>3370</v>
      </c>
      <c r="D531" s="275" t="s">
        <v>3056</v>
      </c>
      <c r="E531" s="275" t="s">
        <v>2802</v>
      </c>
      <c r="F531" s="278">
        <v>35516</v>
      </c>
      <c r="G531" s="275" t="s">
        <v>2803</v>
      </c>
      <c r="H531" s="276">
        <v>10.75</v>
      </c>
      <c r="I531" s="276">
        <v>42.44</v>
      </c>
      <c r="J531" s="276">
        <v>7.64</v>
      </c>
      <c r="K531" s="276">
        <f t="shared" si="8"/>
        <v>3.1100000000000003</v>
      </c>
      <c r="L531" s="335"/>
      <c r="N531" s="288"/>
      <c r="O531" s="287"/>
      <c r="P531" s="287"/>
      <c r="Q531" s="287"/>
    </row>
    <row r="532" spans="1:17" ht="13.8">
      <c r="A532" s="275" t="s">
        <v>2809</v>
      </c>
      <c r="B532" s="275" t="s">
        <v>2854</v>
      </c>
      <c r="C532" s="275" t="s">
        <v>3369</v>
      </c>
      <c r="D532" s="275" t="s">
        <v>3056</v>
      </c>
      <c r="E532" s="275" t="s">
        <v>2802</v>
      </c>
      <c r="F532" s="278">
        <v>35549</v>
      </c>
      <c r="G532" s="275" t="s">
        <v>2803</v>
      </c>
      <c r="H532" s="276">
        <v>11.7</v>
      </c>
      <c r="I532" s="276">
        <v>52</v>
      </c>
      <c r="J532" s="276">
        <v>7.87</v>
      </c>
      <c r="K532" s="276">
        <f t="shared" si="8"/>
        <v>3.8299999999999992</v>
      </c>
      <c r="L532" s="335"/>
      <c r="N532" s="288"/>
      <c r="O532" s="287"/>
      <c r="P532" s="287"/>
      <c r="Q532" s="287"/>
    </row>
    <row r="533" spans="1:17" ht="13.8">
      <c r="A533" s="275" t="s">
        <v>2809</v>
      </c>
      <c r="B533" s="275" t="s">
        <v>2810</v>
      </c>
      <c r="C533" s="275" t="s">
        <v>3368</v>
      </c>
      <c r="D533" s="275" t="s">
        <v>3056</v>
      </c>
      <c r="E533" s="275" t="s">
        <v>2802</v>
      </c>
      <c r="F533" s="278">
        <v>35628</v>
      </c>
      <c r="G533" s="275" t="s">
        <v>2803</v>
      </c>
      <c r="H533" s="276">
        <v>12</v>
      </c>
      <c r="I533" s="276">
        <v>53.01</v>
      </c>
      <c r="J533" s="276">
        <v>7.72</v>
      </c>
      <c r="K533" s="276">
        <f t="shared" si="8"/>
        <v>4.28</v>
      </c>
      <c r="L533" s="335"/>
      <c r="N533" s="288"/>
      <c r="O533" s="287"/>
      <c r="P533" s="287"/>
      <c r="Q533" s="287"/>
    </row>
    <row r="534" spans="1:17" ht="13.8">
      <c r="A534" s="275" t="s">
        <v>2871</v>
      </c>
      <c r="B534" s="275" t="s">
        <v>3277</v>
      </c>
      <c r="C534" s="275" t="s">
        <v>3367</v>
      </c>
      <c r="D534" s="275" t="s">
        <v>3056</v>
      </c>
      <c r="E534" s="275" t="s">
        <v>2802</v>
      </c>
      <c r="F534" s="278">
        <v>35913</v>
      </c>
      <c r="G534" s="275" t="s">
        <v>2803</v>
      </c>
      <c r="H534" s="276">
        <v>10.9</v>
      </c>
      <c r="I534" s="276">
        <v>54.94</v>
      </c>
      <c r="J534" s="276">
        <v>7.16</v>
      </c>
      <c r="K534" s="276">
        <f t="shared" si="8"/>
        <v>3.74</v>
      </c>
      <c r="L534" s="335"/>
      <c r="N534" s="288"/>
      <c r="O534" s="287"/>
      <c r="P534" s="287"/>
      <c r="Q534" s="287"/>
    </row>
    <row r="535" spans="1:17" ht="13.8">
      <c r="A535" s="275" t="s">
        <v>2809</v>
      </c>
      <c r="B535" s="275" t="s">
        <v>2879</v>
      </c>
      <c r="C535" s="275" t="s">
        <v>3366</v>
      </c>
      <c r="D535" s="275" t="s">
        <v>3056</v>
      </c>
      <c r="E535" s="275" t="s">
        <v>2802</v>
      </c>
      <c r="F535" s="278">
        <v>35915</v>
      </c>
      <c r="G535" s="275" t="s">
        <v>2803</v>
      </c>
      <c r="H535" s="276">
        <v>12.2</v>
      </c>
      <c r="I535" s="276">
        <v>53.14</v>
      </c>
      <c r="J535" s="276">
        <v>7.16</v>
      </c>
      <c r="K535" s="276">
        <f t="shared" si="8"/>
        <v>5.0399999999999991</v>
      </c>
      <c r="L535" s="335"/>
      <c r="N535" s="288"/>
      <c r="O535" s="287"/>
      <c r="P535" s="287"/>
      <c r="Q535" s="287"/>
    </row>
    <row r="536" spans="1:17" ht="13.8">
      <c r="A536" s="275" t="s">
        <v>2806</v>
      </c>
      <c r="B536" s="275" t="s">
        <v>3081</v>
      </c>
      <c r="C536" s="275" t="s">
        <v>3365</v>
      </c>
      <c r="D536" s="275" t="s">
        <v>3056</v>
      </c>
      <c r="E536" s="275" t="s">
        <v>2802</v>
      </c>
      <c r="F536" s="278">
        <v>35976</v>
      </c>
      <c r="G536" s="275" t="s">
        <v>2803</v>
      </c>
      <c r="H536" s="276">
        <v>11</v>
      </c>
      <c r="I536" s="276">
        <v>43.88</v>
      </c>
      <c r="J536" s="276">
        <v>7.16</v>
      </c>
      <c r="K536" s="276">
        <f t="shared" si="8"/>
        <v>3.84</v>
      </c>
      <c r="L536" s="335"/>
      <c r="N536" s="288"/>
      <c r="O536" s="287"/>
      <c r="P536" s="287"/>
      <c r="Q536" s="287"/>
    </row>
    <row r="537" spans="1:17" ht="13.8">
      <c r="A537" s="275" t="s">
        <v>2860</v>
      </c>
      <c r="B537" s="275" t="s">
        <v>3063</v>
      </c>
      <c r="C537" s="275" t="s">
        <v>3364</v>
      </c>
      <c r="D537" s="275" t="s">
        <v>3056</v>
      </c>
      <c r="E537" s="275" t="s">
        <v>2802</v>
      </c>
      <c r="F537" s="278">
        <v>36033</v>
      </c>
      <c r="G537" s="275" t="s">
        <v>2803</v>
      </c>
      <c r="H537" s="276">
        <v>10.93</v>
      </c>
      <c r="I537" s="276">
        <v>38.5</v>
      </c>
      <c r="J537" s="276">
        <v>7.02</v>
      </c>
      <c r="K537" s="276">
        <f t="shared" si="8"/>
        <v>3.91</v>
      </c>
      <c r="L537" s="335"/>
      <c r="N537" s="288"/>
      <c r="O537" s="287"/>
      <c r="P537" s="287"/>
      <c r="Q537" s="287"/>
    </row>
    <row r="538" spans="1:17" ht="13.8">
      <c r="A538" s="275" t="s">
        <v>2809</v>
      </c>
      <c r="B538" s="275" t="s">
        <v>4023</v>
      </c>
      <c r="C538" s="275" t="s">
        <v>3363</v>
      </c>
      <c r="D538" s="275" t="s">
        <v>3056</v>
      </c>
      <c r="E538" s="275" t="s">
        <v>2802</v>
      </c>
      <c r="F538" s="278">
        <v>36053</v>
      </c>
      <c r="G538" s="275" t="s">
        <v>2803</v>
      </c>
      <c r="H538" s="276">
        <v>11.9</v>
      </c>
      <c r="I538" s="276">
        <v>55</v>
      </c>
      <c r="J538" s="276">
        <v>7</v>
      </c>
      <c r="K538" s="276">
        <f t="shared" si="8"/>
        <v>4.9000000000000004</v>
      </c>
      <c r="L538" s="335"/>
      <c r="N538" s="288"/>
      <c r="O538" s="287"/>
      <c r="P538" s="287"/>
      <c r="Q538" s="287"/>
    </row>
    <row r="539" spans="1:17" ht="13.8">
      <c r="A539" s="275" t="s">
        <v>2873</v>
      </c>
      <c r="B539" s="275" t="s">
        <v>3972</v>
      </c>
      <c r="C539" s="275" t="s">
        <v>3362</v>
      </c>
      <c r="D539" s="275" t="s">
        <v>3056</v>
      </c>
      <c r="E539" s="275" t="s">
        <v>2802</v>
      </c>
      <c r="F539" s="278">
        <v>36075</v>
      </c>
      <c r="G539" s="275" t="s">
        <v>2803</v>
      </c>
      <c r="H539" s="276">
        <v>11.06</v>
      </c>
      <c r="I539" s="276">
        <v>44.16</v>
      </c>
      <c r="J539" s="276">
        <v>7</v>
      </c>
      <c r="K539" s="276">
        <f t="shared" si="8"/>
        <v>4.0600000000000005</v>
      </c>
      <c r="L539" s="335"/>
      <c r="N539" s="288"/>
      <c r="O539" s="287"/>
      <c r="P539" s="287"/>
      <c r="Q539" s="287"/>
    </row>
    <row r="540" spans="1:17" ht="13.8">
      <c r="A540" s="275" t="s">
        <v>2850</v>
      </c>
      <c r="B540" s="275" t="s">
        <v>3361</v>
      </c>
      <c r="C540" s="275" t="s">
        <v>3360</v>
      </c>
      <c r="D540" s="275" t="s">
        <v>3056</v>
      </c>
      <c r="E540" s="275" t="s">
        <v>2802</v>
      </c>
      <c r="F540" s="278">
        <v>36098</v>
      </c>
      <c r="G540" s="275" t="s">
        <v>2803</v>
      </c>
      <c r="H540" s="276">
        <v>11.4</v>
      </c>
      <c r="I540" s="276">
        <v>51.91</v>
      </c>
      <c r="J540" s="276">
        <v>6.94</v>
      </c>
      <c r="K540" s="276">
        <f t="shared" si="8"/>
        <v>4.46</v>
      </c>
      <c r="L540" s="335"/>
      <c r="N540" s="288"/>
      <c r="O540" s="287"/>
      <c r="P540" s="287"/>
      <c r="Q540" s="287"/>
    </row>
    <row r="541" spans="1:17" ht="13.8">
      <c r="A541" s="275" t="s">
        <v>2809</v>
      </c>
      <c r="B541" s="275" t="s">
        <v>2810</v>
      </c>
      <c r="C541" s="275" t="s">
        <v>3359</v>
      </c>
      <c r="D541" s="275" t="s">
        <v>3056</v>
      </c>
      <c r="E541" s="275" t="s">
        <v>2802</v>
      </c>
      <c r="F541" s="278">
        <v>36139</v>
      </c>
      <c r="G541" s="275" t="s">
        <v>2803</v>
      </c>
      <c r="H541" s="276">
        <v>12.2</v>
      </c>
      <c r="I541" s="276">
        <v>53.35</v>
      </c>
      <c r="J541" s="276">
        <v>6.96</v>
      </c>
      <c r="K541" s="276">
        <f t="shared" si="8"/>
        <v>5.2399999999999993</v>
      </c>
      <c r="L541" s="335"/>
      <c r="N541" s="288"/>
      <c r="O541" s="287"/>
      <c r="P541" s="287"/>
      <c r="Q541" s="287"/>
    </row>
    <row r="542" spans="1:17" ht="13.8">
      <c r="A542" s="275" t="s">
        <v>2809</v>
      </c>
      <c r="B542" s="275" t="s">
        <v>2853</v>
      </c>
      <c r="C542" s="275" t="s">
        <v>3358</v>
      </c>
      <c r="D542" s="275" t="s">
        <v>3056</v>
      </c>
      <c r="E542" s="275" t="s">
        <v>2802</v>
      </c>
      <c r="F542" s="278">
        <v>36146</v>
      </c>
      <c r="G542" s="275" t="s">
        <v>2803</v>
      </c>
      <c r="H542" s="276">
        <v>12.1</v>
      </c>
      <c r="I542" s="276">
        <v>54.22</v>
      </c>
      <c r="J542" s="276">
        <v>7.04</v>
      </c>
      <c r="K542" s="276">
        <f t="shared" si="8"/>
        <v>5.0599999999999996</v>
      </c>
      <c r="L542" s="335"/>
      <c r="N542" s="288"/>
      <c r="O542" s="287"/>
      <c r="P542" s="287"/>
      <c r="Q542" s="287"/>
    </row>
    <row r="543" spans="1:17" ht="13.8">
      <c r="A543" s="275" t="s">
        <v>2871</v>
      </c>
      <c r="B543" s="275" t="s">
        <v>3357</v>
      </c>
      <c r="C543" s="275" t="s">
        <v>3356</v>
      </c>
      <c r="D543" s="275" t="s">
        <v>3056</v>
      </c>
      <c r="E543" s="275" t="s">
        <v>2802</v>
      </c>
      <c r="F543" s="278">
        <v>36210</v>
      </c>
      <c r="G543" s="275" t="s">
        <v>2803</v>
      </c>
      <c r="H543" s="276">
        <v>11.15</v>
      </c>
      <c r="I543" s="276">
        <v>45.17</v>
      </c>
      <c r="J543" s="276">
        <v>6.97</v>
      </c>
      <c r="K543" s="276">
        <f t="shared" si="8"/>
        <v>4.1800000000000006</v>
      </c>
      <c r="L543" s="335"/>
      <c r="N543" s="288"/>
      <c r="O543" s="287"/>
      <c r="P543" s="287"/>
      <c r="Q543" s="287"/>
    </row>
    <row r="544" spans="1:17" ht="13.8">
      <c r="A544" s="275" t="s">
        <v>2801</v>
      </c>
      <c r="B544" s="275" t="s">
        <v>2849</v>
      </c>
      <c r="C544" s="275" t="s">
        <v>3355</v>
      </c>
      <c r="D544" s="275" t="s">
        <v>3056</v>
      </c>
      <c r="E544" s="275" t="s">
        <v>2802</v>
      </c>
      <c r="F544" s="278">
        <v>36220</v>
      </c>
      <c r="G544" s="275" t="s">
        <v>2803</v>
      </c>
      <c r="H544" s="276">
        <v>10.65</v>
      </c>
      <c r="I544" s="276">
        <v>55.66</v>
      </c>
      <c r="J544" s="276">
        <v>6.97</v>
      </c>
      <c r="K544" s="276">
        <f t="shared" si="8"/>
        <v>3.6800000000000006</v>
      </c>
      <c r="L544" s="335"/>
      <c r="N544" s="288"/>
      <c r="O544" s="287"/>
      <c r="P544" s="287"/>
      <c r="Q544" s="287"/>
    </row>
    <row r="545" spans="1:17" ht="13.8">
      <c r="A545" s="275" t="s">
        <v>2801</v>
      </c>
      <c r="B545" s="275" t="s">
        <v>2849</v>
      </c>
      <c r="C545" s="275" t="s">
        <v>3354</v>
      </c>
      <c r="D545" s="275" t="s">
        <v>3056</v>
      </c>
      <c r="E545" s="275" t="s">
        <v>2802</v>
      </c>
      <c r="F545" s="278">
        <v>36220</v>
      </c>
      <c r="G545" s="275" t="s">
        <v>2803</v>
      </c>
      <c r="H545" s="276">
        <v>10.65</v>
      </c>
      <c r="I545" s="276">
        <v>45.81</v>
      </c>
      <c r="J545" s="276">
        <v>6.97</v>
      </c>
      <c r="K545" s="276">
        <f t="shared" si="8"/>
        <v>3.6800000000000006</v>
      </c>
      <c r="L545" s="335"/>
      <c r="N545" s="288"/>
      <c r="O545" s="287"/>
      <c r="P545" s="287"/>
      <c r="Q545" s="287"/>
    </row>
    <row r="546" spans="1:17" ht="13.8">
      <c r="A546" s="275" t="s">
        <v>2822</v>
      </c>
      <c r="B546" s="275" t="s">
        <v>2823</v>
      </c>
      <c r="C546" s="275" t="s">
        <v>3353</v>
      </c>
      <c r="D546" s="275" t="s">
        <v>3056</v>
      </c>
      <c r="E546" s="275" t="s">
        <v>2802</v>
      </c>
      <c r="F546" s="278">
        <v>36319</v>
      </c>
      <c r="G546" s="275" t="s">
        <v>2803</v>
      </c>
      <c r="H546" s="276">
        <v>11.25</v>
      </c>
      <c r="I546" s="276">
        <v>52.36</v>
      </c>
      <c r="J546" s="276">
        <v>7.21</v>
      </c>
      <c r="K546" s="276">
        <f t="shared" si="8"/>
        <v>4.04</v>
      </c>
      <c r="L546" s="335"/>
      <c r="N546" s="288"/>
      <c r="O546" s="287"/>
      <c r="P546" s="287"/>
      <c r="Q546" s="287"/>
    </row>
    <row r="547" spans="1:17" ht="13.8">
      <c r="A547" s="275" t="s">
        <v>2880</v>
      </c>
      <c r="B547" s="275" t="s">
        <v>3182</v>
      </c>
      <c r="C547" s="275" t="s">
        <v>3352</v>
      </c>
      <c r="D547" s="275" t="s">
        <v>3056</v>
      </c>
      <c r="E547" s="275" t="s">
        <v>2802</v>
      </c>
      <c r="F547" s="278">
        <v>36476</v>
      </c>
      <c r="G547" s="275" t="s">
        <v>2803</v>
      </c>
      <c r="H547" s="276">
        <v>10.25</v>
      </c>
      <c r="I547" s="276">
        <v>47.71</v>
      </c>
      <c r="J547" s="276">
        <v>7.93</v>
      </c>
      <c r="K547" s="276">
        <f t="shared" si="8"/>
        <v>2.3200000000000003</v>
      </c>
      <c r="L547" s="335"/>
      <c r="N547" s="288"/>
      <c r="O547" s="287"/>
      <c r="P547" s="287"/>
      <c r="Q547" s="287"/>
    </row>
    <row r="548" spans="1:17" ht="13.8">
      <c r="A548" s="275" t="s">
        <v>2860</v>
      </c>
      <c r="B548" s="275" t="s">
        <v>3060</v>
      </c>
      <c r="C548" s="275" t="s">
        <v>3351</v>
      </c>
      <c r="D548" s="275" t="s">
        <v>3056</v>
      </c>
      <c r="E548" s="275" t="s">
        <v>2802</v>
      </c>
      <c r="F548" s="278">
        <v>36508</v>
      </c>
      <c r="G548" s="275" t="s">
        <v>2803</v>
      </c>
      <c r="H548" s="276">
        <v>10.5</v>
      </c>
      <c r="I548" s="276">
        <v>52.66</v>
      </c>
      <c r="J548" s="276">
        <v>8.06</v>
      </c>
      <c r="K548" s="276">
        <f t="shared" si="8"/>
        <v>2.4399999999999995</v>
      </c>
      <c r="L548" s="335"/>
      <c r="N548" s="288"/>
      <c r="O548" s="287"/>
      <c r="P548" s="287"/>
      <c r="Q548" s="287"/>
    </row>
    <row r="549" spans="1:17" ht="13.8">
      <c r="A549" s="275" t="s">
        <v>2830</v>
      </c>
      <c r="B549" s="275" t="s">
        <v>4020</v>
      </c>
      <c r="C549" s="275" t="s">
        <v>3350</v>
      </c>
      <c r="D549" s="275" t="s">
        <v>3056</v>
      </c>
      <c r="E549" s="275" t="s">
        <v>2802</v>
      </c>
      <c r="F549" s="278">
        <v>36553</v>
      </c>
      <c r="G549" s="275" t="s">
        <v>2803</v>
      </c>
      <c r="H549" s="276">
        <v>10.71</v>
      </c>
      <c r="I549" s="276">
        <v>53.95</v>
      </c>
      <c r="J549" s="276">
        <v>8.1199999999999992</v>
      </c>
      <c r="K549" s="276">
        <f t="shared" si="8"/>
        <v>2.5900000000000016</v>
      </c>
      <c r="L549" s="335"/>
      <c r="N549" s="288"/>
      <c r="O549" s="287"/>
      <c r="P549" s="287"/>
      <c r="Q549" s="287"/>
    </row>
    <row r="550" spans="1:17" ht="13.8">
      <c r="A550" s="275" t="s">
        <v>2844</v>
      </c>
      <c r="B550" s="275" t="s">
        <v>2864</v>
      </c>
      <c r="C550" s="275" t="s">
        <v>3349</v>
      </c>
      <c r="D550" s="275" t="s">
        <v>3056</v>
      </c>
      <c r="E550" s="275" t="s">
        <v>2802</v>
      </c>
      <c r="F550" s="278">
        <v>36573</v>
      </c>
      <c r="G550" s="275" t="s">
        <v>2803</v>
      </c>
      <c r="H550" s="276">
        <v>10.6</v>
      </c>
      <c r="I550" s="276">
        <v>48</v>
      </c>
      <c r="J550" s="276">
        <v>8.35</v>
      </c>
      <c r="K550" s="276">
        <f t="shared" si="8"/>
        <v>2.25</v>
      </c>
      <c r="L550" s="335"/>
      <c r="N550" s="288"/>
      <c r="O550" s="287"/>
      <c r="P550" s="287"/>
      <c r="Q550" s="287"/>
    </row>
    <row r="551" spans="1:17" ht="13.8">
      <c r="A551" s="275" t="s">
        <v>2830</v>
      </c>
      <c r="B551" s="275" t="s">
        <v>3157</v>
      </c>
      <c r="C551" s="275" t="s">
        <v>3348</v>
      </c>
      <c r="D551" s="275" t="s">
        <v>3056</v>
      </c>
      <c r="E551" s="275" t="s">
        <v>2802</v>
      </c>
      <c r="F551" s="278">
        <v>36671</v>
      </c>
      <c r="G551" s="275" t="s">
        <v>2803</v>
      </c>
      <c r="H551" s="276">
        <v>10.8</v>
      </c>
      <c r="I551" s="276">
        <v>50.35</v>
      </c>
      <c r="J551" s="276">
        <v>8.2799999999999994</v>
      </c>
      <c r="K551" s="276">
        <f t="shared" si="8"/>
        <v>2.5200000000000014</v>
      </c>
      <c r="L551" s="335"/>
      <c r="N551" s="288"/>
      <c r="O551" s="287"/>
      <c r="P551" s="287"/>
      <c r="Q551" s="287"/>
    </row>
    <row r="552" spans="1:17" ht="13.8">
      <c r="A552" s="275" t="s">
        <v>2805</v>
      </c>
      <c r="B552" s="275" t="s">
        <v>2829</v>
      </c>
      <c r="C552" s="275" t="s">
        <v>3347</v>
      </c>
      <c r="D552" s="275" t="s">
        <v>3056</v>
      </c>
      <c r="E552" s="275" t="s">
        <v>2802</v>
      </c>
      <c r="F552" s="278">
        <v>36696</v>
      </c>
      <c r="G552" s="275" t="s">
        <v>2803</v>
      </c>
      <c r="H552" s="276">
        <v>11.05</v>
      </c>
      <c r="I552" s="276">
        <v>44.48</v>
      </c>
      <c r="J552" s="276">
        <v>8.69</v>
      </c>
      <c r="K552" s="276">
        <f t="shared" si="8"/>
        <v>2.3600000000000012</v>
      </c>
      <c r="L552" s="335"/>
      <c r="N552" s="288"/>
      <c r="O552" s="287"/>
      <c r="P552" s="287"/>
      <c r="Q552" s="287"/>
    </row>
    <row r="553" spans="1:17" ht="13.8">
      <c r="A553" s="275" t="s">
        <v>2801</v>
      </c>
      <c r="B553" s="275" t="s">
        <v>2817</v>
      </c>
      <c r="C553" s="275" t="s">
        <v>3346</v>
      </c>
      <c r="D553" s="275" t="s">
        <v>3056</v>
      </c>
      <c r="E553" s="275" t="s">
        <v>2802</v>
      </c>
      <c r="F553" s="278">
        <v>36724</v>
      </c>
      <c r="G553" s="275" t="s">
        <v>2803</v>
      </c>
      <c r="H553" s="276">
        <v>11.06</v>
      </c>
      <c r="I553" s="276">
        <v>46</v>
      </c>
      <c r="J553" s="276">
        <v>8.3800000000000008</v>
      </c>
      <c r="K553" s="276">
        <f t="shared" si="8"/>
        <v>2.6799999999999997</v>
      </c>
      <c r="L553" s="335"/>
      <c r="N553" s="288"/>
      <c r="O553" s="287"/>
      <c r="P553" s="287"/>
      <c r="Q553" s="287"/>
    </row>
    <row r="554" spans="1:17" ht="13.8">
      <c r="A554" s="275" t="s">
        <v>2809</v>
      </c>
      <c r="B554" s="275" t="s">
        <v>2879</v>
      </c>
      <c r="C554" s="275" t="s">
        <v>3345</v>
      </c>
      <c r="D554" s="275" t="s">
        <v>3056</v>
      </c>
      <c r="E554" s="275" t="s">
        <v>2802</v>
      </c>
      <c r="F554" s="278">
        <v>36727</v>
      </c>
      <c r="G554" s="275" t="s">
        <v>2803</v>
      </c>
      <c r="H554" s="276">
        <v>12.2</v>
      </c>
      <c r="I554" s="276">
        <v>53.45</v>
      </c>
      <c r="J554" s="276">
        <v>8.3800000000000008</v>
      </c>
      <c r="K554" s="276">
        <f t="shared" si="8"/>
        <v>3.8199999999999985</v>
      </c>
      <c r="L554" s="335"/>
      <c r="N554" s="288"/>
      <c r="O554" s="287"/>
      <c r="P554" s="287"/>
      <c r="Q554" s="287"/>
    </row>
    <row r="555" spans="1:17" ht="13.8">
      <c r="A555" s="275" t="s">
        <v>2821</v>
      </c>
      <c r="B555" s="275" t="s">
        <v>3073</v>
      </c>
      <c r="C555" s="275" t="s">
        <v>3344</v>
      </c>
      <c r="D555" s="275" t="s">
        <v>3056</v>
      </c>
      <c r="E555" s="275" t="s">
        <v>2802</v>
      </c>
      <c r="F555" s="278">
        <v>36749</v>
      </c>
      <c r="G555" s="275" t="s">
        <v>2803</v>
      </c>
      <c r="H555" s="276">
        <v>11</v>
      </c>
      <c r="I555" s="276">
        <v>55.04</v>
      </c>
      <c r="J555" s="276">
        <v>8.3800000000000008</v>
      </c>
      <c r="K555" s="276">
        <f t="shared" si="8"/>
        <v>2.6199999999999992</v>
      </c>
      <c r="L555" s="335"/>
      <c r="N555" s="288"/>
      <c r="O555" s="287"/>
      <c r="P555" s="287"/>
      <c r="Q555" s="287"/>
    </row>
    <row r="556" spans="1:17" ht="13.8">
      <c r="A556" s="275" t="s">
        <v>2835</v>
      </c>
      <c r="B556" s="275" t="s">
        <v>2836</v>
      </c>
      <c r="C556" s="275" t="s">
        <v>3343</v>
      </c>
      <c r="D556" s="275" t="s">
        <v>3056</v>
      </c>
      <c r="E556" s="275" t="s">
        <v>2802</v>
      </c>
      <c r="F556" s="278">
        <v>36796</v>
      </c>
      <c r="G556" s="275" t="s">
        <v>2803</v>
      </c>
      <c r="H556" s="276">
        <v>11.25</v>
      </c>
      <c r="I556" s="276">
        <v>44.79</v>
      </c>
      <c r="J556" s="276">
        <v>8.1300000000000008</v>
      </c>
      <c r="K556" s="276">
        <f t="shared" si="8"/>
        <v>3.1199999999999992</v>
      </c>
      <c r="L556" s="335"/>
      <c r="N556" s="288"/>
      <c r="O556" s="287"/>
      <c r="P556" s="287"/>
      <c r="Q556" s="287"/>
    </row>
    <row r="557" spans="1:17" ht="13.8">
      <c r="A557" s="275" t="s">
        <v>2842</v>
      </c>
      <c r="B557" s="275" t="s">
        <v>2834</v>
      </c>
      <c r="C557" s="275" t="s">
        <v>3342</v>
      </c>
      <c r="D557" s="275" t="s">
        <v>3056</v>
      </c>
      <c r="E557" s="275" t="s">
        <v>2802</v>
      </c>
      <c r="F557" s="278">
        <v>36798</v>
      </c>
      <c r="G557" s="275" t="s">
        <v>2803</v>
      </c>
      <c r="H557" s="276">
        <v>11.16</v>
      </c>
      <c r="I557" s="276">
        <v>42</v>
      </c>
      <c r="J557" s="276">
        <v>8.1300000000000008</v>
      </c>
      <c r="K557" s="276">
        <f t="shared" si="8"/>
        <v>3.0299999999999994</v>
      </c>
      <c r="L557" s="335"/>
      <c r="N557" s="288"/>
      <c r="O557" s="287"/>
      <c r="P557" s="287"/>
      <c r="Q557" s="287"/>
    </row>
    <row r="558" spans="1:17" ht="13.8">
      <c r="A558" s="275" t="s">
        <v>2809</v>
      </c>
      <c r="B558" s="275" t="s">
        <v>2810</v>
      </c>
      <c r="C558" s="275" t="s">
        <v>3341</v>
      </c>
      <c r="D558" s="275" t="s">
        <v>3056</v>
      </c>
      <c r="E558" s="275" t="s">
        <v>2802</v>
      </c>
      <c r="F558" s="278">
        <v>36858</v>
      </c>
      <c r="G558" s="275" t="s">
        <v>2803</v>
      </c>
      <c r="H558" s="276">
        <v>12.9</v>
      </c>
      <c r="I558" s="276">
        <v>50.69</v>
      </c>
      <c r="J558" s="276">
        <v>8.14</v>
      </c>
      <c r="K558" s="276">
        <f t="shared" si="8"/>
        <v>4.76</v>
      </c>
      <c r="L558" s="335"/>
      <c r="N558" s="288"/>
      <c r="O558" s="287"/>
      <c r="P558" s="287"/>
      <c r="Q558" s="287"/>
    </row>
    <row r="559" spans="1:17" ht="13.8">
      <c r="A559" s="275" t="s">
        <v>2809</v>
      </c>
      <c r="B559" s="275" t="s">
        <v>2853</v>
      </c>
      <c r="C559" s="275" t="s">
        <v>3340</v>
      </c>
      <c r="D559" s="275" t="s">
        <v>3056</v>
      </c>
      <c r="E559" s="275" t="s">
        <v>2802</v>
      </c>
      <c r="F559" s="278">
        <v>36860</v>
      </c>
      <c r="G559" s="275" t="s">
        <v>2803</v>
      </c>
      <c r="H559" s="276">
        <v>12.1</v>
      </c>
      <c r="I559" s="276">
        <v>54.28</v>
      </c>
      <c r="J559" s="276">
        <v>8.14</v>
      </c>
      <c r="K559" s="276">
        <f t="shared" si="8"/>
        <v>3.9599999999999991</v>
      </c>
      <c r="L559" s="335"/>
      <c r="N559" s="288"/>
      <c r="O559" s="287"/>
      <c r="P559" s="287"/>
      <c r="Q559" s="287"/>
    </row>
    <row r="560" spans="1:17" ht="13.8">
      <c r="A560" s="275" t="s">
        <v>2878</v>
      </c>
      <c r="B560" s="275" t="s">
        <v>3309</v>
      </c>
      <c r="C560" s="275" t="s">
        <v>3339</v>
      </c>
      <c r="D560" s="275" t="s">
        <v>3056</v>
      </c>
      <c r="E560" s="275" t="s">
        <v>2802</v>
      </c>
      <c r="F560" s="278">
        <v>36927</v>
      </c>
      <c r="G560" s="275" t="s">
        <v>2803</v>
      </c>
      <c r="H560" s="276">
        <v>11.5</v>
      </c>
      <c r="I560" s="276">
        <v>37.39</v>
      </c>
      <c r="J560" s="276">
        <v>7.86</v>
      </c>
      <c r="K560" s="276">
        <f t="shared" si="8"/>
        <v>3.6399999999999997</v>
      </c>
      <c r="L560" s="335"/>
      <c r="N560" s="288"/>
      <c r="O560" s="287"/>
      <c r="P560" s="287"/>
      <c r="Q560" s="287"/>
    </row>
    <row r="561" spans="1:17" ht="13.8">
      <c r="A561" s="275" t="s">
        <v>2822</v>
      </c>
      <c r="B561" s="275" t="s">
        <v>2823</v>
      </c>
      <c r="C561" s="275" t="s">
        <v>3338</v>
      </c>
      <c r="D561" s="275" t="s">
        <v>3056</v>
      </c>
      <c r="E561" s="275" t="s">
        <v>2802</v>
      </c>
      <c r="F561" s="278">
        <v>36965</v>
      </c>
      <c r="G561" s="275" t="s">
        <v>2803</v>
      </c>
      <c r="H561" s="276">
        <v>11.25</v>
      </c>
      <c r="I561" s="276">
        <v>50.4</v>
      </c>
      <c r="J561" s="276">
        <v>7.74</v>
      </c>
      <c r="K561" s="276">
        <f t="shared" si="8"/>
        <v>3.51</v>
      </c>
      <c r="L561" s="335"/>
      <c r="N561" s="288"/>
      <c r="O561" s="287"/>
      <c r="P561" s="287"/>
      <c r="Q561" s="287"/>
    </row>
    <row r="562" spans="1:17" ht="13.8">
      <c r="A562" s="275" t="s">
        <v>2846</v>
      </c>
      <c r="B562" s="275" t="s">
        <v>2847</v>
      </c>
      <c r="C562" s="275" t="s">
        <v>3337</v>
      </c>
      <c r="D562" s="275" t="s">
        <v>3056</v>
      </c>
      <c r="E562" s="275" t="s">
        <v>2802</v>
      </c>
      <c r="F562" s="278">
        <v>37019</v>
      </c>
      <c r="G562" s="275" t="s">
        <v>2803</v>
      </c>
      <c r="H562" s="276">
        <v>10.75</v>
      </c>
      <c r="I562" s="276">
        <v>45</v>
      </c>
      <c r="J562" s="276">
        <v>7.67</v>
      </c>
      <c r="K562" s="276">
        <f t="shared" si="8"/>
        <v>3.08</v>
      </c>
      <c r="L562" s="335"/>
      <c r="N562" s="288"/>
      <c r="O562" s="287"/>
      <c r="P562" s="287"/>
      <c r="Q562" s="287"/>
    </row>
    <row r="563" spans="1:17" ht="13.8">
      <c r="A563" s="275" t="s">
        <v>2824</v>
      </c>
      <c r="B563" s="275" t="s">
        <v>3094</v>
      </c>
      <c r="C563" s="275" t="s">
        <v>3336</v>
      </c>
      <c r="D563" s="275" t="s">
        <v>3056</v>
      </c>
      <c r="E563" s="275" t="s">
        <v>2802</v>
      </c>
      <c r="F563" s="278">
        <v>37188</v>
      </c>
      <c r="G563" s="275" t="s">
        <v>2803</v>
      </c>
      <c r="H563" s="276">
        <v>11</v>
      </c>
      <c r="I563" s="276">
        <v>40</v>
      </c>
      <c r="J563" s="276">
        <v>7.71</v>
      </c>
      <c r="K563" s="276">
        <f t="shared" si="8"/>
        <v>3.29</v>
      </c>
      <c r="L563" s="335"/>
      <c r="N563" s="288"/>
      <c r="O563" s="287"/>
      <c r="P563" s="287"/>
      <c r="Q563" s="287"/>
    </row>
    <row r="564" spans="1:17" ht="13.8">
      <c r="A564" s="275" t="s">
        <v>2830</v>
      </c>
      <c r="B564" s="275" t="s">
        <v>3198</v>
      </c>
      <c r="C564" s="275" t="s">
        <v>3335</v>
      </c>
      <c r="D564" s="275" t="s">
        <v>3056</v>
      </c>
      <c r="E564" s="275" t="s">
        <v>2802</v>
      </c>
      <c r="F564" s="278">
        <v>37286</v>
      </c>
      <c r="G564" s="275" t="s">
        <v>2803</v>
      </c>
      <c r="H564" s="276">
        <v>11</v>
      </c>
      <c r="I564" s="276">
        <v>45.46</v>
      </c>
      <c r="J564" s="276">
        <v>7.83</v>
      </c>
      <c r="K564" s="276">
        <f t="shared" si="8"/>
        <v>3.17</v>
      </c>
      <c r="L564" s="335"/>
      <c r="N564" s="288"/>
      <c r="O564" s="287"/>
      <c r="P564" s="287"/>
      <c r="Q564" s="287"/>
    </row>
    <row r="565" spans="1:17" ht="13.8">
      <c r="A565" s="275" t="s">
        <v>2835</v>
      </c>
      <c r="B565" s="275" t="s">
        <v>2877</v>
      </c>
      <c r="C565" s="275" t="s">
        <v>3334</v>
      </c>
      <c r="D565" s="275" t="s">
        <v>3056</v>
      </c>
      <c r="E565" s="275" t="s">
        <v>2802</v>
      </c>
      <c r="F565" s="278">
        <v>37287</v>
      </c>
      <c r="G565" s="275" t="s">
        <v>2803</v>
      </c>
      <c r="H565" s="276">
        <v>11</v>
      </c>
      <c r="I565" s="276">
        <v>52.73</v>
      </c>
      <c r="J565" s="276">
        <v>7.83</v>
      </c>
      <c r="K565" s="276">
        <f t="shared" si="8"/>
        <v>3.17</v>
      </c>
      <c r="L565" s="335"/>
      <c r="N565" s="288"/>
      <c r="O565" s="287"/>
      <c r="P565" s="287"/>
      <c r="Q565" s="287"/>
    </row>
    <row r="566" spans="1:17" ht="13.8">
      <c r="A566" s="275" t="s">
        <v>2806</v>
      </c>
      <c r="B566" s="275" t="s">
        <v>3081</v>
      </c>
      <c r="C566" s="275" t="s">
        <v>3333</v>
      </c>
      <c r="D566" s="275" t="s">
        <v>3056</v>
      </c>
      <c r="E566" s="275" t="s">
        <v>2802</v>
      </c>
      <c r="F566" s="278">
        <v>37375</v>
      </c>
      <c r="G566" s="275" t="s">
        <v>2803</v>
      </c>
      <c r="H566" s="276">
        <v>11</v>
      </c>
      <c r="I566" s="276">
        <v>47</v>
      </c>
      <c r="J566" s="276">
        <v>7.74</v>
      </c>
      <c r="K566" s="276">
        <f t="shared" si="8"/>
        <v>3.26</v>
      </c>
      <c r="L566" s="335"/>
      <c r="N566" s="288"/>
      <c r="O566" s="287"/>
      <c r="P566" s="287"/>
      <c r="Q566" s="287"/>
    </row>
    <row r="567" spans="1:17" ht="13.8">
      <c r="A567" s="275" t="s">
        <v>2809</v>
      </c>
      <c r="B567" s="275" t="s">
        <v>2853</v>
      </c>
      <c r="C567" s="275" t="s">
        <v>3332</v>
      </c>
      <c r="D567" s="275" t="s">
        <v>3056</v>
      </c>
      <c r="E567" s="275" t="s">
        <v>2802</v>
      </c>
      <c r="F567" s="278">
        <v>37427</v>
      </c>
      <c r="G567" s="275" t="s">
        <v>2803</v>
      </c>
      <c r="H567" s="276">
        <v>12.3</v>
      </c>
      <c r="I567" s="276">
        <v>54.99</v>
      </c>
      <c r="J567" s="276">
        <v>7.53</v>
      </c>
      <c r="K567" s="276">
        <f t="shared" si="8"/>
        <v>4.7700000000000005</v>
      </c>
      <c r="L567" s="335"/>
      <c r="N567" s="288"/>
      <c r="O567" s="287"/>
      <c r="P567" s="287"/>
      <c r="Q567" s="287"/>
    </row>
    <row r="568" spans="1:17" ht="13.8">
      <c r="A568" s="275" t="s">
        <v>2801</v>
      </c>
      <c r="B568" s="275" t="s">
        <v>2817</v>
      </c>
      <c r="C568" s="275" t="s">
        <v>3331</v>
      </c>
      <c r="D568" s="275" t="s">
        <v>3056</v>
      </c>
      <c r="E568" s="275" t="s">
        <v>2802</v>
      </c>
      <c r="F568" s="278">
        <v>37510</v>
      </c>
      <c r="G568" s="275" t="s">
        <v>2803</v>
      </c>
      <c r="H568" s="276">
        <v>11.2</v>
      </c>
      <c r="I568" s="276">
        <v>51.61</v>
      </c>
      <c r="J568" s="276">
        <v>7.32</v>
      </c>
      <c r="K568" s="276">
        <f t="shared" si="8"/>
        <v>3.879999999999999</v>
      </c>
      <c r="L568" s="335"/>
      <c r="N568" s="288"/>
      <c r="O568" s="287"/>
      <c r="P568" s="287"/>
      <c r="Q568" s="287"/>
    </row>
    <row r="569" spans="1:17" ht="13.8">
      <c r="A569" s="275" t="s">
        <v>2809</v>
      </c>
      <c r="B569" s="275" t="s">
        <v>2854</v>
      </c>
      <c r="C569" s="275" t="s">
        <v>3330</v>
      </c>
      <c r="D569" s="275" t="s">
        <v>3056</v>
      </c>
      <c r="E569" s="275" t="s">
        <v>2802</v>
      </c>
      <c r="F569" s="278">
        <v>37511</v>
      </c>
      <c r="G569" s="275" t="s">
        <v>2803</v>
      </c>
      <c r="H569" s="276">
        <v>12.3</v>
      </c>
      <c r="I569" s="276">
        <v>44.67</v>
      </c>
      <c r="J569" s="276">
        <v>7.32</v>
      </c>
      <c r="K569" s="276">
        <f t="shared" si="8"/>
        <v>4.9800000000000004</v>
      </c>
      <c r="L569" s="335"/>
      <c r="N569" s="288"/>
      <c r="O569" s="287"/>
      <c r="P569" s="287"/>
      <c r="Q569" s="287"/>
    </row>
    <row r="570" spans="1:17" ht="13.8">
      <c r="A570" s="275" t="s">
        <v>2840</v>
      </c>
      <c r="B570" s="275" t="s">
        <v>3079</v>
      </c>
      <c r="C570" s="275" t="s">
        <v>3329</v>
      </c>
      <c r="D570" s="275" t="s">
        <v>3056</v>
      </c>
      <c r="E570" s="275" t="s">
        <v>2802</v>
      </c>
      <c r="F570" s="278">
        <v>37559</v>
      </c>
      <c r="G570" s="275" t="s">
        <v>2803</v>
      </c>
      <c r="H570" s="276">
        <v>10.6</v>
      </c>
      <c r="I570" s="276">
        <v>54</v>
      </c>
      <c r="J570" s="276">
        <v>7.09</v>
      </c>
      <c r="K570" s="276">
        <f t="shared" si="8"/>
        <v>3.51</v>
      </c>
      <c r="L570" s="335"/>
      <c r="N570" s="288"/>
      <c r="O570" s="287"/>
      <c r="P570" s="287"/>
      <c r="Q570" s="287"/>
    </row>
    <row r="571" spans="1:17" ht="13.8">
      <c r="A571" s="275" t="s">
        <v>2861</v>
      </c>
      <c r="B571" s="275" t="s">
        <v>3328</v>
      </c>
      <c r="C571" s="275" t="s">
        <v>3327</v>
      </c>
      <c r="D571" s="275" t="s">
        <v>3056</v>
      </c>
      <c r="E571" s="275" t="s">
        <v>2802</v>
      </c>
      <c r="F571" s="278">
        <v>37561</v>
      </c>
      <c r="G571" s="275" t="s">
        <v>2803</v>
      </c>
      <c r="H571" s="276">
        <v>12.6</v>
      </c>
      <c r="I571" s="276">
        <v>54.9</v>
      </c>
      <c r="J571" s="276">
        <v>7.09</v>
      </c>
      <c r="K571" s="276">
        <f t="shared" si="8"/>
        <v>5.51</v>
      </c>
      <c r="L571" s="335"/>
      <c r="N571" s="288"/>
      <c r="O571" s="287"/>
      <c r="P571" s="287"/>
      <c r="Q571" s="287"/>
    </row>
    <row r="572" spans="1:17" ht="13.8">
      <c r="A572" s="275" t="s">
        <v>2851</v>
      </c>
      <c r="B572" s="275" t="s">
        <v>2876</v>
      </c>
      <c r="C572" s="275" t="s">
        <v>3326</v>
      </c>
      <c r="D572" s="275" t="s">
        <v>3056</v>
      </c>
      <c r="E572" s="275" t="s">
        <v>2802</v>
      </c>
      <c r="F572" s="278">
        <v>37567</v>
      </c>
      <c r="G572" s="275" t="s">
        <v>2803</v>
      </c>
      <c r="H572" s="276">
        <v>11.4</v>
      </c>
      <c r="I572" s="276">
        <v>34.590000000000003</v>
      </c>
      <c r="J572" s="276">
        <v>7.09</v>
      </c>
      <c r="K572" s="276">
        <f t="shared" si="8"/>
        <v>4.3100000000000005</v>
      </c>
      <c r="L572" s="335"/>
      <c r="N572" s="288"/>
      <c r="O572" s="287"/>
      <c r="P572" s="287"/>
      <c r="Q572" s="287"/>
    </row>
    <row r="573" spans="1:17" ht="13.8">
      <c r="A573" s="275" t="s">
        <v>2821</v>
      </c>
      <c r="B573" s="275" t="s">
        <v>3073</v>
      </c>
      <c r="C573" s="275" t="s">
        <v>3325</v>
      </c>
      <c r="D573" s="275" t="s">
        <v>3056</v>
      </c>
      <c r="E573" s="275" t="s">
        <v>2802</v>
      </c>
      <c r="F573" s="278">
        <v>37620</v>
      </c>
      <c r="G573" s="275" t="s">
        <v>2803</v>
      </c>
      <c r="H573" s="276">
        <v>11.2</v>
      </c>
      <c r="I573" s="276">
        <v>52.61</v>
      </c>
      <c r="J573" s="276">
        <v>7.14</v>
      </c>
      <c r="K573" s="276">
        <f t="shared" si="8"/>
        <v>4.0599999999999996</v>
      </c>
      <c r="L573" s="335"/>
      <c r="N573" s="288"/>
      <c r="O573" s="287"/>
      <c r="P573" s="287"/>
      <c r="Q573" s="287"/>
    </row>
    <row r="574" spans="1:17" ht="13.8">
      <c r="A574" s="275" t="s">
        <v>2809</v>
      </c>
      <c r="B574" s="275" t="s">
        <v>2810</v>
      </c>
      <c r="C574" s="275" t="s">
        <v>3324</v>
      </c>
      <c r="D574" s="275" t="s">
        <v>3056</v>
      </c>
      <c r="E574" s="275" t="s">
        <v>2802</v>
      </c>
      <c r="F574" s="278">
        <v>37680</v>
      </c>
      <c r="G574" s="275" t="s">
        <v>2803</v>
      </c>
      <c r="H574" s="276">
        <v>12.3</v>
      </c>
      <c r="I574" s="276">
        <v>55.42</v>
      </c>
      <c r="J574" s="276">
        <v>7.06</v>
      </c>
      <c r="K574" s="276">
        <f t="shared" si="8"/>
        <v>5.2400000000000011</v>
      </c>
      <c r="L574" s="335"/>
      <c r="N574" s="288"/>
      <c r="O574" s="287"/>
      <c r="P574" s="287"/>
      <c r="Q574" s="287"/>
    </row>
    <row r="575" spans="1:17" ht="13.8">
      <c r="A575" s="275" t="s">
        <v>2811</v>
      </c>
      <c r="B575" s="275" t="s">
        <v>4017</v>
      </c>
      <c r="C575" s="275" t="s">
        <v>3323</v>
      </c>
      <c r="D575" s="275" t="s">
        <v>3056</v>
      </c>
      <c r="E575" s="275" t="s">
        <v>2802</v>
      </c>
      <c r="F575" s="278">
        <v>37687</v>
      </c>
      <c r="G575" s="275" t="s">
        <v>2803</v>
      </c>
      <c r="H575" s="276">
        <v>9.9600000000000009</v>
      </c>
      <c r="I575" s="276">
        <v>41.4</v>
      </c>
      <c r="J575" s="276">
        <v>7.06</v>
      </c>
      <c r="K575" s="276">
        <f t="shared" si="8"/>
        <v>2.9000000000000012</v>
      </c>
      <c r="L575" s="335"/>
      <c r="N575" s="288"/>
      <c r="O575" s="287"/>
      <c r="P575" s="287"/>
      <c r="Q575" s="287"/>
    </row>
    <row r="576" spans="1:17" ht="13.8">
      <c r="A576" s="275" t="s">
        <v>2809</v>
      </c>
      <c r="B576" s="275" t="s">
        <v>2853</v>
      </c>
      <c r="C576" s="275" t="s">
        <v>3322</v>
      </c>
      <c r="D576" s="275" t="s">
        <v>3056</v>
      </c>
      <c r="E576" s="275" t="s">
        <v>2802</v>
      </c>
      <c r="F576" s="278">
        <v>37700</v>
      </c>
      <c r="G576" s="275" t="s">
        <v>2803</v>
      </c>
      <c r="H576" s="276">
        <v>12</v>
      </c>
      <c r="I576" s="276">
        <v>55</v>
      </c>
      <c r="J576" s="276">
        <v>6.93</v>
      </c>
      <c r="K576" s="276">
        <f t="shared" si="8"/>
        <v>5.07</v>
      </c>
      <c r="L576" s="335"/>
      <c r="N576" s="288"/>
      <c r="O576" s="287"/>
      <c r="P576" s="287"/>
      <c r="Q576" s="287"/>
    </row>
    <row r="577" spans="1:17" ht="13.8">
      <c r="A577" s="275" t="s">
        <v>2809</v>
      </c>
      <c r="B577" s="275" t="s">
        <v>2854</v>
      </c>
      <c r="C577" s="275" t="s">
        <v>3321</v>
      </c>
      <c r="D577" s="275" t="s">
        <v>3056</v>
      </c>
      <c r="E577" s="275" t="s">
        <v>2802</v>
      </c>
      <c r="F577" s="278">
        <v>37714</v>
      </c>
      <c r="G577" s="275" t="s">
        <v>2803</v>
      </c>
      <c r="H577" s="276">
        <v>12</v>
      </c>
      <c r="I577" s="276">
        <v>51.72</v>
      </c>
      <c r="J577" s="276">
        <v>6.93</v>
      </c>
      <c r="K577" s="276">
        <f t="shared" si="8"/>
        <v>5.07</v>
      </c>
      <c r="L577" s="335"/>
      <c r="N577" s="288"/>
      <c r="O577" s="287"/>
      <c r="P577" s="287"/>
      <c r="Q577" s="287"/>
    </row>
    <row r="578" spans="1:17" ht="13.8">
      <c r="A578" s="275" t="s">
        <v>2816</v>
      </c>
      <c r="B578" s="275" t="s">
        <v>2852</v>
      </c>
      <c r="C578" s="275" t="s">
        <v>3320</v>
      </c>
      <c r="D578" s="275" t="s">
        <v>3056</v>
      </c>
      <c r="E578" s="275" t="s">
        <v>2802</v>
      </c>
      <c r="F578" s="278">
        <v>37756</v>
      </c>
      <c r="G578" s="275" t="s">
        <v>2803</v>
      </c>
      <c r="H578" s="276">
        <v>11.05</v>
      </c>
      <c r="I578" s="276">
        <v>47.84</v>
      </c>
      <c r="J578" s="276">
        <v>6.65</v>
      </c>
      <c r="K578" s="276">
        <f t="shared" si="8"/>
        <v>4.4000000000000004</v>
      </c>
      <c r="L578" s="335"/>
      <c r="N578" s="288"/>
      <c r="O578" s="287"/>
      <c r="P578" s="287"/>
      <c r="Q578" s="287"/>
    </row>
    <row r="579" spans="1:17" ht="13.8">
      <c r="A579" s="275" t="s">
        <v>2801</v>
      </c>
      <c r="B579" s="275" t="s">
        <v>2849</v>
      </c>
      <c r="C579" s="275" t="s">
        <v>3319</v>
      </c>
      <c r="D579" s="275" t="s">
        <v>3056</v>
      </c>
      <c r="E579" s="275" t="s">
        <v>2802</v>
      </c>
      <c r="F579" s="278">
        <v>37911</v>
      </c>
      <c r="G579" s="275" t="s">
        <v>2803</v>
      </c>
      <c r="H579" s="276">
        <v>10.54</v>
      </c>
      <c r="I579" s="276">
        <v>48.54</v>
      </c>
      <c r="J579" s="276">
        <v>6.58</v>
      </c>
      <c r="K579" s="276">
        <f t="shared" si="8"/>
        <v>3.9599999999999991</v>
      </c>
      <c r="L579" s="335"/>
      <c r="N579" s="288"/>
      <c r="O579" s="287"/>
      <c r="P579" s="287"/>
      <c r="Q579" s="287"/>
    </row>
    <row r="580" spans="1:17" ht="13.8">
      <c r="A580" s="275" t="s">
        <v>2801</v>
      </c>
      <c r="B580" s="275" t="s">
        <v>2849</v>
      </c>
      <c r="C580" s="275" t="s">
        <v>3317</v>
      </c>
      <c r="D580" s="275" t="s">
        <v>3056</v>
      </c>
      <c r="E580" s="275" t="s">
        <v>2802</v>
      </c>
      <c r="F580" s="278">
        <v>37916</v>
      </c>
      <c r="G580" s="275" t="s">
        <v>2803</v>
      </c>
      <c r="H580" s="276">
        <v>10.71</v>
      </c>
      <c r="I580" s="276">
        <v>44.44</v>
      </c>
      <c r="J580" s="276">
        <v>6.58</v>
      </c>
      <c r="K580" s="276">
        <f t="shared" si="8"/>
        <v>4.1300000000000008</v>
      </c>
      <c r="L580" s="335"/>
      <c r="N580" s="288"/>
      <c r="O580" s="287"/>
      <c r="P580" s="287"/>
      <c r="Q580" s="287"/>
    </row>
    <row r="581" spans="1:17" ht="13.8">
      <c r="A581" s="275" t="s">
        <v>2801</v>
      </c>
      <c r="B581" s="275" t="s">
        <v>2849</v>
      </c>
      <c r="C581" s="275" t="s">
        <v>3318</v>
      </c>
      <c r="D581" s="275" t="s">
        <v>3056</v>
      </c>
      <c r="E581" s="275" t="s">
        <v>2802</v>
      </c>
      <c r="F581" s="278">
        <v>37916</v>
      </c>
      <c r="G581" s="275" t="s">
        <v>2803</v>
      </c>
      <c r="H581" s="276">
        <v>10.46</v>
      </c>
      <c r="I581" s="276">
        <v>52.7</v>
      </c>
      <c r="J581" s="276">
        <v>6.58</v>
      </c>
      <c r="K581" s="276">
        <f t="shared" si="8"/>
        <v>3.8800000000000008</v>
      </c>
      <c r="L581" s="335"/>
      <c r="N581" s="288"/>
      <c r="O581" s="287"/>
      <c r="P581" s="287"/>
      <c r="Q581" s="287"/>
    </row>
    <row r="582" spans="1:17" ht="13.8">
      <c r="A582" s="275" t="s">
        <v>2805</v>
      </c>
      <c r="B582" s="275" t="s">
        <v>3079</v>
      </c>
      <c r="C582" s="275" t="s">
        <v>3315</v>
      </c>
      <c r="D582" s="275" t="s">
        <v>3056</v>
      </c>
      <c r="E582" s="275" t="s">
        <v>2802</v>
      </c>
      <c r="F582" s="278">
        <v>37925</v>
      </c>
      <c r="G582" s="275" t="s">
        <v>2803</v>
      </c>
      <c r="H582" s="276">
        <v>10.75</v>
      </c>
      <c r="I582" s="276">
        <v>51.49</v>
      </c>
      <c r="J582" s="276">
        <v>6.58</v>
      </c>
      <c r="K582" s="276">
        <f t="shared" ref="K582:K645" si="9">H582-J582</f>
        <v>4.17</v>
      </c>
      <c r="L582" s="335"/>
      <c r="N582" s="288"/>
      <c r="O582" s="287"/>
      <c r="P582" s="287"/>
      <c r="Q582" s="287"/>
    </row>
    <row r="583" spans="1:17" ht="13.8">
      <c r="A583" s="275" t="s">
        <v>2807</v>
      </c>
      <c r="B583" s="275" t="s">
        <v>3103</v>
      </c>
      <c r="C583" s="275" t="s">
        <v>3316</v>
      </c>
      <c r="D583" s="275" t="s">
        <v>3056</v>
      </c>
      <c r="E583" s="275" t="s">
        <v>2802</v>
      </c>
      <c r="F583" s="278">
        <v>37925</v>
      </c>
      <c r="G583" s="275" t="s">
        <v>2803</v>
      </c>
      <c r="H583" s="276">
        <v>10.199999999999999</v>
      </c>
      <c r="I583" s="276">
        <v>50</v>
      </c>
      <c r="J583" s="276">
        <v>6.58</v>
      </c>
      <c r="K583" s="276">
        <f t="shared" si="9"/>
        <v>3.6199999999999992</v>
      </c>
      <c r="L583" s="335"/>
      <c r="N583" s="288"/>
      <c r="O583" s="287"/>
      <c r="P583" s="287"/>
      <c r="Q583" s="287"/>
    </row>
    <row r="584" spans="1:17" ht="13.8">
      <c r="A584" s="275" t="s">
        <v>2840</v>
      </c>
      <c r="B584" s="275" t="s">
        <v>3079</v>
      </c>
      <c r="C584" s="275" t="s">
        <v>3314</v>
      </c>
      <c r="D584" s="275" t="s">
        <v>3056</v>
      </c>
      <c r="E584" s="275" t="s">
        <v>2802</v>
      </c>
      <c r="F584" s="278">
        <v>37935</v>
      </c>
      <c r="G584" s="275" t="s">
        <v>2803</v>
      </c>
      <c r="H584" s="276">
        <v>10.6</v>
      </c>
      <c r="I584" s="276">
        <v>50.3</v>
      </c>
      <c r="J584" s="276">
        <v>6.58</v>
      </c>
      <c r="K584" s="276">
        <f t="shared" si="9"/>
        <v>4.0199999999999996</v>
      </c>
      <c r="L584" s="335"/>
      <c r="N584" s="288"/>
      <c r="O584" s="287"/>
      <c r="P584" s="287"/>
      <c r="Q584" s="287"/>
    </row>
    <row r="585" spans="1:17" ht="13.8">
      <c r="A585" s="275" t="s">
        <v>2871</v>
      </c>
      <c r="B585" s="275" t="s">
        <v>3079</v>
      </c>
      <c r="C585" s="275" t="s">
        <v>3313</v>
      </c>
      <c r="D585" s="275" t="s">
        <v>3056</v>
      </c>
      <c r="E585" s="275" t="s">
        <v>2802</v>
      </c>
      <c r="F585" s="278">
        <v>37973</v>
      </c>
      <c r="G585" s="275" t="s">
        <v>2803</v>
      </c>
      <c r="H585" s="276">
        <v>10.5</v>
      </c>
      <c r="I585" s="276">
        <v>50.96</v>
      </c>
      <c r="J585" s="276">
        <v>6.37</v>
      </c>
      <c r="K585" s="276">
        <f t="shared" si="9"/>
        <v>4.13</v>
      </c>
      <c r="L585" s="335"/>
      <c r="N585" s="288"/>
      <c r="O585" s="287"/>
      <c r="P585" s="287"/>
      <c r="Q585" s="287"/>
    </row>
    <row r="586" spans="1:17" ht="13.8">
      <c r="A586" s="275" t="s">
        <v>2809</v>
      </c>
      <c r="B586" s="275" t="s">
        <v>2854</v>
      </c>
      <c r="C586" s="275" t="s">
        <v>3312</v>
      </c>
      <c r="D586" s="275" t="s">
        <v>3056</v>
      </c>
      <c r="E586" s="275" t="s">
        <v>2802</v>
      </c>
      <c r="F586" s="278">
        <v>37974</v>
      </c>
      <c r="G586" s="275" t="s">
        <v>2803</v>
      </c>
      <c r="H586" s="276">
        <v>12</v>
      </c>
      <c r="I586" s="276">
        <v>60.27</v>
      </c>
      <c r="J586" s="276">
        <v>6.37</v>
      </c>
      <c r="K586" s="276">
        <f t="shared" si="9"/>
        <v>5.63</v>
      </c>
      <c r="L586" s="335"/>
      <c r="N586" s="288"/>
      <c r="O586" s="287"/>
      <c r="P586" s="287"/>
      <c r="Q586" s="287"/>
    </row>
    <row r="587" spans="1:17" ht="13.8">
      <c r="A587" s="275" t="s">
        <v>2809</v>
      </c>
      <c r="B587" s="275" t="s">
        <v>2853</v>
      </c>
      <c r="C587" s="275" t="s">
        <v>3311</v>
      </c>
      <c r="D587" s="275" t="s">
        <v>3056</v>
      </c>
      <c r="E587" s="275" t="s">
        <v>2802</v>
      </c>
      <c r="F587" s="278">
        <v>37974</v>
      </c>
      <c r="G587" s="275" t="s">
        <v>2803</v>
      </c>
      <c r="H587" s="276">
        <v>12</v>
      </c>
      <c r="I587" s="276">
        <v>56</v>
      </c>
      <c r="J587" s="276">
        <v>6.37</v>
      </c>
      <c r="K587" s="276">
        <f t="shared" si="9"/>
        <v>5.63</v>
      </c>
      <c r="L587" s="335"/>
      <c r="N587" s="288"/>
      <c r="O587" s="287"/>
      <c r="P587" s="287"/>
      <c r="Q587" s="287"/>
    </row>
    <row r="588" spans="1:17" ht="13.8">
      <c r="A588" s="275" t="s">
        <v>2809</v>
      </c>
      <c r="B588" s="275" t="s">
        <v>2810</v>
      </c>
      <c r="C588" s="275" t="s">
        <v>3310</v>
      </c>
      <c r="D588" s="275" t="s">
        <v>3056</v>
      </c>
      <c r="E588" s="275" t="s">
        <v>2802</v>
      </c>
      <c r="F588" s="278">
        <v>37999</v>
      </c>
      <c r="G588" s="275" t="s">
        <v>2803</v>
      </c>
      <c r="H588" s="276">
        <v>12</v>
      </c>
      <c r="I588" s="276">
        <v>55.91</v>
      </c>
      <c r="J588" s="276">
        <v>6.37</v>
      </c>
      <c r="K588" s="276">
        <f t="shared" si="9"/>
        <v>5.63</v>
      </c>
      <c r="L588" s="335"/>
      <c r="N588" s="288"/>
      <c r="O588" s="287"/>
      <c r="P588" s="287"/>
      <c r="Q588" s="287"/>
    </row>
    <row r="589" spans="1:17" ht="13.8">
      <c r="A589" s="275" t="s">
        <v>2878</v>
      </c>
      <c r="B589" s="275" t="s">
        <v>3309</v>
      </c>
      <c r="C589" s="275" t="s">
        <v>3308</v>
      </c>
      <c r="D589" s="275" t="s">
        <v>3056</v>
      </c>
      <c r="E589" s="275" t="s">
        <v>2802</v>
      </c>
      <c r="F589" s="278">
        <v>38026</v>
      </c>
      <c r="G589" s="275" t="s">
        <v>2803</v>
      </c>
      <c r="H589" s="276">
        <v>11.25</v>
      </c>
      <c r="I589" s="276">
        <v>36.770000000000003</v>
      </c>
      <c r="J589" s="276">
        <v>6.28</v>
      </c>
      <c r="K589" s="276">
        <f t="shared" si="9"/>
        <v>4.97</v>
      </c>
      <c r="L589" s="335"/>
      <c r="N589" s="288"/>
      <c r="O589" s="287"/>
      <c r="P589" s="287"/>
      <c r="Q589" s="287"/>
    </row>
    <row r="590" spans="1:17" ht="13.8">
      <c r="A590" s="275" t="s">
        <v>2844</v>
      </c>
      <c r="B590" s="275" t="s">
        <v>3094</v>
      </c>
      <c r="C590" s="275" t="s">
        <v>3307</v>
      </c>
      <c r="D590" s="275" t="s">
        <v>3056</v>
      </c>
      <c r="E590" s="275" t="s">
        <v>2802</v>
      </c>
      <c r="F590" s="278">
        <v>38062</v>
      </c>
      <c r="G590" s="275" t="s">
        <v>2803</v>
      </c>
      <c r="H590" s="276">
        <v>10.9</v>
      </c>
      <c r="I590" s="276">
        <v>42</v>
      </c>
      <c r="J590" s="276">
        <v>6.15</v>
      </c>
      <c r="K590" s="276">
        <f t="shared" si="9"/>
        <v>4.75</v>
      </c>
      <c r="L590" s="335"/>
      <c r="N590" s="288"/>
      <c r="O590" s="287"/>
      <c r="P590" s="287"/>
      <c r="Q590" s="287"/>
    </row>
    <row r="591" spans="1:17" ht="13.8">
      <c r="A591" s="275" t="s">
        <v>2844</v>
      </c>
      <c r="B591" s="275" t="s">
        <v>3094</v>
      </c>
      <c r="C591" s="275" t="s">
        <v>3306</v>
      </c>
      <c r="D591" s="275" t="s">
        <v>3056</v>
      </c>
      <c r="E591" s="275" t="s">
        <v>2802</v>
      </c>
      <c r="F591" s="278">
        <v>38062</v>
      </c>
      <c r="G591" s="275" t="s">
        <v>2803</v>
      </c>
      <c r="H591" s="276">
        <v>10.9</v>
      </c>
      <c r="I591" s="276">
        <v>42</v>
      </c>
      <c r="J591" s="276">
        <v>6.15</v>
      </c>
      <c r="K591" s="276">
        <f t="shared" si="9"/>
        <v>4.75</v>
      </c>
      <c r="L591" s="335"/>
      <c r="N591" s="288"/>
      <c r="O591" s="287"/>
      <c r="P591" s="287"/>
      <c r="Q591" s="287"/>
    </row>
    <row r="592" spans="1:17" ht="13.8">
      <c r="A592" s="275" t="s">
        <v>2881</v>
      </c>
      <c r="B592" s="275" t="s">
        <v>3075</v>
      </c>
      <c r="C592" s="275" t="s">
        <v>3305</v>
      </c>
      <c r="D592" s="275" t="s">
        <v>3056</v>
      </c>
      <c r="E592" s="275" t="s">
        <v>2802</v>
      </c>
      <c r="F592" s="278">
        <v>38132</v>
      </c>
      <c r="G592" s="275" t="s">
        <v>2803</v>
      </c>
      <c r="H592" s="276">
        <v>10</v>
      </c>
      <c r="I592" s="276">
        <v>49.8</v>
      </c>
      <c r="J592" s="276">
        <v>6.33</v>
      </c>
      <c r="K592" s="276">
        <f t="shared" si="9"/>
        <v>3.67</v>
      </c>
      <c r="L592" s="335"/>
      <c r="N592" s="288"/>
      <c r="O592" s="287"/>
      <c r="P592" s="287"/>
      <c r="Q592" s="287"/>
    </row>
    <row r="593" spans="1:17" ht="13.8">
      <c r="A593" s="275" t="s">
        <v>2837</v>
      </c>
      <c r="B593" s="275" t="s">
        <v>3094</v>
      </c>
      <c r="C593" s="275" t="s">
        <v>3304</v>
      </c>
      <c r="D593" s="275" t="s">
        <v>3056</v>
      </c>
      <c r="E593" s="275" t="s">
        <v>2802</v>
      </c>
      <c r="F593" s="278">
        <v>38225</v>
      </c>
      <c r="G593" s="275" t="s">
        <v>2803</v>
      </c>
      <c r="H593" s="276">
        <v>10.5</v>
      </c>
      <c r="I593" s="276">
        <v>40</v>
      </c>
      <c r="J593" s="276">
        <v>6.27</v>
      </c>
      <c r="K593" s="276">
        <f t="shared" si="9"/>
        <v>4.2300000000000004</v>
      </c>
      <c r="L593" s="335"/>
      <c r="N593" s="288"/>
      <c r="O593" s="287"/>
      <c r="P593" s="287"/>
      <c r="Q593" s="287"/>
    </row>
    <row r="594" spans="1:17" ht="13.8">
      <c r="A594" s="275" t="s">
        <v>2837</v>
      </c>
      <c r="B594" s="275" t="s">
        <v>3094</v>
      </c>
      <c r="C594" s="275" t="s">
        <v>3303</v>
      </c>
      <c r="D594" s="275" t="s">
        <v>3056</v>
      </c>
      <c r="E594" s="275" t="s">
        <v>2802</v>
      </c>
      <c r="F594" s="278">
        <v>38225</v>
      </c>
      <c r="G594" s="275" t="s">
        <v>2803</v>
      </c>
      <c r="H594" s="276">
        <v>10.5</v>
      </c>
      <c r="I594" s="276">
        <v>40</v>
      </c>
      <c r="J594" s="276">
        <v>6.27</v>
      </c>
      <c r="K594" s="276">
        <f t="shared" si="9"/>
        <v>4.2300000000000004</v>
      </c>
      <c r="L594" s="335"/>
      <c r="N594" s="288"/>
      <c r="O594" s="287"/>
      <c r="P594" s="287"/>
      <c r="Q594" s="287"/>
    </row>
    <row r="595" spans="1:17" ht="13.8">
      <c r="A595" s="275" t="s">
        <v>2833</v>
      </c>
      <c r="B595" s="275" t="s">
        <v>2834</v>
      </c>
      <c r="C595" s="275" t="s">
        <v>3302</v>
      </c>
      <c r="D595" s="275" t="s">
        <v>3056</v>
      </c>
      <c r="E595" s="275" t="s">
        <v>2802</v>
      </c>
      <c r="F595" s="278">
        <v>38239</v>
      </c>
      <c r="G595" s="275" t="s">
        <v>2803</v>
      </c>
      <c r="H595" s="276">
        <v>10.4</v>
      </c>
      <c r="I595" s="276">
        <v>42.59</v>
      </c>
      <c r="J595" s="276">
        <v>6.27</v>
      </c>
      <c r="K595" s="276">
        <f t="shared" si="9"/>
        <v>4.1300000000000008</v>
      </c>
      <c r="L595" s="335"/>
      <c r="N595" s="288"/>
      <c r="O595" s="287"/>
      <c r="P595" s="287"/>
      <c r="Q595" s="287"/>
    </row>
    <row r="596" spans="1:17" ht="13.8">
      <c r="A596" s="275" t="s">
        <v>2860</v>
      </c>
      <c r="B596" s="275" t="s">
        <v>3063</v>
      </c>
      <c r="C596" s="275" t="s">
        <v>3301</v>
      </c>
      <c r="D596" s="275" t="s">
        <v>3056</v>
      </c>
      <c r="E596" s="275" t="s">
        <v>2802</v>
      </c>
      <c r="F596" s="278">
        <v>38251</v>
      </c>
      <c r="G596" s="275" t="s">
        <v>2803</v>
      </c>
      <c r="H596" s="276">
        <v>10.5</v>
      </c>
      <c r="I596" s="276">
        <v>29.99</v>
      </c>
      <c r="J596" s="276">
        <v>6.15</v>
      </c>
      <c r="K596" s="276">
        <f t="shared" si="9"/>
        <v>4.3499999999999996</v>
      </c>
      <c r="L596" s="335"/>
      <c r="N596" s="288"/>
      <c r="O596" s="287"/>
      <c r="P596" s="287"/>
      <c r="Q596" s="287"/>
    </row>
    <row r="597" spans="1:17" ht="13.8">
      <c r="A597" s="275" t="s">
        <v>2873</v>
      </c>
      <c r="B597" s="275" t="s">
        <v>3972</v>
      </c>
      <c r="C597" s="275" t="s">
        <v>3300</v>
      </c>
      <c r="D597" s="275" t="s">
        <v>3056</v>
      </c>
      <c r="E597" s="275" t="s">
        <v>2802</v>
      </c>
      <c r="F597" s="278">
        <v>38280</v>
      </c>
      <c r="G597" s="275" t="s">
        <v>2803</v>
      </c>
      <c r="H597" s="276">
        <v>10.199999999999999</v>
      </c>
      <c r="I597" s="276">
        <v>35.5</v>
      </c>
      <c r="J597" s="276">
        <v>5.98</v>
      </c>
      <c r="K597" s="276">
        <f t="shared" si="9"/>
        <v>4.2199999999999989</v>
      </c>
      <c r="L597" s="335"/>
      <c r="N597" s="288"/>
      <c r="O597" s="287"/>
      <c r="P597" s="287"/>
      <c r="Q597" s="287"/>
    </row>
    <row r="598" spans="1:17" ht="13.8">
      <c r="A598" s="275" t="s">
        <v>2809</v>
      </c>
      <c r="B598" s="275" t="s">
        <v>2853</v>
      </c>
      <c r="C598" s="275" t="s">
        <v>3299</v>
      </c>
      <c r="D598" s="275" t="s">
        <v>3056</v>
      </c>
      <c r="E598" s="275" t="s">
        <v>2802</v>
      </c>
      <c r="F598" s="278">
        <v>38342</v>
      </c>
      <c r="G598" s="275" t="s">
        <v>2803</v>
      </c>
      <c r="H598" s="276">
        <v>11.5</v>
      </c>
      <c r="I598" s="276">
        <v>57.35</v>
      </c>
      <c r="J598" s="276">
        <v>5.96</v>
      </c>
      <c r="K598" s="276">
        <f t="shared" si="9"/>
        <v>5.54</v>
      </c>
      <c r="L598" s="335"/>
      <c r="N598" s="288"/>
      <c r="O598" s="287"/>
      <c r="P598" s="287"/>
      <c r="Q598" s="287"/>
    </row>
    <row r="599" spans="1:17" ht="13.8">
      <c r="A599" s="275" t="s">
        <v>2809</v>
      </c>
      <c r="B599" s="275" t="s">
        <v>2810</v>
      </c>
      <c r="C599" s="275" t="s">
        <v>3298</v>
      </c>
      <c r="D599" s="275" t="s">
        <v>3056</v>
      </c>
      <c r="E599" s="275" t="s">
        <v>2802</v>
      </c>
      <c r="F599" s="278">
        <v>38343</v>
      </c>
      <c r="G599" s="275" t="s">
        <v>2803</v>
      </c>
      <c r="H599" s="276">
        <v>11.5</v>
      </c>
      <c r="I599" s="276">
        <v>57.64</v>
      </c>
      <c r="J599" s="276">
        <v>5.96</v>
      </c>
      <c r="K599" s="276">
        <f t="shared" si="9"/>
        <v>5.54</v>
      </c>
      <c r="L599" s="335"/>
      <c r="N599" s="288"/>
      <c r="O599" s="287"/>
      <c r="P599" s="287"/>
      <c r="Q599" s="287"/>
    </row>
    <row r="600" spans="1:17" ht="13.8">
      <c r="A600" s="275" t="s">
        <v>2842</v>
      </c>
      <c r="B600" s="275" t="s">
        <v>2843</v>
      </c>
      <c r="C600" s="275" t="s">
        <v>3297</v>
      </c>
      <c r="D600" s="275" t="s">
        <v>3056</v>
      </c>
      <c r="E600" s="275" t="s">
        <v>2802</v>
      </c>
      <c r="F600" s="278">
        <v>38401</v>
      </c>
      <c r="G600" s="275" t="s">
        <v>2803</v>
      </c>
      <c r="H600" s="276">
        <v>10.3</v>
      </c>
      <c r="I600" s="276">
        <v>43</v>
      </c>
      <c r="J600" s="276">
        <v>5.79</v>
      </c>
      <c r="K600" s="276">
        <f t="shared" si="9"/>
        <v>4.5100000000000007</v>
      </c>
      <c r="L600" s="335"/>
      <c r="N600" s="288"/>
      <c r="O600" s="287"/>
      <c r="P600" s="287"/>
      <c r="Q600" s="287"/>
    </row>
    <row r="601" spans="1:17" ht="13.8">
      <c r="A601" s="275" t="s">
        <v>2851</v>
      </c>
      <c r="B601" s="275" t="s">
        <v>3105</v>
      </c>
      <c r="C601" s="275" t="s">
        <v>3296</v>
      </c>
      <c r="D601" s="275" t="s">
        <v>3056</v>
      </c>
      <c r="E601" s="275" t="s">
        <v>2802</v>
      </c>
      <c r="F601" s="278">
        <v>38470</v>
      </c>
      <c r="G601" s="275" t="s">
        <v>2803</v>
      </c>
      <c r="H601" s="276">
        <v>11</v>
      </c>
      <c r="I601" s="276">
        <v>39.31</v>
      </c>
      <c r="J601" s="276">
        <v>5.83</v>
      </c>
      <c r="K601" s="276">
        <f t="shared" si="9"/>
        <v>5.17</v>
      </c>
      <c r="L601" s="335"/>
      <c r="N601" s="288"/>
      <c r="O601" s="287"/>
      <c r="P601" s="287"/>
      <c r="Q601" s="287"/>
    </row>
    <row r="602" spans="1:17" ht="13.8">
      <c r="A602" s="275" t="s">
        <v>2809</v>
      </c>
      <c r="B602" s="275" t="s">
        <v>2854</v>
      </c>
      <c r="C602" s="275" t="s">
        <v>3295</v>
      </c>
      <c r="D602" s="275" t="s">
        <v>3056</v>
      </c>
      <c r="E602" s="275" t="s">
        <v>2802</v>
      </c>
      <c r="F602" s="278">
        <v>38552</v>
      </c>
      <c r="G602" s="275" t="s">
        <v>2803</v>
      </c>
      <c r="H602" s="276">
        <v>11.5</v>
      </c>
      <c r="I602" s="276">
        <v>61.75</v>
      </c>
      <c r="J602" s="276">
        <v>5.4</v>
      </c>
      <c r="K602" s="276">
        <f t="shared" si="9"/>
        <v>6.1</v>
      </c>
      <c r="L602" s="335"/>
      <c r="N602" s="288"/>
      <c r="O602" s="287"/>
      <c r="P602" s="287"/>
      <c r="Q602" s="287"/>
    </row>
    <row r="603" spans="1:17" ht="13.8">
      <c r="A603" s="275" t="s">
        <v>2856</v>
      </c>
      <c r="B603" s="275" t="s">
        <v>3129</v>
      </c>
      <c r="C603" s="275" t="s">
        <v>3294</v>
      </c>
      <c r="D603" s="275" t="s">
        <v>3056</v>
      </c>
      <c r="E603" s="275" t="s">
        <v>2802</v>
      </c>
      <c r="F603" s="278">
        <v>38614</v>
      </c>
      <c r="G603" s="275" t="s">
        <v>2803</v>
      </c>
      <c r="H603" s="276">
        <v>9.4499999999999993</v>
      </c>
      <c r="I603" s="276">
        <v>31.8</v>
      </c>
      <c r="J603" s="276">
        <v>5.51</v>
      </c>
      <c r="K603" s="276">
        <f t="shared" si="9"/>
        <v>3.9399999999999995</v>
      </c>
      <c r="L603" s="335"/>
      <c r="N603" s="288"/>
      <c r="O603" s="287"/>
      <c r="P603" s="287"/>
      <c r="Q603" s="287"/>
    </row>
    <row r="604" spans="1:17" ht="13.8">
      <c r="A604" s="275" t="s">
        <v>2801</v>
      </c>
      <c r="B604" s="275" t="s">
        <v>3089</v>
      </c>
      <c r="C604" s="275" t="s">
        <v>3293</v>
      </c>
      <c r="D604" s="275" t="s">
        <v>3056</v>
      </c>
      <c r="E604" s="275" t="s">
        <v>2802</v>
      </c>
      <c r="F604" s="278">
        <v>38625</v>
      </c>
      <c r="G604" s="275" t="s">
        <v>2803</v>
      </c>
      <c r="H604" s="276">
        <v>10.51</v>
      </c>
      <c r="I604" s="276">
        <v>56.37</v>
      </c>
      <c r="J604" s="276">
        <v>5.51</v>
      </c>
      <c r="K604" s="276">
        <f t="shared" si="9"/>
        <v>5</v>
      </c>
      <c r="L604" s="335"/>
      <c r="N604" s="288"/>
      <c r="O604" s="287"/>
      <c r="P604" s="287"/>
      <c r="Q604" s="287"/>
    </row>
    <row r="605" spans="1:17" ht="13.8">
      <c r="A605" s="275" t="s">
        <v>2856</v>
      </c>
      <c r="B605" s="275" t="s">
        <v>3292</v>
      </c>
      <c r="C605" s="275" t="s">
        <v>3291</v>
      </c>
      <c r="D605" s="275" t="s">
        <v>3056</v>
      </c>
      <c r="E605" s="275" t="s">
        <v>2802</v>
      </c>
      <c r="F605" s="278">
        <v>38658</v>
      </c>
      <c r="G605" s="275" t="s">
        <v>2803</v>
      </c>
      <c r="H605" s="276">
        <v>9.6999999999999993</v>
      </c>
      <c r="I605" s="276">
        <v>33.03</v>
      </c>
      <c r="J605" s="276">
        <v>5.5</v>
      </c>
      <c r="K605" s="276">
        <f t="shared" si="9"/>
        <v>4.1999999999999993</v>
      </c>
      <c r="L605" s="335"/>
      <c r="N605" s="288"/>
      <c r="O605" s="287"/>
      <c r="P605" s="287"/>
      <c r="Q605" s="287"/>
    </row>
    <row r="606" spans="1:17" ht="13.8">
      <c r="A606" s="275" t="s">
        <v>2807</v>
      </c>
      <c r="B606" s="275" t="s">
        <v>4026</v>
      </c>
      <c r="C606" s="275" t="s">
        <v>3290</v>
      </c>
      <c r="D606" s="275" t="s">
        <v>3056</v>
      </c>
      <c r="E606" s="275" t="s">
        <v>2802</v>
      </c>
      <c r="F606" s="278">
        <v>38686</v>
      </c>
      <c r="G606" s="275" t="s">
        <v>2803</v>
      </c>
      <c r="H606" s="276">
        <v>10</v>
      </c>
      <c r="I606" s="276">
        <v>53.95</v>
      </c>
      <c r="J606" s="276">
        <v>5.77</v>
      </c>
      <c r="K606" s="276">
        <f t="shared" si="9"/>
        <v>4.2300000000000004</v>
      </c>
      <c r="L606" s="335"/>
      <c r="N606" s="288"/>
      <c r="O606" s="287"/>
      <c r="P606" s="287"/>
      <c r="Q606" s="287"/>
    </row>
    <row r="607" spans="1:17" ht="13.8">
      <c r="A607" s="275" t="s">
        <v>2856</v>
      </c>
      <c r="B607" s="275" t="s">
        <v>3289</v>
      </c>
      <c r="C607" s="275" t="s">
        <v>3288</v>
      </c>
      <c r="D607" s="275" t="s">
        <v>3056</v>
      </c>
      <c r="E607" s="275" t="s">
        <v>2802</v>
      </c>
      <c r="F607" s="278">
        <v>38695</v>
      </c>
      <c r="G607" s="275" t="s">
        <v>2803</v>
      </c>
      <c r="H607" s="276">
        <v>9.6999999999999993</v>
      </c>
      <c r="I607" s="276">
        <v>41.04</v>
      </c>
      <c r="J607" s="276">
        <v>5.77</v>
      </c>
      <c r="K607" s="276">
        <f t="shared" si="9"/>
        <v>3.9299999999999997</v>
      </c>
      <c r="L607" s="335"/>
      <c r="N607" s="288"/>
      <c r="O607" s="287"/>
      <c r="P607" s="287"/>
      <c r="Q607" s="287"/>
    </row>
    <row r="608" spans="1:17" ht="13.8">
      <c r="A608" s="275" t="s">
        <v>2809</v>
      </c>
      <c r="B608" s="275" t="s">
        <v>2810</v>
      </c>
      <c r="C608" s="275" t="s">
        <v>3287</v>
      </c>
      <c r="D608" s="275" t="s">
        <v>3056</v>
      </c>
      <c r="E608" s="275" t="s">
        <v>2802</v>
      </c>
      <c r="F608" s="278">
        <v>38698</v>
      </c>
      <c r="G608" s="275" t="s">
        <v>2803</v>
      </c>
      <c r="H608" s="276">
        <v>11</v>
      </c>
      <c r="I608" s="276">
        <v>56.65</v>
      </c>
      <c r="J608" s="276">
        <v>5.77</v>
      </c>
      <c r="K608" s="276">
        <f t="shared" si="9"/>
        <v>5.23</v>
      </c>
      <c r="L608" s="335"/>
      <c r="N608" s="288"/>
      <c r="O608" s="287"/>
      <c r="P608" s="287"/>
      <c r="Q608" s="287"/>
    </row>
    <row r="609" spans="1:17" ht="13.8">
      <c r="A609" s="275" t="s">
        <v>2806</v>
      </c>
      <c r="B609" s="275" t="s">
        <v>3075</v>
      </c>
      <c r="C609" s="275" t="s">
        <v>3286</v>
      </c>
      <c r="D609" s="275" t="s">
        <v>3056</v>
      </c>
      <c r="E609" s="275" t="s">
        <v>2802</v>
      </c>
      <c r="F609" s="278">
        <v>38706</v>
      </c>
      <c r="G609" s="275" t="s">
        <v>2803</v>
      </c>
      <c r="H609" s="276">
        <v>10.130000000000001</v>
      </c>
      <c r="I609" s="276">
        <v>45</v>
      </c>
      <c r="J609" s="276">
        <v>5.88</v>
      </c>
      <c r="K609" s="276">
        <f t="shared" si="9"/>
        <v>4.2500000000000009</v>
      </c>
      <c r="L609" s="335"/>
      <c r="N609" s="288"/>
      <c r="O609" s="287"/>
      <c r="P609" s="287"/>
      <c r="Q609" s="287"/>
    </row>
    <row r="610" spans="1:17" ht="13.8">
      <c r="A610" s="275" t="s">
        <v>2805</v>
      </c>
      <c r="B610" s="275" t="s">
        <v>2829</v>
      </c>
      <c r="C610" s="275" t="s">
        <v>3285</v>
      </c>
      <c r="D610" s="275" t="s">
        <v>3056</v>
      </c>
      <c r="E610" s="275" t="s">
        <v>2802</v>
      </c>
      <c r="F610" s="278">
        <v>38707</v>
      </c>
      <c r="G610" s="275" t="s">
        <v>2803</v>
      </c>
      <c r="H610" s="276">
        <v>11</v>
      </c>
      <c r="I610" s="276">
        <v>48.4</v>
      </c>
      <c r="J610" s="276">
        <v>5.88</v>
      </c>
      <c r="K610" s="276">
        <f t="shared" si="9"/>
        <v>5.12</v>
      </c>
      <c r="L610" s="335"/>
      <c r="N610" s="288"/>
      <c r="O610" s="287"/>
      <c r="P610" s="287"/>
      <c r="Q610" s="287"/>
    </row>
    <row r="611" spans="1:17" ht="13.8">
      <c r="A611" s="275" t="s">
        <v>2809</v>
      </c>
      <c r="B611" s="275" t="s">
        <v>2853</v>
      </c>
      <c r="C611" s="275" t="s">
        <v>3283</v>
      </c>
      <c r="D611" s="275" t="s">
        <v>3056</v>
      </c>
      <c r="E611" s="275" t="s">
        <v>2802</v>
      </c>
      <c r="F611" s="278">
        <v>38708</v>
      </c>
      <c r="G611" s="275" t="s">
        <v>2803</v>
      </c>
      <c r="H611" s="276">
        <v>11</v>
      </c>
      <c r="I611" s="276">
        <v>59.73</v>
      </c>
      <c r="J611" s="276">
        <v>5.88</v>
      </c>
      <c r="K611" s="276">
        <f t="shared" si="9"/>
        <v>5.12</v>
      </c>
      <c r="L611" s="335"/>
      <c r="N611" s="288"/>
      <c r="O611" s="287"/>
      <c r="P611" s="287"/>
      <c r="Q611" s="287"/>
    </row>
    <row r="612" spans="1:17" ht="13.8">
      <c r="A612" s="275" t="s">
        <v>2835</v>
      </c>
      <c r="B612" s="275" t="s">
        <v>2877</v>
      </c>
      <c r="C612" s="275" t="s">
        <v>3284</v>
      </c>
      <c r="D612" s="275" t="s">
        <v>3056</v>
      </c>
      <c r="E612" s="275" t="s">
        <v>2802</v>
      </c>
      <c r="F612" s="278">
        <v>38708</v>
      </c>
      <c r="G612" s="275" t="s">
        <v>2803</v>
      </c>
      <c r="H612" s="276">
        <v>10.199999999999999</v>
      </c>
      <c r="I612" s="276">
        <v>54.45</v>
      </c>
      <c r="J612" s="276">
        <v>5.88</v>
      </c>
      <c r="K612" s="276">
        <f t="shared" si="9"/>
        <v>4.3199999999999994</v>
      </c>
      <c r="L612" s="335"/>
      <c r="N612" s="288"/>
      <c r="O612" s="287"/>
      <c r="P612" s="287"/>
      <c r="Q612" s="287"/>
    </row>
    <row r="613" spans="1:17" ht="13.8">
      <c r="A613" s="275" t="s">
        <v>2809</v>
      </c>
      <c r="B613" s="275" t="s">
        <v>4023</v>
      </c>
      <c r="C613" s="275" t="s">
        <v>3282</v>
      </c>
      <c r="D613" s="275" t="s">
        <v>3056</v>
      </c>
      <c r="E613" s="275" t="s">
        <v>2802</v>
      </c>
      <c r="F613" s="278">
        <v>38722</v>
      </c>
      <c r="G613" s="275" t="s">
        <v>2803</v>
      </c>
      <c r="H613" s="276">
        <v>11</v>
      </c>
      <c r="I613" s="276">
        <v>53.66</v>
      </c>
      <c r="J613" s="276">
        <v>5.88</v>
      </c>
      <c r="K613" s="276">
        <f t="shared" si="9"/>
        <v>5.12</v>
      </c>
      <c r="L613" s="335"/>
      <c r="N613" s="288"/>
      <c r="O613" s="287"/>
      <c r="P613" s="287"/>
      <c r="Q613" s="287"/>
    </row>
    <row r="614" spans="1:17" ht="13.8">
      <c r="A614" s="275" t="s">
        <v>2809</v>
      </c>
      <c r="B614" s="275" t="s">
        <v>2879</v>
      </c>
      <c r="C614" s="275" t="s">
        <v>3281</v>
      </c>
      <c r="D614" s="275" t="s">
        <v>3056</v>
      </c>
      <c r="E614" s="275" t="s">
        <v>2802</v>
      </c>
      <c r="F614" s="278">
        <v>38742</v>
      </c>
      <c r="G614" s="275" t="s">
        <v>2803</v>
      </c>
      <c r="H614" s="276">
        <v>11.2</v>
      </c>
      <c r="I614" s="276">
        <v>56.34</v>
      </c>
      <c r="J614" s="276">
        <v>5.82</v>
      </c>
      <c r="K614" s="276">
        <f t="shared" si="9"/>
        <v>5.379999999999999</v>
      </c>
      <c r="L614" s="335"/>
      <c r="N614" s="288"/>
      <c r="O614" s="287"/>
      <c r="P614" s="287"/>
      <c r="Q614" s="287"/>
    </row>
    <row r="615" spans="1:17" ht="13.8">
      <c r="A615" s="275" t="s">
        <v>2809</v>
      </c>
      <c r="B615" s="275" t="s">
        <v>3142</v>
      </c>
      <c r="C615" s="275" t="s">
        <v>3280</v>
      </c>
      <c r="D615" s="275" t="s">
        <v>3056</v>
      </c>
      <c r="E615" s="275" t="s">
        <v>2802</v>
      </c>
      <c r="F615" s="278">
        <v>38742</v>
      </c>
      <c r="G615" s="275" t="s">
        <v>2803</v>
      </c>
      <c r="H615" s="276">
        <v>11.2</v>
      </c>
      <c r="I615" s="276">
        <v>50.2</v>
      </c>
      <c r="J615" s="276">
        <v>5.82</v>
      </c>
      <c r="K615" s="276">
        <f t="shared" si="9"/>
        <v>5.379999999999999</v>
      </c>
      <c r="L615" s="335"/>
      <c r="N615" s="288"/>
      <c r="O615" s="287"/>
      <c r="P615" s="287"/>
      <c r="Q615" s="287"/>
    </row>
    <row r="616" spans="1:17" ht="13.8">
      <c r="A616" s="275" t="s">
        <v>2824</v>
      </c>
      <c r="B616" s="275" t="s">
        <v>3094</v>
      </c>
      <c r="C616" s="275" t="s">
        <v>3279</v>
      </c>
      <c r="D616" s="275" t="s">
        <v>3056</v>
      </c>
      <c r="E616" s="275" t="s">
        <v>2802</v>
      </c>
      <c r="F616" s="278">
        <v>38763</v>
      </c>
      <c r="G616" s="275" t="s">
        <v>2803</v>
      </c>
      <c r="H616" s="276">
        <v>9.5</v>
      </c>
      <c r="I616" s="276">
        <v>40</v>
      </c>
      <c r="J616" s="276">
        <v>5.75</v>
      </c>
      <c r="K616" s="276">
        <f t="shared" si="9"/>
        <v>3.75</v>
      </c>
      <c r="L616" s="335"/>
      <c r="N616" s="288"/>
      <c r="O616" s="287"/>
      <c r="P616" s="287"/>
      <c r="Q616" s="287"/>
    </row>
    <row r="617" spans="1:17" ht="13.8">
      <c r="A617" s="275" t="s">
        <v>2837</v>
      </c>
      <c r="B617" s="275" t="s">
        <v>2839</v>
      </c>
      <c r="C617" s="275" t="s">
        <v>3278</v>
      </c>
      <c r="D617" s="275" t="s">
        <v>3056</v>
      </c>
      <c r="E617" s="275" t="s">
        <v>2802</v>
      </c>
      <c r="F617" s="278">
        <v>38833</v>
      </c>
      <c r="G617" s="275" t="s">
        <v>2803</v>
      </c>
      <c r="H617" s="276">
        <v>10.6</v>
      </c>
      <c r="I617" s="276">
        <v>40.76</v>
      </c>
      <c r="J617" s="276">
        <v>5.98</v>
      </c>
      <c r="K617" s="276">
        <f t="shared" si="9"/>
        <v>4.6199999999999992</v>
      </c>
      <c r="L617" s="335"/>
      <c r="N617" s="288"/>
      <c r="O617" s="287"/>
      <c r="P617" s="287"/>
      <c r="Q617" s="287"/>
    </row>
    <row r="618" spans="1:17" ht="13.8">
      <c r="A618" s="275" t="s">
        <v>2871</v>
      </c>
      <c r="B618" s="275" t="s">
        <v>3277</v>
      </c>
      <c r="C618" s="275" t="s">
        <v>3276</v>
      </c>
      <c r="D618" s="275" t="s">
        <v>3056</v>
      </c>
      <c r="E618" s="275" t="s">
        <v>2802</v>
      </c>
      <c r="F618" s="278">
        <v>38922</v>
      </c>
      <c r="G618" s="275" t="s">
        <v>2803</v>
      </c>
      <c r="H618" s="276">
        <v>10</v>
      </c>
      <c r="I618" s="276">
        <v>44.96</v>
      </c>
      <c r="J618" s="276">
        <v>6.4</v>
      </c>
      <c r="K618" s="276">
        <f t="shared" si="9"/>
        <v>3.5999999999999996</v>
      </c>
      <c r="L618" s="335"/>
      <c r="N618" s="288"/>
      <c r="O618" s="287"/>
      <c r="P618" s="287"/>
      <c r="Q618" s="287"/>
    </row>
    <row r="619" spans="1:17" ht="13.8">
      <c r="A619" s="275" t="s">
        <v>2857</v>
      </c>
      <c r="B619" s="275" t="s">
        <v>3129</v>
      </c>
      <c r="C619" s="275" t="s">
        <v>3275</v>
      </c>
      <c r="D619" s="275" t="s">
        <v>3056</v>
      </c>
      <c r="E619" s="275" t="s">
        <v>2802</v>
      </c>
      <c r="F619" s="278">
        <v>39023</v>
      </c>
      <c r="G619" s="275" t="s">
        <v>2803</v>
      </c>
      <c r="H619" s="276">
        <v>9.7100000000000009</v>
      </c>
      <c r="I619" s="276">
        <v>46.14</v>
      </c>
      <c r="J619" s="276">
        <v>6</v>
      </c>
      <c r="K619" s="276">
        <f t="shared" si="9"/>
        <v>3.7100000000000009</v>
      </c>
      <c r="L619" s="335"/>
      <c r="N619" s="288"/>
      <c r="O619" s="287"/>
      <c r="P619" s="287"/>
      <c r="Q619" s="287"/>
    </row>
    <row r="620" spans="1:17" ht="13.8">
      <c r="A620" s="275" t="s">
        <v>2851</v>
      </c>
      <c r="B620" s="275" t="s">
        <v>2876</v>
      </c>
      <c r="C620" s="275" t="s">
        <v>3274</v>
      </c>
      <c r="D620" s="275" t="s">
        <v>3056</v>
      </c>
      <c r="E620" s="275" t="s">
        <v>2802</v>
      </c>
      <c r="F620" s="278">
        <v>39042</v>
      </c>
      <c r="G620" s="275" t="s">
        <v>2803</v>
      </c>
      <c r="H620" s="276">
        <v>11</v>
      </c>
      <c r="I620" s="276">
        <v>35.06</v>
      </c>
      <c r="J620" s="276">
        <v>5.98</v>
      </c>
      <c r="K620" s="276">
        <f t="shared" si="9"/>
        <v>5.0199999999999996</v>
      </c>
      <c r="L620" s="335"/>
      <c r="N620" s="288"/>
      <c r="O620" s="287"/>
      <c r="P620" s="287"/>
      <c r="Q620" s="287"/>
    </row>
    <row r="621" spans="1:17" ht="13.8">
      <c r="A621" s="275" t="s">
        <v>2842</v>
      </c>
      <c r="B621" s="275" t="s">
        <v>2843</v>
      </c>
      <c r="C621" s="275" t="s">
        <v>3273</v>
      </c>
      <c r="D621" s="275" t="s">
        <v>3056</v>
      </c>
      <c r="E621" s="275" t="s">
        <v>2802</v>
      </c>
      <c r="F621" s="278">
        <v>39087</v>
      </c>
      <c r="G621" s="275" t="s">
        <v>2803</v>
      </c>
      <c r="H621" s="276">
        <v>10.4</v>
      </c>
      <c r="I621" s="276">
        <v>44</v>
      </c>
      <c r="J621" s="276">
        <v>5.8</v>
      </c>
      <c r="K621" s="276">
        <f t="shared" si="9"/>
        <v>4.6000000000000005</v>
      </c>
      <c r="L621" s="335"/>
      <c r="N621" s="288"/>
      <c r="O621" s="287"/>
      <c r="P621" s="287"/>
      <c r="Q621" s="287"/>
    </row>
    <row r="622" spans="1:17" ht="13.8">
      <c r="A622" s="275" t="s">
        <v>2809</v>
      </c>
      <c r="B622" s="275" t="s">
        <v>2853</v>
      </c>
      <c r="C622" s="275" t="s">
        <v>3272</v>
      </c>
      <c r="D622" s="275" t="s">
        <v>3056</v>
      </c>
      <c r="E622" s="275" t="s">
        <v>2802</v>
      </c>
      <c r="F622" s="278">
        <v>39093</v>
      </c>
      <c r="G622" s="275" t="s">
        <v>2803</v>
      </c>
      <c r="H622" s="276">
        <v>10.9</v>
      </c>
      <c r="I622" s="276">
        <v>57.46</v>
      </c>
      <c r="J622" s="276">
        <v>5.8</v>
      </c>
      <c r="K622" s="276">
        <f t="shared" si="9"/>
        <v>5.1000000000000005</v>
      </c>
      <c r="L622" s="335"/>
      <c r="N622" s="288"/>
      <c r="O622" s="287"/>
      <c r="P622" s="287"/>
      <c r="Q622" s="287"/>
    </row>
    <row r="623" spans="1:17" ht="13.8">
      <c r="A623" s="275" t="s">
        <v>2809</v>
      </c>
      <c r="B623" s="275" t="s">
        <v>2854</v>
      </c>
      <c r="C623" s="275" t="s">
        <v>3271</v>
      </c>
      <c r="D623" s="275" t="s">
        <v>3056</v>
      </c>
      <c r="E623" s="275" t="s">
        <v>2802</v>
      </c>
      <c r="F623" s="278">
        <v>39101</v>
      </c>
      <c r="G623" s="275" t="s">
        <v>2803</v>
      </c>
      <c r="H623" s="276">
        <v>10.8</v>
      </c>
      <c r="I623" s="276">
        <v>54.13</v>
      </c>
      <c r="J623" s="276">
        <v>5.81</v>
      </c>
      <c r="K623" s="276">
        <f t="shared" si="9"/>
        <v>4.9900000000000011</v>
      </c>
      <c r="L623" s="335"/>
      <c r="N623" s="288"/>
      <c r="O623" s="287"/>
      <c r="P623" s="287"/>
      <c r="Q623" s="287"/>
    </row>
    <row r="624" spans="1:17" ht="13.8">
      <c r="A624" s="275" t="s">
        <v>2804</v>
      </c>
      <c r="B624" s="275" t="s">
        <v>4032</v>
      </c>
      <c r="C624" s="275" t="s">
        <v>3270</v>
      </c>
      <c r="D624" s="275" t="s">
        <v>3056</v>
      </c>
      <c r="E624" s="275" t="s">
        <v>2802</v>
      </c>
      <c r="F624" s="278">
        <v>39121</v>
      </c>
      <c r="G624" s="275" t="s">
        <v>2803</v>
      </c>
      <c r="H624" s="276">
        <v>10.4</v>
      </c>
      <c r="I624" s="276">
        <v>51.79</v>
      </c>
      <c r="J624" s="276">
        <v>5.81</v>
      </c>
      <c r="K624" s="276">
        <f t="shared" si="9"/>
        <v>4.5900000000000007</v>
      </c>
      <c r="L624" s="335"/>
      <c r="N624" s="288"/>
      <c r="O624" s="287"/>
      <c r="P624" s="287"/>
      <c r="Q624" s="287"/>
    </row>
    <row r="625" spans="1:17" ht="13.8">
      <c r="A625" s="275" t="s">
        <v>2860</v>
      </c>
      <c r="B625" s="275" t="s">
        <v>3063</v>
      </c>
      <c r="C625" s="275" t="s">
        <v>3269</v>
      </c>
      <c r="D625" s="275" t="s">
        <v>3056</v>
      </c>
      <c r="E625" s="275" t="s">
        <v>2802</v>
      </c>
      <c r="F625" s="278">
        <v>39163</v>
      </c>
      <c r="G625" s="275" t="s">
        <v>2803</v>
      </c>
      <c r="H625" s="276">
        <v>10.5</v>
      </c>
      <c r="I625" s="276">
        <v>36.06</v>
      </c>
      <c r="J625" s="276">
        <v>5.9</v>
      </c>
      <c r="K625" s="276">
        <f t="shared" si="9"/>
        <v>4.5999999999999996</v>
      </c>
      <c r="L625" s="335"/>
      <c r="N625" s="288"/>
      <c r="O625" s="287"/>
      <c r="P625" s="287"/>
      <c r="Q625" s="287"/>
    </row>
    <row r="626" spans="1:17" ht="13.8">
      <c r="A626" s="275" t="s">
        <v>2881</v>
      </c>
      <c r="B626" s="275" t="s">
        <v>3075</v>
      </c>
      <c r="C626" s="275" t="s">
        <v>3268</v>
      </c>
      <c r="D626" s="275" t="s">
        <v>3056</v>
      </c>
      <c r="E626" s="275" t="s">
        <v>2802</v>
      </c>
      <c r="F626" s="278">
        <v>39170</v>
      </c>
      <c r="G626" s="275" t="s">
        <v>2803</v>
      </c>
      <c r="H626" s="276">
        <v>10</v>
      </c>
      <c r="I626" s="276">
        <v>48.1</v>
      </c>
      <c r="J626" s="276">
        <v>5.9</v>
      </c>
      <c r="K626" s="276">
        <f t="shared" si="9"/>
        <v>4.0999999999999996</v>
      </c>
      <c r="L626" s="335"/>
      <c r="N626" s="288"/>
      <c r="O626" s="287"/>
      <c r="P626" s="287"/>
      <c r="Q626" s="287"/>
    </row>
    <row r="627" spans="1:17" ht="13.8">
      <c r="A627" s="275" t="s">
        <v>2858</v>
      </c>
      <c r="B627" s="275" t="s">
        <v>2859</v>
      </c>
      <c r="C627" s="275" t="s">
        <v>3267</v>
      </c>
      <c r="D627" s="275" t="s">
        <v>3056</v>
      </c>
      <c r="E627" s="275" t="s">
        <v>2802</v>
      </c>
      <c r="F627" s="278">
        <v>39262</v>
      </c>
      <c r="G627" s="275" t="s">
        <v>2803</v>
      </c>
      <c r="H627" s="276">
        <v>9.5299999999999994</v>
      </c>
      <c r="I627" s="276">
        <v>51.8</v>
      </c>
      <c r="J627" s="276">
        <v>5.99</v>
      </c>
      <c r="K627" s="276">
        <f t="shared" si="9"/>
        <v>3.5399999999999991</v>
      </c>
      <c r="L627" s="335"/>
      <c r="N627" s="288"/>
      <c r="O627" s="287"/>
      <c r="P627" s="287"/>
      <c r="Q627" s="287"/>
    </row>
    <row r="628" spans="1:17" ht="13.8">
      <c r="A628" s="275" t="s">
        <v>3187</v>
      </c>
      <c r="B628" s="275" t="s">
        <v>4375</v>
      </c>
      <c r="C628" s="275" t="s">
        <v>3266</v>
      </c>
      <c r="D628" s="275" t="s">
        <v>3056</v>
      </c>
      <c r="E628" s="275" t="s">
        <v>2802</v>
      </c>
      <c r="F628" s="278">
        <v>39287</v>
      </c>
      <c r="G628" s="275" t="s">
        <v>2803</v>
      </c>
      <c r="H628" s="276">
        <v>10.4</v>
      </c>
      <c r="I628" s="276">
        <v>51</v>
      </c>
      <c r="J628" s="276">
        <v>6.3</v>
      </c>
      <c r="K628" s="276">
        <f t="shared" si="9"/>
        <v>4.1000000000000005</v>
      </c>
      <c r="L628" s="335"/>
      <c r="N628" s="288"/>
      <c r="O628" s="287"/>
      <c r="P628" s="287"/>
      <c r="Q628" s="287"/>
    </row>
    <row r="629" spans="1:17" ht="13.8">
      <c r="A629" s="275" t="s">
        <v>2857</v>
      </c>
      <c r="B629" s="275" t="s">
        <v>4023</v>
      </c>
      <c r="C629" s="275" t="s">
        <v>3265</v>
      </c>
      <c r="D629" s="275" t="s">
        <v>3056</v>
      </c>
      <c r="E629" s="275" t="s">
        <v>2802</v>
      </c>
      <c r="F629" s="278">
        <v>39335</v>
      </c>
      <c r="G629" s="275" t="s">
        <v>2803</v>
      </c>
      <c r="H629" s="276">
        <v>9.7100000000000009</v>
      </c>
      <c r="I629" s="276">
        <v>51.98</v>
      </c>
      <c r="J629" s="276">
        <v>6.25</v>
      </c>
      <c r="K629" s="276">
        <f t="shared" si="9"/>
        <v>3.4600000000000009</v>
      </c>
      <c r="L629" s="335"/>
      <c r="N629" s="288"/>
      <c r="O629" s="287"/>
      <c r="P629" s="287"/>
      <c r="Q629" s="287"/>
    </row>
    <row r="630" spans="1:17" ht="13.8">
      <c r="A630" s="275" t="s">
        <v>2805</v>
      </c>
      <c r="B630" s="275" t="s">
        <v>3079</v>
      </c>
      <c r="C630" s="275" t="s">
        <v>3264</v>
      </c>
      <c r="D630" s="275" t="s">
        <v>3056</v>
      </c>
      <c r="E630" s="275" t="s">
        <v>2802</v>
      </c>
      <c r="F630" s="278">
        <v>39401</v>
      </c>
      <c r="G630" s="275" t="s">
        <v>2803</v>
      </c>
      <c r="H630" s="276">
        <v>10</v>
      </c>
      <c r="I630" s="276">
        <v>53.02</v>
      </c>
      <c r="J630" s="276">
        <v>6.11</v>
      </c>
      <c r="K630" s="276">
        <f t="shared" si="9"/>
        <v>3.8899999999999997</v>
      </c>
      <c r="L630" s="335"/>
      <c r="N630" s="288"/>
      <c r="O630" s="287"/>
      <c r="P630" s="287"/>
      <c r="Q630" s="287"/>
    </row>
    <row r="631" spans="1:17" ht="13.8">
      <c r="A631" s="275" t="s">
        <v>2824</v>
      </c>
      <c r="B631" s="275" t="s">
        <v>3190</v>
      </c>
      <c r="C631" s="275" t="s">
        <v>3263</v>
      </c>
      <c r="D631" s="275" t="s">
        <v>3056</v>
      </c>
      <c r="E631" s="275" t="s">
        <v>2802</v>
      </c>
      <c r="F631" s="278">
        <v>39413</v>
      </c>
      <c r="G631" s="275" t="s">
        <v>2803</v>
      </c>
      <c r="H631" s="276">
        <v>10</v>
      </c>
      <c r="I631" s="276">
        <v>50</v>
      </c>
      <c r="J631" s="276">
        <v>6.11</v>
      </c>
      <c r="K631" s="276">
        <f t="shared" si="9"/>
        <v>3.8899999999999997</v>
      </c>
      <c r="L631" s="335"/>
      <c r="N631" s="288"/>
      <c r="O631" s="287"/>
      <c r="P631" s="287"/>
      <c r="Q631" s="287"/>
    </row>
    <row r="632" spans="1:17" ht="13.8">
      <c r="A632" s="275" t="s">
        <v>2809</v>
      </c>
      <c r="B632" s="275" t="s">
        <v>2810</v>
      </c>
      <c r="C632" s="275" t="s">
        <v>3262</v>
      </c>
      <c r="D632" s="275" t="s">
        <v>3056</v>
      </c>
      <c r="E632" s="275" t="s">
        <v>2802</v>
      </c>
      <c r="F632" s="278">
        <v>39430</v>
      </c>
      <c r="G632" s="275" t="s">
        <v>2803</v>
      </c>
      <c r="H632" s="276">
        <v>10.8</v>
      </c>
      <c r="I632" s="276">
        <v>57.36</v>
      </c>
      <c r="J632" s="276">
        <v>6.11</v>
      </c>
      <c r="K632" s="276">
        <f t="shared" si="9"/>
        <v>4.6900000000000004</v>
      </c>
      <c r="L632" s="335"/>
      <c r="N632" s="288"/>
      <c r="O632" s="287"/>
      <c r="P632" s="287"/>
      <c r="Q632" s="287"/>
    </row>
    <row r="633" spans="1:17" ht="13.8">
      <c r="A633" s="275" t="s">
        <v>2811</v>
      </c>
      <c r="B633" s="275" t="s">
        <v>4014</v>
      </c>
      <c r="C633" s="275" t="s">
        <v>3261</v>
      </c>
      <c r="D633" s="275" t="s">
        <v>3056</v>
      </c>
      <c r="E633" s="275" t="s">
        <v>2802</v>
      </c>
      <c r="F633" s="278">
        <v>39437</v>
      </c>
      <c r="G633" s="275" t="s">
        <v>2803</v>
      </c>
      <c r="H633" s="276">
        <v>9.1</v>
      </c>
      <c r="I633" s="276">
        <v>44.35</v>
      </c>
      <c r="J633" s="276">
        <v>5.97</v>
      </c>
      <c r="K633" s="276">
        <f t="shared" si="9"/>
        <v>3.13</v>
      </c>
      <c r="L633" s="335"/>
      <c r="N633" s="288"/>
      <c r="O633" s="287"/>
      <c r="P633" s="287"/>
      <c r="Q633" s="287"/>
    </row>
    <row r="634" spans="1:17" ht="13.8">
      <c r="A634" s="275" t="s">
        <v>2809</v>
      </c>
      <c r="B634" s="275" t="s">
        <v>4023</v>
      </c>
      <c r="C634" s="275" t="s">
        <v>3260</v>
      </c>
      <c r="D634" s="275" t="s">
        <v>3056</v>
      </c>
      <c r="E634" s="275" t="s">
        <v>2802</v>
      </c>
      <c r="F634" s="278">
        <v>39455</v>
      </c>
      <c r="G634" s="275" t="s">
        <v>2803</v>
      </c>
      <c r="H634" s="276">
        <v>10.75</v>
      </c>
      <c r="I634" s="276">
        <v>52.51</v>
      </c>
      <c r="J634" s="276">
        <v>5.97</v>
      </c>
      <c r="K634" s="276">
        <f t="shared" si="9"/>
        <v>4.78</v>
      </c>
      <c r="L634" s="335"/>
      <c r="N634" s="288"/>
      <c r="O634" s="287"/>
      <c r="P634" s="287"/>
      <c r="Q634" s="287"/>
    </row>
    <row r="635" spans="1:17" ht="13.8">
      <c r="A635" s="275" t="s">
        <v>2809</v>
      </c>
      <c r="B635" s="275" t="s">
        <v>2879</v>
      </c>
      <c r="C635" s="275" t="s">
        <v>3259</v>
      </c>
      <c r="D635" s="275" t="s">
        <v>3056</v>
      </c>
      <c r="E635" s="275" t="s">
        <v>2802</v>
      </c>
      <c r="F635" s="278">
        <v>39464</v>
      </c>
      <c r="G635" s="275" t="s">
        <v>2803</v>
      </c>
      <c r="H635" s="276">
        <v>10.75</v>
      </c>
      <c r="I635" s="276">
        <v>54.36</v>
      </c>
      <c r="J635" s="276">
        <v>6.16</v>
      </c>
      <c r="K635" s="276">
        <f t="shared" si="9"/>
        <v>4.59</v>
      </c>
      <c r="L635" s="335"/>
      <c r="N635" s="288"/>
      <c r="O635" s="287"/>
      <c r="P635" s="287"/>
      <c r="Q635" s="287"/>
    </row>
    <row r="636" spans="1:17" ht="13.8">
      <c r="A636" s="275" t="s">
        <v>2809</v>
      </c>
      <c r="B636" s="275" t="s">
        <v>3142</v>
      </c>
      <c r="C636" s="275" t="s">
        <v>3258</v>
      </c>
      <c r="D636" s="275" t="s">
        <v>3056</v>
      </c>
      <c r="E636" s="275" t="s">
        <v>2802</v>
      </c>
      <c r="F636" s="278">
        <v>39464</v>
      </c>
      <c r="G636" s="275" t="s">
        <v>2803</v>
      </c>
      <c r="H636" s="276">
        <v>10.75</v>
      </c>
      <c r="I636" s="276">
        <v>46.64</v>
      </c>
      <c r="J636" s="276">
        <v>6.16</v>
      </c>
      <c r="K636" s="276">
        <f t="shared" si="9"/>
        <v>4.59</v>
      </c>
      <c r="L636" s="335"/>
      <c r="N636" s="288"/>
      <c r="O636" s="287"/>
      <c r="P636" s="287"/>
      <c r="Q636" s="287"/>
    </row>
    <row r="637" spans="1:17" ht="13.8">
      <c r="A637" s="275" t="s">
        <v>2801</v>
      </c>
      <c r="B637" s="275" t="s">
        <v>4021</v>
      </c>
      <c r="C637" s="275" t="s">
        <v>3256</v>
      </c>
      <c r="D637" s="275" t="s">
        <v>3056</v>
      </c>
      <c r="E637" s="275" t="s">
        <v>2802</v>
      </c>
      <c r="F637" s="278">
        <v>39483</v>
      </c>
      <c r="G637" s="275" t="s">
        <v>2803</v>
      </c>
      <c r="H637" s="276">
        <v>10.19</v>
      </c>
      <c r="I637" s="276">
        <v>56</v>
      </c>
      <c r="J637" s="276">
        <v>6.16</v>
      </c>
      <c r="K637" s="276">
        <f t="shared" si="9"/>
        <v>4.0299999999999994</v>
      </c>
      <c r="L637" s="335"/>
      <c r="N637" s="288"/>
      <c r="O637" s="287"/>
      <c r="P637" s="287"/>
      <c r="Q637" s="287"/>
    </row>
    <row r="638" spans="1:17" ht="13.8">
      <c r="A638" s="275" t="s">
        <v>2801</v>
      </c>
      <c r="B638" s="275" t="s">
        <v>3139</v>
      </c>
      <c r="C638" s="275" t="s">
        <v>3257</v>
      </c>
      <c r="D638" s="275" t="s">
        <v>3056</v>
      </c>
      <c r="E638" s="275" t="s">
        <v>2802</v>
      </c>
      <c r="F638" s="278">
        <v>39483</v>
      </c>
      <c r="G638" s="275" t="s">
        <v>2803</v>
      </c>
      <c r="H638" s="276">
        <v>9.99</v>
      </c>
      <c r="I638" s="276">
        <v>56</v>
      </c>
      <c r="J638" s="276">
        <v>6.16</v>
      </c>
      <c r="K638" s="276">
        <f t="shared" si="9"/>
        <v>3.83</v>
      </c>
      <c r="L638" s="335"/>
      <c r="N638" s="288"/>
      <c r="O638" s="287"/>
      <c r="P638" s="287"/>
      <c r="Q638" s="287"/>
    </row>
    <row r="639" spans="1:17" ht="13.8">
      <c r="A639" s="275" t="s">
        <v>2821</v>
      </c>
      <c r="B639" s="275" t="s">
        <v>3073</v>
      </c>
      <c r="C639" s="275" t="s">
        <v>3255</v>
      </c>
      <c r="D639" s="275" t="s">
        <v>3056</v>
      </c>
      <c r="E639" s="275" t="s">
        <v>2802</v>
      </c>
      <c r="F639" s="278">
        <v>39626</v>
      </c>
      <c r="G639" s="275" t="s">
        <v>2803</v>
      </c>
      <c r="H639" s="276">
        <v>10</v>
      </c>
      <c r="I639" s="276">
        <v>51.38</v>
      </c>
      <c r="J639" s="276">
        <v>6.27</v>
      </c>
      <c r="K639" s="276">
        <f t="shared" si="9"/>
        <v>3.7300000000000004</v>
      </c>
      <c r="L639" s="335"/>
      <c r="N639" s="288"/>
      <c r="O639" s="287"/>
      <c r="P639" s="287"/>
      <c r="Q639" s="287"/>
    </row>
    <row r="640" spans="1:17" ht="13.8">
      <c r="A640" s="275" t="s">
        <v>2806</v>
      </c>
      <c r="B640" s="275" t="s">
        <v>3075</v>
      </c>
      <c r="C640" s="275" t="s">
        <v>3254</v>
      </c>
      <c r="D640" s="275" t="s">
        <v>3056</v>
      </c>
      <c r="E640" s="275" t="s">
        <v>2802</v>
      </c>
      <c r="F640" s="278">
        <v>39710</v>
      </c>
      <c r="G640" s="275" t="s">
        <v>2803</v>
      </c>
      <c r="H640" s="276">
        <v>10.7</v>
      </c>
      <c r="I640" s="276">
        <v>45</v>
      </c>
      <c r="J640" s="276">
        <v>6.37</v>
      </c>
      <c r="K640" s="276">
        <f t="shared" si="9"/>
        <v>4.3299999999999992</v>
      </c>
      <c r="L640" s="335"/>
      <c r="N640" s="288"/>
      <c r="O640" s="287"/>
      <c r="P640" s="287"/>
      <c r="Q640" s="287"/>
    </row>
    <row r="641" spans="1:17" ht="13.8">
      <c r="A641" s="275" t="s">
        <v>2801</v>
      </c>
      <c r="B641" s="275" t="s">
        <v>2849</v>
      </c>
      <c r="C641" s="275" t="s">
        <v>3253</v>
      </c>
      <c r="D641" s="275" t="s">
        <v>3056</v>
      </c>
      <c r="E641" s="275" t="s">
        <v>2802</v>
      </c>
      <c r="F641" s="278">
        <v>39715</v>
      </c>
      <c r="G641" s="275" t="s">
        <v>2803</v>
      </c>
      <c r="H641" s="276">
        <v>10.68</v>
      </c>
      <c r="I641" s="276">
        <v>46.5</v>
      </c>
      <c r="J641" s="276">
        <v>6.37</v>
      </c>
      <c r="K641" s="276">
        <f t="shared" si="9"/>
        <v>4.3099999999999996</v>
      </c>
      <c r="L641" s="335"/>
      <c r="N641" s="288"/>
      <c r="O641" s="287"/>
      <c r="P641" s="287"/>
      <c r="Q641" s="287"/>
    </row>
    <row r="642" spans="1:17" ht="13.8">
      <c r="A642" s="275" t="s">
        <v>2801</v>
      </c>
      <c r="B642" s="275" t="s">
        <v>2849</v>
      </c>
      <c r="C642" s="275" t="s">
        <v>3252</v>
      </c>
      <c r="D642" s="275" t="s">
        <v>3056</v>
      </c>
      <c r="E642" s="275" t="s">
        <v>2802</v>
      </c>
      <c r="F642" s="278">
        <v>39715</v>
      </c>
      <c r="G642" s="275" t="s">
        <v>2803</v>
      </c>
      <c r="H642" s="276">
        <v>10.68</v>
      </c>
      <c r="I642" s="276">
        <v>47.91</v>
      </c>
      <c r="J642" s="276">
        <v>6.37</v>
      </c>
      <c r="K642" s="276">
        <f t="shared" si="9"/>
        <v>4.3099999999999996</v>
      </c>
      <c r="L642" s="335"/>
      <c r="N642" s="288"/>
      <c r="O642" s="287"/>
      <c r="P642" s="287"/>
      <c r="Q642" s="287"/>
    </row>
    <row r="643" spans="1:17" ht="13.8">
      <c r="A643" s="275" t="s">
        <v>2801</v>
      </c>
      <c r="B643" s="275" t="s">
        <v>2849</v>
      </c>
      <c r="C643" s="275" t="s">
        <v>3251</v>
      </c>
      <c r="D643" s="275" t="s">
        <v>3056</v>
      </c>
      <c r="E643" s="275" t="s">
        <v>2802</v>
      </c>
      <c r="F643" s="278">
        <v>39715</v>
      </c>
      <c r="G643" s="275" t="s">
        <v>2803</v>
      </c>
      <c r="H643" s="276">
        <v>10.68</v>
      </c>
      <c r="I643" s="276">
        <v>51.76</v>
      </c>
      <c r="J643" s="276">
        <v>6.37</v>
      </c>
      <c r="K643" s="276">
        <f t="shared" si="9"/>
        <v>4.3099999999999996</v>
      </c>
      <c r="L643" s="335"/>
      <c r="N643" s="288"/>
      <c r="O643" s="287"/>
      <c r="P643" s="287"/>
      <c r="Q643" s="287"/>
    </row>
    <row r="644" spans="1:17" ht="13.8">
      <c r="A644" s="275" t="s">
        <v>2867</v>
      </c>
      <c r="B644" s="275" t="s">
        <v>2868</v>
      </c>
      <c r="C644" s="275" t="s">
        <v>3250</v>
      </c>
      <c r="D644" s="275" t="s">
        <v>3056</v>
      </c>
      <c r="E644" s="275" t="s">
        <v>2802</v>
      </c>
      <c r="F644" s="278">
        <v>39776</v>
      </c>
      <c r="G644" s="275" t="s">
        <v>2803</v>
      </c>
      <c r="H644" s="276">
        <v>10.5</v>
      </c>
      <c r="I644" s="276">
        <v>47.71</v>
      </c>
      <c r="J644" s="276">
        <v>7.56</v>
      </c>
      <c r="K644" s="276">
        <f t="shared" si="9"/>
        <v>2.9400000000000004</v>
      </c>
      <c r="L644" s="335"/>
      <c r="N644" s="288"/>
      <c r="O644" s="287"/>
      <c r="P644" s="287"/>
      <c r="Q644" s="287"/>
    </row>
    <row r="645" spans="1:17" ht="13.8">
      <c r="A645" s="275" t="s">
        <v>2824</v>
      </c>
      <c r="B645" s="275" t="s">
        <v>3094</v>
      </c>
      <c r="C645" s="275" t="s">
        <v>3249</v>
      </c>
      <c r="D645" s="275" t="s">
        <v>3056</v>
      </c>
      <c r="E645" s="275" t="s">
        <v>2802</v>
      </c>
      <c r="F645" s="278">
        <v>39806</v>
      </c>
      <c r="G645" s="275" t="s">
        <v>2803</v>
      </c>
      <c r="H645" s="276">
        <v>10</v>
      </c>
      <c r="I645" s="276">
        <v>43.44</v>
      </c>
      <c r="J645" s="276">
        <v>7.6</v>
      </c>
      <c r="K645" s="276">
        <f t="shared" si="9"/>
        <v>2.4000000000000004</v>
      </c>
      <c r="L645" s="335"/>
      <c r="N645" s="288"/>
      <c r="O645" s="287"/>
      <c r="P645" s="287"/>
      <c r="Q645" s="287"/>
    </row>
    <row r="646" spans="1:17" ht="13.8">
      <c r="A646" s="275" t="s">
        <v>2807</v>
      </c>
      <c r="B646" s="275" t="s">
        <v>3200</v>
      </c>
      <c r="C646" s="275" t="s">
        <v>3248</v>
      </c>
      <c r="D646" s="275" t="s">
        <v>3056</v>
      </c>
      <c r="E646" s="275" t="s">
        <v>2802</v>
      </c>
      <c r="F646" s="278">
        <v>39846</v>
      </c>
      <c r="G646" s="275" t="s">
        <v>2803</v>
      </c>
      <c r="H646" s="276">
        <v>10.050000000000001</v>
      </c>
      <c r="I646" s="276">
        <v>34.19</v>
      </c>
      <c r="J646" s="276">
        <v>6.54</v>
      </c>
      <c r="K646" s="276">
        <f t="shared" ref="K646:K709" si="10">H646-J646</f>
        <v>3.5100000000000007</v>
      </c>
      <c r="L646" s="335"/>
      <c r="N646" s="288"/>
      <c r="O646" s="287"/>
      <c r="P646" s="287"/>
      <c r="Q646" s="287"/>
    </row>
    <row r="647" spans="1:17" ht="13.8">
      <c r="A647" s="275" t="s">
        <v>2801</v>
      </c>
      <c r="B647" s="275" t="s">
        <v>3089</v>
      </c>
      <c r="C647" s="275" t="s">
        <v>3247</v>
      </c>
      <c r="D647" s="275" t="s">
        <v>3056</v>
      </c>
      <c r="E647" s="275" t="s">
        <v>2802</v>
      </c>
      <c r="F647" s="278">
        <v>39897</v>
      </c>
      <c r="G647" s="275" t="s">
        <v>2803</v>
      </c>
      <c r="H647" s="276">
        <v>10.17</v>
      </c>
      <c r="I647" s="276">
        <v>51.07</v>
      </c>
      <c r="J647" s="276">
        <v>6.3</v>
      </c>
      <c r="K647" s="276">
        <f t="shared" si="10"/>
        <v>3.87</v>
      </c>
      <c r="L647" s="335"/>
      <c r="N647" s="288"/>
      <c r="O647" s="287"/>
      <c r="P647" s="287"/>
      <c r="Q647" s="287"/>
    </row>
    <row r="648" spans="1:17" ht="13.8">
      <c r="A648" s="275" t="s">
        <v>2878</v>
      </c>
      <c r="B648" s="275" t="s">
        <v>3246</v>
      </c>
      <c r="C648" s="275" t="s">
        <v>3245</v>
      </c>
      <c r="D648" s="275" t="s">
        <v>3056</v>
      </c>
      <c r="E648" s="275" t="s">
        <v>2802</v>
      </c>
      <c r="F648" s="278">
        <v>39938</v>
      </c>
      <c r="G648" s="275" t="s">
        <v>2803</v>
      </c>
      <c r="H648" s="276">
        <v>10.75</v>
      </c>
      <c r="I648" s="276">
        <v>48.51</v>
      </c>
      <c r="J648" s="276">
        <v>6.42</v>
      </c>
      <c r="K648" s="276">
        <f t="shared" si="10"/>
        <v>4.33</v>
      </c>
      <c r="L648" s="335"/>
      <c r="N648" s="288"/>
      <c r="O648" s="287"/>
      <c r="P648" s="287"/>
      <c r="Q648" s="287"/>
    </row>
    <row r="649" spans="1:17" ht="13.8">
      <c r="A649" s="275" t="s">
        <v>2882</v>
      </c>
      <c r="B649" s="275" t="s">
        <v>3108</v>
      </c>
      <c r="C649" s="275" t="s">
        <v>3244</v>
      </c>
      <c r="D649" s="275" t="s">
        <v>3056</v>
      </c>
      <c r="E649" s="275" t="s">
        <v>2802</v>
      </c>
      <c r="F649" s="278">
        <v>39962</v>
      </c>
      <c r="G649" s="275" t="s">
        <v>2803</v>
      </c>
      <c r="H649" s="276">
        <v>9.5399999999999991</v>
      </c>
      <c r="I649" s="276">
        <v>50</v>
      </c>
      <c r="J649" s="276">
        <v>6.48</v>
      </c>
      <c r="K649" s="276">
        <f t="shared" si="10"/>
        <v>3.0599999999999987</v>
      </c>
      <c r="L649" s="335"/>
      <c r="N649" s="288"/>
      <c r="O649" s="287"/>
      <c r="P649" s="287"/>
      <c r="Q649" s="287"/>
    </row>
    <row r="650" spans="1:17" ht="13.8">
      <c r="A650" s="275" t="s">
        <v>2811</v>
      </c>
      <c r="B650" s="275" t="s">
        <v>2855</v>
      </c>
      <c r="C650" s="275" t="s">
        <v>3243</v>
      </c>
      <c r="D650" s="275" t="s">
        <v>3056</v>
      </c>
      <c r="E650" s="275" t="s">
        <v>2802</v>
      </c>
      <c r="F650" s="278">
        <v>39986</v>
      </c>
      <c r="G650" s="275" t="s">
        <v>2803</v>
      </c>
      <c r="H650" s="276">
        <v>10</v>
      </c>
      <c r="I650" s="276">
        <v>47</v>
      </c>
      <c r="J650" s="276">
        <v>6.49</v>
      </c>
      <c r="K650" s="276">
        <f t="shared" si="10"/>
        <v>3.51</v>
      </c>
      <c r="L650" s="335"/>
      <c r="N650" s="288"/>
      <c r="O650" s="287"/>
      <c r="P650" s="287"/>
      <c r="Q650" s="287"/>
    </row>
    <row r="651" spans="1:17" ht="13.8">
      <c r="A651" s="275" t="s">
        <v>2857</v>
      </c>
      <c r="B651" s="275" t="s">
        <v>3099</v>
      </c>
      <c r="C651" s="275" t="s">
        <v>3242</v>
      </c>
      <c r="D651" s="275" t="s">
        <v>3056</v>
      </c>
      <c r="E651" s="275" t="s">
        <v>2802</v>
      </c>
      <c r="F651" s="278">
        <v>39993</v>
      </c>
      <c r="G651" s="275" t="s">
        <v>2803</v>
      </c>
      <c r="H651" s="276">
        <v>10.210000000000001</v>
      </c>
      <c r="I651" s="276">
        <v>48.77</v>
      </c>
      <c r="J651" s="276">
        <v>6.49</v>
      </c>
      <c r="K651" s="276">
        <f t="shared" si="10"/>
        <v>3.7200000000000006</v>
      </c>
      <c r="L651" s="335"/>
      <c r="N651" s="288"/>
      <c r="O651" s="287"/>
      <c r="P651" s="287"/>
      <c r="Q651" s="287"/>
    </row>
    <row r="652" spans="1:17" ht="13.8">
      <c r="A652" s="275" t="s">
        <v>2830</v>
      </c>
      <c r="B652" s="275" t="s">
        <v>3157</v>
      </c>
      <c r="C652" s="275" t="s">
        <v>3241</v>
      </c>
      <c r="D652" s="275" t="s">
        <v>3056</v>
      </c>
      <c r="E652" s="275" t="s">
        <v>2802</v>
      </c>
      <c r="F652" s="278">
        <v>39994</v>
      </c>
      <c r="G652" s="275" t="s">
        <v>2803</v>
      </c>
      <c r="H652" s="276">
        <v>9.31</v>
      </c>
      <c r="I652" s="276">
        <v>52.52</v>
      </c>
      <c r="J652" s="276">
        <v>6.49</v>
      </c>
      <c r="K652" s="276">
        <f t="shared" si="10"/>
        <v>2.8200000000000003</v>
      </c>
      <c r="L652" s="335"/>
      <c r="N652" s="288"/>
      <c r="O652" s="287"/>
      <c r="P652" s="287"/>
      <c r="Q652" s="287"/>
    </row>
    <row r="653" spans="1:17" ht="13.8">
      <c r="A653" s="275" t="s">
        <v>2830</v>
      </c>
      <c r="B653" s="275" t="s">
        <v>4020</v>
      </c>
      <c r="C653" s="275" t="s">
        <v>3240</v>
      </c>
      <c r="D653" s="275" t="s">
        <v>3056</v>
      </c>
      <c r="E653" s="275" t="s">
        <v>2802</v>
      </c>
      <c r="F653" s="278">
        <v>40011</v>
      </c>
      <c r="G653" s="275" t="s">
        <v>2803</v>
      </c>
      <c r="H653" s="276">
        <v>9.26</v>
      </c>
      <c r="I653" s="276">
        <v>52</v>
      </c>
      <c r="J653" s="276">
        <v>6.2</v>
      </c>
      <c r="K653" s="276">
        <f t="shared" si="10"/>
        <v>3.0599999999999996</v>
      </c>
      <c r="L653" s="335"/>
      <c r="N653" s="286"/>
      <c r="O653" s="285"/>
      <c r="P653" s="285"/>
      <c r="Q653" s="285"/>
    </row>
    <row r="654" spans="1:17" ht="13.8">
      <c r="A654" s="275" t="s">
        <v>2837</v>
      </c>
      <c r="B654" s="275" t="s">
        <v>3094</v>
      </c>
      <c r="C654" s="275" t="s">
        <v>3239</v>
      </c>
      <c r="D654" s="275" t="s">
        <v>3056</v>
      </c>
      <c r="E654" s="275" t="s">
        <v>2802</v>
      </c>
      <c r="F654" s="278">
        <v>40114</v>
      </c>
      <c r="G654" s="275" t="s">
        <v>2803</v>
      </c>
      <c r="H654" s="276">
        <v>10.15</v>
      </c>
      <c r="I654" s="276">
        <v>47.09</v>
      </c>
      <c r="J654" s="276">
        <v>5.53</v>
      </c>
      <c r="K654" s="276">
        <f t="shared" si="10"/>
        <v>4.62</v>
      </c>
      <c r="L654" s="335"/>
      <c r="N654" s="286"/>
      <c r="O654" s="285"/>
      <c r="P654" s="285"/>
      <c r="Q654" s="285"/>
    </row>
    <row r="655" spans="1:17" ht="13.8">
      <c r="A655" s="275" t="s">
        <v>2837</v>
      </c>
      <c r="B655" s="275" t="s">
        <v>3094</v>
      </c>
      <c r="C655" s="275" t="s">
        <v>3238</v>
      </c>
      <c r="D655" s="275" t="s">
        <v>3056</v>
      </c>
      <c r="E655" s="275" t="s">
        <v>2802</v>
      </c>
      <c r="F655" s="278">
        <v>40114</v>
      </c>
      <c r="G655" s="275" t="s">
        <v>2803</v>
      </c>
      <c r="H655" s="276">
        <v>10.15</v>
      </c>
      <c r="I655" s="276">
        <v>47.09</v>
      </c>
      <c r="J655" s="276">
        <v>5.53</v>
      </c>
      <c r="K655" s="276">
        <f t="shared" si="10"/>
        <v>4.62</v>
      </c>
      <c r="L655" s="335"/>
      <c r="N655" s="286"/>
      <c r="O655" s="285"/>
      <c r="P655" s="285"/>
      <c r="Q655" s="285"/>
    </row>
    <row r="656" spans="1:17" ht="13.8">
      <c r="A656" s="275" t="s">
        <v>2807</v>
      </c>
      <c r="B656" s="275" t="s">
        <v>4026</v>
      </c>
      <c r="C656" s="275" t="s">
        <v>3237</v>
      </c>
      <c r="D656" s="275" t="s">
        <v>3056</v>
      </c>
      <c r="E656" s="275" t="s">
        <v>2802</v>
      </c>
      <c r="F656" s="278">
        <v>40116</v>
      </c>
      <c r="G656" s="275" t="s">
        <v>2803</v>
      </c>
      <c r="H656" s="276">
        <v>9.9499999999999993</v>
      </c>
      <c r="I656" s="276">
        <v>53.57</v>
      </c>
      <c r="J656" s="276">
        <v>5.53</v>
      </c>
      <c r="K656" s="276">
        <f t="shared" si="10"/>
        <v>4.419999999999999</v>
      </c>
      <c r="L656" s="335"/>
      <c r="N656" s="286"/>
      <c r="O656" s="285"/>
      <c r="P656" s="285"/>
      <c r="Q656" s="285"/>
    </row>
    <row r="657" spans="1:17" ht="13.8">
      <c r="A657" s="275" t="s">
        <v>2831</v>
      </c>
      <c r="B657" s="275" t="s">
        <v>4019</v>
      </c>
      <c r="C657" s="275" t="s">
        <v>3236</v>
      </c>
      <c r="D657" s="275" t="s">
        <v>3056</v>
      </c>
      <c r="E657" s="275" t="s">
        <v>2802</v>
      </c>
      <c r="F657" s="278">
        <v>40137</v>
      </c>
      <c r="G657" s="275" t="s">
        <v>2803</v>
      </c>
      <c r="H657" s="276">
        <v>9.4499999999999993</v>
      </c>
      <c r="I657" s="276">
        <v>42.34</v>
      </c>
      <c r="J657" s="276">
        <v>5.55</v>
      </c>
      <c r="K657" s="276">
        <f t="shared" si="10"/>
        <v>3.8999999999999995</v>
      </c>
      <c r="L657" s="335"/>
      <c r="N657" s="286"/>
      <c r="O657" s="285"/>
      <c r="P657" s="285"/>
      <c r="Q657" s="285"/>
    </row>
    <row r="658" spans="1:17" ht="13.8">
      <c r="A658" s="275" t="s">
        <v>2809</v>
      </c>
      <c r="B658" s="275" t="s">
        <v>3142</v>
      </c>
      <c r="C658" s="275" t="s">
        <v>3233</v>
      </c>
      <c r="D658" s="275" t="s">
        <v>3056</v>
      </c>
      <c r="E658" s="275" t="s">
        <v>2802</v>
      </c>
      <c r="F658" s="278">
        <v>40165</v>
      </c>
      <c r="G658" s="275" t="s">
        <v>2803</v>
      </c>
      <c r="H658" s="276">
        <v>10.5</v>
      </c>
      <c r="I658" s="276">
        <v>46.62</v>
      </c>
      <c r="J658" s="276">
        <v>5.64</v>
      </c>
      <c r="K658" s="276">
        <f t="shared" si="10"/>
        <v>4.8600000000000003</v>
      </c>
      <c r="L658" s="335"/>
      <c r="N658" s="286"/>
      <c r="O658" s="285"/>
      <c r="P658" s="285"/>
      <c r="Q658" s="285"/>
    </row>
    <row r="659" spans="1:17" ht="13.8">
      <c r="A659" s="275" t="s">
        <v>2809</v>
      </c>
      <c r="B659" s="275" t="s">
        <v>2879</v>
      </c>
      <c r="C659" s="275" t="s">
        <v>3235</v>
      </c>
      <c r="D659" s="275" t="s">
        <v>3056</v>
      </c>
      <c r="E659" s="275" t="s">
        <v>2802</v>
      </c>
      <c r="F659" s="278">
        <v>40165</v>
      </c>
      <c r="G659" s="275" t="s">
        <v>2803</v>
      </c>
      <c r="H659" s="276">
        <v>10.4</v>
      </c>
      <c r="I659" s="276">
        <v>53.02</v>
      </c>
      <c r="J659" s="276">
        <v>5.64</v>
      </c>
      <c r="K659" s="276">
        <f t="shared" si="10"/>
        <v>4.7600000000000007</v>
      </c>
      <c r="L659" s="335"/>
      <c r="N659" s="286"/>
      <c r="O659" s="285"/>
      <c r="P659" s="285"/>
      <c r="Q659" s="285"/>
    </row>
    <row r="660" spans="1:17" ht="13.8">
      <c r="A660" s="275" t="s">
        <v>2809</v>
      </c>
      <c r="B660" s="275" t="s">
        <v>2854</v>
      </c>
      <c r="C660" s="275" t="s">
        <v>3234</v>
      </c>
      <c r="D660" s="275" t="s">
        <v>3056</v>
      </c>
      <c r="E660" s="275" t="s">
        <v>2802</v>
      </c>
      <c r="F660" s="278">
        <v>40165</v>
      </c>
      <c r="G660" s="275" t="s">
        <v>2803</v>
      </c>
      <c r="H660" s="276">
        <v>10.4</v>
      </c>
      <c r="I660" s="276">
        <v>50.38</v>
      </c>
      <c r="J660" s="276">
        <v>5.64</v>
      </c>
      <c r="K660" s="276">
        <f t="shared" si="10"/>
        <v>4.7600000000000007</v>
      </c>
      <c r="L660" s="335"/>
      <c r="N660" s="286"/>
      <c r="O660" s="285"/>
      <c r="P660" s="285"/>
      <c r="Q660" s="285"/>
    </row>
    <row r="661" spans="1:17" ht="13.8">
      <c r="A661" s="275" t="s">
        <v>2809</v>
      </c>
      <c r="B661" s="275" t="s">
        <v>2810</v>
      </c>
      <c r="C661" s="275" t="s">
        <v>3231</v>
      </c>
      <c r="D661" s="275" t="s">
        <v>3056</v>
      </c>
      <c r="E661" s="275" t="s">
        <v>2802</v>
      </c>
      <c r="F661" s="278">
        <v>40169</v>
      </c>
      <c r="G661" s="275" t="s">
        <v>2803</v>
      </c>
      <c r="H661" s="276">
        <v>10.4</v>
      </c>
      <c r="I661" s="276">
        <v>55.34</v>
      </c>
      <c r="J661" s="276">
        <v>5.64</v>
      </c>
      <c r="K661" s="276">
        <f t="shared" si="10"/>
        <v>4.7600000000000007</v>
      </c>
      <c r="L661" s="335"/>
      <c r="N661" s="286"/>
      <c r="O661" s="285"/>
      <c r="P661" s="285"/>
      <c r="Q661" s="285"/>
    </row>
    <row r="662" spans="1:17" ht="13.8">
      <c r="A662" s="275" t="s">
        <v>2842</v>
      </c>
      <c r="B662" s="275" t="s">
        <v>2834</v>
      </c>
      <c r="C662" s="275" t="s">
        <v>3232</v>
      </c>
      <c r="D662" s="275" t="s">
        <v>3056</v>
      </c>
      <c r="E662" s="275" t="s">
        <v>2802</v>
      </c>
      <c r="F662" s="278">
        <v>40169</v>
      </c>
      <c r="G662" s="275" t="s">
        <v>2803</v>
      </c>
      <c r="H662" s="276">
        <v>10.199999999999999</v>
      </c>
      <c r="I662" s="276">
        <v>46.5</v>
      </c>
      <c r="J662" s="276">
        <v>5.64</v>
      </c>
      <c r="K662" s="276">
        <f t="shared" si="10"/>
        <v>4.5599999999999996</v>
      </c>
      <c r="L662" s="335"/>
      <c r="N662" s="286"/>
      <c r="O662" s="285"/>
      <c r="P662" s="285"/>
      <c r="Q662" s="285"/>
    </row>
    <row r="663" spans="1:17" ht="13.8">
      <c r="A663" s="275" t="s">
        <v>2857</v>
      </c>
      <c r="B663" s="275" t="s">
        <v>3129</v>
      </c>
      <c r="C663" s="275" t="s">
        <v>3230</v>
      </c>
      <c r="D663" s="275" t="s">
        <v>3056</v>
      </c>
      <c r="E663" s="275" t="s">
        <v>2802</v>
      </c>
      <c r="F663" s="278">
        <v>40189</v>
      </c>
      <c r="G663" s="275" t="s">
        <v>2803</v>
      </c>
      <c r="H663" s="276">
        <v>10.24</v>
      </c>
      <c r="I663" s="276">
        <v>52.55</v>
      </c>
      <c r="J663" s="276">
        <v>5.64</v>
      </c>
      <c r="K663" s="276">
        <f t="shared" si="10"/>
        <v>4.6000000000000005</v>
      </c>
      <c r="L663" s="335"/>
      <c r="N663" s="286"/>
      <c r="O663" s="285"/>
      <c r="P663" s="285"/>
      <c r="Q663" s="285"/>
    </row>
    <row r="664" spans="1:17" ht="13.8">
      <c r="A664" s="275" t="s">
        <v>2801</v>
      </c>
      <c r="B664" s="275" t="s">
        <v>3139</v>
      </c>
      <c r="C664" s="275" t="s">
        <v>3228</v>
      </c>
      <c r="D664" s="275" t="s">
        <v>3056</v>
      </c>
      <c r="E664" s="275" t="s">
        <v>2802</v>
      </c>
      <c r="F664" s="278">
        <v>40199</v>
      </c>
      <c r="G664" s="275" t="s">
        <v>2803</v>
      </c>
      <c r="H664" s="276">
        <v>10.33</v>
      </c>
      <c r="I664" s="276">
        <v>56</v>
      </c>
      <c r="J664" s="276">
        <v>5.79</v>
      </c>
      <c r="K664" s="276">
        <f t="shared" si="10"/>
        <v>4.54</v>
      </c>
      <c r="L664" s="335"/>
      <c r="N664" s="286"/>
      <c r="O664" s="285"/>
      <c r="P664" s="285"/>
      <c r="Q664" s="285"/>
    </row>
    <row r="665" spans="1:17" ht="13.8">
      <c r="A665" s="275" t="s">
        <v>2801</v>
      </c>
      <c r="B665" s="275" t="s">
        <v>4021</v>
      </c>
      <c r="C665" s="275" t="s">
        <v>3229</v>
      </c>
      <c r="D665" s="275" t="s">
        <v>3056</v>
      </c>
      <c r="E665" s="275" t="s">
        <v>2802</v>
      </c>
      <c r="F665" s="278">
        <v>40199</v>
      </c>
      <c r="G665" s="275" t="s">
        <v>2803</v>
      </c>
      <c r="H665" s="276">
        <v>10.23</v>
      </c>
      <c r="I665" s="276">
        <v>56</v>
      </c>
      <c r="J665" s="276">
        <v>5.79</v>
      </c>
      <c r="K665" s="276">
        <f t="shared" si="10"/>
        <v>4.4400000000000004</v>
      </c>
      <c r="L665" s="335"/>
      <c r="N665" s="286"/>
      <c r="O665" s="285"/>
      <c r="P665" s="285"/>
      <c r="Q665" s="285"/>
    </row>
    <row r="666" spans="1:17" ht="13.8">
      <c r="A666" s="275" t="s">
        <v>2881</v>
      </c>
      <c r="B666" s="275" t="s">
        <v>3075</v>
      </c>
      <c r="C666" s="275" t="s">
        <v>3227</v>
      </c>
      <c r="D666" s="275" t="s">
        <v>3056</v>
      </c>
      <c r="E666" s="275" t="s">
        <v>2802</v>
      </c>
      <c r="F666" s="278">
        <v>40204</v>
      </c>
      <c r="G666" s="275" t="s">
        <v>2803</v>
      </c>
      <c r="H666" s="276">
        <v>10.4</v>
      </c>
      <c r="I666" s="276">
        <v>48.91</v>
      </c>
      <c r="J666" s="276">
        <v>5.79</v>
      </c>
      <c r="K666" s="276">
        <f t="shared" si="10"/>
        <v>4.6100000000000003</v>
      </c>
      <c r="L666" s="335"/>
      <c r="N666" s="286"/>
      <c r="O666" s="285"/>
      <c r="P666" s="285"/>
      <c r="Q666" s="285"/>
    </row>
    <row r="667" spans="1:17" ht="13.8">
      <c r="A667" s="275" t="s">
        <v>2860</v>
      </c>
      <c r="B667" s="275" t="s">
        <v>3063</v>
      </c>
      <c r="C667" s="275" t="s">
        <v>3226</v>
      </c>
      <c r="D667" s="275" t="s">
        <v>3056</v>
      </c>
      <c r="E667" s="275" t="s">
        <v>2802</v>
      </c>
      <c r="F667" s="278">
        <v>40219</v>
      </c>
      <c r="G667" s="275" t="s">
        <v>2803</v>
      </c>
      <c r="H667" s="276">
        <v>10</v>
      </c>
      <c r="I667" s="276">
        <v>38.659999999999997</v>
      </c>
      <c r="J667" s="276">
        <v>5.79</v>
      </c>
      <c r="K667" s="276">
        <f t="shared" si="10"/>
        <v>4.21</v>
      </c>
      <c r="L667" s="335"/>
      <c r="N667" s="286"/>
      <c r="O667" s="285"/>
      <c r="P667" s="285"/>
      <c r="Q667" s="285"/>
    </row>
    <row r="668" spans="1:17" ht="13.8">
      <c r="A668" s="275" t="s">
        <v>2881</v>
      </c>
      <c r="B668" s="275" t="s">
        <v>3129</v>
      </c>
      <c r="C668" s="275" t="s">
        <v>3225</v>
      </c>
      <c r="D668" s="275" t="s">
        <v>3056</v>
      </c>
      <c r="E668" s="275" t="s">
        <v>2802</v>
      </c>
      <c r="F668" s="278">
        <v>40232</v>
      </c>
      <c r="G668" s="275" t="s">
        <v>2803</v>
      </c>
      <c r="H668" s="276">
        <v>10.5</v>
      </c>
      <c r="I668" s="276">
        <v>55.6</v>
      </c>
      <c r="J668" s="276">
        <v>5.77</v>
      </c>
      <c r="K668" s="276">
        <f t="shared" si="10"/>
        <v>4.7300000000000004</v>
      </c>
      <c r="L668" s="335"/>
      <c r="N668" s="286"/>
      <c r="O668" s="285"/>
      <c r="P668" s="285"/>
      <c r="Q668" s="285"/>
    </row>
    <row r="669" spans="1:17" ht="13.8">
      <c r="A669" s="275" t="s">
        <v>3187</v>
      </c>
      <c r="B669" s="275" t="s">
        <v>3186</v>
      </c>
      <c r="C669" s="275" t="s">
        <v>3224</v>
      </c>
      <c r="D669" s="275" t="s">
        <v>3056</v>
      </c>
      <c r="E669" s="275" t="s">
        <v>2802</v>
      </c>
      <c r="F669" s="278">
        <v>40246</v>
      </c>
      <c r="G669" s="275" t="s">
        <v>2803</v>
      </c>
      <c r="H669" s="276">
        <v>9.6</v>
      </c>
      <c r="I669" s="276">
        <v>49.96</v>
      </c>
      <c r="J669" s="276">
        <v>5.77</v>
      </c>
      <c r="K669" s="276">
        <f t="shared" si="10"/>
        <v>3.83</v>
      </c>
      <c r="L669" s="335"/>
      <c r="N669" s="286"/>
      <c r="O669" s="285"/>
      <c r="P669" s="285"/>
      <c r="Q669" s="285"/>
    </row>
    <row r="670" spans="1:17" ht="13.8">
      <c r="A670" s="275" t="s">
        <v>2801</v>
      </c>
      <c r="B670" s="275" t="s">
        <v>2817</v>
      </c>
      <c r="C670" s="275" t="s">
        <v>3223</v>
      </c>
      <c r="D670" s="275" t="s">
        <v>3056</v>
      </c>
      <c r="E670" s="275" t="s">
        <v>2802</v>
      </c>
      <c r="F670" s="278">
        <v>40261</v>
      </c>
      <c r="G670" s="275" t="s">
        <v>2803</v>
      </c>
      <c r="H670" s="276">
        <v>10.130000000000001</v>
      </c>
      <c r="I670" s="276">
        <v>47.08</v>
      </c>
      <c r="J670" s="276">
        <v>5.87</v>
      </c>
      <c r="K670" s="276">
        <f t="shared" si="10"/>
        <v>4.2600000000000007</v>
      </c>
      <c r="L670" s="335"/>
      <c r="N670" s="286"/>
      <c r="O670" s="285"/>
      <c r="P670" s="285"/>
      <c r="Q670" s="285"/>
    </row>
    <row r="671" spans="1:17" ht="13.8">
      <c r="A671" s="275" t="s">
        <v>2806</v>
      </c>
      <c r="B671" s="275" t="s">
        <v>3075</v>
      </c>
      <c r="C671" s="275" t="s">
        <v>3222</v>
      </c>
      <c r="D671" s="275" t="s">
        <v>3056</v>
      </c>
      <c r="E671" s="275" t="s">
        <v>2802</v>
      </c>
      <c r="F671" s="278">
        <v>40268</v>
      </c>
      <c r="G671" s="275" t="s">
        <v>2803</v>
      </c>
      <c r="H671" s="276">
        <v>10.7</v>
      </c>
      <c r="I671" s="276">
        <v>47.7</v>
      </c>
      <c r="J671" s="276">
        <v>5.87</v>
      </c>
      <c r="K671" s="276">
        <f t="shared" si="10"/>
        <v>4.8299999999999992</v>
      </c>
      <c r="L671" s="335"/>
      <c r="N671" s="286"/>
      <c r="O671" s="285"/>
      <c r="P671" s="285"/>
      <c r="Q671" s="285"/>
    </row>
    <row r="672" spans="1:17" ht="13.8">
      <c r="A672" s="275" t="s">
        <v>2824</v>
      </c>
      <c r="B672" s="275" t="s">
        <v>3190</v>
      </c>
      <c r="C672" s="275" t="s">
        <v>3221</v>
      </c>
      <c r="D672" s="275" t="s">
        <v>3056</v>
      </c>
      <c r="E672" s="275" t="s">
        <v>2802</v>
      </c>
      <c r="F672" s="278">
        <v>40269</v>
      </c>
      <c r="G672" s="275" t="s">
        <v>2803</v>
      </c>
      <c r="H672" s="276">
        <v>9.5</v>
      </c>
      <c r="I672" s="276">
        <v>49.9</v>
      </c>
      <c r="J672" s="276">
        <v>5.87</v>
      </c>
      <c r="K672" s="276">
        <f t="shared" si="10"/>
        <v>3.63</v>
      </c>
      <c r="L672" s="335"/>
      <c r="N672" s="286"/>
      <c r="O672" s="285"/>
      <c r="P672" s="285"/>
      <c r="Q672" s="285"/>
    </row>
    <row r="673" spans="1:17" ht="13.8">
      <c r="A673" s="275" t="s">
        <v>2842</v>
      </c>
      <c r="B673" s="275" t="s">
        <v>2843</v>
      </c>
      <c r="C673" s="275" t="s">
        <v>3220</v>
      </c>
      <c r="D673" s="275" t="s">
        <v>3056</v>
      </c>
      <c r="E673" s="275" t="s">
        <v>2802</v>
      </c>
      <c r="F673" s="278">
        <v>40270</v>
      </c>
      <c r="G673" s="275" t="s">
        <v>2803</v>
      </c>
      <c r="H673" s="276">
        <v>10.1</v>
      </c>
      <c r="I673" s="276">
        <v>46</v>
      </c>
      <c r="J673" s="276">
        <v>5.87</v>
      </c>
      <c r="K673" s="276">
        <f t="shared" si="10"/>
        <v>4.2299999999999995</v>
      </c>
      <c r="L673" s="335"/>
      <c r="N673" s="286"/>
      <c r="O673" s="285"/>
      <c r="P673" s="285"/>
      <c r="Q673" s="285"/>
    </row>
    <row r="674" spans="1:17" ht="13.8">
      <c r="A674" s="275" t="s">
        <v>2801</v>
      </c>
      <c r="B674" s="275" t="s">
        <v>2849</v>
      </c>
      <c r="C674" s="275" t="s">
        <v>3218</v>
      </c>
      <c r="D674" s="275" t="s">
        <v>3056</v>
      </c>
      <c r="E674" s="275" t="s">
        <v>2802</v>
      </c>
      <c r="F674" s="278">
        <v>40297</v>
      </c>
      <c r="G674" s="275" t="s">
        <v>2803</v>
      </c>
      <c r="H674" s="276">
        <v>9.4</v>
      </c>
      <c r="I674" s="276">
        <v>43.61</v>
      </c>
      <c r="J674" s="276">
        <v>5.84</v>
      </c>
      <c r="K674" s="276">
        <f t="shared" si="10"/>
        <v>3.5600000000000005</v>
      </c>
      <c r="L674" s="335"/>
      <c r="N674" s="286"/>
      <c r="O674" s="285"/>
      <c r="P674" s="285"/>
      <c r="Q674" s="285"/>
    </row>
    <row r="675" spans="1:17" ht="13.8">
      <c r="A675" s="275" t="s">
        <v>2801</v>
      </c>
      <c r="B675" s="275" t="s">
        <v>2849</v>
      </c>
      <c r="C675" s="275" t="s">
        <v>3217</v>
      </c>
      <c r="D675" s="275" t="s">
        <v>3056</v>
      </c>
      <c r="E675" s="275" t="s">
        <v>2802</v>
      </c>
      <c r="F675" s="278">
        <v>40297</v>
      </c>
      <c r="G675" s="275" t="s">
        <v>2803</v>
      </c>
      <c r="H675" s="276">
        <v>9.4</v>
      </c>
      <c r="I675" s="276">
        <v>43.55</v>
      </c>
      <c r="J675" s="276">
        <v>5.84</v>
      </c>
      <c r="K675" s="276">
        <f t="shared" si="10"/>
        <v>3.5600000000000005</v>
      </c>
      <c r="L675" s="335"/>
      <c r="N675" s="286"/>
      <c r="O675" s="285"/>
      <c r="P675" s="285"/>
      <c r="Q675" s="285"/>
    </row>
    <row r="676" spans="1:17" ht="13.8">
      <c r="A676" s="275" t="s">
        <v>2801</v>
      </c>
      <c r="B676" s="275" t="s">
        <v>2849</v>
      </c>
      <c r="C676" s="275" t="s">
        <v>3219</v>
      </c>
      <c r="D676" s="275" t="s">
        <v>3056</v>
      </c>
      <c r="E676" s="275" t="s">
        <v>2802</v>
      </c>
      <c r="F676" s="278">
        <v>40297</v>
      </c>
      <c r="G676" s="275" t="s">
        <v>2803</v>
      </c>
      <c r="H676" s="276">
        <v>9.19</v>
      </c>
      <c r="I676" s="276">
        <v>48.67</v>
      </c>
      <c r="J676" s="276">
        <v>5.84</v>
      </c>
      <c r="K676" s="276">
        <f t="shared" si="10"/>
        <v>3.3499999999999996</v>
      </c>
      <c r="L676" s="335"/>
      <c r="N676" s="286"/>
      <c r="O676" s="285"/>
      <c r="P676" s="285"/>
      <c r="Q676" s="285"/>
    </row>
    <row r="677" spans="1:17" ht="13.8">
      <c r="A677" s="275" t="s">
        <v>2851</v>
      </c>
      <c r="B677" s="275" t="s">
        <v>2876</v>
      </c>
      <c r="C677" s="275" t="s">
        <v>3216</v>
      </c>
      <c r="D677" s="275" t="s">
        <v>3056</v>
      </c>
      <c r="E677" s="275" t="s">
        <v>2802</v>
      </c>
      <c r="F677" s="278">
        <v>40315</v>
      </c>
      <c r="G677" s="275" t="s">
        <v>2803</v>
      </c>
      <c r="H677" s="276">
        <v>10.55</v>
      </c>
      <c r="I677" s="276">
        <v>40.78</v>
      </c>
      <c r="J677" s="276">
        <v>5.81</v>
      </c>
      <c r="K677" s="276">
        <f t="shared" si="10"/>
        <v>4.7400000000000011</v>
      </c>
      <c r="L677" s="335"/>
      <c r="N677" s="286"/>
      <c r="O677" s="285"/>
      <c r="P677" s="285"/>
      <c r="Q677" s="285"/>
    </row>
    <row r="678" spans="1:17" ht="13.8">
      <c r="A678" s="275" t="s">
        <v>2873</v>
      </c>
      <c r="B678" s="275" t="s">
        <v>3972</v>
      </c>
      <c r="C678" s="275" t="s">
        <v>3215</v>
      </c>
      <c r="D678" s="275" t="s">
        <v>3056</v>
      </c>
      <c r="E678" s="275" t="s">
        <v>2802</v>
      </c>
      <c r="F678" s="278">
        <v>40322</v>
      </c>
      <c r="G678" s="275" t="s">
        <v>2803</v>
      </c>
      <c r="H678" s="276">
        <v>10.050000000000001</v>
      </c>
      <c r="I678" s="276">
        <v>46.06</v>
      </c>
      <c r="J678" s="276">
        <v>5.81</v>
      </c>
      <c r="K678" s="276">
        <f t="shared" si="10"/>
        <v>4.2400000000000011</v>
      </c>
      <c r="L678" s="335"/>
      <c r="N678" s="286"/>
      <c r="O678" s="285"/>
      <c r="P678" s="285"/>
      <c r="Q678" s="285"/>
    </row>
    <row r="679" spans="1:17" ht="13.8">
      <c r="A679" s="275" t="s">
        <v>2851</v>
      </c>
      <c r="B679" s="275" t="s">
        <v>3105</v>
      </c>
      <c r="C679" s="275" t="s">
        <v>3214</v>
      </c>
      <c r="D679" s="275" t="s">
        <v>3056</v>
      </c>
      <c r="E679" s="275" t="s">
        <v>2802</v>
      </c>
      <c r="F679" s="278">
        <v>40332</v>
      </c>
      <c r="G679" s="275" t="s">
        <v>2803</v>
      </c>
      <c r="H679" s="276">
        <v>11</v>
      </c>
      <c r="I679" s="276">
        <v>38.78</v>
      </c>
      <c r="J679" s="276">
        <v>5.81</v>
      </c>
      <c r="K679" s="276">
        <f t="shared" si="10"/>
        <v>5.19</v>
      </c>
      <c r="L679" s="335"/>
      <c r="N679" s="286"/>
      <c r="O679" s="285"/>
      <c r="P679" s="285"/>
      <c r="Q679" s="285"/>
    </row>
    <row r="680" spans="1:17" ht="13.8">
      <c r="A680" s="275" t="s">
        <v>3187</v>
      </c>
      <c r="B680" s="275" t="s">
        <v>4375</v>
      </c>
      <c r="C680" s="275" t="s">
        <v>3213</v>
      </c>
      <c r="D680" s="275" t="s">
        <v>3056</v>
      </c>
      <c r="E680" s="275" t="s">
        <v>2802</v>
      </c>
      <c r="F680" s="278">
        <v>40407</v>
      </c>
      <c r="G680" s="275" t="s">
        <v>2803</v>
      </c>
      <c r="H680" s="276">
        <v>10.1</v>
      </c>
      <c r="I680" s="276">
        <v>52</v>
      </c>
      <c r="J680" s="276">
        <v>5.26</v>
      </c>
      <c r="K680" s="276">
        <f t="shared" si="10"/>
        <v>4.84</v>
      </c>
      <c r="L680" s="335"/>
      <c r="N680" s="286"/>
      <c r="O680" s="285"/>
      <c r="P680" s="285"/>
      <c r="Q680" s="285"/>
    </row>
    <row r="681" spans="1:17" ht="13.8">
      <c r="A681" s="275" t="s">
        <v>2835</v>
      </c>
      <c r="B681" s="275" t="s">
        <v>3212</v>
      </c>
      <c r="C681" s="275" t="s">
        <v>3211</v>
      </c>
      <c r="D681" s="275" t="s">
        <v>3056</v>
      </c>
      <c r="E681" s="275" t="s">
        <v>2802</v>
      </c>
      <c r="F681" s="278">
        <v>40472</v>
      </c>
      <c r="G681" s="275" t="s">
        <v>2803</v>
      </c>
      <c r="H681" s="276">
        <v>10.4</v>
      </c>
      <c r="I681" s="276">
        <v>44.49</v>
      </c>
      <c r="J681" s="276">
        <v>5.01</v>
      </c>
      <c r="K681" s="276">
        <f t="shared" si="10"/>
        <v>5.3900000000000006</v>
      </c>
      <c r="L681" s="335"/>
      <c r="N681" s="286"/>
      <c r="O681" s="285"/>
      <c r="P681" s="285"/>
      <c r="Q681" s="285"/>
    </row>
    <row r="682" spans="1:17" ht="13.8">
      <c r="A682" s="275" t="s">
        <v>2807</v>
      </c>
      <c r="B682" s="275" t="s">
        <v>3103</v>
      </c>
      <c r="C682" s="275" t="s">
        <v>3210</v>
      </c>
      <c r="D682" s="275" t="s">
        <v>3056</v>
      </c>
      <c r="E682" s="275" t="s">
        <v>2802</v>
      </c>
      <c r="F682" s="278">
        <v>40484</v>
      </c>
      <c r="G682" s="275" t="s">
        <v>2803</v>
      </c>
      <c r="H682" s="276">
        <v>9.75</v>
      </c>
      <c r="I682" s="276">
        <v>50</v>
      </c>
      <c r="J682" s="276">
        <v>5.01</v>
      </c>
      <c r="K682" s="276">
        <f t="shared" si="10"/>
        <v>4.74</v>
      </c>
      <c r="L682" s="335"/>
      <c r="N682" s="286"/>
      <c r="O682" s="285"/>
      <c r="P682" s="285"/>
      <c r="Q682" s="285"/>
    </row>
    <row r="683" spans="1:17" ht="13.8">
      <c r="A683" s="275" t="s">
        <v>2807</v>
      </c>
      <c r="B683" s="275" t="s">
        <v>3101</v>
      </c>
      <c r="C683" s="275" t="s">
        <v>3209</v>
      </c>
      <c r="D683" s="275" t="s">
        <v>3056</v>
      </c>
      <c r="E683" s="275" t="s">
        <v>2802</v>
      </c>
      <c r="F683" s="278">
        <v>40484</v>
      </c>
      <c r="G683" s="275" t="s">
        <v>2803</v>
      </c>
      <c r="H683" s="276">
        <v>9.75</v>
      </c>
      <c r="I683" s="276">
        <v>50</v>
      </c>
      <c r="J683" s="276">
        <v>5.01</v>
      </c>
      <c r="K683" s="276">
        <f t="shared" si="10"/>
        <v>4.74</v>
      </c>
      <c r="L683" s="335"/>
      <c r="N683" s="286"/>
      <c r="O683" s="285"/>
      <c r="P683" s="285"/>
      <c r="Q683" s="285"/>
    </row>
    <row r="684" spans="1:17" ht="13.8">
      <c r="A684" s="275" t="s">
        <v>2806</v>
      </c>
      <c r="B684" s="275" t="s">
        <v>3081</v>
      </c>
      <c r="C684" s="275" t="s">
        <v>3208</v>
      </c>
      <c r="D684" s="275" t="s">
        <v>3056</v>
      </c>
      <c r="E684" s="275" t="s">
        <v>2802</v>
      </c>
      <c r="F684" s="278">
        <v>40485</v>
      </c>
      <c r="G684" s="275" t="s">
        <v>2803</v>
      </c>
      <c r="H684" s="276">
        <v>10.75</v>
      </c>
      <c r="I684" s="276">
        <v>51</v>
      </c>
      <c r="J684" s="276">
        <v>5.01</v>
      </c>
      <c r="K684" s="276">
        <f t="shared" si="10"/>
        <v>5.74</v>
      </c>
      <c r="L684" s="335"/>
      <c r="N684" s="286"/>
      <c r="O684" s="285"/>
      <c r="P684" s="285"/>
      <c r="Q684" s="285"/>
    </row>
    <row r="685" spans="1:17" ht="13.8">
      <c r="A685" s="275" t="s">
        <v>2857</v>
      </c>
      <c r="B685" s="275" t="s">
        <v>4023</v>
      </c>
      <c r="C685" s="275" t="s">
        <v>3206</v>
      </c>
      <c r="D685" s="275" t="s">
        <v>3056</v>
      </c>
      <c r="E685" s="275" t="s">
        <v>2802</v>
      </c>
      <c r="F685" s="278">
        <v>40518</v>
      </c>
      <c r="G685" s="275" t="s">
        <v>2803</v>
      </c>
      <c r="H685" s="276">
        <v>10.09</v>
      </c>
      <c r="I685" s="276">
        <v>52.46</v>
      </c>
      <c r="J685" s="276">
        <v>5.0999999999999996</v>
      </c>
      <c r="K685" s="276">
        <f t="shared" si="10"/>
        <v>4.99</v>
      </c>
      <c r="L685" s="335"/>
      <c r="N685" s="286"/>
      <c r="O685" s="285"/>
      <c r="P685" s="285"/>
      <c r="Q685" s="285"/>
    </row>
    <row r="686" spans="1:17" ht="13.8">
      <c r="A686" s="275" t="s">
        <v>2805</v>
      </c>
      <c r="B686" s="275" t="s">
        <v>2829</v>
      </c>
      <c r="C686" s="275" t="s">
        <v>3207</v>
      </c>
      <c r="D686" s="275" t="s">
        <v>3056</v>
      </c>
      <c r="E686" s="275" t="s">
        <v>2802</v>
      </c>
      <c r="F686" s="278">
        <v>40518</v>
      </c>
      <c r="G686" s="275" t="s">
        <v>2803</v>
      </c>
      <c r="H686" s="276">
        <v>9.56</v>
      </c>
      <c r="I686" s="276">
        <v>51.93</v>
      </c>
      <c r="J686" s="276">
        <v>5.0999999999999996</v>
      </c>
      <c r="K686" s="276">
        <f t="shared" si="10"/>
        <v>4.4600000000000009</v>
      </c>
      <c r="L686" s="335"/>
      <c r="N686" s="286"/>
      <c r="O686" s="285"/>
      <c r="P686" s="285"/>
      <c r="Q686" s="285"/>
    </row>
    <row r="687" spans="1:17" ht="13.8">
      <c r="A687" s="275" t="s">
        <v>2881</v>
      </c>
      <c r="B687" s="275" t="s">
        <v>3126</v>
      </c>
      <c r="C687" s="275" t="s">
        <v>3205</v>
      </c>
      <c r="D687" s="275" t="s">
        <v>3056</v>
      </c>
      <c r="E687" s="275" t="s">
        <v>2802</v>
      </c>
      <c r="F687" s="278">
        <v>40526</v>
      </c>
      <c r="G687" s="275" t="s">
        <v>2803</v>
      </c>
      <c r="H687" s="276">
        <v>10.33</v>
      </c>
      <c r="I687" s="276">
        <v>59.24</v>
      </c>
      <c r="J687" s="276">
        <v>5.0999999999999996</v>
      </c>
      <c r="K687" s="276">
        <f t="shared" si="10"/>
        <v>5.23</v>
      </c>
      <c r="L687" s="335"/>
      <c r="N687" s="286"/>
      <c r="O687" s="285"/>
      <c r="P687" s="285"/>
      <c r="Q687" s="285"/>
    </row>
    <row r="688" spans="1:17" ht="13.8">
      <c r="A688" s="275" t="s">
        <v>2837</v>
      </c>
      <c r="B688" s="275" t="s">
        <v>2839</v>
      </c>
      <c r="C688" s="275" t="s">
        <v>3204</v>
      </c>
      <c r="D688" s="275" t="s">
        <v>3056</v>
      </c>
      <c r="E688" s="275" t="s">
        <v>2802</v>
      </c>
      <c r="F688" s="278">
        <v>40532</v>
      </c>
      <c r="G688" s="275" t="s">
        <v>2803</v>
      </c>
      <c r="H688" s="276">
        <v>10.1</v>
      </c>
      <c r="I688" s="276">
        <v>44.11</v>
      </c>
      <c r="J688" s="276">
        <v>5.37</v>
      </c>
      <c r="K688" s="276">
        <f t="shared" si="10"/>
        <v>4.7299999999999995</v>
      </c>
      <c r="L688" s="335"/>
      <c r="N688" s="286"/>
      <c r="O688" s="285"/>
      <c r="P688" s="285"/>
      <c r="Q688" s="285"/>
    </row>
    <row r="689" spans="1:17" ht="13.8">
      <c r="A689" s="275" t="s">
        <v>2883</v>
      </c>
      <c r="B689" s="275" t="s">
        <v>3186</v>
      </c>
      <c r="C689" s="275" t="s">
        <v>3203</v>
      </c>
      <c r="D689" s="275" t="s">
        <v>3056</v>
      </c>
      <c r="E689" s="275" t="s">
        <v>2802</v>
      </c>
      <c r="F689" s="278">
        <v>40535</v>
      </c>
      <c r="G689" s="275" t="s">
        <v>2803</v>
      </c>
      <c r="H689" s="276">
        <v>9.92</v>
      </c>
      <c r="I689" s="276">
        <v>50.34</v>
      </c>
      <c r="J689" s="276">
        <v>5.37</v>
      </c>
      <c r="K689" s="276">
        <f t="shared" si="10"/>
        <v>4.55</v>
      </c>
      <c r="L689" s="335"/>
      <c r="N689" s="286"/>
      <c r="O689" s="285"/>
      <c r="P689" s="285"/>
      <c r="Q689" s="285"/>
    </row>
    <row r="690" spans="1:17" ht="13.8">
      <c r="A690" s="275" t="s">
        <v>2809</v>
      </c>
      <c r="B690" s="275" t="s">
        <v>2810</v>
      </c>
      <c r="C690" s="275" t="s">
        <v>3202</v>
      </c>
      <c r="D690" s="275" t="s">
        <v>3056</v>
      </c>
      <c r="E690" s="275" t="s">
        <v>2802</v>
      </c>
      <c r="F690" s="278">
        <v>40555</v>
      </c>
      <c r="G690" s="275" t="s">
        <v>2803</v>
      </c>
      <c r="H690" s="276">
        <v>10.3</v>
      </c>
      <c r="I690" s="276">
        <v>58.06</v>
      </c>
      <c r="J690" s="276">
        <v>5.37</v>
      </c>
      <c r="K690" s="276">
        <f t="shared" si="10"/>
        <v>4.9300000000000006</v>
      </c>
      <c r="L690" s="335"/>
      <c r="N690" s="286"/>
      <c r="O690" s="285"/>
      <c r="P690" s="285"/>
      <c r="Q690" s="285"/>
    </row>
    <row r="691" spans="1:17" ht="13.8">
      <c r="A691" s="275" t="s">
        <v>2809</v>
      </c>
      <c r="B691" s="275" t="s">
        <v>2853</v>
      </c>
      <c r="C691" s="275" t="s">
        <v>3201</v>
      </c>
      <c r="D691" s="275" t="s">
        <v>3056</v>
      </c>
      <c r="E691" s="275" t="s">
        <v>2802</v>
      </c>
      <c r="F691" s="278">
        <v>40556</v>
      </c>
      <c r="G691" s="275" t="s">
        <v>2803</v>
      </c>
      <c r="H691" s="276">
        <v>10.3</v>
      </c>
      <c r="I691" s="276">
        <v>51.65</v>
      </c>
      <c r="J691" s="276">
        <v>5.37</v>
      </c>
      <c r="K691" s="276">
        <f t="shared" si="10"/>
        <v>4.9300000000000006</v>
      </c>
      <c r="L691" s="335"/>
      <c r="N691" s="286"/>
      <c r="O691" s="285"/>
      <c r="P691" s="285"/>
      <c r="Q691" s="285"/>
    </row>
    <row r="692" spans="1:17" ht="13.8">
      <c r="A692" s="275" t="s">
        <v>2807</v>
      </c>
      <c r="B692" s="275" t="s">
        <v>3200</v>
      </c>
      <c r="C692" s="275" t="s">
        <v>3199</v>
      </c>
      <c r="D692" s="275" t="s">
        <v>3056</v>
      </c>
      <c r="E692" s="275" t="s">
        <v>2802</v>
      </c>
      <c r="F692" s="278">
        <v>40633</v>
      </c>
      <c r="G692" s="275" t="s">
        <v>2803</v>
      </c>
      <c r="H692" s="276">
        <v>9.4499999999999993</v>
      </c>
      <c r="I692" s="276">
        <v>50.17</v>
      </c>
      <c r="J692" s="276">
        <v>5.68</v>
      </c>
      <c r="K692" s="276">
        <f t="shared" si="10"/>
        <v>3.7699999999999996</v>
      </c>
      <c r="L692" s="335"/>
      <c r="N692" s="286"/>
      <c r="O692" s="285"/>
      <c r="P692" s="285"/>
      <c r="Q692" s="285"/>
    </row>
    <row r="693" spans="1:17" ht="13.8">
      <c r="A693" s="275" t="s">
        <v>2830</v>
      </c>
      <c r="B693" s="275" t="s">
        <v>3198</v>
      </c>
      <c r="C693" s="275" t="s">
        <v>3197</v>
      </c>
      <c r="D693" s="275" t="s">
        <v>3056</v>
      </c>
      <c r="E693" s="275" t="s">
        <v>2802</v>
      </c>
      <c r="F693" s="278">
        <v>40723</v>
      </c>
      <c r="G693" s="275" t="s">
        <v>2803</v>
      </c>
      <c r="H693" s="276">
        <v>8.83</v>
      </c>
      <c r="I693" s="276">
        <v>52.2</v>
      </c>
      <c r="J693" s="276">
        <v>5.32</v>
      </c>
      <c r="K693" s="276">
        <f t="shared" si="10"/>
        <v>3.51</v>
      </c>
      <c r="L693" s="335"/>
      <c r="N693" s="286"/>
      <c r="O693" s="285"/>
      <c r="P693" s="285"/>
      <c r="Q693" s="285"/>
    </row>
    <row r="694" spans="1:17" ht="13.8">
      <c r="A694" s="275" t="s">
        <v>2807</v>
      </c>
      <c r="B694" s="275" t="s">
        <v>2884</v>
      </c>
      <c r="C694" s="275" t="s">
        <v>3196</v>
      </c>
      <c r="D694" s="275" t="s">
        <v>3056</v>
      </c>
      <c r="E694" s="275" t="s">
        <v>2802</v>
      </c>
      <c r="F694" s="278">
        <v>40756</v>
      </c>
      <c r="G694" s="275" t="s">
        <v>2803</v>
      </c>
      <c r="H694" s="276">
        <v>9.1999999999999993</v>
      </c>
      <c r="I694" s="276">
        <v>42.88</v>
      </c>
      <c r="J694" s="276">
        <v>5.26</v>
      </c>
      <c r="K694" s="276">
        <f t="shared" si="10"/>
        <v>3.9399999999999995</v>
      </c>
      <c r="L694" s="335"/>
      <c r="N694" s="286"/>
      <c r="O694" s="285"/>
      <c r="P694" s="285"/>
      <c r="Q694" s="285"/>
    </row>
    <row r="695" spans="1:17" ht="13.8">
      <c r="A695" s="275" t="s">
        <v>2805</v>
      </c>
      <c r="B695" s="275" t="s">
        <v>3079</v>
      </c>
      <c r="C695" s="275" t="s">
        <v>3195</v>
      </c>
      <c r="D695" s="275" t="s">
        <v>3056</v>
      </c>
      <c r="E695" s="275" t="s">
        <v>2802</v>
      </c>
      <c r="F695" s="278">
        <v>40861</v>
      </c>
      <c r="G695" s="275" t="s">
        <v>2803</v>
      </c>
      <c r="H695" s="276">
        <v>9.6</v>
      </c>
      <c r="I695" s="276">
        <v>57.88</v>
      </c>
      <c r="J695" s="276">
        <v>4.4800000000000004</v>
      </c>
      <c r="K695" s="276">
        <f t="shared" si="10"/>
        <v>5.1199999999999992</v>
      </c>
      <c r="L695" s="335"/>
      <c r="N695" s="286"/>
      <c r="O695" s="285"/>
      <c r="P695" s="285"/>
      <c r="Q695" s="285"/>
    </row>
    <row r="696" spans="1:17" ht="13.8">
      <c r="A696" s="275" t="s">
        <v>2809</v>
      </c>
      <c r="B696" s="275" t="s">
        <v>4023</v>
      </c>
      <c r="C696" s="275" t="s">
        <v>3194</v>
      </c>
      <c r="D696" s="275" t="s">
        <v>3056</v>
      </c>
      <c r="E696" s="275" t="s">
        <v>2802</v>
      </c>
      <c r="F696" s="278">
        <v>40899</v>
      </c>
      <c r="G696" s="275" t="s">
        <v>2803</v>
      </c>
      <c r="H696" s="276">
        <v>10.4</v>
      </c>
      <c r="I696" s="276">
        <v>52.59</v>
      </c>
      <c r="J696" s="276">
        <v>4.25</v>
      </c>
      <c r="K696" s="276">
        <f t="shared" si="10"/>
        <v>6.15</v>
      </c>
      <c r="L696" s="335"/>
      <c r="N696" s="286"/>
      <c r="O696" s="285"/>
      <c r="P696" s="285"/>
      <c r="Q696" s="285"/>
    </row>
    <row r="697" spans="1:17" ht="13.8">
      <c r="A697" s="275" t="s">
        <v>2801</v>
      </c>
      <c r="B697" s="275" t="s">
        <v>3139</v>
      </c>
      <c r="C697" s="275" t="s">
        <v>3192</v>
      </c>
      <c r="D697" s="275" t="s">
        <v>3056</v>
      </c>
      <c r="E697" s="275" t="s">
        <v>2802</v>
      </c>
      <c r="F697" s="278">
        <v>40918</v>
      </c>
      <c r="G697" s="275" t="s">
        <v>2803</v>
      </c>
      <c r="H697" s="276">
        <v>9.4499999999999993</v>
      </c>
      <c r="I697" s="276">
        <v>50</v>
      </c>
      <c r="J697" s="276">
        <v>4.25</v>
      </c>
      <c r="K697" s="276">
        <f t="shared" si="10"/>
        <v>5.1999999999999993</v>
      </c>
      <c r="L697" s="335"/>
      <c r="N697" s="286"/>
      <c r="O697" s="285"/>
      <c r="P697" s="285"/>
      <c r="Q697" s="285"/>
    </row>
    <row r="698" spans="1:17" ht="13.8">
      <c r="A698" s="275" t="s">
        <v>2801</v>
      </c>
      <c r="B698" s="275" t="s">
        <v>4021</v>
      </c>
      <c r="C698" s="275" t="s">
        <v>3191</v>
      </c>
      <c r="D698" s="275" t="s">
        <v>3056</v>
      </c>
      <c r="E698" s="275" t="s">
        <v>2802</v>
      </c>
      <c r="F698" s="278">
        <v>40918</v>
      </c>
      <c r="G698" s="275" t="s">
        <v>2803</v>
      </c>
      <c r="H698" s="276">
        <v>9.4499999999999993</v>
      </c>
      <c r="I698" s="276">
        <v>49</v>
      </c>
      <c r="J698" s="276">
        <v>4.25</v>
      </c>
      <c r="K698" s="276">
        <f t="shared" si="10"/>
        <v>5.1999999999999993</v>
      </c>
      <c r="L698" s="335"/>
      <c r="N698" s="286"/>
      <c r="O698" s="285"/>
      <c r="P698" s="285"/>
      <c r="Q698" s="285"/>
    </row>
    <row r="699" spans="1:17" ht="13.8">
      <c r="A699" s="275" t="s">
        <v>2801</v>
      </c>
      <c r="B699" s="275" t="s">
        <v>2849</v>
      </c>
      <c r="C699" s="275" t="s">
        <v>3193</v>
      </c>
      <c r="D699" s="275" t="s">
        <v>3056</v>
      </c>
      <c r="E699" s="275" t="s">
        <v>2802</v>
      </c>
      <c r="F699" s="278">
        <v>40918</v>
      </c>
      <c r="G699" s="275" t="s">
        <v>2803</v>
      </c>
      <c r="H699" s="276">
        <v>9.06</v>
      </c>
      <c r="I699" s="276">
        <v>53.27</v>
      </c>
      <c r="J699" s="276">
        <v>4.25</v>
      </c>
      <c r="K699" s="276">
        <f t="shared" si="10"/>
        <v>4.8100000000000005</v>
      </c>
      <c r="L699" s="335"/>
      <c r="N699" s="286"/>
      <c r="O699" s="285"/>
      <c r="P699" s="285"/>
      <c r="Q699" s="285"/>
    </row>
    <row r="700" spans="1:17" ht="13.8">
      <c r="A700" s="275" t="s">
        <v>2824</v>
      </c>
      <c r="B700" s="275" t="s">
        <v>3190</v>
      </c>
      <c r="C700" s="275" t="s">
        <v>3189</v>
      </c>
      <c r="D700" s="275" t="s">
        <v>3056</v>
      </c>
      <c r="E700" s="275" t="s">
        <v>2802</v>
      </c>
      <c r="F700" s="278">
        <v>41023</v>
      </c>
      <c r="G700" s="275" t="s">
        <v>2803</v>
      </c>
      <c r="H700" s="276">
        <v>9.75</v>
      </c>
      <c r="I700" s="276">
        <v>50.82</v>
      </c>
      <c r="J700" s="276">
        <v>4.4800000000000004</v>
      </c>
      <c r="K700" s="276">
        <f t="shared" si="10"/>
        <v>5.27</v>
      </c>
      <c r="L700" s="335"/>
      <c r="N700" s="286"/>
      <c r="O700" s="285"/>
      <c r="P700" s="285"/>
      <c r="Q700" s="285"/>
    </row>
    <row r="701" spans="1:17" ht="13.8">
      <c r="A701" s="275" t="s">
        <v>2842</v>
      </c>
      <c r="B701" s="275" t="s">
        <v>2843</v>
      </c>
      <c r="C701" s="275" t="s">
        <v>3188</v>
      </c>
      <c r="D701" s="275" t="s">
        <v>3056</v>
      </c>
      <c r="E701" s="275" t="s">
        <v>2802</v>
      </c>
      <c r="F701" s="278">
        <v>41036</v>
      </c>
      <c r="G701" s="275" t="s">
        <v>2803</v>
      </c>
      <c r="H701" s="276">
        <v>9.8000000000000007</v>
      </c>
      <c r="I701" s="276">
        <v>48</v>
      </c>
      <c r="J701" s="276">
        <v>4.4800000000000004</v>
      </c>
      <c r="K701" s="276">
        <f t="shared" si="10"/>
        <v>5.32</v>
      </c>
      <c r="L701" s="335"/>
      <c r="N701" s="284"/>
      <c r="O701" s="283"/>
      <c r="P701" s="283"/>
      <c r="Q701" s="283"/>
    </row>
    <row r="702" spans="1:17" ht="13.8">
      <c r="A702" s="275" t="s">
        <v>3187</v>
      </c>
      <c r="B702" s="275" t="s">
        <v>3186</v>
      </c>
      <c r="C702" s="275" t="s">
        <v>3185</v>
      </c>
      <c r="D702" s="275" t="s">
        <v>3056</v>
      </c>
      <c r="E702" s="275" t="s">
        <v>2802</v>
      </c>
      <c r="F702" s="278">
        <v>41051</v>
      </c>
      <c r="G702" s="275" t="s">
        <v>2803</v>
      </c>
      <c r="H702" s="276">
        <v>9.6</v>
      </c>
      <c r="I702" s="276">
        <v>51.16</v>
      </c>
      <c r="J702" s="276">
        <v>4.4000000000000004</v>
      </c>
      <c r="K702" s="276">
        <f t="shared" si="10"/>
        <v>5.1999999999999993</v>
      </c>
      <c r="L702" s="335"/>
      <c r="N702" s="284"/>
      <c r="O702" s="283"/>
      <c r="P702" s="283"/>
      <c r="Q702" s="283"/>
    </row>
    <row r="703" spans="1:17" ht="13.8">
      <c r="A703" s="275" t="s">
        <v>2857</v>
      </c>
      <c r="B703" s="275" t="s">
        <v>3099</v>
      </c>
      <c r="C703" s="275" t="s">
        <v>3184</v>
      </c>
      <c r="D703" s="275" t="s">
        <v>3056</v>
      </c>
      <c r="E703" s="275" t="s">
        <v>2802</v>
      </c>
      <c r="F703" s="278">
        <v>41053</v>
      </c>
      <c r="G703" s="275" t="s">
        <v>2803</v>
      </c>
      <c r="H703" s="276">
        <v>9.6999999999999993</v>
      </c>
      <c r="I703" s="276">
        <v>50.48</v>
      </c>
      <c r="J703" s="276">
        <v>4.4000000000000004</v>
      </c>
      <c r="K703" s="276">
        <f t="shared" si="10"/>
        <v>5.2999999999999989</v>
      </c>
      <c r="L703" s="335"/>
      <c r="N703" s="284"/>
      <c r="O703" s="283"/>
      <c r="P703" s="283"/>
      <c r="Q703" s="283"/>
    </row>
    <row r="704" spans="1:17" ht="13.8">
      <c r="A704" s="275" t="s">
        <v>2809</v>
      </c>
      <c r="B704" s="275" t="s">
        <v>2854</v>
      </c>
      <c r="C704" s="275" t="s">
        <v>3183</v>
      </c>
      <c r="D704" s="275" t="s">
        <v>3056</v>
      </c>
      <c r="E704" s="275" t="s">
        <v>2802</v>
      </c>
      <c r="F704" s="278">
        <v>41075</v>
      </c>
      <c r="G704" s="275" t="s">
        <v>2803</v>
      </c>
      <c r="H704" s="276">
        <v>10.4</v>
      </c>
      <c r="I704" s="276">
        <v>49.31</v>
      </c>
      <c r="J704" s="276">
        <v>4.2</v>
      </c>
      <c r="K704" s="276">
        <f t="shared" si="10"/>
        <v>6.2</v>
      </c>
      <c r="L704" s="335"/>
      <c r="N704" s="284"/>
      <c r="O704" s="283"/>
      <c r="P704" s="283"/>
      <c r="Q704" s="283"/>
    </row>
    <row r="705" spans="1:17" ht="13.8">
      <c r="A705" s="275" t="s">
        <v>2880</v>
      </c>
      <c r="B705" s="275" t="s">
        <v>3182</v>
      </c>
      <c r="C705" s="275" t="s">
        <v>3181</v>
      </c>
      <c r="D705" s="275" t="s">
        <v>3056</v>
      </c>
      <c r="E705" s="275" t="s">
        <v>2802</v>
      </c>
      <c r="F705" s="278">
        <v>41208</v>
      </c>
      <c r="G705" s="275" t="s">
        <v>2803</v>
      </c>
      <c r="H705" s="276">
        <v>9.5</v>
      </c>
      <c r="I705" s="276">
        <v>50</v>
      </c>
      <c r="J705" s="276">
        <v>4.0199999999999996</v>
      </c>
      <c r="K705" s="276">
        <f t="shared" si="10"/>
        <v>5.48</v>
      </c>
      <c r="L705" s="335"/>
      <c r="N705" s="284"/>
      <c r="O705" s="283"/>
      <c r="P705" s="283"/>
      <c r="Q705" s="283"/>
    </row>
    <row r="706" spans="1:17" ht="13.8">
      <c r="A706" s="275" t="s">
        <v>2837</v>
      </c>
      <c r="B706" s="275" t="s">
        <v>3094</v>
      </c>
      <c r="C706" s="275" t="s">
        <v>3178</v>
      </c>
      <c r="D706" s="275" t="s">
        <v>3056</v>
      </c>
      <c r="E706" s="275" t="s">
        <v>2802</v>
      </c>
      <c r="F706" s="278">
        <v>41213</v>
      </c>
      <c r="G706" s="275" t="s">
        <v>2803</v>
      </c>
      <c r="H706" s="276">
        <v>10</v>
      </c>
      <c r="I706" s="276">
        <v>42.74</v>
      </c>
      <c r="J706" s="276">
        <v>4.0199999999999996</v>
      </c>
      <c r="K706" s="276">
        <f t="shared" si="10"/>
        <v>5.98</v>
      </c>
      <c r="L706" s="335"/>
      <c r="N706" s="284"/>
      <c r="O706" s="283"/>
      <c r="P706" s="283"/>
      <c r="Q706" s="283"/>
    </row>
    <row r="707" spans="1:17" ht="13.8">
      <c r="A707" s="275" t="s">
        <v>2831</v>
      </c>
      <c r="B707" s="275" t="s">
        <v>4016</v>
      </c>
      <c r="C707" s="275" t="s">
        <v>3179</v>
      </c>
      <c r="D707" s="275" t="s">
        <v>3056</v>
      </c>
      <c r="E707" s="275" t="s">
        <v>2802</v>
      </c>
      <c r="F707" s="278">
        <v>41213</v>
      </c>
      <c r="G707" s="275" t="s">
        <v>2803</v>
      </c>
      <c r="H707" s="276">
        <v>9.9</v>
      </c>
      <c r="I707" s="276">
        <v>48.03</v>
      </c>
      <c r="J707" s="276">
        <v>4.0199999999999996</v>
      </c>
      <c r="K707" s="276">
        <f t="shared" si="10"/>
        <v>5.8800000000000008</v>
      </c>
      <c r="L707" s="335"/>
      <c r="N707" s="284"/>
      <c r="O707" s="283"/>
      <c r="P707" s="283"/>
      <c r="Q707" s="283"/>
    </row>
    <row r="708" spans="1:17" ht="13.8">
      <c r="A708" s="275" t="s">
        <v>2837</v>
      </c>
      <c r="B708" s="275" t="s">
        <v>3094</v>
      </c>
      <c r="C708" s="275" t="s">
        <v>3180</v>
      </c>
      <c r="D708" s="275" t="s">
        <v>3056</v>
      </c>
      <c r="E708" s="275" t="s">
        <v>2802</v>
      </c>
      <c r="F708" s="278">
        <v>41213</v>
      </c>
      <c r="G708" s="275" t="s">
        <v>2803</v>
      </c>
      <c r="H708" s="276">
        <v>9.3000000000000007</v>
      </c>
      <c r="I708" s="276">
        <v>59.06</v>
      </c>
      <c r="J708" s="276">
        <v>4.0199999999999996</v>
      </c>
      <c r="K708" s="276">
        <f t="shared" si="10"/>
        <v>5.2800000000000011</v>
      </c>
      <c r="L708" s="335"/>
      <c r="N708" s="284"/>
      <c r="O708" s="283"/>
      <c r="P708" s="283"/>
      <c r="Q708" s="283"/>
    </row>
    <row r="709" spans="1:17" ht="13.8">
      <c r="A709" s="275" t="s">
        <v>2807</v>
      </c>
      <c r="B709" s="275" t="s">
        <v>4026</v>
      </c>
      <c r="C709" s="275" t="s">
        <v>3177</v>
      </c>
      <c r="D709" s="275" t="s">
        <v>3056</v>
      </c>
      <c r="E709" s="275" t="s">
        <v>2802</v>
      </c>
      <c r="F709" s="278">
        <v>41214</v>
      </c>
      <c r="G709" s="275" t="s">
        <v>2803</v>
      </c>
      <c r="H709" s="276">
        <v>9.4499999999999993</v>
      </c>
      <c r="I709" s="276">
        <v>53.7</v>
      </c>
      <c r="J709" s="276">
        <v>4.0199999999999996</v>
      </c>
      <c r="K709" s="276">
        <f t="shared" si="10"/>
        <v>5.43</v>
      </c>
      <c r="L709" s="335"/>
      <c r="N709" s="284"/>
      <c r="O709" s="283"/>
      <c r="P709" s="283"/>
      <c r="Q709" s="283"/>
    </row>
    <row r="710" spans="1:17" ht="13.8">
      <c r="A710" s="275" t="s">
        <v>2809</v>
      </c>
      <c r="B710" s="275" t="s">
        <v>2810</v>
      </c>
      <c r="C710" s="275" t="s">
        <v>3176</v>
      </c>
      <c r="D710" s="275" t="s">
        <v>3056</v>
      </c>
      <c r="E710" s="275" t="s">
        <v>2802</v>
      </c>
      <c r="F710" s="278">
        <v>41222</v>
      </c>
      <c r="G710" s="275" t="s">
        <v>2803</v>
      </c>
      <c r="H710" s="276">
        <v>10.3</v>
      </c>
      <c r="I710" s="276">
        <v>59.09</v>
      </c>
      <c r="J710" s="276">
        <v>4.0199999999999996</v>
      </c>
      <c r="K710" s="276">
        <f t="shared" ref="K710:K773" si="11">H710-J710</f>
        <v>6.2800000000000011</v>
      </c>
      <c r="L710" s="335"/>
      <c r="N710" s="284"/>
      <c r="O710" s="283"/>
      <c r="P710" s="283"/>
      <c r="Q710" s="283"/>
    </row>
    <row r="711" spans="1:17" ht="13.8">
      <c r="A711" s="275" t="s">
        <v>2809</v>
      </c>
      <c r="B711" s="275" t="s">
        <v>3142</v>
      </c>
      <c r="C711" s="275" t="s">
        <v>3174</v>
      </c>
      <c r="D711" s="275" t="s">
        <v>3056</v>
      </c>
      <c r="E711" s="275" t="s">
        <v>2802</v>
      </c>
      <c r="F711" s="278">
        <v>41241</v>
      </c>
      <c r="G711" s="275" t="s">
        <v>2803</v>
      </c>
      <c r="H711" s="276">
        <v>10.5</v>
      </c>
      <c r="I711" s="276">
        <v>46.75</v>
      </c>
      <c r="J711" s="276">
        <v>3.91</v>
      </c>
      <c r="K711" s="276">
        <f t="shared" si="11"/>
        <v>6.59</v>
      </c>
      <c r="L711" s="335"/>
      <c r="N711" s="284"/>
      <c r="O711" s="283"/>
      <c r="P711" s="283"/>
      <c r="Q711" s="283"/>
    </row>
    <row r="712" spans="1:17" ht="13.8">
      <c r="A712" s="275" t="s">
        <v>2809</v>
      </c>
      <c r="B712" s="275" t="s">
        <v>2879</v>
      </c>
      <c r="C712" s="275" t="s">
        <v>3175</v>
      </c>
      <c r="D712" s="275" t="s">
        <v>3056</v>
      </c>
      <c r="E712" s="275" t="s">
        <v>2802</v>
      </c>
      <c r="F712" s="278">
        <v>41241</v>
      </c>
      <c r="G712" s="275" t="s">
        <v>2803</v>
      </c>
      <c r="H712" s="276">
        <v>10.4</v>
      </c>
      <c r="I712" s="276">
        <v>52.09</v>
      </c>
      <c r="J712" s="276">
        <v>3.91</v>
      </c>
      <c r="K712" s="276">
        <f t="shared" si="11"/>
        <v>6.49</v>
      </c>
      <c r="L712" s="335"/>
      <c r="N712" s="284"/>
      <c r="O712" s="283"/>
      <c r="P712" s="283"/>
      <c r="Q712" s="283"/>
    </row>
    <row r="713" spans="1:17" ht="13.8">
      <c r="A713" s="275" t="s">
        <v>2881</v>
      </c>
      <c r="B713" s="275" t="s">
        <v>3075</v>
      </c>
      <c r="C713" s="275" t="s">
        <v>3173</v>
      </c>
      <c r="D713" s="275" t="s">
        <v>3056</v>
      </c>
      <c r="E713" s="275" t="s">
        <v>2802</v>
      </c>
      <c r="F713" s="278">
        <v>41247</v>
      </c>
      <c r="G713" s="275" t="s">
        <v>2803</v>
      </c>
      <c r="H713" s="276">
        <v>10.5</v>
      </c>
      <c r="I713" s="276">
        <v>51.69</v>
      </c>
      <c r="J713" s="276">
        <v>3.91</v>
      </c>
      <c r="K713" s="276">
        <f t="shared" si="11"/>
        <v>6.59</v>
      </c>
      <c r="L713" s="335"/>
      <c r="N713" s="284"/>
      <c r="O713" s="283"/>
      <c r="P713" s="283"/>
      <c r="Q713" s="283"/>
    </row>
    <row r="714" spans="1:17" ht="13.8">
      <c r="A714" s="275" t="s">
        <v>2844</v>
      </c>
      <c r="B714" s="275" t="s">
        <v>2864</v>
      </c>
      <c r="C714" s="275" t="s">
        <v>3170</v>
      </c>
      <c r="D714" s="275" t="s">
        <v>3056</v>
      </c>
      <c r="E714" s="275" t="s">
        <v>2802</v>
      </c>
      <c r="F714" s="278">
        <v>41263</v>
      </c>
      <c r="G714" s="275" t="s">
        <v>2803</v>
      </c>
      <c r="H714" s="276">
        <v>10.4</v>
      </c>
      <c r="I714" s="276">
        <v>52</v>
      </c>
      <c r="J714" s="276">
        <v>3.84</v>
      </c>
      <c r="K714" s="276">
        <f t="shared" si="11"/>
        <v>6.5600000000000005</v>
      </c>
      <c r="L714" s="335"/>
      <c r="N714" s="284"/>
      <c r="O714" s="283"/>
      <c r="P714" s="283"/>
      <c r="Q714" s="283"/>
    </row>
    <row r="715" spans="1:17" ht="13.8">
      <c r="A715" s="275" t="s">
        <v>2844</v>
      </c>
      <c r="B715" s="275" t="s">
        <v>2848</v>
      </c>
      <c r="C715" s="275" t="s">
        <v>3171</v>
      </c>
      <c r="D715" s="275" t="s">
        <v>3056</v>
      </c>
      <c r="E715" s="275" t="s">
        <v>2802</v>
      </c>
      <c r="F715" s="278">
        <v>41263</v>
      </c>
      <c r="G715" s="275" t="s">
        <v>2803</v>
      </c>
      <c r="H715" s="276">
        <v>10.3</v>
      </c>
      <c r="I715" s="276">
        <v>52</v>
      </c>
      <c r="J715" s="276">
        <v>3.84</v>
      </c>
      <c r="K715" s="276">
        <f t="shared" si="11"/>
        <v>6.4600000000000009</v>
      </c>
      <c r="L715" s="335"/>
      <c r="N715" s="284"/>
      <c r="O715" s="283"/>
      <c r="P715" s="283"/>
      <c r="Q715" s="283"/>
    </row>
    <row r="716" spans="1:17" ht="13.8">
      <c r="A716" s="275" t="s">
        <v>2844</v>
      </c>
      <c r="B716" s="275" t="s">
        <v>3084</v>
      </c>
      <c r="C716" s="275" t="s">
        <v>3172</v>
      </c>
      <c r="D716" s="275" t="s">
        <v>3056</v>
      </c>
      <c r="E716" s="275" t="s">
        <v>2802</v>
      </c>
      <c r="F716" s="278">
        <v>41263</v>
      </c>
      <c r="G716" s="275" t="s">
        <v>2803</v>
      </c>
      <c r="H716" s="276">
        <v>10.1</v>
      </c>
      <c r="I716" s="276">
        <v>52</v>
      </c>
      <c r="J716" s="276">
        <v>3.84</v>
      </c>
      <c r="K716" s="276">
        <f t="shared" si="11"/>
        <v>6.26</v>
      </c>
      <c r="L716" s="335"/>
      <c r="N716" s="284"/>
      <c r="O716" s="283"/>
      <c r="P716" s="283"/>
      <c r="Q716" s="283"/>
    </row>
    <row r="717" spans="1:17" ht="13.8">
      <c r="A717" s="275" t="s">
        <v>2805</v>
      </c>
      <c r="B717" s="275" t="s">
        <v>2829</v>
      </c>
      <c r="C717" s="275" t="s">
        <v>3169</v>
      </c>
      <c r="D717" s="275" t="s">
        <v>3056</v>
      </c>
      <c r="E717" s="275" t="s">
        <v>2802</v>
      </c>
      <c r="F717" s="278">
        <v>41327</v>
      </c>
      <c r="G717" s="275" t="s">
        <v>2803</v>
      </c>
      <c r="H717" s="276">
        <v>9.6</v>
      </c>
      <c r="I717" s="276">
        <v>48.4</v>
      </c>
      <c r="J717" s="276">
        <v>4.1500000000000004</v>
      </c>
      <c r="K717" s="276">
        <f t="shared" si="11"/>
        <v>5.4499999999999993</v>
      </c>
      <c r="L717" s="335"/>
      <c r="N717" s="284"/>
      <c r="O717" s="283"/>
      <c r="P717" s="283"/>
      <c r="Q717" s="283"/>
    </row>
    <row r="718" spans="1:17" ht="13.8">
      <c r="A718" s="275" t="s">
        <v>2840</v>
      </c>
      <c r="B718" s="275" t="s">
        <v>3079</v>
      </c>
      <c r="C718" s="275" t="s">
        <v>3168</v>
      </c>
      <c r="D718" s="275" t="s">
        <v>3056</v>
      </c>
      <c r="E718" s="275" t="s">
        <v>2802</v>
      </c>
      <c r="F718" s="278">
        <v>41404</v>
      </c>
      <c r="G718" s="275" t="s">
        <v>2803</v>
      </c>
      <c r="H718" s="276">
        <v>9.25</v>
      </c>
      <c r="I718" s="276">
        <v>59.3</v>
      </c>
      <c r="J718" s="276">
        <v>4.2</v>
      </c>
      <c r="K718" s="276">
        <f t="shared" si="11"/>
        <v>5.05</v>
      </c>
      <c r="L718" s="335"/>
      <c r="N718" s="284"/>
      <c r="O718" s="283"/>
      <c r="P718" s="283"/>
      <c r="Q718" s="283"/>
    </row>
    <row r="719" spans="1:17" ht="13.8">
      <c r="A719" s="275" t="s">
        <v>2801</v>
      </c>
      <c r="B719" s="275" t="s">
        <v>3139</v>
      </c>
      <c r="C719" s="275" t="s">
        <v>3167</v>
      </c>
      <c r="D719" s="275" t="s">
        <v>3056</v>
      </c>
      <c r="E719" s="275" t="s">
        <v>2802</v>
      </c>
      <c r="F719" s="278">
        <v>41443</v>
      </c>
      <c r="G719" s="275" t="s">
        <v>2803</v>
      </c>
      <c r="H719" s="276">
        <v>9.2799999999999994</v>
      </c>
      <c r="I719" s="276">
        <v>50.32</v>
      </c>
      <c r="J719" s="276">
        <v>4.17</v>
      </c>
      <c r="K719" s="276">
        <f t="shared" si="11"/>
        <v>5.1099999999999994</v>
      </c>
      <c r="L719" s="335"/>
      <c r="N719" s="284"/>
      <c r="O719" s="283"/>
      <c r="P719" s="283"/>
      <c r="Q719" s="283"/>
    </row>
    <row r="720" spans="1:17" ht="13.8">
      <c r="A720" s="275" t="s">
        <v>2801</v>
      </c>
      <c r="B720" s="275" t="s">
        <v>4021</v>
      </c>
      <c r="C720" s="275" t="s">
        <v>3166</v>
      </c>
      <c r="D720" s="275" t="s">
        <v>3056</v>
      </c>
      <c r="E720" s="275" t="s">
        <v>2802</v>
      </c>
      <c r="F720" s="278">
        <v>41443</v>
      </c>
      <c r="G720" s="275" t="s">
        <v>2803</v>
      </c>
      <c r="H720" s="276">
        <v>9.2799999999999994</v>
      </c>
      <c r="I720" s="276">
        <v>50.43</v>
      </c>
      <c r="J720" s="276">
        <v>4.17</v>
      </c>
      <c r="K720" s="276">
        <f t="shared" si="11"/>
        <v>5.1099999999999994</v>
      </c>
      <c r="L720" s="335"/>
      <c r="N720" s="284"/>
      <c r="O720" s="283"/>
      <c r="P720" s="283"/>
      <c r="Q720" s="283"/>
    </row>
    <row r="721" spans="1:17" ht="13.8">
      <c r="A721" s="275" t="s">
        <v>2805</v>
      </c>
      <c r="B721" s="275" t="s">
        <v>3086</v>
      </c>
      <c r="C721" s="275" t="s">
        <v>3165</v>
      </c>
      <c r="D721" s="275" t="s">
        <v>3056</v>
      </c>
      <c r="E721" s="275" t="s">
        <v>2802</v>
      </c>
      <c r="F721" s="278">
        <v>41540</v>
      </c>
      <c r="G721" s="275" t="s">
        <v>2803</v>
      </c>
      <c r="H721" s="276">
        <v>9.6</v>
      </c>
      <c r="I721" s="276">
        <v>53.84</v>
      </c>
      <c r="J721" s="276">
        <v>4.7300000000000004</v>
      </c>
      <c r="K721" s="276">
        <f t="shared" si="11"/>
        <v>4.8699999999999992</v>
      </c>
      <c r="L721" s="335"/>
      <c r="N721" s="284"/>
      <c r="O721" s="283"/>
      <c r="P721" s="283"/>
      <c r="Q721" s="283"/>
    </row>
    <row r="722" spans="1:17" ht="13.8">
      <c r="A722" s="275" t="s">
        <v>2809</v>
      </c>
      <c r="B722" s="275" t="s">
        <v>2853</v>
      </c>
      <c r="C722" s="275" t="s">
        <v>3164</v>
      </c>
      <c r="D722" s="275" t="s">
        <v>3056</v>
      </c>
      <c r="E722" s="275" t="s">
        <v>2802</v>
      </c>
      <c r="F722" s="278">
        <v>41584</v>
      </c>
      <c r="G722" s="275" t="s">
        <v>2803</v>
      </c>
      <c r="H722" s="276">
        <v>10.199999999999999</v>
      </c>
      <c r="I722" s="276">
        <v>50.14</v>
      </c>
      <c r="J722" s="276">
        <v>4.8</v>
      </c>
      <c r="K722" s="276">
        <f t="shared" si="11"/>
        <v>5.3999999999999995</v>
      </c>
      <c r="L722" s="335"/>
      <c r="N722" s="284"/>
      <c r="O722" s="283"/>
      <c r="P722" s="283"/>
      <c r="Q722" s="283"/>
    </row>
    <row r="723" spans="1:17" ht="13.8">
      <c r="A723" s="275" t="s">
        <v>2805</v>
      </c>
      <c r="B723" s="275" t="s">
        <v>3079</v>
      </c>
      <c r="C723" s="275" t="s">
        <v>3163</v>
      </c>
      <c r="D723" s="275" t="s">
        <v>3056</v>
      </c>
      <c r="E723" s="275" t="s">
        <v>2802</v>
      </c>
      <c r="F723" s="278">
        <v>41600</v>
      </c>
      <c r="G723" s="275" t="s">
        <v>2803</v>
      </c>
      <c r="H723" s="276">
        <v>9.5</v>
      </c>
      <c r="I723" s="276">
        <v>53.02</v>
      </c>
      <c r="J723" s="276">
        <v>4.7</v>
      </c>
      <c r="K723" s="276">
        <f t="shared" si="11"/>
        <v>4.8</v>
      </c>
      <c r="L723" s="335"/>
      <c r="N723" s="284"/>
      <c r="O723" s="283"/>
      <c r="P723" s="283"/>
      <c r="Q723" s="283"/>
    </row>
    <row r="724" spans="1:17" ht="13.8">
      <c r="A724" s="275" t="s">
        <v>2809</v>
      </c>
      <c r="B724" s="275" t="s">
        <v>4023</v>
      </c>
      <c r="C724" s="275" t="s">
        <v>3162</v>
      </c>
      <c r="D724" s="275" t="s">
        <v>3056</v>
      </c>
      <c r="E724" s="275" t="s">
        <v>2802</v>
      </c>
      <c r="F724" s="278">
        <v>41613</v>
      </c>
      <c r="G724" s="275" t="s">
        <v>2803</v>
      </c>
      <c r="H724" s="276">
        <v>10.199999999999999</v>
      </c>
      <c r="I724" s="276">
        <v>52.54</v>
      </c>
      <c r="J724" s="276">
        <v>4.7</v>
      </c>
      <c r="K724" s="276">
        <f t="shared" si="11"/>
        <v>5.4999999999999991</v>
      </c>
      <c r="L724" s="335"/>
      <c r="N724" s="284"/>
      <c r="O724" s="283"/>
      <c r="P724" s="283"/>
      <c r="Q724" s="283"/>
    </row>
    <row r="725" spans="1:17" ht="13.8">
      <c r="A725" s="275" t="s">
        <v>2805</v>
      </c>
      <c r="B725" s="275" t="s">
        <v>2829</v>
      </c>
      <c r="C725" s="275" t="s">
        <v>3161</v>
      </c>
      <c r="D725" s="275" t="s">
        <v>3056</v>
      </c>
      <c r="E725" s="275" t="s">
        <v>2802</v>
      </c>
      <c r="F725" s="278">
        <v>41621</v>
      </c>
      <c r="G725" s="275" t="s">
        <v>2803</v>
      </c>
      <c r="H725" s="276">
        <v>9.6</v>
      </c>
      <c r="I725" s="276">
        <v>51.05</v>
      </c>
      <c r="J725" s="276">
        <v>4.7</v>
      </c>
      <c r="K725" s="276">
        <f t="shared" si="11"/>
        <v>4.8999999999999995</v>
      </c>
      <c r="L725" s="335"/>
      <c r="N725" s="284"/>
      <c r="O725" s="283"/>
      <c r="P725" s="283"/>
      <c r="Q725" s="283"/>
    </row>
    <row r="726" spans="1:17" ht="13.8">
      <c r="A726" s="275" t="s">
        <v>2837</v>
      </c>
      <c r="B726" s="275" t="s">
        <v>2839</v>
      </c>
      <c r="C726" s="275" t="s">
        <v>3160</v>
      </c>
      <c r="D726" s="275" t="s">
        <v>3056</v>
      </c>
      <c r="E726" s="275" t="s">
        <v>2802</v>
      </c>
      <c r="F726" s="278">
        <v>41624</v>
      </c>
      <c r="G726" s="275" t="s">
        <v>2803</v>
      </c>
      <c r="H726" s="276">
        <v>9.73</v>
      </c>
      <c r="I726" s="276">
        <v>46.94</v>
      </c>
      <c r="J726" s="276">
        <v>4.7699999999999996</v>
      </c>
      <c r="K726" s="276">
        <f t="shared" si="11"/>
        <v>4.9600000000000009</v>
      </c>
      <c r="L726" s="335"/>
      <c r="N726" s="284"/>
      <c r="O726" s="283"/>
      <c r="P726" s="283"/>
      <c r="Q726" s="283"/>
    </row>
    <row r="727" spans="1:17" ht="13.8">
      <c r="A727" s="275" t="s">
        <v>2801</v>
      </c>
      <c r="B727" s="275" t="s">
        <v>2849</v>
      </c>
      <c r="C727" s="275" t="s">
        <v>3159</v>
      </c>
      <c r="D727" s="275" t="s">
        <v>3056</v>
      </c>
      <c r="E727" s="275" t="s">
        <v>2802</v>
      </c>
      <c r="F727" s="278">
        <v>41626</v>
      </c>
      <c r="G727" s="275" t="s">
        <v>2803</v>
      </c>
      <c r="H727" s="276">
        <v>9.08</v>
      </c>
      <c r="I727" s="276">
        <v>51.68</v>
      </c>
      <c r="J727" s="276">
        <v>4.7699999999999996</v>
      </c>
      <c r="K727" s="276">
        <f t="shared" si="11"/>
        <v>4.3100000000000005</v>
      </c>
      <c r="L727" s="335"/>
      <c r="N727" s="284"/>
      <c r="O727" s="283"/>
      <c r="P727" s="283"/>
      <c r="Q727" s="283"/>
    </row>
    <row r="728" spans="1:17" ht="13.8">
      <c r="A728" s="275" t="s">
        <v>2822</v>
      </c>
      <c r="B728" s="275" t="s">
        <v>2823</v>
      </c>
      <c r="C728" s="275" t="s">
        <v>3158</v>
      </c>
      <c r="D728" s="275" t="s">
        <v>3056</v>
      </c>
      <c r="E728" s="275" t="s">
        <v>2802</v>
      </c>
      <c r="F728" s="278">
        <v>41631</v>
      </c>
      <c r="G728" s="275" t="s">
        <v>2803</v>
      </c>
      <c r="H728" s="276">
        <v>9.7200000000000006</v>
      </c>
      <c r="I728" s="276">
        <v>56.06</v>
      </c>
      <c r="J728" s="276">
        <v>4.7699999999999996</v>
      </c>
      <c r="K728" s="276">
        <f t="shared" si="11"/>
        <v>4.9500000000000011</v>
      </c>
      <c r="L728" s="335"/>
      <c r="N728" s="284"/>
      <c r="O728" s="283"/>
      <c r="P728" s="283"/>
      <c r="Q728" s="283"/>
    </row>
    <row r="729" spans="1:17" ht="13.8">
      <c r="A729" s="275" t="s">
        <v>2830</v>
      </c>
      <c r="B729" s="275" t="s">
        <v>3157</v>
      </c>
      <c r="C729" s="275" t="s">
        <v>3156</v>
      </c>
      <c r="D729" s="275" t="s">
        <v>3056</v>
      </c>
      <c r="E729" s="275" t="s">
        <v>2802</v>
      </c>
      <c r="F729" s="278">
        <v>41661</v>
      </c>
      <c r="G729" s="275" t="s">
        <v>2803</v>
      </c>
      <c r="H729" s="276">
        <v>9.18</v>
      </c>
      <c r="I729" s="276">
        <v>52.52</v>
      </c>
      <c r="J729" s="276">
        <v>4.8099999999999996</v>
      </c>
      <c r="K729" s="276">
        <f t="shared" si="11"/>
        <v>4.37</v>
      </c>
      <c r="L729" s="335"/>
      <c r="N729" s="284"/>
      <c r="O729" s="283"/>
      <c r="P729" s="283"/>
      <c r="Q729" s="283"/>
    </row>
    <row r="730" spans="1:17" ht="13.8">
      <c r="A730" s="275" t="s">
        <v>2821</v>
      </c>
      <c r="B730" s="275" t="s">
        <v>3073</v>
      </c>
      <c r="C730" s="275" t="s">
        <v>3155</v>
      </c>
      <c r="D730" s="275" t="s">
        <v>3056</v>
      </c>
      <c r="E730" s="275" t="s">
        <v>2802</v>
      </c>
      <c r="F730" s="278">
        <v>41691</v>
      </c>
      <c r="G730" s="275" t="s">
        <v>2803</v>
      </c>
      <c r="H730" s="276">
        <v>9.85</v>
      </c>
      <c r="I730" s="276">
        <v>52.07</v>
      </c>
      <c r="J730" s="276">
        <v>4.63</v>
      </c>
      <c r="K730" s="276">
        <f t="shared" si="11"/>
        <v>5.22</v>
      </c>
      <c r="L730" s="335"/>
      <c r="N730" s="284"/>
      <c r="O730" s="283"/>
      <c r="P730" s="283"/>
      <c r="Q730" s="283"/>
    </row>
    <row r="731" spans="1:17" ht="13.8">
      <c r="A731" s="275" t="s">
        <v>2807</v>
      </c>
      <c r="B731" s="275" t="s">
        <v>4026</v>
      </c>
      <c r="C731" s="275" t="s">
        <v>3154</v>
      </c>
      <c r="D731" s="275" t="s">
        <v>3056</v>
      </c>
      <c r="E731" s="275" t="s">
        <v>2802</v>
      </c>
      <c r="F731" s="278">
        <v>41698</v>
      </c>
      <c r="G731" s="275" t="s">
        <v>2803</v>
      </c>
      <c r="H731" s="276">
        <v>9.5500000000000007</v>
      </c>
      <c r="I731" s="276">
        <v>53.68</v>
      </c>
      <c r="J731" s="276">
        <v>4.63</v>
      </c>
      <c r="K731" s="276">
        <f t="shared" si="11"/>
        <v>4.9200000000000008</v>
      </c>
      <c r="L731" s="335"/>
      <c r="N731" s="284"/>
      <c r="O731" s="283"/>
      <c r="P731" s="283"/>
      <c r="Q731" s="283"/>
    </row>
    <row r="732" spans="1:17" ht="13.8">
      <c r="A732" s="275" t="s">
        <v>2835</v>
      </c>
      <c r="B732" s="275" t="s">
        <v>3075</v>
      </c>
      <c r="C732" s="275" t="s">
        <v>3153</v>
      </c>
      <c r="D732" s="275" t="s">
        <v>3056</v>
      </c>
      <c r="E732" s="275" t="s">
        <v>2802</v>
      </c>
      <c r="F732" s="278">
        <v>41751</v>
      </c>
      <c r="G732" s="275" t="s">
        <v>2803</v>
      </c>
      <c r="H732" s="276">
        <v>9.8000000000000007</v>
      </c>
      <c r="I732" s="276">
        <v>49.16</v>
      </c>
      <c r="J732" s="276">
        <v>4.51</v>
      </c>
      <c r="K732" s="276">
        <f t="shared" si="11"/>
        <v>5.2900000000000009</v>
      </c>
      <c r="L732" s="335"/>
      <c r="N732" s="284"/>
      <c r="O732" s="283"/>
      <c r="P732" s="283"/>
      <c r="Q732" s="283"/>
    </row>
    <row r="733" spans="1:17" ht="13.8">
      <c r="A733" s="275" t="s">
        <v>2857</v>
      </c>
      <c r="B733" s="275" t="s">
        <v>3129</v>
      </c>
      <c r="C733" s="275" t="s">
        <v>3152</v>
      </c>
      <c r="D733" s="275" t="s">
        <v>3056</v>
      </c>
      <c r="E733" s="275" t="s">
        <v>2802</v>
      </c>
      <c r="F733" s="278">
        <v>41767</v>
      </c>
      <c r="G733" s="275" t="s">
        <v>2803</v>
      </c>
      <c r="H733" s="276">
        <v>9.59</v>
      </c>
      <c r="I733" s="276">
        <v>52.6</v>
      </c>
      <c r="J733" s="276">
        <v>4.51</v>
      </c>
      <c r="K733" s="276">
        <f t="shared" si="11"/>
        <v>5.08</v>
      </c>
      <c r="L733" s="335"/>
      <c r="N733" s="284"/>
      <c r="O733" s="283"/>
      <c r="P733" s="283"/>
      <c r="Q733" s="283"/>
    </row>
    <row r="734" spans="1:17" ht="13.8">
      <c r="A734" s="275" t="s">
        <v>2809</v>
      </c>
      <c r="B734" s="275" t="s">
        <v>2854</v>
      </c>
      <c r="C734" s="275" t="s">
        <v>3151</v>
      </c>
      <c r="D734" s="275" t="s">
        <v>3056</v>
      </c>
      <c r="E734" s="275" t="s">
        <v>2802</v>
      </c>
      <c r="F734" s="278">
        <v>41796</v>
      </c>
      <c r="G734" s="275" t="s">
        <v>2803</v>
      </c>
      <c r="H734" s="276">
        <v>10.4</v>
      </c>
      <c r="I734" s="276">
        <v>50.46</v>
      </c>
      <c r="J734" s="276">
        <v>4.41</v>
      </c>
      <c r="K734" s="276">
        <f t="shared" si="11"/>
        <v>5.99</v>
      </c>
      <c r="L734" s="335"/>
      <c r="N734" s="284"/>
      <c r="O734" s="283"/>
      <c r="P734" s="283"/>
      <c r="Q734" s="283"/>
    </row>
    <row r="735" spans="1:17" ht="13.8">
      <c r="A735" s="275" t="s">
        <v>2844</v>
      </c>
      <c r="B735" s="275" t="s">
        <v>3094</v>
      </c>
      <c r="C735" s="275" t="s">
        <v>3150</v>
      </c>
      <c r="D735" s="275" t="s">
        <v>3056</v>
      </c>
      <c r="E735" s="275" t="s">
        <v>2802</v>
      </c>
      <c r="F735" s="278">
        <v>41802</v>
      </c>
      <c r="G735" s="275" t="s">
        <v>2803</v>
      </c>
      <c r="H735" s="276">
        <v>10.1</v>
      </c>
      <c r="I735" s="276">
        <v>55</v>
      </c>
      <c r="J735" s="276">
        <v>4.41</v>
      </c>
      <c r="K735" s="276">
        <f t="shared" si="11"/>
        <v>5.6899999999999995</v>
      </c>
      <c r="L735" s="335"/>
      <c r="N735" s="284"/>
      <c r="O735" s="283"/>
      <c r="P735" s="283"/>
      <c r="Q735" s="283"/>
    </row>
    <row r="736" spans="1:17" ht="13.8">
      <c r="A736" s="275" t="s">
        <v>2844</v>
      </c>
      <c r="B736" s="275" t="s">
        <v>3094</v>
      </c>
      <c r="C736" s="275" t="s">
        <v>3149</v>
      </c>
      <c r="D736" s="275" t="s">
        <v>3056</v>
      </c>
      <c r="E736" s="275" t="s">
        <v>2802</v>
      </c>
      <c r="F736" s="278">
        <v>41802</v>
      </c>
      <c r="G736" s="275" t="s">
        <v>2803</v>
      </c>
      <c r="H736" s="276">
        <v>10.1</v>
      </c>
      <c r="I736" s="276">
        <v>55</v>
      </c>
      <c r="J736" s="276">
        <v>4.41</v>
      </c>
      <c r="K736" s="276">
        <f t="shared" si="11"/>
        <v>5.6899999999999995</v>
      </c>
      <c r="L736" s="335"/>
      <c r="N736" s="284"/>
      <c r="O736" s="283"/>
      <c r="P736" s="283"/>
      <c r="Q736" s="283"/>
    </row>
    <row r="737" spans="1:17" ht="13.8">
      <c r="A737" s="275" t="s">
        <v>2844</v>
      </c>
      <c r="B737" s="275" t="s">
        <v>3094</v>
      </c>
      <c r="C737" s="275" t="s">
        <v>3148</v>
      </c>
      <c r="D737" s="275" t="s">
        <v>3056</v>
      </c>
      <c r="E737" s="275" t="s">
        <v>2802</v>
      </c>
      <c r="F737" s="278">
        <v>41802</v>
      </c>
      <c r="G737" s="275" t="s">
        <v>2803</v>
      </c>
      <c r="H737" s="276">
        <v>10.1</v>
      </c>
      <c r="I737" s="276">
        <v>55</v>
      </c>
      <c r="J737" s="276">
        <v>4.41</v>
      </c>
      <c r="K737" s="276">
        <f t="shared" si="11"/>
        <v>5.6899999999999995</v>
      </c>
      <c r="L737" s="335"/>
      <c r="N737" s="284"/>
      <c r="O737" s="283"/>
      <c r="P737" s="283"/>
      <c r="Q737" s="283"/>
    </row>
    <row r="738" spans="1:17" ht="13.8">
      <c r="A738" s="275" t="s">
        <v>2857</v>
      </c>
      <c r="B738" s="275" t="s">
        <v>3099</v>
      </c>
      <c r="C738" s="275" t="s">
        <v>3147</v>
      </c>
      <c r="D738" s="275" t="s">
        <v>3056</v>
      </c>
      <c r="E738" s="275" t="s">
        <v>2802</v>
      </c>
      <c r="F738" s="278">
        <v>41906</v>
      </c>
      <c r="G738" s="275" t="s">
        <v>2803</v>
      </c>
      <c r="H738" s="276">
        <v>9.35</v>
      </c>
      <c r="I738" s="276">
        <v>50.31</v>
      </c>
      <c r="J738" s="276">
        <v>4.13</v>
      </c>
      <c r="K738" s="276">
        <f t="shared" si="11"/>
        <v>5.22</v>
      </c>
      <c r="L738" s="335"/>
      <c r="N738" s="284"/>
      <c r="O738" s="283"/>
      <c r="P738" s="283"/>
      <c r="Q738" s="283"/>
    </row>
    <row r="739" spans="1:17" ht="13.8">
      <c r="A739" s="275" t="s">
        <v>2860</v>
      </c>
      <c r="B739" s="275" t="s">
        <v>3146</v>
      </c>
      <c r="C739" s="275" t="s">
        <v>3145</v>
      </c>
      <c r="D739" s="275" t="s">
        <v>3056</v>
      </c>
      <c r="E739" s="275" t="s">
        <v>2802</v>
      </c>
      <c r="F739" s="278">
        <v>41941</v>
      </c>
      <c r="G739" s="275" t="s">
        <v>2803</v>
      </c>
      <c r="H739" s="276">
        <v>10.8</v>
      </c>
      <c r="I739" s="276">
        <v>57</v>
      </c>
      <c r="J739" s="276">
        <v>4.24</v>
      </c>
      <c r="K739" s="276">
        <f t="shared" si="11"/>
        <v>6.5600000000000005</v>
      </c>
      <c r="L739" s="335"/>
      <c r="N739" s="284"/>
      <c r="O739" s="283"/>
      <c r="P739" s="283"/>
      <c r="Q739" s="283"/>
    </row>
    <row r="740" spans="1:17" ht="13.8">
      <c r="A740" s="275" t="s">
        <v>2809</v>
      </c>
      <c r="B740" s="275" t="s">
        <v>2853</v>
      </c>
      <c r="C740" s="275" t="s">
        <v>3144</v>
      </c>
      <c r="D740" s="275" t="s">
        <v>3056</v>
      </c>
      <c r="E740" s="275" t="s">
        <v>2802</v>
      </c>
      <c r="F740" s="278">
        <v>41949</v>
      </c>
      <c r="G740" s="275" t="s">
        <v>2803</v>
      </c>
      <c r="H740" s="276">
        <v>10.199999999999999</v>
      </c>
      <c r="I740" s="276">
        <v>50.28</v>
      </c>
      <c r="J740" s="276">
        <v>4.24</v>
      </c>
      <c r="K740" s="276">
        <f t="shared" si="11"/>
        <v>5.9599999999999991</v>
      </c>
      <c r="L740" s="335"/>
      <c r="N740" s="284"/>
      <c r="O740" s="283"/>
      <c r="P740" s="283"/>
      <c r="Q740" s="283"/>
    </row>
    <row r="741" spans="1:17" ht="13.8">
      <c r="A741" s="275" t="s">
        <v>2809</v>
      </c>
      <c r="B741" s="275" t="s">
        <v>3142</v>
      </c>
      <c r="C741" s="275" t="s">
        <v>3141</v>
      </c>
      <c r="D741" s="275" t="s">
        <v>3056</v>
      </c>
      <c r="E741" s="275" t="s">
        <v>2802</v>
      </c>
      <c r="F741" s="278">
        <v>41957</v>
      </c>
      <c r="G741" s="275" t="s">
        <v>2803</v>
      </c>
      <c r="H741" s="276">
        <v>10.3</v>
      </c>
      <c r="I741" s="276">
        <v>48.91</v>
      </c>
      <c r="J741" s="276">
        <v>4.24</v>
      </c>
      <c r="K741" s="276">
        <f t="shared" si="11"/>
        <v>6.0600000000000005</v>
      </c>
      <c r="L741" s="335"/>
      <c r="N741" s="284"/>
      <c r="O741" s="283"/>
      <c r="P741" s="283"/>
      <c r="Q741" s="283"/>
    </row>
    <row r="742" spans="1:17" ht="13.8">
      <c r="A742" s="275" t="s">
        <v>2809</v>
      </c>
      <c r="B742" s="275" t="s">
        <v>2879</v>
      </c>
      <c r="C742" s="275" t="s">
        <v>3143</v>
      </c>
      <c r="D742" s="275" t="s">
        <v>3056</v>
      </c>
      <c r="E742" s="275" t="s">
        <v>2802</v>
      </c>
      <c r="F742" s="278">
        <v>41957</v>
      </c>
      <c r="G742" s="275" t="s">
        <v>2803</v>
      </c>
      <c r="H742" s="276">
        <v>10.199999999999999</v>
      </c>
      <c r="I742" s="276">
        <v>51.9</v>
      </c>
      <c r="J742" s="276">
        <v>4.24</v>
      </c>
      <c r="K742" s="276">
        <f t="shared" si="11"/>
        <v>5.9599999999999991</v>
      </c>
      <c r="L742" s="335"/>
      <c r="N742" s="284"/>
      <c r="O742" s="283"/>
      <c r="P742" s="283"/>
      <c r="Q742" s="283"/>
    </row>
    <row r="743" spans="1:17" ht="13.8">
      <c r="A743" s="275" t="s">
        <v>2809</v>
      </c>
      <c r="B743" s="275" t="s">
        <v>2810</v>
      </c>
      <c r="C743" s="275" t="s">
        <v>3140</v>
      </c>
      <c r="D743" s="275" t="s">
        <v>3056</v>
      </c>
      <c r="E743" s="275" t="s">
        <v>2802</v>
      </c>
      <c r="F743" s="278">
        <v>41969</v>
      </c>
      <c r="G743" s="275" t="s">
        <v>2803</v>
      </c>
      <c r="H743" s="276">
        <v>10.199999999999999</v>
      </c>
      <c r="I743" s="276">
        <v>58.96</v>
      </c>
      <c r="J743" s="276">
        <v>4.0599999999999996</v>
      </c>
      <c r="K743" s="276">
        <f t="shared" si="11"/>
        <v>6.14</v>
      </c>
      <c r="L743" s="335"/>
      <c r="N743" s="284"/>
      <c r="O743" s="283"/>
      <c r="P743" s="283"/>
      <c r="Q743" s="283"/>
    </row>
    <row r="744" spans="1:17" ht="13.8">
      <c r="A744" s="275" t="s">
        <v>2801</v>
      </c>
      <c r="B744" s="275" t="s">
        <v>3139</v>
      </c>
      <c r="C744" s="275" t="s">
        <v>3138</v>
      </c>
      <c r="D744" s="275" t="s">
        <v>3056</v>
      </c>
      <c r="E744" s="275" t="s">
        <v>2802</v>
      </c>
      <c r="F744" s="278">
        <v>42025</v>
      </c>
      <c r="G744" s="275" t="s">
        <v>2803</v>
      </c>
      <c r="H744" s="276">
        <v>9.0500000000000007</v>
      </c>
      <c r="I744" s="276">
        <v>50.48</v>
      </c>
      <c r="J744" s="276">
        <v>3.95</v>
      </c>
      <c r="K744" s="276">
        <f t="shared" si="11"/>
        <v>5.1000000000000005</v>
      </c>
      <c r="L744" s="335"/>
      <c r="N744" s="284"/>
      <c r="O744" s="283"/>
      <c r="P744" s="283"/>
      <c r="Q744" s="283"/>
    </row>
    <row r="745" spans="1:17" ht="13.8">
      <c r="A745" s="275" t="s">
        <v>2801</v>
      </c>
      <c r="B745" s="275" t="s">
        <v>4021</v>
      </c>
      <c r="C745" s="275" t="s">
        <v>3137</v>
      </c>
      <c r="D745" s="275" t="s">
        <v>3056</v>
      </c>
      <c r="E745" s="275" t="s">
        <v>2802</v>
      </c>
      <c r="F745" s="278">
        <v>42025</v>
      </c>
      <c r="G745" s="275" t="s">
        <v>2803</v>
      </c>
      <c r="H745" s="276">
        <v>9.0500000000000007</v>
      </c>
      <c r="I745" s="276">
        <v>50.33</v>
      </c>
      <c r="J745" s="276">
        <v>3.95</v>
      </c>
      <c r="K745" s="276">
        <f t="shared" si="11"/>
        <v>5.1000000000000005</v>
      </c>
      <c r="L745" s="335"/>
      <c r="N745" s="284"/>
      <c r="O745" s="283"/>
      <c r="P745" s="283"/>
      <c r="Q745" s="283"/>
    </row>
    <row r="746" spans="1:17" ht="13.8">
      <c r="A746" s="275" t="s">
        <v>2807</v>
      </c>
      <c r="B746" s="275" t="s">
        <v>3136</v>
      </c>
      <c r="C746" s="275" t="s">
        <v>3135</v>
      </c>
      <c r="D746" s="275" t="s">
        <v>3056</v>
      </c>
      <c r="E746" s="275" t="s">
        <v>2802</v>
      </c>
      <c r="F746" s="278">
        <v>42307</v>
      </c>
      <c r="G746" s="275" t="s">
        <v>2803</v>
      </c>
      <c r="H746" s="276">
        <v>9.8000000000000007</v>
      </c>
      <c r="I746" s="276">
        <v>52.1</v>
      </c>
      <c r="J746" s="276">
        <v>4.3899999999999997</v>
      </c>
      <c r="K746" s="276">
        <f t="shared" si="11"/>
        <v>5.410000000000001</v>
      </c>
      <c r="L746" s="335"/>
      <c r="N746" s="284"/>
      <c r="O746" s="283"/>
      <c r="P746" s="283"/>
      <c r="Q746" s="283"/>
    </row>
    <row r="747" spans="1:17" ht="13.8">
      <c r="A747" s="275" t="s">
        <v>2809</v>
      </c>
      <c r="B747" s="275" t="s">
        <v>2853</v>
      </c>
      <c r="C747" s="275" t="s">
        <v>3134</v>
      </c>
      <c r="D747" s="275" t="s">
        <v>3056</v>
      </c>
      <c r="E747" s="275" t="s">
        <v>2802</v>
      </c>
      <c r="F747" s="278">
        <v>42327</v>
      </c>
      <c r="G747" s="275" t="s">
        <v>2803</v>
      </c>
      <c r="H747" s="276">
        <v>10</v>
      </c>
      <c r="I747" s="276">
        <v>50.47</v>
      </c>
      <c r="J747" s="276">
        <v>4.29</v>
      </c>
      <c r="K747" s="276">
        <f t="shared" si="11"/>
        <v>5.71</v>
      </c>
      <c r="L747" s="335"/>
      <c r="N747" s="284"/>
      <c r="O747" s="283"/>
      <c r="P747" s="283"/>
      <c r="Q747" s="283"/>
    </row>
    <row r="748" spans="1:17" ht="13.8">
      <c r="A748" s="275" t="s">
        <v>2809</v>
      </c>
      <c r="B748" s="275" t="s">
        <v>4023</v>
      </c>
      <c r="C748" s="275" t="s">
        <v>3133</v>
      </c>
      <c r="D748" s="275" t="s">
        <v>3056</v>
      </c>
      <c r="E748" s="275" t="s">
        <v>2802</v>
      </c>
      <c r="F748" s="278">
        <v>42341</v>
      </c>
      <c r="G748" s="275" t="s">
        <v>2803</v>
      </c>
      <c r="H748" s="276">
        <v>10</v>
      </c>
      <c r="I748" s="276">
        <v>52.49</v>
      </c>
      <c r="J748" s="276">
        <v>4.29</v>
      </c>
      <c r="K748" s="276">
        <f t="shared" si="11"/>
        <v>5.71</v>
      </c>
      <c r="L748" s="335"/>
      <c r="N748" s="284"/>
      <c r="O748" s="283"/>
      <c r="P748" s="283"/>
      <c r="Q748" s="283"/>
    </row>
    <row r="749" spans="1:17" ht="13.8">
      <c r="A749" s="275" t="s">
        <v>2822</v>
      </c>
      <c r="B749" s="275" t="s">
        <v>2823</v>
      </c>
      <c r="C749" s="275" t="s">
        <v>3132</v>
      </c>
      <c r="D749" s="275" t="s">
        <v>3056</v>
      </c>
      <c r="E749" s="275" t="s">
        <v>2802</v>
      </c>
      <c r="F749" s="278">
        <v>42416</v>
      </c>
      <c r="G749" s="275" t="s">
        <v>2803</v>
      </c>
      <c r="H749" s="276">
        <v>9.5</v>
      </c>
      <c r="I749" s="276">
        <v>56.51</v>
      </c>
      <c r="J749" s="276">
        <v>4.2699999999999996</v>
      </c>
      <c r="K749" s="276">
        <f t="shared" si="11"/>
        <v>5.23</v>
      </c>
      <c r="L749" s="335"/>
      <c r="N749" s="284"/>
      <c r="O749" s="283"/>
      <c r="P749" s="283"/>
      <c r="Q749" s="283"/>
    </row>
    <row r="750" spans="1:17" ht="13.8">
      <c r="A750" s="275" t="s">
        <v>2880</v>
      </c>
      <c r="B750" s="275" t="s">
        <v>2834</v>
      </c>
      <c r="C750" s="275" t="s">
        <v>3131</v>
      </c>
      <c r="D750" s="275" t="s">
        <v>3056</v>
      </c>
      <c r="E750" s="275" t="s">
        <v>2802</v>
      </c>
      <c r="F750" s="278">
        <v>42429</v>
      </c>
      <c r="G750" s="275" t="s">
        <v>2803</v>
      </c>
      <c r="H750" s="276">
        <v>9.4</v>
      </c>
      <c r="I750" s="276">
        <v>50</v>
      </c>
      <c r="J750" s="276">
        <v>4.2699999999999996</v>
      </c>
      <c r="K750" s="276">
        <f t="shared" si="11"/>
        <v>5.1300000000000008</v>
      </c>
      <c r="L750" s="335"/>
      <c r="N750" s="284"/>
      <c r="O750" s="283"/>
      <c r="P750" s="283"/>
      <c r="Q750" s="283"/>
    </row>
    <row r="751" spans="1:17" ht="13.8">
      <c r="A751" s="275" t="s">
        <v>2807</v>
      </c>
      <c r="B751" s="275" t="s">
        <v>2884</v>
      </c>
      <c r="C751" s="275" t="s">
        <v>3130</v>
      </c>
      <c r="D751" s="275" t="s">
        <v>3056</v>
      </c>
      <c r="E751" s="275" t="s">
        <v>2802</v>
      </c>
      <c r="F751" s="278">
        <v>42489</v>
      </c>
      <c r="G751" s="275" t="s">
        <v>2803</v>
      </c>
      <c r="H751" s="276">
        <v>9.8000000000000007</v>
      </c>
      <c r="I751" s="276">
        <v>52.17</v>
      </c>
      <c r="J751" s="276">
        <v>4.16</v>
      </c>
      <c r="K751" s="276">
        <f t="shared" si="11"/>
        <v>5.6400000000000006</v>
      </c>
      <c r="L751" s="335"/>
      <c r="N751" s="284"/>
      <c r="O751" s="283"/>
      <c r="P751" s="283"/>
      <c r="Q751" s="283"/>
    </row>
    <row r="752" spans="1:17" ht="13.8">
      <c r="A752" s="275" t="s">
        <v>2857</v>
      </c>
      <c r="B752" s="275" t="s">
        <v>3129</v>
      </c>
      <c r="C752" s="275" t="s">
        <v>3128</v>
      </c>
      <c r="D752" s="275" t="s">
        <v>3056</v>
      </c>
      <c r="E752" s="275" t="s">
        <v>2802</v>
      </c>
      <c r="F752" s="278">
        <v>42495</v>
      </c>
      <c r="G752" s="275" t="s">
        <v>2803</v>
      </c>
      <c r="H752" s="276">
        <v>9.49</v>
      </c>
      <c r="I752" s="276">
        <v>50</v>
      </c>
      <c r="J752" s="276">
        <v>4.16</v>
      </c>
      <c r="K752" s="276">
        <f t="shared" si="11"/>
        <v>5.33</v>
      </c>
      <c r="L752" s="335"/>
      <c r="N752" s="284"/>
      <c r="O752" s="283"/>
      <c r="P752" s="283"/>
      <c r="Q752" s="283"/>
    </row>
    <row r="753" spans="1:12">
      <c r="A753" s="275" t="s">
        <v>2805</v>
      </c>
      <c r="B753" s="275" t="s">
        <v>2829</v>
      </c>
      <c r="C753" s="275" t="s">
        <v>3127</v>
      </c>
      <c r="D753" s="275" t="s">
        <v>3056</v>
      </c>
      <c r="E753" s="275" t="s">
        <v>2802</v>
      </c>
      <c r="F753" s="278">
        <v>42524</v>
      </c>
      <c r="G753" s="275" t="s">
        <v>2803</v>
      </c>
      <c r="H753" s="276">
        <v>9.65</v>
      </c>
      <c r="I753" s="276">
        <v>51.9</v>
      </c>
      <c r="J753" s="276">
        <v>4</v>
      </c>
      <c r="K753" s="276">
        <f t="shared" si="11"/>
        <v>5.65</v>
      </c>
      <c r="L753" s="335"/>
    </row>
    <row r="754" spans="1:12">
      <c r="A754" s="275" t="s">
        <v>2881</v>
      </c>
      <c r="B754" s="275" t="s">
        <v>3126</v>
      </c>
      <c r="C754" s="275" t="s">
        <v>3125</v>
      </c>
      <c r="D754" s="275" t="s">
        <v>3056</v>
      </c>
      <c r="E754" s="275" t="s">
        <v>2802</v>
      </c>
      <c r="F754" s="278">
        <v>42640</v>
      </c>
      <c r="G754" s="275" t="s">
        <v>2803</v>
      </c>
      <c r="H754" s="276">
        <v>9.5</v>
      </c>
      <c r="I754" s="276">
        <v>60.1</v>
      </c>
      <c r="J754" s="276">
        <v>3.59</v>
      </c>
      <c r="K754" s="276">
        <f t="shared" si="11"/>
        <v>5.91</v>
      </c>
      <c r="L754" s="335"/>
    </row>
    <row r="755" spans="1:12">
      <c r="A755" s="275" t="s">
        <v>2857</v>
      </c>
      <c r="B755" s="275" t="s">
        <v>3099</v>
      </c>
      <c r="C755" s="275" t="s">
        <v>3124</v>
      </c>
      <c r="D755" s="275" t="s">
        <v>3056</v>
      </c>
      <c r="E755" s="275" t="s">
        <v>2802</v>
      </c>
      <c r="F755" s="278">
        <v>42642</v>
      </c>
      <c r="G755" s="275" t="s">
        <v>2803</v>
      </c>
      <c r="H755" s="276">
        <v>9.11</v>
      </c>
      <c r="I755" s="276">
        <v>50.32</v>
      </c>
      <c r="J755" s="276">
        <v>3.59</v>
      </c>
      <c r="K755" s="276">
        <f t="shared" si="11"/>
        <v>5.52</v>
      </c>
      <c r="L755" s="335"/>
    </row>
    <row r="756" spans="1:12">
      <c r="A756" s="275" t="s">
        <v>2809</v>
      </c>
      <c r="B756" s="275" t="s">
        <v>2810</v>
      </c>
      <c r="C756" s="275" t="s">
        <v>3123</v>
      </c>
      <c r="D756" s="275" t="s">
        <v>3056</v>
      </c>
      <c r="E756" s="275" t="s">
        <v>2802</v>
      </c>
      <c r="F756" s="278">
        <v>42683</v>
      </c>
      <c r="G756" s="275" t="s">
        <v>2803</v>
      </c>
      <c r="H756" s="276">
        <v>9.8000000000000007</v>
      </c>
      <c r="I756" s="276">
        <v>57.16</v>
      </c>
      <c r="J756" s="276">
        <v>3.66</v>
      </c>
      <c r="K756" s="276">
        <f t="shared" si="11"/>
        <v>6.1400000000000006</v>
      </c>
      <c r="L756" s="335"/>
    </row>
    <row r="757" spans="1:12">
      <c r="A757" s="275" t="s">
        <v>2851</v>
      </c>
      <c r="B757" s="275" t="s">
        <v>3105</v>
      </c>
      <c r="C757" s="275" t="s">
        <v>3122</v>
      </c>
      <c r="D757" s="275" t="s">
        <v>3056</v>
      </c>
      <c r="E757" s="275" t="s">
        <v>2802</v>
      </c>
      <c r="F757" s="278">
        <v>42713</v>
      </c>
      <c r="G757" s="275" t="s">
        <v>2803</v>
      </c>
      <c r="H757" s="276">
        <v>10.1</v>
      </c>
      <c r="I757" s="276">
        <v>38.65</v>
      </c>
      <c r="J757" s="276">
        <v>3.77</v>
      </c>
      <c r="K757" s="276">
        <f t="shared" si="11"/>
        <v>6.33</v>
      </c>
      <c r="L757" s="335"/>
    </row>
    <row r="758" spans="1:12">
      <c r="A758" s="275" t="s">
        <v>2840</v>
      </c>
      <c r="B758" s="275" t="s">
        <v>3079</v>
      </c>
      <c r="C758" s="275" t="s">
        <v>3121</v>
      </c>
      <c r="D758" s="275" t="s">
        <v>3056</v>
      </c>
      <c r="E758" s="275" t="s">
        <v>2802</v>
      </c>
      <c r="F758" s="278">
        <v>42795</v>
      </c>
      <c r="G758" s="275" t="s">
        <v>2803</v>
      </c>
      <c r="H758" s="276">
        <v>9.25</v>
      </c>
      <c r="I758" s="276">
        <v>55.7</v>
      </c>
      <c r="J758" s="276">
        <v>4.1399999999999997</v>
      </c>
      <c r="K758" s="276">
        <f t="shared" si="11"/>
        <v>5.1100000000000003</v>
      </c>
      <c r="L758" s="335"/>
    </row>
    <row r="759" spans="1:12">
      <c r="A759" s="275" t="s">
        <v>2811</v>
      </c>
      <c r="B759" s="275" t="s">
        <v>4014</v>
      </c>
      <c r="C759" s="275" t="s">
        <v>3120</v>
      </c>
      <c r="D759" s="275" t="s">
        <v>3056</v>
      </c>
      <c r="E759" s="275" t="s">
        <v>2802</v>
      </c>
      <c r="F759" s="278">
        <v>42845</v>
      </c>
      <c r="G759" s="275" t="s">
        <v>2803</v>
      </c>
      <c r="H759" s="276">
        <v>8.6999999999999993</v>
      </c>
      <c r="I759" s="276">
        <v>42.9</v>
      </c>
      <c r="J759" s="276">
        <v>4.2300000000000004</v>
      </c>
      <c r="K759" s="276">
        <f t="shared" si="11"/>
        <v>4.4699999999999989</v>
      </c>
      <c r="L759" s="335"/>
    </row>
    <row r="760" spans="1:12">
      <c r="A760" s="275" t="s">
        <v>2833</v>
      </c>
      <c r="B760" s="275" t="s">
        <v>3119</v>
      </c>
      <c r="C760" s="275" t="s">
        <v>3118</v>
      </c>
      <c r="D760" s="275" t="s">
        <v>3056</v>
      </c>
      <c r="E760" s="275" t="s">
        <v>2802</v>
      </c>
      <c r="F760" s="278">
        <v>42853</v>
      </c>
      <c r="G760" s="275" t="s">
        <v>2803</v>
      </c>
      <c r="H760" s="276">
        <v>9.5</v>
      </c>
      <c r="I760" s="276">
        <v>50</v>
      </c>
      <c r="J760" s="276">
        <v>4.2300000000000004</v>
      </c>
      <c r="K760" s="276">
        <f t="shared" si="11"/>
        <v>5.27</v>
      </c>
      <c r="L760" s="335"/>
    </row>
    <row r="761" spans="1:12">
      <c r="A761" s="275" t="s">
        <v>2851</v>
      </c>
      <c r="B761" s="275" t="s">
        <v>2876</v>
      </c>
      <c r="C761" s="275" t="s">
        <v>3117</v>
      </c>
      <c r="D761" s="275" t="s">
        <v>3056</v>
      </c>
      <c r="E761" s="275" t="s">
        <v>2802</v>
      </c>
      <c r="F761" s="278">
        <v>42947</v>
      </c>
      <c r="G761" s="275" t="s">
        <v>2803</v>
      </c>
      <c r="H761" s="276">
        <v>10.1</v>
      </c>
      <c r="I761" s="276">
        <v>41.27</v>
      </c>
      <c r="J761" s="276">
        <v>3.94</v>
      </c>
      <c r="K761" s="276">
        <f t="shared" si="11"/>
        <v>6.16</v>
      </c>
      <c r="L761" s="335"/>
    </row>
    <row r="762" spans="1:12">
      <c r="A762" s="275" t="s">
        <v>2885</v>
      </c>
      <c r="B762" s="275" t="s">
        <v>3116</v>
      </c>
      <c r="C762" s="275" t="s">
        <v>3115</v>
      </c>
      <c r="D762" s="275" t="s">
        <v>3056</v>
      </c>
      <c r="E762" s="275" t="s">
        <v>2802</v>
      </c>
      <c r="F762" s="278">
        <v>43000</v>
      </c>
      <c r="G762" s="275" t="s">
        <v>2803</v>
      </c>
      <c r="H762" s="276">
        <v>11.88</v>
      </c>
      <c r="I762" s="276">
        <v>51.81</v>
      </c>
      <c r="J762" s="276">
        <v>3.86</v>
      </c>
      <c r="K762" s="276">
        <f t="shared" si="11"/>
        <v>8.0200000000000014</v>
      </c>
      <c r="L762" s="335"/>
    </row>
    <row r="763" spans="1:12">
      <c r="A763" s="275" t="s">
        <v>2809</v>
      </c>
      <c r="B763" s="275" t="s">
        <v>4023</v>
      </c>
      <c r="C763" s="275" t="s">
        <v>3114</v>
      </c>
      <c r="D763" s="275" t="s">
        <v>3056</v>
      </c>
      <c r="E763" s="275" t="s">
        <v>2802</v>
      </c>
      <c r="F763" s="278">
        <v>43076</v>
      </c>
      <c r="G763" s="275" t="s">
        <v>2803</v>
      </c>
      <c r="H763" s="276">
        <v>9.8000000000000007</v>
      </c>
      <c r="I763" s="276">
        <v>51.45</v>
      </c>
      <c r="J763" s="276">
        <v>3.91</v>
      </c>
      <c r="K763" s="276">
        <f t="shared" si="11"/>
        <v>5.8900000000000006</v>
      </c>
      <c r="L763" s="335"/>
    </row>
    <row r="764" spans="1:12">
      <c r="A764" s="275" t="s">
        <v>2801</v>
      </c>
      <c r="B764" s="275" t="s">
        <v>3089</v>
      </c>
      <c r="C764" s="275" t="s">
        <v>3113</v>
      </c>
      <c r="D764" s="275" t="s">
        <v>3056</v>
      </c>
      <c r="E764" s="275" t="s">
        <v>2802</v>
      </c>
      <c r="F764" s="278">
        <v>43131</v>
      </c>
      <c r="G764" s="275" t="s">
        <v>2803</v>
      </c>
      <c r="H764" s="276">
        <v>9.8000000000000007</v>
      </c>
      <c r="I764" s="276">
        <v>52</v>
      </c>
      <c r="J764" s="276">
        <v>3.79</v>
      </c>
      <c r="K764" s="276">
        <f t="shared" si="11"/>
        <v>6.0100000000000007</v>
      </c>
      <c r="L764" s="335"/>
    </row>
    <row r="765" spans="1:12">
      <c r="A765" s="275" t="s">
        <v>2860</v>
      </c>
      <c r="B765" s="275" t="s">
        <v>3063</v>
      </c>
      <c r="C765" s="275" t="s">
        <v>3112</v>
      </c>
      <c r="D765" s="275" t="s">
        <v>3056</v>
      </c>
      <c r="E765" s="275" t="s">
        <v>2802</v>
      </c>
      <c r="F765" s="278">
        <v>43152</v>
      </c>
      <c r="G765" s="275" t="s">
        <v>2803</v>
      </c>
      <c r="H765" s="276">
        <v>9.8000000000000007</v>
      </c>
      <c r="I765" s="276">
        <v>54.16</v>
      </c>
      <c r="J765" s="276">
        <v>3.86</v>
      </c>
      <c r="K765" s="276">
        <f t="shared" si="11"/>
        <v>5.9400000000000013</v>
      </c>
      <c r="L765" s="335"/>
    </row>
    <row r="766" spans="1:12">
      <c r="A766" s="275" t="s">
        <v>2860</v>
      </c>
      <c r="B766" s="275" t="s">
        <v>3060</v>
      </c>
      <c r="C766" s="275" t="s">
        <v>3111</v>
      </c>
      <c r="D766" s="275" t="s">
        <v>3056</v>
      </c>
      <c r="E766" s="275" t="s">
        <v>2802</v>
      </c>
      <c r="F766" s="278">
        <v>43152</v>
      </c>
      <c r="G766" s="275" t="s">
        <v>2803</v>
      </c>
      <c r="H766" s="276">
        <v>9.8000000000000007</v>
      </c>
      <c r="I766" s="276">
        <v>54.16</v>
      </c>
      <c r="J766" s="276">
        <v>3.86</v>
      </c>
      <c r="K766" s="276">
        <f t="shared" si="11"/>
        <v>5.9400000000000013</v>
      </c>
      <c r="L766" s="335"/>
    </row>
    <row r="767" spans="1:12">
      <c r="A767" s="275" t="s">
        <v>2886</v>
      </c>
      <c r="B767" s="275" t="s">
        <v>3071</v>
      </c>
      <c r="C767" s="275" t="s">
        <v>3110</v>
      </c>
      <c r="D767" s="275" t="s">
        <v>3056</v>
      </c>
      <c r="E767" s="275" t="s">
        <v>2802</v>
      </c>
      <c r="F767" s="278">
        <v>43159</v>
      </c>
      <c r="G767" s="275" t="s">
        <v>2803</v>
      </c>
      <c r="H767" s="276">
        <v>9.5</v>
      </c>
      <c r="I767" s="276">
        <v>50</v>
      </c>
      <c r="J767" s="276">
        <v>3.86</v>
      </c>
      <c r="K767" s="276">
        <f t="shared" si="11"/>
        <v>5.6400000000000006</v>
      </c>
      <c r="L767" s="335"/>
    </row>
    <row r="768" spans="1:12">
      <c r="A768" s="275" t="s">
        <v>2842</v>
      </c>
      <c r="B768" s="275" t="s">
        <v>2834</v>
      </c>
      <c r="C768" s="275" t="s">
        <v>3109</v>
      </c>
      <c r="D768" s="275" t="s">
        <v>3056</v>
      </c>
      <c r="E768" s="275" t="s">
        <v>2802</v>
      </c>
      <c r="F768" s="278">
        <v>43216</v>
      </c>
      <c r="G768" s="275" t="s">
        <v>2803</v>
      </c>
      <c r="H768" s="276">
        <v>9.5</v>
      </c>
      <c r="I768" s="276">
        <v>48.5</v>
      </c>
      <c r="J768" s="276">
        <v>4.13</v>
      </c>
      <c r="K768" s="276">
        <f t="shared" si="11"/>
        <v>5.37</v>
      </c>
      <c r="L768" s="335"/>
    </row>
    <row r="769" spans="1:12">
      <c r="A769" s="275" t="s">
        <v>2882</v>
      </c>
      <c r="B769" s="275" t="s">
        <v>3108</v>
      </c>
      <c r="C769" s="275" t="s">
        <v>3107</v>
      </c>
      <c r="D769" s="275" t="s">
        <v>3056</v>
      </c>
      <c r="E769" s="275" t="s">
        <v>2802</v>
      </c>
      <c r="F769" s="278">
        <v>43217</v>
      </c>
      <c r="G769" s="275" t="s">
        <v>2803</v>
      </c>
      <c r="H769" s="276">
        <v>9.3000000000000007</v>
      </c>
      <c r="I769" s="276">
        <v>49.21</v>
      </c>
      <c r="J769" s="276">
        <v>4.13</v>
      </c>
      <c r="K769" s="276">
        <f t="shared" si="11"/>
        <v>5.1700000000000008</v>
      </c>
      <c r="L769" s="335"/>
    </row>
    <row r="770" spans="1:12">
      <c r="A770" s="275" t="s">
        <v>2835</v>
      </c>
      <c r="B770" s="275" t="s">
        <v>3075</v>
      </c>
      <c r="C770" s="275" t="s">
        <v>3106</v>
      </c>
      <c r="D770" s="275" t="s">
        <v>3056</v>
      </c>
      <c r="E770" s="275" t="s">
        <v>2802</v>
      </c>
      <c r="F770" s="278">
        <v>43223</v>
      </c>
      <c r="G770" s="275" t="s">
        <v>2803</v>
      </c>
      <c r="H770" s="276">
        <v>9.6999999999999993</v>
      </c>
      <c r="I770" s="276">
        <v>52.57</v>
      </c>
      <c r="J770" s="276">
        <v>4.13</v>
      </c>
      <c r="K770" s="276">
        <f t="shared" si="11"/>
        <v>5.5699999999999994</v>
      </c>
      <c r="L770" s="335"/>
    </row>
    <row r="771" spans="1:12">
      <c r="A771" s="275" t="s">
        <v>2851</v>
      </c>
      <c r="B771" s="275" t="s">
        <v>3105</v>
      </c>
      <c r="C771" s="275" t="s">
        <v>3104</v>
      </c>
      <c r="D771" s="275" t="s">
        <v>3056</v>
      </c>
      <c r="E771" s="275" t="s">
        <v>2802</v>
      </c>
      <c r="F771" s="278">
        <v>43356</v>
      </c>
      <c r="G771" s="275" t="s">
        <v>2803</v>
      </c>
      <c r="H771" s="276">
        <v>10</v>
      </c>
      <c r="I771" s="276">
        <v>38.299999999999997</v>
      </c>
      <c r="J771" s="276">
        <v>4.2699999999999996</v>
      </c>
      <c r="K771" s="276">
        <f t="shared" si="11"/>
        <v>5.73</v>
      </c>
      <c r="L771" s="335"/>
    </row>
    <row r="772" spans="1:12">
      <c r="A772" s="275" t="s">
        <v>2807</v>
      </c>
      <c r="B772" s="275" t="s">
        <v>3103</v>
      </c>
      <c r="C772" s="275" t="s">
        <v>3102</v>
      </c>
      <c r="D772" s="275" t="s">
        <v>3056</v>
      </c>
      <c r="E772" s="275" t="s">
        <v>2802</v>
      </c>
      <c r="F772" s="278">
        <v>43371</v>
      </c>
      <c r="G772" s="275" t="s">
        <v>2803</v>
      </c>
      <c r="H772" s="276">
        <v>9.5</v>
      </c>
      <c r="I772" s="276">
        <v>53.04</v>
      </c>
      <c r="J772" s="276">
        <v>4.26</v>
      </c>
      <c r="K772" s="276">
        <f t="shared" si="11"/>
        <v>5.24</v>
      </c>
      <c r="L772" s="335"/>
    </row>
    <row r="773" spans="1:12">
      <c r="A773" s="275" t="s">
        <v>2807</v>
      </c>
      <c r="B773" s="275" t="s">
        <v>3101</v>
      </c>
      <c r="C773" s="275" t="s">
        <v>3100</v>
      </c>
      <c r="D773" s="275" t="s">
        <v>3056</v>
      </c>
      <c r="E773" s="275" t="s">
        <v>2802</v>
      </c>
      <c r="F773" s="278">
        <v>43371</v>
      </c>
      <c r="G773" s="275" t="s">
        <v>2803</v>
      </c>
      <c r="H773" s="276">
        <v>9.5</v>
      </c>
      <c r="I773" s="276">
        <v>53.04</v>
      </c>
      <c r="J773" s="276">
        <v>4.26</v>
      </c>
      <c r="K773" s="276">
        <f t="shared" si="11"/>
        <v>5.24</v>
      </c>
      <c r="L773" s="335"/>
    </row>
    <row r="774" spans="1:12">
      <c r="A774" s="275" t="s">
        <v>2873</v>
      </c>
      <c r="B774" s="275" t="s">
        <v>3972</v>
      </c>
      <c r="C774" s="275" t="s">
        <v>3973</v>
      </c>
      <c r="D774" s="275" t="s">
        <v>3056</v>
      </c>
      <c r="E774" s="275" t="s">
        <v>2802</v>
      </c>
      <c r="F774" s="278">
        <v>43388</v>
      </c>
      <c r="G774" s="275" t="s">
        <v>2803</v>
      </c>
      <c r="H774" s="276">
        <v>9.8000000000000007</v>
      </c>
      <c r="I774" s="276">
        <v>49.23</v>
      </c>
      <c r="J774" s="276">
        <v>4.26</v>
      </c>
      <c r="K774" s="276">
        <f t="shared" ref="K774:K822" si="12">H774-J774</f>
        <v>5.5400000000000009</v>
      </c>
      <c r="L774" s="335"/>
    </row>
    <row r="775" spans="1:12">
      <c r="A775" s="275" t="s">
        <v>2857</v>
      </c>
      <c r="B775" s="275" t="s">
        <v>3099</v>
      </c>
      <c r="C775" s="275" t="s">
        <v>3098</v>
      </c>
      <c r="D775" s="275" t="s">
        <v>3056</v>
      </c>
      <c r="E775" s="275" t="s">
        <v>2802</v>
      </c>
      <c r="F775" s="278">
        <v>43412</v>
      </c>
      <c r="G775" s="275" t="s">
        <v>2803</v>
      </c>
      <c r="H775" s="276">
        <v>9.6999999999999993</v>
      </c>
      <c r="I775" s="276">
        <v>50.9</v>
      </c>
      <c r="J775" s="276">
        <v>4.32</v>
      </c>
      <c r="K775" s="276">
        <f t="shared" si="12"/>
        <v>5.379999999999999</v>
      </c>
      <c r="L775" s="335"/>
    </row>
    <row r="776" spans="1:12">
      <c r="A776" s="275" t="s">
        <v>2805</v>
      </c>
      <c r="B776" s="275" t="s">
        <v>3079</v>
      </c>
      <c r="C776" s="275" t="s">
        <v>3097</v>
      </c>
      <c r="D776" s="275" t="s">
        <v>3056</v>
      </c>
      <c r="E776" s="275" t="s">
        <v>2802</v>
      </c>
      <c r="F776" s="278">
        <v>43445</v>
      </c>
      <c r="G776" s="275" t="s">
        <v>2803</v>
      </c>
      <c r="H776" s="276">
        <v>9.6999999999999993</v>
      </c>
      <c r="I776" s="276">
        <v>51.69</v>
      </c>
      <c r="J776" s="276">
        <v>4.45</v>
      </c>
      <c r="K776" s="276">
        <f t="shared" si="12"/>
        <v>5.2499999999999991</v>
      </c>
      <c r="L776" s="335"/>
    </row>
    <row r="777" spans="1:12">
      <c r="A777" s="275" t="s">
        <v>2822</v>
      </c>
      <c r="B777" s="275" t="s">
        <v>2823</v>
      </c>
      <c r="C777" s="275" t="s">
        <v>3096</v>
      </c>
      <c r="D777" s="275" t="s">
        <v>3056</v>
      </c>
      <c r="E777" s="275" t="s">
        <v>2802</v>
      </c>
      <c r="F777" s="278">
        <v>43455</v>
      </c>
      <c r="G777" s="275" t="s">
        <v>2803</v>
      </c>
      <c r="H777" s="276">
        <v>9.35</v>
      </c>
      <c r="I777" s="276">
        <v>54.6</v>
      </c>
      <c r="J777" s="276">
        <v>4.5199999999999996</v>
      </c>
      <c r="K777" s="276">
        <f t="shared" si="12"/>
        <v>4.83</v>
      </c>
      <c r="L777" s="335"/>
    </row>
    <row r="778" spans="1:12">
      <c r="A778" s="275" t="s">
        <v>2837</v>
      </c>
      <c r="B778" s="275" t="s">
        <v>3094</v>
      </c>
      <c r="C778" s="275" t="s">
        <v>3095</v>
      </c>
      <c r="D778" s="275" t="s">
        <v>3056</v>
      </c>
      <c r="E778" s="275" t="s">
        <v>2802</v>
      </c>
      <c r="F778" s="278">
        <v>43458</v>
      </c>
      <c r="G778" s="275" t="s">
        <v>2803</v>
      </c>
      <c r="H778" s="276">
        <v>9.25</v>
      </c>
      <c r="I778" s="276">
        <v>49.66</v>
      </c>
      <c r="J778" s="276">
        <v>4.5199999999999996</v>
      </c>
      <c r="K778" s="276">
        <f t="shared" si="12"/>
        <v>4.7300000000000004</v>
      </c>
      <c r="L778" s="335"/>
    </row>
    <row r="779" spans="1:12">
      <c r="A779" s="275" t="s">
        <v>2837</v>
      </c>
      <c r="B779" s="275" t="s">
        <v>3094</v>
      </c>
      <c r="C779" s="275" t="s">
        <v>3093</v>
      </c>
      <c r="D779" s="275" t="s">
        <v>3056</v>
      </c>
      <c r="E779" s="275" t="s">
        <v>2802</v>
      </c>
      <c r="F779" s="278">
        <v>43458</v>
      </c>
      <c r="G779" s="275" t="s">
        <v>2803</v>
      </c>
      <c r="H779" s="276">
        <v>9.25</v>
      </c>
      <c r="I779" s="276">
        <v>49.66</v>
      </c>
      <c r="J779" s="276">
        <v>4.5199999999999996</v>
      </c>
      <c r="K779" s="276">
        <f t="shared" si="12"/>
        <v>4.7300000000000004</v>
      </c>
      <c r="L779" s="335"/>
    </row>
    <row r="780" spans="1:12">
      <c r="A780" s="275" t="s">
        <v>2805</v>
      </c>
      <c r="B780" s="275" t="s">
        <v>2829</v>
      </c>
      <c r="C780" s="275" t="s">
        <v>3092</v>
      </c>
      <c r="D780" s="275" t="s">
        <v>3056</v>
      </c>
      <c r="E780" s="275" t="s">
        <v>2802</v>
      </c>
      <c r="F780" s="278">
        <v>43469</v>
      </c>
      <c r="G780" s="275" t="s">
        <v>2803</v>
      </c>
      <c r="H780" s="276">
        <v>9.8000000000000007</v>
      </c>
      <c r="I780" s="276">
        <v>52.85</v>
      </c>
      <c r="J780" s="276">
        <v>4.5199999999999996</v>
      </c>
      <c r="K780" s="276">
        <f t="shared" si="12"/>
        <v>5.2800000000000011</v>
      </c>
      <c r="L780" s="335"/>
    </row>
    <row r="781" spans="1:12">
      <c r="A781" s="275" t="s">
        <v>2835</v>
      </c>
      <c r="B781" s="275" t="s">
        <v>3075</v>
      </c>
      <c r="C781" s="275" t="s">
        <v>3091</v>
      </c>
      <c r="D781" s="275" t="s">
        <v>3056</v>
      </c>
      <c r="E781" s="275" t="s">
        <v>2802</v>
      </c>
      <c r="F781" s="278">
        <v>43592</v>
      </c>
      <c r="G781" s="282" t="s">
        <v>2803</v>
      </c>
      <c r="H781" s="274">
        <v>9.65</v>
      </c>
      <c r="I781" s="277">
        <v>58.06</v>
      </c>
      <c r="J781" s="274">
        <v>4.16</v>
      </c>
      <c r="K781" s="276">
        <f t="shared" si="12"/>
        <v>5.49</v>
      </c>
      <c r="L781" s="335"/>
    </row>
    <row r="782" spans="1:12">
      <c r="A782" s="275" t="s">
        <v>2851</v>
      </c>
      <c r="B782" s="275" t="s">
        <v>2876</v>
      </c>
      <c r="C782" s="275" t="s">
        <v>3090</v>
      </c>
      <c r="D782" s="275" t="s">
        <v>3056</v>
      </c>
      <c r="E782" s="275" t="s">
        <v>2802</v>
      </c>
      <c r="F782" s="278">
        <v>43734</v>
      </c>
      <c r="G782" s="282" t="s">
        <v>2803</v>
      </c>
      <c r="H782" s="274">
        <v>9.9</v>
      </c>
      <c r="I782" s="277">
        <v>41.78</v>
      </c>
      <c r="J782" s="274">
        <v>3.29</v>
      </c>
      <c r="K782" s="276">
        <f t="shared" si="12"/>
        <v>6.61</v>
      </c>
      <c r="L782" s="335"/>
    </row>
    <row r="783" spans="1:12">
      <c r="A783" s="275" t="s">
        <v>2801</v>
      </c>
      <c r="B783" s="275" t="s">
        <v>3089</v>
      </c>
      <c r="C783" s="275" t="s">
        <v>3088</v>
      </c>
      <c r="D783" s="275" t="s">
        <v>3056</v>
      </c>
      <c r="E783" s="275" t="s">
        <v>2802</v>
      </c>
      <c r="F783" s="278">
        <v>43740</v>
      </c>
      <c r="G783" s="275" t="s">
        <v>2803</v>
      </c>
      <c r="H783" s="274">
        <v>9.73</v>
      </c>
      <c r="I783" s="274">
        <v>54.2</v>
      </c>
      <c r="J783" s="277">
        <v>3.29</v>
      </c>
      <c r="K783" s="276">
        <f t="shared" si="12"/>
        <v>6.44</v>
      </c>
      <c r="L783" s="335"/>
    </row>
    <row r="784" spans="1:12">
      <c r="A784" s="275" t="s">
        <v>2838</v>
      </c>
      <c r="B784" s="275" t="s">
        <v>2954</v>
      </c>
      <c r="C784" s="275" t="s">
        <v>3087</v>
      </c>
      <c r="D784" s="275" t="s">
        <v>3056</v>
      </c>
      <c r="E784" s="275" t="s">
        <v>2802</v>
      </c>
      <c r="F784" s="278">
        <v>43776</v>
      </c>
      <c r="G784" s="275" t="s">
        <v>2803</v>
      </c>
      <c r="H784" s="274">
        <v>9.35</v>
      </c>
      <c r="I784" s="274">
        <v>50</v>
      </c>
      <c r="J784" s="277">
        <v>3.37</v>
      </c>
      <c r="K784" s="276">
        <f t="shared" si="12"/>
        <v>5.9799999999999995</v>
      </c>
      <c r="L784" s="335"/>
    </row>
    <row r="785" spans="1:33">
      <c r="A785" s="275" t="s">
        <v>2805</v>
      </c>
      <c r="B785" s="275" t="s">
        <v>3086</v>
      </c>
      <c r="C785" s="275" t="s">
        <v>3085</v>
      </c>
      <c r="D785" s="275" t="s">
        <v>3056</v>
      </c>
      <c r="E785" s="275" t="s">
        <v>2802</v>
      </c>
      <c r="F785" s="278">
        <v>43817</v>
      </c>
      <c r="G785" s="275" t="s">
        <v>2803</v>
      </c>
      <c r="H785" s="274">
        <v>9.6</v>
      </c>
      <c r="I785" s="274">
        <v>52.9</v>
      </c>
      <c r="J785" s="277">
        <v>3.42</v>
      </c>
      <c r="K785" s="276">
        <f t="shared" si="12"/>
        <v>6.18</v>
      </c>
      <c r="L785" s="335"/>
      <c r="Z785"/>
      <c r="AA785"/>
      <c r="AB785"/>
      <c r="AC785"/>
      <c r="AD785"/>
      <c r="AE785"/>
      <c r="AF785"/>
      <c r="AG785"/>
    </row>
    <row r="786" spans="1:33">
      <c r="A786" s="275" t="s">
        <v>2806</v>
      </c>
      <c r="B786" s="275" t="s">
        <v>3081</v>
      </c>
      <c r="C786" s="275" t="s">
        <v>3080</v>
      </c>
      <c r="D786" s="275" t="s">
        <v>3056</v>
      </c>
      <c r="E786" s="275" t="s">
        <v>2802</v>
      </c>
      <c r="F786" s="278">
        <v>43818</v>
      </c>
      <c r="G786" s="275" t="s">
        <v>2803</v>
      </c>
      <c r="H786" s="274">
        <v>10.25</v>
      </c>
      <c r="I786" s="274">
        <v>56</v>
      </c>
      <c r="J786" s="277">
        <v>3.42</v>
      </c>
      <c r="K786" s="276">
        <f t="shared" si="12"/>
        <v>6.83</v>
      </c>
      <c r="L786" s="335"/>
      <c r="Z786"/>
      <c r="AA786"/>
      <c r="AB786"/>
      <c r="AC786"/>
      <c r="AD786"/>
      <c r="AE786"/>
      <c r="AF786"/>
      <c r="AG786"/>
    </row>
    <row r="787" spans="1:33">
      <c r="A787" s="275" t="s">
        <v>2844</v>
      </c>
      <c r="B787" s="275" t="s">
        <v>2848</v>
      </c>
      <c r="C787" s="275" t="s">
        <v>3082</v>
      </c>
      <c r="D787" s="275" t="s">
        <v>3056</v>
      </c>
      <c r="E787" s="275" t="s">
        <v>2802</v>
      </c>
      <c r="F787" s="278">
        <v>43818</v>
      </c>
      <c r="G787" s="275" t="s">
        <v>2803</v>
      </c>
      <c r="H787" s="274">
        <v>10.199999999999999</v>
      </c>
      <c r="I787" s="274">
        <v>52</v>
      </c>
      <c r="J787" s="277">
        <v>3.42</v>
      </c>
      <c r="K787" s="276">
        <f t="shared" si="12"/>
        <v>6.7799999999999994</v>
      </c>
      <c r="L787" s="335"/>
    </row>
    <row r="788" spans="1:33">
      <c r="A788" s="275" t="s">
        <v>2844</v>
      </c>
      <c r="B788" s="275" t="s">
        <v>3084</v>
      </c>
      <c r="C788" s="275" t="s">
        <v>3083</v>
      </c>
      <c r="D788" s="275" t="s">
        <v>3056</v>
      </c>
      <c r="E788" s="275" t="s">
        <v>2802</v>
      </c>
      <c r="F788" s="278">
        <v>43818</v>
      </c>
      <c r="G788" s="275" t="s">
        <v>2803</v>
      </c>
      <c r="H788" s="274">
        <v>10.050000000000001</v>
      </c>
      <c r="I788" s="274">
        <v>52</v>
      </c>
      <c r="J788" s="277">
        <v>3.42</v>
      </c>
      <c r="K788" s="276">
        <f t="shared" si="12"/>
        <v>6.6300000000000008</v>
      </c>
      <c r="L788" s="335"/>
    </row>
    <row r="789" spans="1:33">
      <c r="A789" s="275" t="s">
        <v>2871</v>
      </c>
      <c r="B789" s="275" t="s">
        <v>3079</v>
      </c>
      <c r="C789" s="275" t="s">
        <v>3078</v>
      </c>
      <c r="D789" s="275" t="s">
        <v>3056</v>
      </c>
      <c r="E789" s="275" t="s">
        <v>2802</v>
      </c>
      <c r="F789" s="278">
        <v>43819</v>
      </c>
      <c r="G789" s="275" t="s">
        <v>2803</v>
      </c>
      <c r="H789" s="274">
        <v>9.1999999999999993</v>
      </c>
      <c r="I789" s="274">
        <v>53.48</v>
      </c>
      <c r="J789" s="277">
        <v>3.42</v>
      </c>
      <c r="K789" s="276">
        <f t="shared" si="12"/>
        <v>5.7799999999999994</v>
      </c>
      <c r="L789" s="335"/>
    </row>
    <row r="790" spans="1:33">
      <c r="A790" s="275" t="s">
        <v>2871</v>
      </c>
      <c r="B790" s="275" t="s">
        <v>3077</v>
      </c>
      <c r="C790" s="275" t="s">
        <v>3076</v>
      </c>
      <c r="D790" s="275" t="s">
        <v>3056</v>
      </c>
      <c r="E790" s="275" t="s">
        <v>2802</v>
      </c>
      <c r="F790" s="278">
        <v>43854</v>
      </c>
      <c r="G790" s="275" t="s">
        <v>2803</v>
      </c>
      <c r="H790" s="274">
        <v>9.44</v>
      </c>
      <c r="I790" s="274">
        <v>59.64</v>
      </c>
      <c r="J790" s="277">
        <v>3.4</v>
      </c>
      <c r="K790" s="276">
        <f t="shared" si="12"/>
        <v>6.0399999999999991</v>
      </c>
      <c r="L790" s="335"/>
    </row>
    <row r="791" spans="1:33">
      <c r="A791" s="275" t="s">
        <v>2813</v>
      </c>
      <c r="B791" s="275" t="s">
        <v>3075</v>
      </c>
      <c r="C791" s="275" t="s">
        <v>3074</v>
      </c>
      <c r="D791" s="275" t="s">
        <v>3056</v>
      </c>
      <c r="E791" s="275" t="s">
        <v>2802</v>
      </c>
      <c r="F791" s="278">
        <v>43885</v>
      </c>
      <c r="G791" s="275" t="s">
        <v>2803</v>
      </c>
      <c r="H791" s="274">
        <v>9.1</v>
      </c>
      <c r="I791" s="274">
        <v>56.32</v>
      </c>
      <c r="J791" s="277">
        <v>3.29</v>
      </c>
      <c r="K791" s="276">
        <f t="shared" si="12"/>
        <v>5.81</v>
      </c>
      <c r="L791" s="335"/>
    </row>
    <row r="792" spans="1:33" customFormat="1">
      <c r="A792" s="279" t="s">
        <v>2821</v>
      </c>
      <c r="B792" s="280" t="s">
        <v>3073</v>
      </c>
      <c r="C792" s="279" t="s">
        <v>3072</v>
      </c>
      <c r="D792" s="275" t="s">
        <v>3056</v>
      </c>
      <c r="E792" s="275" t="s">
        <v>2802</v>
      </c>
      <c r="F792" s="278">
        <v>43886</v>
      </c>
      <c r="G792" s="275" t="s">
        <v>2803</v>
      </c>
      <c r="H792" s="277">
        <v>9.5</v>
      </c>
      <c r="I792" s="281">
        <v>55</v>
      </c>
      <c r="J792" s="277">
        <v>3.29</v>
      </c>
      <c r="K792" s="276">
        <f t="shared" si="12"/>
        <v>6.21</v>
      </c>
      <c r="L792" s="335"/>
      <c r="M792" s="273"/>
      <c r="Z792" s="273"/>
      <c r="AA792" s="273"/>
      <c r="AB792" s="273"/>
      <c r="AC792" s="273"/>
      <c r="AD792" s="273"/>
      <c r="AE792" s="273"/>
      <c r="AF792" s="273"/>
      <c r="AG792" s="273"/>
    </row>
    <row r="793" spans="1:33" customFormat="1">
      <c r="A793" s="279" t="s">
        <v>2886</v>
      </c>
      <c r="B793" s="280" t="s">
        <v>3071</v>
      </c>
      <c r="C793" s="279" t="s">
        <v>3070</v>
      </c>
      <c r="D793" s="275" t="s">
        <v>3056</v>
      </c>
      <c r="E793" s="275" t="s">
        <v>2802</v>
      </c>
      <c r="F793" s="278">
        <v>43916</v>
      </c>
      <c r="G793" s="275" t="s">
        <v>2803</v>
      </c>
      <c r="H793" s="277">
        <v>9.48</v>
      </c>
      <c r="I793" s="277">
        <v>50</v>
      </c>
      <c r="J793" s="277">
        <v>3.11</v>
      </c>
      <c r="K793" s="276">
        <f t="shared" si="12"/>
        <v>6.370000000000001</v>
      </c>
      <c r="L793" s="335"/>
      <c r="M793" s="273"/>
      <c r="Z793" s="273"/>
      <c r="AA793" s="273"/>
      <c r="AB793" s="273"/>
      <c r="AC793" s="273"/>
      <c r="AD793" s="273"/>
      <c r="AE793" s="273"/>
      <c r="AF793" s="273"/>
      <c r="AG793" s="273"/>
    </row>
    <row r="794" spans="1:33">
      <c r="A794" s="279" t="s">
        <v>2822</v>
      </c>
      <c r="B794" s="280" t="s">
        <v>3069</v>
      </c>
      <c r="C794" s="279" t="s">
        <v>3068</v>
      </c>
      <c r="D794" s="275" t="s">
        <v>3056</v>
      </c>
      <c r="E794" s="275" t="s">
        <v>2802</v>
      </c>
      <c r="F794" s="278">
        <v>43970</v>
      </c>
      <c r="G794" s="275" t="s">
        <v>2803</v>
      </c>
      <c r="H794" s="277">
        <v>9.1999999999999993</v>
      </c>
      <c r="I794" s="277">
        <v>50.15</v>
      </c>
      <c r="J794" s="277">
        <v>3.19</v>
      </c>
      <c r="K794" s="276">
        <f t="shared" si="12"/>
        <v>6.01</v>
      </c>
      <c r="L794" s="335"/>
    </row>
    <row r="795" spans="1:33">
      <c r="A795" s="279" t="s">
        <v>2842</v>
      </c>
      <c r="B795" s="280" t="s">
        <v>2843</v>
      </c>
      <c r="C795" s="279" t="s">
        <v>3067</v>
      </c>
      <c r="D795" s="275" t="s">
        <v>3056</v>
      </c>
      <c r="E795" s="275" t="s">
        <v>2802</v>
      </c>
      <c r="F795" s="278">
        <v>44020</v>
      </c>
      <c r="G795" s="275" t="s">
        <v>2803</v>
      </c>
      <c r="H795" s="277">
        <v>9.4</v>
      </c>
      <c r="I795" s="277">
        <v>48.5</v>
      </c>
      <c r="J795" s="277">
        <v>3.14</v>
      </c>
      <c r="K795" s="276">
        <f t="shared" si="12"/>
        <v>6.26</v>
      </c>
      <c r="L795" s="335"/>
    </row>
    <row r="796" spans="1:33">
      <c r="A796" s="279" t="s">
        <v>2837</v>
      </c>
      <c r="B796" s="280" t="s">
        <v>3094</v>
      </c>
      <c r="C796" s="279" t="s">
        <v>3923</v>
      </c>
      <c r="D796" s="275" t="s">
        <v>3056</v>
      </c>
      <c r="E796" s="275" t="s">
        <v>2802</v>
      </c>
      <c r="F796" s="278">
        <v>44099</v>
      </c>
      <c r="G796" s="275" t="s">
        <v>2803</v>
      </c>
      <c r="H796" s="277">
        <v>9.25</v>
      </c>
      <c r="I796" s="277">
        <v>49.26</v>
      </c>
      <c r="J796" s="277">
        <v>2.73</v>
      </c>
      <c r="K796" s="276">
        <f t="shared" si="12"/>
        <v>6.52</v>
      </c>
      <c r="L796" s="335"/>
    </row>
    <row r="797" spans="1:33">
      <c r="A797" s="279" t="s">
        <v>2837</v>
      </c>
      <c r="B797" s="280" t="s">
        <v>3094</v>
      </c>
      <c r="C797" s="279" t="s">
        <v>3924</v>
      </c>
      <c r="D797" s="275" t="s">
        <v>3056</v>
      </c>
      <c r="E797" s="275" t="s">
        <v>2802</v>
      </c>
      <c r="F797" s="278">
        <v>44099</v>
      </c>
      <c r="G797" s="275" t="s">
        <v>2803</v>
      </c>
      <c r="H797" s="277">
        <v>9.25</v>
      </c>
      <c r="I797" s="277">
        <v>49.26</v>
      </c>
      <c r="J797" s="277">
        <v>2.73</v>
      </c>
      <c r="K797" s="276">
        <f t="shared" si="12"/>
        <v>6.52</v>
      </c>
      <c r="L797" s="335"/>
    </row>
    <row r="798" spans="1:33">
      <c r="A798" s="279" t="s">
        <v>2807</v>
      </c>
      <c r="B798" s="280" t="s">
        <v>3136</v>
      </c>
      <c r="C798" s="279" t="s">
        <v>3961</v>
      </c>
      <c r="D798" s="275" t="s">
        <v>3056</v>
      </c>
      <c r="E798" s="275" t="s">
        <v>2802</v>
      </c>
      <c r="F798" s="278">
        <v>44134</v>
      </c>
      <c r="G798" s="275" t="s">
        <v>2803</v>
      </c>
      <c r="H798" s="277">
        <v>9.9</v>
      </c>
      <c r="I798" s="277">
        <v>54.77</v>
      </c>
      <c r="J798" s="277">
        <v>2.84</v>
      </c>
      <c r="K798" s="276">
        <f t="shared" si="12"/>
        <v>7.0600000000000005</v>
      </c>
      <c r="L798" s="335"/>
    </row>
    <row r="799" spans="1:33">
      <c r="A799" s="279" t="s">
        <v>2824</v>
      </c>
      <c r="B799" s="280" t="s">
        <v>3094</v>
      </c>
      <c r="C799" s="279" t="s">
        <v>3962</v>
      </c>
      <c r="D799" s="275" t="s">
        <v>3056</v>
      </c>
      <c r="E799" s="275" t="s">
        <v>2802</v>
      </c>
      <c r="F799" s="278">
        <v>44174</v>
      </c>
      <c r="G799" s="275" t="s">
        <v>2803</v>
      </c>
      <c r="H799" s="277">
        <v>9.1</v>
      </c>
      <c r="I799" s="277">
        <v>51.1</v>
      </c>
      <c r="J799" s="277">
        <v>2.95</v>
      </c>
      <c r="K799" s="276">
        <f t="shared" si="12"/>
        <v>6.1499999999999995</v>
      </c>
      <c r="L799" s="335"/>
    </row>
    <row r="800" spans="1:33">
      <c r="A800" s="279" t="s">
        <v>2805</v>
      </c>
      <c r="B800" s="280" t="s">
        <v>2829</v>
      </c>
      <c r="C800" s="279" t="s">
        <v>3963</v>
      </c>
      <c r="D800" s="275" t="s">
        <v>3056</v>
      </c>
      <c r="E800" s="275" t="s">
        <v>2802</v>
      </c>
      <c r="F800" s="278">
        <v>44181</v>
      </c>
      <c r="G800" s="275" t="s">
        <v>2803</v>
      </c>
      <c r="H800" s="277">
        <v>9.65</v>
      </c>
      <c r="I800" s="277">
        <v>52</v>
      </c>
      <c r="J800" s="277">
        <v>2.85</v>
      </c>
      <c r="K800" s="276">
        <f t="shared" si="12"/>
        <v>6.8000000000000007</v>
      </c>
      <c r="L800" s="335"/>
    </row>
    <row r="801" spans="1:12">
      <c r="A801" s="279" t="s">
        <v>2809</v>
      </c>
      <c r="B801" s="280" t="s">
        <v>2854</v>
      </c>
      <c r="C801" s="279" t="s">
        <v>3964</v>
      </c>
      <c r="D801" s="275" t="s">
        <v>3056</v>
      </c>
      <c r="E801" s="275" t="s">
        <v>2802</v>
      </c>
      <c r="F801" s="278">
        <v>44188</v>
      </c>
      <c r="G801" s="275" t="s">
        <v>2803</v>
      </c>
      <c r="H801" s="277">
        <v>10</v>
      </c>
      <c r="I801" s="277">
        <v>52.53</v>
      </c>
      <c r="J801" s="277">
        <v>2.85</v>
      </c>
      <c r="K801" s="276">
        <f t="shared" si="12"/>
        <v>7.15</v>
      </c>
      <c r="L801" s="335"/>
    </row>
    <row r="802" spans="1:12">
      <c r="A802" s="279" t="s">
        <v>2801</v>
      </c>
      <c r="B802" s="280" t="s">
        <v>2849</v>
      </c>
      <c r="C802" s="279" t="s">
        <v>3965</v>
      </c>
      <c r="D802" s="275" t="s">
        <v>3056</v>
      </c>
      <c r="E802" s="275" t="s">
        <v>2802</v>
      </c>
      <c r="F802" s="278">
        <v>44209</v>
      </c>
      <c r="G802" s="275" t="s">
        <v>2803</v>
      </c>
      <c r="H802" s="277">
        <v>9.67</v>
      </c>
      <c r="I802" s="277">
        <v>52</v>
      </c>
      <c r="J802" s="277">
        <v>2.85</v>
      </c>
      <c r="K802" s="276">
        <f t="shared" si="12"/>
        <v>6.82</v>
      </c>
      <c r="L802" s="335"/>
    </row>
    <row r="803" spans="1:12">
      <c r="A803" s="275" t="s">
        <v>2804</v>
      </c>
      <c r="B803" s="275" t="s">
        <v>3500</v>
      </c>
      <c r="C803" s="275" t="s">
        <v>3966</v>
      </c>
      <c r="D803" s="275" t="s">
        <v>3056</v>
      </c>
      <c r="E803" s="275" t="s">
        <v>2802</v>
      </c>
      <c r="F803" s="278">
        <v>44246</v>
      </c>
      <c r="G803" s="275" t="s">
        <v>2803</v>
      </c>
      <c r="H803" s="274">
        <v>9.86</v>
      </c>
      <c r="I803" s="274">
        <v>54.19</v>
      </c>
      <c r="J803" s="277">
        <v>2.91</v>
      </c>
      <c r="K803" s="276">
        <f t="shared" si="12"/>
        <v>6.9499999999999993</v>
      </c>
      <c r="L803" s="335"/>
    </row>
    <row r="804" spans="1:12">
      <c r="A804" s="275" t="s">
        <v>2805</v>
      </c>
      <c r="B804" s="275" t="s">
        <v>3079</v>
      </c>
      <c r="C804" s="275" t="s">
        <v>4034</v>
      </c>
      <c r="D804" s="275" t="s">
        <v>3056</v>
      </c>
      <c r="E804" s="275" t="s">
        <v>2802</v>
      </c>
      <c r="F804" s="278">
        <v>44295</v>
      </c>
      <c r="G804" s="275" t="s">
        <v>2803</v>
      </c>
      <c r="H804" s="274">
        <v>9.6999999999999993</v>
      </c>
      <c r="I804" s="274">
        <v>52.03</v>
      </c>
      <c r="J804" s="277">
        <v>3.09</v>
      </c>
      <c r="K804" s="276">
        <f t="shared" si="12"/>
        <v>6.6099999999999994</v>
      </c>
      <c r="L804" s="335"/>
    </row>
    <row r="805" spans="1:12">
      <c r="A805" s="275" t="s">
        <v>2842</v>
      </c>
      <c r="B805" s="275" t="s">
        <v>3769</v>
      </c>
      <c r="C805" s="275" t="s">
        <v>4035</v>
      </c>
      <c r="D805" s="275" t="s">
        <v>3056</v>
      </c>
      <c r="E805" s="275" t="s">
        <v>2802</v>
      </c>
      <c r="F805" s="278">
        <v>44334</v>
      </c>
      <c r="G805" s="275" t="s">
        <v>2803</v>
      </c>
      <c r="H805" s="274">
        <v>9.4</v>
      </c>
      <c r="I805" s="274">
        <v>49.1</v>
      </c>
      <c r="J805" s="277">
        <v>3.3</v>
      </c>
      <c r="K805" s="276">
        <f t="shared" si="12"/>
        <v>6.1000000000000005</v>
      </c>
      <c r="L805" s="335"/>
    </row>
    <row r="806" spans="1:12">
      <c r="A806" s="275" t="s">
        <v>2811</v>
      </c>
      <c r="B806" s="275" t="s">
        <v>4033</v>
      </c>
      <c r="C806" s="275" t="s">
        <v>4036</v>
      </c>
      <c r="D806" s="275" t="s">
        <v>3056</v>
      </c>
      <c r="E806" s="275" t="s">
        <v>2802</v>
      </c>
      <c r="F806" s="278">
        <v>44335</v>
      </c>
      <c r="G806" s="275" t="s">
        <v>2803</v>
      </c>
      <c r="H806" s="274">
        <v>8.8000000000000007</v>
      </c>
      <c r="I806" s="274">
        <v>48</v>
      </c>
      <c r="J806" s="277">
        <v>3.3</v>
      </c>
      <c r="K806" s="276">
        <f t="shared" si="12"/>
        <v>5.5000000000000009</v>
      </c>
      <c r="L806" s="335"/>
    </row>
    <row r="807" spans="1:12">
      <c r="A807" s="275" t="s">
        <v>2804</v>
      </c>
      <c r="B807" s="275" t="s">
        <v>4373</v>
      </c>
      <c r="C807" s="275" t="s">
        <v>4037</v>
      </c>
      <c r="D807" s="275" t="s">
        <v>3056</v>
      </c>
      <c r="E807" s="275" t="s">
        <v>2802</v>
      </c>
      <c r="F807" s="278">
        <v>44364</v>
      </c>
      <c r="G807" s="275" t="s">
        <v>2803</v>
      </c>
      <c r="H807" s="274">
        <v>10.24</v>
      </c>
      <c r="I807" s="274">
        <v>53.38</v>
      </c>
      <c r="J807" s="277">
        <v>3.33</v>
      </c>
      <c r="K807" s="276">
        <f t="shared" si="12"/>
        <v>6.91</v>
      </c>
      <c r="L807" s="335"/>
    </row>
    <row r="808" spans="1:12">
      <c r="A808" s="275" t="s">
        <v>2831</v>
      </c>
      <c r="B808" s="275" t="s">
        <v>4019</v>
      </c>
      <c r="C808" s="275" t="s">
        <v>4038</v>
      </c>
      <c r="D808" s="275" t="s">
        <v>3056</v>
      </c>
      <c r="E808" s="275" t="s">
        <v>2802</v>
      </c>
      <c r="F808" s="278">
        <v>44404</v>
      </c>
      <c r="G808" s="275" t="s">
        <v>2803</v>
      </c>
      <c r="H808" s="274">
        <v>9.5399999999999991</v>
      </c>
      <c r="I808" s="274">
        <v>46.26</v>
      </c>
      <c r="J808" s="277">
        <v>3.16</v>
      </c>
      <c r="K808" s="276">
        <f t="shared" si="12"/>
        <v>6.379999999999999</v>
      </c>
      <c r="L808" s="335"/>
    </row>
    <row r="809" spans="1:12">
      <c r="A809" s="275" t="s">
        <v>2801</v>
      </c>
      <c r="B809" s="275" t="s">
        <v>3139</v>
      </c>
      <c r="C809" s="275" t="s">
        <v>4089</v>
      </c>
      <c r="D809" s="275" t="s">
        <v>3056</v>
      </c>
      <c r="E809" s="275" t="s">
        <v>2802</v>
      </c>
      <c r="F809" s="278">
        <v>44447</v>
      </c>
      <c r="G809" s="275" t="s">
        <v>2803</v>
      </c>
      <c r="H809" s="274">
        <v>9.67</v>
      </c>
      <c r="I809" s="274">
        <v>51.58</v>
      </c>
      <c r="J809" s="277">
        <v>2.95</v>
      </c>
      <c r="K809" s="276">
        <f t="shared" si="12"/>
        <v>6.72</v>
      </c>
      <c r="L809" s="335"/>
    </row>
    <row r="810" spans="1:12">
      <c r="A810" s="275" t="s">
        <v>2807</v>
      </c>
      <c r="B810" s="275" t="s">
        <v>3103</v>
      </c>
      <c r="C810" s="275" t="s">
        <v>4090</v>
      </c>
      <c r="D810" s="275" t="s">
        <v>3056</v>
      </c>
      <c r="E810" s="275" t="s">
        <v>2802</v>
      </c>
      <c r="F810" s="278">
        <v>44469</v>
      </c>
      <c r="G810" s="275" t="s">
        <v>2803</v>
      </c>
      <c r="H810" s="274">
        <v>9.6999999999999993</v>
      </c>
      <c r="I810" s="274">
        <v>53.44</v>
      </c>
      <c r="J810" s="277">
        <v>2.95</v>
      </c>
      <c r="K810" s="276">
        <f t="shared" si="12"/>
        <v>6.7499999999999991</v>
      </c>
      <c r="L810" s="335"/>
    </row>
    <row r="811" spans="1:12">
      <c r="A811" s="275" t="s">
        <v>2860</v>
      </c>
      <c r="B811" s="275" t="s">
        <v>3060</v>
      </c>
      <c r="C811" s="275" t="s">
        <v>4369</v>
      </c>
      <c r="D811" s="275" t="s">
        <v>3056</v>
      </c>
      <c r="E811" s="275" t="s">
        <v>2802</v>
      </c>
      <c r="F811" s="278">
        <v>44496</v>
      </c>
      <c r="G811" s="275" t="s">
        <v>2803</v>
      </c>
      <c r="H811" s="274">
        <v>9.3699999999999992</v>
      </c>
      <c r="I811" s="274">
        <v>49.86</v>
      </c>
      <c r="J811" s="277">
        <v>2.96</v>
      </c>
      <c r="K811" s="276">
        <f t="shared" si="12"/>
        <v>6.4099999999999993</v>
      </c>
    </row>
    <row r="812" spans="1:12">
      <c r="A812" s="275" t="s">
        <v>2801</v>
      </c>
      <c r="B812" s="275" t="s">
        <v>3089</v>
      </c>
      <c r="C812" s="275" t="s">
        <v>4095</v>
      </c>
      <c r="D812" s="275" t="s">
        <v>3056</v>
      </c>
      <c r="E812" s="275" t="s">
        <v>2802</v>
      </c>
      <c r="F812" s="278">
        <v>44518</v>
      </c>
      <c r="G812" s="275" t="s">
        <v>2803</v>
      </c>
      <c r="H812" s="274">
        <v>9.75</v>
      </c>
      <c r="I812" s="274">
        <v>54.46</v>
      </c>
      <c r="J812" s="277">
        <v>3.09</v>
      </c>
      <c r="K812" s="276">
        <f t="shared" si="12"/>
        <v>6.66</v>
      </c>
    </row>
    <row r="813" spans="1:12">
      <c r="A813" s="275" t="s">
        <v>2805</v>
      </c>
      <c r="B813" s="275" t="s">
        <v>3086</v>
      </c>
      <c r="C813" s="275" t="s">
        <v>4370</v>
      </c>
      <c r="D813" s="275" t="s">
        <v>3056</v>
      </c>
      <c r="E813" s="275" t="s">
        <v>2802</v>
      </c>
      <c r="F813" s="278">
        <v>44533</v>
      </c>
      <c r="G813" s="275" t="s">
        <v>2803</v>
      </c>
      <c r="H813" s="274">
        <v>9.65</v>
      </c>
      <c r="I813" s="274">
        <v>52.95</v>
      </c>
      <c r="J813" s="277">
        <v>3.09</v>
      </c>
      <c r="K813" s="276">
        <f t="shared" si="12"/>
        <v>6.5600000000000005</v>
      </c>
    </row>
    <row r="814" spans="1:12">
      <c r="A814" s="275" t="s">
        <v>2851</v>
      </c>
      <c r="B814" s="275" t="s">
        <v>3105</v>
      </c>
      <c r="C814" s="275" t="s">
        <v>4371</v>
      </c>
      <c r="D814" s="275" t="s">
        <v>3056</v>
      </c>
      <c r="E814" s="275" t="s">
        <v>2802</v>
      </c>
      <c r="F814" s="278">
        <v>44539</v>
      </c>
      <c r="G814" s="275" t="s">
        <v>2803</v>
      </c>
      <c r="H814" s="274">
        <v>9.9</v>
      </c>
      <c r="I814" s="274">
        <v>39.229999999999997</v>
      </c>
      <c r="J814" s="277">
        <v>3.09</v>
      </c>
      <c r="K814" s="276">
        <f t="shared" si="12"/>
        <v>6.8100000000000005</v>
      </c>
    </row>
    <row r="815" spans="1:12">
      <c r="A815" s="275" t="s">
        <v>2835</v>
      </c>
      <c r="B815" s="275" t="s">
        <v>3075</v>
      </c>
      <c r="C815" s="275" t="s">
        <v>4372</v>
      </c>
      <c r="D815" s="275" t="s">
        <v>3056</v>
      </c>
      <c r="E815" s="275" t="s">
        <v>2802</v>
      </c>
      <c r="F815" s="278">
        <v>44700</v>
      </c>
      <c r="G815" s="275" t="s">
        <v>2803</v>
      </c>
      <c r="H815" s="274">
        <v>9.23</v>
      </c>
      <c r="I815" s="274">
        <v>54.5</v>
      </c>
      <c r="J815" s="277">
        <v>4.32</v>
      </c>
      <c r="K815" s="276">
        <f t="shared" si="12"/>
        <v>4.91</v>
      </c>
    </row>
    <row r="816" spans="1:12">
      <c r="A816" s="275" t="s">
        <v>2856</v>
      </c>
      <c r="B816" s="275" t="s">
        <v>3292</v>
      </c>
      <c r="C816" s="275" t="s">
        <v>4574</v>
      </c>
      <c r="D816" s="275" t="s">
        <v>3056</v>
      </c>
      <c r="E816" s="275" t="s">
        <v>2802</v>
      </c>
      <c r="F816" s="278">
        <v>44844</v>
      </c>
      <c r="G816" s="275" t="s">
        <v>2803</v>
      </c>
      <c r="H816" s="274">
        <v>9.6</v>
      </c>
      <c r="I816" s="274">
        <v>45</v>
      </c>
      <c r="J816" s="277">
        <v>4.76</v>
      </c>
      <c r="K816" s="276">
        <f t="shared" si="12"/>
        <v>4.84</v>
      </c>
    </row>
    <row r="817" spans="1:11">
      <c r="A817" s="275" t="s">
        <v>2822</v>
      </c>
      <c r="B817" s="275" t="s">
        <v>2823</v>
      </c>
      <c r="C817" s="275" t="s">
        <v>4575</v>
      </c>
      <c r="D817" s="275" t="s">
        <v>3056</v>
      </c>
      <c r="E817" s="275" t="s">
        <v>2802</v>
      </c>
      <c r="F817" s="278">
        <v>44859</v>
      </c>
      <c r="G817" s="275" t="s">
        <v>2803</v>
      </c>
      <c r="H817" s="274">
        <v>9.1999999999999993</v>
      </c>
      <c r="I817" s="274">
        <v>53.78</v>
      </c>
      <c r="J817" s="277">
        <v>5.28</v>
      </c>
      <c r="K817" s="276">
        <f t="shared" si="12"/>
        <v>3.919999999999999</v>
      </c>
    </row>
    <row r="818" spans="1:11">
      <c r="A818" s="275" t="s">
        <v>2844</v>
      </c>
      <c r="B818" s="275" t="s">
        <v>2848</v>
      </c>
      <c r="C818" s="275" t="s">
        <v>4576</v>
      </c>
      <c r="D818" s="275" t="s">
        <v>3056</v>
      </c>
      <c r="E818" s="275" t="s">
        <v>2802</v>
      </c>
      <c r="F818" s="278">
        <v>44868</v>
      </c>
      <c r="G818" s="275" t="s">
        <v>2803</v>
      </c>
      <c r="H818" s="274">
        <v>10.199999999999999</v>
      </c>
      <c r="I818" s="274">
        <v>52</v>
      </c>
      <c r="J818" s="277">
        <v>5.28</v>
      </c>
      <c r="K818" s="276">
        <f t="shared" si="12"/>
        <v>4.919999999999999</v>
      </c>
    </row>
    <row r="819" spans="1:11">
      <c r="A819" s="275" t="s">
        <v>2844</v>
      </c>
      <c r="B819" s="275" t="s">
        <v>3084</v>
      </c>
      <c r="C819" s="275" t="s">
        <v>4577</v>
      </c>
      <c r="D819" s="275" t="s">
        <v>3056</v>
      </c>
      <c r="E819" s="275" t="s">
        <v>2802</v>
      </c>
      <c r="F819" s="278">
        <v>44910</v>
      </c>
      <c r="G819" s="275" t="s">
        <v>2803</v>
      </c>
      <c r="H819" s="274">
        <v>9.8000000000000007</v>
      </c>
      <c r="I819" s="274">
        <v>52</v>
      </c>
      <c r="J819" s="277">
        <v>5.75</v>
      </c>
      <c r="K819" s="276">
        <f t="shared" si="12"/>
        <v>4.0500000000000007</v>
      </c>
    </row>
    <row r="820" spans="1:11">
      <c r="A820" s="275" t="s">
        <v>2809</v>
      </c>
      <c r="B820" s="275" t="s">
        <v>2853</v>
      </c>
      <c r="C820" s="275" t="s">
        <v>4578</v>
      </c>
      <c r="D820" s="275" t="s">
        <v>3056</v>
      </c>
      <c r="E820" s="275" t="s">
        <v>2802</v>
      </c>
      <c r="F820" s="278">
        <v>44917</v>
      </c>
      <c r="G820" s="275" t="s">
        <v>2803</v>
      </c>
      <c r="H820" s="274">
        <v>9.8000000000000007</v>
      </c>
      <c r="I820" s="274">
        <v>53.4</v>
      </c>
      <c r="J820" s="277">
        <v>5.75</v>
      </c>
      <c r="K820" s="276">
        <f t="shared" si="12"/>
        <v>4.0500000000000007</v>
      </c>
    </row>
    <row r="821" spans="1:11">
      <c r="A821" s="275" t="s">
        <v>2821</v>
      </c>
      <c r="B821" s="275" t="s">
        <v>4579</v>
      </c>
      <c r="C821" s="275" t="s">
        <v>4580</v>
      </c>
      <c r="D821" s="275" t="s">
        <v>3056</v>
      </c>
      <c r="E821" s="275" t="s">
        <v>2802</v>
      </c>
      <c r="F821" s="278">
        <v>44918</v>
      </c>
      <c r="G821" s="275" t="s">
        <v>2803</v>
      </c>
      <c r="H821" s="274">
        <v>9.6</v>
      </c>
      <c r="I821" s="274">
        <v>51</v>
      </c>
      <c r="J821" s="277">
        <v>5.75</v>
      </c>
      <c r="K821" s="276">
        <f t="shared" si="12"/>
        <v>3.8499999999999996</v>
      </c>
    </row>
    <row r="822" spans="1:11">
      <c r="A822" s="275" t="s">
        <v>2809</v>
      </c>
      <c r="B822" s="275" t="s">
        <v>2879</v>
      </c>
      <c r="C822" s="275" t="s">
        <v>4581</v>
      </c>
      <c r="D822" s="275" t="s">
        <v>3056</v>
      </c>
      <c r="E822" s="275" t="s">
        <v>2802</v>
      </c>
      <c r="F822" s="278">
        <v>44924</v>
      </c>
      <c r="G822" s="275" t="s">
        <v>2803</v>
      </c>
      <c r="H822" s="274">
        <v>9.8000000000000007</v>
      </c>
      <c r="I822" s="274">
        <v>53</v>
      </c>
      <c r="J822" s="277">
        <v>5.75</v>
      </c>
      <c r="K822" s="276">
        <f t="shared" si="12"/>
        <v>4.0500000000000007</v>
      </c>
    </row>
    <row r="823" spans="1:11">
      <c r="A823" s="275" t="s">
        <v>2809</v>
      </c>
      <c r="B823" s="275" t="s">
        <v>3142</v>
      </c>
      <c r="C823" s="275" t="s">
        <v>4582</v>
      </c>
      <c r="D823" s="275" t="s">
        <v>3056</v>
      </c>
      <c r="E823" s="275" t="s">
        <v>2802</v>
      </c>
      <c r="F823" s="278">
        <v>44924</v>
      </c>
      <c r="G823" s="275" t="s">
        <v>2803</v>
      </c>
      <c r="H823" s="274">
        <v>9.8000000000000007</v>
      </c>
      <c r="I823" s="274">
        <v>53</v>
      </c>
      <c r="J823" s="277">
        <v>5.75</v>
      </c>
      <c r="K823" s="276">
        <f t="shared" ref="K823" si="13">H823-J823</f>
        <v>4.0500000000000007</v>
      </c>
    </row>
    <row r="824" spans="1:11">
      <c r="A824" s="275"/>
      <c r="B824" s="275"/>
      <c r="C824" s="275"/>
      <c r="D824" s="275"/>
      <c r="E824" s="275"/>
      <c r="F824" s="278"/>
      <c r="G824" s="275"/>
      <c r="H824" s="274"/>
      <c r="I824" s="274"/>
      <c r="J824" s="277"/>
      <c r="K824" s="276"/>
    </row>
    <row r="825" spans="1:11">
      <c r="A825" s="275"/>
      <c r="B825" s="275"/>
      <c r="C825" s="275"/>
      <c r="D825" s="275"/>
      <c r="E825" s="275"/>
      <c r="F825" s="278"/>
      <c r="G825" s="275"/>
      <c r="H825" s="274"/>
      <c r="I825" s="274"/>
      <c r="J825" s="277"/>
      <c r="K825" s="276"/>
    </row>
    <row r="826" spans="1:11">
      <c r="A826" s="275"/>
      <c r="B826" s="275"/>
      <c r="C826" s="275"/>
      <c r="D826" s="275"/>
      <c r="E826" s="275"/>
      <c r="F826" s="278"/>
      <c r="G826" s="275"/>
      <c r="H826" s="274"/>
      <c r="I826" s="274"/>
      <c r="J826" s="277"/>
      <c r="K826" s="276"/>
    </row>
    <row r="827" spans="1:11">
      <c r="A827" s="275"/>
      <c r="B827" s="275"/>
      <c r="C827" s="275"/>
      <c r="D827" s="275"/>
      <c r="E827" s="275"/>
      <c r="F827" s="278"/>
      <c r="G827" s="275"/>
      <c r="H827" s="274"/>
      <c r="I827" s="274"/>
      <c r="J827" s="277"/>
      <c r="K827" s="276"/>
    </row>
    <row r="828" spans="1:11">
      <c r="A828" s="275"/>
      <c r="B828" s="275"/>
      <c r="C828" s="275"/>
      <c r="D828" s="275"/>
      <c r="E828" s="275"/>
      <c r="F828" s="278"/>
      <c r="G828" s="275"/>
      <c r="H828" s="274"/>
      <c r="I828" s="274"/>
      <c r="J828" s="277"/>
      <c r="K828" s="276"/>
    </row>
    <row r="829" spans="1:11">
      <c r="A829" s="275"/>
      <c r="B829" s="275"/>
      <c r="C829" s="275"/>
      <c r="D829" s="275"/>
      <c r="E829" s="275"/>
      <c r="F829" s="278"/>
      <c r="G829" s="275"/>
      <c r="H829" s="274"/>
      <c r="I829" s="274"/>
      <c r="J829" s="277"/>
      <c r="K829" s="276"/>
    </row>
    <row r="830" spans="1:11">
      <c r="A830" s="275"/>
      <c r="B830" s="275"/>
      <c r="C830" s="275"/>
      <c r="D830" s="275"/>
      <c r="E830" s="275"/>
      <c r="F830" s="278"/>
      <c r="G830" s="275"/>
      <c r="H830" s="274"/>
      <c r="I830" s="274"/>
      <c r="J830" s="277"/>
      <c r="K830" s="276"/>
    </row>
    <row r="831" spans="1:11">
      <c r="A831" s="275"/>
      <c r="B831" s="275"/>
      <c r="C831" s="275"/>
      <c r="D831" s="275"/>
      <c r="E831" s="275"/>
      <c r="F831" s="278"/>
      <c r="G831" s="275"/>
      <c r="H831" s="274"/>
      <c r="I831" s="274"/>
      <c r="J831" s="277"/>
      <c r="K831" s="276"/>
    </row>
    <row r="832" spans="1:11">
      <c r="A832" s="275"/>
      <c r="B832" s="275"/>
      <c r="C832" s="275"/>
      <c r="D832" s="275"/>
      <c r="E832" s="275"/>
      <c r="F832" s="278"/>
      <c r="G832" s="275"/>
      <c r="H832" s="274"/>
      <c r="I832" s="274"/>
      <c r="J832" s="277"/>
      <c r="K832" s="276"/>
    </row>
    <row r="833" spans="1:11">
      <c r="A833" s="275"/>
      <c r="B833" s="275"/>
      <c r="C833" s="275"/>
      <c r="D833" s="275"/>
      <c r="E833" s="275"/>
      <c r="F833" s="278"/>
      <c r="G833" s="275"/>
      <c r="H833" s="274"/>
      <c r="I833" s="274"/>
      <c r="J833" s="277"/>
      <c r="K833" s="276"/>
    </row>
    <row r="834" spans="1:11">
      <c r="A834" s="275"/>
      <c r="B834" s="275"/>
      <c r="C834" s="275"/>
      <c r="D834" s="275"/>
      <c r="E834" s="275"/>
      <c r="F834" s="278"/>
      <c r="G834" s="275"/>
      <c r="H834" s="274"/>
      <c r="I834" s="274"/>
      <c r="J834" s="277"/>
      <c r="K834" s="276"/>
    </row>
    <row r="835" spans="1:11">
      <c r="A835" s="275"/>
      <c r="B835" s="275"/>
      <c r="C835" s="275"/>
      <c r="D835" s="275"/>
      <c r="E835" s="275"/>
      <c r="F835" s="278"/>
      <c r="G835" s="275"/>
      <c r="H835" s="274"/>
      <c r="I835" s="274"/>
      <c r="J835" s="277"/>
      <c r="K835" s="276"/>
    </row>
    <row r="836" spans="1:11">
      <c r="A836" s="275"/>
      <c r="B836" s="275"/>
      <c r="C836" s="275"/>
      <c r="D836" s="275"/>
      <c r="E836" s="275"/>
      <c r="F836" s="278"/>
      <c r="G836" s="275"/>
      <c r="H836" s="274"/>
      <c r="I836" s="274"/>
      <c r="J836" s="277"/>
      <c r="K836" s="276"/>
    </row>
    <row r="837" spans="1:11">
      <c r="A837" s="275"/>
      <c r="B837" s="275"/>
      <c r="C837" s="275"/>
      <c r="D837" s="275"/>
      <c r="E837" s="275"/>
      <c r="F837" s="278"/>
      <c r="G837" s="275"/>
      <c r="H837" s="274"/>
      <c r="I837" s="274"/>
      <c r="J837" s="277"/>
      <c r="K837" s="276"/>
    </row>
    <row r="838" spans="1:11">
      <c r="A838" s="275"/>
      <c r="B838" s="275"/>
      <c r="C838" s="275"/>
      <c r="D838" s="275"/>
      <c r="E838" s="275"/>
      <c r="F838" s="278"/>
      <c r="G838" s="275"/>
      <c r="H838" s="274"/>
      <c r="I838" s="274"/>
      <c r="J838" s="277"/>
      <c r="K838" s="276"/>
    </row>
    <row r="839" spans="1:11">
      <c r="A839" s="275"/>
      <c r="B839" s="275"/>
      <c r="C839" s="275"/>
      <c r="D839" s="275"/>
      <c r="E839" s="275"/>
      <c r="F839" s="278"/>
      <c r="G839" s="275"/>
      <c r="H839" s="274"/>
      <c r="I839" s="274"/>
      <c r="J839" s="277"/>
      <c r="K839" s="276"/>
    </row>
    <row r="840" spans="1:11">
      <c r="A840" s="275"/>
      <c r="B840" s="275"/>
      <c r="C840" s="275"/>
      <c r="D840" s="275"/>
      <c r="E840" s="275"/>
      <c r="F840" s="278"/>
      <c r="G840" s="275"/>
      <c r="H840" s="274"/>
      <c r="I840" s="274"/>
      <c r="J840" s="277"/>
      <c r="K840" s="276"/>
    </row>
    <row r="841" spans="1:11">
      <c r="A841" s="275"/>
      <c r="B841" s="275"/>
      <c r="C841" s="275"/>
      <c r="D841" s="275"/>
      <c r="E841" s="275"/>
      <c r="F841" s="278"/>
      <c r="G841" s="275"/>
      <c r="H841" s="274"/>
      <c r="I841" s="274"/>
      <c r="J841" s="277"/>
      <c r="K841" s="276"/>
    </row>
    <row r="842" spans="1:11">
      <c r="A842" s="275"/>
      <c r="B842" s="275"/>
      <c r="C842" s="275"/>
      <c r="D842" s="275"/>
      <c r="E842" s="275"/>
      <c r="F842" s="278"/>
      <c r="G842" s="275"/>
      <c r="H842" s="274"/>
      <c r="I842" s="274"/>
      <c r="J842" s="277"/>
      <c r="K842" s="276"/>
    </row>
    <row r="843" spans="1:11">
      <c r="A843" s="275"/>
      <c r="B843" s="275"/>
      <c r="C843" s="275"/>
      <c r="D843" s="275"/>
      <c r="E843" s="275"/>
      <c r="F843" s="278"/>
      <c r="G843" s="275"/>
      <c r="H843" s="274"/>
      <c r="I843" s="274"/>
      <c r="J843" s="277"/>
      <c r="K843" s="276"/>
    </row>
    <row r="844" spans="1:11">
      <c r="A844" s="275"/>
      <c r="B844" s="275"/>
      <c r="C844" s="275"/>
      <c r="D844" s="275"/>
      <c r="E844" s="275"/>
      <c r="F844" s="278"/>
      <c r="G844" s="275"/>
      <c r="H844" s="274"/>
      <c r="I844" s="274"/>
      <c r="J844" s="277"/>
      <c r="K844" s="276"/>
    </row>
    <row r="845" spans="1:11">
      <c r="A845" s="275"/>
      <c r="B845" s="275"/>
      <c r="C845" s="275"/>
      <c r="D845" s="275"/>
      <c r="E845" s="275"/>
      <c r="F845" s="278"/>
      <c r="G845" s="275"/>
      <c r="H845" s="274"/>
      <c r="I845" s="274"/>
      <c r="J845" s="277"/>
      <c r="K845" s="276"/>
    </row>
    <row r="846" spans="1:11">
      <c r="A846" s="275"/>
      <c r="B846" s="275"/>
      <c r="C846" s="275"/>
      <c r="D846" s="275"/>
      <c r="E846" s="275"/>
      <c r="F846" s="275"/>
      <c r="G846" s="275"/>
      <c r="H846" s="274"/>
      <c r="I846" s="274"/>
      <c r="J846" s="277"/>
      <c r="K846" s="274"/>
    </row>
    <row r="847" spans="1:11">
      <c r="A847" s="275">
        <f>COUNTA(A6:A823)</f>
        <v>818</v>
      </c>
      <c r="B847" s="275"/>
      <c r="C847" s="275"/>
      <c r="D847" s="275"/>
      <c r="E847" s="275"/>
      <c r="F847" s="275"/>
      <c r="G847" s="275"/>
      <c r="H847" s="274"/>
      <c r="I847" s="274"/>
      <c r="J847" s="275"/>
      <c r="K847" s="274"/>
    </row>
    <row r="848" spans="1:11">
      <c r="A848" s="275"/>
      <c r="B848" s="275"/>
      <c r="C848" s="275"/>
      <c r="D848" s="275"/>
      <c r="E848" s="275"/>
      <c r="F848" s="275"/>
      <c r="G848" s="275"/>
      <c r="H848" s="274"/>
      <c r="I848" s="274"/>
      <c r="J848" s="275"/>
      <c r="K848" s="274"/>
    </row>
    <row r="849" spans="1:11">
      <c r="A849" s="275"/>
      <c r="B849" s="275"/>
      <c r="C849" s="275"/>
      <c r="D849" s="275"/>
      <c r="E849" s="275"/>
      <c r="F849" s="275"/>
      <c r="G849" s="275"/>
      <c r="H849" s="274"/>
      <c r="I849" s="274"/>
      <c r="J849" s="275"/>
      <c r="K849" s="274"/>
    </row>
    <row r="850" spans="1:11">
      <c r="A850" s="275"/>
      <c r="B850" s="275"/>
      <c r="C850" s="275"/>
      <c r="D850" s="275"/>
      <c r="E850" s="275"/>
      <c r="F850" s="275"/>
      <c r="G850" s="275"/>
      <c r="H850" s="274"/>
      <c r="I850" s="274"/>
      <c r="J850" s="275"/>
      <c r="K850" s="274"/>
    </row>
    <row r="851" spans="1:11">
      <c r="A851" s="275"/>
      <c r="B851" s="275"/>
      <c r="C851" s="275"/>
      <c r="D851" s="275"/>
      <c r="E851" s="275"/>
      <c r="F851" s="275"/>
      <c r="G851" s="275"/>
      <c r="H851" s="274"/>
      <c r="I851" s="274"/>
      <c r="J851" s="275"/>
      <c r="K851" s="274"/>
    </row>
    <row r="852" spans="1:11">
      <c r="A852" s="275"/>
      <c r="B852" s="275"/>
      <c r="C852" s="275"/>
      <c r="D852" s="275"/>
      <c r="E852" s="275"/>
      <c r="F852" s="275"/>
      <c r="G852" s="275"/>
      <c r="H852" s="274"/>
      <c r="I852" s="274"/>
      <c r="J852" s="275"/>
      <c r="K852" s="274"/>
    </row>
    <row r="853" spans="1:11">
      <c r="A853" s="275"/>
      <c r="B853" s="275"/>
      <c r="C853" s="275"/>
      <c r="D853" s="275"/>
      <c r="E853" s="275"/>
      <c r="F853" s="275"/>
      <c r="G853" s="275"/>
      <c r="H853" s="274"/>
      <c r="I853" s="274"/>
      <c r="J853" s="275"/>
      <c r="K853" s="274"/>
    </row>
    <row r="854" spans="1:11">
      <c r="A854" s="275"/>
      <c r="B854" s="275"/>
      <c r="C854" s="275"/>
      <c r="D854" s="275"/>
      <c r="E854" s="275"/>
      <c r="F854" s="275"/>
      <c r="G854" s="275"/>
      <c r="H854" s="274"/>
      <c r="I854" s="274"/>
      <c r="J854" s="275"/>
      <c r="K854" s="274"/>
    </row>
    <row r="855" spans="1:11">
      <c r="A855" s="275"/>
      <c r="B855" s="275"/>
      <c r="C855" s="275"/>
      <c r="D855" s="275"/>
      <c r="E855" s="275"/>
      <c r="F855" s="275"/>
      <c r="G855" s="275"/>
      <c r="H855" s="274"/>
      <c r="I855" s="274"/>
      <c r="J855" s="275"/>
      <c r="K855" s="274"/>
    </row>
    <row r="856" spans="1:11">
      <c r="A856" s="275"/>
      <c r="B856" s="275"/>
      <c r="C856" s="275"/>
      <c r="D856" s="275"/>
      <c r="E856" s="275"/>
      <c r="F856" s="275"/>
      <c r="G856" s="275"/>
      <c r="H856" s="274"/>
      <c r="I856" s="274"/>
      <c r="J856" s="275"/>
      <c r="K856" s="274"/>
    </row>
    <row r="857" spans="1:11">
      <c r="A857" s="275"/>
      <c r="B857" s="275"/>
      <c r="C857" s="275"/>
      <c r="D857" s="275"/>
      <c r="E857" s="275"/>
      <c r="F857" s="275"/>
      <c r="G857" s="275"/>
      <c r="H857" s="274"/>
      <c r="I857" s="274"/>
      <c r="J857" s="275"/>
      <c r="K857" s="274"/>
    </row>
    <row r="858" spans="1:11">
      <c r="A858" s="275"/>
      <c r="B858" s="275"/>
      <c r="C858" s="275"/>
      <c r="D858" s="275"/>
      <c r="E858" s="275"/>
      <c r="F858" s="275"/>
      <c r="G858" s="275"/>
      <c r="H858" s="274"/>
      <c r="I858" s="274"/>
      <c r="J858" s="275"/>
      <c r="K858" s="274"/>
    </row>
    <row r="859" spans="1:11">
      <c r="A859" s="275"/>
      <c r="B859" s="275"/>
      <c r="C859" s="275"/>
      <c r="D859" s="275"/>
      <c r="E859" s="275"/>
      <c r="F859" s="275"/>
      <c r="G859" s="275"/>
      <c r="H859" s="274"/>
      <c r="I859" s="274"/>
      <c r="J859" s="275"/>
      <c r="K859" s="274"/>
    </row>
    <row r="860" spans="1:11">
      <c r="A860" s="275"/>
      <c r="B860" s="275"/>
      <c r="C860" s="275"/>
      <c r="D860" s="275"/>
      <c r="E860" s="275"/>
      <c r="F860" s="275"/>
      <c r="G860" s="275"/>
      <c r="H860" s="274"/>
      <c r="I860" s="274"/>
      <c r="J860" s="275"/>
      <c r="K860" s="274"/>
    </row>
    <row r="861" spans="1:11">
      <c r="A861" s="275"/>
      <c r="B861" s="275"/>
      <c r="C861" s="275"/>
      <c r="D861" s="275"/>
      <c r="E861" s="275"/>
      <c r="F861" s="275"/>
      <c r="G861" s="275"/>
      <c r="H861" s="274"/>
      <c r="I861" s="274"/>
      <c r="J861" s="275"/>
      <c r="K861" s="274"/>
    </row>
    <row r="862" spans="1:11">
      <c r="A862" s="275"/>
      <c r="B862" s="275"/>
      <c r="C862" s="275"/>
      <c r="D862" s="275"/>
      <c r="E862" s="275"/>
      <c r="F862" s="275"/>
      <c r="G862" s="275"/>
      <c r="H862" s="274"/>
      <c r="I862" s="274"/>
      <c r="J862" s="275"/>
      <c r="K862" s="274"/>
    </row>
    <row r="863" spans="1:11">
      <c r="A863" s="275"/>
      <c r="B863" s="275"/>
      <c r="C863" s="275"/>
      <c r="D863" s="275"/>
      <c r="E863" s="275"/>
      <c r="F863" s="275"/>
      <c r="G863" s="275"/>
      <c r="H863" s="274"/>
      <c r="I863" s="274"/>
      <c r="J863" s="275"/>
      <c r="K863" s="274"/>
    </row>
    <row r="864" spans="1:11">
      <c r="A864" s="275"/>
      <c r="B864" s="275"/>
      <c r="C864" s="275"/>
      <c r="D864" s="275"/>
      <c r="E864" s="275"/>
      <c r="F864" s="275"/>
      <c r="G864" s="275"/>
      <c r="H864" s="274"/>
      <c r="I864" s="274"/>
      <c r="J864" s="275"/>
      <c r="K864" s="274"/>
    </row>
    <row r="865" spans="1:11">
      <c r="A865" s="275"/>
      <c r="B865" s="275"/>
      <c r="C865" s="275"/>
      <c r="D865" s="275"/>
      <c r="E865" s="275"/>
      <c r="F865" s="275"/>
      <c r="G865" s="275"/>
      <c r="H865" s="274"/>
      <c r="I865" s="274"/>
      <c r="J865" s="275"/>
      <c r="K865" s="274"/>
    </row>
    <row r="866" spans="1:11">
      <c r="A866" s="275"/>
      <c r="B866" s="275"/>
      <c r="C866" s="275"/>
      <c r="D866" s="275"/>
      <c r="E866" s="275"/>
      <c r="F866" s="275"/>
      <c r="G866" s="275"/>
      <c r="H866" s="274"/>
      <c r="I866" s="274"/>
      <c r="J866" s="275"/>
      <c r="K866" s="274"/>
    </row>
    <row r="867" spans="1:11">
      <c r="A867" s="275"/>
      <c r="B867" s="275"/>
      <c r="C867" s="275"/>
      <c r="D867" s="275"/>
      <c r="E867" s="275"/>
      <c r="F867" s="275"/>
      <c r="G867" s="275"/>
      <c r="H867" s="274"/>
      <c r="I867" s="274"/>
      <c r="J867" s="275"/>
      <c r="K867" s="274"/>
    </row>
    <row r="868" spans="1:11">
      <c r="A868" s="275"/>
      <c r="B868" s="275"/>
      <c r="C868" s="275"/>
      <c r="D868" s="275"/>
      <c r="E868" s="275"/>
      <c r="F868" s="275"/>
      <c r="G868" s="275"/>
      <c r="H868" s="274"/>
      <c r="I868" s="274"/>
      <c r="J868" s="275"/>
      <c r="K868" s="274"/>
    </row>
    <row r="869" spans="1:11">
      <c r="A869" s="275"/>
      <c r="B869" s="275"/>
      <c r="C869" s="275"/>
      <c r="D869" s="275"/>
      <c r="E869" s="275"/>
      <c r="F869" s="275"/>
      <c r="G869" s="275"/>
      <c r="H869" s="274"/>
      <c r="I869" s="274"/>
      <c r="J869" s="275"/>
      <c r="K869" s="274"/>
    </row>
    <row r="870" spans="1:11">
      <c r="A870" s="275"/>
      <c r="B870" s="275"/>
      <c r="C870" s="275"/>
      <c r="D870" s="275"/>
      <c r="E870" s="275"/>
      <c r="F870" s="275"/>
      <c r="G870" s="275"/>
      <c r="H870" s="274"/>
      <c r="I870" s="274"/>
      <c r="J870" s="275"/>
      <c r="K870" s="274"/>
    </row>
    <row r="871" spans="1:11">
      <c r="A871" s="275"/>
      <c r="B871" s="275"/>
      <c r="C871" s="275"/>
      <c r="D871" s="275"/>
      <c r="E871" s="275"/>
      <c r="F871" s="275"/>
      <c r="G871" s="275"/>
      <c r="H871" s="274"/>
      <c r="I871" s="274"/>
      <c r="J871" s="275"/>
      <c r="K871" s="274"/>
    </row>
    <row r="872" spans="1:11">
      <c r="A872" s="275"/>
      <c r="B872" s="275"/>
      <c r="C872" s="275"/>
      <c r="D872" s="275"/>
      <c r="E872" s="275"/>
      <c r="F872" s="275"/>
      <c r="G872" s="275"/>
      <c r="H872" s="274"/>
      <c r="I872" s="274"/>
      <c r="J872" s="275"/>
      <c r="K872" s="274"/>
    </row>
    <row r="873" spans="1:11">
      <c r="A873" s="275"/>
      <c r="B873" s="275"/>
      <c r="C873" s="275"/>
      <c r="D873" s="275"/>
      <c r="E873" s="275"/>
      <c r="F873" s="275"/>
      <c r="G873" s="275"/>
      <c r="H873" s="274"/>
      <c r="I873" s="274"/>
      <c r="J873" s="275"/>
      <c r="K873" s="274"/>
    </row>
    <row r="874" spans="1:11">
      <c r="A874" s="275"/>
      <c r="B874" s="275"/>
      <c r="C874" s="275"/>
      <c r="D874" s="275"/>
      <c r="E874" s="275"/>
      <c r="F874" s="275"/>
      <c r="G874" s="275"/>
      <c r="H874" s="274"/>
      <c r="I874" s="274"/>
      <c r="J874" s="275"/>
      <c r="K874" s="274"/>
    </row>
    <row r="875" spans="1:11">
      <c r="A875" s="275"/>
      <c r="B875" s="275"/>
      <c r="C875" s="275"/>
      <c r="D875" s="275"/>
      <c r="E875" s="275"/>
      <c r="F875" s="275"/>
      <c r="G875" s="275"/>
      <c r="H875" s="274"/>
      <c r="I875" s="274"/>
      <c r="J875" s="275"/>
      <c r="K875" s="274"/>
    </row>
    <row r="876" spans="1:11">
      <c r="A876" s="275"/>
      <c r="B876" s="275"/>
      <c r="C876" s="275"/>
      <c r="D876" s="275"/>
      <c r="E876" s="275"/>
      <c r="F876" s="275"/>
      <c r="G876" s="275"/>
      <c r="H876" s="274"/>
      <c r="I876" s="274"/>
      <c r="J876" s="275"/>
      <c r="K876" s="274"/>
    </row>
    <row r="877" spans="1:11">
      <c r="A877" s="275"/>
      <c r="B877" s="275"/>
      <c r="C877" s="275"/>
      <c r="D877" s="275"/>
      <c r="E877" s="275"/>
      <c r="F877" s="275"/>
      <c r="G877" s="275"/>
      <c r="H877" s="274"/>
      <c r="I877" s="274"/>
      <c r="J877" s="275"/>
      <c r="K877" s="274"/>
    </row>
    <row r="878" spans="1:11">
      <c r="A878" s="275"/>
      <c r="B878" s="275"/>
      <c r="C878" s="275"/>
      <c r="D878" s="275"/>
      <c r="E878" s="275"/>
      <c r="F878" s="275"/>
      <c r="G878" s="275"/>
      <c r="H878" s="274"/>
      <c r="I878" s="274"/>
      <c r="J878" s="275"/>
      <c r="K878" s="274"/>
    </row>
    <row r="879" spans="1:11">
      <c r="A879" s="275"/>
      <c r="B879" s="275"/>
      <c r="C879" s="275"/>
      <c r="D879" s="275"/>
      <c r="E879" s="275"/>
      <c r="F879" s="275"/>
      <c r="G879" s="275"/>
      <c r="H879" s="274"/>
      <c r="I879" s="274"/>
      <c r="J879" s="275"/>
      <c r="K879" s="274"/>
    </row>
    <row r="880" spans="1:11">
      <c r="A880" s="275"/>
      <c r="B880" s="275"/>
      <c r="C880" s="275"/>
      <c r="D880" s="275"/>
      <c r="E880" s="275"/>
      <c r="F880" s="275"/>
      <c r="G880" s="275"/>
      <c r="H880" s="274"/>
      <c r="I880" s="274"/>
      <c r="J880" s="275"/>
      <c r="K880" s="274"/>
    </row>
    <row r="881" spans="1:11">
      <c r="A881" s="275"/>
      <c r="B881" s="275"/>
      <c r="C881" s="275"/>
      <c r="D881" s="275"/>
      <c r="E881" s="275"/>
      <c r="F881" s="275"/>
      <c r="G881" s="275"/>
      <c r="H881" s="274"/>
      <c r="I881" s="274"/>
      <c r="J881" s="275"/>
      <c r="K881" s="274"/>
    </row>
    <row r="882" spans="1:11">
      <c r="A882" s="275"/>
      <c r="B882" s="275"/>
      <c r="C882" s="275"/>
      <c r="D882" s="275"/>
      <c r="E882" s="275"/>
      <c r="F882" s="275"/>
      <c r="G882" s="275"/>
      <c r="H882" s="274"/>
      <c r="I882" s="274"/>
      <c r="J882" s="275"/>
      <c r="K882" s="274"/>
    </row>
    <row r="883" spans="1:11">
      <c r="A883" s="275"/>
      <c r="B883" s="275"/>
      <c r="C883" s="275"/>
      <c r="D883" s="275"/>
      <c r="E883" s="275"/>
      <c r="F883" s="275"/>
      <c r="G883" s="275"/>
      <c r="H883" s="274"/>
      <c r="I883" s="274"/>
      <c r="J883" s="275"/>
      <c r="K883" s="274"/>
    </row>
    <row r="884" spans="1:11">
      <c r="A884" s="275"/>
      <c r="B884" s="275"/>
      <c r="C884" s="275"/>
      <c r="D884" s="275"/>
      <c r="E884" s="275"/>
      <c r="F884" s="275"/>
      <c r="G884" s="275"/>
      <c r="H884" s="274"/>
      <c r="I884" s="274"/>
      <c r="J884" s="275"/>
      <c r="K884" s="274"/>
    </row>
    <row r="885" spans="1:11">
      <c r="A885" s="275"/>
      <c r="B885" s="275"/>
      <c r="C885" s="275"/>
      <c r="D885" s="275"/>
      <c r="E885" s="275"/>
      <c r="F885" s="275"/>
      <c r="G885" s="275"/>
      <c r="H885" s="274"/>
      <c r="I885" s="274"/>
      <c r="J885" s="275"/>
      <c r="K885" s="274"/>
    </row>
    <row r="886" spans="1:11">
      <c r="A886" s="275"/>
      <c r="B886" s="275"/>
      <c r="C886" s="275"/>
      <c r="D886" s="275"/>
      <c r="E886" s="275"/>
      <c r="F886" s="275"/>
      <c r="G886" s="275"/>
      <c r="H886" s="274"/>
      <c r="I886" s="274"/>
      <c r="J886" s="275"/>
      <c r="K886" s="274"/>
    </row>
    <row r="887" spans="1:11">
      <c r="A887" s="275"/>
      <c r="B887" s="275"/>
      <c r="C887" s="275"/>
      <c r="D887" s="275"/>
      <c r="E887" s="275"/>
      <c r="F887" s="275"/>
      <c r="G887" s="275"/>
      <c r="H887" s="274"/>
      <c r="I887" s="274"/>
      <c r="J887" s="275"/>
      <c r="K887" s="274"/>
    </row>
    <row r="888" spans="1:11">
      <c r="A888" s="275"/>
      <c r="B888" s="275"/>
      <c r="C888" s="275"/>
      <c r="D888" s="275"/>
      <c r="E888" s="275"/>
      <c r="F888" s="275"/>
      <c r="G888" s="275"/>
      <c r="H888" s="274"/>
      <c r="I888" s="274"/>
      <c r="J888" s="275"/>
      <c r="K888" s="274"/>
    </row>
    <row r="889" spans="1:11">
      <c r="A889" s="275"/>
      <c r="B889" s="275"/>
      <c r="C889" s="275"/>
      <c r="D889" s="275"/>
      <c r="E889" s="275"/>
      <c r="F889" s="275"/>
      <c r="G889" s="275"/>
      <c r="H889" s="274"/>
      <c r="I889" s="274"/>
      <c r="J889" s="275"/>
      <c r="K889" s="274"/>
    </row>
    <row r="890" spans="1:11">
      <c r="A890" s="275"/>
      <c r="B890" s="275"/>
      <c r="C890" s="275"/>
      <c r="D890" s="275"/>
      <c r="E890" s="275"/>
      <c r="F890" s="275"/>
      <c r="G890" s="275"/>
      <c r="H890" s="274"/>
      <c r="I890" s="274"/>
      <c r="J890" s="275"/>
      <c r="K890" s="274"/>
    </row>
    <row r="891" spans="1:11">
      <c r="A891" s="275"/>
      <c r="B891" s="275"/>
      <c r="C891" s="275"/>
      <c r="D891" s="275"/>
      <c r="E891" s="275"/>
      <c r="F891" s="275"/>
      <c r="G891" s="275"/>
      <c r="H891" s="274"/>
      <c r="I891" s="274"/>
      <c r="J891" s="275"/>
      <c r="K891" s="274"/>
    </row>
    <row r="892" spans="1:11">
      <c r="A892" s="275"/>
      <c r="B892" s="275"/>
      <c r="C892" s="275"/>
      <c r="D892" s="275"/>
      <c r="E892" s="275"/>
      <c r="F892" s="275"/>
      <c r="G892" s="275"/>
      <c r="H892" s="274"/>
      <c r="I892" s="274"/>
      <c r="J892" s="275"/>
      <c r="K892" s="274"/>
    </row>
    <row r="893" spans="1:11">
      <c r="A893" s="275"/>
      <c r="B893" s="275"/>
      <c r="C893" s="275"/>
      <c r="D893" s="275"/>
      <c r="E893" s="275"/>
      <c r="F893" s="275"/>
      <c r="G893" s="275"/>
      <c r="H893" s="274"/>
      <c r="I893" s="274"/>
      <c r="J893" s="275"/>
      <c r="K893" s="274"/>
    </row>
    <row r="894" spans="1:11">
      <c r="A894" s="275"/>
      <c r="B894" s="275"/>
      <c r="C894" s="275"/>
      <c r="D894" s="275"/>
      <c r="E894" s="275"/>
      <c r="F894" s="275"/>
      <c r="G894" s="275"/>
      <c r="H894" s="274"/>
      <c r="I894" s="274"/>
      <c r="J894" s="275"/>
      <c r="K894" s="274"/>
    </row>
    <row r="895" spans="1:11">
      <c r="A895" s="275"/>
      <c r="B895" s="275"/>
      <c r="C895" s="275"/>
      <c r="D895" s="275"/>
      <c r="E895" s="275"/>
      <c r="F895" s="275"/>
      <c r="G895" s="275"/>
      <c r="H895" s="274"/>
      <c r="I895" s="274"/>
      <c r="J895" s="275"/>
      <c r="K895" s="274"/>
    </row>
    <row r="896" spans="1:11">
      <c r="A896" s="275"/>
      <c r="B896" s="275"/>
      <c r="C896" s="275"/>
      <c r="D896" s="275"/>
      <c r="E896" s="275"/>
      <c r="F896" s="275"/>
      <c r="G896" s="275"/>
      <c r="H896" s="274"/>
      <c r="I896" s="274"/>
      <c r="J896" s="275"/>
      <c r="K896" s="274"/>
    </row>
    <row r="897" spans="1:11">
      <c r="A897" s="275"/>
      <c r="B897" s="275"/>
      <c r="C897" s="275"/>
      <c r="D897" s="275"/>
      <c r="E897" s="275"/>
      <c r="F897" s="275"/>
      <c r="G897" s="275"/>
      <c r="H897" s="274"/>
      <c r="I897" s="274"/>
      <c r="J897" s="275"/>
      <c r="K897" s="274"/>
    </row>
    <row r="898" spans="1:11">
      <c r="A898" s="275"/>
      <c r="B898" s="275"/>
      <c r="C898" s="275"/>
      <c r="D898" s="275"/>
      <c r="E898" s="275"/>
      <c r="F898" s="275"/>
      <c r="G898" s="275"/>
      <c r="H898" s="274"/>
      <c r="I898" s="274"/>
      <c r="J898" s="275"/>
      <c r="K898" s="274"/>
    </row>
    <row r="899" spans="1:11">
      <c r="A899" s="275"/>
      <c r="B899" s="275"/>
      <c r="C899" s="275"/>
      <c r="D899" s="275"/>
      <c r="E899" s="275"/>
      <c r="F899" s="275"/>
      <c r="G899" s="275"/>
      <c r="H899" s="274"/>
      <c r="I899" s="274"/>
      <c r="J899" s="275"/>
      <c r="K899" s="274"/>
    </row>
    <row r="900" spans="1:11">
      <c r="A900" s="275"/>
      <c r="B900" s="275"/>
      <c r="C900" s="275"/>
      <c r="D900" s="275"/>
      <c r="E900" s="275"/>
      <c r="F900" s="275"/>
      <c r="G900" s="275"/>
      <c r="H900" s="274"/>
      <c r="I900" s="274"/>
      <c r="J900" s="275"/>
      <c r="K900" s="274"/>
    </row>
    <row r="901" spans="1:11">
      <c r="A901" s="275"/>
      <c r="B901" s="275"/>
      <c r="C901" s="275"/>
      <c r="D901" s="275"/>
      <c r="E901" s="275"/>
      <c r="F901" s="275"/>
      <c r="G901" s="275"/>
      <c r="H901" s="274"/>
      <c r="I901" s="274"/>
      <c r="J901" s="275"/>
      <c r="K901" s="274"/>
    </row>
    <row r="902" spans="1:11">
      <c r="A902" s="275"/>
      <c r="B902" s="275"/>
      <c r="C902" s="275"/>
      <c r="D902" s="275"/>
      <c r="E902" s="275"/>
      <c r="F902" s="275"/>
      <c r="G902" s="275"/>
      <c r="H902" s="274"/>
      <c r="I902" s="274"/>
      <c r="J902" s="275"/>
      <c r="K902" s="274"/>
    </row>
    <row r="903" spans="1:11">
      <c r="A903" s="275"/>
      <c r="B903" s="275"/>
      <c r="C903" s="275"/>
      <c r="D903" s="275"/>
      <c r="E903" s="275"/>
      <c r="F903" s="275"/>
      <c r="G903" s="275"/>
      <c r="H903" s="274"/>
      <c r="I903" s="274"/>
      <c r="J903" s="275"/>
      <c r="K903" s="274"/>
    </row>
    <row r="904" spans="1:11">
      <c r="A904" s="275"/>
      <c r="B904" s="275"/>
      <c r="C904" s="275"/>
      <c r="D904" s="275"/>
      <c r="E904" s="275"/>
      <c r="F904" s="275"/>
      <c r="G904" s="275"/>
      <c r="H904" s="274"/>
      <c r="I904" s="274"/>
      <c r="J904" s="275"/>
      <c r="K904" s="274"/>
    </row>
    <row r="905" spans="1:11">
      <c r="A905" s="275"/>
      <c r="B905" s="275"/>
      <c r="C905" s="275"/>
      <c r="D905" s="275"/>
      <c r="E905" s="275"/>
      <c r="F905" s="275"/>
      <c r="G905" s="275"/>
      <c r="H905" s="274"/>
      <c r="I905" s="274"/>
      <c r="J905" s="275"/>
      <c r="K905" s="274"/>
    </row>
    <row r="906" spans="1:11">
      <c r="A906" s="275"/>
      <c r="B906" s="275"/>
      <c r="C906" s="275"/>
      <c r="D906" s="275"/>
      <c r="E906" s="275"/>
      <c r="F906" s="275"/>
      <c r="G906" s="275"/>
      <c r="H906" s="274"/>
      <c r="I906" s="274"/>
      <c r="J906" s="275"/>
      <c r="K906" s="274"/>
    </row>
    <row r="907" spans="1:11">
      <c r="A907" s="275"/>
      <c r="B907" s="275"/>
      <c r="C907" s="275"/>
      <c r="D907" s="275"/>
      <c r="E907" s="275"/>
      <c r="F907" s="275"/>
      <c r="G907" s="275"/>
      <c r="H907" s="274"/>
      <c r="I907" s="274"/>
      <c r="J907" s="275"/>
      <c r="K907" s="274"/>
    </row>
    <row r="908" spans="1:11">
      <c r="A908" s="275"/>
      <c r="B908" s="275"/>
      <c r="C908" s="275"/>
      <c r="D908" s="275"/>
      <c r="E908" s="275"/>
      <c r="F908" s="275"/>
      <c r="G908" s="275"/>
      <c r="H908" s="274"/>
      <c r="I908" s="274"/>
      <c r="J908" s="275"/>
      <c r="K908" s="274"/>
    </row>
    <row r="909" spans="1:11">
      <c r="A909" s="275"/>
      <c r="B909" s="275"/>
      <c r="C909" s="275"/>
      <c r="D909" s="275"/>
      <c r="E909" s="275"/>
      <c r="F909" s="275"/>
      <c r="G909" s="275"/>
      <c r="H909" s="274"/>
      <c r="I909" s="274"/>
      <c r="J909" s="275"/>
      <c r="K909" s="274"/>
    </row>
    <row r="910" spans="1:11">
      <c r="A910" s="275"/>
      <c r="B910" s="275"/>
      <c r="C910" s="275"/>
      <c r="D910" s="275"/>
      <c r="E910" s="275"/>
      <c r="F910" s="275"/>
      <c r="G910" s="275"/>
      <c r="H910" s="274"/>
      <c r="I910" s="274"/>
      <c r="J910" s="275"/>
      <c r="K910" s="274"/>
    </row>
    <row r="911" spans="1:11">
      <c r="A911" s="275"/>
      <c r="B911" s="275"/>
      <c r="C911" s="275"/>
      <c r="D911" s="275"/>
      <c r="E911" s="275"/>
      <c r="F911" s="275"/>
      <c r="G911" s="275"/>
      <c r="H911" s="274"/>
      <c r="I911" s="274"/>
      <c r="J911" s="275"/>
      <c r="K911" s="274"/>
    </row>
    <row r="912" spans="1:11">
      <c r="A912" s="275"/>
      <c r="B912" s="275"/>
      <c r="C912" s="275"/>
      <c r="D912" s="275"/>
      <c r="E912" s="275"/>
      <c r="F912" s="275"/>
      <c r="G912" s="275"/>
      <c r="H912" s="274"/>
      <c r="I912" s="274"/>
      <c r="J912" s="275"/>
      <c r="K912" s="274"/>
    </row>
    <row r="913" spans="1:11">
      <c r="A913" s="275"/>
      <c r="B913" s="275"/>
      <c r="C913" s="275"/>
      <c r="D913" s="275"/>
      <c r="E913" s="275"/>
      <c r="F913" s="275"/>
      <c r="G913" s="275"/>
      <c r="H913" s="274"/>
      <c r="I913" s="274"/>
      <c r="J913" s="275"/>
      <c r="K913" s="274"/>
    </row>
    <row r="914" spans="1:11">
      <c r="A914" s="275"/>
      <c r="B914" s="275"/>
      <c r="C914" s="275"/>
      <c r="D914" s="275"/>
      <c r="E914" s="275"/>
      <c r="F914" s="275"/>
      <c r="G914" s="275"/>
      <c r="H914" s="274"/>
      <c r="I914" s="274"/>
      <c r="J914" s="275"/>
      <c r="K914" s="274"/>
    </row>
    <row r="915" spans="1:11">
      <c r="A915" s="275"/>
      <c r="B915" s="275"/>
      <c r="C915" s="275"/>
      <c r="D915" s="275"/>
      <c r="E915" s="275"/>
      <c r="F915" s="275"/>
      <c r="G915" s="275"/>
      <c r="H915" s="274"/>
      <c r="I915" s="274"/>
      <c r="J915" s="275"/>
      <c r="K915" s="274"/>
    </row>
    <row r="916" spans="1:11">
      <c r="A916" s="275"/>
      <c r="B916" s="275"/>
      <c r="C916" s="275"/>
      <c r="D916" s="275"/>
      <c r="E916" s="275"/>
      <c r="F916" s="275"/>
      <c r="G916" s="275"/>
      <c r="H916" s="274"/>
      <c r="I916" s="274"/>
      <c r="J916" s="275"/>
      <c r="K916" s="274"/>
    </row>
    <row r="917" spans="1:11">
      <c r="A917" s="275"/>
      <c r="B917" s="275"/>
      <c r="C917" s="275"/>
      <c r="D917" s="275"/>
      <c r="E917" s="275"/>
      <c r="F917" s="275"/>
      <c r="G917" s="275"/>
      <c r="H917" s="274"/>
      <c r="I917" s="274"/>
      <c r="J917" s="275"/>
      <c r="K917" s="274"/>
    </row>
    <row r="918" spans="1:11">
      <c r="A918" s="275"/>
      <c r="B918" s="275"/>
      <c r="C918" s="275"/>
      <c r="D918" s="275"/>
      <c r="E918" s="275"/>
      <c r="F918" s="275"/>
      <c r="G918" s="275"/>
      <c r="H918" s="274"/>
      <c r="I918" s="274"/>
      <c r="J918" s="275"/>
      <c r="K918" s="274"/>
    </row>
    <row r="919" spans="1:11">
      <c r="A919" s="275"/>
      <c r="B919" s="275"/>
      <c r="C919" s="275"/>
      <c r="D919" s="275"/>
      <c r="E919" s="275"/>
      <c r="F919" s="275"/>
      <c r="G919" s="275"/>
      <c r="H919" s="274"/>
      <c r="I919" s="274"/>
      <c r="J919" s="275"/>
      <c r="K919" s="274"/>
    </row>
    <row r="920" spans="1:11">
      <c r="A920" s="275"/>
      <c r="B920" s="275"/>
      <c r="C920" s="275"/>
      <c r="D920" s="275"/>
      <c r="E920" s="275"/>
      <c r="F920" s="275"/>
      <c r="G920" s="275"/>
      <c r="H920" s="274"/>
      <c r="I920" s="274"/>
      <c r="J920" s="275"/>
      <c r="K920" s="274"/>
    </row>
    <row r="921" spans="1:11">
      <c r="A921" s="275"/>
      <c r="B921" s="275"/>
      <c r="C921" s="275"/>
      <c r="D921" s="275"/>
      <c r="E921" s="275"/>
      <c r="F921" s="275"/>
      <c r="G921" s="275"/>
      <c r="H921" s="274"/>
      <c r="I921" s="274"/>
      <c r="J921" s="275"/>
      <c r="K921" s="274"/>
    </row>
    <row r="922" spans="1:11">
      <c r="A922" s="275"/>
      <c r="B922" s="275"/>
      <c r="C922" s="275"/>
      <c r="D922" s="275"/>
      <c r="E922" s="275"/>
      <c r="F922" s="275"/>
      <c r="G922" s="275"/>
      <c r="H922" s="274"/>
      <c r="I922" s="274"/>
      <c r="J922" s="275"/>
      <c r="K922" s="274"/>
    </row>
    <row r="923" spans="1:11">
      <c r="A923" s="275"/>
      <c r="B923" s="275"/>
      <c r="C923" s="275"/>
      <c r="D923" s="275"/>
      <c r="E923" s="275"/>
      <c r="F923" s="275"/>
      <c r="G923" s="275"/>
      <c r="H923" s="274"/>
      <c r="I923" s="274"/>
      <c r="J923" s="275"/>
      <c r="K923" s="274"/>
    </row>
    <row r="924" spans="1:11">
      <c r="A924" s="275"/>
      <c r="B924" s="275"/>
      <c r="C924" s="275"/>
      <c r="D924" s="275"/>
      <c r="E924" s="275"/>
      <c r="F924" s="275"/>
      <c r="G924" s="275"/>
      <c r="H924" s="274"/>
      <c r="I924" s="274"/>
      <c r="J924" s="275"/>
      <c r="K924" s="274"/>
    </row>
    <row r="925" spans="1:11">
      <c r="A925" s="275"/>
      <c r="B925" s="275"/>
      <c r="C925" s="275"/>
      <c r="D925" s="275"/>
      <c r="E925" s="275"/>
      <c r="F925" s="275"/>
      <c r="G925" s="275"/>
      <c r="H925" s="274"/>
      <c r="I925" s="274"/>
      <c r="J925" s="275"/>
      <c r="K925" s="274"/>
    </row>
    <row r="926" spans="1:11">
      <c r="A926" s="275"/>
      <c r="B926" s="275"/>
      <c r="C926" s="275"/>
      <c r="D926" s="275"/>
      <c r="E926" s="275"/>
      <c r="F926" s="275"/>
      <c r="G926" s="275"/>
      <c r="H926" s="274"/>
      <c r="I926" s="274"/>
      <c r="J926" s="275"/>
      <c r="K926" s="274"/>
    </row>
    <row r="927" spans="1:11">
      <c r="A927" s="275"/>
      <c r="B927" s="275"/>
      <c r="C927" s="275"/>
      <c r="D927" s="275"/>
      <c r="E927" s="275"/>
      <c r="F927" s="275"/>
      <c r="G927" s="275"/>
      <c r="H927" s="274"/>
      <c r="I927" s="274"/>
      <c r="J927" s="275"/>
      <c r="K927" s="274"/>
    </row>
    <row r="928" spans="1:11">
      <c r="A928" s="275"/>
      <c r="B928" s="275"/>
      <c r="C928" s="275"/>
      <c r="D928" s="275"/>
      <c r="E928" s="275"/>
      <c r="F928" s="275"/>
      <c r="G928" s="275"/>
      <c r="H928" s="274"/>
      <c r="I928" s="274"/>
      <c r="J928" s="275"/>
      <c r="K928" s="274"/>
    </row>
    <row r="929" spans="1:11">
      <c r="A929" s="275"/>
      <c r="B929" s="275"/>
      <c r="C929" s="275"/>
      <c r="D929" s="275"/>
      <c r="E929" s="275"/>
      <c r="F929" s="275"/>
      <c r="G929" s="275"/>
      <c r="H929" s="274"/>
      <c r="I929" s="274"/>
      <c r="J929" s="275"/>
      <c r="K929" s="274"/>
    </row>
    <row r="930" spans="1:11">
      <c r="A930" s="275"/>
      <c r="B930" s="275"/>
      <c r="C930" s="275"/>
      <c r="D930" s="275"/>
      <c r="E930" s="275"/>
      <c r="F930" s="275"/>
      <c r="G930" s="275"/>
      <c r="H930" s="274"/>
      <c r="I930" s="274"/>
      <c r="J930" s="275"/>
      <c r="K930" s="274"/>
    </row>
    <row r="931" spans="1:11">
      <c r="A931" s="275"/>
      <c r="B931" s="275"/>
      <c r="C931" s="275"/>
      <c r="D931" s="275"/>
      <c r="E931" s="275"/>
      <c r="F931" s="275"/>
      <c r="G931" s="275"/>
      <c r="H931" s="274"/>
      <c r="I931" s="274"/>
      <c r="J931" s="275"/>
      <c r="K931" s="274"/>
    </row>
    <row r="932" spans="1:11">
      <c r="A932" s="275"/>
      <c r="B932" s="275"/>
      <c r="C932" s="275"/>
      <c r="D932" s="275"/>
      <c r="E932" s="275"/>
      <c r="F932" s="275"/>
      <c r="G932" s="275"/>
      <c r="H932" s="274"/>
      <c r="I932" s="274"/>
      <c r="J932" s="275"/>
      <c r="K932" s="274"/>
    </row>
    <row r="933" spans="1:11">
      <c r="A933" s="275"/>
      <c r="B933" s="275"/>
      <c r="C933" s="275"/>
      <c r="D933" s="275"/>
      <c r="E933" s="275"/>
      <c r="F933" s="275"/>
      <c r="G933" s="275"/>
      <c r="H933" s="274"/>
      <c r="I933" s="274"/>
      <c r="J933" s="275"/>
      <c r="K933" s="274"/>
    </row>
    <row r="934" spans="1:11">
      <c r="A934" s="275"/>
      <c r="B934" s="275"/>
      <c r="C934" s="275"/>
      <c r="D934" s="275"/>
      <c r="E934" s="275"/>
      <c r="F934" s="275"/>
      <c r="G934" s="275"/>
      <c r="H934" s="274"/>
      <c r="I934" s="274"/>
      <c r="J934" s="275"/>
      <c r="K934" s="274"/>
    </row>
    <row r="935" spans="1:11">
      <c r="A935" s="275"/>
      <c r="B935" s="275"/>
      <c r="C935" s="275"/>
      <c r="D935" s="275"/>
      <c r="E935" s="275"/>
      <c r="F935" s="275"/>
      <c r="G935" s="275"/>
      <c r="H935" s="274"/>
      <c r="I935" s="274"/>
      <c r="J935" s="275"/>
      <c r="K935" s="274"/>
    </row>
    <row r="936" spans="1:11">
      <c r="A936" s="275"/>
      <c r="B936" s="275"/>
      <c r="C936" s="275"/>
      <c r="D936" s="275"/>
      <c r="E936" s="275"/>
      <c r="F936" s="275"/>
      <c r="G936" s="275"/>
      <c r="H936" s="274"/>
      <c r="I936" s="274"/>
      <c r="J936" s="275"/>
      <c r="K936" s="274"/>
    </row>
    <row r="937" spans="1:11">
      <c r="A937" s="275"/>
      <c r="B937" s="275"/>
      <c r="C937" s="275"/>
      <c r="D937" s="275"/>
      <c r="E937" s="275"/>
      <c r="F937" s="275"/>
      <c r="G937" s="275"/>
      <c r="H937" s="274"/>
      <c r="I937" s="274"/>
      <c r="J937" s="275"/>
      <c r="K937" s="274"/>
    </row>
    <row r="938" spans="1:11">
      <c r="A938" s="275"/>
      <c r="B938" s="275"/>
      <c r="C938" s="275"/>
      <c r="D938" s="275"/>
      <c r="E938" s="275"/>
      <c r="F938" s="275"/>
      <c r="G938" s="275"/>
      <c r="H938" s="274"/>
      <c r="I938" s="274"/>
      <c r="J938" s="275"/>
      <c r="K938" s="274"/>
    </row>
    <row r="939" spans="1:11">
      <c r="A939" s="275"/>
      <c r="B939" s="275"/>
      <c r="C939" s="275"/>
      <c r="D939" s="275"/>
      <c r="E939" s="275"/>
      <c r="F939" s="275"/>
      <c r="G939" s="275"/>
      <c r="H939" s="274"/>
      <c r="I939" s="274"/>
      <c r="J939" s="275"/>
      <c r="K939" s="274"/>
    </row>
    <row r="940" spans="1:11">
      <c r="A940" s="275"/>
      <c r="B940" s="275"/>
      <c r="C940" s="275"/>
      <c r="D940" s="275"/>
      <c r="E940" s="275"/>
      <c r="F940" s="275"/>
      <c r="G940" s="275"/>
      <c r="H940" s="274"/>
      <c r="I940" s="274"/>
      <c r="J940" s="275"/>
      <c r="K940" s="274"/>
    </row>
    <row r="941" spans="1:11">
      <c r="A941" s="275"/>
      <c r="B941" s="275"/>
      <c r="C941" s="275"/>
      <c r="D941" s="275"/>
      <c r="E941" s="275"/>
      <c r="F941" s="275"/>
      <c r="G941" s="275"/>
      <c r="H941" s="274"/>
      <c r="I941" s="274"/>
      <c r="J941" s="275"/>
      <c r="K941" s="274"/>
    </row>
    <row r="942" spans="1:11">
      <c r="A942" s="275"/>
      <c r="B942" s="275"/>
      <c r="C942" s="275"/>
      <c r="D942" s="275"/>
      <c r="E942" s="275"/>
      <c r="F942" s="275"/>
      <c r="G942" s="275"/>
      <c r="H942" s="274"/>
      <c r="I942" s="274"/>
      <c r="J942" s="275"/>
      <c r="K942" s="274"/>
    </row>
    <row r="943" spans="1:11">
      <c r="A943" s="275"/>
      <c r="B943" s="275"/>
      <c r="C943" s="275"/>
      <c r="D943" s="275"/>
      <c r="E943" s="275"/>
      <c r="F943" s="275"/>
      <c r="G943" s="275"/>
      <c r="H943" s="274"/>
      <c r="I943" s="274"/>
      <c r="J943" s="275"/>
      <c r="K943" s="274"/>
    </row>
    <row r="944" spans="1:11">
      <c r="A944" s="275"/>
      <c r="B944" s="275"/>
      <c r="C944" s="275"/>
      <c r="D944" s="275"/>
      <c r="E944" s="275"/>
      <c r="F944" s="275"/>
      <c r="G944" s="275"/>
      <c r="H944" s="274"/>
      <c r="I944" s="274"/>
      <c r="J944" s="275"/>
      <c r="K944" s="274"/>
    </row>
    <row r="945" spans="1:11">
      <c r="A945" s="275"/>
      <c r="B945" s="275"/>
      <c r="C945" s="275"/>
      <c r="D945" s="275"/>
      <c r="E945" s="275"/>
      <c r="F945" s="275"/>
      <c r="G945" s="275"/>
      <c r="H945" s="274"/>
      <c r="I945" s="274"/>
      <c r="J945" s="275"/>
      <c r="K945" s="274"/>
    </row>
    <row r="946" spans="1:11">
      <c r="A946" s="275"/>
      <c r="B946" s="275"/>
      <c r="C946" s="275"/>
      <c r="D946" s="275"/>
      <c r="E946" s="275"/>
      <c r="F946" s="275"/>
      <c r="G946" s="275"/>
      <c r="H946" s="274"/>
      <c r="I946" s="274"/>
      <c r="J946" s="275"/>
      <c r="K946" s="274"/>
    </row>
    <row r="947" spans="1:11">
      <c r="A947" s="275"/>
      <c r="B947" s="275"/>
      <c r="C947" s="275"/>
      <c r="D947" s="275"/>
      <c r="E947" s="275"/>
      <c r="F947" s="275"/>
      <c r="G947" s="275"/>
      <c r="H947" s="274"/>
      <c r="I947" s="274"/>
      <c r="J947" s="275"/>
      <c r="K947" s="274"/>
    </row>
    <row r="948" spans="1:11">
      <c r="A948" s="275"/>
      <c r="B948" s="275"/>
      <c r="C948" s="275"/>
      <c r="D948" s="275"/>
      <c r="E948" s="275"/>
      <c r="F948" s="275"/>
      <c r="G948" s="275"/>
      <c r="H948" s="274"/>
      <c r="I948" s="274"/>
      <c r="J948" s="275"/>
      <c r="K948" s="274"/>
    </row>
    <row r="949" spans="1:11">
      <c r="A949" s="275"/>
      <c r="B949" s="275"/>
      <c r="C949" s="275"/>
      <c r="D949" s="275"/>
      <c r="E949" s="275"/>
      <c r="F949" s="275"/>
      <c r="G949" s="275"/>
      <c r="H949" s="274"/>
      <c r="I949" s="274"/>
      <c r="J949" s="275"/>
      <c r="K949" s="274"/>
    </row>
    <row r="950" spans="1:11">
      <c r="A950" s="275"/>
      <c r="B950" s="275"/>
      <c r="C950" s="275"/>
      <c r="D950" s="275"/>
      <c r="E950" s="275"/>
      <c r="F950" s="275"/>
      <c r="G950" s="275"/>
      <c r="H950" s="274"/>
      <c r="I950" s="274"/>
      <c r="J950" s="275"/>
      <c r="K950" s="274"/>
    </row>
    <row r="951" spans="1:11">
      <c r="A951" s="275"/>
      <c r="B951" s="275"/>
      <c r="C951" s="275"/>
      <c r="D951" s="275"/>
      <c r="E951" s="275"/>
      <c r="F951" s="275"/>
      <c r="G951" s="275"/>
      <c r="H951" s="274"/>
      <c r="I951" s="274"/>
      <c r="J951" s="275"/>
      <c r="K951" s="274"/>
    </row>
    <row r="952" spans="1:11">
      <c r="A952" s="275"/>
      <c r="B952" s="275"/>
      <c r="C952" s="275"/>
      <c r="D952" s="275"/>
      <c r="E952" s="275"/>
      <c r="F952" s="275"/>
      <c r="G952" s="275"/>
      <c r="H952" s="274"/>
      <c r="I952" s="274"/>
      <c r="J952" s="275"/>
      <c r="K952" s="274"/>
    </row>
    <row r="953" spans="1:11">
      <c r="A953" s="275"/>
      <c r="B953" s="275"/>
      <c r="C953" s="275"/>
      <c r="D953" s="275"/>
      <c r="E953" s="275"/>
      <c r="F953" s="275"/>
      <c r="G953" s="275"/>
      <c r="H953" s="274"/>
      <c r="I953" s="274"/>
      <c r="J953" s="275"/>
      <c r="K953" s="274"/>
    </row>
    <row r="954" spans="1:11">
      <c r="A954" s="275"/>
      <c r="B954" s="275"/>
      <c r="C954" s="275"/>
      <c r="D954" s="275"/>
      <c r="E954" s="275"/>
      <c r="F954" s="275"/>
      <c r="G954" s="275"/>
      <c r="H954" s="274"/>
      <c r="I954" s="274"/>
      <c r="J954" s="275"/>
      <c r="K954" s="274"/>
    </row>
    <row r="955" spans="1:11">
      <c r="A955" s="275"/>
      <c r="B955" s="275"/>
      <c r="C955" s="275"/>
      <c r="D955" s="275"/>
      <c r="E955" s="275"/>
      <c r="F955" s="275"/>
      <c r="G955" s="275"/>
      <c r="H955" s="274"/>
      <c r="I955" s="274"/>
      <c r="J955" s="275"/>
      <c r="K955" s="274"/>
    </row>
    <row r="956" spans="1:11">
      <c r="A956" s="275"/>
      <c r="B956" s="275"/>
      <c r="C956" s="275"/>
      <c r="D956" s="275"/>
      <c r="E956" s="275"/>
      <c r="F956" s="275"/>
      <c r="G956" s="275"/>
      <c r="H956" s="274"/>
      <c r="I956" s="274"/>
      <c r="J956" s="275"/>
      <c r="K956" s="274"/>
    </row>
    <row r="957" spans="1:11">
      <c r="A957" s="275"/>
      <c r="B957" s="275"/>
      <c r="C957" s="275"/>
      <c r="D957" s="275"/>
      <c r="E957" s="275"/>
      <c r="F957" s="275"/>
      <c r="G957" s="275"/>
      <c r="H957" s="274"/>
      <c r="I957" s="274"/>
      <c r="J957" s="275"/>
      <c r="K957" s="274"/>
    </row>
    <row r="958" spans="1:11">
      <c r="A958" s="275"/>
      <c r="B958" s="275"/>
      <c r="C958" s="275"/>
      <c r="D958" s="275"/>
      <c r="E958" s="275"/>
      <c r="F958" s="275"/>
      <c r="G958" s="275"/>
      <c r="H958" s="274"/>
      <c r="I958" s="274"/>
      <c r="J958" s="275"/>
      <c r="K958" s="274"/>
    </row>
    <row r="959" spans="1:11">
      <c r="A959" s="275"/>
      <c r="B959" s="275"/>
      <c r="C959" s="275"/>
      <c r="D959" s="275"/>
      <c r="E959" s="275"/>
      <c r="F959" s="275"/>
      <c r="G959" s="275"/>
      <c r="H959" s="274"/>
      <c r="I959" s="274"/>
      <c r="J959" s="275"/>
      <c r="K959" s="274"/>
    </row>
    <row r="960" spans="1:11">
      <c r="A960" s="275"/>
      <c r="B960" s="275"/>
      <c r="C960" s="275"/>
      <c r="D960" s="275"/>
      <c r="E960" s="275"/>
      <c r="F960" s="275"/>
      <c r="G960" s="275"/>
      <c r="H960" s="274"/>
      <c r="I960" s="274"/>
      <c r="J960" s="275"/>
      <c r="K960" s="274"/>
    </row>
    <row r="961" spans="1:11">
      <c r="A961" s="275"/>
      <c r="B961" s="275"/>
      <c r="C961" s="275"/>
      <c r="D961" s="275"/>
      <c r="E961" s="275"/>
      <c r="F961" s="275"/>
      <c r="G961" s="275"/>
      <c r="H961" s="274"/>
      <c r="I961" s="274"/>
      <c r="J961" s="275"/>
      <c r="K961" s="274"/>
    </row>
    <row r="962" spans="1:11">
      <c r="A962" s="275"/>
      <c r="B962" s="275"/>
      <c r="C962" s="275"/>
      <c r="D962" s="275"/>
      <c r="E962" s="275"/>
      <c r="F962" s="275"/>
      <c r="G962" s="275"/>
      <c r="H962" s="274"/>
      <c r="I962" s="274"/>
      <c r="J962" s="275"/>
      <c r="K962" s="274"/>
    </row>
    <row r="963" spans="1:11">
      <c r="A963" s="275"/>
      <c r="B963" s="275"/>
      <c r="C963" s="275"/>
      <c r="D963" s="275"/>
      <c r="E963" s="275"/>
      <c r="F963" s="275"/>
      <c r="G963" s="275"/>
      <c r="H963" s="274"/>
      <c r="I963" s="274"/>
      <c r="J963" s="275"/>
      <c r="K963" s="274"/>
    </row>
    <row r="964" spans="1:11">
      <c r="A964" s="275"/>
      <c r="B964" s="275"/>
      <c r="C964" s="275"/>
      <c r="D964" s="275"/>
      <c r="E964" s="275"/>
      <c r="F964" s="275"/>
      <c r="G964" s="275"/>
      <c r="H964" s="274"/>
      <c r="I964" s="274"/>
      <c r="J964" s="275"/>
      <c r="K964" s="274"/>
    </row>
    <row r="965" spans="1:11">
      <c r="A965" s="275"/>
      <c r="B965" s="275"/>
      <c r="C965" s="275"/>
      <c r="D965" s="275"/>
      <c r="E965" s="275"/>
      <c r="F965" s="275"/>
      <c r="G965" s="275"/>
      <c r="H965" s="274"/>
      <c r="I965" s="274"/>
      <c r="J965" s="275"/>
      <c r="K965" s="274"/>
    </row>
    <row r="966" spans="1:11">
      <c r="A966" s="275"/>
      <c r="B966" s="275"/>
      <c r="C966" s="275"/>
      <c r="D966" s="275"/>
      <c r="E966" s="275"/>
      <c r="F966" s="275"/>
      <c r="G966" s="275"/>
      <c r="H966" s="274"/>
      <c r="I966" s="274"/>
      <c r="J966" s="275"/>
      <c r="K966" s="274"/>
    </row>
    <row r="967" spans="1:11">
      <c r="A967" s="275"/>
      <c r="B967" s="275"/>
      <c r="C967" s="275"/>
      <c r="D967" s="275"/>
      <c r="E967" s="275"/>
      <c r="F967" s="275"/>
      <c r="G967" s="275"/>
      <c r="H967" s="274"/>
      <c r="I967" s="274"/>
      <c r="J967" s="275"/>
      <c r="K967" s="274"/>
    </row>
    <row r="968" spans="1:11">
      <c r="A968" s="275"/>
      <c r="B968" s="275"/>
      <c r="C968" s="275"/>
      <c r="D968" s="275"/>
      <c r="E968" s="275"/>
      <c r="F968" s="275"/>
      <c r="G968" s="275"/>
      <c r="H968" s="274"/>
      <c r="I968" s="274"/>
      <c r="J968" s="275"/>
      <c r="K968" s="274"/>
    </row>
    <row r="969" spans="1:11">
      <c r="A969" s="275"/>
      <c r="B969" s="275"/>
      <c r="C969" s="275"/>
      <c r="D969" s="275"/>
      <c r="E969" s="275"/>
      <c r="F969" s="275"/>
      <c r="G969" s="275"/>
      <c r="H969" s="274"/>
      <c r="I969" s="274"/>
      <c r="J969" s="275"/>
      <c r="K969" s="274"/>
    </row>
    <row r="970" spans="1:11">
      <c r="A970" s="275"/>
      <c r="B970" s="275"/>
      <c r="C970" s="275"/>
      <c r="D970" s="275"/>
      <c r="E970" s="275"/>
      <c r="F970" s="275"/>
      <c r="G970" s="275"/>
      <c r="H970" s="274"/>
      <c r="I970" s="274"/>
      <c r="J970" s="275"/>
      <c r="K970" s="274"/>
    </row>
    <row r="971" spans="1:11">
      <c r="A971" s="275"/>
      <c r="B971" s="275"/>
      <c r="C971" s="275"/>
      <c r="D971" s="275"/>
      <c r="E971" s="275"/>
      <c r="F971" s="275"/>
      <c r="G971" s="275"/>
      <c r="H971" s="274"/>
      <c r="I971" s="274"/>
      <c r="J971" s="275"/>
      <c r="K971" s="274"/>
    </row>
    <row r="972" spans="1:11">
      <c r="A972" s="275"/>
      <c r="B972" s="275"/>
      <c r="C972" s="275"/>
      <c r="D972" s="275"/>
      <c r="E972" s="275"/>
      <c r="F972" s="275"/>
      <c r="G972" s="275"/>
      <c r="H972" s="274"/>
      <c r="I972" s="274"/>
      <c r="J972" s="275"/>
      <c r="K972" s="274"/>
    </row>
    <row r="973" spans="1:11">
      <c r="A973" s="275"/>
      <c r="B973" s="275"/>
      <c r="C973" s="275"/>
      <c r="D973" s="275"/>
      <c r="E973" s="275"/>
      <c r="F973" s="275"/>
      <c r="G973" s="275"/>
      <c r="H973" s="274"/>
      <c r="I973" s="274"/>
      <c r="J973" s="275"/>
      <c r="K973" s="274"/>
    </row>
    <row r="974" spans="1:11">
      <c r="A974" s="275"/>
      <c r="B974" s="275"/>
      <c r="C974" s="275"/>
      <c r="D974" s="275"/>
      <c r="E974" s="275"/>
      <c r="F974" s="275"/>
      <c r="G974" s="275"/>
      <c r="H974" s="274"/>
      <c r="I974" s="274"/>
      <c r="J974" s="275"/>
      <c r="K974" s="274"/>
    </row>
    <row r="975" spans="1:11">
      <c r="A975" s="275"/>
      <c r="B975" s="275"/>
      <c r="C975" s="275"/>
      <c r="D975" s="275"/>
      <c r="E975" s="275"/>
      <c r="F975" s="275"/>
      <c r="G975" s="275"/>
      <c r="H975" s="274"/>
      <c r="I975" s="274"/>
      <c r="J975" s="275"/>
      <c r="K975" s="274"/>
    </row>
    <row r="976" spans="1:11">
      <c r="A976" s="275"/>
      <c r="B976" s="275"/>
      <c r="C976" s="275"/>
      <c r="D976" s="275"/>
      <c r="E976" s="275"/>
      <c r="F976" s="275"/>
      <c r="G976" s="275"/>
      <c r="H976" s="274"/>
      <c r="I976" s="274"/>
      <c r="J976" s="275"/>
      <c r="K976" s="274"/>
    </row>
    <row r="977" spans="1:11">
      <c r="A977" s="275"/>
      <c r="B977" s="275"/>
      <c r="C977" s="275"/>
      <c r="D977" s="275"/>
      <c r="E977" s="275"/>
      <c r="F977" s="275"/>
      <c r="G977" s="275"/>
      <c r="H977" s="274"/>
      <c r="I977" s="274"/>
      <c r="J977" s="275"/>
      <c r="K977" s="274"/>
    </row>
    <row r="978" spans="1:11">
      <c r="A978" s="275"/>
      <c r="B978" s="275"/>
      <c r="C978" s="275"/>
      <c r="D978" s="275"/>
      <c r="E978" s="275"/>
      <c r="F978" s="275"/>
      <c r="G978" s="275"/>
      <c r="H978" s="274"/>
      <c r="I978" s="274"/>
      <c r="J978" s="275"/>
      <c r="K978" s="274"/>
    </row>
    <row r="979" spans="1:11">
      <c r="A979" s="275"/>
      <c r="B979" s="275"/>
      <c r="C979" s="275"/>
      <c r="D979" s="275"/>
      <c r="E979" s="275"/>
      <c r="F979" s="275"/>
      <c r="G979" s="275"/>
      <c r="H979" s="274"/>
      <c r="I979" s="274"/>
      <c r="J979" s="275"/>
      <c r="K979" s="274"/>
    </row>
    <row r="980" spans="1:11">
      <c r="A980" s="275"/>
      <c r="B980" s="275"/>
      <c r="C980" s="275"/>
      <c r="D980" s="275"/>
      <c r="E980" s="275"/>
      <c r="F980" s="275"/>
      <c r="G980" s="275"/>
      <c r="H980" s="274"/>
      <c r="I980" s="274"/>
      <c r="J980" s="275"/>
      <c r="K980" s="274"/>
    </row>
    <row r="981" spans="1:11">
      <c r="A981" s="275"/>
      <c r="B981" s="275"/>
      <c r="C981" s="275"/>
      <c r="D981" s="275"/>
      <c r="E981" s="275"/>
      <c r="F981" s="275"/>
      <c r="G981" s="275"/>
      <c r="H981" s="274"/>
      <c r="I981" s="274"/>
      <c r="J981" s="275"/>
      <c r="K981" s="274"/>
    </row>
    <row r="982" spans="1:11">
      <c r="A982" s="275"/>
      <c r="B982" s="275"/>
      <c r="C982" s="275"/>
      <c r="D982" s="275"/>
      <c r="E982" s="275"/>
      <c r="F982" s="275"/>
      <c r="G982" s="275"/>
      <c r="H982" s="274"/>
      <c r="I982" s="274"/>
      <c r="J982" s="275"/>
      <c r="K982" s="274"/>
    </row>
    <row r="983" spans="1:11">
      <c r="A983" s="275"/>
      <c r="B983" s="275"/>
      <c r="C983" s="275"/>
      <c r="D983" s="275"/>
      <c r="E983" s="275"/>
      <c r="F983" s="275"/>
      <c r="G983" s="275"/>
      <c r="H983" s="274"/>
      <c r="I983" s="274"/>
      <c r="J983" s="275"/>
      <c r="K983" s="274"/>
    </row>
    <row r="984" spans="1:11">
      <c r="A984" s="275"/>
      <c r="B984" s="275"/>
      <c r="C984" s="275"/>
      <c r="D984" s="275"/>
      <c r="E984" s="275"/>
      <c r="F984" s="275"/>
      <c r="G984" s="275"/>
      <c r="H984" s="274"/>
      <c r="I984" s="274"/>
      <c r="J984" s="275"/>
      <c r="K984" s="274"/>
    </row>
    <row r="985" spans="1:11">
      <c r="A985" s="275"/>
      <c r="B985" s="275"/>
      <c r="C985" s="275"/>
      <c r="D985" s="275"/>
      <c r="E985" s="275"/>
      <c r="F985" s="275"/>
      <c r="G985" s="275"/>
      <c r="H985" s="274"/>
      <c r="I985" s="274"/>
      <c r="J985" s="275"/>
      <c r="K985" s="274"/>
    </row>
    <row r="986" spans="1:11">
      <c r="A986" s="275"/>
      <c r="B986" s="275"/>
      <c r="C986" s="275"/>
      <c r="D986" s="275"/>
      <c r="E986" s="275"/>
      <c r="F986" s="275"/>
      <c r="G986" s="275"/>
      <c r="H986" s="274"/>
      <c r="I986" s="274"/>
      <c r="J986" s="275"/>
      <c r="K986" s="274"/>
    </row>
    <row r="987" spans="1:11">
      <c r="A987" s="275"/>
      <c r="B987" s="275"/>
      <c r="C987" s="275"/>
      <c r="D987" s="275"/>
      <c r="E987" s="275"/>
      <c r="F987" s="275"/>
      <c r="G987" s="275"/>
      <c r="H987" s="274"/>
      <c r="I987" s="274"/>
      <c r="J987" s="275"/>
      <c r="K987" s="274"/>
    </row>
    <row r="988" spans="1:11">
      <c r="A988" s="275"/>
      <c r="B988" s="275"/>
      <c r="C988" s="275"/>
      <c r="D988" s="275"/>
      <c r="E988" s="275"/>
      <c r="F988" s="275"/>
      <c r="G988" s="275"/>
      <c r="H988" s="274"/>
      <c r="I988" s="274"/>
      <c r="J988" s="275"/>
      <c r="K988" s="274"/>
    </row>
    <row r="989" spans="1:11">
      <c r="A989" s="275"/>
      <c r="B989" s="275"/>
      <c r="C989" s="275"/>
      <c r="D989" s="275"/>
      <c r="E989" s="275"/>
      <c r="F989" s="275"/>
      <c r="G989" s="275"/>
      <c r="H989" s="274"/>
      <c r="I989" s="274"/>
      <c r="J989" s="275"/>
      <c r="K989" s="274"/>
    </row>
    <row r="990" spans="1:11">
      <c r="A990" s="275"/>
      <c r="B990" s="275"/>
      <c r="C990" s="275"/>
      <c r="D990" s="275"/>
      <c r="E990" s="275"/>
      <c r="F990" s="275"/>
      <c r="G990" s="275"/>
      <c r="H990" s="274"/>
      <c r="I990" s="274"/>
      <c r="J990" s="275"/>
      <c r="K990" s="274"/>
    </row>
    <row r="991" spans="1:11">
      <c r="A991" s="275"/>
      <c r="B991" s="275"/>
      <c r="C991" s="275"/>
      <c r="D991" s="275"/>
      <c r="E991" s="275"/>
      <c r="F991" s="275"/>
      <c r="G991" s="275"/>
      <c r="H991" s="274"/>
      <c r="I991" s="274"/>
      <c r="J991" s="275"/>
      <c r="K991" s="274"/>
    </row>
    <row r="992" spans="1:11">
      <c r="A992" s="275"/>
      <c r="B992" s="275"/>
      <c r="C992" s="275"/>
      <c r="D992" s="275"/>
      <c r="E992" s="275"/>
      <c r="F992" s="275"/>
      <c r="G992" s="275"/>
      <c r="H992" s="274"/>
      <c r="I992" s="274"/>
      <c r="J992" s="275"/>
      <c r="K992" s="274"/>
    </row>
    <row r="993" spans="1:11">
      <c r="A993" s="275"/>
      <c r="B993" s="275"/>
      <c r="C993" s="275"/>
      <c r="D993" s="275"/>
      <c r="E993" s="275"/>
      <c r="F993" s="275"/>
      <c r="G993" s="275"/>
      <c r="H993" s="274"/>
      <c r="I993" s="274"/>
      <c r="J993" s="275"/>
      <c r="K993" s="274"/>
    </row>
    <row r="994" spans="1:11">
      <c r="A994" s="275"/>
      <c r="B994" s="275"/>
      <c r="C994" s="275"/>
      <c r="D994" s="275"/>
      <c r="E994" s="275"/>
      <c r="F994" s="275"/>
      <c r="G994" s="275"/>
      <c r="H994" s="274"/>
      <c r="I994" s="274"/>
      <c r="J994" s="275"/>
      <c r="K994" s="274"/>
    </row>
    <row r="995" spans="1:11">
      <c r="A995" s="275"/>
      <c r="B995" s="275"/>
      <c r="C995" s="275"/>
      <c r="D995" s="275"/>
      <c r="E995" s="275"/>
      <c r="F995" s="275"/>
      <c r="G995" s="275"/>
      <c r="H995" s="274"/>
      <c r="I995" s="274"/>
      <c r="J995" s="275"/>
      <c r="K995" s="274"/>
    </row>
    <row r="996" spans="1:11">
      <c r="A996" s="275"/>
      <c r="B996" s="275"/>
      <c r="C996" s="275"/>
      <c r="D996" s="275"/>
      <c r="E996" s="275"/>
      <c r="F996" s="275"/>
      <c r="G996" s="275"/>
      <c r="H996" s="274"/>
      <c r="I996" s="274"/>
      <c r="J996" s="275"/>
      <c r="K996" s="274"/>
    </row>
    <row r="997" spans="1:11">
      <c r="A997" s="275"/>
      <c r="B997" s="275"/>
      <c r="C997" s="275"/>
      <c r="D997" s="275"/>
      <c r="E997" s="275"/>
      <c r="F997" s="275"/>
      <c r="G997" s="275"/>
      <c r="H997" s="274"/>
      <c r="I997" s="274"/>
      <c r="J997" s="275"/>
      <c r="K997" s="274"/>
    </row>
    <row r="998" spans="1:11">
      <c r="A998" s="275"/>
      <c r="B998" s="275"/>
      <c r="C998" s="275"/>
      <c r="D998" s="275"/>
      <c r="E998" s="275"/>
      <c r="F998" s="275"/>
      <c r="G998" s="275"/>
      <c r="H998" s="274"/>
      <c r="I998" s="274"/>
      <c r="J998" s="275"/>
      <c r="K998" s="274"/>
    </row>
    <row r="999" spans="1:11">
      <c r="A999" s="275"/>
      <c r="B999" s="275"/>
      <c r="C999" s="275"/>
      <c r="D999" s="275"/>
      <c r="E999" s="275"/>
      <c r="F999" s="275"/>
      <c r="G999" s="275"/>
      <c r="H999" s="274"/>
      <c r="I999" s="274"/>
      <c r="J999" s="275"/>
      <c r="K999" s="274"/>
    </row>
    <row r="1000" spans="1:11">
      <c r="A1000" s="275"/>
      <c r="B1000" s="275"/>
      <c r="C1000" s="275"/>
      <c r="D1000" s="275"/>
      <c r="E1000" s="275"/>
      <c r="F1000" s="275"/>
      <c r="G1000" s="275"/>
      <c r="H1000" s="274"/>
      <c r="I1000" s="274"/>
      <c r="J1000" s="275"/>
      <c r="K1000" s="274"/>
    </row>
    <row r="1001" spans="1:11">
      <c r="A1001" s="275"/>
      <c r="B1001" s="275"/>
      <c r="C1001" s="275"/>
      <c r="D1001" s="275"/>
      <c r="E1001" s="275"/>
      <c r="F1001" s="275"/>
      <c r="G1001" s="275"/>
      <c r="H1001" s="274"/>
      <c r="I1001" s="274"/>
      <c r="J1001" s="275"/>
      <c r="K1001" s="274"/>
    </row>
    <row r="1002" spans="1:11">
      <c r="A1002" s="275"/>
      <c r="B1002" s="275"/>
      <c r="C1002" s="275"/>
      <c r="D1002" s="275"/>
      <c r="E1002" s="275"/>
      <c r="F1002" s="275"/>
      <c r="G1002" s="275"/>
      <c r="H1002" s="274"/>
      <c r="I1002" s="274"/>
      <c r="J1002" s="275"/>
      <c r="K1002" s="274"/>
    </row>
    <row r="1003" spans="1:11">
      <c r="A1003" s="275"/>
      <c r="B1003" s="275"/>
      <c r="C1003" s="275"/>
      <c r="D1003" s="275"/>
      <c r="E1003" s="275"/>
      <c r="F1003" s="275"/>
      <c r="G1003" s="275"/>
      <c r="H1003" s="274"/>
      <c r="I1003" s="274"/>
      <c r="J1003" s="275"/>
      <c r="K1003" s="274"/>
    </row>
    <row r="1004" spans="1:11">
      <c r="A1004" s="275"/>
      <c r="B1004" s="275"/>
      <c r="C1004" s="275"/>
      <c r="D1004" s="275"/>
      <c r="E1004" s="275"/>
      <c r="F1004" s="275"/>
      <c r="G1004" s="275"/>
      <c r="H1004" s="274"/>
      <c r="I1004" s="274"/>
      <c r="J1004" s="275"/>
      <c r="K1004" s="274"/>
    </row>
    <row r="1005" spans="1:11">
      <c r="A1005" s="275"/>
      <c r="B1005" s="275"/>
      <c r="C1005" s="275"/>
      <c r="D1005" s="275"/>
      <c r="E1005" s="275"/>
      <c r="F1005" s="275"/>
      <c r="G1005" s="275"/>
      <c r="H1005" s="274"/>
      <c r="I1005" s="274"/>
      <c r="J1005" s="275"/>
      <c r="K1005" s="274"/>
    </row>
    <row r="1006" spans="1:11">
      <c r="A1006" s="275"/>
      <c r="B1006" s="275"/>
      <c r="C1006" s="275"/>
      <c r="D1006" s="275"/>
      <c r="E1006" s="275"/>
      <c r="F1006" s="275"/>
      <c r="G1006" s="275"/>
      <c r="H1006" s="274"/>
      <c r="I1006" s="274"/>
      <c r="J1006" s="275"/>
      <c r="K1006" s="274"/>
    </row>
    <row r="1007" spans="1:11">
      <c r="A1007" s="275"/>
      <c r="B1007" s="275"/>
      <c r="C1007" s="275"/>
      <c r="D1007" s="275"/>
      <c r="E1007" s="275"/>
      <c r="F1007" s="275"/>
      <c r="G1007" s="275"/>
      <c r="H1007" s="274"/>
      <c r="I1007" s="274"/>
      <c r="J1007" s="275"/>
      <c r="K1007" s="274"/>
    </row>
    <row r="1008" spans="1:11">
      <c r="A1008" s="275"/>
      <c r="B1008" s="275"/>
      <c r="C1008" s="275"/>
      <c r="D1008" s="275"/>
      <c r="E1008" s="275"/>
      <c r="F1008" s="275"/>
      <c r="G1008" s="275"/>
      <c r="H1008" s="274"/>
      <c r="I1008" s="274"/>
      <c r="J1008" s="275"/>
      <c r="K1008" s="274"/>
    </row>
    <row r="1009" spans="1:11">
      <c r="A1009" s="275"/>
      <c r="B1009" s="275"/>
      <c r="C1009" s="275"/>
      <c r="D1009" s="275"/>
      <c r="E1009" s="275"/>
      <c r="F1009" s="275"/>
      <c r="G1009" s="275"/>
      <c r="H1009" s="274"/>
      <c r="I1009" s="274"/>
      <c r="J1009" s="275"/>
      <c r="K1009" s="274"/>
    </row>
    <row r="1010" spans="1:11">
      <c r="A1010" s="275"/>
      <c r="B1010" s="275"/>
      <c r="C1010" s="275"/>
      <c r="D1010" s="275"/>
      <c r="E1010" s="275"/>
      <c r="F1010" s="275"/>
      <c r="G1010" s="275"/>
      <c r="H1010" s="274"/>
      <c r="I1010" s="274"/>
      <c r="J1010" s="275"/>
      <c r="K1010" s="274"/>
    </row>
    <row r="1011" spans="1:11">
      <c r="A1011" s="275"/>
      <c r="B1011" s="275"/>
      <c r="C1011" s="275"/>
      <c r="D1011" s="275"/>
      <c r="E1011" s="275"/>
      <c r="F1011" s="275"/>
      <c r="G1011" s="275"/>
      <c r="H1011" s="274"/>
      <c r="I1011" s="274"/>
      <c r="J1011" s="275"/>
      <c r="K1011" s="274"/>
    </row>
    <row r="1012" spans="1:11">
      <c r="A1012" s="275"/>
      <c r="B1012" s="275"/>
      <c r="C1012" s="275"/>
      <c r="D1012" s="275"/>
      <c r="E1012" s="275"/>
      <c r="F1012" s="275"/>
      <c r="G1012" s="275"/>
      <c r="H1012" s="274"/>
      <c r="I1012" s="274"/>
      <c r="J1012" s="275"/>
      <c r="K1012" s="274"/>
    </row>
    <row r="1013" spans="1:11">
      <c r="A1013" s="275"/>
      <c r="B1013" s="275"/>
      <c r="C1013" s="275"/>
      <c r="D1013" s="275"/>
      <c r="E1013" s="275"/>
      <c r="F1013" s="275"/>
      <c r="G1013" s="275"/>
      <c r="H1013" s="274"/>
      <c r="I1013" s="274"/>
      <c r="J1013" s="275"/>
      <c r="K1013" s="274"/>
    </row>
    <row r="1014" spans="1:11">
      <c r="A1014" s="275"/>
      <c r="B1014" s="275"/>
      <c r="C1014" s="275"/>
      <c r="D1014" s="275"/>
      <c r="E1014" s="275"/>
      <c r="F1014" s="275"/>
      <c r="G1014" s="275"/>
      <c r="H1014" s="274"/>
      <c r="I1014" s="274"/>
      <c r="J1014" s="275"/>
      <c r="K1014" s="274"/>
    </row>
    <row r="1015" spans="1:11">
      <c r="A1015" s="275"/>
      <c r="B1015" s="275"/>
      <c r="C1015" s="275"/>
      <c r="D1015" s="275"/>
      <c r="E1015" s="275"/>
      <c r="F1015" s="275"/>
      <c r="G1015" s="275"/>
      <c r="H1015" s="274"/>
      <c r="I1015" s="274"/>
      <c r="J1015" s="275"/>
      <c r="K1015" s="274"/>
    </row>
    <row r="1016" spans="1:11">
      <c r="A1016" s="275"/>
      <c r="B1016" s="275"/>
      <c r="C1016" s="275"/>
      <c r="D1016" s="275"/>
      <c r="E1016" s="275"/>
      <c r="F1016" s="275"/>
      <c r="G1016" s="275"/>
      <c r="H1016" s="274"/>
      <c r="I1016" s="274"/>
      <c r="J1016" s="275"/>
      <c r="K1016" s="274"/>
    </row>
    <row r="1017" spans="1:11">
      <c r="A1017" s="275"/>
      <c r="B1017" s="275"/>
      <c r="C1017" s="275"/>
      <c r="D1017" s="275"/>
      <c r="E1017" s="275"/>
      <c r="F1017" s="275"/>
      <c r="G1017" s="275"/>
      <c r="H1017" s="274"/>
      <c r="I1017" s="274"/>
      <c r="J1017" s="275"/>
      <c r="K1017" s="274"/>
    </row>
    <row r="1018" spans="1:11">
      <c r="A1018" s="275"/>
      <c r="B1018" s="275"/>
      <c r="C1018" s="275"/>
      <c r="D1018" s="275"/>
      <c r="E1018" s="275"/>
      <c r="F1018" s="275"/>
      <c r="G1018" s="275"/>
      <c r="H1018" s="274"/>
      <c r="I1018" s="274"/>
      <c r="J1018" s="275"/>
      <c r="K1018" s="274"/>
    </row>
    <row r="1019" spans="1:11">
      <c r="A1019" s="275"/>
      <c r="B1019" s="275"/>
      <c r="C1019" s="275"/>
      <c r="D1019" s="275"/>
      <c r="E1019" s="275"/>
      <c r="F1019" s="275"/>
      <c r="G1019" s="275"/>
      <c r="H1019" s="274"/>
      <c r="I1019" s="274"/>
      <c r="J1019" s="275"/>
      <c r="K1019" s="274"/>
    </row>
    <row r="1020" spans="1:11">
      <c r="A1020" s="275"/>
      <c r="B1020" s="275"/>
      <c r="C1020" s="275"/>
      <c r="D1020" s="275"/>
      <c r="E1020" s="275"/>
      <c r="F1020" s="275"/>
      <c r="G1020" s="275"/>
      <c r="H1020" s="274"/>
      <c r="I1020" s="274"/>
      <c r="J1020" s="275"/>
      <c r="K1020" s="274"/>
    </row>
    <row r="1021" spans="1:11">
      <c r="A1021" s="275"/>
      <c r="B1021" s="275"/>
      <c r="C1021" s="275"/>
      <c r="D1021" s="275"/>
      <c r="E1021" s="275"/>
      <c r="F1021" s="275"/>
      <c r="G1021" s="275"/>
      <c r="H1021" s="274"/>
      <c r="I1021" s="274"/>
      <c r="J1021" s="275"/>
      <c r="K1021" s="274"/>
    </row>
    <row r="1022" spans="1:11">
      <c r="A1022" s="275"/>
      <c r="B1022" s="275"/>
      <c r="C1022" s="275"/>
      <c r="D1022" s="275"/>
      <c r="E1022" s="275"/>
      <c r="F1022" s="275"/>
      <c r="G1022" s="275"/>
      <c r="H1022" s="274"/>
      <c r="I1022" s="274"/>
      <c r="J1022" s="275"/>
      <c r="K1022" s="274"/>
    </row>
    <row r="1023" spans="1:11">
      <c r="A1023" s="275"/>
      <c r="B1023" s="275"/>
      <c r="C1023" s="275"/>
      <c r="D1023" s="275"/>
      <c r="E1023" s="275"/>
      <c r="F1023" s="275"/>
      <c r="G1023" s="275"/>
      <c r="H1023" s="274"/>
      <c r="I1023" s="274"/>
      <c r="J1023" s="275"/>
      <c r="K1023" s="274"/>
    </row>
    <row r="1024" spans="1:11">
      <c r="A1024" s="275"/>
      <c r="B1024" s="275"/>
      <c r="C1024" s="275"/>
      <c r="D1024" s="275"/>
      <c r="E1024" s="275"/>
      <c r="F1024" s="275"/>
      <c r="G1024" s="275"/>
      <c r="H1024" s="274"/>
      <c r="I1024" s="274"/>
      <c r="J1024" s="275"/>
      <c r="K1024" s="274"/>
    </row>
    <row r="1025" spans="1:11">
      <c r="A1025" s="275"/>
      <c r="B1025" s="275"/>
      <c r="C1025" s="275"/>
      <c r="D1025" s="275"/>
      <c r="E1025" s="275"/>
      <c r="F1025" s="275"/>
      <c r="G1025" s="275"/>
      <c r="H1025" s="274"/>
      <c r="I1025" s="274"/>
      <c r="J1025" s="275"/>
      <c r="K1025" s="274"/>
    </row>
    <row r="1026" spans="1:11">
      <c r="A1026" s="275"/>
      <c r="B1026" s="275"/>
      <c r="C1026" s="275"/>
      <c r="D1026" s="275"/>
      <c r="E1026" s="275"/>
      <c r="F1026" s="275"/>
      <c r="G1026" s="275"/>
      <c r="H1026" s="274"/>
      <c r="I1026" s="274"/>
      <c r="J1026" s="275"/>
      <c r="K1026" s="274"/>
    </row>
    <row r="1027" spans="1:11">
      <c r="A1027" s="275"/>
      <c r="B1027" s="275"/>
      <c r="C1027" s="275"/>
      <c r="D1027" s="275"/>
      <c r="E1027" s="275"/>
      <c r="F1027" s="275"/>
      <c r="G1027" s="275"/>
      <c r="H1027" s="274"/>
      <c r="I1027" s="274"/>
      <c r="J1027" s="275"/>
      <c r="K1027" s="274"/>
    </row>
    <row r="1028" spans="1:11">
      <c r="A1028" s="275"/>
      <c r="B1028" s="275"/>
      <c r="C1028" s="275"/>
      <c r="D1028" s="275"/>
      <c r="E1028" s="275"/>
      <c r="F1028" s="275"/>
      <c r="G1028" s="275"/>
      <c r="H1028" s="274"/>
      <c r="I1028" s="274"/>
      <c r="J1028" s="275"/>
      <c r="K1028" s="274"/>
    </row>
    <row r="1029" spans="1:11">
      <c r="A1029" s="275"/>
      <c r="B1029" s="275"/>
      <c r="C1029" s="275"/>
      <c r="D1029" s="275"/>
      <c r="E1029" s="275"/>
      <c r="F1029" s="275"/>
      <c r="G1029" s="275"/>
      <c r="H1029" s="274"/>
      <c r="I1029" s="274"/>
      <c r="J1029" s="275"/>
      <c r="K1029" s="274"/>
    </row>
    <row r="1030" spans="1:11">
      <c r="A1030" s="275"/>
      <c r="B1030" s="275"/>
      <c r="C1030" s="275"/>
      <c r="D1030" s="275"/>
      <c r="E1030" s="275"/>
      <c r="F1030" s="275"/>
      <c r="G1030" s="275"/>
      <c r="H1030" s="274"/>
      <c r="I1030" s="274"/>
      <c r="J1030" s="275"/>
      <c r="K1030" s="274"/>
    </row>
    <row r="1031" spans="1:11">
      <c r="A1031" s="275"/>
      <c r="B1031" s="275"/>
      <c r="C1031" s="275"/>
      <c r="D1031" s="275"/>
      <c r="E1031" s="275"/>
      <c r="F1031" s="275"/>
      <c r="G1031" s="275"/>
      <c r="H1031" s="274"/>
      <c r="I1031" s="274"/>
      <c r="J1031" s="275"/>
      <c r="K1031" s="274"/>
    </row>
    <row r="1032" spans="1:11">
      <c r="A1032" s="275"/>
      <c r="B1032" s="275"/>
      <c r="C1032" s="275"/>
      <c r="D1032" s="275"/>
      <c r="E1032" s="275"/>
      <c r="F1032" s="275"/>
      <c r="G1032" s="275"/>
      <c r="H1032" s="274"/>
      <c r="I1032" s="274"/>
      <c r="J1032" s="275"/>
      <c r="K1032" s="274"/>
    </row>
    <row r="1033" spans="1:11">
      <c r="A1033" s="275"/>
      <c r="B1033" s="275"/>
      <c r="C1033" s="275"/>
      <c r="D1033" s="275"/>
      <c r="E1033" s="275"/>
      <c r="F1033" s="275"/>
      <c r="G1033" s="275"/>
      <c r="H1033" s="274"/>
      <c r="I1033" s="274"/>
      <c r="J1033" s="275"/>
      <c r="K1033" s="274"/>
    </row>
    <row r="1034" spans="1:11">
      <c r="A1034" s="275"/>
      <c r="B1034" s="275"/>
      <c r="C1034" s="275"/>
      <c r="D1034" s="275"/>
      <c r="E1034" s="275"/>
      <c r="F1034" s="275"/>
      <c r="G1034" s="275"/>
      <c r="H1034" s="274"/>
      <c r="I1034" s="274"/>
      <c r="J1034" s="275"/>
      <c r="K1034" s="274"/>
    </row>
    <row r="1035" spans="1:11">
      <c r="A1035" s="275"/>
      <c r="B1035" s="275"/>
      <c r="C1035" s="275"/>
      <c r="D1035" s="275"/>
      <c r="E1035" s="275"/>
      <c r="F1035" s="275"/>
      <c r="G1035" s="275"/>
      <c r="H1035" s="274"/>
      <c r="I1035" s="274"/>
      <c r="J1035" s="275"/>
      <c r="K1035" s="274"/>
    </row>
    <row r="1036" spans="1:11">
      <c r="A1036" s="275"/>
      <c r="B1036" s="275"/>
      <c r="C1036" s="275"/>
      <c r="D1036" s="275"/>
      <c r="E1036" s="275"/>
      <c r="F1036" s="275"/>
      <c r="G1036" s="275"/>
      <c r="H1036" s="274"/>
      <c r="I1036" s="274"/>
      <c r="J1036" s="275"/>
      <c r="K1036" s="274"/>
    </row>
    <row r="1037" spans="1:11">
      <c r="A1037" s="275"/>
      <c r="B1037" s="275"/>
      <c r="C1037" s="275"/>
      <c r="D1037" s="275"/>
      <c r="E1037" s="275"/>
      <c r="F1037" s="275"/>
      <c r="G1037" s="275"/>
      <c r="H1037" s="274"/>
      <c r="I1037" s="274"/>
      <c r="J1037" s="275"/>
      <c r="K1037" s="274"/>
    </row>
    <row r="1038" spans="1:11">
      <c r="A1038" s="275"/>
      <c r="B1038" s="275"/>
      <c r="C1038" s="275"/>
      <c r="D1038" s="275"/>
      <c r="E1038" s="275"/>
      <c r="F1038" s="275"/>
      <c r="G1038" s="275"/>
      <c r="H1038" s="274"/>
      <c r="I1038" s="274"/>
      <c r="J1038" s="275"/>
      <c r="K1038" s="274"/>
    </row>
    <row r="1039" spans="1:11">
      <c r="A1039" s="275"/>
      <c r="B1039" s="275"/>
      <c r="C1039" s="275"/>
      <c r="D1039" s="275"/>
      <c r="E1039" s="275"/>
      <c r="F1039" s="275"/>
      <c r="G1039" s="275"/>
      <c r="H1039" s="274"/>
      <c r="I1039" s="274"/>
      <c r="J1039" s="275"/>
      <c r="K1039" s="274"/>
    </row>
    <row r="1040" spans="1:11">
      <c r="A1040" s="275"/>
      <c r="B1040" s="275"/>
      <c r="C1040" s="275"/>
      <c r="D1040" s="275"/>
      <c r="E1040" s="275"/>
      <c r="F1040" s="275"/>
      <c r="G1040" s="275"/>
      <c r="H1040" s="274"/>
      <c r="I1040" s="274"/>
      <c r="J1040" s="275"/>
      <c r="K1040" s="274"/>
    </row>
    <row r="1041" spans="1:11">
      <c r="A1041" s="275"/>
      <c r="B1041" s="275"/>
      <c r="C1041" s="275"/>
      <c r="D1041" s="275"/>
      <c r="E1041" s="275"/>
      <c r="F1041" s="275"/>
      <c r="G1041" s="275"/>
      <c r="H1041" s="274"/>
      <c r="I1041" s="274"/>
      <c r="J1041" s="275"/>
      <c r="K1041" s="274"/>
    </row>
    <row r="1042" spans="1:11">
      <c r="A1042" s="275"/>
      <c r="B1042" s="275"/>
      <c r="C1042" s="275"/>
      <c r="D1042" s="275"/>
      <c r="E1042" s="275"/>
      <c r="F1042" s="275"/>
      <c r="G1042" s="275"/>
      <c r="H1042" s="274"/>
      <c r="I1042" s="274"/>
      <c r="J1042" s="275"/>
      <c r="K1042" s="274"/>
    </row>
    <row r="1043" spans="1:11">
      <c r="A1043" s="275"/>
      <c r="B1043" s="275"/>
      <c r="C1043" s="275"/>
      <c r="D1043" s="275"/>
      <c r="E1043" s="275"/>
      <c r="F1043" s="275"/>
      <c r="G1043" s="275"/>
      <c r="H1043" s="274"/>
      <c r="I1043" s="274"/>
      <c r="J1043" s="275"/>
      <c r="K1043" s="274"/>
    </row>
    <row r="1044" spans="1:11">
      <c r="A1044" s="275"/>
      <c r="B1044" s="275"/>
      <c r="C1044" s="275"/>
      <c r="D1044" s="275"/>
      <c r="E1044" s="275"/>
      <c r="F1044" s="275"/>
      <c r="G1044" s="275"/>
      <c r="H1044" s="274"/>
      <c r="I1044" s="274"/>
      <c r="J1044" s="275"/>
      <c r="K1044" s="274"/>
    </row>
    <row r="1045" spans="1:11">
      <c r="A1045" s="275"/>
      <c r="B1045" s="275"/>
      <c r="C1045" s="275"/>
      <c r="D1045" s="275"/>
      <c r="E1045" s="275"/>
      <c r="F1045" s="275"/>
      <c r="G1045" s="275"/>
      <c r="H1045" s="274"/>
      <c r="I1045" s="274"/>
      <c r="J1045" s="275"/>
      <c r="K1045" s="274"/>
    </row>
    <row r="1046" spans="1:11">
      <c r="A1046" s="275"/>
      <c r="B1046" s="275"/>
      <c r="C1046" s="275"/>
      <c r="D1046" s="275"/>
      <c r="E1046" s="275"/>
      <c r="F1046" s="275"/>
      <c r="G1046" s="275"/>
      <c r="H1046" s="274"/>
      <c r="I1046" s="274"/>
      <c r="J1046" s="275"/>
      <c r="K1046" s="274"/>
    </row>
    <row r="1047" spans="1:11">
      <c r="A1047" s="275"/>
      <c r="B1047" s="275"/>
      <c r="C1047" s="275"/>
      <c r="D1047" s="275"/>
      <c r="E1047" s="275"/>
      <c r="F1047" s="275"/>
      <c r="G1047" s="275"/>
      <c r="H1047" s="274"/>
      <c r="I1047" s="274"/>
      <c r="J1047" s="275"/>
      <c r="K1047" s="274"/>
    </row>
    <row r="1048" spans="1:11">
      <c r="A1048" s="275"/>
      <c r="B1048" s="275"/>
      <c r="C1048" s="275"/>
      <c r="D1048" s="275"/>
      <c r="E1048" s="275"/>
      <c r="F1048" s="275"/>
      <c r="G1048" s="275"/>
      <c r="H1048" s="274"/>
      <c r="I1048" s="274"/>
      <c r="J1048" s="275"/>
      <c r="K1048" s="274"/>
    </row>
    <row r="1049" spans="1:11">
      <c r="A1049" s="275"/>
      <c r="B1049" s="275"/>
      <c r="C1049" s="275"/>
      <c r="D1049" s="275"/>
      <c r="E1049" s="275"/>
      <c r="F1049" s="275"/>
      <c r="G1049" s="275"/>
      <c r="H1049" s="274"/>
      <c r="I1049" s="274"/>
      <c r="J1049" s="275"/>
      <c r="K1049" s="274"/>
    </row>
    <row r="1050" spans="1:11">
      <c r="A1050" s="275"/>
      <c r="B1050" s="275"/>
      <c r="C1050" s="275"/>
      <c r="D1050" s="275"/>
      <c r="E1050" s="275"/>
      <c r="F1050" s="275"/>
      <c r="G1050" s="275"/>
      <c r="H1050" s="274"/>
      <c r="I1050" s="274"/>
      <c r="J1050" s="275"/>
      <c r="K1050" s="274"/>
    </row>
    <row r="1051" spans="1:11">
      <c r="A1051" s="275"/>
      <c r="B1051" s="275"/>
      <c r="C1051" s="275"/>
      <c r="D1051" s="275"/>
      <c r="E1051" s="275"/>
      <c r="F1051" s="275"/>
      <c r="G1051" s="275"/>
      <c r="H1051" s="274"/>
      <c r="I1051" s="274"/>
      <c r="J1051" s="275"/>
      <c r="K1051" s="274"/>
    </row>
    <row r="1052" spans="1:11">
      <c r="A1052" s="275"/>
      <c r="B1052" s="275"/>
      <c r="C1052" s="275"/>
      <c r="D1052" s="275"/>
      <c r="E1052" s="275"/>
      <c r="F1052" s="275"/>
      <c r="G1052" s="275"/>
      <c r="H1052" s="274"/>
      <c r="I1052" s="274"/>
      <c r="J1052" s="275"/>
      <c r="K1052" s="274"/>
    </row>
    <row r="1053" spans="1:11">
      <c r="A1053" s="275"/>
      <c r="B1053" s="275"/>
      <c r="C1053" s="275"/>
      <c r="D1053" s="275"/>
      <c r="E1053" s="275"/>
      <c r="F1053" s="275"/>
      <c r="G1053" s="275"/>
      <c r="H1053" s="274"/>
      <c r="I1053" s="274"/>
      <c r="J1053" s="275"/>
      <c r="K1053" s="274"/>
    </row>
    <row r="1054" spans="1:11">
      <c r="A1054" s="275"/>
      <c r="B1054" s="275"/>
      <c r="C1054" s="275"/>
      <c r="D1054" s="275"/>
      <c r="E1054" s="275"/>
      <c r="F1054" s="275"/>
      <c r="G1054" s="275"/>
      <c r="H1054" s="274"/>
      <c r="I1054" s="274"/>
      <c r="J1054" s="275"/>
      <c r="K1054" s="274"/>
    </row>
    <row r="1055" spans="1:11">
      <c r="A1055" s="275"/>
      <c r="B1055" s="275"/>
      <c r="C1055" s="275"/>
      <c r="D1055" s="275"/>
      <c r="E1055" s="275"/>
      <c r="F1055" s="275"/>
      <c r="G1055" s="275"/>
      <c r="H1055" s="274"/>
      <c r="I1055" s="274"/>
      <c r="J1055" s="275"/>
      <c r="K1055" s="274"/>
    </row>
    <row r="1056" spans="1:11">
      <c r="A1056" s="275"/>
      <c r="B1056" s="275"/>
      <c r="C1056" s="275"/>
      <c r="D1056" s="275"/>
      <c r="E1056" s="275"/>
      <c r="F1056" s="275"/>
      <c r="G1056" s="275"/>
      <c r="H1056" s="274"/>
      <c r="I1056" s="274"/>
      <c r="J1056" s="275"/>
      <c r="K1056" s="274"/>
    </row>
    <row r="1057" spans="1:11">
      <c r="A1057" s="275"/>
      <c r="B1057" s="275"/>
      <c r="C1057" s="275"/>
      <c r="D1057" s="275"/>
      <c r="E1057" s="275"/>
      <c r="F1057" s="275"/>
      <c r="G1057" s="275"/>
      <c r="H1057" s="274"/>
      <c r="I1057" s="274"/>
      <c r="J1057" s="275"/>
      <c r="K1057" s="274"/>
    </row>
    <row r="1058" spans="1:11">
      <c r="A1058" s="275"/>
      <c r="B1058" s="275"/>
      <c r="C1058" s="275"/>
      <c r="D1058" s="275"/>
      <c r="E1058" s="275"/>
      <c r="F1058" s="275"/>
      <c r="G1058" s="275"/>
      <c r="H1058" s="274"/>
      <c r="I1058" s="274"/>
      <c r="J1058" s="275"/>
      <c r="K1058" s="274"/>
    </row>
    <row r="1059" spans="1:11">
      <c r="A1059" s="275"/>
      <c r="B1059" s="275"/>
      <c r="C1059" s="275"/>
      <c r="D1059" s="275"/>
      <c r="E1059" s="275"/>
      <c r="F1059" s="275"/>
      <c r="G1059" s="275"/>
      <c r="H1059" s="274"/>
      <c r="I1059" s="274"/>
      <c r="J1059" s="275"/>
      <c r="K1059" s="274"/>
    </row>
    <row r="1060" spans="1:11">
      <c r="A1060" s="275"/>
      <c r="B1060" s="275"/>
      <c r="C1060" s="275"/>
      <c r="D1060" s="275"/>
      <c r="E1060" s="275"/>
      <c r="F1060" s="275"/>
      <c r="G1060" s="275"/>
      <c r="H1060" s="274"/>
      <c r="I1060" s="274"/>
      <c r="J1060" s="275"/>
      <c r="K1060" s="274"/>
    </row>
    <row r="1061" spans="1:11">
      <c r="A1061" s="275"/>
      <c r="B1061" s="275"/>
      <c r="C1061" s="275"/>
      <c r="D1061" s="275"/>
      <c r="E1061" s="275"/>
      <c r="F1061" s="275"/>
      <c r="G1061" s="275"/>
      <c r="H1061" s="274"/>
      <c r="I1061" s="274"/>
      <c r="J1061" s="275"/>
      <c r="K1061" s="274"/>
    </row>
    <row r="1062" spans="1:11">
      <c r="A1062" s="275"/>
      <c r="B1062" s="275"/>
      <c r="C1062" s="275"/>
      <c r="D1062" s="275"/>
      <c r="E1062" s="275"/>
      <c r="F1062" s="275"/>
      <c r="G1062" s="275"/>
      <c r="H1062" s="274"/>
      <c r="I1062" s="274"/>
      <c r="J1062" s="275"/>
      <c r="K1062" s="274"/>
    </row>
    <row r="1063" spans="1:11">
      <c r="A1063" s="275"/>
      <c r="B1063" s="275"/>
      <c r="C1063" s="275"/>
      <c r="D1063" s="275"/>
      <c r="E1063" s="275"/>
      <c r="F1063" s="275"/>
      <c r="G1063" s="275"/>
      <c r="H1063" s="274"/>
      <c r="I1063" s="274"/>
      <c r="J1063" s="275"/>
      <c r="K1063" s="274"/>
    </row>
    <row r="1064" spans="1:11">
      <c r="A1064" s="275"/>
      <c r="B1064" s="275"/>
      <c r="C1064" s="275"/>
      <c r="D1064" s="275"/>
      <c r="E1064" s="275"/>
      <c r="F1064" s="275"/>
      <c r="G1064" s="275"/>
      <c r="H1064" s="274"/>
      <c r="I1064" s="274"/>
      <c r="J1064" s="275"/>
      <c r="K1064" s="274"/>
    </row>
    <row r="1065" spans="1:11">
      <c r="A1065" s="275"/>
      <c r="B1065" s="275"/>
      <c r="C1065" s="275"/>
      <c r="D1065" s="275"/>
      <c r="E1065" s="275"/>
      <c r="F1065" s="275"/>
      <c r="G1065" s="275"/>
      <c r="H1065" s="274"/>
      <c r="I1065" s="274"/>
      <c r="J1065" s="275"/>
      <c r="K1065" s="274"/>
    </row>
    <row r="1066" spans="1:11">
      <c r="A1066" s="275"/>
      <c r="B1066" s="275"/>
      <c r="C1066" s="275"/>
      <c r="D1066" s="275"/>
      <c r="E1066" s="275"/>
      <c r="F1066" s="275"/>
      <c r="G1066" s="275"/>
      <c r="H1066" s="274"/>
      <c r="I1066" s="274"/>
      <c r="J1066" s="275"/>
      <c r="K1066" s="274"/>
    </row>
    <row r="1067" spans="1:11">
      <c r="A1067" s="275"/>
      <c r="B1067" s="275"/>
      <c r="C1067" s="275"/>
      <c r="D1067" s="275"/>
      <c r="E1067" s="275"/>
      <c r="F1067" s="275"/>
      <c r="G1067" s="275"/>
      <c r="H1067" s="274"/>
      <c r="I1067" s="274"/>
      <c r="J1067" s="275"/>
      <c r="K1067" s="274"/>
    </row>
    <row r="1068" spans="1:11">
      <c r="A1068" s="275"/>
      <c r="B1068" s="275"/>
      <c r="C1068" s="275"/>
      <c r="D1068" s="275"/>
      <c r="E1068" s="275"/>
      <c r="F1068" s="275"/>
      <c r="G1068" s="275"/>
      <c r="H1068" s="274"/>
      <c r="I1068" s="274"/>
      <c r="J1068" s="275"/>
      <c r="K1068" s="274"/>
    </row>
    <row r="1069" spans="1:11">
      <c r="A1069" s="275"/>
      <c r="B1069" s="275"/>
      <c r="C1069" s="275"/>
      <c r="D1069" s="275"/>
      <c r="E1069" s="275"/>
      <c r="F1069" s="275"/>
      <c r="G1069" s="275"/>
      <c r="H1069" s="274"/>
      <c r="I1069" s="274"/>
      <c r="J1069" s="275"/>
      <c r="K1069" s="274"/>
    </row>
    <row r="1070" spans="1:11">
      <c r="A1070" s="275"/>
      <c r="B1070" s="275"/>
      <c r="C1070" s="275"/>
      <c r="D1070" s="275"/>
      <c r="E1070" s="275"/>
      <c r="F1070" s="275"/>
      <c r="G1070" s="275"/>
      <c r="H1070" s="274"/>
      <c r="I1070" s="274"/>
      <c r="J1070" s="275"/>
      <c r="K1070" s="274"/>
    </row>
    <row r="1071" spans="1:11">
      <c r="A1071" s="275"/>
      <c r="B1071" s="275"/>
      <c r="C1071" s="275"/>
      <c r="D1071" s="275"/>
      <c r="E1071" s="275"/>
      <c r="F1071" s="275"/>
      <c r="G1071" s="275"/>
      <c r="H1071" s="274"/>
      <c r="I1071" s="274"/>
      <c r="J1071" s="275"/>
      <c r="K1071" s="274"/>
    </row>
    <row r="1072" spans="1:11">
      <c r="A1072" s="275"/>
      <c r="B1072" s="275"/>
      <c r="C1072" s="275"/>
      <c r="D1072" s="275"/>
      <c r="E1072" s="275"/>
      <c r="F1072" s="275"/>
      <c r="G1072" s="275"/>
      <c r="H1072" s="274"/>
      <c r="I1072" s="274"/>
      <c r="J1072" s="275"/>
      <c r="K1072" s="274"/>
    </row>
    <row r="1073" spans="1:11">
      <c r="A1073" s="275"/>
      <c r="B1073" s="275"/>
      <c r="C1073" s="275"/>
      <c r="D1073" s="275"/>
      <c r="E1073" s="275"/>
      <c r="F1073" s="275"/>
      <c r="G1073" s="275"/>
      <c r="H1073" s="274"/>
      <c r="I1073" s="274"/>
      <c r="J1073" s="275"/>
      <c r="K1073" s="274"/>
    </row>
    <row r="1074" spans="1:11">
      <c r="A1074" s="275"/>
      <c r="B1074" s="275"/>
      <c r="C1074" s="275"/>
      <c r="D1074" s="275"/>
      <c r="E1074" s="275"/>
      <c r="F1074" s="275"/>
      <c r="G1074" s="275"/>
      <c r="H1074" s="274"/>
      <c r="I1074" s="274"/>
      <c r="J1074" s="275"/>
      <c r="K1074" s="274"/>
    </row>
    <row r="1075" spans="1:11">
      <c r="A1075" s="275"/>
      <c r="B1075" s="275"/>
      <c r="C1075" s="275"/>
      <c r="D1075" s="275"/>
      <c r="E1075" s="275"/>
      <c r="F1075" s="275"/>
      <c r="G1075" s="275"/>
      <c r="H1075" s="274"/>
      <c r="I1075" s="274"/>
      <c r="J1075" s="275"/>
      <c r="K1075" s="274"/>
    </row>
    <row r="1076" spans="1:11">
      <c r="A1076" s="275"/>
      <c r="B1076" s="275"/>
      <c r="C1076" s="275"/>
      <c r="D1076" s="275"/>
      <c r="E1076" s="275"/>
      <c r="F1076" s="275"/>
      <c r="G1076" s="275"/>
      <c r="H1076" s="274"/>
      <c r="I1076" s="274"/>
      <c r="J1076" s="275"/>
      <c r="K1076" s="274"/>
    </row>
    <row r="1077" spans="1:11">
      <c r="A1077" s="275"/>
      <c r="B1077" s="275"/>
      <c r="C1077" s="275"/>
      <c r="D1077" s="275"/>
      <c r="E1077" s="275"/>
      <c r="F1077" s="275"/>
      <c r="G1077" s="275"/>
      <c r="H1077" s="274"/>
      <c r="I1077" s="274"/>
      <c r="J1077" s="275"/>
      <c r="K1077" s="274"/>
    </row>
    <row r="1078" spans="1:11">
      <c r="A1078" s="275"/>
      <c r="B1078" s="275"/>
      <c r="C1078" s="275"/>
      <c r="D1078" s="275"/>
      <c r="E1078" s="275"/>
      <c r="F1078" s="275"/>
      <c r="G1078" s="275"/>
      <c r="H1078" s="274"/>
      <c r="I1078" s="274"/>
      <c r="J1078" s="275"/>
      <c r="K1078" s="274"/>
    </row>
    <row r="1079" spans="1:11">
      <c r="A1079" s="275"/>
      <c r="B1079" s="275"/>
      <c r="C1079" s="275"/>
      <c r="D1079" s="275"/>
      <c r="E1079" s="275"/>
      <c r="F1079" s="275"/>
      <c r="G1079" s="275"/>
      <c r="H1079" s="274"/>
      <c r="I1079" s="274"/>
      <c r="J1079" s="275"/>
      <c r="K1079" s="274"/>
    </row>
    <row r="1080" spans="1:11">
      <c r="A1080" s="275"/>
      <c r="B1080" s="275"/>
      <c r="C1080" s="275"/>
      <c r="D1080" s="275"/>
      <c r="E1080" s="275"/>
      <c r="F1080" s="275"/>
      <c r="G1080" s="275"/>
      <c r="H1080" s="274"/>
      <c r="I1080" s="274"/>
      <c r="J1080" s="275"/>
      <c r="K1080" s="274"/>
    </row>
    <row r="1081" spans="1:11">
      <c r="A1081" s="275"/>
      <c r="B1081" s="275"/>
      <c r="C1081" s="275"/>
      <c r="D1081" s="275"/>
      <c r="E1081" s="275"/>
      <c r="F1081" s="275"/>
      <c r="G1081" s="275"/>
      <c r="H1081" s="274"/>
      <c r="I1081" s="274"/>
      <c r="J1081" s="275"/>
      <c r="K1081" s="274"/>
    </row>
    <row r="1082" spans="1:11">
      <c r="A1082" s="275"/>
      <c r="B1082" s="275"/>
      <c r="C1082" s="275"/>
      <c r="D1082" s="275"/>
      <c r="E1082" s="275"/>
      <c r="F1082" s="275"/>
      <c r="G1082" s="275"/>
      <c r="H1082" s="274"/>
      <c r="I1082" s="274"/>
      <c r="J1082" s="275"/>
      <c r="K1082" s="274"/>
    </row>
    <row r="1083" spans="1:11">
      <c r="A1083" s="275"/>
      <c r="B1083" s="275"/>
      <c r="C1083" s="275"/>
      <c r="D1083" s="275"/>
      <c r="E1083" s="275"/>
      <c r="F1083" s="275"/>
      <c r="G1083" s="275"/>
      <c r="H1083" s="274"/>
      <c r="I1083" s="274"/>
      <c r="J1083" s="275"/>
      <c r="K1083" s="274"/>
    </row>
    <row r="1084" spans="1:11">
      <c r="A1084" s="275"/>
      <c r="B1084" s="275"/>
      <c r="C1084" s="275"/>
      <c r="D1084" s="275"/>
      <c r="E1084" s="275"/>
      <c r="F1084" s="275"/>
      <c r="G1084" s="275"/>
      <c r="H1084" s="274"/>
      <c r="I1084" s="274"/>
      <c r="J1084" s="275"/>
      <c r="K1084" s="274"/>
    </row>
    <row r="1085" spans="1:11">
      <c r="A1085" s="275"/>
      <c r="B1085" s="275"/>
      <c r="C1085" s="275"/>
      <c r="D1085" s="275"/>
      <c r="E1085" s="275"/>
      <c r="F1085" s="275"/>
      <c r="G1085" s="275"/>
      <c r="H1085" s="274"/>
      <c r="I1085" s="274"/>
      <c r="J1085" s="275"/>
      <c r="K1085" s="274"/>
    </row>
    <row r="1086" spans="1:11">
      <c r="A1086" s="275"/>
      <c r="B1086" s="275"/>
      <c r="C1086" s="275"/>
      <c r="D1086" s="275"/>
      <c r="E1086" s="275"/>
      <c r="F1086" s="275"/>
      <c r="G1086" s="275"/>
      <c r="H1086" s="274"/>
      <c r="I1086" s="274"/>
      <c r="J1086" s="275"/>
      <c r="K1086" s="274"/>
    </row>
    <row r="1087" spans="1:11">
      <c r="A1087" s="275"/>
      <c r="B1087" s="275"/>
      <c r="C1087" s="275"/>
      <c r="D1087" s="275"/>
      <c r="E1087" s="275"/>
      <c r="F1087" s="275"/>
      <c r="G1087" s="275"/>
      <c r="H1087" s="274"/>
      <c r="I1087" s="274"/>
      <c r="J1087" s="275"/>
      <c r="K1087" s="274"/>
    </row>
    <row r="1088" spans="1:11">
      <c r="A1088" s="275"/>
      <c r="B1088" s="275"/>
      <c r="C1088" s="275"/>
      <c r="D1088" s="275"/>
      <c r="E1088" s="275"/>
      <c r="F1088" s="275"/>
      <c r="G1088" s="275"/>
      <c r="H1088" s="274"/>
      <c r="I1088" s="274"/>
      <c r="J1088" s="275"/>
      <c r="K1088" s="274"/>
    </row>
    <row r="1089" spans="1:11">
      <c r="A1089" s="275"/>
      <c r="B1089" s="275"/>
      <c r="C1089" s="275"/>
      <c r="D1089" s="275"/>
      <c r="E1089" s="275"/>
      <c r="F1089" s="275"/>
      <c r="G1089" s="275"/>
      <c r="H1089" s="274"/>
      <c r="I1089" s="274"/>
      <c r="J1089" s="275"/>
      <c r="K1089" s="274"/>
    </row>
    <row r="1090" spans="1:11">
      <c r="A1090" s="275"/>
      <c r="B1090" s="275"/>
      <c r="C1090" s="275"/>
      <c r="D1090" s="275"/>
      <c r="E1090" s="275"/>
      <c r="F1090" s="275"/>
      <c r="G1090" s="275"/>
      <c r="H1090" s="274"/>
      <c r="I1090" s="274"/>
      <c r="J1090" s="275"/>
      <c r="K1090" s="274"/>
    </row>
    <row r="1091" spans="1:11">
      <c r="A1091" s="275"/>
      <c r="B1091" s="275"/>
      <c r="C1091" s="275"/>
      <c r="D1091" s="275"/>
      <c r="E1091" s="275"/>
      <c r="F1091" s="275"/>
      <c r="G1091" s="275"/>
      <c r="H1091" s="274"/>
      <c r="I1091" s="274"/>
      <c r="J1091" s="275"/>
      <c r="K1091" s="274"/>
    </row>
    <row r="1092" spans="1:11">
      <c r="A1092" s="275"/>
      <c r="B1092" s="275"/>
      <c r="C1092" s="275"/>
      <c r="D1092" s="275"/>
      <c r="E1092" s="275"/>
      <c r="F1092" s="275"/>
      <c r="G1092" s="275"/>
      <c r="H1092" s="274"/>
      <c r="I1092" s="274"/>
      <c r="J1092" s="275"/>
      <c r="K1092" s="274"/>
    </row>
    <row r="1093" spans="1:11">
      <c r="A1093" s="275"/>
      <c r="B1093" s="275"/>
      <c r="C1093" s="275"/>
      <c r="D1093" s="275"/>
      <c r="E1093" s="275"/>
      <c r="F1093" s="275"/>
      <c r="G1093" s="275"/>
      <c r="H1093" s="274"/>
      <c r="I1093" s="274"/>
      <c r="J1093" s="275"/>
      <c r="K1093" s="274"/>
    </row>
    <row r="1094" spans="1:11">
      <c r="A1094" s="275"/>
      <c r="B1094" s="275"/>
      <c r="C1094" s="275"/>
      <c r="D1094" s="275"/>
      <c r="E1094" s="275"/>
      <c r="F1094" s="275"/>
      <c r="G1094" s="275"/>
      <c r="H1094" s="274"/>
      <c r="I1094" s="274"/>
      <c r="J1094" s="275"/>
      <c r="K1094" s="274"/>
    </row>
    <row r="1095" spans="1:11">
      <c r="A1095" s="275"/>
      <c r="B1095" s="275"/>
      <c r="C1095" s="275"/>
      <c r="D1095" s="275"/>
      <c r="E1095" s="275"/>
      <c r="F1095" s="275"/>
      <c r="G1095" s="275"/>
      <c r="H1095" s="274"/>
      <c r="I1095" s="274"/>
      <c r="J1095" s="275"/>
      <c r="K1095" s="274"/>
    </row>
    <row r="1096" spans="1:11">
      <c r="A1096" s="275"/>
      <c r="B1096" s="275"/>
      <c r="C1096" s="275"/>
      <c r="D1096" s="275"/>
      <c r="E1096" s="275"/>
      <c r="F1096" s="275"/>
      <c r="G1096" s="275"/>
      <c r="H1096" s="274"/>
      <c r="I1096" s="274"/>
      <c r="J1096" s="275"/>
      <c r="K1096" s="274"/>
    </row>
    <row r="1097" spans="1:11">
      <c r="A1097" s="275"/>
      <c r="B1097" s="275"/>
      <c r="C1097" s="275"/>
      <c r="D1097" s="275"/>
      <c r="E1097" s="275"/>
      <c r="F1097" s="275"/>
      <c r="G1097" s="275"/>
      <c r="H1097" s="274"/>
      <c r="I1097" s="274"/>
      <c r="J1097" s="275"/>
      <c r="K1097" s="274"/>
    </row>
    <row r="1098" spans="1:11">
      <c r="A1098" s="275"/>
      <c r="B1098" s="275"/>
      <c r="C1098" s="275"/>
      <c r="D1098" s="275"/>
      <c r="E1098" s="275"/>
      <c r="F1098" s="275"/>
      <c r="G1098" s="275"/>
      <c r="H1098" s="274"/>
      <c r="I1098" s="274"/>
      <c r="J1098" s="275"/>
      <c r="K1098" s="274"/>
    </row>
    <row r="1099" spans="1:11">
      <c r="A1099" s="275"/>
      <c r="B1099" s="275"/>
      <c r="C1099" s="275"/>
      <c r="D1099" s="275"/>
      <c r="E1099" s="275"/>
      <c r="F1099" s="275"/>
      <c r="G1099" s="275"/>
      <c r="H1099" s="274"/>
      <c r="I1099" s="274"/>
      <c r="J1099" s="275"/>
      <c r="K1099" s="274"/>
    </row>
    <row r="1100" spans="1:11">
      <c r="A1100" s="275"/>
      <c r="B1100" s="275"/>
      <c r="C1100" s="275"/>
      <c r="D1100" s="275"/>
      <c r="E1100" s="275"/>
      <c r="F1100" s="275"/>
      <c r="G1100" s="275"/>
      <c r="H1100" s="274"/>
      <c r="I1100" s="274"/>
      <c r="J1100" s="275"/>
      <c r="K1100" s="274"/>
    </row>
    <row r="1101" spans="1:11">
      <c r="A1101" s="275"/>
      <c r="B1101" s="275"/>
      <c r="C1101" s="275"/>
      <c r="D1101" s="275"/>
      <c r="E1101" s="275"/>
      <c r="F1101" s="275"/>
      <c r="G1101" s="275"/>
      <c r="H1101" s="274"/>
      <c r="I1101" s="274"/>
      <c r="J1101" s="275"/>
      <c r="K1101" s="274"/>
    </row>
    <row r="1102" spans="1:11">
      <c r="A1102" s="275"/>
      <c r="B1102" s="275"/>
      <c r="C1102" s="275"/>
      <c r="D1102" s="275"/>
      <c r="E1102" s="275"/>
      <c r="F1102" s="275"/>
      <c r="G1102" s="275"/>
      <c r="H1102" s="274"/>
      <c r="I1102" s="274"/>
      <c r="J1102" s="275"/>
      <c r="K1102" s="274"/>
    </row>
    <row r="1103" spans="1:11">
      <c r="A1103" s="275"/>
      <c r="B1103" s="275"/>
      <c r="C1103" s="275"/>
      <c r="D1103" s="275"/>
      <c r="E1103" s="275"/>
      <c r="F1103" s="275"/>
      <c r="G1103" s="275"/>
      <c r="H1103" s="274"/>
      <c r="I1103" s="274"/>
      <c r="J1103" s="275"/>
      <c r="K1103" s="274"/>
    </row>
    <row r="1104" spans="1:11">
      <c r="A1104" s="275"/>
      <c r="B1104" s="275"/>
      <c r="C1104" s="275"/>
      <c r="D1104" s="275"/>
      <c r="E1104" s="275"/>
      <c r="F1104" s="275"/>
      <c r="G1104" s="275"/>
      <c r="H1104" s="274"/>
      <c r="I1104" s="274"/>
      <c r="J1104" s="275"/>
      <c r="K1104" s="274"/>
    </row>
    <row r="1105" spans="1:11">
      <c r="A1105" s="275"/>
      <c r="B1105" s="275"/>
      <c r="C1105" s="275"/>
      <c r="D1105" s="275"/>
      <c r="E1105" s="275"/>
      <c r="F1105" s="275"/>
      <c r="G1105" s="275"/>
      <c r="H1105" s="274"/>
      <c r="I1105" s="274"/>
      <c r="J1105" s="275"/>
      <c r="K1105" s="274"/>
    </row>
    <row r="1106" spans="1:11">
      <c r="A1106" s="275"/>
      <c r="B1106" s="275"/>
      <c r="C1106" s="275"/>
      <c r="D1106" s="275"/>
      <c r="E1106" s="275"/>
      <c r="F1106" s="275"/>
      <c r="G1106" s="275"/>
      <c r="H1106" s="274"/>
      <c r="I1106" s="274"/>
      <c r="J1106" s="275"/>
      <c r="K1106" s="274"/>
    </row>
    <row r="1107" spans="1:11">
      <c r="A1107" s="275"/>
      <c r="B1107" s="275"/>
      <c r="C1107" s="275"/>
      <c r="D1107" s="275"/>
      <c r="E1107" s="275"/>
      <c r="F1107" s="275"/>
      <c r="G1107" s="275"/>
      <c r="H1107" s="274"/>
      <c r="I1107" s="274"/>
      <c r="J1107" s="275"/>
      <c r="K1107" s="274"/>
    </row>
    <row r="1108" spans="1:11">
      <c r="A1108" s="275"/>
      <c r="B1108" s="275"/>
      <c r="C1108" s="275"/>
      <c r="D1108" s="275"/>
      <c r="E1108" s="275"/>
      <c r="F1108" s="275"/>
      <c r="G1108" s="275"/>
      <c r="H1108" s="274"/>
      <c r="I1108" s="274"/>
      <c r="J1108" s="275"/>
      <c r="K1108" s="274"/>
    </row>
    <row r="1109" spans="1:11">
      <c r="A1109" s="275"/>
      <c r="B1109" s="275"/>
      <c r="C1109" s="275"/>
      <c r="D1109" s="275"/>
      <c r="E1109" s="275"/>
      <c r="F1109" s="275"/>
      <c r="G1109" s="275"/>
      <c r="H1109" s="274"/>
      <c r="I1109" s="274"/>
      <c r="J1109" s="275"/>
      <c r="K1109" s="274"/>
    </row>
    <row r="1110" spans="1:11">
      <c r="A1110" s="275"/>
      <c r="B1110" s="275"/>
      <c r="C1110" s="275"/>
      <c r="D1110" s="275"/>
      <c r="E1110" s="275"/>
      <c r="F1110" s="275"/>
      <c r="G1110" s="275"/>
      <c r="H1110" s="274"/>
      <c r="I1110" s="274"/>
      <c r="J1110" s="275"/>
      <c r="K1110" s="274"/>
    </row>
    <row r="1111" spans="1:11">
      <c r="A1111" s="275"/>
      <c r="B1111" s="275"/>
      <c r="C1111" s="275"/>
      <c r="D1111" s="275"/>
      <c r="E1111" s="275"/>
      <c r="F1111" s="275"/>
      <c r="G1111" s="275"/>
      <c r="H1111" s="274"/>
      <c r="I1111" s="274"/>
      <c r="J1111" s="275"/>
      <c r="K1111" s="274"/>
    </row>
    <row r="1112" spans="1:11">
      <c r="A1112" s="275"/>
      <c r="B1112" s="275"/>
      <c r="C1112" s="275"/>
      <c r="D1112" s="275"/>
      <c r="E1112" s="275"/>
      <c r="F1112" s="275"/>
      <c r="G1112" s="275"/>
      <c r="H1112" s="274"/>
      <c r="I1112" s="274"/>
      <c r="J1112" s="275"/>
      <c r="K1112" s="274"/>
    </row>
    <row r="1113" spans="1:11">
      <c r="A1113" s="275"/>
      <c r="B1113" s="275"/>
      <c r="C1113" s="275"/>
      <c r="D1113" s="275"/>
      <c r="E1113" s="275"/>
      <c r="F1113" s="275"/>
      <c r="G1113" s="275"/>
      <c r="H1113" s="274"/>
      <c r="I1113" s="274"/>
      <c r="J1113" s="275"/>
      <c r="K1113" s="274"/>
    </row>
    <row r="1114" spans="1:11">
      <c r="A1114" s="275"/>
      <c r="B1114" s="275"/>
      <c r="C1114" s="275"/>
      <c r="D1114" s="275"/>
      <c r="E1114" s="275"/>
      <c r="F1114" s="275"/>
      <c r="G1114" s="275"/>
      <c r="H1114" s="274"/>
      <c r="I1114" s="274"/>
      <c r="J1114" s="275"/>
      <c r="K1114" s="274"/>
    </row>
    <row r="1115" spans="1:11">
      <c r="A1115" s="275"/>
      <c r="B1115" s="275"/>
      <c r="C1115" s="275"/>
      <c r="D1115" s="275"/>
      <c r="E1115" s="275"/>
      <c r="F1115" s="275"/>
      <c r="G1115" s="275"/>
      <c r="H1115" s="274"/>
      <c r="I1115" s="274"/>
      <c r="J1115" s="275"/>
      <c r="K1115" s="274"/>
    </row>
    <row r="1116" spans="1:11">
      <c r="A1116" s="275"/>
      <c r="B1116" s="275"/>
      <c r="C1116" s="275"/>
      <c r="D1116" s="275"/>
      <c r="E1116" s="275"/>
      <c r="F1116" s="275"/>
      <c r="G1116" s="275"/>
      <c r="H1116" s="274"/>
      <c r="I1116" s="274"/>
      <c r="J1116" s="275"/>
      <c r="K1116" s="274"/>
    </row>
    <row r="1117" spans="1:11">
      <c r="A1117" s="275"/>
      <c r="B1117" s="275"/>
      <c r="C1117" s="275"/>
      <c r="D1117" s="275"/>
      <c r="E1117" s="275"/>
      <c r="F1117" s="275"/>
      <c r="G1117" s="275"/>
      <c r="H1117" s="274"/>
      <c r="I1117" s="274"/>
      <c r="J1117" s="275"/>
      <c r="K1117" s="274"/>
    </row>
    <row r="1118" spans="1:11">
      <c r="A1118" s="275"/>
      <c r="B1118" s="275"/>
      <c r="C1118" s="275"/>
      <c r="D1118" s="275"/>
      <c r="E1118" s="275"/>
      <c r="F1118" s="275"/>
      <c r="G1118" s="275"/>
      <c r="H1118" s="274"/>
      <c r="I1118" s="274"/>
      <c r="J1118" s="275"/>
      <c r="K1118" s="274"/>
    </row>
    <row r="1119" spans="1:11">
      <c r="A1119" s="275"/>
      <c r="B1119" s="275"/>
      <c r="C1119" s="275"/>
      <c r="D1119" s="275"/>
      <c r="E1119" s="275"/>
      <c r="F1119" s="275"/>
      <c r="G1119" s="275"/>
      <c r="H1119" s="274"/>
      <c r="I1119" s="274"/>
      <c r="J1119" s="275"/>
      <c r="K1119" s="274"/>
    </row>
    <row r="1120" spans="1:11">
      <c r="A1120" s="275"/>
      <c r="B1120" s="275"/>
      <c r="C1120" s="275"/>
      <c r="D1120" s="275"/>
      <c r="E1120" s="275"/>
      <c r="F1120" s="275"/>
      <c r="G1120" s="275"/>
      <c r="H1120" s="274"/>
      <c r="I1120" s="274"/>
      <c r="J1120" s="275"/>
      <c r="K1120" s="274"/>
    </row>
    <row r="1121" spans="1:11">
      <c r="A1121" s="275"/>
      <c r="B1121" s="275"/>
      <c r="C1121" s="275"/>
      <c r="D1121" s="275"/>
      <c r="E1121" s="275"/>
      <c r="F1121" s="275"/>
      <c r="G1121" s="275"/>
      <c r="H1121" s="274"/>
      <c r="I1121" s="274"/>
      <c r="J1121" s="275"/>
      <c r="K1121" s="274"/>
    </row>
    <row r="1122" spans="1:11">
      <c r="A1122" s="275"/>
      <c r="B1122" s="275"/>
      <c r="C1122" s="275"/>
      <c r="D1122" s="275"/>
      <c r="E1122" s="275"/>
      <c r="F1122" s="275"/>
      <c r="G1122" s="275"/>
      <c r="H1122" s="274"/>
      <c r="I1122" s="274"/>
      <c r="J1122" s="275"/>
      <c r="K1122" s="274"/>
    </row>
    <row r="1123" spans="1:11">
      <c r="A1123" s="275"/>
      <c r="B1123" s="275"/>
      <c r="C1123" s="275"/>
      <c r="D1123" s="275"/>
      <c r="E1123" s="275"/>
      <c r="F1123" s="275"/>
      <c r="G1123" s="275"/>
      <c r="H1123" s="274"/>
      <c r="I1123" s="274"/>
      <c r="J1123" s="275"/>
      <c r="K1123" s="274"/>
    </row>
    <row r="1124" spans="1:11">
      <c r="A1124" s="275"/>
      <c r="B1124" s="275"/>
      <c r="C1124" s="275"/>
      <c r="D1124" s="275"/>
      <c r="E1124" s="275"/>
      <c r="F1124" s="275"/>
      <c r="G1124" s="275"/>
      <c r="H1124" s="274"/>
      <c r="I1124" s="274"/>
      <c r="J1124" s="275"/>
      <c r="K1124" s="274"/>
    </row>
    <row r="1125" spans="1:11">
      <c r="A1125" s="275"/>
      <c r="B1125" s="275"/>
      <c r="C1125" s="275"/>
      <c r="D1125" s="275"/>
      <c r="E1125" s="275"/>
      <c r="F1125" s="275"/>
      <c r="G1125" s="275"/>
      <c r="H1125" s="274"/>
      <c r="I1125" s="274"/>
      <c r="J1125" s="275"/>
      <c r="K1125" s="274"/>
    </row>
    <row r="1126" spans="1:11">
      <c r="A1126" s="275"/>
      <c r="B1126" s="275"/>
      <c r="C1126" s="275"/>
      <c r="D1126" s="275"/>
      <c r="E1126" s="275"/>
      <c r="F1126" s="275"/>
      <c r="G1126" s="275"/>
      <c r="H1126" s="274"/>
      <c r="I1126" s="274"/>
      <c r="J1126" s="275"/>
      <c r="K1126" s="274"/>
    </row>
    <row r="1127" spans="1:11">
      <c r="A1127" s="275"/>
      <c r="B1127" s="275"/>
      <c r="C1127" s="275"/>
      <c r="D1127" s="275"/>
      <c r="E1127" s="275"/>
      <c r="F1127" s="275"/>
      <c r="G1127" s="275"/>
      <c r="H1127" s="274"/>
      <c r="I1127" s="274"/>
      <c r="J1127" s="275"/>
      <c r="K1127" s="274"/>
    </row>
    <row r="1128" spans="1:11">
      <c r="A1128" s="275"/>
      <c r="B1128" s="275"/>
      <c r="C1128" s="275"/>
      <c r="D1128" s="275"/>
      <c r="E1128" s="275"/>
      <c r="F1128" s="275"/>
      <c r="G1128" s="275"/>
      <c r="H1128" s="274"/>
      <c r="I1128" s="274"/>
      <c r="J1128" s="275"/>
      <c r="K1128" s="274"/>
    </row>
    <row r="1129" spans="1:11">
      <c r="A1129" s="275"/>
      <c r="B1129" s="275"/>
      <c r="C1129" s="275"/>
      <c r="D1129" s="275"/>
      <c r="E1129" s="275"/>
      <c r="F1129" s="275"/>
      <c r="G1129" s="275"/>
      <c r="H1129" s="274"/>
      <c r="I1129" s="274"/>
      <c r="J1129" s="275"/>
      <c r="K1129" s="274"/>
    </row>
    <row r="1130" spans="1:11">
      <c r="A1130" s="275"/>
      <c r="B1130" s="275"/>
      <c r="C1130" s="275"/>
      <c r="D1130" s="275"/>
      <c r="E1130" s="275"/>
      <c r="F1130" s="275"/>
      <c r="G1130" s="275"/>
      <c r="H1130" s="274"/>
      <c r="I1130" s="274"/>
      <c r="J1130" s="275"/>
      <c r="K1130" s="274"/>
    </row>
    <row r="1131" spans="1:11">
      <c r="A1131" s="275"/>
      <c r="B1131" s="275"/>
      <c r="C1131" s="275"/>
      <c r="D1131" s="275"/>
      <c r="E1131" s="275"/>
      <c r="F1131" s="275"/>
      <c r="G1131" s="275"/>
      <c r="H1131" s="274"/>
      <c r="I1131" s="274"/>
      <c r="J1131" s="275"/>
      <c r="K1131" s="274"/>
    </row>
    <row r="1132" spans="1:11">
      <c r="A1132" s="275"/>
      <c r="B1132" s="275"/>
      <c r="C1132" s="275"/>
      <c r="D1132" s="275"/>
      <c r="E1132" s="275"/>
      <c r="F1132" s="275"/>
      <c r="G1132" s="275"/>
      <c r="H1132" s="274"/>
      <c r="I1132" s="274"/>
      <c r="J1132" s="275"/>
      <c r="K1132" s="274"/>
    </row>
    <row r="1133" spans="1:11">
      <c r="A1133" s="275"/>
      <c r="B1133" s="275"/>
      <c r="C1133" s="275"/>
      <c r="D1133" s="275"/>
      <c r="E1133" s="275"/>
      <c r="F1133" s="275"/>
      <c r="G1133" s="275"/>
      <c r="H1133" s="274"/>
      <c r="I1133" s="274"/>
      <c r="J1133" s="275"/>
      <c r="K1133" s="274"/>
    </row>
    <row r="1134" spans="1:11">
      <c r="A1134" s="275"/>
      <c r="B1134" s="275"/>
      <c r="C1134" s="275"/>
      <c r="D1134" s="275"/>
      <c r="E1134" s="275"/>
      <c r="F1134" s="275"/>
      <c r="G1134" s="275"/>
      <c r="H1134" s="274"/>
      <c r="I1134" s="274"/>
      <c r="J1134" s="275"/>
      <c r="K1134" s="274"/>
    </row>
    <row r="1135" spans="1:11">
      <c r="A1135" s="275"/>
      <c r="B1135" s="275"/>
      <c r="C1135" s="275"/>
      <c r="D1135" s="275"/>
      <c r="E1135" s="275"/>
      <c r="F1135" s="275"/>
      <c r="G1135" s="275"/>
      <c r="H1135" s="274"/>
      <c r="I1135" s="274"/>
      <c r="J1135" s="275"/>
      <c r="K1135" s="274"/>
    </row>
    <row r="1136" spans="1:11">
      <c r="A1136" s="275"/>
      <c r="B1136" s="275"/>
      <c r="C1136" s="275"/>
      <c r="D1136" s="275"/>
      <c r="E1136" s="275"/>
      <c r="F1136" s="275"/>
      <c r="G1136" s="275"/>
      <c r="H1136" s="274"/>
      <c r="I1136" s="274"/>
      <c r="J1136" s="275"/>
      <c r="K1136" s="274"/>
    </row>
    <row r="1137" spans="1:11">
      <c r="A1137" s="275"/>
      <c r="B1137" s="275"/>
      <c r="C1137" s="275"/>
      <c r="D1137" s="275"/>
      <c r="E1137" s="275"/>
      <c r="F1137" s="275"/>
      <c r="G1137" s="275"/>
      <c r="H1137" s="274"/>
      <c r="I1137" s="274"/>
      <c r="J1137" s="275"/>
      <c r="K1137" s="274"/>
    </row>
    <row r="1138" spans="1:11">
      <c r="A1138" s="275"/>
      <c r="B1138" s="275"/>
      <c r="C1138" s="275"/>
      <c r="D1138" s="275"/>
      <c r="E1138" s="275"/>
      <c r="F1138" s="275"/>
      <c r="G1138" s="275"/>
      <c r="H1138" s="274"/>
      <c r="I1138" s="274"/>
      <c r="J1138" s="275"/>
      <c r="K1138" s="274"/>
    </row>
    <row r="1139" spans="1:11">
      <c r="A1139" s="275"/>
      <c r="B1139" s="275"/>
      <c r="C1139" s="275"/>
      <c r="D1139" s="275"/>
      <c r="E1139" s="275"/>
      <c r="F1139" s="275"/>
      <c r="G1139" s="275"/>
      <c r="H1139" s="274"/>
      <c r="I1139" s="274"/>
      <c r="J1139" s="275"/>
      <c r="K1139" s="274"/>
    </row>
    <row r="1140" spans="1:11">
      <c r="A1140" s="275"/>
      <c r="B1140" s="275"/>
      <c r="C1140" s="275"/>
      <c r="D1140" s="275"/>
      <c r="E1140" s="275"/>
      <c r="F1140" s="275"/>
      <c r="G1140" s="275"/>
      <c r="H1140" s="274"/>
      <c r="I1140" s="274"/>
      <c r="J1140" s="275"/>
      <c r="K1140" s="274"/>
    </row>
    <row r="1141" spans="1:11">
      <c r="A1141" s="275"/>
      <c r="B1141" s="275"/>
      <c r="C1141" s="275"/>
      <c r="D1141" s="275"/>
      <c r="E1141" s="275"/>
      <c r="F1141" s="275"/>
      <c r="G1141" s="275"/>
      <c r="H1141" s="274"/>
      <c r="I1141" s="274"/>
      <c r="J1141" s="275"/>
      <c r="K1141" s="274"/>
    </row>
    <row r="1142" spans="1:11">
      <c r="A1142" s="275"/>
      <c r="B1142" s="275"/>
      <c r="C1142" s="275"/>
      <c r="D1142" s="275"/>
      <c r="E1142" s="275"/>
      <c r="F1142" s="275"/>
      <c r="G1142" s="275"/>
      <c r="H1142" s="274"/>
      <c r="I1142" s="274"/>
      <c r="J1142" s="275"/>
      <c r="K1142" s="274"/>
    </row>
    <row r="1143" spans="1:11">
      <c r="A1143" s="275"/>
      <c r="B1143" s="275"/>
      <c r="C1143" s="275"/>
      <c r="D1143" s="275"/>
      <c r="E1143" s="275"/>
      <c r="F1143" s="275"/>
      <c r="G1143" s="275"/>
      <c r="H1143" s="274"/>
      <c r="I1143" s="274"/>
      <c r="J1143" s="275"/>
      <c r="K1143" s="274"/>
    </row>
    <row r="1144" spans="1:11">
      <c r="A1144" s="275"/>
      <c r="B1144" s="275"/>
      <c r="C1144" s="275"/>
      <c r="D1144" s="275"/>
      <c r="E1144" s="275"/>
      <c r="F1144" s="275"/>
      <c r="G1144" s="275"/>
      <c r="H1144" s="274"/>
      <c r="I1144" s="274"/>
      <c r="J1144" s="275"/>
      <c r="K1144" s="274"/>
    </row>
    <row r="1145" spans="1:11">
      <c r="A1145" s="275"/>
      <c r="B1145" s="275"/>
      <c r="C1145" s="275"/>
      <c r="D1145" s="275"/>
      <c r="E1145" s="275"/>
      <c r="F1145" s="275"/>
      <c r="G1145" s="275"/>
      <c r="H1145" s="274"/>
      <c r="I1145" s="274"/>
      <c r="J1145" s="275"/>
      <c r="K1145" s="274"/>
    </row>
    <row r="1146" spans="1:11">
      <c r="A1146" s="275"/>
      <c r="B1146" s="275"/>
      <c r="C1146" s="275"/>
      <c r="D1146" s="275"/>
      <c r="E1146" s="275"/>
      <c r="F1146" s="275"/>
      <c r="G1146" s="275"/>
      <c r="H1146" s="274"/>
      <c r="I1146" s="274"/>
      <c r="J1146" s="275"/>
      <c r="K1146" s="274"/>
    </row>
    <row r="1147" spans="1:11">
      <c r="A1147" s="275"/>
      <c r="B1147" s="275"/>
      <c r="C1147" s="275"/>
      <c r="D1147" s="275"/>
      <c r="E1147" s="275"/>
      <c r="F1147" s="275"/>
      <c r="G1147" s="275"/>
      <c r="H1147" s="274"/>
      <c r="I1147" s="274"/>
      <c r="J1147" s="275"/>
      <c r="K1147" s="274"/>
    </row>
    <row r="1148" spans="1:11">
      <c r="A1148" s="275"/>
      <c r="B1148" s="275"/>
      <c r="C1148" s="275"/>
      <c r="D1148" s="275"/>
      <c r="E1148" s="275"/>
      <c r="F1148" s="275"/>
      <c r="G1148" s="275"/>
      <c r="H1148" s="274"/>
      <c r="I1148" s="274"/>
      <c r="J1148" s="275"/>
      <c r="K1148" s="274"/>
    </row>
    <row r="1149" spans="1:11">
      <c r="A1149" s="275"/>
      <c r="B1149" s="275"/>
      <c r="C1149" s="275"/>
      <c r="D1149" s="275"/>
      <c r="E1149" s="275"/>
      <c r="F1149" s="275"/>
      <c r="G1149" s="275"/>
      <c r="H1149" s="274"/>
      <c r="I1149" s="274"/>
      <c r="J1149" s="275"/>
      <c r="K1149" s="274"/>
    </row>
    <row r="1150" spans="1:11">
      <c r="A1150" s="275"/>
      <c r="B1150" s="275"/>
      <c r="C1150" s="275"/>
      <c r="D1150" s="275"/>
      <c r="E1150" s="275"/>
      <c r="F1150" s="275"/>
      <c r="G1150" s="275"/>
      <c r="H1150" s="274"/>
      <c r="I1150" s="274"/>
      <c r="J1150" s="275"/>
      <c r="K1150" s="274"/>
    </row>
    <row r="1151" spans="1:11">
      <c r="A1151" s="275"/>
      <c r="B1151" s="275"/>
      <c r="C1151" s="275"/>
      <c r="D1151" s="275"/>
      <c r="E1151" s="275"/>
      <c r="F1151" s="275"/>
      <c r="G1151" s="275"/>
      <c r="H1151" s="274"/>
      <c r="I1151" s="274"/>
      <c r="J1151" s="275"/>
      <c r="K1151" s="274"/>
    </row>
    <row r="1152" spans="1:11">
      <c r="A1152" s="275"/>
      <c r="B1152" s="275"/>
      <c r="C1152" s="275"/>
      <c r="D1152" s="275"/>
      <c r="E1152" s="275"/>
      <c r="F1152" s="275"/>
      <c r="G1152" s="275"/>
      <c r="H1152" s="274"/>
      <c r="I1152" s="274"/>
      <c r="J1152" s="275"/>
      <c r="K1152" s="274"/>
    </row>
    <row r="1153" spans="1:11">
      <c r="A1153" s="275"/>
      <c r="B1153" s="275"/>
      <c r="C1153" s="275"/>
      <c r="D1153" s="275"/>
      <c r="E1153" s="275"/>
      <c r="F1153" s="275"/>
      <c r="G1153" s="275"/>
      <c r="H1153" s="274"/>
      <c r="I1153" s="274"/>
      <c r="J1153" s="275"/>
      <c r="K1153" s="274"/>
    </row>
    <row r="1154" spans="1:11">
      <c r="A1154" s="275"/>
      <c r="B1154" s="275"/>
      <c r="C1154" s="275"/>
      <c r="D1154" s="275"/>
      <c r="E1154" s="275"/>
      <c r="F1154" s="275"/>
      <c r="G1154" s="275"/>
      <c r="H1154" s="274"/>
      <c r="I1154" s="274"/>
      <c r="J1154" s="275"/>
      <c r="K1154" s="274"/>
    </row>
    <row r="1155" spans="1:11">
      <c r="A1155" s="275"/>
      <c r="B1155" s="275"/>
      <c r="C1155" s="275"/>
      <c r="D1155" s="275"/>
      <c r="E1155" s="275"/>
      <c r="F1155" s="275"/>
      <c r="G1155" s="275"/>
      <c r="H1155" s="274"/>
      <c r="I1155" s="274"/>
      <c r="J1155" s="275"/>
      <c r="K1155" s="274"/>
    </row>
    <row r="1156" spans="1:11">
      <c r="A1156" s="275"/>
      <c r="B1156" s="275"/>
      <c r="C1156" s="275"/>
      <c r="D1156" s="275"/>
      <c r="E1156" s="275"/>
      <c r="F1156" s="275"/>
      <c r="G1156" s="275"/>
      <c r="H1156" s="274"/>
      <c r="I1156" s="274"/>
      <c r="J1156" s="275"/>
      <c r="K1156" s="274"/>
    </row>
    <row r="1157" spans="1:11">
      <c r="A1157" s="275"/>
      <c r="B1157" s="275"/>
      <c r="C1157" s="275"/>
      <c r="D1157" s="275"/>
      <c r="E1157" s="275"/>
      <c r="F1157" s="275"/>
      <c r="G1157" s="275"/>
      <c r="H1157" s="274"/>
      <c r="I1157" s="274"/>
      <c r="J1157" s="275"/>
      <c r="K1157" s="274"/>
    </row>
    <row r="1158" spans="1:11">
      <c r="A1158" s="275"/>
      <c r="B1158" s="275"/>
      <c r="C1158" s="275"/>
      <c r="D1158" s="275"/>
      <c r="E1158" s="275"/>
      <c r="F1158" s="275"/>
      <c r="G1158" s="275"/>
      <c r="H1158" s="274"/>
      <c r="I1158" s="274"/>
      <c r="J1158" s="275"/>
      <c r="K1158" s="274"/>
    </row>
    <row r="1159" spans="1:11">
      <c r="A1159" s="275"/>
      <c r="B1159" s="275"/>
      <c r="C1159" s="275"/>
      <c r="D1159" s="275"/>
      <c r="E1159" s="275"/>
      <c r="F1159" s="275"/>
      <c r="G1159" s="275"/>
      <c r="H1159" s="274"/>
      <c r="I1159" s="274"/>
      <c r="J1159" s="275"/>
      <c r="K1159" s="274"/>
    </row>
    <row r="1160" spans="1:11">
      <c r="A1160" s="275"/>
      <c r="B1160" s="275"/>
      <c r="C1160" s="275"/>
      <c r="D1160" s="275"/>
      <c r="E1160" s="275"/>
      <c r="F1160" s="275"/>
      <c r="G1160" s="275"/>
      <c r="H1160" s="274"/>
      <c r="I1160" s="274"/>
      <c r="J1160" s="275"/>
      <c r="K1160" s="274"/>
    </row>
    <row r="1161" spans="1:11">
      <c r="A1161" s="275"/>
      <c r="B1161" s="275"/>
      <c r="C1161" s="275"/>
      <c r="D1161" s="275"/>
      <c r="E1161" s="275"/>
      <c r="F1161" s="275"/>
      <c r="G1161" s="275"/>
      <c r="H1161" s="274"/>
      <c r="I1161" s="274"/>
      <c r="J1161" s="275"/>
      <c r="K1161" s="274"/>
    </row>
    <row r="1162" spans="1:11">
      <c r="A1162" s="275"/>
      <c r="B1162" s="275"/>
      <c r="C1162" s="275"/>
      <c r="D1162" s="275"/>
      <c r="E1162" s="275"/>
      <c r="F1162" s="275"/>
      <c r="G1162" s="275"/>
      <c r="H1162" s="274"/>
      <c r="I1162" s="274"/>
      <c r="J1162" s="275"/>
      <c r="K1162" s="274"/>
    </row>
    <row r="1163" spans="1:11">
      <c r="A1163" s="275"/>
      <c r="B1163" s="275"/>
      <c r="C1163" s="275"/>
      <c r="D1163" s="275"/>
      <c r="E1163" s="275"/>
      <c r="F1163" s="275"/>
      <c r="G1163" s="275"/>
      <c r="H1163" s="274"/>
      <c r="I1163" s="274"/>
      <c r="J1163" s="275"/>
      <c r="K1163" s="274"/>
    </row>
    <row r="1164" spans="1:11">
      <c r="A1164" s="275"/>
      <c r="B1164" s="275"/>
      <c r="C1164" s="275"/>
      <c r="D1164" s="275"/>
      <c r="E1164" s="275"/>
      <c r="F1164" s="275"/>
      <c r="G1164" s="275"/>
      <c r="H1164" s="274"/>
      <c r="I1164" s="274"/>
      <c r="J1164" s="275"/>
      <c r="K1164" s="274"/>
    </row>
    <row r="1165" spans="1:11">
      <c r="A1165" s="275"/>
      <c r="B1165" s="275"/>
      <c r="C1165" s="275"/>
      <c r="D1165" s="275"/>
      <c r="E1165" s="275"/>
      <c r="F1165" s="275"/>
      <c r="G1165" s="275"/>
      <c r="H1165" s="274"/>
      <c r="I1165" s="274"/>
      <c r="J1165" s="275"/>
      <c r="K1165" s="274"/>
    </row>
    <row r="1166" spans="1:11">
      <c r="A1166" s="275"/>
      <c r="B1166" s="275"/>
      <c r="C1166" s="275"/>
      <c r="D1166" s="275"/>
      <c r="E1166" s="275"/>
      <c r="F1166" s="275"/>
      <c r="G1166" s="275"/>
      <c r="H1166" s="274"/>
      <c r="I1166" s="274"/>
      <c r="J1166" s="275"/>
      <c r="K1166" s="274"/>
    </row>
    <row r="1167" spans="1:11">
      <c r="A1167" s="275"/>
      <c r="B1167" s="275"/>
      <c r="C1167" s="275"/>
      <c r="D1167" s="275"/>
      <c r="E1167" s="275"/>
      <c r="F1167" s="275"/>
      <c r="G1167" s="275"/>
      <c r="H1167" s="274"/>
      <c r="I1167" s="274"/>
      <c r="J1167" s="275"/>
      <c r="K1167" s="274"/>
    </row>
    <row r="1168" spans="1:11">
      <c r="A1168" s="275"/>
      <c r="B1168" s="275"/>
      <c r="C1168" s="275"/>
      <c r="D1168" s="275"/>
      <c r="E1168" s="275"/>
      <c r="F1168" s="275"/>
      <c r="G1168" s="275"/>
      <c r="H1168" s="274"/>
      <c r="I1168" s="274"/>
      <c r="J1168" s="275"/>
      <c r="K1168" s="274"/>
    </row>
    <row r="1169" spans="1:11">
      <c r="A1169" s="275"/>
      <c r="B1169" s="275"/>
      <c r="C1169" s="275"/>
      <c r="D1169" s="275"/>
      <c r="E1169" s="275"/>
      <c r="F1169" s="275"/>
      <c r="G1169" s="275"/>
      <c r="H1169" s="274"/>
      <c r="I1169" s="274"/>
      <c r="J1169" s="275"/>
      <c r="K1169" s="274"/>
    </row>
    <row r="1170" spans="1:11">
      <c r="A1170" s="275"/>
      <c r="B1170" s="275"/>
      <c r="C1170" s="275"/>
      <c r="D1170" s="275"/>
      <c r="E1170" s="275"/>
      <c r="F1170" s="275"/>
      <c r="G1170" s="275"/>
      <c r="H1170" s="274"/>
      <c r="I1170" s="274"/>
      <c r="J1170" s="275"/>
      <c r="K1170" s="274"/>
    </row>
    <row r="1171" spans="1:11">
      <c r="A1171" s="275"/>
      <c r="B1171" s="275"/>
      <c r="C1171" s="275"/>
      <c r="D1171" s="275"/>
      <c r="E1171" s="275"/>
      <c r="F1171" s="275"/>
      <c r="G1171" s="275"/>
      <c r="H1171" s="274"/>
      <c r="I1171" s="274"/>
      <c r="J1171" s="275"/>
      <c r="K1171" s="274"/>
    </row>
    <row r="1172" spans="1:11">
      <c r="A1172" s="275"/>
      <c r="B1172" s="275"/>
      <c r="C1172" s="275"/>
      <c r="D1172" s="275"/>
      <c r="E1172" s="275"/>
      <c r="F1172" s="275"/>
      <c r="G1172" s="275"/>
      <c r="H1172" s="274"/>
      <c r="I1172" s="274"/>
      <c r="J1172" s="275"/>
      <c r="K1172" s="274"/>
    </row>
    <row r="1173" spans="1:11">
      <c r="A1173" s="275"/>
      <c r="B1173" s="275"/>
      <c r="C1173" s="275"/>
      <c r="D1173" s="275"/>
      <c r="E1173" s="275"/>
      <c r="F1173" s="275"/>
      <c r="G1173" s="275"/>
      <c r="H1173" s="274"/>
      <c r="I1173" s="274"/>
      <c r="J1173" s="275"/>
      <c r="K1173" s="274"/>
    </row>
    <row r="1174" spans="1:11">
      <c r="A1174" s="275"/>
      <c r="B1174" s="275"/>
      <c r="C1174" s="275"/>
      <c r="D1174" s="275"/>
      <c r="E1174" s="275"/>
      <c r="F1174" s="275"/>
      <c r="G1174" s="275"/>
      <c r="H1174" s="274"/>
      <c r="I1174" s="274"/>
      <c r="J1174" s="275"/>
      <c r="K1174" s="274"/>
    </row>
    <row r="1175" spans="1:11">
      <c r="A1175" s="275"/>
      <c r="B1175" s="275"/>
      <c r="C1175" s="275"/>
      <c r="D1175" s="275"/>
      <c r="E1175" s="275"/>
      <c r="F1175" s="275"/>
      <c r="G1175" s="275"/>
      <c r="H1175" s="274"/>
      <c r="I1175" s="274"/>
      <c r="J1175" s="275"/>
      <c r="K1175" s="274"/>
    </row>
    <row r="1176" spans="1:11">
      <c r="A1176" s="275"/>
      <c r="B1176" s="275"/>
      <c r="C1176" s="275"/>
      <c r="D1176" s="275"/>
      <c r="E1176" s="275"/>
      <c r="F1176" s="275"/>
      <c r="G1176" s="275"/>
      <c r="H1176" s="274"/>
      <c r="I1176" s="274"/>
      <c r="J1176" s="275"/>
      <c r="K1176" s="274"/>
    </row>
    <row r="1177" spans="1:11">
      <c r="A1177" s="275"/>
      <c r="B1177" s="275"/>
      <c r="C1177" s="275"/>
      <c r="D1177" s="275"/>
      <c r="E1177" s="275"/>
      <c r="F1177" s="275"/>
      <c r="G1177" s="275"/>
      <c r="H1177" s="274"/>
      <c r="I1177" s="274"/>
      <c r="J1177" s="275"/>
      <c r="K1177" s="274"/>
    </row>
    <row r="1178" spans="1:11">
      <c r="A1178" s="275"/>
      <c r="B1178" s="275"/>
      <c r="C1178" s="275"/>
      <c r="D1178" s="275"/>
      <c r="E1178" s="275"/>
      <c r="F1178" s="275"/>
      <c r="G1178" s="275"/>
      <c r="H1178" s="274"/>
      <c r="I1178" s="274"/>
      <c r="J1178" s="275"/>
      <c r="K1178" s="274"/>
    </row>
    <row r="1179" spans="1:11">
      <c r="A1179" s="275"/>
      <c r="B1179" s="275"/>
      <c r="C1179" s="275"/>
      <c r="D1179" s="275"/>
      <c r="E1179" s="275"/>
      <c r="F1179" s="275"/>
      <c r="G1179" s="275"/>
      <c r="H1179" s="274"/>
      <c r="I1179" s="274"/>
      <c r="J1179" s="275"/>
      <c r="K1179" s="274"/>
    </row>
    <row r="1180" spans="1:11">
      <c r="A1180" s="275"/>
      <c r="B1180" s="275"/>
      <c r="C1180" s="275"/>
      <c r="D1180" s="275"/>
      <c r="E1180" s="275"/>
      <c r="F1180" s="275"/>
      <c r="G1180" s="275"/>
      <c r="H1180" s="274"/>
      <c r="I1180" s="274"/>
      <c r="J1180" s="275"/>
      <c r="K1180" s="274"/>
    </row>
    <row r="1181" spans="1:11">
      <c r="A1181" s="275"/>
      <c r="B1181" s="275"/>
      <c r="C1181" s="275"/>
      <c r="D1181" s="275"/>
      <c r="E1181" s="275"/>
      <c r="F1181" s="275"/>
      <c r="G1181" s="275"/>
      <c r="H1181" s="274"/>
      <c r="I1181" s="274"/>
      <c r="J1181" s="275"/>
      <c r="K1181" s="274"/>
    </row>
    <row r="1182" spans="1:11">
      <c r="A1182" s="275"/>
      <c r="B1182" s="275"/>
      <c r="C1182" s="275"/>
      <c r="D1182" s="275"/>
      <c r="E1182" s="275"/>
      <c r="F1182" s="275"/>
      <c r="G1182" s="275"/>
      <c r="H1182" s="274"/>
      <c r="I1182" s="274"/>
      <c r="J1182" s="275"/>
      <c r="K1182" s="274"/>
    </row>
    <row r="1183" spans="1:11">
      <c r="A1183" s="275"/>
      <c r="B1183" s="275"/>
      <c r="C1183" s="275"/>
      <c r="D1183" s="275"/>
      <c r="E1183" s="275"/>
      <c r="F1183" s="275"/>
      <c r="G1183" s="275"/>
      <c r="H1183" s="274"/>
      <c r="I1183" s="274"/>
      <c r="J1183" s="275"/>
      <c r="K1183" s="274"/>
    </row>
    <row r="1184" spans="1:11">
      <c r="A1184" s="275"/>
      <c r="B1184" s="275"/>
      <c r="C1184" s="275"/>
      <c r="D1184" s="275"/>
      <c r="E1184" s="275"/>
      <c r="F1184" s="275"/>
      <c r="G1184" s="275"/>
      <c r="H1184" s="274"/>
      <c r="I1184" s="274"/>
      <c r="J1184" s="275"/>
      <c r="K1184" s="274"/>
    </row>
    <row r="1185" spans="1:11">
      <c r="A1185" s="275"/>
      <c r="B1185" s="275"/>
      <c r="C1185" s="275"/>
      <c r="D1185" s="275"/>
      <c r="E1185" s="275"/>
      <c r="F1185" s="275"/>
      <c r="G1185" s="275"/>
      <c r="H1185" s="274"/>
      <c r="I1185" s="274"/>
      <c r="J1185" s="275"/>
      <c r="K1185" s="274"/>
    </row>
    <row r="1186" spans="1:11">
      <c r="A1186" s="275"/>
      <c r="B1186" s="275"/>
      <c r="C1186" s="275"/>
      <c r="D1186" s="275"/>
      <c r="E1186" s="275"/>
      <c r="F1186" s="275"/>
      <c r="G1186" s="275"/>
      <c r="H1186" s="274"/>
      <c r="I1186" s="274"/>
      <c r="J1186" s="275"/>
      <c r="K1186" s="274"/>
    </row>
    <row r="1187" spans="1:11">
      <c r="A1187" s="275"/>
      <c r="B1187" s="275"/>
      <c r="C1187" s="275"/>
      <c r="D1187" s="275"/>
      <c r="E1187" s="275"/>
      <c r="F1187" s="275"/>
      <c r="G1187" s="275"/>
      <c r="H1187" s="274"/>
      <c r="I1187" s="274"/>
      <c r="J1187" s="275"/>
      <c r="K1187" s="274"/>
    </row>
    <row r="1188" spans="1:11">
      <c r="A1188" s="275"/>
      <c r="B1188" s="275"/>
      <c r="C1188" s="275"/>
      <c r="D1188" s="275"/>
      <c r="E1188" s="275"/>
      <c r="F1188" s="275"/>
      <c r="G1188" s="275"/>
      <c r="H1188" s="274"/>
      <c r="I1188" s="274"/>
      <c r="J1188" s="275"/>
      <c r="K1188" s="274"/>
    </row>
    <row r="1189" spans="1:11">
      <c r="A1189" s="275"/>
      <c r="B1189" s="275"/>
      <c r="C1189" s="275"/>
      <c r="D1189" s="275"/>
      <c r="E1189" s="275"/>
      <c r="F1189" s="275"/>
      <c r="G1189" s="275"/>
      <c r="H1189" s="274"/>
      <c r="I1189" s="274"/>
      <c r="J1189" s="275"/>
      <c r="K1189" s="274"/>
    </row>
    <row r="1190" spans="1:11">
      <c r="A1190" s="275"/>
      <c r="B1190" s="275"/>
      <c r="C1190" s="275"/>
      <c r="D1190" s="275"/>
      <c r="E1190" s="275"/>
      <c r="F1190" s="275"/>
      <c r="G1190" s="275"/>
      <c r="H1190" s="274"/>
      <c r="I1190" s="274"/>
      <c r="J1190" s="275"/>
      <c r="K1190" s="274"/>
    </row>
    <row r="1191" spans="1:11">
      <c r="A1191" s="275"/>
      <c r="B1191" s="275"/>
      <c r="C1191" s="275"/>
      <c r="D1191" s="275"/>
      <c r="E1191" s="275"/>
      <c r="F1191" s="275"/>
      <c r="G1191" s="275"/>
      <c r="H1191" s="274"/>
      <c r="I1191" s="274"/>
      <c r="J1191" s="275"/>
      <c r="K1191" s="274"/>
    </row>
    <row r="1192" spans="1:11">
      <c r="A1192" s="275"/>
      <c r="B1192" s="275"/>
      <c r="C1192" s="275"/>
      <c r="D1192" s="275"/>
      <c r="E1192" s="275"/>
      <c r="F1192" s="275"/>
      <c r="G1192" s="275"/>
      <c r="H1192" s="274"/>
      <c r="I1192" s="274"/>
      <c r="J1192" s="275"/>
      <c r="K1192" s="274"/>
    </row>
    <row r="1193" spans="1:11">
      <c r="A1193" s="275"/>
      <c r="B1193" s="275"/>
      <c r="C1193" s="275"/>
      <c r="D1193" s="275"/>
      <c r="E1193" s="275"/>
      <c r="F1193" s="275"/>
      <c r="G1193" s="275"/>
      <c r="H1193" s="274"/>
      <c r="I1193" s="274"/>
      <c r="J1193" s="275"/>
      <c r="K1193" s="274"/>
    </row>
    <row r="1194" spans="1:11">
      <c r="A1194" s="275"/>
      <c r="B1194" s="275"/>
      <c r="C1194" s="275"/>
      <c r="D1194" s="275"/>
      <c r="E1194" s="275"/>
      <c r="F1194" s="275"/>
      <c r="G1194" s="275"/>
      <c r="H1194" s="274"/>
      <c r="I1194" s="274"/>
      <c r="J1194" s="275"/>
      <c r="K1194" s="274"/>
    </row>
    <row r="1195" spans="1:11">
      <c r="A1195" s="275"/>
      <c r="B1195" s="275"/>
      <c r="C1195" s="275"/>
      <c r="D1195" s="275"/>
      <c r="E1195" s="275"/>
      <c r="F1195" s="275"/>
      <c r="G1195" s="275"/>
      <c r="H1195" s="274"/>
      <c r="I1195" s="274"/>
      <c r="J1195" s="275"/>
      <c r="K1195" s="274"/>
    </row>
    <row r="1196" spans="1:11">
      <c r="A1196" s="275"/>
      <c r="B1196" s="275"/>
      <c r="C1196" s="275"/>
      <c r="D1196" s="275"/>
      <c r="E1196" s="275"/>
      <c r="F1196" s="275"/>
      <c r="G1196" s="275"/>
      <c r="H1196" s="274"/>
      <c r="I1196" s="274"/>
      <c r="J1196" s="275"/>
      <c r="K1196" s="274"/>
    </row>
    <row r="1197" spans="1:11">
      <c r="A1197" s="275"/>
      <c r="B1197" s="275"/>
      <c r="C1197" s="275"/>
      <c r="D1197" s="275"/>
      <c r="E1197" s="275"/>
      <c r="F1197" s="275"/>
      <c r="G1197" s="275"/>
      <c r="H1197" s="274"/>
      <c r="I1197" s="274"/>
      <c r="J1197" s="275"/>
      <c r="K1197" s="274"/>
    </row>
    <row r="1198" spans="1:11">
      <c r="A1198" s="275"/>
      <c r="B1198" s="275"/>
      <c r="C1198" s="275"/>
      <c r="D1198" s="275"/>
      <c r="E1198" s="275"/>
      <c r="F1198" s="275"/>
      <c r="G1198" s="275"/>
      <c r="H1198" s="274"/>
      <c r="I1198" s="274"/>
      <c r="J1198" s="275"/>
      <c r="K1198" s="274"/>
    </row>
    <row r="1199" spans="1:11">
      <c r="A1199" s="275"/>
      <c r="B1199" s="275"/>
      <c r="C1199" s="275"/>
      <c r="D1199" s="275"/>
      <c r="E1199" s="275"/>
      <c r="F1199" s="275"/>
      <c r="G1199" s="275"/>
      <c r="H1199" s="274"/>
      <c r="I1199" s="274"/>
      <c r="J1199" s="275"/>
      <c r="K1199" s="274"/>
    </row>
    <row r="1200" spans="1:11">
      <c r="A1200" s="275"/>
      <c r="B1200" s="275"/>
      <c r="C1200" s="275"/>
      <c r="D1200" s="275"/>
      <c r="E1200" s="275"/>
      <c r="F1200" s="275"/>
      <c r="G1200" s="275"/>
      <c r="H1200" s="274"/>
      <c r="I1200" s="274"/>
      <c r="J1200" s="275"/>
      <c r="K1200" s="274"/>
    </row>
    <row r="1201" spans="1:11">
      <c r="A1201" s="275"/>
      <c r="B1201" s="275"/>
      <c r="C1201" s="275"/>
      <c r="D1201" s="275"/>
      <c r="E1201" s="275"/>
      <c r="F1201" s="275"/>
      <c r="G1201" s="275"/>
      <c r="H1201" s="274"/>
      <c r="I1201" s="274"/>
      <c r="J1201" s="275"/>
      <c r="K1201" s="274"/>
    </row>
    <row r="1202" spans="1:11">
      <c r="A1202" s="275"/>
      <c r="B1202" s="275"/>
      <c r="C1202" s="275"/>
      <c r="D1202" s="275"/>
      <c r="E1202" s="275"/>
      <c r="F1202" s="275"/>
      <c r="G1202" s="275"/>
      <c r="H1202" s="274"/>
      <c r="I1202" s="274"/>
      <c r="J1202" s="275"/>
      <c r="K1202" s="274"/>
    </row>
    <row r="1203" spans="1:11">
      <c r="A1203" s="275"/>
      <c r="B1203" s="275"/>
      <c r="C1203" s="275"/>
      <c r="D1203" s="275"/>
      <c r="E1203" s="275"/>
      <c r="F1203" s="275"/>
      <c r="G1203" s="275"/>
      <c r="H1203" s="274"/>
      <c r="I1203" s="274"/>
      <c r="J1203" s="275"/>
      <c r="K1203" s="274"/>
    </row>
    <row r="1204" spans="1:11">
      <c r="A1204" s="275"/>
      <c r="B1204" s="275"/>
      <c r="C1204" s="275"/>
      <c r="D1204" s="275"/>
      <c r="E1204" s="275"/>
      <c r="F1204" s="275"/>
      <c r="G1204" s="275"/>
      <c r="H1204" s="274"/>
      <c r="I1204" s="274"/>
      <c r="J1204" s="275"/>
      <c r="K1204" s="274"/>
    </row>
    <row r="1205" spans="1:11">
      <c r="A1205" s="275"/>
      <c r="B1205" s="275"/>
      <c r="C1205" s="275"/>
      <c r="D1205" s="275"/>
      <c r="E1205" s="275"/>
      <c r="F1205" s="275"/>
      <c r="G1205" s="275"/>
      <c r="H1205" s="274"/>
      <c r="I1205" s="274"/>
      <c r="J1205" s="275"/>
      <c r="K1205" s="274"/>
    </row>
    <row r="1206" spans="1:11">
      <c r="A1206" s="275"/>
      <c r="B1206" s="275"/>
      <c r="C1206" s="275"/>
      <c r="D1206" s="275"/>
      <c r="E1206" s="275"/>
      <c r="F1206" s="275"/>
      <c r="G1206" s="275"/>
      <c r="H1206" s="274"/>
      <c r="I1206" s="274"/>
      <c r="J1206" s="275"/>
      <c r="K1206" s="274"/>
    </row>
    <row r="1207" spans="1:11">
      <c r="A1207" s="275"/>
      <c r="B1207" s="275"/>
      <c r="C1207" s="275"/>
      <c r="D1207" s="275"/>
      <c r="E1207" s="275"/>
      <c r="F1207" s="275"/>
      <c r="G1207" s="275"/>
      <c r="H1207" s="274"/>
      <c r="I1207" s="274"/>
      <c r="J1207" s="275"/>
      <c r="K1207" s="274"/>
    </row>
    <row r="1208" spans="1:11">
      <c r="A1208" s="275"/>
      <c r="B1208" s="275"/>
      <c r="C1208" s="275"/>
      <c r="D1208" s="275"/>
      <c r="E1208" s="275"/>
      <c r="F1208" s="275"/>
      <c r="G1208" s="275"/>
      <c r="H1208" s="274"/>
      <c r="I1208" s="274"/>
      <c r="J1208" s="275"/>
      <c r="K1208" s="274"/>
    </row>
    <row r="1209" spans="1:11">
      <c r="A1209" s="275"/>
      <c r="B1209" s="275"/>
      <c r="C1209" s="275"/>
      <c r="D1209" s="275"/>
      <c r="E1209" s="275"/>
      <c r="F1209" s="275"/>
      <c r="G1209" s="275"/>
      <c r="H1209" s="274"/>
      <c r="I1209" s="274"/>
      <c r="J1209" s="275"/>
      <c r="K1209" s="274"/>
    </row>
    <row r="1210" spans="1:11">
      <c r="A1210" s="275"/>
      <c r="B1210" s="275"/>
      <c r="C1210" s="275"/>
      <c r="D1210" s="275"/>
      <c r="E1210" s="275"/>
      <c r="F1210" s="275"/>
      <c r="G1210" s="275"/>
      <c r="H1210" s="274"/>
      <c r="I1210" s="274"/>
      <c r="J1210" s="275"/>
      <c r="K1210" s="274"/>
    </row>
    <row r="1211" spans="1:11">
      <c r="A1211" s="275"/>
      <c r="B1211" s="275"/>
      <c r="C1211" s="275"/>
      <c r="D1211" s="275"/>
      <c r="E1211" s="275"/>
      <c r="F1211" s="275"/>
      <c r="G1211" s="275"/>
      <c r="H1211" s="274"/>
      <c r="I1211" s="274"/>
      <c r="J1211" s="275"/>
      <c r="K1211" s="274"/>
    </row>
    <row r="1212" spans="1:11">
      <c r="A1212" s="275"/>
      <c r="B1212" s="275"/>
      <c r="C1212" s="275"/>
      <c r="D1212" s="275"/>
      <c r="E1212" s="275"/>
      <c r="F1212" s="275"/>
      <c r="G1212" s="275"/>
      <c r="H1212" s="274"/>
      <c r="I1212" s="274"/>
      <c r="J1212" s="275"/>
      <c r="K1212" s="274"/>
    </row>
    <row r="1213" spans="1:11">
      <c r="A1213" s="275"/>
      <c r="B1213" s="275"/>
      <c r="C1213" s="275"/>
      <c r="D1213" s="275"/>
      <c r="E1213" s="275"/>
      <c r="F1213" s="275"/>
      <c r="G1213" s="275"/>
      <c r="H1213" s="274"/>
      <c r="I1213" s="274"/>
      <c r="J1213" s="275"/>
      <c r="K1213" s="274"/>
    </row>
    <row r="1214" spans="1:11">
      <c r="A1214" s="275"/>
      <c r="B1214" s="275"/>
      <c r="C1214" s="275"/>
      <c r="D1214" s="275"/>
      <c r="E1214" s="275"/>
      <c r="F1214" s="275"/>
      <c r="G1214" s="275"/>
      <c r="H1214" s="274"/>
      <c r="I1214" s="274"/>
      <c r="J1214" s="275"/>
      <c r="K1214" s="274"/>
    </row>
    <row r="1215" spans="1:11">
      <c r="A1215" s="275"/>
      <c r="B1215" s="275"/>
      <c r="C1215" s="275"/>
      <c r="D1215" s="275"/>
      <c r="E1215" s="275"/>
      <c r="F1215" s="275"/>
      <c r="G1215" s="275"/>
      <c r="H1215" s="274"/>
      <c r="I1215" s="274"/>
      <c r="J1215" s="275"/>
      <c r="K1215" s="274"/>
    </row>
    <row r="1216" spans="1:11">
      <c r="A1216" s="275"/>
      <c r="B1216" s="275"/>
      <c r="C1216" s="275"/>
      <c r="D1216" s="275"/>
      <c r="E1216" s="275"/>
      <c r="F1216" s="275"/>
      <c r="G1216" s="275"/>
      <c r="H1216" s="274"/>
      <c r="I1216" s="274"/>
      <c r="J1216" s="275"/>
      <c r="K1216" s="274"/>
    </row>
    <row r="1217" spans="1:11">
      <c r="A1217" s="275"/>
      <c r="B1217" s="275"/>
      <c r="C1217" s="275"/>
      <c r="D1217" s="275"/>
      <c r="E1217" s="275"/>
      <c r="F1217" s="275"/>
      <c r="G1217" s="275"/>
      <c r="H1217" s="274"/>
      <c r="I1217" s="274"/>
      <c r="J1217" s="275"/>
      <c r="K1217" s="274"/>
    </row>
    <row r="1218" spans="1:11">
      <c r="A1218" s="275"/>
      <c r="B1218" s="275"/>
      <c r="C1218" s="275"/>
      <c r="D1218" s="275"/>
      <c r="E1218" s="275"/>
      <c r="F1218" s="275"/>
      <c r="G1218" s="275"/>
      <c r="H1218" s="274"/>
      <c r="I1218" s="274"/>
      <c r="J1218" s="275"/>
      <c r="K1218" s="274"/>
    </row>
    <row r="1219" spans="1:11">
      <c r="A1219" s="275"/>
      <c r="B1219" s="275"/>
      <c r="C1219" s="275"/>
      <c r="D1219" s="275"/>
      <c r="E1219" s="275"/>
      <c r="F1219" s="275"/>
      <c r="G1219" s="275"/>
      <c r="H1219" s="274"/>
      <c r="I1219" s="274"/>
      <c r="J1219" s="275"/>
      <c r="K1219" s="274"/>
    </row>
    <row r="1220" spans="1:11">
      <c r="A1220" s="275"/>
      <c r="B1220" s="275"/>
      <c r="C1220" s="275"/>
      <c r="D1220" s="275"/>
      <c r="E1220" s="275"/>
      <c r="F1220" s="275"/>
      <c r="G1220" s="275"/>
      <c r="H1220" s="274"/>
      <c r="I1220" s="274"/>
      <c r="J1220" s="275"/>
      <c r="K1220" s="274"/>
    </row>
    <row r="1221" spans="1:11">
      <c r="A1221" s="275"/>
      <c r="B1221" s="275"/>
      <c r="C1221" s="275"/>
      <c r="D1221" s="275"/>
      <c r="E1221" s="275"/>
      <c r="F1221" s="275"/>
      <c r="G1221" s="275"/>
      <c r="H1221" s="274"/>
      <c r="I1221" s="274"/>
      <c r="J1221" s="275"/>
      <c r="K1221" s="274"/>
    </row>
    <row r="1222" spans="1:11">
      <c r="A1222" s="275"/>
      <c r="B1222" s="275"/>
      <c r="C1222" s="275"/>
      <c r="D1222" s="275"/>
      <c r="E1222" s="275"/>
      <c r="F1222" s="275"/>
      <c r="G1222" s="275"/>
      <c r="H1222" s="274"/>
      <c r="I1222" s="274"/>
      <c r="J1222" s="275"/>
      <c r="K1222" s="274"/>
    </row>
    <row r="1223" spans="1:11">
      <c r="A1223" s="275"/>
      <c r="B1223" s="275"/>
      <c r="C1223" s="275"/>
      <c r="D1223" s="275"/>
      <c r="E1223" s="275"/>
      <c r="F1223" s="275"/>
      <c r="G1223" s="275"/>
      <c r="H1223" s="274"/>
      <c r="I1223" s="274"/>
      <c r="J1223" s="275"/>
      <c r="K1223" s="274"/>
    </row>
    <row r="1224" spans="1:11">
      <c r="A1224" s="275"/>
      <c r="B1224" s="275"/>
      <c r="C1224" s="275"/>
      <c r="D1224" s="275"/>
      <c r="E1224" s="275"/>
      <c r="F1224" s="275"/>
      <c r="G1224" s="275"/>
      <c r="H1224" s="274"/>
      <c r="I1224" s="274"/>
      <c r="J1224" s="275"/>
      <c r="K1224" s="274"/>
    </row>
    <row r="1225" spans="1:11">
      <c r="A1225" s="275"/>
      <c r="B1225" s="275"/>
      <c r="C1225" s="275"/>
      <c r="D1225" s="275"/>
      <c r="E1225" s="275"/>
      <c r="F1225" s="275"/>
      <c r="G1225" s="275"/>
      <c r="H1225" s="274"/>
      <c r="I1225" s="274"/>
      <c r="J1225" s="275"/>
      <c r="K1225" s="274"/>
    </row>
    <row r="1226" spans="1:11">
      <c r="A1226" s="275"/>
      <c r="B1226" s="275"/>
      <c r="C1226" s="275"/>
      <c r="D1226" s="275"/>
      <c r="E1226" s="275"/>
      <c r="F1226" s="275"/>
      <c r="G1226" s="275"/>
      <c r="H1226" s="274"/>
      <c r="I1226" s="274"/>
      <c r="J1226" s="275"/>
      <c r="K1226" s="274"/>
    </row>
    <row r="1227" spans="1:11">
      <c r="A1227" s="275"/>
      <c r="B1227" s="275"/>
      <c r="C1227" s="275"/>
      <c r="D1227" s="275"/>
      <c r="E1227" s="275"/>
      <c r="F1227" s="275"/>
      <c r="G1227" s="275"/>
      <c r="H1227" s="274"/>
      <c r="I1227" s="274"/>
      <c r="J1227" s="275"/>
      <c r="K1227" s="274"/>
    </row>
    <row r="1228" spans="1:11">
      <c r="A1228" s="275"/>
      <c r="B1228" s="275"/>
      <c r="C1228" s="275"/>
      <c r="D1228" s="275"/>
      <c r="E1228" s="275"/>
      <c r="F1228" s="275"/>
      <c r="G1228" s="275"/>
      <c r="H1228" s="274"/>
      <c r="I1228" s="274"/>
      <c r="J1228" s="275"/>
      <c r="K1228" s="274"/>
    </row>
    <row r="1229" spans="1:11">
      <c r="A1229" s="275"/>
      <c r="B1229" s="275"/>
      <c r="C1229" s="275"/>
      <c r="D1229" s="275"/>
      <c r="E1229" s="275"/>
      <c r="F1229" s="275"/>
      <c r="G1229" s="275"/>
      <c r="H1229" s="274"/>
      <c r="I1229" s="274"/>
      <c r="J1229" s="275"/>
      <c r="K1229" s="274"/>
    </row>
    <row r="1230" spans="1:11">
      <c r="A1230" s="275"/>
      <c r="B1230" s="275"/>
      <c r="C1230" s="275"/>
      <c r="D1230" s="275"/>
      <c r="E1230" s="275"/>
      <c r="F1230" s="275"/>
      <c r="G1230" s="275"/>
      <c r="H1230" s="274"/>
      <c r="I1230" s="274"/>
      <c r="J1230" s="275"/>
      <c r="K1230" s="274"/>
    </row>
    <row r="1231" spans="1:11">
      <c r="A1231" s="275"/>
      <c r="B1231" s="275"/>
      <c r="C1231" s="275"/>
      <c r="D1231" s="275"/>
      <c r="E1231" s="275"/>
      <c r="F1231" s="275"/>
      <c r="G1231" s="275"/>
      <c r="H1231" s="274"/>
      <c r="I1231" s="274"/>
      <c r="J1231" s="275"/>
      <c r="K1231" s="274"/>
    </row>
    <row r="1232" spans="1:11">
      <c r="A1232" s="275"/>
      <c r="B1232" s="275"/>
      <c r="C1232" s="275"/>
      <c r="D1232" s="275"/>
      <c r="E1232" s="275"/>
      <c r="F1232" s="275"/>
      <c r="G1232" s="275"/>
      <c r="H1232" s="274"/>
      <c r="I1232" s="274"/>
      <c r="J1232" s="275"/>
      <c r="K1232" s="274"/>
    </row>
    <row r="1233" spans="1:11">
      <c r="A1233" s="275"/>
      <c r="B1233" s="275"/>
      <c r="C1233" s="275"/>
      <c r="D1233" s="275"/>
      <c r="E1233" s="275"/>
      <c r="F1233" s="275"/>
      <c r="G1233" s="275"/>
      <c r="H1233" s="274"/>
      <c r="I1233" s="274"/>
      <c r="J1233" s="275"/>
      <c r="K1233" s="274"/>
    </row>
    <row r="1234" spans="1:11">
      <c r="A1234" s="275"/>
      <c r="B1234" s="275"/>
      <c r="C1234" s="275"/>
      <c r="D1234" s="275"/>
      <c r="E1234" s="275"/>
      <c r="F1234" s="275"/>
      <c r="G1234" s="275"/>
      <c r="H1234" s="274"/>
      <c r="I1234" s="274"/>
      <c r="J1234" s="275"/>
      <c r="K1234" s="274"/>
    </row>
    <row r="1235" spans="1:11">
      <c r="A1235" s="275"/>
      <c r="B1235" s="275"/>
      <c r="C1235" s="275"/>
      <c r="D1235" s="275"/>
      <c r="E1235" s="275"/>
      <c r="F1235" s="275"/>
      <c r="G1235" s="275"/>
      <c r="H1235" s="274"/>
      <c r="I1235" s="274"/>
      <c r="J1235" s="275"/>
      <c r="K1235" s="274"/>
    </row>
    <row r="1236" spans="1:11">
      <c r="A1236" s="275"/>
      <c r="B1236" s="275"/>
      <c r="C1236" s="275"/>
      <c r="D1236" s="275"/>
      <c r="E1236" s="275"/>
      <c r="F1236" s="275"/>
      <c r="G1236" s="275"/>
      <c r="H1236" s="274"/>
      <c r="I1236" s="274"/>
      <c r="J1236" s="275"/>
      <c r="K1236" s="274"/>
    </row>
    <row r="1237" spans="1:11">
      <c r="A1237" s="275"/>
      <c r="B1237" s="275"/>
      <c r="C1237" s="275"/>
      <c r="D1237" s="275"/>
      <c r="E1237" s="275"/>
      <c r="F1237" s="275"/>
      <c r="G1237" s="275"/>
      <c r="H1237" s="274"/>
      <c r="I1237" s="274"/>
      <c r="J1237" s="275"/>
      <c r="K1237" s="274"/>
    </row>
    <row r="1238" spans="1:11">
      <c r="A1238" s="275"/>
      <c r="B1238" s="275"/>
      <c r="C1238" s="275"/>
      <c r="D1238" s="275"/>
      <c r="E1238" s="275"/>
      <c r="F1238" s="275"/>
      <c r="G1238" s="275"/>
      <c r="H1238" s="274"/>
      <c r="I1238" s="274"/>
      <c r="J1238" s="275"/>
      <c r="K1238" s="274"/>
    </row>
    <row r="1239" spans="1:11">
      <c r="A1239" s="275"/>
      <c r="B1239" s="275"/>
      <c r="C1239" s="275"/>
      <c r="D1239" s="275"/>
      <c r="E1239" s="275"/>
      <c r="F1239" s="275"/>
      <c r="G1239" s="275"/>
      <c r="H1239" s="274"/>
      <c r="I1239" s="274"/>
      <c r="J1239" s="275"/>
      <c r="K1239" s="274"/>
    </row>
    <row r="1240" spans="1:11">
      <c r="A1240" s="275"/>
      <c r="B1240" s="275"/>
      <c r="C1240" s="275"/>
      <c r="D1240" s="275"/>
      <c r="E1240" s="275"/>
      <c r="F1240" s="275"/>
      <c r="G1240" s="275"/>
      <c r="H1240" s="274"/>
      <c r="I1240" s="274"/>
      <c r="J1240" s="275"/>
      <c r="K1240" s="274"/>
    </row>
    <row r="1241" spans="1:11">
      <c r="A1241" s="275"/>
      <c r="B1241" s="275"/>
      <c r="C1241" s="275"/>
      <c r="D1241" s="275"/>
      <c r="E1241" s="275"/>
      <c r="F1241" s="275"/>
      <c r="G1241" s="275"/>
      <c r="H1241" s="274"/>
      <c r="I1241" s="274"/>
      <c r="J1241" s="275"/>
      <c r="K1241" s="274"/>
    </row>
    <row r="1242" spans="1:11">
      <c r="A1242" s="275"/>
      <c r="B1242" s="275"/>
      <c r="C1242" s="275"/>
      <c r="D1242" s="275"/>
      <c r="E1242" s="275"/>
      <c r="F1242" s="275"/>
      <c r="G1242" s="275"/>
      <c r="H1242" s="274"/>
      <c r="I1242" s="274"/>
      <c r="J1242" s="275"/>
      <c r="K1242" s="274"/>
    </row>
    <row r="1243" spans="1:11">
      <c r="A1243" s="275"/>
      <c r="B1243" s="275"/>
      <c r="C1243" s="275"/>
      <c r="D1243" s="275"/>
      <c r="E1243" s="275"/>
      <c r="F1243" s="275"/>
      <c r="G1243" s="275"/>
      <c r="H1243" s="274"/>
      <c r="I1243" s="274"/>
      <c r="J1243" s="275"/>
      <c r="K1243" s="274"/>
    </row>
    <row r="1244" spans="1:11">
      <c r="A1244" s="275"/>
      <c r="B1244" s="275"/>
      <c r="C1244" s="275"/>
      <c r="D1244" s="275"/>
      <c r="E1244" s="275"/>
      <c r="F1244" s="275"/>
      <c r="G1244" s="275"/>
      <c r="H1244" s="274"/>
      <c r="I1244" s="274"/>
      <c r="J1244" s="275"/>
      <c r="K1244" s="274"/>
    </row>
    <row r="1245" spans="1:11">
      <c r="A1245" s="275"/>
      <c r="B1245" s="275"/>
      <c r="C1245" s="275"/>
      <c r="D1245" s="275"/>
      <c r="E1245" s="275"/>
      <c r="F1245" s="275"/>
      <c r="G1245" s="275"/>
      <c r="H1245" s="274"/>
      <c r="I1245" s="274"/>
      <c r="J1245" s="275"/>
      <c r="K1245" s="274"/>
    </row>
    <row r="1246" spans="1:11">
      <c r="A1246" s="275"/>
      <c r="B1246" s="275"/>
      <c r="C1246" s="275"/>
      <c r="D1246" s="275"/>
      <c r="E1246" s="275"/>
      <c r="F1246" s="275"/>
      <c r="G1246" s="275"/>
      <c r="H1246" s="274"/>
      <c r="I1246" s="274"/>
      <c r="J1246" s="275"/>
      <c r="K1246" s="274"/>
    </row>
    <row r="1247" spans="1:11">
      <c r="A1247" s="275"/>
      <c r="B1247" s="275"/>
      <c r="C1247" s="275"/>
      <c r="D1247" s="275"/>
      <c r="E1247" s="275"/>
      <c r="F1247" s="275"/>
      <c r="G1247" s="275"/>
      <c r="H1247" s="274"/>
      <c r="I1247" s="274"/>
      <c r="J1247" s="275"/>
      <c r="K1247" s="274"/>
    </row>
    <row r="1248" spans="1:11">
      <c r="A1248" s="275"/>
      <c r="B1248" s="275"/>
      <c r="C1248" s="275"/>
      <c r="D1248" s="275"/>
      <c r="E1248" s="275"/>
      <c r="F1248" s="275"/>
      <c r="G1248" s="275"/>
      <c r="H1248" s="274"/>
      <c r="I1248" s="274"/>
      <c r="J1248" s="275"/>
      <c r="K1248" s="274"/>
    </row>
    <row r="1249" spans="1:11">
      <c r="A1249" s="275"/>
      <c r="B1249" s="275"/>
      <c r="C1249" s="275"/>
      <c r="D1249" s="275"/>
      <c r="E1249" s="275"/>
      <c r="F1249" s="275"/>
      <c r="G1249" s="275"/>
      <c r="H1249" s="274"/>
      <c r="I1249" s="274"/>
      <c r="J1249" s="275"/>
      <c r="K1249" s="274"/>
    </row>
    <row r="1250" spans="1:11">
      <c r="A1250" s="275"/>
      <c r="B1250" s="275"/>
      <c r="C1250" s="275"/>
      <c r="D1250" s="275"/>
      <c r="E1250" s="275"/>
      <c r="F1250" s="275"/>
      <c r="G1250" s="275"/>
      <c r="H1250" s="274"/>
      <c r="I1250" s="274"/>
      <c r="J1250" s="275"/>
      <c r="K1250" s="274"/>
    </row>
    <row r="1251" spans="1:11">
      <c r="A1251" s="275"/>
      <c r="B1251" s="275"/>
      <c r="C1251" s="275"/>
      <c r="D1251" s="275"/>
      <c r="E1251" s="275"/>
      <c r="F1251" s="275"/>
      <c r="G1251" s="275"/>
      <c r="H1251" s="274"/>
      <c r="I1251" s="274"/>
      <c r="J1251" s="275"/>
      <c r="K1251" s="274"/>
    </row>
    <row r="1252" spans="1:11">
      <c r="A1252" s="275"/>
      <c r="B1252" s="275"/>
      <c r="C1252" s="275"/>
      <c r="D1252" s="275"/>
      <c r="E1252" s="275"/>
      <c r="F1252" s="275"/>
      <c r="G1252" s="275"/>
      <c r="H1252" s="274"/>
      <c r="I1252" s="274"/>
      <c r="J1252" s="275"/>
      <c r="K1252" s="274"/>
    </row>
    <row r="1253" spans="1:11">
      <c r="A1253" s="275"/>
      <c r="B1253" s="275"/>
      <c r="C1253" s="275"/>
      <c r="D1253" s="275"/>
      <c r="E1253" s="275"/>
      <c r="F1253" s="275"/>
      <c r="G1253" s="275"/>
      <c r="H1253" s="274"/>
      <c r="I1253" s="274"/>
      <c r="J1253" s="275"/>
      <c r="K1253" s="274"/>
    </row>
    <row r="1254" spans="1:11">
      <c r="A1254" s="275"/>
      <c r="B1254" s="275"/>
      <c r="C1254" s="275"/>
      <c r="D1254" s="275"/>
      <c r="E1254" s="275"/>
      <c r="F1254" s="275"/>
      <c r="G1254" s="275"/>
      <c r="H1254" s="274"/>
      <c r="I1254" s="274"/>
      <c r="J1254" s="275"/>
      <c r="K1254" s="274"/>
    </row>
    <row r="1255" spans="1:11">
      <c r="A1255" s="275"/>
      <c r="B1255" s="275"/>
      <c r="C1255" s="275"/>
      <c r="D1255" s="275"/>
      <c r="E1255" s="275"/>
      <c r="F1255" s="275"/>
      <c r="G1255" s="275"/>
      <c r="H1255" s="274"/>
      <c r="I1255" s="274"/>
      <c r="J1255" s="275"/>
      <c r="K1255" s="274"/>
    </row>
    <row r="1256" spans="1:11">
      <c r="A1256" s="275"/>
      <c r="B1256" s="275"/>
      <c r="C1256" s="275"/>
      <c r="D1256" s="275"/>
      <c r="E1256" s="275"/>
      <c r="F1256" s="275"/>
      <c r="G1256" s="275"/>
      <c r="H1256" s="274"/>
      <c r="I1256" s="274"/>
      <c r="J1256" s="275"/>
      <c r="K1256" s="274"/>
    </row>
    <row r="1257" spans="1:11">
      <c r="A1257" s="275"/>
      <c r="B1257" s="275"/>
      <c r="C1257" s="275"/>
      <c r="D1257" s="275"/>
      <c r="E1257" s="275"/>
      <c r="F1257" s="275"/>
      <c r="G1257" s="275"/>
      <c r="H1257" s="274"/>
      <c r="I1257" s="274"/>
      <c r="J1257" s="275"/>
      <c r="K1257" s="274"/>
    </row>
    <row r="1258" spans="1:11">
      <c r="A1258" s="275"/>
      <c r="B1258" s="275"/>
      <c r="C1258" s="275"/>
      <c r="D1258" s="275"/>
      <c r="E1258" s="275"/>
      <c r="F1258" s="275"/>
      <c r="G1258" s="275"/>
      <c r="H1258" s="274"/>
      <c r="I1258" s="274"/>
      <c r="J1258" s="275"/>
      <c r="K1258" s="274"/>
    </row>
    <row r="1259" spans="1:11">
      <c r="A1259" s="275"/>
      <c r="B1259" s="275"/>
      <c r="C1259" s="275"/>
      <c r="D1259" s="275"/>
      <c r="E1259" s="275"/>
      <c r="F1259" s="275"/>
      <c r="G1259" s="275"/>
      <c r="H1259" s="274"/>
      <c r="I1259" s="274"/>
      <c r="J1259" s="275"/>
      <c r="K1259" s="274"/>
    </row>
    <row r="1260" spans="1:11">
      <c r="A1260" s="275"/>
      <c r="B1260" s="275"/>
      <c r="C1260" s="275"/>
      <c r="D1260" s="275"/>
      <c r="E1260" s="275"/>
      <c r="F1260" s="275"/>
      <c r="G1260" s="275"/>
      <c r="H1260" s="274"/>
      <c r="I1260" s="274"/>
      <c r="J1260" s="275"/>
      <c r="K1260" s="274"/>
    </row>
    <row r="1261" spans="1:11">
      <c r="A1261" s="275"/>
      <c r="B1261" s="275"/>
      <c r="C1261" s="275"/>
      <c r="D1261" s="275"/>
      <c r="E1261" s="275"/>
      <c r="F1261" s="275"/>
      <c r="G1261" s="275"/>
      <c r="H1261" s="274"/>
      <c r="I1261" s="274"/>
      <c r="J1261" s="275"/>
      <c r="K1261" s="274"/>
    </row>
    <row r="1262" spans="1:11">
      <c r="A1262" s="275"/>
      <c r="B1262" s="275"/>
      <c r="C1262" s="275"/>
      <c r="D1262" s="275"/>
      <c r="E1262" s="275"/>
      <c r="F1262" s="275"/>
      <c r="G1262" s="275"/>
      <c r="H1262" s="274"/>
      <c r="I1262" s="274"/>
      <c r="J1262" s="275"/>
      <c r="K1262" s="274"/>
    </row>
    <row r="1263" spans="1:11">
      <c r="A1263" s="275"/>
      <c r="B1263" s="275"/>
      <c r="C1263" s="275"/>
      <c r="D1263" s="275"/>
      <c r="E1263" s="275"/>
      <c r="F1263" s="275"/>
      <c r="G1263" s="275"/>
      <c r="H1263" s="274"/>
      <c r="I1263" s="274"/>
      <c r="J1263" s="275"/>
      <c r="K1263" s="274"/>
    </row>
    <row r="1264" spans="1:11">
      <c r="A1264" s="275"/>
      <c r="B1264" s="275"/>
      <c r="C1264" s="275"/>
      <c r="D1264" s="275"/>
      <c r="E1264" s="275"/>
      <c r="F1264" s="275"/>
      <c r="G1264" s="275"/>
      <c r="H1264" s="274"/>
      <c r="I1264" s="274"/>
      <c r="J1264" s="275"/>
      <c r="K1264" s="274"/>
    </row>
    <row r="1265" spans="1:11">
      <c r="A1265" s="275"/>
      <c r="B1265" s="275"/>
      <c r="C1265" s="275"/>
      <c r="D1265" s="275"/>
      <c r="E1265" s="275"/>
      <c r="F1265" s="275"/>
      <c r="G1265" s="275"/>
      <c r="H1265" s="274"/>
      <c r="I1265" s="274"/>
      <c r="J1265" s="275"/>
      <c r="K1265" s="274"/>
    </row>
    <row r="1266" spans="1:11">
      <c r="A1266" s="275"/>
      <c r="B1266" s="275"/>
      <c r="C1266" s="275"/>
      <c r="D1266" s="275"/>
      <c r="E1266" s="275"/>
      <c r="F1266" s="275"/>
      <c r="G1266" s="275"/>
      <c r="H1266" s="274"/>
      <c r="I1266" s="274"/>
      <c r="J1266" s="275"/>
      <c r="K1266" s="274"/>
    </row>
    <row r="1267" spans="1:11">
      <c r="A1267" s="275"/>
      <c r="B1267" s="275"/>
      <c r="C1267" s="275"/>
      <c r="D1267" s="275"/>
      <c r="E1267" s="275"/>
      <c r="F1267" s="275"/>
      <c r="G1267" s="275"/>
      <c r="H1267" s="274"/>
      <c r="I1267" s="274"/>
      <c r="J1267" s="275"/>
      <c r="K1267" s="274"/>
    </row>
    <row r="1268" spans="1:11">
      <c r="A1268" s="275"/>
      <c r="B1268" s="275"/>
      <c r="C1268" s="275"/>
      <c r="D1268" s="275"/>
      <c r="E1268" s="275"/>
      <c r="F1268" s="275"/>
      <c r="G1268" s="275"/>
      <c r="H1268" s="274"/>
      <c r="I1268" s="274"/>
      <c r="J1268" s="275"/>
      <c r="K1268" s="274"/>
    </row>
    <row r="1269" spans="1:11">
      <c r="A1269" s="275"/>
      <c r="B1269" s="275"/>
      <c r="C1269" s="275"/>
      <c r="D1269" s="275"/>
      <c r="E1269" s="275"/>
      <c r="F1269" s="275"/>
      <c r="G1269" s="275"/>
      <c r="H1269" s="274"/>
      <c r="I1269" s="274"/>
      <c r="J1269" s="275"/>
      <c r="K1269" s="274"/>
    </row>
    <row r="1270" spans="1:11">
      <c r="A1270" s="275"/>
      <c r="B1270" s="275"/>
      <c r="C1270" s="275"/>
      <c r="D1270" s="275"/>
      <c r="E1270" s="275"/>
      <c r="F1270" s="275"/>
      <c r="G1270" s="275"/>
      <c r="H1270" s="274"/>
      <c r="I1270" s="274"/>
      <c r="J1270" s="275"/>
      <c r="K1270" s="274"/>
    </row>
    <row r="1271" spans="1:11">
      <c r="A1271" s="275"/>
      <c r="B1271" s="275"/>
      <c r="C1271" s="275"/>
      <c r="D1271" s="275"/>
      <c r="E1271" s="275"/>
      <c r="F1271" s="275"/>
      <c r="G1271" s="275"/>
      <c r="H1271" s="274"/>
      <c r="I1271" s="274"/>
      <c r="J1271" s="275"/>
      <c r="K1271" s="274"/>
    </row>
    <row r="1272" spans="1:11">
      <c r="A1272" s="275"/>
      <c r="B1272" s="275"/>
      <c r="C1272" s="275"/>
      <c r="D1272" s="275"/>
      <c r="E1272" s="275"/>
      <c r="F1272" s="275"/>
      <c r="G1272" s="275"/>
      <c r="H1272" s="274"/>
      <c r="I1272" s="274"/>
      <c r="J1272" s="275"/>
      <c r="K1272" s="274"/>
    </row>
    <row r="1273" spans="1:11">
      <c r="A1273" s="275"/>
      <c r="B1273" s="275"/>
      <c r="C1273" s="275"/>
      <c r="D1273" s="275"/>
      <c r="E1273" s="275"/>
      <c r="F1273" s="275"/>
      <c r="G1273" s="275"/>
      <c r="H1273" s="274"/>
      <c r="I1273" s="274"/>
      <c r="J1273" s="275"/>
      <c r="K1273" s="274"/>
    </row>
    <row r="1274" spans="1:11">
      <c r="A1274" s="275"/>
      <c r="B1274" s="275"/>
      <c r="C1274" s="275"/>
      <c r="D1274" s="275"/>
      <c r="E1274" s="275"/>
      <c r="F1274" s="275"/>
      <c r="G1274" s="275"/>
      <c r="H1274" s="274"/>
      <c r="I1274" s="274"/>
      <c r="J1274" s="275"/>
      <c r="K1274" s="274"/>
    </row>
    <row r="1275" spans="1:11">
      <c r="A1275" s="275"/>
      <c r="B1275" s="275"/>
      <c r="C1275" s="275"/>
      <c r="D1275" s="275"/>
      <c r="E1275" s="275"/>
      <c r="F1275" s="275"/>
      <c r="G1275" s="275"/>
      <c r="H1275" s="274"/>
      <c r="I1275" s="274"/>
      <c r="J1275" s="275"/>
      <c r="K1275" s="274"/>
    </row>
    <row r="1276" spans="1:11">
      <c r="A1276" s="275"/>
      <c r="B1276" s="275"/>
      <c r="C1276" s="275"/>
      <c r="D1276" s="275"/>
      <c r="E1276" s="275"/>
      <c r="F1276" s="275"/>
      <c r="G1276" s="275"/>
      <c r="H1276" s="274"/>
      <c r="I1276" s="274"/>
      <c r="J1276" s="275"/>
      <c r="K1276" s="274"/>
    </row>
    <row r="1277" spans="1:11">
      <c r="A1277" s="275"/>
      <c r="B1277" s="275"/>
      <c r="C1277" s="275"/>
      <c r="D1277" s="275"/>
      <c r="E1277" s="275"/>
      <c r="F1277" s="275"/>
      <c r="G1277" s="275"/>
      <c r="H1277" s="274"/>
      <c r="I1277" s="274"/>
      <c r="J1277" s="275"/>
      <c r="K1277" s="274"/>
    </row>
    <row r="1278" spans="1:11">
      <c r="A1278" s="275"/>
      <c r="B1278" s="275"/>
      <c r="C1278" s="275"/>
      <c r="D1278" s="275"/>
      <c r="E1278" s="275"/>
      <c r="F1278" s="275"/>
      <c r="G1278" s="275"/>
      <c r="H1278" s="274"/>
      <c r="I1278" s="274"/>
      <c r="J1278" s="275"/>
      <c r="K1278" s="274"/>
    </row>
    <row r="1279" spans="1:11">
      <c r="A1279" s="275"/>
      <c r="B1279" s="275"/>
      <c r="C1279" s="275"/>
      <c r="D1279" s="275"/>
      <c r="E1279" s="275"/>
      <c r="F1279" s="275"/>
      <c r="G1279" s="275"/>
      <c r="H1279" s="274"/>
      <c r="I1279" s="274"/>
      <c r="J1279" s="275"/>
      <c r="K1279" s="274"/>
    </row>
    <row r="1280" spans="1:11">
      <c r="A1280" s="275"/>
      <c r="B1280" s="275"/>
      <c r="C1280" s="275"/>
      <c r="D1280" s="275"/>
      <c r="E1280" s="275"/>
      <c r="F1280" s="275"/>
      <c r="G1280" s="275"/>
      <c r="H1280" s="274"/>
      <c r="I1280" s="274"/>
      <c r="J1280" s="275"/>
      <c r="K1280" s="274"/>
    </row>
    <row r="1281" spans="1:11">
      <c r="A1281" s="275"/>
      <c r="B1281" s="275"/>
      <c r="C1281" s="275"/>
      <c r="D1281" s="275"/>
      <c r="E1281" s="275"/>
      <c r="F1281" s="275"/>
      <c r="G1281" s="275"/>
      <c r="H1281" s="274"/>
      <c r="I1281" s="274"/>
      <c r="J1281" s="275"/>
      <c r="K1281" s="274"/>
    </row>
    <row r="1282" spans="1:11">
      <c r="A1282" s="275"/>
      <c r="B1282" s="275"/>
      <c r="C1282" s="275"/>
      <c r="D1282" s="275"/>
      <c r="E1282" s="275"/>
      <c r="F1282" s="275"/>
      <c r="G1282" s="275"/>
      <c r="H1282" s="274"/>
      <c r="I1282" s="274"/>
      <c r="J1282" s="275"/>
      <c r="K1282" s="274"/>
    </row>
    <row r="1283" spans="1:11">
      <c r="A1283" s="275"/>
      <c r="B1283" s="275"/>
      <c r="C1283" s="275"/>
      <c r="D1283" s="275"/>
      <c r="E1283" s="275"/>
      <c r="F1283" s="275"/>
      <c r="G1283" s="275"/>
      <c r="H1283" s="274"/>
      <c r="I1283" s="274"/>
      <c r="J1283" s="275"/>
      <c r="K1283" s="274"/>
    </row>
    <row r="1284" spans="1:11">
      <c r="A1284" s="275"/>
      <c r="B1284" s="275"/>
      <c r="C1284" s="275"/>
      <c r="D1284" s="275"/>
      <c r="E1284" s="275"/>
      <c r="F1284" s="275"/>
      <c r="G1284" s="275"/>
      <c r="H1284" s="274"/>
      <c r="I1284" s="274"/>
      <c r="J1284" s="275"/>
      <c r="K1284" s="274"/>
    </row>
    <row r="1285" spans="1:11">
      <c r="A1285" s="275"/>
      <c r="B1285" s="275"/>
      <c r="C1285" s="275"/>
      <c r="D1285" s="275"/>
      <c r="E1285" s="275"/>
      <c r="F1285" s="275"/>
      <c r="G1285" s="275"/>
      <c r="H1285" s="274"/>
      <c r="I1285" s="274"/>
      <c r="J1285" s="275"/>
      <c r="K1285" s="274"/>
    </row>
    <row r="1286" spans="1:11">
      <c r="A1286" s="275"/>
      <c r="B1286" s="275"/>
      <c r="C1286" s="275"/>
      <c r="D1286" s="275"/>
      <c r="E1286" s="275"/>
      <c r="F1286" s="275"/>
      <c r="G1286" s="275"/>
      <c r="H1286" s="274"/>
      <c r="I1286" s="274"/>
      <c r="J1286" s="275"/>
      <c r="K1286" s="274"/>
    </row>
    <row r="1287" spans="1:11">
      <c r="A1287" s="275"/>
      <c r="B1287" s="275"/>
      <c r="C1287" s="275"/>
      <c r="D1287" s="275"/>
      <c r="E1287" s="275"/>
      <c r="F1287" s="275"/>
      <c r="G1287" s="275"/>
      <c r="H1287" s="274"/>
      <c r="I1287" s="274"/>
      <c r="J1287" s="275"/>
      <c r="K1287" s="274"/>
    </row>
    <row r="1288" spans="1:11">
      <c r="A1288" s="275"/>
      <c r="B1288" s="275"/>
      <c r="C1288" s="275"/>
      <c r="D1288" s="275"/>
      <c r="E1288" s="275"/>
      <c r="F1288" s="275"/>
      <c r="G1288" s="275"/>
      <c r="H1288" s="274"/>
      <c r="I1288" s="274"/>
      <c r="J1288" s="275"/>
      <c r="K1288" s="274"/>
    </row>
    <row r="1289" spans="1:11">
      <c r="A1289" s="275"/>
      <c r="B1289" s="275"/>
      <c r="C1289" s="275"/>
      <c r="D1289" s="275"/>
      <c r="E1289" s="275"/>
      <c r="F1289" s="275"/>
      <c r="G1289" s="275"/>
      <c r="H1289" s="274"/>
      <c r="I1289" s="274"/>
      <c r="J1289" s="275"/>
      <c r="K1289" s="274"/>
    </row>
    <row r="1290" spans="1:11">
      <c r="A1290" s="275"/>
      <c r="B1290" s="275"/>
      <c r="C1290" s="275"/>
      <c r="D1290" s="275"/>
      <c r="E1290" s="275"/>
      <c r="F1290" s="275"/>
      <c r="G1290" s="275"/>
      <c r="H1290" s="274"/>
      <c r="I1290" s="274"/>
      <c r="J1290" s="275"/>
      <c r="K1290" s="274"/>
    </row>
    <row r="1291" spans="1:11">
      <c r="A1291" s="275"/>
      <c r="B1291" s="275"/>
      <c r="C1291" s="275"/>
      <c r="D1291" s="275"/>
      <c r="E1291" s="275"/>
      <c r="F1291" s="275"/>
      <c r="G1291" s="275"/>
      <c r="H1291" s="274"/>
      <c r="I1291" s="274"/>
      <c r="J1291" s="275"/>
      <c r="K1291" s="274"/>
    </row>
    <row r="1292" spans="1:11">
      <c r="A1292" s="275"/>
      <c r="B1292" s="275"/>
      <c r="C1292" s="275"/>
      <c r="D1292" s="275"/>
      <c r="E1292" s="275"/>
      <c r="F1292" s="275"/>
      <c r="G1292" s="275"/>
      <c r="H1292" s="274"/>
      <c r="I1292" s="274"/>
      <c r="J1292" s="275"/>
      <c r="K1292" s="274"/>
    </row>
    <row r="1293" spans="1:11">
      <c r="A1293" s="275"/>
      <c r="B1293" s="275"/>
      <c r="C1293" s="275"/>
      <c r="D1293" s="275"/>
      <c r="E1293" s="275"/>
      <c r="F1293" s="275"/>
      <c r="G1293" s="275"/>
      <c r="H1293" s="274"/>
      <c r="I1293" s="274"/>
      <c r="J1293" s="275"/>
      <c r="K1293" s="274"/>
    </row>
    <row r="1294" spans="1:11">
      <c r="A1294" s="275"/>
      <c r="B1294" s="275"/>
      <c r="C1294" s="275"/>
      <c r="D1294" s="275"/>
      <c r="E1294" s="275"/>
      <c r="F1294" s="275"/>
      <c r="G1294" s="275"/>
      <c r="H1294" s="274"/>
      <c r="I1294" s="274"/>
      <c r="J1294" s="275"/>
      <c r="K1294" s="274"/>
    </row>
    <row r="1295" spans="1:11">
      <c r="A1295" s="275"/>
      <c r="B1295" s="275"/>
      <c r="C1295" s="275"/>
      <c r="D1295" s="275"/>
      <c r="E1295" s="275"/>
      <c r="F1295" s="275"/>
      <c r="G1295" s="275"/>
      <c r="H1295" s="274"/>
      <c r="I1295" s="274"/>
      <c r="J1295" s="275"/>
      <c r="K1295" s="274"/>
    </row>
    <row r="1296" spans="1:11">
      <c r="A1296" s="275"/>
      <c r="B1296" s="275"/>
      <c r="C1296" s="275"/>
      <c r="D1296" s="275"/>
      <c r="E1296" s="275"/>
      <c r="F1296" s="275"/>
      <c r="G1296" s="275"/>
      <c r="H1296" s="274"/>
      <c r="I1296" s="274"/>
      <c r="J1296" s="275"/>
      <c r="K1296" s="274"/>
    </row>
    <row r="1297" spans="1:11">
      <c r="A1297" s="275"/>
      <c r="B1297" s="275"/>
      <c r="C1297" s="275"/>
      <c r="D1297" s="275"/>
      <c r="E1297" s="275"/>
      <c r="F1297" s="275"/>
      <c r="G1297" s="275"/>
      <c r="H1297" s="274"/>
      <c r="I1297" s="274"/>
      <c r="J1297" s="275"/>
      <c r="K1297" s="274"/>
    </row>
    <row r="1298" spans="1:11">
      <c r="A1298" s="275"/>
      <c r="B1298" s="275"/>
      <c r="C1298" s="275"/>
      <c r="D1298" s="275"/>
      <c r="E1298" s="275"/>
      <c r="F1298" s="275"/>
      <c r="G1298" s="275"/>
      <c r="H1298" s="274"/>
      <c r="I1298" s="274"/>
      <c r="J1298" s="275"/>
      <c r="K1298" s="274"/>
    </row>
    <row r="1299" spans="1:11">
      <c r="A1299" s="275"/>
      <c r="B1299" s="275"/>
      <c r="C1299" s="275"/>
      <c r="D1299" s="275"/>
      <c r="E1299" s="275"/>
      <c r="F1299" s="275"/>
      <c r="G1299" s="275"/>
      <c r="H1299" s="274"/>
      <c r="I1299" s="274"/>
      <c r="J1299" s="275"/>
      <c r="K1299" s="274"/>
    </row>
    <row r="1300" spans="1:11">
      <c r="A1300" s="275"/>
      <c r="B1300" s="275"/>
      <c r="C1300" s="275"/>
      <c r="D1300" s="275"/>
      <c r="E1300" s="275"/>
      <c r="F1300" s="275"/>
      <c r="G1300" s="275"/>
      <c r="H1300" s="274"/>
      <c r="I1300" s="274"/>
      <c r="J1300" s="275"/>
      <c r="K1300" s="274"/>
    </row>
    <row r="1301" spans="1:11">
      <c r="A1301" s="275"/>
      <c r="B1301" s="275"/>
      <c r="C1301" s="275"/>
      <c r="D1301" s="275"/>
      <c r="E1301" s="275"/>
      <c r="F1301" s="275"/>
      <c r="G1301" s="275"/>
      <c r="H1301" s="274"/>
      <c r="I1301" s="274"/>
      <c r="J1301" s="275"/>
      <c r="K1301" s="274"/>
    </row>
    <row r="1302" spans="1:11">
      <c r="A1302" s="275"/>
      <c r="B1302" s="275"/>
      <c r="C1302" s="275"/>
      <c r="D1302" s="275"/>
      <c r="E1302" s="275"/>
      <c r="F1302" s="275"/>
      <c r="G1302" s="275"/>
      <c r="H1302" s="274"/>
      <c r="I1302" s="274"/>
      <c r="J1302" s="275"/>
      <c r="K1302" s="274"/>
    </row>
    <row r="1303" spans="1:11">
      <c r="A1303" s="275"/>
      <c r="B1303" s="275"/>
      <c r="C1303" s="275"/>
      <c r="D1303" s="275"/>
      <c r="E1303" s="275"/>
      <c r="F1303" s="275"/>
      <c r="G1303" s="275"/>
      <c r="H1303" s="274"/>
      <c r="I1303" s="274"/>
      <c r="J1303" s="275"/>
      <c r="K1303" s="274"/>
    </row>
    <row r="1304" spans="1:11">
      <c r="A1304" s="275"/>
      <c r="B1304" s="275"/>
      <c r="C1304" s="275"/>
      <c r="D1304" s="275"/>
      <c r="E1304" s="275"/>
      <c r="F1304" s="275"/>
      <c r="G1304" s="275"/>
      <c r="H1304" s="274"/>
      <c r="I1304" s="274"/>
      <c r="J1304" s="275"/>
      <c r="K1304" s="274"/>
    </row>
    <row r="1305" spans="1:11">
      <c r="A1305" s="275"/>
      <c r="B1305" s="275"/>
      <c r="C1305" s="275"/>
      <c r="D1305" s="275"/>
      <c r="E1305" s="275"/>
      <c r="F1305" s="275"/>
      <c r="G1305" s="275"/>
      <c r="H1305" s="274"/>
      <c r="I1305" s="274"/>
      <c r="J1305" s="275"/>
      <c r="K1305" s="274"/>
    </row>
    <row r="1306" spans="1:11">
      <c r="A1306" s="275"/>
      <c r="B1306" s="275"/>
      <c r="C1306" s="275"/>
      <c r="D1306" s="275"/>
      <c r="E1306" s="275"/>
      <c r="F1306" s="275"/>
      <c r="G1306" s="275"/>
      <c r="H1306" s="274"/>
      <c r="I1306" s="274"/>
      <c r="J1306" s="275"/>
      <c r="K1306" s="274"/>
    </row>
    <row r="1307" spans="1:11">
      <c r="A1307" s="275"/>
      <c r="B1307" s="275"/>
      <c r="C1307" s="275"/>
      <c r="D1307" s="275"/>
      <c r="E1307" s="275"/>
      <c r="F1307" s="275"/>
      <c r="G1307" s="275"/>
      <c r="H1307" s="274"/>
      <c r="I1307" s="274"/>
      <c r="J1307" s="275"/>
      <c r="K1307" s="274"/>
    </row>
    <row r="1308" spans="1:11">
      <c r="A1308" s="275"/>
      <c r="B1308" s="275"/>
      <c r="C1308" s="275"/>
      <c r="D1308" s="275"/>
      <c r="E1308" s="275"/>
      <c r="F1308" s="275"/>
      <c r="G1308" s="275"/>
      <c r="H1308" s="274"/>
      <c r="I1308" s="274"/>
      <c r="J1308" s="275"/>
      <c r="K1308" s="274"/>
    </row>
    <row r="1309" spans="1:11">
      <c r="A1309" s="275"/>
      <c r="B1309" s="275"/>
      <c r="C1309" s="275"/>
      <c r="D1309" s="275"/>
      <c r="E1309" s="275"/>
      <c r="F1309" s="275"/>
      <c r="G1309" s="275"/>
      <c r="H1309" s="274"/>
      <c r="I1309" s="274"/>
      <c r="J1309" s="275"/>
      <c r="K1309" s="274"/>
    </row>
    <row r="1310" spans="1:11">
      <c r="A1310" s="275"/>
      <c r="B1310" s="275"/>
      <c r="C1310" s="275"/>
      <c r="D1310" s="275"/>
      <c r="E1310" s="275"/>
      <c r="F1310" s="275"/>
      <c r="G1310" s="275"/>
      <c r="H1310" s="274"/>
      <c r="I1310" s="274"/>
      <c r="J1310" s="275"/>
      <c r="K1310" s="274"/>
    </row>
    <row r="1311" spans="1:11">
      <c r="A1311" s="275"/>
      <c r="B1311" s="275"/>
      <c r="C1311" s="275"/>
      <c r="D1311" s="275"/>
      <c r="E1311" s="275"/>
      <c r="F1311" s="275"/>
      <c r="G1311" s="275"/>
      <c r="H1311" s="274"/>
      <c r="I1311" s="274"/>
      <c r="J1311" s="275"/>
      <c r="K1311" s="274"/>
    </row>
    <row r="1312" spans="1:11">
      <c r="A1312" s="275"/>
      <c r="B1312" s="275"/>
      <c r="C1312" s="275"/>
      <c r="D1312" s="275"/>
      <c r="E1312" s="275"/>
      <c r="F1312" s="275"/>
      <c r="G1312" s="275"/>
      <c r="H1312" s="274"/>
      <c r="I1312" s="274"/>
      <c r="J1312" s="275"/>
      <c r="K1312" s="274"/>
    </row>
    <row r="1313" spans="1:11">
      <c r="A1313" s="275"/>
      <c r="B1313" s="275"/>
      <c r="C1313" s="275"/>
      <c r="D1313" s="275"/>
      <c r="E1313" s="275"/>
      <c r="F1313" s="275"/>
      <c r="G1313" s="275"/>
      <c r="H1313" s="274"/>
      <c r="I1313" s="274"/>
      <c r="J1313" s="275"/>
      <c r="K1313" s="274"/>
    </row>
    <row r="1314" spans="1:11">
      <c r="A1314" s="275"/>
      <c r="B1314" s="275"/>
      <c r="C1314" s="275"/>
      <c r="D1314" s="275"/>
      <c r="E1314" s="275"/>
      <c r="F1314" s="275"/>
      <c r="G1314" s="275"/>
      <c r="H1314" s="274"/>
      <c r="I1314" s="274"/>
      <c r="J1314" s="275"/>
      <c r="K1314" s="274"/>
    </row>
    <row r="1315" spans="1:11">
      <c r="A1315" s="275"/>
      <c r="B1315" s="275"/>
      <c r="C1315" s="275"/>
      <c r="D1315" s="275"/>
      <c r="E1315" s="275"/>
      <c r="F1315" s="275"/>
      <c r="G1315" s="275"/>
      <c r="H1315" s="274"/>
      <c r="I1315" s="274"/>
      <c r="J1315" s="275"/>
      <c r="K1315" s="274"/>
    </row>
    <row r="1316" spans="1:11">
      <c r="A1316" s="275"/>
      <c r="B1316" s="275"/>
      <c r="C1316" s="275"/>
      <c r="D1316" s="275"/>
      <c r="E1316" s="275"/>
      <c r="F1316" s="275"/>
      <c r="G1316" s="275"/>
      <c r="H1316" s="274"/>
      <c r="I1316" s="274"/>
      <c r="J1316" s="275"/>
      <c r="K1316" s="274"/>
    </row>
    <row r="1317" spans="1:11">
      <c r="A1317" s="275"/>
      <c r="B1317" s="275"/>
      <c r="C1317" s="275"/>
      <c r="D1317" s="275"/>
      <c r="E1317" s="275"/>
      <c r="F1317" s="275"/>
      <c r="G1317" s="275"/>
      <c r="H1317" s="274"/>
      <c r="I1317" s="274"/>
      <c r="J1317" s="275"/>
      <c r="K1317" s="274"/>
    </row>
    <row r="1318" spans="1:11">
      <c r="A1318" s="275"/>
      <c r="B1318" s="275"/>
      <c r="C1318" s="275"/>
      <c r="D1318" s="275"/>
      <c r="E1318" s="275"/>
      <c r="F1318" s="275"/>
      <c r="G1318" s="275"/>
      <c r="H1318" s="274"/>
      <c r="I1318" s="274"/>
      <c r="J1318" s="275"/>
      <c r="K1318" s="274"/>
    </row>
    <row r="1319" spans="1:11">
      <c r="A1319" s="275"/>
      <c r="B1319" s="275"/>
      <c r="C1319" s="275"/>
      <c r="D1319" s="275"/>
      <c r="E1319" s="275"/>
      <c r="F1319" s="275"/>
      <c r="G1319" s="275"/>
      <c r="H1319" s="274"/>
      <c r="I1319" s="274"/>
      <c r="J1319" s="275"/>
      <c r="K1319" s="274"/>
    </row>
    <row r="1320" spans="1:11">
      <c r="A1320" s="275"/>
      <c r="B1320" s="275"/>
      <c r="C1320" s="275"/>
      <c r="D1320" s="275"/>
      <c r="E1320" s="275"/>
      <c r="F1320" s="275"/>
      <c r="G1320" s="275"/>
      <c r="H1320" s="274"/>
      <c r="I1320" s="274"/>
      <c r="J1320" s="275"/>
      <c r="K1320" s="274"/>
    </row>
    <row r="1321" spans="1:11">
      <c r="A1321" s="275"/>
      <c r="B1321" s="275"/>
      <c r="C1321" s="275"/>
      <c r="D1321" s="275"/>
      <c r="E1321" s="275"/>
      <c r="F1321" s="275"/>
      <c r="G1321" s="275"/>
      <c r="H1321" s="274"/>
      <c r="I1321" s="274"/>
      <c r="J1321" s="275"/>
      <c r="K1321" s="274"/>
    </row>
    <row r="1322" spans="1:11">
      <c r="A1322" s="275"/>
      <c r="B1322" s="275"/>
      <c r="C1322" s="275"/>
      <c r="D1322" s="275"/>
      <c r="E1322" s="275"/>
      <c r="F1322" s="275"/>
      <c r="G1322" s="275"/>
      <c r="H1322" s="274"/>
      <c r="I1322" s="274"/>
      <c r="J1322" s="275"/>
      <c r="K1322" s="274"/>
    </row>
    <row r="1323" spans="1:11">
      <c r="A1323" s="275"/>
      <c r="B1323" s="275"/>
      <c r="C1323" s="275"/>
      <c r="D1323" s="275"/>
      <c r="E1323" s="275"/>
      <c r="F1323" s="275"/>
      <c r="G1323" s="275"/>
      <c r="H1323" s="274"/>
      <c r="I1323" s="274"/>
      <c r="J1323" s="275"/>
      <c r="K1323" s="274"/>
    </row>
    <row r="1324" spans="1:11">
      <c r="A1324" s="275"/>
      <c r="B1324" s="275"/>
      <c r="C1324" s="275"/>
      <c r="D1324" s="275"/>
      <c r="E1324" s="275"/>
      <c r="F1324" s="275"/>
      <c r="G1324" s="275"/>
      <c r="H1324" s="274"/>
      <c r="I1324" s="274"/>
      <c r="J1324" s="275"/>
      <c r="K1324" s="274"/>
    </row>
    <row r="1325" spans="1:11">
      <c r="A1325" s="275"/>
      <c r="B1325" s="275"/>
      <c r="C1325" s="275"/>
      <c r="D1325" s="275"/>
      <c r="E1325" s="275"/>
      <c r="F1325" s="275"/>
      <c r="G1325" s="275"/>
      <c r="H1325" s="274"/>
      <c r="I1325" s="274"/>
      <c r="J1325" s="275"/>
      <c r="K1325" s="274"/>
    </row>
    <row r="1326" spans="1:11">
      <c r="A1326" s="275"/>
      <c r="B1326" s="275"/>
      <c r="C1326" s="275"/>
      <c r="D1326" s="275"/>
      <c r="E1326" s="275"/>
      <c r="F1326" s="275"/>
      <c r="G1326" s="275"/>
      <c r="H1326" s="274"/>
      <c r="I1326" s="274"/>
      <c r="J1326" s="275"/>
      <c r="K1326" s="274"/>
    </row>
    <row r="1327" spans="1:11">
      <c r="A1327" s="275"/>
      <c r="B1327" s="275"/>
      <c r="C1327" s="275"/>
      <c r="D1327" s="275"/>
      <c r="E1327" s="275"/>
      <c r="F1327" s="275"/>
      <c r="G1327" s="275"/>
      <c r="H1327" s="274"/>
      <c r="I1327" s="274"/>
      <c r="J1327" s="275"/>
      <c r="K1327" s="274"/>
    </row>
    <row r="1328" spans="1:11">
      <c r="A1328" s="275"/>
      <c r="B1328" s="275"/>
      <c r="C1328" s="275"/>
      <c r="D1328" s="275"/>
      <c r="E1328" s="275"/>
      <c r="F1328" s="275"/>
      <c r="G1328" s="275"/>
      <c r="H1328" s="274"/>
      <c r="I1328" s="274"/>
      <c r="J1328" s="275"/>
      <c r="K1328" s="274"/>
    </row>
    <row r="1329" spans="1:11">
      <c r="A1329" s="275"/>
      <c r="B1329" s="275"/>
      <c r="C1329" s="275"/>
      <c r="D1329" s="275"/>
      <c r="E1329" s="275"/>
      <c r="F1329" s="275"/>
      <c r="G1329" s="275"/>
      <c r="H1329" s="274"/>
      <c r="I1329" s="274"/>
      <c r="J1329" s="275"/>
      <c r="K1329" s="274"/>
    </row>
    <row r="1330" spans="1:11">
      <c r="A1330" s="275"/>
      <c r="B1330" s="275"/>
      <c r="C1330" s="275"/>
      <c r="D1330" s="275"/>
      <c r="E1330" s="275"/>
      <c r="F1330" s="275"/>
      <c r="G1330" s="275"/>
      <c r="H1330" s="274"/>
      <c r="I1330" s="274"/>
      <c r="J1330" s="275"/>
      <c r="K1330" s="274"/>
    </row>
    <row r="1331" spans="1:11">
      <c r="A1331" s="275"/>
      <c r="B1331" s="275"/>
      <c r="C1331" s="275"/>
      <c r="D1331" s="275"/>
      <c r="E1331" s="275"/>
      <c r="F1331" s="275"/>
      <c r="G1331" s="275"/>
      <c r="H1331" s="274"/>
      <c r="I1331" s="274"/>
      <c r="J1331" s="275"/>
      <c r="K1331" s="274"/>
    </row>
    <row r="1332" spans="1:11">
      <c r="A1332" s="275"/>
      <c r="B1332" s="275"/>
      <c r="C1332" s="275"/>
      <c r="D1332" s="275"/>
      <c r="E1332" s="275"/>
      <c r="F1332" s="275"/>
      <c r="G1332" s="275"/>
      <c r="H1332" s="274"/>
      <c r="I1332" s="274"/>
      <c r="J1332" s="275"/>
      <c r="K1332" s="274"/>
    </row>
    <row r="1333" spans="1:11">
      <c r="A1333" s="275"/>
      <c r="B1333" s="275"/>
      <c r="C1333" s="275"/>
      <c r="D1333" s="275"/>
      <c r="E1333" s="275"/>
      <c r="F1333" s="275"/>
      <c r="G1333" s="275"/>
      <c r="H1333" s="274"/>
      <c r="I1333" s="274"/>
      <c r="J1333" s="275"/>
      <c r="K1333" s="274"/>
    </row>
    <row r="1334" spans="1:11">
      <c r="A1334" s="275"/>
      <c r="B1334" s="275"/>
      <c r="C1334" s="275"/>
      <c r="D1334" s="275"/>
      <c r="E1334" s="275"/>
      <c r="F1334" s="275"/>
      <c r="G1334" s="275"/>
      <c r="H1334" s="274"/>
      <c r="I1334" s="274"/>
      <c r="J1334" s="275"/>
      <c r="K1334" s="274"/>
    </row>
    <row r="1335" spans="1:11">
      <c r="A1335" s="275"/>
      <c r="B1335" s="275"/>
      <c r="C1335" s="275"/>
      <c r="D1335" s="275"/>
      <c r="E1335" s="275"/>
      <c r="F1335" s="275"/>
      <c r="G1335" s="275"/>
      <c r="H1335" s="274"/>
      <c r="I1335" s="274"/>
      <c r="J1335" s="275"/>
      <c r="K1335" s="274"/>
    </row>
    <row r="1336" spans="1:11">
      <c r="A1336" s="275"/>
      <c r="B1336" s="275"/>
      <c r="C1336" s="275"/>
      <c r="D1336" s="275"/>
      <c r="E1336" s="275"/>
      <c r="F1336" s="275"/>
      <c r="G1336" s="275"/>
      <c r="H1336" s="274"/>
      <c r="I1336" s="274"/>
      <c r="J1336" s="275"/>
      <c r="K1336" s="274"/>
    </row>
    <row r="1337" spans="1:11">
      <c r="A1337" s="275"/>
      <c r="B1337" s="275"/>
      <c r="C1337" s="275"/>
      <c r="D1337" s="275"/>
      <c r="E1337" s="275"/>
      <c r="F1337" s="275"/>
      <c r="G1337" s="275"/>
      <c r="H1337" s="274"/>
      <c r="I1337" s="274"/>
      <c r="J1337" s="275"/>
      <c r="K1337" s="274"/>
    </row>
    <row r="1338" spans="1:11">
      <c r="A1338" s="275"/>
      <c r="B1338" s="275"/>
      <c r="C1338" s="275"/>
      <c r="D1338" s="275"/>
      <c r="E1338" s="275"/>
      <c r="F1338" s="275"/>
      <c r="G1338" s="275"/>
      <c r="H1338" s="274"/>
      <c r="I1338" s="274"/>
      <c r="J1338" s="275"/>
      <c r="K1338" s="274"/>
    </row>
    <row r="1339" spans="1:11">
      <c r="A1339" s="275"/>
      <c r="B1339" s="275"/>
      <c r="C1339" s="275"/>
      <c r="D1339" s="275"/>
      <c r="E1339" s="275"/>
      <c r="F1339" s="275"/>
      <c r="G1339" s="275"/>
      <c r="H1339" s="274"/>
      <c r="I1339" s="274"/>
      <c r="J1339" s="275"/>
      <c r="K1339" s="274"/>
    </row>
    <row r="1340" spans="1:11">
      <c r="A1340" s="275"/>
      <c r="B1340" s="275"/>
      <c r="C1340" s="275"/>
      <c r="D1340" s="275"/>
      <c r="E1340" s="275"/>
      <c r="F1340" s="275"/>
      <c r="G1340" s="275"/>
      <c r="H1340" s="274"/>
      <c r="I1340" s="274"/>
      <c r="J1340" s="275"/>
      <c r="K1340" s="274"/>
    </row>
    <row r="1341" spans="1:11">
      <c r="A1341" s="275"/>
      <c r="B1341" s="275"/>
      <c r="C1341" s="275"/>
      <c r="D1341" s="275"/>
      <c r="E1341" s="275"/>
      <c r="F1341" s="275"/>
      <c r="G1341" s="275"/>
      <c r="H1341" s="274"/>
      <c r="I1341" s="274"/>
      <c r="J1341" s="275"/>
      <c r="K1341" s="274"/>
    </row>
    <row r="1342" spans="1:11">
      <c r="A1342" s="275"/>
      <c r="B1342" s="275"/>
      <c r="C1342" s="275"/>
      <c r="D1342" s="275"/>
      <c r="E1342" s="275"/>
      <c r="F1342" s="275"/>
      <c r="G1342" s="275"/>
      <c r="H1342" s="274"/>
      <c r="I1342" s="274"/>
      <c r="J1342" s="275"/>
      <c r="K1342" s="274"/>
    </row>
    <row r="1343" spans="1:11">
      <c r="A1343" s="275"/>
      <c r="B1343" s="275"/>
      <c r="C1343" s="275"/>
      <c r="D1343" s="275"/>
      <c r="E1343" s="275"/>
      <c r="F1343" s="275"/>
      <c r="G1343" s="275"/>
      <c r="H1343" s="274"/>
      <c r="I1343" s="274"/>
      <c r="J1343" s="275"/>
      <c r="K1343" s="274"/>
    </row>
    <row r="1344" spans="1:11">
      <c r="A1344" s="275"/>
      <c r="B1344" s="275"/>
      <c r="C1344" s="275"/>
      <c r="D1344" s="275"/>
      <c r="E1344" s="275"/>
      <c r="F1344" s="275"/>
      <c r="G1344" s="275"/>
      <c r="H1344" s="274"/>
      <c r="I1344" s="274"/>
      <c r="J1344" s="275"/>
      <c r="K1344" s="274"/>
    </row>
    <row r="1345" spans="1:11">
      <c r="A1345" s="275"/>
      <c r="B1345" s="275"/>
      <c r="C1345" s="275"/>
      <c r="D1345" s="275"/>
      <c r="E1345" s="275"/>
      <c r="F1345" s="275"/>
      <c r="G1345" s="275"/>
      <c r="H1345" s="274"/>
      <c r="I1345" s="274"/>
      <c r="J1345" s="275"/>
      <c r="K1345" s="274"/>
    </row>
    <row r="1346" spans="1:11">
      <c r="A1346" s="275"/>
      <c r="B1346" s="275"/>
      <c r="C1346" s="275"/>
      <c r="D1346" s="275"/>
      <c r="E1346" s="275"/>
      <c r="F1346" s="275"/>
      <c r="G1346" s="275"/>
      <c r="H1346" s="274"/>
      <c r="I1346" s="274"/>
      <c r="J1346" s="275"/>
      <c r="K1346" s="274"/>
    </row>
    <row r="1347" spans="1:11">
      <c r="A1347" s="275"/>
      <c r="B1347" s="275"/>
      <c r="C1347" s="275"/>
      <c r="D1347" s="275"/>
      <c r="E1347" s="275"/>
      <c r="F1347" s="275"/>
      <c r="G1347" s="275"/>
      <c r="H1347" s="274"/>
      <c r="I1347" s="274"/>
      <c r="J1347" s="275"/>
      <c r="K1347" s="274"/>
    </row>
    <row r="1348" spans="1:11">
      <c r="A1348" s="275"/>
      <c r="B1348" s="275"/>
      <c r="C1348" s="275"/>
      <c r="D1348" s="275"/>
      <c r="E1348" s="275"/>
      <c r="F1348" s="275"/>
      <c r="G1348" s="275"/>
      <c r="H1348" s="274"/>
      <c r="I1348" s="274"/>
      <c r="J1348" s="275"/>
      <c r="K1348" s="274"/>
    </row>
    <row r="1349" spans="1:11">
      <c r="A1349" s="275"/>
      <c r="B1349" s="275"/>
      <c r="C1349" s="275"/>
      <c r="D1349" s="275"/>
      <c r="E1349" s="275"/>
      <c r="F1349" s="275"/>
      <c r="G1349" s="275"/>
      <c r="H1349" s="274"/>
      <c r="I1349" s="274"/>
      <c r="J1349" s="275"/>
      <c r="K1349" s="274"/>
    </row>
    <row r="1350" spans="1:11">
      <c r="A1350" s="275"/>
      <c r="B1350" s="275"/>
      <c r="C1350" s="275"/>
      <c r="D1350" s="275"/>
      <c r="E1350" s="275"/>
      <c r="F1350" s="275"/>
      <c r="G1350" s="275"/>
      <c r="H1350" s="274"/>
      <c r="I1350" s="274"/>
      <c r="J1350" s="275"/>
      <c r="K1350" s="274"/>
    </row>
    <row r="1351" spans="1:11">
      <c r="A1351" s="275"/>
      <c r="B1351" s="275"/>
      <c r="C1351" s="275"/>
      <c r="D1351" s="275"/>
      <c r="E1351" s="275"/>
      <c r="F1351" s="275"/>
      <c r="G1351" s="275"/>
      <c r="H1351" s="274"/>
      <c r="I1351" s="274"/>
      <c r="J1351" s="275"/>
      <c r="K1351" s="274"/>
    </row>
    <row r="1352" spans="1:11">
      <c r="A1352" s="275"/>
      <c r="B1352" s="275"/>
      <c r="C1352" s="275"/>
      <c r="D1352" s="275"/>
      <c r="E1352" s="275"/>
      <c r="F1352" s="275"/>
      <c r="G1352" s="275"/>
      <c r="H1352" s="274"/>
      <c r="I1352" s="274"/>
      <c r="J1352" s="275"/>
      <c r="K1352" s="274"/>
    </row>
    <row r="1353" spans="1:11">
      <c r="A1353" s="275"/>
      <c r="B1353" s="275"/>
      <c r="C1353" s="275"/>
      <c r="D1353" s="275"/>
      <c r="E1353" s="275"/>
      <c r="F1353" s="275"/>
      <c r="G1353" s="275"/>
      <c r="H1353" s="274"/>
      <c r="I1353" s="274"/>
      <c r="J1353" s="275"/>
      <c r="K1353" s="274"/>
    </row>
    <row r="1354" spans="1:11">
      <c r="A1354" s="275"/>
      <c r="B1354" s="275"/>
      <c r="C1354" s="275"/>
      <c r="D1354" s="275"/>
      <c r="E1354" s="275"/>
      <c r="F1354" s="275"/>
      <c r="G1354" s="275"/>
      <c r="H1354" s="274"/>
      <c r="I1354" s="274"/>
      <c r="J1354" s="275"/>
      <c r="K1354" s="274"/>
    </row>
    <row r="1355" spans="1:11">
      <c r="A1355" s="275"/>
      <c r="B1355" s="275"/>
      <c r="C1355" s="275"/>
      <c r="D1355" s="275"/>
      <c r="E1355" s="275"/>
      <c r="F1355" s="275"/>
      <c r="G1355" s="275"/>
      <c r="H1355" s="274"/>
      <c r="I1355" s="274"/>
      <c r="J1355" s="275"/>
      <c r="K1355" s="274"/>
    </row>
    <row r="1356" spans="1:11">
      <c r="A1356" s="275"/>
      <c r="B1356" s="275"/>
      <c r="C1356" s="275"/>
      <c r="D1356" s="275"/>
      <c r="E1356" s="275"/>
      <c r="F1356" s="275"/>
      <c r="G1356" s="275"/>
      <c r="H1356" s="274"/>
      <c r="I1356" s="274"/>
      <c r="J1356" s="275"/>
      <c r="K1356" s="274"/>
    </row>
    <row r="1357" spans="1:11">
      <c r="A1357" s="275"/>
      <c r="B1357" s="275"/>
      <c r="C1357" s="275"/>
      <c r="D1357" s="275"/>
      <c r="E1357" s="275"/>
      <c r="F1357" s="275"/>
      <c r="G1357" s="275"/>
      <c r="H1357" s="274"/>
      <c r="I1357" s="274"/>
      <c r="J1357" s="275"/>
      <c r="K1357" s="274"/>
    </row>
    <row r="1358" spans="1:11">
      <c r="A1358" s="275"/>
      <c r="B1358" s="275"/>
      <c r="C1358" s="275"/>
      <c r="D1358" s="275"/>
      <c r="E1358" s="275"/>
      <c r="F1358" s="275"/>
      <c r="G1358" s="275"/>
      <c r="H1358" s="274"/>
      <c r="I1358" s="274"/>
      <c r="J1358" s="275"/>
      <c r="K1358" s="274"/>
    </row>
    <row r="1359" spans="1:11">
      <c r="A1359" s="275"/>
      <c r="B1359" s="275"/>
      <c r="C1359" s="275"/>
      <c r="D1359" s="275"/>
      <c r="E1359" s="275"/>
      <c r="F1359" s="275"/>
      <c r="G1359" s="275"/>
      <c r="H1359" s="274"/>
      <c r="I1359" s="274"/>
      <c r="J1359" s="275"/>
      <c r="K1359" s="274"/>
    </row>
    <row r="1360" spans="1:11">
      <c r="A1360" s="275"/>
      <c r="B1360" s="275"/>
      <c r="C1360" s="275"/>
      <c r="D1360" s="275"/>
      <c r="E1360" s="275"/>
      <c r="F1360" s="275"/>
      <c r="G1360" s="275"/>
      <c r="H1360" s="274"/>
      <c r="I1360" s="274"/>
      <c r="J1360" s="275"/>
      <c r="K1360" s="274"/>
    </row>
    <row r="1361" spans="1:11">
      <c r="A1361" s="275"/>
      <c r="B1361" s="275"/>
      <c r="C1361" s="275"/>
      <c r="D1361" s="275"/>
      <c r="E1361" s="275"/>
      <c r="F1361" s="275"/>
      <c r="G1361" s="275"/>
      <c r="H1361" s="274"/>
      <c r="I1361" s="274"/>
      <c r="J1361" s="275"/>
      <c r="K1361" s="274"/>
    </row>
    <row r="1362" spans="1:11">
      <c r="A1362" s="275"/>
      <c r="B1362" s="275"/>
      <c r="C1362" s="275"/>
      <c r="D1362" s="275"/>
      <c r="E1362" s="275"/>
      <c r="F1362" s="275"/>
      <c r="G1362" s="275"/>
      <c r="H1362" s="274"/>
      <c r="I1362" s="274"/>
      <c r="J1362" s="275"/>
      <c r="K1362" s="274"/>
    </row>
    <row r="1363" spans="1:11">
      <c r="A1363" s="275"/>
      <c r="B1363" s="275"/>
      <c r="C1363" s="275"/>
      <c r="D1363" s="275"/>
      <c r="E1363" s="275"/>
      <c r="F1363" s="275"/>
      <c r="G1363" s="275"/>
      <c r="H1363" s="274"/>
      <c r="I1363" s="274"/>
      <c r="J1363" s="275"/>
      <c r="K1363" s="274"/>
    </row>
    <row r="1364" spans="1:11">
      <c r="A1364" s="275"/>
      <c r="B1364" s="275"/>
      <c r="C1364" s="275"/>
      <c r="D1364" s="275"/>
      <c r="E1364" s="275"/>
      <c r="F1364" s="275"/>
      <c r="G1364" s="275"/>
      <c r="H1364" s="274"/>
      <c r="I1364" s="274"/>
      <c r="J1364" s="275"/>
      <c r="K1364" s="274"/>
    </row>
    <row r="1365" spans="1:11">
      <c r="A1365" s="275"/>
      <c r="B1365" s="275"/>
      <c r="C1365" s="275"/>
      <c r="D1365" s="275"/>
      <c r="E1365" s="275"/>
      <c r="F1365" s="275"/>
      <c r="G1365" s="275"/>
      <c r="H1365" s="274"/>
      <c r="I1365" s="274"/>
      <c r="J1365" s="275"/>
      <c r="K1365" s="274"/>
    </row>
    <row r="1366" spans="1:11">
      <c r="A1366" s="275"/>
      <c r="B1366" s="275"/>
      <c r="C1366" s="275"/>
      <c r="D1366" s="275"/>
      <c r="E1366" s="275"/>
      <c r="F1366" s="275"/>
      <c r="G1366" s="275"/>
      <c r="H1366" s="274"/>
      <c r="I1366" s="274"/>
      <c r="J1366" s="275"/>
      <c r="K1366" s="274"/>
    </row>
    <row r="1367" spans="1:11">
      <c r="A1367" s="275"/>
      <c r="B1367" s="275"/>
      <c r="C1367" s="275"/>
      <c r="D1367" s="275"/>
      <c r="E1367" s="275"/>
      <c r="F1367" s="275"/>
      <c r="G1367" s="275"/>
      <c r="H1367" s="274"/>
      <c r="I1367" s="274"/>
      <c r="J1367" s="275"/>
      <c r="K1367" s="274"/>
    </row>
    <row r="1368" spans="1:11">
      <c r="A1368" s="275"/>
      <c r="B1368" s="275"/>
      <c r="C1368" s="275"/>
      <c r="D1368" s="275"/>
      <c r="E1368" s="275"/>
      <c r="F1368" s="275"/>
      <c r="G1368" s="275"/>
      <c r="H1368" s="274"/>
      <c r="I1368" s="274"/>
      <c r="J1368" s="275"/>
      <c r="K1368" s="274"/>
    </row>
    <row r="1369" spans="1:11">
      <c r="A1369" s="275"/>
      <c r="B1369" s="275"/>
      <c r="C1369" s="275"/>
      <c r="D1369" s="275"/>
      <c r="E1369" s="275"/>
      <c r="F1369" s="275"/>
      <c r="G1369" s="275"/>
      <c r="H1369" s="274"/>
      <c r="I1369" s="274"/>
      <c r="J1369" s="275"/>
      <c r="K1369" s="274"/>
    </row>
    <row r="1370" spans="1:11">
      <c r="A1370" s="275"/>
      <c r="B1370" s="275"/>
      <c r="C1370" s="275"/>
      <c r="D1370" s="275"/>
      <c r="E1370" s="275"/>
      <c r="F1370" s="275"/>
      <c r="G1370" s="275"/>
      <c r="H1370" s="274"/>
      <c r="I1370" s="274"/>
      <c r="J1370" s="275"/>
      <c r="K1370" s="274"/>
    </row>
    <row r="1371" spans="1:11">
      <c r="A1371" s="275"/>
      <c r="B1371" s="275"/>
      <c r="C1371" s="275"/>
      <c r="D1371" s="275"/>
      <c r="E1371" s="275"/>
      <c r="F1371" s="275"/>
      <c r="G1371" s="275"/>
      <c r="H1371" s="274"/>
      <c r="I1371" s="274"/>
      <c r="J1371" s="275"/>
      <c r="K1371" s="274"/>
    </row>
    <row r="1372" spans="1:11">
      <c r="A1372" s="275"/>
      <c r="B1372" s="275"/>
      <c r="C1372" s="275"/>
      <c r="D1372" s="275"/>
      <c r="E1372" s="275"/>
      <c r="F1372" s="275"/>
      <c r="G1372" s="275"/>
      <c r="H1372" s="274"/>
      <c r="I1372" s="274"/>
      <c r="J1372" s="275"/>
      <c r="K1372" s="274"/>
    </row>
    <row r="1373" spans="1:11">
      <c r="A1373" s="275"/>
      <c r="B1373" s="275"/>
      <c r="C1373" s="275"/>
      <c r="D1373" s="275"/>
      <c r="E1373" s="275"/>
      <c r="F1373" s="275"/>
      <c r="G1373" s="275"/>
      <c r="H1373" s="274"/>
      <c r="I1373" s="274"/>
      <c r="J1373" s="275"/>
      <c r="K1373" s="274"/>
    </row>
    <row r="1374" spans="1:11">
      <c r="A1374" s="275"/>
      <c r="B1374" s="275"/>
      <c r="C1374" s="275"/>
      <c r="D1374" s="275"/>
      <c r="E1374" s="275"/>
      <c r="F1374" s="275"/>
      <c r="G1374" s="275"/>
      <c r="H1374" s="274"/>
      <c r="I1374" s="274"/>
      <c r="J1374" s="275"/>
      <c r="K1374" s="274"/>
    </row>
    <row r="1375" spans="1:11">
      <c r="A1375" s="275"/>
      <c r="B1375" s="275"/>
      <c r="C1375" s="275"/>
      <c r="D1375" s="275"/>
      <c r="E1375" s="275"/>
      <c r="F1375" s="275"/>
      <c r="G1375" s="275"/>
      <c r="H1375" s="274"/>
      <c r="I1375" s="274"/>
      <c r="J1375" s="275"/>
      <c r="K1375" s="274"/>
    </row>
    <row r="1376" spans="1:11">
      <c r="A1376" s="275"/>
      <c r="B1376" s="275"/>
      <c r="C1376" s="275"/>
      <c r="D1376" s="275"/>
      <c r="E1376" s="275"/>
      <c r="F1376" s="275"/>
      <c r="G1376" s="275"/>
      <c r="H1376" s="274"/>
      <c r="I1376" s="274"/>
      <c r="J1376" s="275"/>
      <c r="K1376" s="274"/>
    </row>
    <row r="1377" spans="1:11">
      <c r="A1377" s="275"/>
      <c r="B1377" s="275"/>
      <c r="C1377" s="275"/>
      <c r="D1377" s="275"/>
      <c r="E1377" s="275"/>
      <c r="F1377" s="275"/>
      <c r="G1377" s="275"/>
      <c r="H1377" s="274"/>
      <c r="I1377" s="274"/>
      <c r="J1377" s="275"/>
      <c r="K1377" s="274"/>
    </row>
    <row r="1378" spans="1:11">
      <c r="A1378" s="275"/>
      <c r="B1378" s="275"/>
      <c r="C1378" s="275"/>
      <c r="D1378" s="275"/>
      <c r="E1378" s="275"/>
      <c r="F1378" s="275"/>
      <c r="G1378" s="275"/>
      <c r="H1378" s="274"/>
      <c r="I1378" s="274"/>
      <c r="J1378" s="275"/>
      <c r="K1378" s="274"/>
    </row>
    <row r="1379" spans="1:11">
      <c r="A1379" s="275"/>
      <c r="B1379" s="275"/>
      <c r="C1379" s="275"/>
      <c r="D1379" s="275"/>
      <c r="E1379" s="275"/>
      <c r="F1379" s="275"/>
      <c r="G1379" s="275"/>
      <c r="H1379" s="274"/>
      <c r="I1379" s="274"/>
      <c r="J1379" s="275"/>
      <c r="K1379" s="274"/>
    </row>
    <row r="1380" spans="1:11">
      <c r="A1380" s="275"/>
      <c r="B1380" s="275"/>
      <c r="C1380" s="275"/>
      <c r="D1380" s="275"/>
      <c r="E1380" s="275"/>
      <c r="F1380" s="275"/>
      <c r="G1380" s="275"/>
      <c r="H1380" s="274"/>
      <c r="I1380" s="274"/>
      <c r="J1380" s="275"/>
      <c r="K1380" s="274"/>
    </row>
    <row r="1381" spans="1:11">
      <c r="A1381" s="275"/>
      <c r="B1381" s="275"/>
      <c r="C1381" s="275"/>
      <c r="D1381" s="275"/>
      <c r="E1381" s="275"/>
      <c r="F1381" s="275"/>
      <c r="G1381" s="275"/>
      <c r="H1381" s="274"/>
      <c r="I1381" s="274"/>
      <c r="J1381" s="275"/>
      <c r="K1381" s="274"/>
    </row>
    <row r="1382" spans="1:11">
      <c r="A1382" s="275"/>
      <c r="B1382" s="275"/>
      <c r="C1382" s="275"/>
      <c r="D1382" s="275"/>
      <c r="E1382" s="275"/>
      <c r="F1382" s="275"/>
      <c r="G1382" s="275"/>
      <c r="H1382" s="274"/>
      <c r="I1382" s="274"/>
      <c r="J1382" s="275"/>
      <c r="K1382" s="274"/>
    </row>
    <row r="1383" spans="1:11">
      <c r="A1383" s="275"/>
      <c r="B1383" s="275"/>
      <c r="C1383" s="275"/>
      <c r="D1383" s="275"/>
      <c r="E1383" s="275"/>
      <c r="F1383" s="275"/>
      <c r="G1383" s="275"/>
      <c r="H1383" s="274"/>
      <c r="I1383" s="274"/>
      <c r="J1383" s="275"/>
      <c r="K1383" s="274"/>
    </row>
    <row r="1384" spans="1:11">
      <c r="A1384" s="275"/>
      <c r="B1384" s="275"/>
      <c r="C1384" s="275"/>
      <c r="D1384" s="275"/>
      <c r="E1384" s="275"/>
      <c r="F1384" s="275"/>
      <c r="G1384" s="275"/>
      <c r="H1384" s="274"/>
      <c r="I1384" s="274"/>
      <c r="J1384" s="275"/>
      <c r="K1384" s="274"/>
    </row>
    <row r="1385" spans="1:11">
      <c r="A1385" s="275"/>
      <c r="B1385" s="275"/>
      <c r="C1385" s="275"/>
      <c r="D1385" s="275"/>
      <c r="E1385" s="275"/>
      <c r="F1385" s="275"/>
      <c r="G1385" s="275"/>
      <c r="H1385" s="274"/>
      <c r="I1385" s="274"/>
      <c r="J1385" s="275"/>
      <c r="K1385" s="274"/>
    </row>
    <row r="1386" spans="1:11">
      <c r="A1386" s="275"/>
      <c r="B1386" s="275"/>
      <c r="C1386" s="275"/>
      <c r="D1386" s="275"/>
      <c r="E1386" s="275"/>
      <c r="F1386" s="275"/>
      <c r="G1386" s="275"/>
      <c r="H1386" s="274"/>
      <c r="I1386" s="274"/>
      <c r="J1386" s="275"/>
      <c r="K1386" s="274"/>
    </row>
    <row r="1387" spans="1:11">
      <c r="A1387" s="275"/>
      <c r="B1387" s="275"/>
      <c r="C1387" s="275"/>
      <c r="D1387" s="275"/>
      <c r="E1387" s="275"/>
      <c r="F1387" s="275"/>
      <c r="G1387" s="275"/>
      <c r="H1387" s="274"/>
      <c r="I1387" s="274"/>
      <c r="J1387" s="275"/>
      <c r="K1387" s="274"/>
    </row>
    <row r="1388" spans="1:11">
      <c r="A1388" s="275"/>
      <c r="B1388" s="275"/>
      <c r="C1388" s="275"/>
      <c r="D1388" s="275"/>
      <c r="E1388" s="275"/>
      <c r="F1388" s="275"/>
      <c r="G1388" s="275"/>
      <c r="H1388" s="274"/>
      <c r="I1388" s="274"/>
      <c r="J1388" s="275"/>
      <c r="K1388" s="274"/>
    </row>
    <row r="1389" spans="1:11">
      <c r="A1389" s="275"/>
      <c r="B1389" s="275"/>
      <c r="C1389" s="275"/>
      <c r="D1389" s="275"/>
      <c r="E1389" s="275"/>
      <c r="F1389" s="275"/>
      <c r="G1389" s="275"/>
      <c r="H1389" s="274"/>
      <c r="I1389" s="274"/>
      <c r="J1389" s="275"/>
      <c r="K1389" s="274"/>
    </row>
    <row r="1390" spans="1:11">
      <c r="A1390" s="275"/>
      <c r="B1390" s="275"/>
      <c r="C1390" s="275"/>
      <c r="D1390" s="275"/>
      <c r="E1390" s="275"/>
      <c r="F1390" s="275"/>
      <c r="G1390" s="275"/>
      <c r="H1390" s="274"/>
      <c r="I1390" s="274"/>
      <c r="J1390" s="275"/>
      <c r="K1390" s="274"/>
    </row>
    <row r="1391" spans="1:11">
      <c r="A1391" s="275"/>
      <c r="B1391" s="275"/>
      <c r="C1391" s="275"/>
      <c r="D1391" s="275"/>
      <c r="E1391" s="275"/>
      <c r="F1391" s="275"/>
      <c r="G1391" s="275"/>
      <c r="H1391" s="274"/>
      <c r="I1391" s="274"/>
      <c r="J1391" s="275"/>
      <c r="K1391" s="274"/>
    </row>
    <row r="1392" spans="1:11">
      <c r="A1392" s="275"/>
      <c r="B1392" s="275"/>
      <c r="C1392" s="275"/>
      <c r="D1392" s="275"/>
      <c r="E1392" s="275"/>
      <c r="F1392" s="275"/>
      <c r="G1392" s="275"/>
      <c r="H1392" s="274"/>
      <c r="I1392" s="274"/>
      <c r="J1392" s="275"/>
      <c r="K1392" s="274"/>
    </row>
    <row r="1393" spans="1:11">
      <c r="A1393" s="275"/>
      <c r="B1393" s="275"/>
      <c r="C1393" s="275"/>
      <c r="D1393" s="275"/>
      <c r="E1393" s="275"/>
      <c r="F1393" s="275"/>
      <c r="G1393" s="275"/>
      <c r="H1393" s="274"/>
      <c r="I1393" s="274"/>
      <c r="J1393" s="275"/>
      <c r="K1393" s="274"/>
    </row>
    <row r="1394" spans="1:11">
      <c r="A1394" s="275"/>
      <c r="B1394" s="275"/>
      <c r="C1394" s="275"/>
      <c r="D1394" s="275"/>
      <c r="E1394" s="275"/>
      <c r="F1394" s="275"/>
      <c r="G1394" s="275"/>
      <c r="H1394" s="274"/>
      <c r="I1394" s="274"/>
      <c r="J1394" s="275"/>
      <c r="K1394" s="274"/>
    </row>
    <row r="1395" spans="1:11">
      <c r="A1395" s="275"/>
      <c r="B1395" s="275"/>
      <c r="C1395" s="275"/>
      <c r="D1395" s="275"/>
      <c r="E1395" s="275"/>
      <c r="F1395" s="275"/>
      <c r="G1395" s="275"/>
      <c r="H1395" s="274"/>
      <c r="I1395" s="274"/>
      <c r="J1395" s="275"/>
      <c r="K1395" s="274"/>
    </row>
    <row r="1396" spans="1:11">
      <c r="A1396" s="275"/>
      <c r="B1396" s="275"/>
      <c r="C1396" s="275"/>
      <c r="D1396" s="275"/>
      <c r="E1396" s="275"/>
      <c r="F1396" s="275"/>
      <c r="G1396" s="275"/>
      <c r="H1396" s="274"/>
      <c r="I1396" s="274"/>
      <c r="J1396" s="275"/>
      <c r="K1396" s="274"/>
    </row>
    <row r="1397" spans="1:11">
      <c r="A1397" s="275"/>
      <c r="B1397" s="275"/>
      <c r="C1397" s="275"/>
      <c r="D1397" s="275"/>
      <c r="E1397" s="275"/>
      <c r="F1397" s="275"/>
      <c r="G1397" s="275"/>
      <c r="H1397" s="274"/>
      <c r="I1397" s="274"/>
      <c r="J1397" s="275"/>
      <c r="K1397" s="274"/>
    </row>
    <row r="1398" spans="1:11">
      <c r="A1398" s="275"/>
      <c r="B1398" s="275"/>
      <c r="C1398" s="275"/>
      <c r="D1398" s="275"/>
      <c r="E1398" s="275"/>
      <c r="F1398" s="275"/>
      <c r="G1398" s="275"/>
      <c r="H1398" s="274"/>
      <c r="I1398" s="274"/>
      <c r="J1398" s="275"/>
      <c r="K1398" s="274"/>
    </row>
    <row r="1399" spans="1:11">
      <c r="A1399" s="275"/>
      <c r="B1399" s="275"/>
      <c r="C1399" s="275"/>
      <c r="D1399" s="275"/>
      <c r="E1399" s="275"/>
      <c r="F1399" s="275"/>
      <c r="G1399" s="275"/>
      <c r="H1399" s="274"/>
      <c r="I1399" s="274"/>
      <c r="J1399" s="275"/>
      <c r="K1399" s="274"/>
    </row>
    <row r="1400" spans="1:11">
      <c r="A1400" s="275"/>
      <c r="B1400" s="275"/>
      <c r="C1400" s="275"/>
      <c r="D1400" s="275"/>
      <c r="E1400" s="275"/>
      <c r="F1400" s="275"/>
      <c r="G1400" s="275"/>
      <c r="H1400" s="274"/>
      <c r="I1400" s="274"/>
      <c r="J1400" s="275"/>
      <c r="K1400" s="274"/>
    </row>
    <row r="1401" spans="1:11">
      <c r="A1401" s="275"/>
      <c r="B1401" s="275"/>
      <c r="C1401" s="275"/>
      <c r="D1401" s="275"/>
      <c r="E1401" s="275"/>
      <c r="F1401" s="275"/>
      <c r="G1401" s="275"/>
      <c r="H1401" s="274"/>
      <c r="I1401" s="274"/>
      <c r="J1401" s="275"/>
      <c r="K1401" s="274"/>
    </row>
    <row r="1402" spans="1:11">
      <c r="A1402" s="275"/>
      <c r="B1402" s="275"/>
      <c r="C1402" s="275"/>
      <c r="D1402" s="275"/>
      <c r="E1402" s="275"/>
      <c r="F1402" s="275"/>
      <c r="G1402" s="275"/>
      <c r="H1402" s="274"/>
      <c r="I1402" s="274"/>
      <c r="J1402" s="275"/>
      <c r="K1402" s="274"/>
    </row>
    <row r="1403" spans="1:11">
      <c r="A1403" s="275"/>
      <c r="B1403" s="275"/>
      <c r="C1403" s="275"/>
      <c r="D1403" s="275"/>
      <c r="E1403" s="275"/>
      <c r="F1403" s="275"/>
      <c r="G1403" s="275"/>
      <c r="H1403" s="274"/>
      <c r="I1403" s="274"/>
      <c r="J1403" s="275"/>
      <c r="K1403" s="274"/>
    </row>
    <row r="1404" spans="1:11">
      <c r="A1404" s="275"/>
      <c r="B1404" s="275"/>
      <c r="C1404" s="275"/>
      <c r="D1404" s="275"/>
      <c r="E1404" s="275"/>
      <c r="F1404" s="275"/>
      <c r="G1404" s="275"/>
      <c r="H1404" s="274"/>
      <c r="I1404" s="274"/>
      <c r="J1404" s="275"/>
      <c r="K1404" s="274"/>
    </row>
    <row r="1405" spans="1:11">
      <c r="A1405" s="275"/>
      <c r="B1405" s="275"/>
      <c r="C1405" s="275"/>
      <c r="D1405" s="275"/>
      <c r="E1405" s="275"/>
      <c r="F1405" s="275"/>
      <c r="G1405" s="275"/>
      <c r="H1405" s="274"/>
      <c r="I1405" s="274"/>
      <c r="J1405" s="275"/>
      <c r="K1405" s="274"/>
    </row>
    <row r="1406" spans="1:11">
      <c r="A1406" s="275"/>
      <c r="B1406" s="275"/>
      <c r="C1406" s="275"/>
      <c r="D1406" s="275"/>
      <c r="E1406" s="275"/>
      <c r="F1406" s="275"/>
      <c r="G1406" s="275"/>
      <c r="H1406" s="274"/>
      <c r="I1406" s="274"/>
      <c r="J1406" s="275"/>
      <c r="K1406" s="274"/>
    </row>
    <row r="1407" spans="1:11">
      <c r="A1407" s="275"/>
      <c r="B1407" s="275"/>
      <c r="C1407" s="275"/>
      <c r="D1407" s="275"/>
      <c r="E1407" s="275"/>
      <c r="F1407" s="275"/>
      <c r="G1407" s="275"/>
      <c r="H1407" s="274"/>
      <c r="I1407" s="274"/>
      <c r="J1407" s="275"/>
      <c r="K1407" s="274"/>
    </row>
    <row r="1408" spans="1:11">
      <c r="A1408" s="275"/>
      <c r="B1408" s="275"/>
      <c r="C1408" s="275"/>
      <c r="D1408" s="275"/>
      <c r="E1408" s="275"/>
      <c r="F1408" s="275"/>
      <c r="G1408" s="275"/>
      <c r="H1408" s="274"/>
      <c r="I1408" s="274"/>
      <c r="J1408" s="275"/>
      <c r="K1408" s="274"/>
    </row>
    <row r="1409" spans="1:11">
      <c r="A1409" s="275"/>
      <c r="B1409" s="275"/>
      <c r="C1409" s="275"/>
      <c r="D1409" s="275"/>
      <c r="E1409" s="275"/>
      <c r="F1409" s="275"/>
      <c r="G1409" s="275"/>
      <c r="H1409" s="274"/>
      <c r="I1409" s="274"/>
      <c r="J1409" s="275"/>
      <c r="K1409" s="274"/>
    </row>
    <row r="1410" spans="1:11">
      <c r="A1410" s="275"/>
      <c r="B1410" s="275"/>
      <c r="C1410" s="275"/>
      <c r="D1410" s="275"/>
      <c r="E1410" s="275"/>
      <c r="F1410" s="275"/>
      <c r="G1410" s="275"/>
      <c r="H1410" s="274"/>
      <c r="I1410" s="274"/>
      <c r="J1410" s="275"/>
      <c r="K1410" s="274"/>
    </row>
    <row r="1411" spans="1:11">
      <c r="A1411" s="275"/>
      <c r="B1411" s="275"/>
      <c r="C1411" s="275"/>
      <c r="D1411" s="275"/>
      <c r="E1411" s="275"/>
      <c r="F1411" s="275"/>
      <c r="G1411" s="275"/>
      <c r="H1411" s="274"/>
      <c r="I1411" s="274"/>
      <c r="J1411" s="275"/>
      <c r="K1411" s="274"/>
    </row>
    <row r="1412" spans="1:11">
      <c r="A1412" s="275"/>
      <c r="B1412" s="275"/>
      <c r="C1412" s="275"/>
      <c r="D1412" s="275"/>
      <c r="E1412" s="275"/>
      <c r="F1412" s="275"/>
      <c r="G1412" s="275"/>
      <c r="H1412" s="274"/>
      <c r="I1412" s="274"/>
      <c r="J1412" s="275"/>
      <c r="K1412" s="274"/>
    </row>
    <row r="1413" spans="1:11">
      <c r="A1413" s="275"/>
      <c r="B1413" s="275"/>
      <c r="C1413" s="275"/>
      <c r="D1413" s="275"/>
      <c r="E1413" s="275"/>
      <c r="F1413" s="275"/>
      <c r="G1413" s="275"/>
      <c r="H1413" s="274"/>
      <c r="I1413" s="274"/>
      <c r="J1413" s="275"/>
      <c r="K1413" s="274"/>
    </row>
    <row r="1414" spans="1:11">
      <c r="A1414" s="275"/>
      <c r="B1414" s="275"/>
      <c r="C1414" s="275"/>
      <c r="D1414" s="275"/>
      <c r="E1414" s="275"/>
      <c r="F1414" s="275"/>
      <c r="G1414" s="275"/>
      <c r="H1414" s="274"/>
      <c r="I1414" s="274"/>
      <c r="J1414" s="275"/>
      <c r="K1414" s="274"/>
    </row>
    <row r="1415" spans="1:11">
      <c r="A1415" s="275"/>
      <c r="B1415" s="275"/>
      <c r="C1415" s="275"/>
      <c r="D1415" s="275"/>
      <c r="E1415" s="275"/>
      <c r="F1415" s="275"/>
      <c r="G1415" s="275"/>
      <c r="H1415" s="274"/>
      <c r="I1415" s="274"/>
      <c r="J1415" s="275"/>
      <c r="K1415" s="274"/>
    </row>
    <row r="1416" spans="1:11">
      <c r="A1416" s="275"/>
      <c r="B1416" s="275"/>
      <c r="C1416" s="275"/>
      <c r="D1416" s="275"/>
      <c r="E1416" s="275"/>
      <c r="F1416" s="275"/>
      <c r="G1416" s="275"/>
      <c r="H1416" s="274"/>
      <c r="I1416" s="274"/>
      <c r="J1416" s="275"/>
      <c r="K1416" s="274"/>
    </row>
    <row r="1417" spans="1:11">
      <c r="A1417" s="275"/>
      <c r="B1417" s="275"/>
      <c r="C1417" s="275"/>
      <c r="D1417" s="275"/>
      <c r="E1417" s="275"/>
      <c r="F1417" s="275"/>
      <c r="G1417" s="275"/>
      <c r="H1417" s="274"/>
      <c r="I1417" s="274"/>
      <c r="J1417" s="275"/>
      <c r="K1417" s="274"/>
    </row>
    <row r="1418" spans="1:11">
      <c r="A1418" s="275"/>
      <c r="B1418" s="275"/>
      <c r="C1418" s="275"/>
      <c r="D1418" s="275"/>
      <c r="E1418" s="275"/>
      <c r="F1418" s="275"/>
      <c r="G1418" s="275"/>
      <c r="H1418" s="274"/>
      <c r="I1418" s="274"/>
      <c r="J1418" s="275"/>
      <c r="K1418" s="274"/>
    </row>
    <row r="1419" spans="1:11">
      <c r="A1419" s="275"/>
      <c r="B1419" s="275"/>
      <c r="C1419" s="275"/>
      <c r="D1419" s="275"/>
      <c r="E1419" s="275"/>
      <c r="F1419" s="275"/>
      <c r="G1419" s="275"/>
      <c r="H1419" s="274"/>
      <c r="I1419" s="274"/>
      <c r="J1419" s="275"/>
      <c r="K1419" s="274"/>
    </row>
    <row r="1420" spans="1:11">
      <c r="A1420" s="275"/>
      <c r="B1420" s="275"/>
      <c r="C1420" s="275"/>
      <c r="D1420" s="275"/>
      <c r="E1420" s="275"/>
      <c r="F1420" s="275"/>
      <c r="G1420" s="275"/>
      <c r="H1420" s="274"/>
      <c r="I1420" s="274"/>
      <c r="J1420" s="275"/>
      <c r="K1420" s="274"/>
    </row>
    <row r="1421" spans="1:11">
      <c r="A1421" s="275"/>
      <c r="B1421" s="275"/>
      <c r="C1421" s="275"/>
      <c r="D1421" s="275"/>
      <c r="E1421" s="275"/>
      <c r="F1421" s="275"/>
      <c r="G1421" s="275"/>
      <c r="H1421" s="274"/>
      <c r="I1421" s="274"/>
      <c r="J1421" s="275"/>
      <c r="K1421" s="274"/>
    </row>
    <row r="1422" spans="1:11">
      <c r="A1422" s="275"/>
      <c r="B1422" s="275"/>
      <c r="C1422" s="275"/>
      <c r="D1422" s="275"/>
      <c r="E1422" s="275"/>
      <c r="F1422" s="275"/>
      <c r="G1422" s="275"/>
      <c r="H1422" s="274"/>
      <c r="I1422" s="274"/>
      <c r="J1422" s="275"/>
      <c r="K1422" s="274"/>
    </row>
    <row r="1423" spans="1:11">
      <c r="A1423" s="275"/>
      <c r="B1423" s="275"/>
      <c r="C1423" s="275"/>
      <c r="D1423" s="275"/>
      <c r="E1423" s="275"/>
      <c r="F1423" s="275"/>
      <c r="G1423" s="275"/>
      <c r="H1423" s="274"/>
      <c r="I1423" s="274"/>
      <c r="J1423" s="275"/>
      <c r="K1423" s="274"/>
    </row>
    <row r="1424" spans="1:11">
      <c r="A1424" s="275"/>
      <c r="B1424" s="275"/>
      <c r="C1424" s="275"/>
      <c r="D1424" s="275"/>
      <c r="E1424" s="275"/>
      <c r="F1424" s="275"/>
      <c r="G1424" s="275"/>
      <c r="H1424" s="274"/>
      <c r="I1424" s="274"/>
      <c r="J1424" s="275"/>
      <c r="K1424" s="274"/>
    </row>
    <row r="1425" spans="1:11">
      <c r="A1425" s="275"/>
      <c r="B1425" s="275"/>
      <c r="C1425" s="275"/>
      <c r="D1425" s="275"/>
      <c r="E1425" s="275"/>
      <c r="F1425" s="275"/>
      <c r="G1425" s="275"/>
      <c r="H1425" s="274"/>
      <c r="I1425" s="274"/>
      <c r="J1425" s="275"/>
      <c r="K1425" s="274"/>
    </row>
    <row r="1426" spans="1:11">
      <c r="A1426" s="275"/>
      <c r="B1426" s="275"/>
      <c r="C1426" s="275"/>
      <c r="D1426" s="275"/>
      <c r="E1426" s="275"/>
      <c r="F1426" s="275"/>
      <c r="G1426" s="275"/>
      <c r="H1426" s="274"/>
      <c r="I1426" s="274"/>
      <c r="J1426" s="275"/>
      <c r="K1426" s="274"/>
    </row>
    <row r="1427" spans="1:11">
      <c r="A1427" s="275"/>
      <c r="B1427" s="275"/>
      <c r="C1427" s="275"/>
      <c r="D1427" s="275"/>
      <c r="E1427" s="275"/>
      <c r="F1427" s="275"/>
      <c r="G1427" s="275"/>
      <c r="H1427" s="274"/>
      <c r="I1427" s="274"/>
      <c r="J1427" s="275"/>
      <c r="K1427" s="274"/>
    </row>
    <row r="1428" spans="1:11">
      <c r="A1428" s="275"/>
      <c r="B1428" s="275"/>
      <c r="C1428" s="275"/>
      <c r="D1428" s="275"/>
      <c r="E1428" s="275"/>
      <c r="F1428" s="275"/>
      <c r="G1428" s="275"/>
      <c r="H1428" s="274"/>
      <c r="I1428" s="274"/>
      <c r="J1428" s="275"/>
      <c r="K1428" s="274"/>
    </row>
    <row r="1429" spans="1:11">
      <c r="A1429" s="275"/>
      <c r="B1429" s="275"/>
      <c r="C1429" s="275"/>
      <c r="D1429" s="275"/>
      <c r="E1429" s="275"/>
      <c r="F1429" s="275"/>
      <c r="G1429" s="275"/>
      <c r="H1429" s="274"/>
      <c r="I1429" s="274"/>
      <c r="J1429" s="275"/>
      <c r="K1429" s="274"/>
    </row>
    <row r="1430" spans="1:11">
      <c r="A1430" s="275"/>
      <c r="B1430" s="275"/>
      <c r="C1430" s="275"/>
      <c r="D1430" s="275"/>
      <c r="E1430" s="275"/>
      <c r="F1430" s="275"/>
      <c r="G1430" s="275"/>
      <c r="H1430" s="274"/>
      <c r="I1430" s="274"/>
      <c r="J1430" s="275"/>
      <c r="K1430" s="274"/>
    </row>
    <row r="1431" spans="1:11">
      <c r="A1431" s="275"/>
      <c r="B1431" s="275"/>
      <c r="C1431" s="275"/>
      <c r="D1431" s="275"/>
      <c r="E1431" s="275"/>
      <c r="F1431" s="275"/>
      <c r="G1431" s="275"/>
      <c r="H1431" s="274"/>
      <c r="I1431" s="274"/>
      <c r="J1431" s="275"/>
      <c r="K1431" s="274"/>
    </row>
    <row r="1432" spans="1:11">
      <c r="A1432" s="275"/>
      <c r="B1432" s="275"/>
      <c r="C1432" s="275"/>
      <c r="D1432" s="275"/>
      <c r="E1432" s="275"/>
      <c r="F1432" s="275"/>
      <c r="G1432" s="275"/>
      <c r="H1432" s="274"/>
      <c r="I1432" s="274"/>
      <c r="J1432" s="275"/>
      <c r="K1432" s="274"/>
    </row>
    <row r="1433" spans="1:11">
      <c r="A1433" s="275"/>
      <c r="B1433" s="275"/>
      <c r="C1433" s="275"/>
      <c r="D1433" s="275"/>
      <c r="E1433" s="275"/>
      <c r="F1433" s="275"/>
      <c r="G1433" s="275"/>
      <c r="H1433" s="274"/>
      <c r="I1433" s="274"/>
      <c r="J1433" s="275"/>
      <c r="K1433" s="274"/>
    </row>
    <row r="1434" spans="1:11">
      <c r="A1434" s="275"/>
      <c r="B1434" s="275"/>
      <c r="C1434" s="275"/>
      <c r="D1434" s="275"/>
      <c r="E1434" s="275"/>
      <c r="F1434" s="275"/>
      <c r="G1434" s="275"/>
      <c r="H1434" s="274"/>
      <c r="I1434" s="274"/>
      <c r="J1434" s="275"/>
      <c r="K1434" s="274"/>
    </row>
    <row r="1435" spans="1:11">
      <c r="A1435" s="275"/>
      <c r="B1435" s="275"/>
      <c r="C1435" s="275"/>
      <c r="D1435" s="275"/>
      <c r="E1435" s="275"/>
      <c r="F1435" s="275"/>
      <c r="G1435" s="275"/>
      <c r="H1435" s="274"/>
      <c r="I1435" s="274"/>
      <c r="J1435" s="275"/>
      <c r="K1435" s="274"/>
    </row>
    <row r="1436" spans="1:11">
      <c r="A1436" s="275"/>
      <c r="B1436" s="275"/>
      <c r="C1436" s="275"/>
      <c r="D1436" s="275"/>
      <c r="E1436" s="275"/>
      <c r="F1436" s="275"/>
      <c r="G1436" s="275"/>
      <c r="H1436" s="274"/>
      <c r="I1436" s="274"/>
      <c r="J1436" s="275"/>
      <c r="K1436" s="274"/>
    </row>
    <row r="1437" spans="1:11">
      <c r="A1437" s="275"/>
      <c r="B1437" s="275"/>
      <c r="C1437" s="275"/>
      <c r="D1437" s="275"/>
      <c r="E1437" s="275"/>
      <c r="F1437" s="275"/>
      <c r="G1437" s="275"/>
      <c r="H1437" s="274"/>
      <c r="I1437" s="274"/>
      <c r="J1437" s="275"/>
      <c r="K1437" s="274"/>
    </row>
    <row r="1438" spans="1:11">
      <c r="A1438" s="275"/>
      <c r="B1438" s="275"/>
      <c r="C1438" s="275"/>
      <c r="D1438" s="275"/>
      <c r="E1438" s="275"/>
      <c r="F1438" s="275"/>
      <c r="G1438" s="275"/>
      <c r="H1438" s="274"/>
      <c r="I1438" s="274"/>
      <c r="J1438" s="275"/>
      <c r="K1438" s="274"/>
    </row>
    <row r="1439" spans="1:11">
      <c r="A1439" s="275"/>
      <c r="B1439" s="275"/>
      <c r="C1439" s="275"/>
      <c r="D1439" s="275"/>
      <c r="E1439" s="275"/>
      <c r="F1439" s="275"/>
      <c r="G1439" s="275"/>
      <c r="H1439" s="274"/>
      <c r="I1439" s="274"/>
      <c r="J1439" s="275"/>
      <c r="K1439" s="274"/>
    </row>
    <row r="1440" spans="1:11">
      <c r="A1440" s="275"/>
      <c r="B1440" s="275"/>
      <c r="C1440" s="275"/>
      <c r="D1440" s="275"/>
      <c r="E1440" s="275"/>
      <c r="F1440" s="275"/>
      <c r="G1440" s="275"/>
      <c r="H1440" s="274"/>
      <c r="I1440" s="274"/>
      <c r="J1440" s="275"/>
      <c r="K1440" s="274"/>
    </row>
    <row r="1441" spans="1:11">
      <c r="A1441" s="275"/>
      <c r="B1441" s="275"/>
      <c r="C1441" s="275"/>
      <c r="D1441" s="275"/>
      <c r="E1441" s="275"/>
      <c r="F1441" s="275"/>
      <c r="G1441" s="275"/>
      <c r="H1441" s="274"/>
      <c r="I1441" s="274"/>
      <c r="J1441" s="275"/>
      <c r="K1441" s="274"/>
    </row>
    <row r="1442" spans="1:11">
      <c r="A1442" s="275"/>
      <c r="B1442" s="275"/>
      <c r="C1442" s="275"/>
      <c r="D1442" s="275"/>
      <c r="E1442" s="275"/>
      <c r="F1442" s="275"/>
      <c r="G1442" s="275"/>
      <c r="H1442" s="274"/>
      <c r="I1442" s="274"/>
      <c r="J1442" s="275"/>
      <c r="K1442" s="274"/>
    </row>
    <row r="1443" spans="1:11">
      <c r="A1443" s="275"/>
      <c r="B1443" s="275"/>
      <c r="C1443" s="275"/>
      <c r="D1443" s="275"/>
      <c r="E1443" s="275"/>
      <c r="F1443" s="275"/>
      <c r="G1443" s="275"/>
      <c r="H1443" s="274"/>
      <c r="I1443" s="274"/>
      <c r="J1443" s="275"/>
      <c r="K1443" s="274"/>
    </row>
    <row r="1444" spans="1:11">
      <c r="A1444" s="275"/>
      <c r="B1444" s="275"/>
      <c r="C1444" s="275"/>
      <c r="D1444" s="275"/>
      <c r="E1444" s="275"/>
      <c r="F1444" s="275"/>
      <c r="G1444" s="275"/>
      <c r="H1444" s="274"/>
      <c r="I1444" s="274"/>
      <c r="J1444" s="275"/>
      <c r="K1444" s="274"/>
    </row>
    <row r="1445" spans="1:11">
      <c r="A1445" s="275"/>
      <c r="B1445" s="275"/>
      <c r="C1445" s="275"/>
      <c r="D1445" s="275"/>
      <c r="E1445" s="275"/>
      <c r="F1445" s="275"/>
      <c r="G1445" s="275"/>
      <c r="H1445" s="274"/>
      <c r="I1445" s="274"/>
      <c r="J1445" s="275"/>
      <c r="K1445" s="274"/>
    </row>
    <row r="1446" spans="1:11">
      <c r="A1446" s="275"/>
      <c r="B1446" s="275"/>
      <c r="C1446" s="275"/>
      <c r="D1446" s="275"/>
      <c r="E1446" s="275"/>
      <c r="F1446" s="275"/>
      <c r="G1446" s="275"/>
      <c r="H1446" s="274"/>
      <c r="I1446" s="274"/>
      <c r="J1446" s="275"/>
      <c r="K1446" s="274"/>
    </row>
    <row r="1447" spans="1:11">
      <c r="A1447" s="275"/>
      <c r="B1447" s="275"/>
      <c r="C1447" s="275"/>
      <c r="D1447" s="275"/>
      <c r="E1447" s="275"/>
      <c r="F1447" s="275"/>
      <c r="G1447" s="275"/>
      <c r="H1447" s="274"/>
      <c r="I1447" s="274"/>
      <c r="J1447" s="275"/>
      <c r="K1447" s="274"/>
    </row>
    <row r="1448" spans="1:11">
      <c r="A1448" s="275"/>
      <c r="B1448" s="275"/>
      <c r="C1448" s="275"/>
      <c r="D1448" s="275"/>
      <c r="E1448" s="275"/>
      <c r="F1448" s="275"/>
      <c r="G1448" s="275"/>
      <c r="H1448" s="274"/>
      <c r="I1448" s="274"/>
      <c r="J1448" s="275"/>
      <c r="K1448" s="274"/>
    </row>
    <row r="1449" spans="1:11">
      <c r="A1449" s="275"/>
      <c r="B1449" s="275"/>
      <c r="C1449" s="275"/>
      <c r="D1449" s="275"/>
      <c r="E1449" s="275"/>
      <c r="F1449" s="275"/>
      <c r="G1449" s="275"/>
      <c r="H1449" s="274"/>
      <c r="I1449" s="274"/>
      <c r="J1449" s="275"/>
      <c r="K1449" s="274"/>
    </row>
    <row r="1450" spans="1:11">
      <c r="A1450" s="275"/>
      <c r="B1450" s="275"/>
      <c r="C1450" s="275"/>
      <c r="D1450" s="275"/>
      <c r="E1450" s="275"/>
      <c r="F1450" s="275"/>
      <c r="G1450" s="275"/>
      <c r="H1450" s="274"/>
      <c r="I1450" s="274"/>
      <c r="J1450" s="275"/>
      <c r="K1450" s="274"/>
    </row>
    <row r="1451" spans="1:11">
      <c r="A1451" s="275"/>
      <c r="B1451" s="275"/>
      <c r="C1451" s="275"/>
      <c r="D1451" s="275"/>
      <c r="E1451" s="275"/>
      <c r="F1451" s="275"/>
      <c r="G1451" s="275"/>
      <c r="H1451" s="274"/>
      <c r="I1451" s="274"/>
      <c r="J1451" s="275"/>
      <c r="K1451" s="274"/>
    </row>
    <row r="1452" spans="1:11">
      <c r="A1452" s="275"/>
      <c r="B1452" s="275"/>
      <c r="C1452" s="275"/>
      <c r="D1452" s="275"/>
      <c r="E1452" s="275"/>
      <c r="F1452" s="275"/>
      <c r="G1452" s="275"/>
      <c r="H1452" s="274"/>
      <c r="I1452" s="274"/>
      <c r="J1452" s="275"/>
      <c r="K1452" s="274"/>
    </row>
    <row r="1453" spans="1:11">
      <c r="A1453" s="275"/>
      <c r="B1453" s="275"/>
      <c r="C1453" s="275"/>
      <c r="D1453" s="275"/>
      <c r="E1453" s="275"/>
      <c r="F1453" s="275"/>
      <c r="G1453" s="275"/>
      <c r="H1453" s="274"/>
      <c r="I1453" s="274"/>
      <c r="J1453" s="275"/>
      <c r="K1453" s="274"/>
    </row>
    <row r="1454" spans="1:11">
      <c r="A1454" s="275"/>
      <c r="B1454" s="275"/>
      <c r="C1454" s="275"/>
      <c r="D1454" s="275"/>
      <c r="E1454" s="275"/>
      <c r="F1454" s="275"/>
      <c r="G1454" s="275"/>
      <c r="H1454" s="274"/>
      <c r="I1454" s="274"/>
      <c r="J1454" s="275"/>
      <c r="K1454" s="274"/>
    </row>
    <row r="1455" spans="1:11">
      <c r="A1455" s="275"/>
      <c r="B1455" s="275"/>
      <c r="C1455" s="275"/>
      <c r="D1455" s="275"/>
      <c r="E1455" s="275"/>
      <c r="F1455" s="275"/>
      <c r="G1455" s="275"/>
      <c r="H1455" s="274"/>
      <c r="I1455" s="274"/>
      <c r="J1455" s="275"/>
      <c r="K1455" s="274"/>
    </row>
    <row r="1456" spans="1:11">
      <c r="A1456" s="275"/>
      <c r="B1456" s="275"/>
      <c r="C1456" s="275"/>
      <c r="D1456" s="275"/>
      <c r="E1456" s="275"/>
      <c r="F1456" s="275"/>
      <c r="G1456" s="275"/>
      <c r="H1456" s="274"/>
      <c r="I1456" s="274"/>
      <c r="J1456" s="275"/>
      <c r="K1456" s="274"/>
    </row>
    <row r="1457" spans="1:11">
      <c r="A1457" s="275"/>
      <c r="B1457" s="275"/>
      <c r="C1457" s="275"/>
      <c r="D1457" s="275"/>
      <c r="E1457" s="275"/>
      <c r="F1457" s="275"/>
      <c r="G1457" s="275"/>
      <c r="H1457" s="274"/>
      <c r="I1457" s="274"/>
      <c r="J1457" s="275"/>
      <c r="K1457" s="274"/>
    </row>
    <row r="1458" spans="1:11">
      <c r="A1458" s="275"/>
      <c r="B1458" s="275"/>
      <c r="C1458" s="275"/>
      <c r="D1458" s="275"/>
      <c r="E1458" s="275"/>
      <c r="F1458" s="275"/>
      <c r="G1458" s="275"/>
      <c r="H1458" s="274"/>
      <c r="I1458" s="274"/>
      <c r="J1458" s="275"/>
      <c r="K1458" s="274"/>
    </row>
    <row r="1459" spans="1:11">
      <c r="A1459" s="275"/>
      <c r="B1459" s="275"/>
      <c r="C1459" s="275"/>
      <c r="D1459" s="275"/>
      <c r="E1459" s="275"/>
      <c r="F1459" s="275"/>
      <c r="G1459" s="275"/>
      <c r="H1459" s="274"/>
      <c r="I1459" s="274"/>
      <c r="J1459" s="275"/>
      <c r="K1459" s="274"/>
    </row>
    <row r="1460" spans="1:11">
      <c r="A1460" s="275"/>
      <c r="B1460" s="275"/>
      <c r="C1460" s="275"/>
      <c r="D1460" s="275"/>
      <c r="E1460" s="275"/>
      <c r="F1460" s="275"/>
      <c r="G1460" s="275"/>
      <c r="H1460" s="274"/>
      <c r="I1460" s="274"/>
      <c r="J1460" s="275"/>
      <c r="K1460" s="274"/>
    </row>
    <row r="1461" spans="1:11">
      <c r="A1461" s="275"/>
      <c r="B1461" s="275"/>
      <c r="C1461" s="275"/>
      <c r="D1461" s="275"/>
      <c r="E1461" s="275"/>
      <c r="F1461" s="275"/>
      <c r="G1461" s="275"/>
      <c r="H1461" s="274"/>
      <c r="I1461" s="274"/>
      <c r="J1461" s="275"/>
      <c r="K1461" s="274"/>
    </row>
    <row r="1462" spans="1:11">
      <c r="A1462" s="275"/>
      <c r="B1462" s="275"/>
      <c r="C1462" s="275"/>
      <c r="D1462" s="275"/>
      <c r="E1462" s="275"/>
      <c r="F1462" s="275"/>
      <c r="G1462" s="275"/>
      <c r="H1462" s="274"/>
      <c r="I1462" s="274"/>
      <c r="J1462" s="275"/>
      <c r="K1462" s="274"/>
    </row>
    <row r="1464" spans="1:11">
      <c r="F1464" s="273">
        <f>COUNTA(F1367:F1462)</f>
        <v>0</v>
      </c>
    </row>
  </sheetData>
  <mergeCells count="1">
    <mergeCell ref="F4:K4"/>
  </mergeCells>
  <printOptions horizontalCentered="1"/>
  <pageMargins left="0.7" right="0.7" top="0.75" bottom="0.75" header="0.3" footer="0.3"/>
  <pageSetup firstPageNumber="4294967295" fitToHeight="100" orientation="portrait" horizontalDpi="1200" verticalDpi="1200" r:id="rId1"/>
  <headerFooter alignWithMargins="0">
    <oddHeader>&amp;R</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I18"/>
  <sheetViews>
    <sheetView view="pageBreakPreview" zoomScale="85" zoomScaleNormal="100" zoomScaleSheetLayoutView="85" workbookViewId="0">
      <selection sqref="A1:I1"/>
    </sheetView>
  </sheetViews>
  <sheetFormatPr defaultColWidth="8.88671875" defaultRowHeight="15"/>
  <cols>
    <col min="1" max="1" width="5.6640625" style="355" customWidth="1"/>
    <col min="2" max="2" width="18" style="355" customWidth="1"/>
    <col min="3" max="3" width="5.6640625" style="355" customWidth="1"/>
    <col min="4" max="4" width="13.109375" style="355" bestFit="1" customWidth="1"/>
    <col min="5" max="5" width="5.6640625" style="355" customWidth="1"/>
    <col min="6" max="6" width="12.5546875" style="355" customWidth="1"/>
    <col min="7" max="7" width="5.6640625" style="355" customWidth="1"/>
    <col min="8" max="8" width="19.109375" style="355" customWidth="1"/>
    <col min="9" max="9" width="5.6640625" style="355" customWidth="1"/>
    <col min="10" max="16384" width="8.88671875" style="355"/>
  </cols>
  <sheetData>
    <row r="1" spans="1:9" ht="20.399999999999999">
      <c r="A1" s="997" t="str">
        <f>Input!G28</f>
        <v>Peoples Gas System</v>
      </c>
      <c r="B1" s="997"/>
      <c r="C1" s="997"/>
      <c r="D1" s="997"/>
      <c r="E1" s="997"/>
      <c r="F1" s="997"/>
      <c r="G1" s="997"/>
      <c r="H1" s="997"/>
      <c r="I1" s="997"/>
    </row>
    <row r="2" spans="1:9" ht="20.399999999999999">
      <c r="A2" s="998" t="s">
        <v>4050</v>
      </c>
      <c r="B2" s="998"/>
      <c r="C2" s="998"/>
      <c r="D2" s="998"/>
      <c r="E2" s="998"/>
      <c r="F2" s="998"/>
      <c r="G2" s="998"/>
      <c r="H2" s="998"/>
      <c r="I2" s="998"/>
    </row>
    <row r="3" spans="1:9" ht="20.399999999999999">
      <c r="A3" s="997" t="s">
        <v>4051</v>
      </c>
      <c r="B3" s="997"/>
      <c r="C3" s="997"/>
      <c r="D3" s="997"/>
      <c r="E3" s="997"/>
      <c r="F3" s="997"/>
      <c r="G3" s="997"/>
      <c r="H3" s="997"/>
      <c r="I3" s="997"/>
    </row>
    <row r="4" spans="1:9" ht="20.399999999999999">
      <c r="A4" s="752"/>
      <c r="B4" s="752"/>
      <c r="C4" s="752"/>
      <c r="D4" s="752"/>
      <c r="E4" s="752"/>
      <c r="F4" s="752"/>
      <c r="G4" s="752"/>
      <c r="H4" s="752"/>
      <c r="I4" s="752"/>
    </row>
    <row r="5" spans="1:9" ht="20.399999999999999">
      <c r="A5" s="752"/>
      <c r="B5" s="752"/>
      <c r="C5" s="752"/>
      <c r="D5" s="752"/>
      <c r="E5" s="752"/>
      <c r="F5" s="752"/>
      <c r="G5" s="752"/>
      <c r="H5" s="752"/>
      <c r="I5" s="752"/>
    </row>
    <row r="6" spans="1:9" ht="41.25" customHeight="1">
      <c r="A6" s="752"/>
      <c r="B6" s="753" t="s">
        <v>4052</v>
      </c>
      <c r="C6" s="752"/>
      <c r="D6" s="754" t="s">
        <v>4053</v>
      </c>
      <c r="E6" s="751"/>
      <c r="F6" s="754" t="s">
        <v>4054</v>
      </c>
      <c r="G6" s="752"/>
      <c r="H6" s="755" t="s">
        <v>4055</v>
      </c>
      <c r="I6" s="752"/>
    </row>
    <row r="7" spans="1:9" ht="20.399999999999999">
      <c r="A7" s="752"/>
      <c r="B7" s="752"/>
      <c r="C7" s="752"/>
      <c r="D7" s="752"/>
      <c r="E7" s="752"/>
      <c r="F7" s="752"/>
      <c r="G7" s="752"/>
      <c r="H7" s="752"/>
      <c r="I7" s="752"/>
    </row>
    <row r="8" spans="1:9" ht="20.399999999999999">
      <c r="A8" s="752"/>
      <c r="B8" s="752" t="s">
        <v>4056</v>
      </c>
      <c r="C8" s="752"/>
      <c r="D8" s="756">
        <v>0.40479999999999999</v>
      </c>
      <c r="E8" s="760"/>
      <c r="F8" s="756">
        <v>5.5399999999999998E-2</v>
      </c>
      <c r="G8" s="982" t="s">
        <v>95</v>
      </c>
      <c r="H8" s="756">
        <v>2.24E-2</v>
      </c>
      <c r="I8" s="752"/>
    </row>
    <row r="9" spans="1:9" ht="20.399999999999999">
      <c r="A9" s="752"/>
      <c r="B9" s="752" t="s">
        <v>4616</v>
      </c>
      <c r="C9" s="752"/>
      <c r="D9" s="756">
        <v>4.8399999999999999E-2</v>
      </c>
      <c r="E9" s="760"/>
      <c r="F9" s="756">
        <v>4.8500000000000001E-2</v>
      </c>
      <c r="G9" s="982" t="s">
        <v>95</v>
      </c>
      <c r="H9" s="756">
        <v>2.3999999999999998E-3</v>
      </c>
      <c r="I9" s="752"/>
    </row>
    <row r="10" spans="1:9" ht="20.399999999999999">
      <c r="A10" s="752"/>
      <c r="B10" s="752" t="s">
        <v>10</v>
      </c>
      <c r="C10" s="752"/>
      <c r="D10" s="757">
        <v>0.54679999999999995</v>
      </c>
      <c r="E10" s="982"/>
      <c r="F10" s="758">
        <f>'1.2 Summary of CE Models'!E23</f>
        <v>0.11</v>
      </c>
      <c r="G10" s="982" t="s">
        <v>96</v>
      </c>
      <c r="H10" s="757">
        <f>ROUND(F10*D10,4)</f>
        <v>6.0100000000000001E-2</v>
      </c>
      <c r="I10" s="752"/>
    </row>
    <row r="11" spans="1:9" ht="20.399999999999999">
      <c r="A11" s="752"/>
      <c r="B11" s="752"/>
      <c r="C11" s="752"/>
      <c r="D11" s="756"/>
      <c r="E11" s="760"/>
      <c r="F11" s="756"/>
      <c r="G11" s="760"/>
      <c r="H11" s="760"/>
      <c r="I11" s="752"/>
    </row>
    <row r="12" spans="1:9" ht="21" thickBot="1">
      <c r="A12" s="752"/>
      <c r="B12" s="752" t="s">
        <v>86</v>
      </c>
      <c r="C12" s="752"/>
      <c r="D12" s="759">
        <f>SUM(D8:D10)</f>
        <v>1</v>
      </c>
      <c r="E12" s="760"/>
      <c r="F12" s="756"/>
      <c r="G12" s="760"/>
      <c r="H12" s="759">
        <f>SUM(H8:H10)</f>
        <v>8.4900000000000003E-2</v>
      </c>
      <c r="I12" s="752"/>
    </row>
    <row r="13" spans="1:9" ht="21" thickTop="1">
      <c r="A13" s="752"/>
      <c r="B13" s="752"/>
      <c r="C13" s="752"/>
      <c r="D13" s="760"/>
      <c r="E13" s="752"/>
      <c r="F13" s="752"/>
      <c r="G13" s="752"/>
      <c r="H13" s="756"/>
      <c r="I13" s="752"/>
    </row>
    <row r="14" spans="1:9" ht="20.399999999999999">
      <c r="A14" s="752"/>
      <c r="B14" s="752"/>
      <c r="C14" s="752"/>
      <c r="D14" s="760"/>
      <c r="E14" s="752"/>
      <c r="F14" s="752"/>
      <c r="G14" s="752"/>
      <c r="H14" s="756"/>
      <c r="I14" s="752"/>
    </row>
    <row r="15" spans="1:9" ht="20.399999999999999">
      <c r="A15" s="752" t="s">
        <v>94</v>
      </c>
      <c r="B15" s="752"/>
      <c r="C15" s="752"/>
      <c r="D15" s="752"/>
      <c r="E15" s="752"/>
      <c r="F15" s="752"/>
      <c r="G15" s="752"/>
      <c r="H15" s="752"/>
      <c r="I15" s="752"/>
    </row>
    <row r="16" spans="1:9" ht="20.399999999999999">
      <c r="A16" s="761" t="s">
        <v>95</v>
      </c>
      <c r="B16" s="762" t="s">
        <v>4617</v>
      </c>
      <c r="C16" s="762"/>
      <c r="D16" s="762"/>
      <c r="E16" s="762"/>
      <c r="F16" s="762"/>
      <c r="G16" s="752"/>
      <c r="H16" s="752"/>
      <c r="I16" s="752"/>
    </row>
    <row r="17" spans="1:9" ht="25.5" customHeight="1">
      <c r="A17" s="761" t="s">
        <v>96</v>
      </c>
      <c r="B17" s="995" t="s">
        <v>4398</v>
      </c>
      <c r="C17" s="995"/>
      <c r="D17" s="995"/>
      <c r="E17" s="995"/>
      <c r="F17" s="995"/>
      <c r="G17" s="752"/>
      <c r="H17" s="752"/>
      <c r="I17" s="752"/>
    </row>
    <row r="18" spans="1:9">
      <c r="A18" s="356"/>
      <c r="B18" s="996"/>
      <c r="C18" s="996"/>
      <c r="D18" s="996"/>
      <c r="E18" s="996"/>
      <c r="F18" s="996"/>
    </row>
  </sheetData>
  <mergeCells count="5">
    <mergeCell ref="B17:F17"/>
    <mergeCell ref="B18:F18"/>
    <mergeCell ref="A3:I3"/>
    <mergeCell ref="A2:I2"/>
    <mergeCell ref="A1:I1"/>
  </mergeCells>
  <printOptions horizontalCentered="1"/>
  <pageMargins left="0.7" right="0.7" top="0.75" bottom="0.75" header="0.3" footer="0.3"/>
  <pageSetup orientation="portrait" r:id="rId1"/>
  <ignoredErrors>
    <ignoredError sqref="G8:G10 A16:A1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W39"/>
  <sheetViews>
    <sheetView view="pageBreakPreview" zoomScale="85" zoomScaleNormal="85" zoomScaleSheetLayoutView="85" workbookViewId="0"/>
  </sheetViews>
  <sheetFormatPr defaultColWidth="9" defaultRowHeight="15"/>
  <cols>
    <col min="1" max="1" width="9" style="3"/>
    <col min="2" max="2" width="38.88671875" style="3" customWidth="1"/>
    <col min="3" max="3" width="3" style="3" customWidth="1"/>
    <col min="4" max="4" width="11" style="3" customWidth="1"/>
    <col min="5" max="5" width="3.33203125" style="3" customWidth="1"/>
    <col min="6" max="6" width="14.5546875" style="3" customWidth="1"/>
    <col min="7" max="7" width="3.33203125" style="3" customWidth="1"/>
    <col min="8" max="8" width="11" style="3" customWidth="1"/>
    <col min="9" max="9" width="3" style="3" customWidth="1"/>
    <col min="10" max="10" width="10.5546875" style="3" bestFit="1" customWidth="1"/>
    <col min="11" max="11" width="3.5546875" style="3" customWidth="1"/>
    <col min="12" max="12" width="3" style="3" customWidth="1"/>
    <col min="13" max="13" width="9.5546875" style="3" customWidth="1"/>
    <col min="14" max="14" width="3.5546875" style="3" customWidth="1"/>
    <col min="15" max="15" width="3" style="3" customWidth="1"/>
    <col min="16" max="16" width="9.5546875" style="3" customWidth="1"/>
    <col min="17" max="17" width="3.5546875" style="3" customWidth="1"/>
    <col min="18" max="18" width="3" style="3" customWidth="1"/>
    <col min="19" max="19" width="9.5546875" style="3" customWidth="1"/>
    <col min="20" max="20" width="3.5546875" style="3" customWidth="1"/>
    <col min="21" max="21" width="3" style="3" customWidth="1"/>
    <col min="22" max="22" width="9.5546875" style="3" customWidth="1"/>
    <col min="23" max="23" width="3.5546875" style="3" customWidth="1"/>
    <col min="24" max="16384" width="9" style="3"/>
  </cols>
  <sheetData>
    <row r="1" spans="1:23">
      <c r="B1" s="1" t="str">
        <f>Input!G28</f>
        <v>Peoples Gas System</v>
      </c>
      <c r="C1" s="2"/>
      <c r="D1" s="2"/>
      <c r="E1" s="2"/>
      <c r="F1" s="2"/>
      <c r="G1" s="2"/>
      <c r="H1" s="2"/>
      <c r="I1" s="2"/>
      <c r="J1" s="2"/>
      <c r="K1" s="2"/>
      <c r="L1" s="2"/>
      <c r="M1" s="2"/>
      <c r="N1" s="2"/>
      <c r="O1" s="2"/>
      <c r="P1" s="2"/>
      <c r="Q1" s="2"/>
      <c r="R1" s="2"/>
      <c r="S1" s="2"/>
      <c r="T1" s="2"/>
      <c r="U1" s="2"/>
      <c r="V1" s="2"/>
      <c r="W1" s="2"/>
    </row>
    <row r="2" spans="1:23">
      <c r="B2" s="2" t="s">
        <v>166</v>
      </c>
      <c r="C2" s="2"/>
      <c r="D2" s="2"/>
      <c r="E2" s="2"/>
      <c r="F2" s="2"/>
      <c r="G2" s="2"/>
      <c r="H2" s="2"/>
      <c r="I2" s="2"/>
      <c r="J2" s="2"/>
      <c r="K2" s="2"/>
      <c r="L2" s="2"/>
      <c r="M2" s="2"/>
      <c r="N2" s="2"/>
      <c r="O2" s="2"/>
      <c r="P2" s="2"/>
      <c r="Q2" s="2"/>
      <c r="R2" s="2"/>
      <c r="S2" s="2"/>
      <c r="T2" s="2"/>
      <c r="U2" s="2"/>
      <c r="V2" s="2"/>
      <c r="W2" s="2"/>
    </row>
    <row r="3" spans="1:23">
      <c r="B3" s="1" t="s">
        <v>167</v>
      </c>
      <c r="C3" s="2"/>
      <c r="D3" s="2"/>
      <c r="E3" s="2"/>
      <c r="F3" s="2"/>
      <c r="G3" s="2"/>
      <c r="H3" s="2"/>
      <c r="I3" s="2"/>
      <c r="J3" s="2"/>
      <c r="K3" s="2"/>
      <c r="L3" s="2"/>
      <c r="M3" s="2"/>
      <c r="N3" s="2"/>
      <c r="O3" s="2"/>
      <c r="P3" s="2"/>
      <c r="Q3" s="2"/>
      <c r="R3" s="2"/>
      <c r="S3" s="2"/>
      <c r="T3" s="2"/>
      <c r="U3" s="2"/>
      <c r="V3" s="2"/>
      <c r="W3" s="2"/>
    </row>
    <row r="5" spans="1:23">
      <c r="D5" s="5" t="s">
        <v>1337</v>
      </c>
      <c r="E5" s="5"/>
      <c r="F5" s="5" t="s">
        <v>1336</v>
      </c>
      <c r="G5" s="5"/>
      <c r="H5" s="5" t="s">
        <v>1335</v>
      </c>
      <c r="J5" s="2" t="s">
        <v>1341</v>
      </c>
      <c r="K5" s="2"/>
      <c r="M5" s="2" t="s">
        <v>1342</v>
      </c>
      <c r="N5" s="2"/>
      <c r="P5" s="2" t="s">
        <v>1345</v>
      </c>
      <c r="Q5" s="2"/>
      <c r="S5" s="2" t="s">
        <v>1346</v>
      </c>
      <c r="T5" s="2"/>
      <c r="V5" s="2" t="s">
        <v>1357</v>
      </c>
      <c r="W5" s="2"/>
    </row>
    <row r="7" spans="1:23" ht="45">
      <c r="B7" s="438" t="str">
        <f>'6.1 Comp Earnings Criteria'!C7</f>
        <v>Proxy Group of Six Natural Gas Companies</v>
      </c>
      <c r="D7" s="439" t="s">
        <v>168</v>
      </c>
      <c r="E7" s="226"/>
      <c r="F7" s="439" t="s">
        <v>1328</v>
      </c>
      <c r="G7" s="226"/>
      <c r="H7" s="439" t="s">
        <v>1322</v>
      </c>
      <c r="I7" s="5"/>
      <c r="J7" s="1015" t="s">
        <v>169</v>
      </c>
      <c r="K7" s="1034"/>
      <c r="L7" s="5"/>
      <c r="M7" s="1015" t="s">
        <v>170</v>
      </c>
      <c r="N7" s="1034"/>
      <c r="O7" s="5"/>
      <c r="P7" s="1015" t="s">
        <v>1351</v>
      </c>
      <c r="Q7" s="1034"/>
      <c r="R7" s="5"/>
      <c r="S7" s="1015" t="s">
        <v>1352</v>
      </c>
      <c r="T7" s="1034"/>
      <c r="U7" s="5"/>
      <c r="V7" s="1015" t="s">
        <v>4145</v>
      </c>
      <c r="W7" s="1035"/>
    </row>
    <row r="8" spans="1:23" ht="15.75" customHeight="1"/>
    <row r="9" spans="1:23" ht="15.75" customHeight="1">
      <c r="A9" s="3" t="str">
        <f>'6.1 Comp Earnings Criteria'!A9</f>
        <v>ATO</v>
      </c>
      <c r="B9" s="340" t="str">
        <f>'Proxy Data Lookup'!B3</f>
        <v>Atmos Energy Corporation</v>
      </c>
      <c r="D9" s="7">
        <f>'MRP WP1'!C74</f>
        <v>0.8</v>
      </c>
      <c r="E9" s="7"/>
      <c r="F9" s="7">
        <f>'Proxy Data Lookup'!G3</f>
        <v>0.73475563526153564</v>
      </c>
      <c r="G9" s="7"/>
      <c r="H9" s="7">
        <f>IFERROR(ROUND(AVERAGE(D9:F9),2),"NA")</f>
        <v>0.77</v>
      </c>
      <c r="I9" s="8"/>
      <c r="J9" s="7">
        <f>'MRP WP1'!$H$65</f>
        <v>9.7498071769275878</v>
      </c>
      <c r="K9" s="227" t="s">
        <v>18</v>
      </c>
      <c r="L9" s="8"/>
      <c r="M9" s="7">
        <f>'MRP WP1'!$F$37</f>
        <v>3.91</v>
      </c>
      <c r="N9" s="227" t="s">
        <v>18</v>
      </c>
      <c r="O9" s="8"/>
      <c r="P9" s="9">
        <f>IFERROR((H9*J9) + M9,"NA")</f>
        <v>11.417351526234242</v>
      </c>
      <c r="Q9" s="227" t="s">
        <v>18</v>
      </c>
      <c r="R9" s="8"/>
      <c r="S9" s="9">
        <f>IFERROR((0.75*(H9*J9))+(0.25*J9)+M9,"NA")</f>
        <v>11.97796543890758</v>
      </c>
      <c r="T9" s="227" t="s">
        <v>18</v>
      </c>
      <c r="U9" s="8"/>
      <c r="V9" s="9">
        <f>IFERROR(ROUND(AVERAGE(P9:S9),2),"NA")</f>
        <v>11.7</v>
      </c>
      <c r="W9" s="8" t="s">
        <v>18</v>
      </c>
    </row>
    <row r="10" spans="1:23" ht="15.75" customHeight="1">
      <c r="A10" s="3" t="str">
        <f>'6.1 Comp Earnings Criteria'!A10</f>
        <v>NJR</v>
      </c>
      <c r="B10" s="340" t="str">
        <f>'Proxy Data Lookup'!B4</f>
        <v>New Jersey Resources Corporation</v>
      </c>
      <c r="D10" s="7">
        <f>'MRP WP1'!C75</f>
        <v>0.95</v>
      </c>
      <c r="E10" s="7"/>
      <c r="F10" s="7">
        <f>'Proxy Data Lookup'!G4</f>
        <v>0.70650196075439453</v>
      </c>
      <c r="G10" s="7"/>
      <c r="H10" s="7">
        <f t="shared" ref="H10:H14" si="0">IFERROR(ROUND(AVERAGE(D10:F10),2),"NA")</f>
        <v>0.83</v>
      </c>
      <c r="I10" s="8"/>
      <c r="J10" s="7">
        <f>'MRP WP1'!$H$65</f>
        <v>9.7498071769275878</v>
      </c>
      <c r="K10" s="227"/>
      <c r="L10" s="8"/>
      <c r="M10" s="7">
        <f>'MRP WP1'!$F$37</f>
        <v>3.91</v>
      </c>
      <c r="N10" s="227"/>
      <c r="O10" s="8"/>
      <c r="P10" s="9">
        <f t="shared" ref="P10:P14" si="1">IFERROR((H10*J10) + M10,"NA")</f>
        <v>12.002339956849898</v>
      </c>
      <c r="Q10" s="227"/>
      <c r="R10" s="8"/>
      <c r="S10" s="9">
        <f t="shared" ref="S10:S14" si="2">IFERROR((0.75*(H10*J10))+(0.25*J10)+M10,"NA")</f>
        <v>12.416706761869321</v>
      </c>
      <c r="T10" s="227"/>
      <c r="U10" s="8"/>
      <c r="V10" s="9">
        <f t="shared" ref="V10:V14" si="3">IFERROR(ROUND(AVERAGE(P10:S10),2),"NA")</f>
        <v>12.21</v>
      </c>
      <c r="W10" s="227"/>
    </row>
    <row r="11" spans="1:23" ht="15.75" customHeight="1">
      <c r="A11" s="3" t="str">
        <f>'6.1 Comp Earnings Criteria'!A11</f>
        <v>NI</v>
      </c>
      <c r="B11" s="340" t="str">
        <f>'Proxy Data Lookup'!B5</f>
        <v>NiSource Inc.</v>
      </c>
      <c r="D11" s="7">
        <f>'MRP WP1'!C76</f>
        <v>0.85</v>
      </c>
      <c r="E11" s="7"/>
      <c r="F11" s="7">
        <f>'Proxy Data Lookup'!G5</f>
        <v>0.73715859651565552</v>
      </c>
      <c r="G11" s="7"/>
      <c r="H11" s="7">
        <f t="shared" si="0"/>
        <v>0.79</v>
      </c>
      <c r="I11" s="8"/>
      <c r="J11" s="7">
        <f>'MRP WP1'!$H$65</f>
        <v>9.7498071769275878</v>
      </c>
      <c r="K11" s="227"/>
      <c r="L11" s="8"/>
      <c r="M11" s="7">
        <f>'MRP WP1'!$F$37</f>
        <v>3.91</v>
      </c>
      <c r="N11" s="227"/>
      <c r="O11" s="8"/>
      <c r="P11" s="9">
        <f t="shared" si="1"/>
        <v>11.612347669772795</v>
      </c>
      <c r="Q11" s="227"/>
      <c r="R11" s="8"/>
      <c r="S11" s="9">
        <f t="shared" si="2"/>
        <v>12.124212546561493</v>
      </c>
      <c r="T11" s="227"/>
      <c r="U11" s="8"/>
      <c r="V11" s="9">
        <f t="shared" si="3"/>
        <v>11.87</v>
      </c>
      <c r="W11" s="227"/>
    </row>
    <row r="12" spans="1:23" ht="15.75" customHeight="1">
      <c r="A12" s="3" t="str">
        <f>'6.1 Comp Earnings Criteria'!A12</f>
        <v>NWN</v>
      </c>
      <c r="B12" s="340" t="str">
        <f>'Proxy Data Lookup'!B6</f>
        <v>Northwest Natural Holding Company</v>
      </c>
      <c r="D12" s="7">
        <f>'MRP WP1'!C77</f>
        <v>0.8</v>
      </c>
      <c r="E12" s="7"/>
      <c r="F12" s="7">
        <f>'Proxy Data Lookup'!G6</f>
        <v>0.52684015035629272</v>
      </c>
      <c r="G12" s="7"/>
      <c r="H12" s="7">
        <f t="shared" si="0"/>
        <v>0.66</v>
      </c>
      <c r="I12" s="8"/>
      <c r="J12" s="7">
        <f>'MRP WP1'!$H$65</f>
        <v>9.7498071769275878</v>
      </c>
      <c r="K12" s="227"/>
      <c r="L12" s="8"/>
      <c r="M12" s="7">
        <f>'MRP WP1'!$F$37</f>
        <v>3.91</v>
      </c>
      <c r="N12" s="227"/>
      <c r="O12" s="8"/>
      <c r="P12" s="9">
        <f t="shared" si="1"/>
        <v>10.344872736772208</v>
      </c>
      <c r="Q12" s="227"/>
      <c r="R12" s="8"/>
      <c r="S12" s="9">
        <f t="shared" si="2"/>
        <v>11.173606346811054</v>
      </c>
      <c r="T12" s="227"/>
      <c r="U12" s="8"/>
      <c r="V12" s="9">
        <f t="shared" si="3"/>
        <v>10.76</v>
      </c>
      <c r="W12" s="227"/>
    </row>
    <row r="13" spans="1:23" ht="15.75" customHeight="1">
      <c r="A13" s="3" t="str">
        <f>'6.1 Comp Earnings Criteria'!A13</f>
        <v>OGS</v>
      </c>
      <c r="B13" s="340" t="str">
        <f>'Proxy Data Lookup'!B7</f>
        <v>ONE Gas, Inc.</v>
      </c>
      <c r="D13" s="7">
        <f>'MRP WP1'!C78</f>
        <v>0.8</v>
      </c>
      <c r="E13" s="7"/>
      <c r="F13" s="7">
        <f>'Proxy Data Lookup'!G7</f>
        <v>0.58262908458709717</v>
      </c>
      <c r="G13" s="7"/>
      <c r="H13" s="7">
        <f t="shared" si="0"/>
        <v>0.69</v>
      </c>
      <c r="I13" s="8"/>
      <c r="J13" s="7">
        <f>'MRP WP1'!$H$65</f>
        <v>9.7498071769275878</v>
      </c>
      <c r="K13" s="227"/>
      <c r="L13" s="8"/>
      <c r="M13" s="7">
        <f>'MRP WP1'!$F$37</f>
        <v>3.91</v>
      </c>
      <c r="N13" s="227"/>
      <c r="O13" s="8"/>
      <c r="P13" s="9">
        <f t="shared" si="1"/>
        <v>10.637366952080036</v>
      </c>
      <c r="Q13" s="227"/>
      <c r="R13" s="8"/>
      <c r="S13" s="9">
        <f t="shared" si="2"/>
        <v>11.392977008291924</v>
      </c>
      <c r="T13" s="227"/>
      <c r="U13" s="8"/>
      <c r="V13" s="9">
        <f t="shared" si="3"/>
        <v>11.02</v>
      </c>
      <c r="W13" s="227"/>
    </row>
    <row r="14" spans="1:23" ht="15.75" customHeight="1">
      <c r="A14" s="3" t="str">
        <f>'6.1 Comp Earnings Criteria'!A14</f>
        <v>SR</v>
      </c>
      <c r="B14" s="340" t="str">
        <f>'Proxy Data Lookup'!B8</f>
        <v>Spire Inc.</v>
      </c>
      <c r="D14" s="7">
        <f>'MRP WP1'!C79</f>
        <v>0.85</v>
      </c>
      <c r="E14" s="7"/>
      <c r="F14" s="7">
        <f>'Proxy Data Lookup'!G8</f>
        <v>0.69245487451553345</v>
      </c>
      <c r="G14" s="7"/>
      <c r="H14" s="7">
        <f t="shared" si="0"/>
        <v>0.77</v>
      </c>
      <c r="I14" s="8"/>
      <c r="J14" s="7">
        <f>'MRP WP1'!$H$65</f>
        <v>9.7498071769275878</v>
      </c>
      <c r="K14" s="227"/>
      <c r="L14" s="8"/>
      <c r="M14" s="7">
        <f>'MRP WP1'!$F$37</f>
        <v>3.91</v>
      </c>
      <c r="N14" s="227"/>
      <c r="O14" s="8"/>
      <c r="P14" s="9">
        <f t="shared" si="1"/>
        <v>11.417351526234242</v>
      </c>
      <c r="Q14" s="227"/>
      <c r="R14" s="8"/>
      <c r="S14" s="9">
        <f t="shared" si="2"/>
        <v>11.97796543890758</v>
      </c>
      <c r="T14" s="227"/>
      <c r="U14" s="8"/>
      <c r="V14" s="9">
        <f t="shared" si="3"/>
        <v>11.7</v>
      </c>
      <c r="W14" s="227"/>
    </row>
    <row r="15" spans="1:23" ht="15.75" customHeight="1">
      <c r="D15" s="7"/>
      <c r="E15" s="7"/>
      <c r="F15" s="7"/>
      <c r="G15" s="7"/>
      <c r="H15" s="447"/>
      <c r="I15" s="8"/>
      <c r="J15" s="8"/>
      <c r="K15" s="8"/>
      <c r="L15" s="8"/>
      <c r="M15" s="8"/>
      <c r="N15" s="8"/>
      <c r="O15" s="8"/>
      <c r="P15" s="447"/>
      <c r="Q15" s="8"/>
      <c r="R15" s="8"/>
      <c r="S15" s="447"/>
      <c r="T15" s="8"/>
      <c r="U15" s="8"/>
      <c r="V15" s="447"/>
      <c r="W15" s="8"/>
    </row>
    <row r="16" spans="1:23" ht="15.75" customHeight="1" thickBot="1">
      <c r="B16" s="10" t="s">
        <v>1377</v>
      </c>
      <c r="D16" s="9"/>
      <c r="E16" s="9"/>
      <c r="F16" s="9"/>
      <c r="G16" s="9"/>
      <c r="H16" s="81">
        <f>IFERROR(ROUND(AVERAGE(H9:H14),2),"NA")</f>
        <v>0.75</v>
      </c>
      <c r="I16" s="8"/>
      <c r="J16" s="8"/>
      <c r="K16" s="8"/>
      <c r="L16" s="8"/>
      <c r="M16" s="8"/>
      <c r="N16" s="8"/>
      <c r="O16" s="8"/>
      <c r="P16" s="81">
        <f>IFERROR(ROUND(AVERAGE(P9:P14),2),"NA")</f>
        <v>11.24</v>
      </c>
      <c r="Q16" s="227" t="s">
        <v>18</v>
      </c>
      <c r="R16" s="8"/>
      <c r="S16" s="81">
        <f>IFERROR(ROUND(AVERAGE(S9:S14),2),"NA")</f>
        <v>11.84</v>
      </c>
      <c r="T16" s="227" t="s">
        <v>18</v>
      </c>
      <c r="U16" s="8"/>
      <c r="V16" s="81">
        <f>IFERROR(ROUND(AVERAGE(V9:V14),2),"NA")</f>
        <v>11.54</v>
      </c>
      <c r="W16" s="227" t="s">
        <v>18</v>
      </c>
    </row>
    <row r="17" spans="2:23" ht="15.75" customHeight="1" thickTop="1">
      <c r="D17" s="9"/>
      <c r="E17" s="7"/>
      <c r="F17" s="7"/>
      <c r="G17" s="7"/>
      <c r="H17" s="7"/>
      <c r="I17" s="8"/>
      <c r="J17" s="8"/>
      <c r="K17" s="8"/>
      <c r="L17" s="8"/>
      <c r="M17" s="8"/>
      <c r="N17" s="8"/>
      <c r="O17" s="8"/>
      <c r="P17" s="7"/>
      <c r="Q17" s="8"/>
      <c r="R17" s="8"/>
      <c r="S17" s="7"/>
      <c r="T17" s="8"/>
      <c r="U17" s="8"/>
      <c r="V17" s="7"/>
      <c r="W17" s="8"/>
    </row>
    <row r="18" spans="2:23" ht="15.75" customHeight="1" thickBot="1">
      <c r="B18" s="10" t="s">
        <v>183</v>
      </c>
      <c r="D18" s="9"/>
      <c r="E18" s="9"/>
      <c r="F18" s="9"/>
      <c r="G18" s="9"/>
      <c r="H18" s="81">
        <f>IFERROR(ROUND(MEDIAN(H9:H14),2),"NA")</f>
        <v>0.77</v>
      </c>
      <c r="I18" s="8"/>
      <c r="J18" s="8"/>
      <c r="K18" s="8"/>
      <c r="L18" s="8"/>
      <c r="M18" s="8"/>
      <c r="N18" s="8"/>
      <c r="O18" s="8"/>
      <c r="P18" s="81">
        <f>IFERROR(ROUND(MEDIAN(P9:P14),2),"NA")</f>
        <v>11.42</v>
      </c>
      <c r="Q18" s="227" t="s">
        <v>18</v>
      </c>
      <c r="R18" s="8"/>
      <c r="S18" s="81">
        <f>IFERROR(ROUND(MEDIAN(S9:S14),2),"NA")</f>
        <v>11.98</v>
      </c>
      <c r="T18" s="227" t="s">
        <v>18</v>
      </c>
      <c r="U18" s="8"/>
      <c r="V18" s="81">
        <f>IFERROR(ROUND(MEDIAN(V9:V14),2),"NA")</f>
        <v>11.7</v>
      </c>
      <c r="W18" s="227" t="s">
        <v>18</v>
      </c>
    </row>
    <row r="19" spans="2:23" ht="15.75" customHeight="1" thickTop="1">
      <c r="D19" s="7"/>
      <c r="E19" s="7"/>
      <c r="F19" s="7"/>
      <c r="G19" s="7"/>
      <c r="H19" s="7"/>
      <c r="P19" s="7"/>
      <c r="S19" s="7"/>
      <c r="V19" s="7"/>
    </row>
    <row r="20" spans="2:23" ht="15.75" customHeight="1" thickBot="1">
      <c r="B20" s="10" t="s">
        <v>1376</v>
      </c>
      <c r="D20" s="7"/>
      <c r="E20" s="7"/>
      <c r="F20" s="7"/>
      <c r="G20" s="7"/>
      <c r="H20" s="81">
        <f>IFERROR(ROUND(AVERAGE(H16:H18),2),"NA")</f>
        <v>0.76</v>
      </c>
      <c r="P20" s="81">
        <f>IFERROR(ROUND(AVERAGE(P16:P18),2),"NA")</f>
        <v>11.33</v>
      </c>
      <c r="Q20" s="3" t="s">
        <v>18</v>
      </c>
      <c r="S20" s="81">
        <f>IFERROR(ROUND(AVERAGE(S16:S18),2),"NA")</f>
        <v>11.91</v>
      </c>
      <c r="T20" s="3" t="s">
        <v>18</v>
      </c>
      <c r="V20" s="81">
        <f>IFERROR(ROUND(AVERAGE(V16:V18),2),"NA")</f>
        <v>11.62</v>
      </c>
      <c r="W20" s="3" t="s">
        <v>18</v>
      </c>
    </row>
    <row r="21" spans="2:23" ht="15.6" thickTop="1">
      <c r="S21" s="10"/>
      <c r="V21" s="8"/>
    </row>
    <row r="22" spans="2:23">
      <c r="S22" s="10"/>
      <c r="V22" s="8"/>
    </row>
    <row r="24" spans="2:23">
      <c r="B24" s="10" t="s">
        <v>4440</v>
      </c>
    </row>
    <row r="28" spans="2:23">
      <c r="B28" s="340"/>
      <c r="D28" s="9"/>
      <c r="E28" s="9"/>
      <c r="F28" s="9"/>
      <c r="G28" s="9"/>
      <c r="H28" s="9"/>
      <c r="I28" s="8"/>
      <c r="J28" s="9"/>
      <c r="K28" s="227"/>
      <c r="L28" s="8"/>
      <c r="M28" s="9"/>
      <c r="N28" s="227"/>
      <c r="O28" s="8"/>
      <c r="P28" s="9"/>
      <c r="Q28" s="227"/>
      <c r="R28" s="8"/>
      <c r="S28" s="9"/>
      <c r="T28" s="227"/>
      <c r="U28" s="8"/>
      <c r="V28" s="9"/>
      <c r="W28" s="8"/>
    </row>
    <row r="29" spans="2:23">
      <c r="B29" s="340"/>
      <c r="D29" s="9"/>
      <c r="E29" s="9"/>
      <c r="F29" s="9"/>
      <c r="G29" s="9"/>
      <c r="H29" s="9"/>
      <c r="I29" s="8"/>
      <c r="J29" s="9"/>
      <c r="K29" s="227"/>
      <c r="L29" s="8"/>
      <c r="M29" s="9"/>
      <c r="N29" s="227"/>
      <c r="O29" s="8"/>
      <c r="P29" s="9"/>
      <c r="Q29" s="227"/>
      <c r="R29" s="8"/>
      <c r="S29" s="9"/>
      <c r="T29" s="227"/>
      <c r="U29" s="8"/>
      <c r="V29" s="9"/>
      <c r="W29" s="227"/>
    </row>
    <row r="30" spans="2:23">
      <c r="B30" s="340"/>
      <c r="D30" s="9"/>
      <c r="E30" s="9"/>
      <c r="F30" s="9"/>
      <c r="G30" s="9"/>
      <c r="H30" s="9"/>
      <c r="I30" s="8"/>
      <c r="J30" s="9"/>
      <c r="K30" s="227"/>
      <c r="L30" s="8"/>
      <c r="M30" s="9"/>
      <c r="N30" s="227"/>
      <c r="O30" s="8"/>
      <c r="P30" s="9"/>
      <c r="Q30" s="227"/>
      <c r="R30" s="8"/>
      <c r="S30" s="9"/>
      <c r="T30" s="227"/>
      <c r="U30" s="8"/>
      <c r="V30" s="9"/>
      <c r="W30" s="227"/>
    </row>
    <row r="31" spans="2:23">
      <c r="B31" s="340"/>
      <c r="D31" s="9"/>
      <c r="E31" s="9"/>
      <c r="F31" s="9"/>
      <c r="G31" s="9"/>
      <c r="H31" s="9"/>
      <c r="I31" s="8"/>
      <c r="J31" s="9"/>
      <c r="K31" s="227"/>
      <c r="L31" s="8"/>
      <c r="M31" s="9"/>
      <c r="N31" s="227"/>
      <c r="O31" s="8"/>
      <c r="P31" s="9"/>
      <c r="Q31" s="227"/>
      <c r="R31" s="8"/>
      <c r="S31" s="9"/>
      <c r="T31" s="227"/>
      <c r="U31" s="8"/>
      <c r="V31" s="9"/>
      <c r="W31" s="227"/>
    </row>
    <row r="32" spans="2:23">
      <c r="B32" s="340"/>
      <c r="D32" s="9"/>
      <c r="E32" s="9"/>
      <c r="F32" s="9"/>
      <c r="G32" s="9"/>
      <c r="H32" s="9"/>
      <c r="I32" s="8"/>
      <c r="J32" s="9"/>
      <c r="K32" s="227"/>
      <c r="L32" s="8"/>
      <c r="M32" s="9"/>
      <c r="N32" s="227"/>
      <c r="O32" s="8"/>
      <c r="P32" s="9"/>
      <c r="Q32" s="227"/>
      <c r="R32" s="8"/>
      <c r="S32" s="9"/>
      <c r="T32" s="227"/>
      <c r="U32" s="8"/>
      <c r="V32" s="9"/>
      <c r="W32" s="227"/>
    </row>
    <row r="33" spans="2:23">
      <c r="B33" s="340"/>
      <c r="D33" s="9"/>
      <c r="E33" s="9"/>
      <c r="F33" s="9"/>
      <c r="G33" s="9"/>
      <c r="H33" s="9"/>
      <c r="I33" s="8"/>
      <c r="J33" s="9"/>
      <c r="K33" s="227"/>
      <c r="L33" s="8"/>
      <c r="M33" s="9"/>
      <c r="N33" s="227"/>
      <c r="O33" s="8"/>
      <c r="P33" s="9"/>
      <c r="Q33" s="227"/>
      <c r="R33" s="8"/>
      <c r="S33" s="9"/>
      <c r="T33" s="227"/>
      <c r="U33" s="8"/>
      <c r="V33" s="9"/>
      <c r="W33" s="227"/>
    </row>
    <row r="34" spans="2:23">
      <c r="D34" s="9"/>
      <c r="E34" s="9"/>
      <c r="F34" s="9"/>
      <c r="G34" s="9"/>
      <c r="H34" s="9"/>
      <c r="I34" s="8"/>
      <c r="J34" s="8"/>
      <c r="K34" s="8"/>
      <c r="L34" s="8"/>
      <c r="M34" s="8"/>
      <c r="N34" s="8"/>
      <c r="O34" s="8"/>
      <c r="P34" s="9"/>
      <c r="Q34" s="8"/>
      <c r="R34" s="8"/>
      <c r="S34" s="9"/>
      <c r="T34" s="8"/>
      <c r="U34" s="8"/>
      <c r="V34" s="9"/>
      <c r="W34" s="8"/>
    </row>
    <row r="35" spans="2:23">
      <c r="B35" s="10"/>
      <c r="D35" s="9"/>
      <c r="E35" s="9"/>
      <c r="F35" s="9"/>
      <c r="G35" s="9"/>
      <c r="H35" s="9"/>
      <c r="I35" s="8"/>
      <c r="J35" s="8"/>
      <c r="K35" s="8"/>
      <c r="L35" s="8"/>
      <c r="M35" s="8"/>
      <c r="N35" s="8"/>
      <c r="O35" s="8"/>
      <c r="P35" s="9"/>
      <c r="Q35" s="227"/>
      <c r="R35" s="8"/>
      <c r="S35" s="9"/>
      <c r="T35" s="227"/>
      <c r="U35" s="8"/>
      <c r="V35" s="9"/>
      <c r="W35" s="227"/>
    </row>
    <row r="36" spans="2:23">
      <c r="D36" s="9"/>
      <c r="E36" s="9"/>
      <c r="F36" s="9"/>
      <c r="G36" s="9"/>
      <c r="H36" s="9"/>
      <c r="I36" s="8"/>
      <c r="J36" s="8"/>
      <c r="K36" s="8"/>
      <c r="L36" s="8"/>
      <c r="M36" s="8"/>
      <c r="N36" s="8"/>
      <c r="O36" s="8"/>
      <c r="P36" s="9"/>
      <c r="Q36" s="8"/>
      <c r="R36" s="8"/>
      <c r="S36" s="9"/>
      <c r="T36" s="8"/>
      <c r="U36" s="8"/>
      <c r="V36" s="9"/>
      <c r="W36" s="8"/>
    </row>
    <row r="37" spans="2:23">
      <c r="B37" s="10"/>
      <c r="D37" s="9"/>
      <c r="E37" s="9"/>
      <c r="F37" s="9"/>
      <c r="G37" s="9"/>
      <c r="H37" s="9"/>
      <c r="I37" s="8"/>
      <c r="J37" s="8"/>
      <c r="K37" s="8"/>
      <c r="L37" s="8"/>
      <c r="M37" s="8"/>
      <c r="N37" s="8"/>
      <c r="O37" s="8"/>
      <c r="P37" s="9"/>
      <c r="Q37" s="227"/>
      <c r="R37" s="8"/>
      <c r="S37" s="9"/>
      <c r="T37" s="227"/>
      <c r="U37" s="8"/>
      <c r="V37" s="9"/>
      <c r="W37" s="227"/>
    </row>
    <row r="38" spans="2:23">
      <c r="D38" s="9"/>
      <c r="E38" s="9"/>
      <c r="F38" s="9"/>
      <c r="G38" s="9"/>
      <c r="H38" s="9"/>
      <c r="P38" s="9"/>
      <c r="S38" s="9"/>
      <c r="V38" s="9"/>
    </row>
    <row r="39" spans="2:23">
      <c r="B39" s="10"/>
      <c r="D39" s="9"/>
      <c r="E39" s="9"/>
      <c r="F39" s="9"/>
      <c r="G39" s="9"/>
      <c r="H39" s="9"/>
      <c r="P39" s="9"/>
      <c r="S39" s="9"/>
      <c r="V39" s="9"/>
    </row>
  </sheetData>
  <mergeCells count="5">
    <mergeCell ref="J7:K7"/>
    <mergeCell ref="M7:N7"/>
    <mergeCell ref="P7:Q7"/>
    <mergeCell ref="S7:T7"/>
    <mergeCell ref="V7:W7"/>
  </mergeCells>
  <printOptions horizontalCentered="1"/>
  <pageMargins left="0.7" right="0.7" top="0.75" bottom="0.75" header="0.3" footer="0.3"/>
  <pageSetup scale="74" orientation="landscape" horizontalDpi="4294967294"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Q62"/>
  <sheetViews>
    <sheetView view="pageBreakPreview" zoomScale="85" zoomScaleNormal="100" zoomScaleSheetLayoutView="85" workbookViewId="0">
      <selection sqref="A1:O1"/>
    </sheetView>
  </sheetViews>
  <sheetFormatPr defaultColWidth="8.88671875" defaultRowHeight="15"/>
  <cols>
    <col min="1" max="1" width="4.6640625" style="3" customWidth="1"/>
    <col min="2" max="2" width="10.33203125" style="3" bestFit="1" customWidth="1"/>
    <col min="3" max="9" width="8.88671875" style="3"/>
    <col min="10" max="10" width="10.5546875" style="3" bestFit="1" customWidth="1"/>
    <col min="11" max="14" width="8.88671875" style="3"/>
    <col min="15" max="15" width="3.88671875" style="3" customWidth="1"/>
    <col min="16" max="16384" width="8.88671875" style="3"/>
  </cols>
  <sheetData>
    <row r="1" spans="1:15">
      <c r="A1" s="1018" t="str">
        <f>Input!G28</f>
        <v>Peoples Gas System</v>
      </c>
      <c r="B1" s="1018"/>
      <c r="C1" s="1018"/>
      <c r="D1" s="1018"/>
      <c r="E1" s="1018"/>
      <c r="F1" s="1018"/>
      <c r="G1" s="1018"/>
      <c r="H1" s="1018"/>
      <c r="I1" s="1018"/>
      <c r="J1" s="1018"/>
      <c r="K1" s="1018"/>
      <c r="L1" s="1018"/>
      <c r="M1" s="1018"/>
      <c r="N1" s="1018"/>
      <c r="O1" s="1018"/>
    </row>
    <row r="2" spans="1:15" ht="15.75" customHeight="1">
      <c r="A2" s="1038" t="s">
        <v>2219</v>
      </c>
      <c r="B2" s="1038"/>
      <c r="C2" s="1038"/>
      <c r="D2" s="1038"/>
      <c r="E2" s="1038"/>
      <c r="F2" s="1038"/>
      <c r="G2" s="1038"/>
      <c r="H2" s="1038"/>
      <c r="I2" s="1038"/>
      <c r="J2" s="1038"/>
      <c r="K2" s="1038"/>
      <c r="L2" s="1038"/>
      <c r="M2" s="1038"/>
      <c r="N2" s="1038"/>
      <c r="O2" s="1038"/>
    </row>
    <row r="4" spans="1:15">
      <c r="A4" s="640" t="s">
        <v>94</v>
      </c>
    </row>
    <row r="5" spans="1:15" ht="34.5" customHeight="1">
      <c r="A5" s="228" t="s">
        <v>95</v>
      </c>
      <c r="B5" s="1013" t="s">
        <v>4563</v>
      </c>
      <c r="C5" s="1013"/>
      <c r="D5" s="1013"/>
      <c r="E5" s="1013"/>
      <c r="F5" s="1013"/>
      <c r="G5" s="1013"/>
      <c r="H5" s="1013"/>
      <c r="I5" s="1013"/>
      <c r="J5" s="1013"/>
      <c r="K5" s="1013"/>
      <c r="L5" s="1013"/>
      <c r="M5" s="1013"/>
      <c r="N5" s="1013"/>
      <c r="O5" s="1013"/>
    </row>
    <row r="6" spans="1:15">
      <c r="A6" s="228"/>
      <c r="B6" s="304"/>
      <c r="C6" s="304"/>
      <c r="D6" s="304"/>
      <c r="E6" s="304"/>
      <c r="F6" s="304"/>
      <c r="G6" s="304"/>
      <c r="H6" s="304"/>
      <c r="I6" s="304"/>
      <c r="J6" s="304"/>
      <c r="K6" s="304"/>
      <c r="L6" s="304"/>
      <c r="M6" s="304"/>
      <c r="N6" s="304"/>
      <c r="O6" s="304"/>
    </row>
    <row r="7" spans="1:15">
      <c r="B7" s="216" t="s">
        <v>2254</v>
      </c>
      <c r="L7" s="10"/>
      <c r="N7" s="1037"/>
      <c r="O7" s="1037"/>
    </row>
    <row r="9" spans="1:15">
      <c r="B9" s="3" t="str">
        <f>CONCATENATE("Measure 1: Kroll Arithmetic Mean MRP ",MID(Input!E20,FIND("(",Input!E20),11))</f>
        <v>Measure 1: Kroll Arithmetic Mean MRP (1926-2021)</v>
      </c>
    </row>
    <row r="11" spans="1:15">
      <c r="B11" s="3" t="str">
        <f>CONCATENATE("Arithmetic Mean Monthly Returns for Large Stocks ",MID(Input!E20,FIND("1",Input!E20),9),":")</f>
        <v>Arithmetic Mean Monthly Returns for Large Stocks 1926-2021:</v>
      </c>
      <c r="N11" s="51">
        <f>'MRP WP1'!H50</f>
        <v>12.37</v>
      </c>
      <c r="O11" s="3" t="s">
        <v>18</v>
      </c>
    </row>
    <row r="12" spans="1:15">
      <c r="B12" s="3" t="s">
        <v>1348</v>
      </c>
      <c r="N12" s="80">
        <f>'MRP WP1'!H52</f>
        <v>5.0199999999999996</v>
      </c>
    </row>
    <row r="13" spans="1:15" ht="15.6" thickBot="1">
      <c r="B13" s="3" t="s">
        <v>4564</v>
      </c>
      <c r="N13" s="71">
        <f>N11-N12</f>
        <v>7.35</v>
      </c>
      <c r="O13" s="3" t="s">
        <v>18</v>
      </c>
    </row>
    <row r="14" spans="1:15" ht="15.6" thickTop="1"/>
    <row r="15" spans="1:15">
      <c r="B15" s="3" t="s">
        <v>4565</v>
      </c>
      <c r="O15" s="51"/>
    </row>
    <row r="16" spans="1:15" ht="15.6" thickBot="1">
      <c r="B16" s="3" t="s">
        <v>4365</v>
      </c>
      <c r="N16" s="81">
        <f>'MRP ERP WP'!AA42*100</f>
        <v>8.7068916532172782</v>
      </c>
      <c r="O16" s="3" t="s">
        <v>18</v>
      </c>
    </row>
    <row r="17" spans="1:17" ht="15.6" thickTop="1">
      <c r="Q17" s="51"/>
    </row>
    <row r="18" spans="1:17">
      <c r="B18" s="3" t="s">
        <v>4566</v>
      </c>
    </row>
    <row r="19" spans="1:17" ht="15.6" thickBot="1">
      <c r="B19" s="3" t="str">
        <f>CONCATENATE("(January 1926 - ",Input!G25,")")</f>
        <v>(January 1926 - December 2022)</v>
      </c>
      <c r="N19" s="71">
        <f>'MRP WP1'!H47</f>
        <v>10.862499418503081</v>
      </c>
      <c r="O19" s="3" t="s">
        <v>18</v>
      </c>
    </row>
    <row r="20" spans="1:17" ht="15.6" thickTop="1"/>
    <row r="21" spans="1:17">
      <c r="A21" s="228"/>
      <c r="B21" s="114" t="s">
        <v>2247</v>
      </c>
      <c r="C21" s="304"/>
      <c r="D21" s="304"/>
      <c r="E21" s="304"/>
      <c r="F21" s="304"/>
      <c r="G21" s="304"/>
      <c r="H21" s="304"/>
      <c r="I21" s="304"/>
      <c r="J21" s="304"/>
      <c r="K21" s="304"/>
      <c r="L21" s="304"/>
      <c r="M21" s="304"/>
      <c r="N21" s="304"/>
      <c r="O21" s="304"/>
    </row>
    <row r="23" spans="1:17">
      <c r="B23" s="3" t="str">
        <f>CONCATENATE("Measure 4: Value Line Projected MRP (Thirteen weeks ending ",TEXT('MRP WP1'!B7,"mmmm dd, yyyy)"))</f>
        <v>Measure 4: Value Line Projected MRP (Thirteen weeks ending December 30, 2022)</v>
      </c>
    </row>
    <row r="25" spans="1:17">
      <c r="B25" s="3" t="s">
        <v>2252</v>
      </c>
      <c r="N25" s="7">
        <f>'MRP WP1'!M22*100</f>
        <v>16.580000000000002</v>
      </c>
      <c r="O25" s="3" t="s">
        <v>18</v>
      </c>
    </row>
    <row r="26" spans="1:17">
      <c r="B26" s="3" t="s">
        <v>2249</v>
      </c>
      <c r="N26" s="80">
        <f>'MRP WP1'!F37</f>
        <v>3.91</v>
      </c>
    </row>
    <row r="27" spans="1:17" ht="15.6" thickBot="1">
      <c r="B27" s="3" t="s">
        <v>1347</v>
      </c>
      <c r="N27" s="81">
        <f>N25-N26</f>
        <v>12.670000000000002</v>
      </c>
      <c r="O27" s="3" t="s">
        <v>18</v>
      </c>
    </row>
    <row r="28" spans="1:17" ht="15.6" thickTop="1">
      <c r="C28" s="3" t="s">
        <v>2251</v>
      </c>
      <c r="N28" s="9"/>
    </row>
    <row r="29" spans="1:17">
      <c r="N29" s="9"/>
    </row>
    <row r="30" spans="1:17">
      <c r="B30" s="3" t="s">
        <v>2253</v>
      </c>
      <c r="N30" s="9"/>
    </row>
    <row r="31" spans="1:17">
      <c r="N31" s="9"/>
    </row>
    <row r="32" spans="1:17">
      <c r="B32" s="3" t="s">
        <v>1349</v>
      </c>
      <c r="N32" s="9">
        <f>'MRP WP3'!H504*100</f>
        <v>15.671050750081154</v>
      </c>
      <c r="O32" s="3" t="s">
        <v>18</v>
      </c>
    </row>
    <row r="33" spans="1:17">
      <c r="B33" s="3" t="s">
        <v>2249</v>
      </c>
      <c r="N33" s="90">
        <f>N54</f>
        <v>3.91</v>
      </c>
    </row>
    <row r="34" spans="1:17" ht="15.6" thickBot="1">
      <c r="B34" s="3" t="s">
        <v>2250</v>
      </c>
      <c r="N34" s="71">
        <f>IFERROR(N32-N33,"NA")</f>
        <v>11.761050750081154</v>
      </c>
      <c r="O34" s="3" t="s">
        <v>18</v>
      </c>
    </row>
    <row r="35" spans="1:17" ht="15.6" thickTop="1">
      <c r="N35" s="9"/>
    </row>
    <row r="36" spans="1:17">
      <c r="B36" s="3" t="s">
        <v>2248</v>
      </c>
    </row>
    <row r="38" spans="1:17">
      <c r="B38" s="3" t="s">
        <v>1349</v>
      </c>
      <c r="N38" s="7">
        <f>'MRP WP2'!Q504*100</f>
        <v>11.058401239764015</v>
      </c>
      <c r="O38" s="3" t="s">
        <v>18</v>
      </c>
    </row>
    <row r="39" spans="1:17">
      <c r="B39" s="3" t="s">
        <v>2249</v>
      </c>
      <c r="N39" s="80">
        <f>'MRP WP1'!F37</f>
        <v>3.91</v>
      </c>
    </row>
    <row r="40" spans="1:17" ht="15.6" thickBot="1">
      <c r="L40" s="10" t="s">
        <v>1350</v>
      </c>
      <c r="N40" s="71">
        <f>IFERROR(N38-N39,"NA")</f>
        <v>7.1484012397640146</v>
      </c>
      <c r="O40" s="3" t="s">
        <v>18</v>
      </c>
    </row>
    <row r="41" spans="1:17" ht="15.6" thickTop="1"/>
    <row r="42" spans="1:17" ht="15.6" thickBot="1">
      <c r="L42" s="10" t="s">
        <v>4567</v>
      </c>
      <c r="N42" s="71">
        <f>AVERAGE(N13,N16,N19,N27,N34,N40)</f>
        <v>9.7498071769275878</v>
      </c>
      <c r="O42" s="3" t="s">
        <v>18</v>
      </c>
      <c r="Q42" s="51"/>
    </row>
    <row r="43" spans="1:17" ht="15.6" thickTop="1"/>
    <row r="44" spans="1:17" ht="51" customHeight="1">
      <c r="A44" s="228" t="s">
        <v>96</v>
      </c>
      <c r="B44" s="1013" t="s">
        <v>4447</v>
      </c>
      <c r="C44" s="1013"/>
      <c r="D44" s="1013"/>
      <c r="E44" s="1013"/>
      <c r="F44" s="1013"/>
      <c r="G44" s="1013"/>
      <c r="H44" s="1013"/>
      <c r="I44" s="1013"/>
      <c r="J44" s="1013"/>
      <c r="K44" s="1013"/>
      <c r="L44" s="1013"/>
      <c r="M44" s="1013"/>
      <c r="N44" s="1013"/>
      <c r="O44" s="1013"/>
    </row>
    <row r="45" spans="1:17">
      <c r="A45" s="228"/>
      <c r="B45" s="304"/>
      <c r="C45" s="304"/>
      <c r="D45" s="304"/>
      <c r="E45" s="304"/>
      <c r="F45" s="304"/>
      <c r="G45" s="304"/>
      <c r="H45" s="304"/>
      <c r="I45" s="304"/>
      <c r="J45" s="304"/>
      <c r="K45" s="304"/>
      <c r="L45" s="304"/>
      <c r="M45" s="304"/>
      <c r="N45" s="304"/>
      <c r="O45" s="304"/>
    </row>
    <row r="46" spans="1:17">
      <c r="J46" s="10" t="str">
        <f>'MRP WP1'!B28</f>
        <v>First Quarter 2023</v>
      </c>
      <c r="N46" s="51">
        <f>'MRP WP1'!F28</f>
        <v>4</v>
      </c>
      <c r="O46" s="3" t="s">
        <v>18</v>
      </c>
    </row>
    <row r="47" spans="1:17">
      <c r="J47" s="10" t="str">
        <f>'MRP WP1'!B29</f>
        <v>Second Quarter 2023</v>
      </c>
      <c r="N47" s="51">
        <f>'MRP WP1'!F29</f>
        <v>4</v>
      </c>
    </row>
    <row r="48" spans="1:17">
      <c r="J48" s="10" t="str">
        <f>'MRP WP1'!B30</f>
        <v>Third Quarter 2023</v>
      </c>
      <c r="N48" s="51">
        <f>'MRP WP1'!F30</f>
        <v>3.9</v>
      </c>
    </row>
    <row r="49" spans="1:15">
      <c r="J49" s="10" t="str">
        <f>'MRP WP1'!B31</f>
        <v>Fourth Quarter 2023</v>
      </c>
      <c r="N49" s="51">
        <f>'MRP WP1'!F31</f>
        <v>3.9</v>
      </c>
    </row>
    <row r="50" spans="1:15">
      <c r="J50" s="10" t="str">
        <f>'MRP WP1'!B32</f>
        <v>First Quarter 2024</v>
      </c>
      <c r="N50" s="51">
        <f>'MRP WP1'!F32</f>
        <v>3.8</v>
      </c>
    </row>
    <row r="51" spans="1:15">
      <c r="J51" s="10" t="str">
        <f>'MRP WP1'!B33</f>
        <v>Second Quarter 2024</v>
      </c>
      <c r="N51" s="51">
        <f>'MRP WP1'!F33</f>
        <v>3.8</v>
      </c>
    </row>
    <row r="52" spans="1:15">
      <c r="J52" s="10" t="str">
        <f>'MRP WP1'!B34</f>
        <v>2024-2028</v>
      </c>
      <c r="N52" s="51">
        <f>'MRP WP1'!F34</f>
        <v>3.9</v>
      </c>
    </row>
    <row r="53" spans="1:15">
      <c r="J53" s="10" t="str">
        <f>'MRP WP1'!B35</f>
        <v>2029-2033</v>
      </c>
      <c r="N53" s="51">
        <f>'MRP WP1'!F35</f>
        <v>4</v>
      </c>
    </row>
    <row r="54" spans="1:15" ht="15.6" thickBot="1">
      <c r="N54" s="229">
        <f>ROUND(AVERAGE(N46:N53),2)</f>
        <v>3.91</v>
      </c>
      <c r="O54" s="3" t="s">
        <v>18</v>
      </c>
    </row>
    <row r="55" spans="1:15" ht="15.6" thickTop="1">
      <c r="N55" s="51"/>
    </row>
    <row r="56" spans="1:15">
      <c r="A56" s="230" t="s">
        <v>97</v>
      </c>
      <c r="B56" s="3" t="s">
        <v>1353</v>
      </c>
    </row>
    <row r="58" spans="1:15">
      <c r="A58" s="3" t="s">
        <v>151</v>
      </c>
    </row>
    <row r="59" spans="1:15">
      <c r="B59" s="3" t="s">
        <v>4223</v>
      </c>
    </row>
    <row r="60" spans="1:15">
      <c r="B60" s="3" t="str">
        <f>'4.8-4.9 Beta Adjusted ERP'!C49</f>
        <v>Blue Chip Financial Forecasts December 2, 2022 and January 1, 2022.</v>
      </c>
    </row>
    <row r="61" spans="1:15">
      <c r="B61" s="1036" t="str">
        <f>'4.8-4.9 Beta Adjusted ERP'!C47</f>
        <v>Stocks, Bonds, Bills, and Inflation -  2022 SBBI Yearbook, Kroll.</v>
      </c>
      <c r="C61" s="1036"/>
      <c r="D61" s="1036"/>
      <c r="E61" s="1036"/>
      <c r="F61" s="1036"/>
      <c r="G61" s="1036"/>
      <c r="H61" s="1036"/>
      <c r="I61" s="1036"/>
      <c r="J61" s="1036"/>
      <c r="K61" s="1036"/>
      <c r="L61" s="1036"/>
      <c r="M61" s="1036"/>
    </row>
    <row r="62" spans="1:15">
      <c r="B62" s="3" t="s">
        <v>4222</v>
      </c>
    </row>
  </sheetData>
  <mergeCells count="6">
    <mergeCell ref="B61:M61"/>
    <mergeCell ref="N7:O7"/>
    <mergeCell ref="B5:O5"/>
    <mergeCell ref="A1:O1"/>
    <mergeCell ref="A2:O2"/>
    <mergeCell ref="B44:O44"/>
  </mergeCells>
  <printOptions horizontalCentered="1"/>
  <pageMargins left="0.7" right="0.7" top="0.75" bottom="0.75" header="0.3" footer="0.3"/>
  <pageSetup scale="71"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P41"/>
  <sheetViews>
    <sheetView view="pageBreakPreview" zoomScale="85" zoomScaleNormal="85" zoomScaleSheetLayoutView="85" workbookViewId="0"/>
  </sheetViews>
  <sheetFormatPr defaultColWidth="9" defaultRowHeight="17.399999999999999"/>
  <cols>
    <col min="1" max="1" width="13" style="3" customWidth="1"/>
    <col min="2" max="2" width="3.33203125" style="3" customWidth="1"/>
    <col min="3" max="3" width="37.33203125" style="807" customWidth="1"/>
    <col min="4" max="4" width="4.5546875" style="807" customWidth="1"/>
    <col min="5" max="5" width="15.5546875" style="807" customWidth="1"/>
    <col min="6" max="6" width="3.33203125" style="807" customWidth="1"/>
    <col min="7" max="7" width="14.5546875" style="807" customWidth="1"/>
    <col min="8" max="8" width="3.33203125" style="807" customWidth="1"/>
    <col min="9" max="9" width="22" style="807" customWidth="1"/>
    <col min="10" max="10" width="3.33203125" style="807" customWidth="1"/>
    <col min="11" max="11" width="19" style="807" customWidth="1"/>
    <col min="12" max="12" width="10.5546875" style="807" customWidth="1"/>
    <col min="13" max="13" width="3.33203125" style="3" customWidth="1"/>
    <col min="14" max="14" width="10.5546875" style="3" customWidth="1"/>
    <col min="15" max="15" width="3.33203125" style="3" customWidth="1"/>
    <col min="16" max="16" width="10.5546875" style="3" customWidth="1"/>
    <col min="17" max="16384" width="9" style="3"/>
  </cols>
  <sheetData>
    <row r="1" spans="1:16">
      <c r="A1" s="75"/>
      <c r="C1" s="1039" t="str">
        <f>Input!G28</f>
        <v>Peoples Gas System</v>
      </c>
      <c r="D1" s="1040"/>
      <c r="E1" s="1040"/>
      <c r="F1" s="1040"/>
      <c r="G1" s="1040"/>
      <c r="H1" s="1040"/>
      <c r="I1" s="1040"/>
      <c r="J1" s="1040"/>
      <c r="K1" s="1040"/>
    </row>
    <row r="2" spans="1:16">
      <c r="C2" s="1040" t="s">
        <v>171</v>
      </c>
      <c r="D2" s="1040"/>
      <c r="E2" s="1040"/>
      <c r="F2" s="1040"/>
      <c r="G2" s="1040"/>
      <c r="H2" s="1040"/>
      <c r="I2" s="1040"/>
      <c r="J2" s="1040"/>
      <c r="K2" s="1040"/>
    </row>
    <row r="3" spans="1:16">
      <c r="C3" s="1039" t="s">
        <v>172</v>
      </c>
      <c r="D3" s="1040"/>
      <c r="E3" s="1040"/>
      <c r="F3" s="1040"/>
      <c r="G3" s="1040"/>
      <c r="H3" s="1040"/>
      <c r="I3" s="1040"/>
      <c r="J3" s="1040"/>
      <c r="K3" s="1040"/>
    </row>
    <row r="4" spans="1:16">
      <c r="A4" s="10" t="s">
        <v>173</v>
      </c>
      <c r="B4" s="10"/>
      <c r="C4" s="808"/>
      <c r="D4" s="808"/>
      <c r="E4" s="808"/>
      <c r="F4" s="808"/>
      <c r="G4" s="808"/>
      <c r="H4" s="808"/>
      <c r="I4" s="808"/>
      <c r="J4" s="808"/>
      <c r="K4" s="808"/>
      <c r="L4" s="808"/>
      <c r="M4" s="10"/>
      <c r="N4" s="10"/>
      <c r="O4" s="10"/>
      <c r="P4" s="10"/>
    </row>
    <row r="5" spans="1:16">
      <c r="A5" s="10"/>
      <c r="B5" s="10"/>
      <c r="C5" s="808"/>
      <c r="D5" s="808"/>
      <c r="E5" s="806" t="s">
        <v>1337</v>
      </c>
      <c r="F5" s="806"/>
      <c r="G5" s="806" t="s">
        <v>1336</v>
      </c>
      <c r="H5" s="806"/>
      <c r="I5" s="806" t="s">
        <v>1335</v>
      </c>
      <c r="J5" s="806"/>
      <c r="K5" s="806" t="s">
        <v>1341</v>
      </c>
    </row>
    <row r="6" spans="1:16">
      <c r="A6" s="10" t="s">
        <v>174</v>
      </c>
      <c r="B6" s="10"/>
      <c r="C6" s="808"/>
      <c r="D6" s="808"/>
      <c r="E6" s="808"/>
      <c r="F6" s="808"/>
      <c r="G6" s="808"/>
      <c r="H6" s="808"/>
      <c r="I6" s="808"/>
      <c r="J6" s="808"/>
      <c r="K6" s="808"/>
    </row>
    <row r="7" spans="1:16" ht="66.75" customHeight="1">
      <c r="C7" s="809" t="str">
        <f>Input!I30</f>
        <v>Proxy Group of Six Natural Gas Companies</v>
      </c>
      <c r="E7" s="810" t="s">
        <v>168</v>
      </c>
      <c r="G7" s="810" t="s">
        <v>175</v>
      </c>
      <c r="I7" s="810" t="s">
        <v>176</v>
      </c>
      <c r="K7" s="810" t="s">
        <v>177</v>
      </c>
    </row>
    <row r="8" spans="1:16">
      <c r="G8" s="811"/>
    </row>
    <row r="9" spans="1:16">
      <c r="A9" s="3" t="str">
        <f>Input!A2</f>
        <v>ATO</v>
      </c>
      <c r="C9" s="812" t="str">
        <f>'Proxy Data Lookup'!B3</f>
        <v>Atmos Energy Corporation</v>
      </c>
      <c r="E9" s="813">
        <f>'Proxy Data Lookup'!F3</f>
        <v>0.8</v>
      </c>
      <c r="F9" s="813"/>
      <c r="G9" s="813">
        <f>'Proxy Data Lookup'!H3</f>
        <v>0.68</v>
      </c>
      <c r="H9" s="814"/>
      <c r="I9" s="815">
        <f>'Proxy Data Lookup'!K3</f>
        <v>2.7458</v>
      </c>
      <c r="J9" s="815"/>
      <c r="K9" s="815">
        <f>'Proxy Data Lookup'!M3</f>
        <v>6.8400000000000002E-2</v>
      </c>
    </row>
    <row r="10" spans="1:16">
      <c r="A10" s="3" t="str">
        <f>Input!A3</f>
        <v>NJR</v>
      </c>
      <c r="C10" s="812" t="str">
        <f>'Proxy Data Lookup'!B4</f>
        <v>New Jersey Resources Corporation</v>
      </c>
      <c r="E10" s="813">
        <f>'Proxy Data Lookup'!F4</f>
        <v>1</v>
      </c>
      <c r="F10" s="813"/>
      <c r="G10" s="813">
        <f>'Proxy Data Lookup'!H4</f>
        <v>0.94</v>
      </c>
      <c r="H10" s="814"/>
      <c r="I10" s="815">
        <f>'Proxy Data Lookup'!K4</f>
        <v>2.9752000000000001</v>
      </c>
      <c r="J10" s="815"/>
      <c r="K10" s="815">
        <f>'Proxy Data Lookup'!M4</f>
        <v>7.4099999999999999E-2</v>
      </c>
    </row>
    <row r="11" spans="1:16">
      <c r="A11" s="3" t="str">
        <f>Input!A4</f>
        <v>NI</v>
      </c>
      <c r="C11" s="812" t="str">
        <f>'Proxy Data Lookup'!B5</f>
        <v>NiSource Inc.</v>
      </c>
      <c r="E11" s="813">
        <f>'Proxy Data Lookup'!F5</f>
        <v>0.85</v>
      </c>
      <c r="F11" s="813"/>
      <c r="G11" s="813">
        <f>'Proxy Data Lookup'!H5</f>
        <v>0.71</v>
      </c>
      <c r="H11" s="814"/>
      <c r="I11" s="815">
        <f>'Proxy Data Lookup'!K5</f>
        <v>2.4801000000000002</v>
      </c>
      <c r="J11" s="815"/>
      <c r="K11" s="815">
        <f>'Proxy Data Lookup'!M5</f>
        <v>6.1699999999999998E-2</v>
      </c>
    </row>
    <row r="12" spans="1:16">
      <c r="A12" s="3" t="str">
        <f>Input!A5</f>
        <v>NWN</v>
      </c>
      <c r="C12" s="812" t="str">
        <f>'Proxy Data Lookup'!B6</f>
        <v>Northwest Natural Holding Company</v>
      </c>
      <c r="E12" s="813">
        <f>'Proxy Data Lookup'!F6</f>
        <v>0.85</v>
      </c>
      <c r="F12" s="813"/>
      <c r="G12" s="813">
        <f>'Proxy Data Lookup'!H6</f>
        <v>0.7</v>
      </c>
      <c r="H12" s="814"/>
      <c r="I12" s="815">
        <f>'Proxy Data Lookup'!K6</f>
        <v>3.1227999999999998</v>
      </c>
      <c r="J12" s="815"/>
      <c r="K12" s="815">
        <f>'Proxy Data Lookup'!M6</f>
        <v>7.7700000000000005E-2</v>
      </c>
    </row>
    <row r="13" spans="1:16">
      <c r="A13" s="3" t="str">
        <f>Input!A6</f>
        <v>OGS</v>
      </c>
      <c r="C13" s="812" t="str">
        <f>'Proxy Data Lookup'!B7</f>
        <v>ONE Gas, Inc.</v>
      </c>
      <c r="E13" s="813">
        <f>'Proxy Data Lookup'!F7</f>
        <v>0.8</v>
      </c>
      <c r="F13" s="813"/>
      <c r="G13" s="813">
        <f>'Proxy Data Lookup'!H7</f>
        <v>0.66</v>
      </c>
      <c r="H13" s="814"/>
      <c r="I13" s="815">
        <f>'Proxy Data Lookup'!K7</f>
        <v>2.7000999999999999</v>
      </c>
      <c r="J13" s="815"/>
      <c r="K13" s="815">
        <f>'Proxy Data Lookup'!M7</f>
        <v>6.7199999999999996E-2</v>
      </c>
    </row>
    <row r="14" spans="1:16">
      <c r="A14" s="3" t="str">
        <f>Input!A7</f>
        <v>SR</v>
      </c>
      <c r="C14" s="812" t="str">
        <f>'Proxy Data Lookup'!B8</f>
        <v>Spire Inc.</v>
      </c>
      <c r="E14" s="816">
        <f>'Proxy Data Lookup'!F8</f>
        <v>0.85</v>
      </c>
      <c r="F14" s="813"/>
      <c r="G14" s="816">
        <f>'Proxy Data Lookup'!H8</f>
        <v>0.72</v>
      </c>
      <c r="H14" s="814"/>
      <c r="I14" s="817">
        <f>'Proxy Data Lookup'!K8</f>
        <v>2.8254999999999999</v>
      </c>
      <c r="J14" s="815"/>
      <c r="K14" s="817">
        <f>'Proxy Data Lookup'!M8</f>
        <v>7.0300000000000001E-2</v>
      </c>
    </row>
    <row r="15" spans="1:16">
      <c r="C15" s="812"/>
      <c r="E15" s="813"/>
      <c r="F15" s="813"/>
      <c r="G15" s="813"/>
      <c r="H15" s="814"/>
      <c r="I15" s="815"/>
      <c r="J15" s="815"/>
      <c r="K15" s="815"/>
    </row>
    <row r="16" spans="1:16" ht="18" thickBot="1">
      <c r="C16" s="808" t="s">
        <v>80</v>
      </c>
      <c r="E16" s="818">
        <f>ROUND(AVERAGE(E9:E14),2)</f>
        <v>0.86</v>
      </c>
      <c r="F16" s="814"/>
      <c r="G16" s="818">
        <f>ROUND(AVERAGE(G9:G14),2)</f>
        <v>0.74</v>
      </c>
      <c r="H16" s="814"/>
      <c r="I16" s="819">
        <f>ROUND(AVERAGE(I9:I14),4)</f>
        <v>2.8083</v>
      </c>
      <c r="J16" s="815"/>
      <c r="K16" s="819">
        <f>ROUND(AVERAGE(K9:K14),4)</f>
        <v>6.9900000000000004E-2</v>
      </c>
    </row>
    <row r="17" spans="3:14" ht="18" thickTop="1">
      <c r="E17" s="811"/>
      <c r="F17" s="811"/>
      <c r="G17" s="811"/>
      <c r="I17" s="820"/>
      <c r="J17" s="820"/>
      <c r="K17" s="820"/>
    </row>
    <row r="18" spans="3:14">
      <c r="C18" s="807" t="s">
        <v>3048</v>
      </c>
      <c r="E18" s="811">
        <f>G16-E19</f>
        <v>0.6</v>
      </c>
      <c r="F18" s="811"/>
      <c r="G18" s="811">
        <f>G16+E19</f>
        <v>0.88</v>
      </c>
      <c r="I18" s="811"/>
    </row>
    <row r="19" spans="3:14">
      <c r="C19" s="807" t="s">
        <v>3043</v>
      </c>
      <c r="E19" s="811">
        <f>ROUND((K16*2),2)</f>
        <v>0.14000000000000001</v>
      </c>
    </row>
    <row r="21" spans="3:14">
      <c r="C21" s="807" t="s">
        <v>3049</v>
      </c>
    </row>
    <row r="22" spans="3:14">
      <c r="C22" s="807" t="s">
        <v>178</v>
      </c>
      <c r="E22" s="820">
        <f>I16-E26</f>
        <v>2.5615000000000001</v>
      </c>
      <c r="F22" s="820"/>
      <c r="G22" s="820">
        <f>I16+E26</f>
        <v>3.0550999999999999</v>
      </c>
    </row>
    <row r="24" spans="3:14">
      <c r="C24" s="807" t="s">
        <v>179</v>
      </c>
      <c r="E24" s="820">
        <f>ROUND((I16/22.7596),4)</f>
        <v>0.1234</v>
      </c>
    </row>
    <row r="26" spans="3:14">
      <c r="C26" s="807" t="s">
        <v>3044</v>
      </c>
      <c r="E26" s="820">
        <f>ROUND((2*E24),4)</f>
        <v>0.24679999999999999</v>
      </c>
    </row>
    <row r="28" spans="3:14" ht="15.75" customHeight="1">
      <c r="C28" s="808" t="s">
        <v>146</v>
      </c>
      <c r="E28" s="807" t="str">
        <f>'6.2 Proxy Group Equivalent'!E54</f>
        <v>Value Line Proprietary Database, December 2022.</v>
      </c>
    </row>
    <row r="29" spans="3:14">
      <c r="C29" s="821"/>
      <c r="E29" s="821"/>
      <c r="G29" s="821"/>
      <c r="I29" s="821"/>
      <c r="K29" s="821"/>
      <c r="L29" s="821"/>
      <c r="N29" s="11"/>
    </row>
    <row r="30" spans="3:14">
      <c r="C30" s="821"/>
      <c r="E30" s="821"/>
      <c r="G30" s="821"/>
      <c r="I30" s="821"/>
      <c r="K30" s="821"/>
      <c r="L30" s="821"/>
      <c r="N30" s="11"/>
    </row>
    <row r="31" spans="3:14">
      <c r="C31" s="821"/>
      <c r="E31" s="821"/>
      <c r="G31" s="821"/>
      <c r="I31" s="821"/>
      <c r="K31" s="821"/>
      <c r="L31" s="821"/>
      <c r="N31" s="11"/>
    </row>
    <row r="32" spans="3:14">
      <c r="C32" s="821"/>
      <c r="E32" s="821"/>
      <c r="G32" s="821"/>
      <c r="I32" s="821"/>
      <c r="K32" s="821"/>
      <c r="L32" s="821"/>
      <c r="N32" s="11"/>
    </row>
    <row r="33" spans="3:14">
      <c r="C33" s="821"/>
      <c r="E33" s="821"/>
      <c r="G33" s="821"/>
      <c r="I33" s="821"/>
      <c r="K33" s="821"/>
      <c r="L33" s="821"/>
      <c r="N33" s="11"/>
    </row>
    <row r="34" spans="3:14">
      <c r="C34" s="821"/>
      <c r="E34" s="821"/>
      <c r="G34" s="821"/>
      <c r="I34" s="821"/>
      <c r="K34" s="821"/>
      <c r="L34" s="821"/>
      <c r="N34" s="11"/>
    </row>
    <row r="35" spans="3:14">
      <c r="C35" s="821"/>
      <c r="E35" s="821"/>
      <c r="G35" s="821"/>
      <c r="I35" s="821"/>
      <c r="K35" s="821"/>
      <c r="L35" s="821"/>
      <c r="N35" s="11"/>
    </row>
    <row r="36" spans="3:14">
      <c r="C36" s="821"/>
      <c r="E36" s="821"/>
      <c r="G36" s="821"/>
      <c r="I36" s="821"/>
      <c r="K36" s="821"/>
      <c r="L36" s="821"/>
      <c r="N36" s="11"/>
    </row>
    <row r="37" spans="3:14">
      <c r="C37" s="821"/>
      <c r="E37" s="821"/>
      <c r="G37" s="821"/>
      <c r="I37" s="821"/>
      <c r="K37" s="821"/>
      <c r="L37" s="821"/>
      <c r="N37" s="11"/>
    </row>
    <row r="38" spans="3:14">
      <c r="C38" s="821"/>
      <c r="E38" s="821"/>
      <c r="G38" s="821"/>
      <c r="I38" s="821"/>
      <c r="K38" s="821"/>
      <c r="L38" s="821"/>
      <c r="N38" s="11"/>
    </row>
    <row r="39" spans="3:14">
      <c r="C39" s="821"/>
      <c r="E39" s="821"/>
      <c r="G39" s="821"/>
      <c r="I39" s="821"/>
      <c r="K39" s="821"/>
      <c r="L39" s="821"/>
      <c r="N39" s="11"/>
    </row>
    <row r="40" spans="3:14">
      <c r="C40" s="821"/>
      <c r="E40" s="821"/>
      <c r="G40" s="821"/>
      <c r="I40" s="821"/>
      <c r="K40" s="821"/>
      <c r="L40" s="821"/>
      <c r="N40" s="11"/>
    </row>
    <row r="41" spans="3:14">
      <c r="C41" s="821"/>
      <c r="E41" s="821"/>
      <c r="G41" s="821"/>
      <c r="I41" s="821"/>
      <c r="K41" s="821"/>
      <c r="L41" s="821"/>
      <c r="N41" s="11"/>
    </row>
  </sheetData>
  <mergeCells count="3">
    <mergeCell ref="C1:K1"/>
    <mergeCell ref="C2:K2"/>
    <mergeCell ref="C3:K3"/>
  </mergeCells>
  <printOptions horizontalCentered="1"/>
  <pageMargins left="0.7" right="0.7" top="0.75" bottom="0.75" header="0.3" footer="0.3"/>
  <pageSetup scale="70" orientation="portrait" horizontalDpi="4294967294"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P54"/>
  <sheetViews>
    <sheetView view="pageBreakPreview" topLeftCell="A36" zoomScale="85" zoomScaleNormal="100" zoomScaleSheetLayoutView="85" workbookViewId="0">
      <selection activeCell="E54" sqref="E54"/>
    </sheetView>
  </sheetViews>
  <sheetFormatPr defaultColWidth="9" defaultRowHeight="15"/>
  <cols>
    <col min="1" max="1" width="13.5546875" style="3" customWidth="1"/>
    <col min="2" max="2" width="2.5546875" style="3" customWidth="1"/>
    <col min="3" max="3" width="35.5546875" style="3" customWidth="1"/>
    <col min="4" max="4" width="5" style="3" customWidth="1"/>
    <col min="5" max="5" width="13.5546875" style="3" customWidth="1"/>
    <col min="6" max="6" width="4.88671875" style="3" customWidth="1"/>
    <col min="7" max="7" width="13.5546875" style="3" customWidth="1"/>
    <col min="8" max="8" width="4.5546875" style="3" customWidth="1"/>
    <col min="9" max="9" width="18.109375" style="3" customWidth="1"/>
    <col min="10" max="10" width="5.88671875" style="3" customWidth="1"/>
    <col min="11" max="12" width="13.5546875" style="3" customWidth="1"/>
    <col min="13" max="13" width="4.6640625" style="3" customWidth="1"/>
    <col min="14" max="14" width="13.5546875" style="3" customWidth="1"/>
    <col min="15" max="15" width="4.5546875" style="3" customWidth="1"/>
    <col min="16" max="16" width="13" style="3" customWidth="1"/>
    <col min="17" max="17" width="4.6640625" style="3" customWidth="1"/>
    <col min="18" max="16384" width="9" style="3"/>
  </cols>
  <sheetData>
    <row r="1" spans="1:16">
      <c r="C1" s="1018" t="str">
        <f>Input!G28</f>
        <v>Peoples Gas System</v>
      </c>
      <c r="D1" s="1018"/>
      <c r="E1" s="1018"/>
      <c r="F1" s="1018"/>
      <c r="G1" s="1018"/>
      <c r="H1" s="1018"/>
      <c r="I1" s="1018"/>
      <c r="J1" s="1018"/>
      <c r="K1" s="1018"/>
    </row>
    <row r="2" spans="1:16">
      <c r="C2" s="1017" t="s">
        <v>180</v>
      </c>
      <c r="D2" s="1017"/>
      <c r="E2" s="1017"/>
      <c r="F2" s="1017"/>
      <c r="G2" s="1017"/>
      <c r="H2" s="1017"/>
      <c r="I2" s="1017"/>
      <c r="J2" s="1017"/>
      <c r="K2" s="1017"/>
    </row>
    <row r="3" spans="1:16">
      <c r="C3" s="1017" t="s">
        <v>2216</v>
      </c>
      <c r="D3" s="1017"/>
      <c r="E3" s="1017"/>
      <c r="F3" s="1017"/>
      <c r="G3" s="1017"/>
      <c r="H3" s="1017"/>
      <c r="I3" s="1017"/>
      <c r="J3" s="1017"/>
      <c r="K3" s="1017"/>
    </row>
    <row r="4" spans="1:16">
      <c r="C4" s="1" t="str">
        <f>Input!I29</f>
        <v>Utility Proxy Group</v>
      </c>
      <c r="D4" s="1"/>
      <c r="E4" s="1"/>
      <c r="F4" s="1"/>
      <c r="G4" s="1"/>
      <c r="H4" s="1"/>
      <c r="I4" s="1"/>
      <c r="J4" s="1"/>
      <c r="K4" s="1"/>
    </row>
    <row r="5" spans="1:16">
      <c r="C5" s="104"/>
      <c r="D5" s="104"/>
      <c r="E5" s="104"/>
      <c r="F5" s="104"/>
      <c r="G5" s="104"/>
      <c r="H5" s="104"/>
      <c r="I5" s="104"/>
      <c r="J5" s="104"/>
      <c r="K5" s="104"/>
    </row>
    <row r="6" spans="1:16">
      <c r="C6" s="104"/>
      <c r="D6" s="104"/>
      <c r="E6" s="76" t="s">
        <v>1337</v>
      </c>
      <c r="F6" s="5"/>
      <c r="G6" s="5" t="s">
        <v>1336</v>
      </c>
      <c r="H6" s="5"/>
      <c r="I6" s="5" t="s">
        <v>1335</v>
      </c>
      <c r="J6" s="5"/>
      <c r="K6" s="5" t="s">
        <v>1341</v>
      </c>
    </row>
    <row r="8" spans="1:16" ht="57.75" customHeight="1">
      <c r="A8" s="5" t="s">
        <v>181</v>
      </c>
      <c r="C8" s="438" t="str">
        <f>'7.1 CEM Summary'!E7</f>
        <v>Proxy Group of Thirty Nine Non-Price Regulated Companies</v>
      </c>
      <c r="D8" s="12"/>
      <c r="E8" s="439" t="s">
        <v>168</v>
      </c>
      <c r="F8" s="12"/>
      <c r="G8" s="439" t="s">
        <v>175</v>
      </c>
      <c r="H8" s="12"/>
      <c r="I8" s="439" t="s">
        <v>176</v>
      </c>
      <c r="J8" s="12"/>
      <c r="K8" s="439" t="s">
        <v>177</v>
      </c>
      <c r="L8" s="226"/>
      <c r="M8" s="12"/>
      <c r="N8" s="226"/>
      <c r="O8" s="12"/>
      <c r="P8" s="226"/>
    </row>
    <row r="9" spans="1:16" ht="15.75" customHeight="1"/>
    <row r="10" spans="1:16" ht="15.75" customHeight="1">
      <c r="A10" s="11" t="str">
        <f>'7.2 CEM DCF'!A9</f>
        <v>A</v>
      </c>
      <c r="B10" s="11"/>
      <c r="C10" s="11" t="str">
        <f>'7.2 CEM DCF'!B9</f>
        <v>Agilent Technologies</v>
      </c>
      <c r="D10" s="11"/>
      <c r="E10" s="103">
        <f>VLOOKUP($A10,'CEM Data Lookup'!$A:$P,6,FALSE)</f>
        <v>0.85</v>
      </c>
      <c r="F10" s="83"/>
      <c r="G10" s="83">
        <f>VLOOKUP($A10,'CEM Data Lookup'!$A:$P,8,FALSE)</f>
        <v>0.77</v>
      </c>
      <c r="H10" s="11"/>
      <c r="I10" s="84">
        <f>VLOOKUP($A10,'CEM Data Lookup'!$A:$P,13,FALSE)</f>
        <v>2.6442000000000001</v>
      </c>
      <c r="J10" s="84"/>
      <c r="K10" s="84">
        <f>VLOOKUP($A10,'CEM Data Lookup'!$A:$P,15,FALSE)</f>
        <v>6.5799999999999997E-2</v>
      </c>
      <c r="L10" s="345"/>
      <c r="M10" s="345"/>
      <c r="N10" s="345"/>
      <c r="O10" s="100"/>
      <c r="P10" s="100"/>
    </row>
    <row r="11" spans="1:16" ht="15.75" customHeight="1">
      <c r="A11" s="11" t="str">
        <f>'7.2 CEM DCF'!A10</f>
        <v>ABT</v>
      </c>
      <c r="B11" s="11"/>
      <c r="C11" s="11" t="str">
        <f>'7.2 CEM DCF'!B10</f>
        <v xml:space="preserve">Abbott Labs.        </v>
      </c>
      <c r="D11" s="11"/>
      <c r="E11" s="103">
        <f>VLOOKUP($A11,'CEM Data Lookup'!$A:$P,6,FALSE)</f>
        <v>0.9</v>
      </c>
      <c r="F11" s="83"/>
      <c r="G11" s="83">
        <f>VLOOKUP($A11,'CEM Data Lookup'!$A:$P,8,FALSE)</f>
        <v>0.81</v>
      </c>
      <c r="H11" s="11"/>
      <c r="I11" s="84">
        <f>VLOOKUP($A11,'CEM Data Lookup'!$A:$P,13,FALSE)</f>
        <v>2.7622</v>
      </c>
      <c r="J11" s="84"/>
      <c r="K11" s="84">
        <f>VLOOKUP($A11,'CEM Data Lookup'!$A:$P,15,FALSE)</f>
        <v>6.88E-2</v>
      </c>
      <c r="L11" s="345"/>
      <c r="M11" s="345"/>
      <c r="N11" s="345"/>
      <c r="O11" s="100"/>
      <c r="P11" s="100"/>
    </row>
    <row r="12" spans="1:16" ht="15.75" customHeight="1">
      <c r="A12" s="11" t="str">
        <f>'7.2 CEM DCF'!A11</f>
        <v>ADI</v>
      </c>
      <c r="B12" s="11"/>
      <c r="C12" s="11" t="str">
        <f>'7.2 CEM DCF'!B11</f>
        <v xml:space="preserve">Analog Devices      </v>
      </c>
      <c r="D12" s="11"/>
      <c r="E12" s="103">
        <f>VLOOKUP($A12,'CEM Data Lookup'!$A:$P,6,FALSE)</f>
        <v>0.95</v>
      </c>
      <c r="F12" s="83"/>
      <c r="G12" s="83">
        <f>VLOOKUP($A12,'CEM Data Lookup'!$A:$P,8,FALSE)</f>
        <v>0.87</v>
      </c>
      <c r="H12" s="11"/>
      <c r="I12" s="84">
        <f>VLOOKUP($A12,'CEM Data Lookup'!$A:$P,13,FALSE)</f>
        <v>2.8416999999999999</v>
      </c>
      <c r="J12" s="84"/>
      <c r="K12" s="84">
        <f>VLOOKUP($A12,'CEM Data Lookup'!$A:$P,15,FALSE)</f>
        <v>7.0699999999999999E-2</v>
      </c>
      <c r="L12" s="345"/>
      <c r="M12" s="345"/>
      <c r="N12" s="345"/>
      <c r="O12" s="100"/>
      <c r="P12" s="100"/>
    </row>
    <row r="13" spans="1:16" ht="15.75" customHeight="1">
      <c r="A13" s="11" t="str">
        <f>'7.2 CEM DCF'!A12</f>
        <v>AIZ</v>
      </c>
      <c r="B13" s="11"/>
      <c r="C13" s="11" t="str">
        <f>'7.2 CEM DCF'!B12</f>
        <v xml:space="preserve">Assurant Inc.       </v>
      </c>
      <c r="D13" s="11"/>
      <c r="E13" s="103">
        <f>VLOOKUP($A13,'CEM Data Lookup'!$A:$P,6,FALSE)</f>
        <v>0.95</v>
      </c>
      <c r="F13" s="83"/>
      <c r="G13" s="83">
        <f>VLOOKUP($A13,'CEM Data Lookup'!$A:$P,8,FALSE)</f>
        <v>0.85</v>
      </c>
      <c r="H13" s="11"/>
      <c r="I13" s="84">
        <f>VLOOKUP($A13,'CEM Data Lookup'!$A:$P,13,FALSE)</f>
        <v>2.7366000000000001</v>
      </c>
      <c r="J13" s="84"/>
      <c r="K13" s="84">
        <f>VLOOKUP($A13,'CEM Data Lookup'!$A:$P,15,FALSE)</f>
        <v>6.8099999999999994E-2</v>
      </c>
      <c r="L13" s="345"/>
      <c r="M13" s="345"/>
      <c r="N13" s="345"/>
      <c r="O13" s="100"/>
      <c r="P13" s="100"/>
    </row>
    <row r="14" spans="1:16" ht="15.75" customHeight="1">
      <c r="A14" s="11" t="str">
        <f>'7.2 CEM DCF'!A13</f>
        <v>AOS</v>
      </c>
      <c r="B14" s="11"/>
      <c r="C14" s="11" t="str">
        <f>'7.2 CEM DCF'!B13</f>
        <v xml:space="preserve">Smith (A.O.)        </v>
      </c>
      <c r="D14" s="11"/>
      <c r="E14" s="103">
        <f>VLOOKUP($A14,'CEM Data Lookup'!$A:$P,6,FALSE)</f>
        <v>0.85</v>
      </c>
      <c r="F14" s="83"/>
      <c r="G14" s="83">
        <f>VLOOKUP($A14,'CEM Data Lookup'!$A:$P,8,FALSE)</f>
        <v>0.76</v>
      </c>
      <c r="H14" s="11"/>
      <c r="I14" s="84">
        <f>VLOOKUP($A14,'CEM Data Lookup'!$A:$P,13,FALSE)</f>
        <v>2.7271999999999998</v>
      </c>
      <c r="J14" s="84"/>
      <c r="K14" s="84">
        <f>VLOOKUP($A14,'CEM Data Lookup'!$A:$P,15,FALSE)</f>
        <v>6.7900000000000002E-2</v>
      </c>
      <c r="L14" s="345"/>
      <c r="M14" s="345"/>
      <c r="N14" s="345"/>
      <c r="O14" s="100"/>
      <c r="P14" s="100"/>
    </row>
    <row r="15" spans="1:16" ht="15.75" customHeight="1">
      <c r="A15" s="11" t="str">
        <f>'7.2 CEM DCF'!A14</f>
        <v>APD</v>
      </c>
      <c r="B15" s="11"/>
      <c r="C15" s="11" t="str">
        <f>'7.2 CEM DCF'!B14</f>
        <v>Air Products &amp; Chem.</v>
      </c>
      <c r="D15" s="11"/>
      <c r="E15" s="103">
        <f>VLOOKUP($A15,'CEM Data Lookup'!$A:$P,6,FALSE)</f>
        <v>0.9</v>
      </c>
      <c r="F15" s="83"/>
      <c r="G15" s="83">
        <f>VLOOKUP($A15,'CEM Data Lookup'!$A:$P,8,FALSE)</f>
        <v>0.79</v>
      </c>
      <c r="H15" s="11"/>
      <c r="I15" s="84">
        <f>VLOOKUP($A15,'CEM Data Lookup'!$A:$P,13,FALSE)</f>
        <v>2.6236999999999999</v>
      </c>
      <c r="J15" s="84"/>
      <c r="K15" s="84">
        <f>VLOOKUP($A15,'CEM Data Lookup'!$A:$P,15,FALSE)</f>
        <v>6.5299999999999997E-2</v>
      </c>
      <c r="L15" s="345"/>
      <c r="M15" s="345"/>
      <c r="N15" s="345"/>
      <c r="O15" s="100"/>
      <c r="P15" s="100"/>
    </row>
    <row r="16" spans="1:16" ht="15.75" customHeight="1">
      <c r="A16" s="11" t="str">
        <f>'7.2 CEM DCF'!A15</f>
        <v>BFB</v>
      </c>
      <c r="B16" s="11"/>
      <c r="C16" s="11" t="str">
        <f>'7.2 CEM DCF'!B15</f>
        <v xml:space="preserve">Brown-Forman 'B'    </v>
      </c>
      <c r="D16" s="11"/>
      <c r="E16" s="103">
        <f>VLOOKUP($A16,'CEM Data Lookup'!$A:$P,6,FALSE)</f>
        <v>0.9</v>
      </c>
      <c r="F16" s="83"/>
      <c r="G16" s="83">
        <f>VLOOKUP($A16,'CEM Data Lookup'!$A:$P,8,FALSE)</f>
        <v>0.8</v>
      </c>
      <c r="H16" s="11"/>
      <c r="I16" s="84">
        <f>VLOOKUP($A16,'CEM Data Lookup'!$A:$P,13,FALSE)</f>
        <v>2.6915</v>
      </c>
      <c r="J16" s="84"/>
      <c r="K16" s="84">
        <f>VLOOKUP($A16,'CEM Data Lookup'!$A:$P,15,FALSE)</f>
        <v>6.7000000000000004E-2</v>
      </c>
      <c r="L16" s="345"/>
      <c r="M16" s="345"/>
      <c r="N16" s="345"/>
      <c r="O16" s="100"/>
      <c r="P16" s="100"/>
    </row>
    <row r="17" spans="1:16" ht="15.75" customHeight="1">
      <c r="A17" s="11" t="str">
        <f>'7.2 CEM DCF'!A16</f>
        <v>BMY</v>
      </c>
      <c r="B17" s="11"/>
      <c r="C17" s="11" t="str">
        <f>'7.2 CEM DCF'!B16</f>
        <v>Bristol-Myers Squibb</v>
      </c>
      <c r="D17" s="11"/>
      <c r="E17" s="103">
        <f>VLOOKUP($A17,'CEM Data Lookup'!$A:$P,6,FALSE)</f>
        <v>0.85</v>
      </c>
      <c r="F17" s="83"/>
      <c r="G17" s="83">
        <f>VLOOKUP($A17,'CEM Data Lookup'!$A:$P,8,FALSE)</f>
        <v>0.76</v>
      </c>
      <c r="H17" s="11"/>
      <c r="I17" s="84">
        <f>VLOOKUP($A17,'CEM Data Lookup'!$A:$P,13,FALSE)</f>
        <v>3.0329999999999999</v>
      </c>
      <c r="J17" s="84"/>
      <c r="K17" s="84">
        <f>VLOOKUP($A17,'CEM Data Lookup'!$A:$P,15,FALSE)</f>
        <v>7.5499999999999998E-2</v>
      </c>
      <c r="L17" s="345"/>
      <c r="M17" s="345"/>
      <c r="N17" s="345"/>
      <c r="O17" s="100"/>
      <c r="P17" s="100"/>
    </row>
    <row r="18" spans="1:16" ht="15.75" customHeight="1">
      <c r="A18" s="11" t="str">
        <f>'7.2 CEM DCF'!A17</f>
        <v>BR</v>
      </c>
      <c r="B18" s="11"/>
      <c r="C18" s="11" t="str">
        <f>'7.2 CEM DCF'!B17</f>
        <v xml:space="preserve">Broadridge Fin'l    </v>
      </c>
      <c r="D18" s="11"/>
      <c r="E18" s="103">
        <f>VLOOKUP($A18,'CEM Data Lookup'!$A:$P,6,FALSE)</f>
        <v>0.85</v>
      </c>
      <c r="F18" s="83"/>
      <c r="G18" s="83">
        <f>VLOOKUP($A18,'CEM Data Lookup'!$A:$P,8,FALSE)</f>
        <v>0.7</v>
      </c>
      <c r="H18" s="11"/>
      <c r="I18" s="84">
        <f>VLOOKUP($A18,'CEM Data Lookup'!$A:$P,13,FALSE)</f>
        <v>2.7610000000000001</v>
      </c>
      <c r="J18" s="84"/>
      <c r="K18" s="84">
        <f>VLOOKUP($A18,'CEM Data Lookup'!$A:$P,15,FALSE)</f>
        <v>6.8699999999999997E-2</v>
      </c>
      <c r="L18" s="345"/>
      <c r="M18" s="345"/>
      <c r="N18" s="345"/>
      <c r="O18" s="100"/>
      <c r="P18" s="100"/>
    </row>
    <row r="19" spans="1:16" ht="15.75" customHeight="1">
      <c r="A19" s="11" t="str">
        <f>'7.2 CEM DCF'!A18</f>
        <v>CACI</v>
      </c>
      <c r="B19" s="11"/>
      <c r="C19" s="11" t="str">
        <f>'7.2 CEM DCF'!B18</f>
        <v xml:space="preserve">CACI Int'l          </v>
      </c>
      <c r="D19" s="11"/>
      <c r="E19" s="103">
        <f>VLOOKUP($A19,'CEM Data Lookup'!$A:$P,6,FALSE)</f>
        <v>0.9</v>
      </c>
      <c r="F19" s="83"/>
      <c r="G19" s="83">
        <f>VLOOKUP($A19,'CEM Data Lookup'!$A:$P,8,FALSE)</f>
        <v>0.84</v>
      </c>
      <c r="H19" s="11"/>
      <c r="I19" s="84">
        <f>VLOOKUP($A19,'CEM Data Lookup'!$A:$P,13,FALSE)</f>
        <v>2.9845999999999999</v>
      </c>
      <c r="J19" s="84"/>
      <c r="K19" s="84">
        <f>VLOOKUP($A19,'CEM Data Lookup'!$A:$P,15,FALSE)</f>
        <v>7.4300000000000005E-2</v>
      </c>
      <c r="L19" s="345"/>
      <c r="M19" s="345"/>
      <c r="N19" s="345"/>
      <c r="O19" s="100"/>
      <c r="P19" s="100"/>
    </row>
    <row r="20" spans="1:16" ht="15.75" customHeight="1">
      <c r="A20" s="11" t="str">
        <f>'7.2 CEM DCF'!A19</f>
        <v>CHE</v>
      </c>
      <c r="B20" s="11"/>
      <c r="C20" s="11" t="str">
        <f>'7.2 CEM DCF'!B19</f>
        <v xml:space="preserve">Chemed Corp.        </v>
      </c>
      <c r="D20" s="11"/>
      <c r="E20" s="103">
        <f>VLOOKUP($A20,'CEM Data Lookup'!$A:$P,6,FALSE)</f>
        <v>0.85</v>
      </c>
      <c r="F20" s="83"/>
      <c r="G20" s="83">
        <f>VLOOKUP($A20,'CEM Data Lookup'!$A:$P,8,FALSE)</f>
        <v>0.7</v>
      </c>
      <c r="H20" s="11"/>
      <c r="I20" s="84">
        <f>VLOOKUP($A20,'CEM Data Lookup'!$A:$P,13,FALSE)</f>
        <v>2.7214999999999998</v>
      </c>
      <c r="J20" s="84"/>
      <c r="K20" s="84">
        <f>VLOOKUP($A20,'CEM Data Lookup'!$A:$P,15,FALSE)</f>
        <v>6.7699999999999996E-2</v>
      </c>
      <c r="L20" s="345"/>
      <c r="M20" s="345"/>
      <c r="N20" s="345"/>
      <c r="O20" s="100"/>
      <c r="P20" s="100"/>
    </row>
    <row r="21" spans="1:16" ht="15.75" customHeight="1">
      <c r="A21" s="11" t="str">
        <f>'7.2 CEM DCF'!A20</f>
        <v>CSWI</v>
      </c>
      <c r="B21" s="11"/>
      <c r="C21" s="11" t="str">
        <f>'7.2 CEM DCF'!B20</f>
        <v xml:space="preserve">CSW Industrials     </v>
      </c>
      <c r="D21" s="11"/>
      <c r="E21" s="103">
        <f>VLOOKUP($A21,'CEM Data Lookup'!$A:$P,6,FALSE)</f>
        <v>0.9</v>
      </c>
      <c r="F21" s="83"/>
      <c r="G21" s="83">
        <f>VLOOKUP($A21,'CEM Data Lookup'!$A:$P,8,FALSE)</f>
        <v>0.8</v>
      </c>
      <c r="H21" s="11"/>
      <c r="I21" s="84">
        <f>VLOOKUP($A21,'CEM Data Lookup'!$A:$P,13,FALSE)</f>
        <v>2.9127000000000001</v>
      </c>
      <c r="J21" s="84"/>
      <c r="K21" s="84">
        <f>VLOOKUP($A21,'CEM Data Lookup'!$A:$P,15,FALSE)</f>
        <v>7.2499999999999995E-2</v>
      </c>
      <c r="L21" s="345"/>
      <c r="M21" s="345"/>
      <c r="N21" s="345"/>
      <c r="O21" s="100"/>
      <c r="P21" s="100"/>
    </row>
    <row r="22" spans="1:16" ht="15.75" customHeight="1">
      <c r="A22" s="11" t="str">
        <f>'7.2 CEM DCF'!A21</f>
        <v>DGX</v>
      </c>
      <c r="B22" s="11"/>
      <c r="C22" s="11" t="str">
        <f>'7.2 CEM DCF'!B21</f>
        <v xml:space="preserve">Quest Diagnostics   </v>
      </c>
      <c r="D22" s="11"/>
      <c r="E22" s="103">
        <f>VLOOKUP($A22,'CEM Data Lookup'!$A:$P,6,FALSE)</f>
        <v>0.8</v>
      </c>
      <c r="F22" s="83"/>
      <c r="G22" s="83">
        <f>VLOOKUP($A22,'CEM Data Lookup'!$A:$P,8,FALSE)</f>
        <v>0.69</v>
      </c>
      <c r="H22" s="11"/>
      <c r="I22" s="84">
        <f>VLOOKUP($A22,'CEM Data Lookup'!$A:$P,13,FALSE)</f>
        <v>3.0217999999999998</v>
      </c>
      <c r="J22" s="84"/>
      <c r="K22" s="84">
        <f>VLOOKUP($A22,'CEM Data Lookup'!$A:$P,15,FALSE)</f>
        <v>7.5200000000000003E-2</v>
      </c>
      <c r="L22" s="345"/>
      <c r="M22" s="345"/>
      <c r="N22" s="345"/>
      <c r="O22" s="100"/>
      <c r="P22" s="100"/>
    </row>
    <row r="23" spans="1:16" ht="15.75" customHeight="1">
      <c r="A23" s="11" t="str">
        <f>'7.2 CEM DCF'!A22</f>
        <v>EXPO</v>
      </c>
      <c r="B23" s="11"/>
      <c r="C23" s="11" t="str">
        <f>'7.2 CEM DCF'!B22</f>
        <v xml:space="preserve">Exponent, Inc.      </v>
      </c>
      <c r="D23" s="11"/>
      <c r="E23" s="103">
        <f>VLOOKUP($A23,'CEM Data Lookup'!$A:$P,6,FALSE)</f>
        <v>0.9</v>
      </c>
      <c r="F23" s="83"/>
      <c r="G23" s="83">
        <f>VLOOKUP($A23,'CEM Data Lookup'!$A:$P,8,FALSE)</f>
        <v>0.8</v>
      </c>
      <c r="H23" s="11"/>
      <c r="I23" s="84">
        <f>VLOOKUP($A23,'CEM Data Lookup'!$A:$P,13,FALSE)</f>
        <v>2.8742000000000001</v>
      </c>
      <c r="J23" s="84"/>
      <c r="K23" s="84">
        <f>VLOOKUP($A23,'CEM Data Lookup'!$A:$P,15,FALSE)</f>
        <v>7.1499999999999994E-2</v>
      </c>
      <c r="L23" s="345"/>
      <c r="M23" s="345"/>
      <c r="N23" s="345"/>
      <c r="O23" s="100"/>
      <c r="P23" s="100"/>
    </row>
    <row r="24" spans="1:16" ht="15.75" customHeight="1">
      <c r="A24" s="11" t="str">
        <f>'7.2 CEM DCF'!A23</f>
        <v>INGR</v>
      </c>
      <c r="B24" s="11"/>
      <c r="C24" s="11" t="str">
        <f>'7.2 CEM DCF'!B23</f>
        <v xml:space="preserve">Ingredion Inc.      </v>
      </c>
      <c r="D24" s="11"/>
      <c r="E24" s="103">
        <f>VLOOKUP($A24,'CEM Data Lookup'!$A:$P,6,FALSE)</f>
        <v>0.9</v>
      </c>
      <c r="F24" s="83"/>
      <c r="G24" s="83">
        <f>VLOOKUP($A24,'CEM Data Lookup'!$A:$P,8,FALSE)</f>
        <v>0.85</v>
      </c>
      <c r="H24" s="11"/>
      <c r="I24" s="84">
        <f>VLOOKUP($A24,'CEM Data Lookup'!$A:$P,13,FALSE)</f>
        <v>2.8616999999999999</v>
      </c>
      <c r="J24" s="84"/>
      <c r="K24" s="84">
        <f>VLOOKUP($A24,'CEM Data Lookup'!$A:$P,15,FALSE)</f>
        <v>7.1199999999999999E-2</v>
      </c>
      <c r="L24" s="345"/>
      <c r="M24" s="345"/>
      <c r="N24" s="345"/>
      <c r="O24" s="100"/>
      <c r="P24" s="100"/>
    </row>
    <row r="25" spans="1:16" ht="15.75" customHeight="1">
      <c r="A25" s="11" t="str">
        <f>'7.2 CEM DCF'!A24</f>
        <v>JJSF</v>
      </c>
      <c r="B25" s="11"/>
      <c r="C25" s="11" t="str">
        <f>'7.2 CEM DCF'!B24</f>
        <v xml:space="preserve">J&amp;J Snack Foods     </v>
      </c>
      <c r="D25" s="11"/>
      <c r="E25" s="103">
        <f>VLOOKUP($A25,'CEM Data Lookup'!$A:$P,6,FALSE)</f>
        <v>0.95</v>
      </c>
      <c r="F25" s="83"/>
      <c r="G25" s="83">
        <f>VLOOKUP($A25,'CEM Data Lookup'!$A:$P,8,FALSE)</f>
        <v>0.87</v>
      </c>
      <c r="H25" s="11"/>
      <c r="I25" s="84">
        <f>VLOOKUP($A25,'CEM Data Lookup'!$A:$P,13,FALSE)</f>
        <v>2.9765999999999999</v>
      </c>
      <c r="J25" s="84"/>
      <c r="K25" s="84">
        <f>VLOOKUP($A25,'CEM Data Lookup'!$A:$P,15,FALSE)</f>
        <v>7.4099999999999999E-2</v>
      </c>
      <c r="L25" s="345"/>
      <c r="M25" s="345"/>
      <c r="N25" s="345"/>
      <c r="O25" s="100"/>
      <c r="P25" s="100"/>
    </row>
    <row r="26" spans="1:16" ht="15.75" customHeight="1">
      <c r="A26" s="11" t="str">
        <f>'7.2 CEM DCF'!A25</f>
        <v>JKHY</v>
      </c>
      <c r="B26" s="11"/>
      <c r="C26" s="11" t="str">
        <f>'7.2 CEM DCF'!B25</f>
        <v>Henry (Jack) &amp; Assoc</v>
      </c>
      <c r="D26" s="11"/>
      <c r="E26" s="103">
        <f>VLOOKUP($A26,'CEM Data Lookup'!$A:$P,6,FALSE)</f>
        <v>0.85</v>
      </c>
      <c r="F26" s="83"/>
      <c r="G26" s="83">
        <f>VLOOKUP($A26,'CEM Data Lookup'!$A:$P,8,FALSE)</f>
        <v>0.7</v>
      </c>
      <c r="H26" s="11"/>
      <c r="I26" s="84">
        <f>VLOOKUP($A26,'CEM Data Lookup'!$A:$P,13,FALSE)</f>
        <v>2.8820999999999999</v>
      </c>
      <c r="J26" s="84"/>
      <c r="K26" s="84">
        <f>VLOOKUP($A26,'CEM Data Lookup'!$A:$P,15,FALSE)</f>
        <v>7.17E-2</v>
      </c>
      <c r="L26" s="345"/>
      <c r="M26" s="345"/>
      <c r="N26" s="345"/>
      <c r="O26" s="100"/>
      <c r="P26" s="100"/>
    </row>
    <row r="27" spans="1:16" ht="15.75" customHeight="1">
      <c r="A27" s="11" t="str">
        <f>'7.2 CEM DCF'!A26</f>
        <v>MKC</v>
      </c>
      <c r="B27" s="11"/>
      <c r="C27" s="11" t="str">
        <f>'7.2 CEM DCF'!B26</f>
        <v xml:space="preserve">McCormick &amp; Co.     </v>
      </c>
      <c r="D27" s="11"/>
      <c r="E27" s="103">
        <f>VLOOKUP($A27,'CEM Data Lookup'!$A:$P,6,FALSE)</f>
        <v>0.8</v>
      </c>
      <c r="F27" s="83"/>
      <c r="G27" s="83">
        <f>VLOOKUP($A27,'CEM Data Lookup'!$A:$P,8,FALSE)</f>
        <v>0.66</v>
      </c>
      <c r="H27" s="11"/>
      <c r="I27" s="84">
        <f>VLOOKUP($A27,'CEM Data Lookup'!$A:$P,13,FALSE)</f>
        <v>2.8331</v>
      </c>
      <c r="J27" s="84"/>
      <c r="K27" s="84">
        <f>VLOOKUP($A27,'CEM Data Lookup'!$A:$P,15,FALSE)</f>
        <v>7.0499999999999993E-2</v>
      </c>
      <c r="L27" s="345"/>
      <c r="M27" s="345"/>
      <c r="N27" s="345"/>
      <c r="O27" s="100"/>
      <c r="P27" s="100"/>
    </row>
    <row r="28" spans="1:16" ht="15.75" customHeight="1">
      <c r="A28" s="11" t="str">
        <f>'7.2 CEM DCF'!A27</f>
        <v>MRK</v>
      </c>
      <c r="B28" s="11"/>
      <c r="C28" s="11" t="str">
        <f>'7.2 CEM DCF'!B27</f>
        <v xml:space="preserve">Merck &amp; Co.         </v>
      </c>
      <c r="D28" s="11"/>
      <c r="E28" s="103">
        <f>VLOOKUP($A28,'CEM Data Lookup'!$A:$P,6,FALSE)</f>
        <v>0.8</v>
      </c>
      <c r="F28" s="83"/>
      <c r="G28" s="83">
        <f>VLOOKUP($A28,'CEM Data Lookup'!$A:$P,8,FALSE)</f>
        <v>0.64</v>
      </c>
      <c r="H28" s="11"/>
      <c r="I28" s="84">
        <f>VLOOKUP($A28,'CEM Data Lookup'!$A:$P,13,FALSE)</f>
        <v>2.6539999999999999</v>
      </c>
      <c r="J28" s="84"/>
      <c r="K28" s="84">
        <f>VLOOKUP($A28,'CEM Data Lookup'!$A:$P,15,FALSE)</f>
        <v>6.6100000000000006E-2</v>
      </c>
      <c r="L28" s="345"/>
      <c r="M28" s="345"/>
      <c r="N28" s="345"/>
      <c r="O28" s="100"/>
      <c r="P28" s="100"/>
    </row>
    <row r="29" spans="1:16" ht="15.75" customHeight="1">
      <c r="A29" s="11" t="str">
        <f>'7.2 CEM DCF'!A28</f>
        <v>MSCI</v>
      </c>
      <c r="B29" s="11"/>
      <c r="C29" s="11" t="str">
        <f>'7.2 CEM DCF'!B28</f>
        <v xml:space="preserve">MSCI Inc.           </v>
      </c>
      <c r="D29" s="11"/>
      <c r="E29" s="103">
        <f>VLOOKUP($A29,'CEM Data Lookup'!$A:$P,6,FALSE)</f>
        <v>0.95</v>
      </c>
      <c r="F29" s="83"/>
      <c r="G29" s="83">
        <f>VLOOKUP($A29,'CEM Data Lookup'!$A:$P,8,FALSE)</f>
        <v>0.85</v>
      </c>
      <c r="H29" s="11"/>
      <c r="I29" s="84">
        <f>VLOOKUP($A29,'CEM Data Lookup'!$A:$P,13,FALSE)</f>
        <v>3.0171000000000001</v>
      </c>
      <c r="J29" s="84"/>
      <c r="K29" s="84">
        <f>VLOOKUP($A29,'CEM Data Lookup'!$A:$P,15,FALSE)</f>
        <v>7.51E-2</v>
      </c>
      <c r="L29" s="345"/>
      <c r="M29" s="345"/>
      <c r="N29" s="345"/>
      <c r="O29" s="100"/>
      <c r="P29" s="100"/>
    </row>
    <row r="30" spans="1:16" ht="15.75" customHeight="1">
      <c r="A30" s="11" t="str">
        <f>'7.2 CEM DCF'!A29</f>
        <v>MSI</v>
      </c>
      <c r="B30" s="11"/>
      <c r="C30" s="11" t="str">
        <f>'7.2 CEM DCF'!B29</f>
        <v xml:space="preserve">Motorola Solutions  </v>
      </c>
      <c r="D30" s="11"/>
      <c r="E30" s="103">
        <f>VLOOKUP($A30,'CEM Data Lookup'!$A:$P,6,FALSE)</f>
        <v>0.9</v>
      </c>
      <c r="F30" s="83"/>
      <c r="G30" s="83">
        <f>VLOOKUP($A30,'CEM Data Lookup'!$A:$P,8,FALSE)</f>
        <v>0.79</v>
      </c>
      <c r="H30" s="11"/>
      <c r="I30" s="84">
        <f>VLOOKUP($A30,'CEM Data Lookup'!$A:$P,13,FALSE)</f>
        <v>2.6757</v>
      </c>
      <c r="J30" s="84"/>
      <c r="K30" s="84">
        <f>VLOOKUP($A30,'CEM Data Lookup'!$A:$P,15,FALSE)</f>
        <v>6.6600000000000006E-2</v>
      </c>
      <c r="L30" s="345"/>
      <c r="M30" s="345"/>
      <c r="N30" s="345"/>
      <c r="O30" s="100"/>
      <c r="P30" s="100"/>
    </row>
    <row r="31" spans="1:16" ht="15.75" customHeight="1">
      <c r="A31" s="11" t="str">
        <f>'7.2 CEM DCF'!A30</f>
        <v>NEU</v>
      </c>
      <c r="B31" s="11"/>
      <c r="C31" s="11" t="str">
        <f>'7.2 CEM DCF'!B30</f>
        <v xml:space="preserve">NewMarket Corp.     </v>
      </c>
      <c r="D31" s="11"/>
      <c r="E31" s="103">
        <f>VLOOKUP($A31,'CEM Data Lookup'!$A:$P,6,FALSE)</f>
        <v>0.75</v>
      </c>
      <c r="F31" s="83"/>
      <c r="G31" s="83">
        <f>VLOOKUP($A31,'CEM Data Lookup'!$A:$P,8,FALSE)</f>
        <v>0.61</v>
      </c>
      <c r="H31" s="11"/>
      <c r="I31" s="84">
        <f>VLOOKUP($A31,'CEM Data Lookup'!$A:$P,13,FALSE)</f>
        <v>2.6488999999999998</v>
      </c>
      <c r="J31" s="84"/>
      <c r="K31" s="84">
        <f>VLOOKUP($A31,'CEM Data Lookup'!$A:$P,15,FALSE)</f>
        <v>6.59E-2</v>
      </c>
      <c r="L31" s="345"/>
      <c r="M31" s="345"/>
      <c r="N31" s="345"/>
      <c r="O31" s="100"/>
      <c r="P31" s="100"/>
    </row>
    <row r="32" spans="1:16" ht="15.75" customHeight="1">
      <c r="A32" s="11" t="str">
        <f>'7.2 CEM DCF'!A31</f>
        <v>NOC</v>
      </c>
      <c r="C32" s="11" t="str">
        <f>'7.2 CEM DCF'!B31</f>
        <v xml:space="preserve">Northrop Grumman    </v>
      </c>
      <c r="D32" s="11"/>
      <c r="E32" s="103">
        <f>VLOOKUP($A32,'CEM Data Lookup'!$A:$P,6,FALSE)</f>
        <v>0.85</v>
      </c>
      <c r="F32" s="83"/>
      <c r="G32" s="83">
        <f>VLOOKUP($A32,'CEM Data Lookup'!$A:$P,8,FALSE)</f>
        <v>0.74</v>
      </c>
      <c r="H32" s="11"/>
      <c r="I32" s="84">
        <f>VLOOKUP($A32,'CEM Data Lookup'!$A:$P,13,FALSE)</f>
        <v>2.9186000000000001</v>
      </c>
      <c r="J32" s="84"/>
      <c r="K32" s="84">
        <f>VLOOKUP($A32,'CEM Data Lookup'!$A:$P,15,FALSE)</f>
        <v>7.2700000000000001E-2</v>
      </c>
      <c r="L32" s="345"/>
      <c r="M32" s="345"/>
      <c r="N32" s="345"/>
      <c r="O32" s="100"/>
      <c r="P32" s="100"/>
    </row>
    <row r="33" spans="1:16" ht="15.75" customHeight="1">
      <c r="A33" s="11" t="str">
        <f>'7.2 CEM DCF'!A32</f>
        <v>ODFL</v>
      </c>
      <c r="C33" s="11" t="str">
        <f>'7.2 CEM DCF'!B32</f>
        <v>Old Dominion Freight</v>
      </c>
      <c r="D33" s="11"/>
      <c r="E33" s="103">
        <f>VLOOKUP($A33,'CEM Data Lookup'!$A:$P,6,FALSE)</f>
        <v>0.95</v>
      </c>
      <c r="F33" s="83"/>
      <c r="G33" s="83">
        <f>VLOOKUP($A33,'CEM Data Lookup'!$A:$P,8,FALSE)</f>
        <v>0.85</v>
      </c>
      <c r="H33" s="11"/>
      <c r="I33" s="84">
        <f>VLOOKUP($A33,'CEM Data Lookup'!$A:$P,13,FALSE)</f>
        <v>2.9676999999999998</v>
      </c>
      <c r="J33" s="84"/>
      <c r="K33" s="84">
        <f>VLOOKUP($A33,'CEM Data Lookup'!$A:$P,15,FALSE)</f>
        <v>7.3899999999999993E-2</v>
      </c>
      <c r="L33" s="345"/>
      <c r="M33" s="345"/>
      <c r="N33" s="345"/>
      <c r="O33" s="100"/>
      <c r="P33" s="100"/>
    </row>
    <row r="34" spans="1:16" ht="15.75" customHeight="1">
      <c r="A34" s="11" t="str">
        <f>'7.2 CEM DCF'!A33</f>
        <v>ORCL</v>
      </c>
      <c r="C34" s="11" t="str">
        <f>'7.2 CEM DCF'!B33</f>
        <v xml:space="preserve">Oracle Corp.        </v>
      </c>
      <c r="D34" s="11"/>
      <c r="E34" s="103">
        <f>VLOOKUP($A34,'CEM Data Lookup'!$A:$P,6,FALSE)</f>
        <v>0.75</v>
      </c>
      <c r="F34" s="83"/>
      <c r="G34" s="83">
        <f>VLOOKUP($A34,'CEM Data Lookup'!$A:$P,8,FALSE)</f>
        <v>0.61</v>
      </c>
      <c r="H34" s="11"/>
      <c r="I34" s="84">
        <f>VLOOKUP($A34,'CEM Data Lookup'!$A:$P,13,FALSE)</f>
        <v>2.6634000000000002</v>
      </c>
      <c r="J34" s="84"/>
      <c r="K34" s="84">
        <f>VLOOKUP($A34,'CEM Data Lookup'!$A:$P,15,FALSE)</f>
        <v>6.6299999999999998E-2</v>
      </c>
      <c r="L34" s="345"/>
      <c r="M34" s="345"/>
      <c r="N34" s="345"/>
      <c r="O34" s="100"/>
      <c r="P34" s="100"/>
    </row>
    <row r="35" spans="1:16" ht="15.75" customHeight="1">
      <c r="A35" s="11" t="str">
        <f>'7.2 CEM DCF'!A34</f>
        <v>PGR</v>
      </c>
      <c r="C35" s="11" t="str">
        <f>'7.2 CEM DCF'!B34</f>
        <v xml:space="preserve">Progressive Corp.   </v>
      </c>
      <c r="D35" s="11"/>
      <c r="E35" s="103">
        <f>VLOOKUP($A35,'CEM Data Lookup'!$A:$P,6,FALSE)</f>
        <v>0.75</v>
      </c>
      <c r="F35" s="83"/>
      <c r="G35" s="83">
        <f>VLOOKUP($A35,'CEM Data Lookup'!$A:$P,8,FALSE)</f>
        <v>0.6</v>
      </c>
      <c r="H35" s="11"/>
      <c r="I35" s="84">
        <f>VLOOKUP($A35,'CEM Data Lookup'!$A:$P,13,FALSE)</f>
        <v>2.8616999999999999</v>
      </c>
      <c r="J35" s="84"/>
      <c r="K35" s="84">
        <f>VLOOKUP($A35,'CEM Data Lookup'!$A:$P,15,FALSE)</f>
        <v>7.1199999999999999E-2</v>
      </c>
      <c r="L35" s="345"/>
      <c r="M35" s="345"/>
      <c r="N35" s="345"/>
      <c r="O35" s="100"/>
      <c r="P35" s="100"/>
    </row>
    <row r="36" spans="1:16" ht="15.75" customHeight="1">
      <c r="A36" s="11" t="str">
        <f>'7.2 CEM DCF'!A35</f>
        <v>POST</v>
      </c>
      <c r="C36" s="11" t="str">
        <f>'7.2 CEM DCF'!B35</f>
        <v xml:space="preserve">Post Holdings       </v>
      </c>
      <c r="D36" s="11"/>
      <c r="E36" s="103">
        <f>VLOOKUP($A36,'CEM Data Lookup'!$A:$P,6,FALSE)</f>
        <v>0.95</v>
      </c>
      <c r="F36" s="83"/>
      <c r="G36" s="83">
        <f>VLOOKUP($A36,'CEM Data Lookup'!$A:$P,8,FALSE)</f>
        <v>0.86</v>
      </c>
      <c r="H36" s="11"/>
      <c r="I36" s="84">
        <f>VLOOKUP($A36,'CEM Data Lookup'!$A:$P,13,FALSE)</f>
        <v>2.9243999999999999</v>
      </c>
      <c r="J36" s="84"/>
      <c r="K36" s="84">
        <f>VLOOKUP($A36,'CEM Data Lookup'!$A:$P,15,FALSE)</f>
        <v>7.2800000000000004E-2</v>
      </c>
      <c r="L36" s="345"/>
      <c r="M36" s="345"/>
      <c r="N36" s="345"/>
      <c r="O36" s="100"/>
      <c r="P36" s="100"/>
    </row>
    <row r="37" spans="1:16" ht="15.75" customHeight="1">
      <c r="A37" s="11" t="str">
        <f>'7.2 CEM DCF'!A36</f>
        <v>RLI</v>
      </c>
      <c r="C37" s="11" t="str">
        <f>'7.2 CEM DCF'!B36</f>
        <v xml:space="preserve">RLI Corp.           </v>
      </c>
      <c r="D37" s="11"/>
      <c r="E37" s="103">
        <f>VLOOKUP($A37,'CEM Data Lookup'!$A:$P,6,FALSE)</f>
        <v>0.8</v>
      </c>
      <c r="F37" s="83"/>
      <c r="G37" s="83">
        <f>VLOOKUP($A37,'CEM Data Lookup'!$A:$P,8,FALSE)</f>
        <v>0.66</v>
      </c>
      <c r="H37" s="11"/>
      <c r="I37" s="84">
        <f>VLOOKUP($A37,'CEM Data Lookup'!$A:$P,13,FALSE)</f>
        <v>2.8574999999999999</v>
      </c>
      <c r="J37" s="84"/>
      <c r="K37" s="84">
        <f>VLOOKUP($A37,'CEM Data Lookup'!$A:$P,15,FALSE)</f>
        <v>7.1099999999999997E-2</v>
      </c>
      <c r="L37" s="345"/>
      <c r="M37" s="345"/>
      <c r="N37" s="345"/>
      <c r="O37" s="100"/>
      <c r="P37" s="100"/>
    </row>
    <row r="38" spans="1:16" ht="15.75" customHeight="1">
      <c r="A38" s="11" t="str">
        <f>'7.2 CEM DCF'!A37</f>
        <v>ROL</v>
      </c>
      <c r="C38" s="11" t="str">
        <f>'7.2 CEM DCF'!B37</f>
        <v xml:space="preserve">Rollins, Inc.       </v>
      </c>
      <c r="D38" s="11"/>
      <c r="E38" s="103">
        <f>VLOOKUP($A38,'CEM Data Lookup'!$A:$P,6,FALSE)</f>
        <v>0.85</v>
      </c>
      <c r="F38" s="83"/>
      <c r="G38" s="83">
        <f>VLOOKUP($A38,'CEM Data Lookup'!$A:$P,8,FALSE)</f>
        <v>0.72</v>
      </c>
      <c r="H38" s="11"/>
      <c r="I38" s="84">
        <f>VLOOKUP($A38,'CEM Data Lookup'!$A:$P,13,FALSE)</f>
        <v>2.9830999999999999</v>
      </c>
      <c r="J38" s="84"/>
      <c r="K38" s="84">
        <f>VLOOKUP($A38,'CEM Data Lookup'!$A:$P,15,FALSE)</f>
        <v>7.4300000000000005E-2</v>
      </c>
      <c r="L38" s="345"/>
      <c r="M38" s="345"/>
      <c r="N38" s="345"/>
      <c r="O38" s="100"/>
      <c r="P38" s="100"/>
    </row>
    <row r="39" spans="1:16" ht="15.75" customHeight="1">
      <c r="A39" s="11" t="str">
        <f>'7.2 CEM DCF'!A38</f>
        <v>SHW</v>
      </c>
      <c r="C39" s="11" t="str">
        <f>'7.2 CEM DCF'!B38</f>
        <v xml:space="preserve">Sherwin-Williams    </v>
      </c>
      <c r="D39" s="11"/>
      <c r="E39" s="103">
        <f>VLOOKUP($A39,'CEM Data Lookup'!$A:$P,6,FALSE)</f>
        <v>0.9</v>
      </c>
      <c r="F39" s="83"/>
      <c r="G39" s="83">
        <f>VLOOKUP($A39,'CEM Data Lookup'!$A:$P,8,FALSE)</f>
        <v>0.84</v>
      </c>
      <c r="H39" s="11"/>
      <c r="I39" s="84">
        <f>VLOOKUP($A39,'CEM Data Lookup'!$A:$P,13,FALSE)</f>
        <v>2.5642999999999998</v>
      </c>
      <c r="J39" s="84"/>
      <c r="K39" s="84">
        <f>VLOOKUP($A39,'CEM Data Lookup'!$A:$P,15,FALSE)</f>
        <v>6.3799999999999996E-2</v>
      </c>
      <c r="L39" s="345"/>
      <c r="M39" s="345"/>
      <c r="N39" s="345"/>
      <c r="O39" s="100"/>
      <c r="P39" s="100"/>
    </row>
    <row r="40" spans="1:16" ht="15.75" customHeight="1">
      <c r="A40" s="11" t="str">
        <f>'7.2 CEM DCF'!A39</f>
        <v>SIGI</v>
      </c>
      <c r="C40" s="11" t="str">
        <f>'7.2 CEM DCF'!B39</f>
        <v>Selective Ins. Group</v>
      </c>
      <c r="D40" s="11"/>
      <c r="E40" s="103">
        <f>VLOOKUP($A40,'CEM Data Lookup'!$A:$P,6,FALSE)</f>
        <v>0.9</v>
      </c>
      <c r="F40" s="83"/>
      <c r="G40" s="83">
        <f>VLOOKUP($A40,'CEM Data Lookup'!$A:$P,8,FALSE)</f>
        <v>0.81</v>
      </c>
      <c r="H40" s="11"/>
      <c r="I40" s="84">
        <f>VLOOKUP($A40,'CEM Data Lookup'!$A:$P,13,FALSE)</f>
        <v>2.9464000000000001</v>
      </c>
      <c r="J40" s="84"/>
      <c r="K40" s="84">
        <f>VLOOKUP($A40,'CEM Data Lookup'!$A:$P,15,FALSE)</f>
        <v>7.3300000000000004E-2</v>
      </c>
      <c r="L40" s="345"/>
      <c r="M40" s="345"/>
      <c r="N40" s="345"/>
      <c r="O40" s="100"/>
      <c r="P40" s="100"/>
    </row>
    <row r="41" spans="1:16" ht="15.75" customHeight="1">
      <c r="A41" s="11" t="str">
        <f>'7.2 CEM DCF'!A40</f>
        <v>SIRI</v>
      </c>
      <c r="C41" s="11" t="str">
        <f>'7.2 CEM DCF'!B40</f>
        <v xml:space="preserve">Sirius XM Holdings  </v>
      </c>
      <c r="D41" s="11"/>
      <c r="E41" s="103">
        <f>VLOOKUP($A41,'CEM Data Lookup'!$A:$P,6,FALSE)</f>
        <v>0.95</v>
      </c>
      <c r="F41" s="83"/>
      <c r="G41" s="83">
        <f>VLOOKUP($A41,'CEM Data Lookup'!$A:$P,8,FALSE)</f>
        <v>0.86</v>
      </c>
      <c r="H41" s="11"/>
      <c r="I41" s="84">
        <f>VLOOKUP($A41,'CEM Data Lookup'!$A:$P,13,FALSE)</f>
        <v>2.9588999999999999</v>
      </c>
      <c r="J41" s="84"/>
      <c r="K41" s="84">
        <f>VLOOKUP($A41,'CEM Data Lookup'!$A:$P,15,FALSE)</f>
        <v>7.3700000000000002E-2</v>
      </c>
      <c r="L41" s="345"/>
      <c r="M41" s="345"/>
      <c r="N41" s="345"/>
      <c r="O41" s="100"/>
      <c r="P41" s="100"/>
    </row>
    <row r="42" spans="1:16" ht="15.75" customHeight="1">
      <c r="A42" s="11" t="str">
        <f>'7.2 CEM DCF'!A41</f>
        <v>SXT</v>
      </c>
      <c r="C42" s="11" t="str">
        <f>'7.2 CEM DCF'!B41</f>
        <v xml:space="preserve">Sensient Techn.     </v>
      </c>
      <c r="D42" s="11"/>
      <c r="E42" s="103">
        <f>VLOOKUP($A42,'CEM Data Lookup'!$A:$P,6,FALSE)</f>
        <v>0.9</v>
      </c>
      <c r="F42" s="83"/>
      <c r="G42" s="83">
        <f>VLOOKUP($A42,'CEM Data Lookup'!$A:$P,8,FALSE)</f>
        <v>0.82</v>
      </c>
      <c r="H42" s="11"/>
      <c r="I42" s="84">
        <f>VLOOKUP($A42,'CEM Data Lookup'!$A:$P,13,FALSE)</f>
        <v>2.6393</v>
      </c>
      <c r="J42" s="84"/>
      <c r="K42" s="84">
        <f>VLOOKUP($A42,'CEM Data Lookup'!$A:$P,15,FALSE)</f>
        <v>6.5699999999999995E-2</v>
      </c>
      <c r="L42" s="345"/>
      <c r="M42" s="345"/>
      <c r="N42" s="345"/>
      <c r="O42" s="100"/>
      <c r="P42" s="100"/>
    </row>
    <row r="43" spans="1:16" ht="15.75" customHeight="1">
      <c r="A43" s="11" t="str">
        <f>'7.2 CEM DCF'!A42</f>
        <v>TMO</v>
      </c>
      <c r="C43" s="11" t="str">
        <f>'7.2 CEM DCF'!B42</f>
        <v xml:space="preserve">Thermo Fisher Sci.  </v>
      </c>
      <c r="D43" s="11"/>
      <c r="E43" s="103">
        <f>VLOOKUP($A43,'CEM Data Lookup'!$A:$P,6,FALSE)</f>
        <v>0.85</v>
      </c>
      <c r="F43" s="83"/>
      <c r="G43" s="83">
        <f>VLOOKUP($A43,'CEM Data Lookup'!$A:$P,8,FALSE)</f>
        <v>0.7</v>
      </c>
      <c r="H43" s="11"/>
      <c r="I43" s="84">
        <f>VLOOKUP($A43,'CEM Data Lookup'!$A:$P,13,FALSE)</f>
        <v>2.6278999999999999</v>
      </c>
      <c r="J43" s="84"/>
      <c r="K43" s="84">
        <f>VLOOKUP($A43,'CEM Data Lookup'!$A:$P,15,FALSE)</f>
        <v>6.54E-2</v>
      </c>
      <c r="L43" s="345"/>
      <c r="M43" s="345"/>
      <c r="N43" s="345"/>
      <c r="O43" s="100"/>
      <c r="P43" s="100"/>
    </row>
    <row r="44" spans="1:16" ht="15.75" customHeight="1">
      <c r="A44" s="11" t="str">
        <f>'7.2 CEM DCF'!A43</f>
        <v>TXN</v>
      </c>
      <c r="C44" s="11" t="str">
        <f>'7.2 CEM DCF'!B43</f>
        <v xml:space="preserve">Texas Instruments   </v>
      </c>
      <c r="D44" s="11"/>
      <c r="E44" s="103">
        <f>VLOOKUP($A44,'CEM Data Lookup'!$A:$P,6,FALSE)</f>
        <v>0.85</v>
      </c>
      <c r="F44" s="83"/>
      <c r="G44" s="83">
        <f>VLOOKUP($A44,'CEM Data Lookup'!$A:$P,8,FALSE)</f>
        <v>0.75</v>
      </c>
      <c r="H44" s="11"/>
      <c r="I44" s="84">
        <f>VLOOKUP($A44,'CEM Data Lookup'!$A:$P,13,FALSE)</f>
        <v>2.6589999999999998</v>
      </c>
      <c r="J44" s="84"/>
      <c r="K44" s="84">
        <f>VLOOKUP($A44,'CEM Data Lookup'!$A:$P,15,FALSE)</f>
        <v>6.6199999999999995E-2</v>
      </c>
      <c r="L44" s="345"/>
      <c r="M44" s="345"/>
      <c r="N44" s="345"/>
      <c r="O44" s="100"/>
      <c r="P44" s="100"/>
    </row>
    <row r="45" spans="1:16" ht="15.75" customHeight="1">
      <c r="A45" s="11" t="str">
        <f>'7.2 CEM DCF'!A44</f>
        <v>VRSN</v>
      </c>
      <c r="C45" s="11" t="str">
        <f>'7.2 CEM DCF'!B44</f>
        <v xml:space="preserve">VeriSign Inc.       </v>
      </c>
      <c r="D45" s="11"/>
      <c r="E45" s="103">
        <f>VLOOKUP($A45,'CEM Data Lookup'!$A:$P,6,FALSE)</f>
        <v>0.9</v>
      </c>
      <c r="F45" s="83"/>
      <c r="G45" s="83">
        <f>VLOOKUP($A45,'CEM Data Lookup'!$A:$P,8,FALSE)</f>
        <v>0.78</v>
      </c>
      <c r="H45" s="11"/>
      <c r="I45" s="84">
        <f>VLOOKUP($A45,'CEM Data Lookup'!$A:$P,13,FALSE)</f>
        <v>2.5863</v>
      </c>
      <c r="J45" s="84"/>
      <c r="K45" s="84">
        <f>VLOOKUP($A45,'CEM Data Lookup'!$A:$P,15,FALSE)</f>
        <v>6.4399999999999999E-2</v>
      </c>
      <c r="L45" s="345"/>
      <c r="M45" s="345"/>
      <c r="N45" s="345"/>
      <c r="O45" s="100"/>
      <c r="P45" s="100"/>
    </row>
    <row r="46" spans="1:16" ht="15.75" customHeight="1">
      <c r="A46" s="11" t="str">
        <f>'7.2 CEM DCF'!A45</f>
        <v>WAT</v>
      </c>
      <c r="C46" s="11" t="str">
        <f>'7.2 CEM DCF'!B45</f>
        <v xml:space="preserve">Waters Corp.        </v>
      </c>
      <c r="D46" s="11"/>
      <c r="E46" s="103">
        <f>VLOOKUP($A46,'CEM Data Lookup'!$A:$P,6,FALSE)</f>
        <v>0.95</v>
      </c>
      <c r="F46" s="83"/>
      <c r="G46" s="83">
        <f>VLOOKUP($A46,'CEM Data Lookup'!$A:$P,8,FALSE)</f>
        <v>0.87</v>
      </c>
      <c r="H46" s="11"/>
      <c r="I46" s="84">
        <f>VLOOKUP($A46,'CEM Data Lookup'!$A:$P,13,FALSE)</f>
        <v>2.8031999999999999</v>
      </c>
      <c r="J46" s="84"/>
      <c r="K46" s="84">
        <f>VLOOKUP($A46,'CEM Data Lookup'!$A:$P,15,FALSE)</f>
        <v>6.9800000000000001E-2</v>
      </c>
      <c r="L46" s="345"/>
      <c r="M46" s="345"/>
      <c r="N46" s="345"/>
      <c r="O46" s="100"/>
      <c r="P46" s="100"/>
    </row>
    <row r="47" spans="1:16" ht="15.75" customHeight="1">
      <c r="A47" s="11" t="str">
        <f>'7.2 CEM DCF'!A46</f>
        <v>WSO</v>
      </c>
      <c r="C47" s="11" t="str">
        <f>'7.2 CEM DCF'!B46</f>
        <v xml:space="preserve">Watsco, Inc.        </v>
      </c>
      <c r="D47" s="11"/>
      <c r="E47" s="103">
        <f>VLOOKUP($A47,'CEM Data Lookup'!$A:$P,6,FALSE)</f>
        <v>0.85</v>
      </c>
      <c r="F47" s="83"/>
      <c r="G47" s="83">
        <f>VLOOKUP($A47,'CEM Data Lookup'!$A:$P,8,FALSE)</f>
        <v>0.75</v>
      </c>
      <c r="H47" s="11"/>
      <c r="I47" s="84">
        <f>VLOOKUP($A47,'CEM Data Lookup'!$A:$P,13,FALSE)</f>
        <v>2.6936</v>
      </c>
      <c r="J47" s="84"/>
      <c r="K47" s="84">
        <f>VLOOKUP($A47,'CEM Data Lookup'!$A:$P,15,FALSE)</f>
        <v>6.7100000000000007E-2</v>
      </c>
      <c r="L47" s="345"/>
      <c r="M47" s="345"/>
      <c r="N47" s="345"/>
      <c r="O47" s="100"/>
      <c r="P47" s="100"/>
    </row>
    <row r="48" spans="1:16" ht="15.75" customHeight="1">
      <c r="A48" s="11" t="str">
        <f>'7.2 CEM DCF'!A47</f>
        <v>WU</v>
      </c>
      <c r="C48" s="11" t="str">
        <f>'7.2 CEM DCF'!B47</f>
        <v xml:space="preserve">Western Union       </v>
      </c>
      <c r="D48" s="11"/>
      <c r="E48" s="738">
        <f>VLOOKUP($A48,'CEM Data Lookup'!$A:$P,6,FALSE)</f>
        <v>0.8</v>
      </c>
      <c r="F48" s="83"/>
      <c r="G48" s="738">
        <f>VLOOKUP($A48,'CEM Data Lookup'!$A:$P,8,FALSE)</f>
        <v>0.65</v>
      </c>
      <c r="H48" s="11"/>
      <c r="I48" s="739">
        <f>VLOOKUP($A48,'CEM Data Lookup'!$A:$P,13,FALSE)</f>
        <v>2.7094</v>
      </c>
      <c r="J48" s="84"/>
      <c r="K48" s="739">
        <f>VLOOKUP($A48,'CEM Data Lookup'!$A:$P,15,FALSE)</f>
        <v>6.7400000000000002E-2</v>
      </c>
      <c r="L48" s="345"/>
      <c r="M48" s="345"/>
      <c r="N48" s="345"/>
      <c r="O48" s="100"/>
      <c r="P48" s="100"/>
    </row>
    <row r="49" spans="1:16" ht="15.75" customHeight="1">
      <c r="A49" s="11"/>
      <c r="C49" s="11"/>
      <c r="E49" s="449"/>
      <c r="F49" s="85"/>
      <c r="G49" s="449"/>
      <c r="H49" s="10"/>
      <c r="I49" s="450"/>
      <c r="J49" s="98"/>
      <c r="K49" s="450"/>
      <c r="L49" s="100"/>
      <c r="M49" s="100"/>
      <c r="N49" s="100"/>
      <c r="O49" s="100"/>
      <c r="P49" s="100"/>
    </row>
    <row r="50" spans="1:16" ht="15.75" customHeight="1" thickBot="1">
      <c r="A50" s="3">
        <f>COUNTA(A9:A48)</f>
        <v>39</v>
      </c>
      <c r="C50" s="3" t="s">
        <v>80</v>
      </c>
      <c r="E50" s="97">
        <f>ROUND(AVERAGE(E9:E48),2)</f>
        <v>0.87</v>
      </c>
      <c r="F50" s="85"/>
      <c r="G50" s="97">
        <f>ROUND(AVERAGE(G9:G48),2)</f>
        <v>0.76</v>
      </c>
      <c r="H50" s="10"/>
      <c r="I50" s="99">
        <f>ROUND(AVERAGE(I9:I48),4)</f>
        <v>2.8012999999999999</v>
      </c>
      <c r="J50" s="98"/>
      <c r="K50" s="99">
        <f>ROUND(AVERAGE(K9:K48),4)</f>
        <v>6.9699999999999998E-2</v>
      </c>
      <c r="L50" s="101"/>
      <c r="M50" s="100"/>
      <c r="N50" s="101"/>
      <c r="O50" s="100"/>
      <c r="P50" s="101"/>
    </row>
    <row r="51" spans="1:16" ht="15.75" customHeight="1" thickTop="1">
      <c r="E51" s="85"/>
      <c r="F51" s="85"/>
      <c r="G51" s="85"/>
      <c r="H51" s="10"/>
      <c r="I51" s="100"/>
      <c r="J51" s="100"/>
      <c r="K51" s="100"/>
      <c r="L51" s="100"/>
      <c r="M51" s="100"/>
      <c r="N51" s="100"/>
      <c r="O51" s="100"/>
      <c r="P51" s="100"/>
    </row>
    <row r="52" spans="1:16" ht="31.5" customHeight="1" thickBot="1">
      <c r="C52" s="12" t="str">
        <f>Input!I30</f>
        <v>Proxy Group of Six Natural Gas Companies</v>
      </c>
      <c r="E52" s="97">
        <f>'6.1 Comp Earnings Criteria'!E16</f>
        <v>0.86</v>
      </c>
      <c r="F52" s="473"/>
      <c r="G52" s="97">
        <f>'6.1 Comp Earnings Criteria'!G16</f>
        <v>0.74</v>
      </c>
      <c r="H52" s="473"/>
      <c r="I52" s="99">
        <f>'6.1 Comp Earnings Criteria'!I16</f>
        <v>2.8083</v>
      </c>
      <c r="J52" s="473"/>
      <c r="K52" s="99">
        <f>'6.1 Comp Earnings Criteria'!K16</f>
        <v>6.9900000000000004E-2</v>
      </c>
      <c r="L52" s="101"/>
      <c r="M52" s="101"/>
      <c r="N52" s="101"/>
      <c r="O52" s="101"/>
      <c r="P52" s="101"/>
    </row>
    <row r="53" spans="1:16" ht="15.6" thickTop="1">
      <c r="C53" s="12"/>
      <c r="E53" s="448"/>
      <c r="F53" s="102"/>
      <c r="G53" s="448"/>
      <c r="H53" s="5"/>
      <c r="I53" s="101"/>
      <c r="J53" s="101"/>
      <c r="K53" s="101"/>
      <c r="L53" s="101"/>
      <c r="M53" s="101"/>
      <c r="N53" s="101"/>
      <c r="O53" s="101"/>
      <c r="P53" s="101"/>
    </row>
    <row r="54" spans="1:16">
      <c r="C54" s="3" t="s">
        <v>146</v>
      </c>
      <c r="E54" s="3" t="s">
        <v>4573</v>
      </c>
    </row>
  </sheetData>
  <mergeCells count="3">
    <mergeCell ref="C1:K1"/>
    <mergeCell ref="C2:K2"/>
    <mergeCell ref="C3:K3"/>
  </mergeCells>
  <printOptions horizontalCentered="1"/>
  <pageMargins left="0.7" right="0.7" top="0.75" bottom="0.75" header="0.3" footer="0.3"/>
  <pageSetup scale="70" fitToHeight="2" orientation="portrait" horizontalDpi="4294967294"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F27"/>
  <sheetViews>
    <sheetView view="pageBreakPreview" zoomScale="85" zoomScaleNormal="100" zoomScaleSheetLayoutView="85" workbookViewId="0">
      <selection activeCell="B13" sqref="B13"/>
    </sheetView>
  </sheetViews>
  <sheetFormatPr defaultColWidth="9" defaultRowHeight="15"/>
  <cols>
    <col min="1" max="1" width="7.5546875" style="216" bestFit="1" customWidth="1"/>
    <col min="2" max="2" width="45.33203125" style="3" customWidth="1"/>
    <col min="3" max="4" width="9.5546875" style="3" customWidth="1"/>
    <col min="5" max="5" width="25.44140625" style="3" customWidth="1"/>
    <col min="6" max="6" width="4.6640625" style="3" customWidth="1"/>
    <col min="7" max="16384" width="9" style="3"/>
  </cols>
  <sheetData>
    <row r="1" spans="1:6" ht="17.399999999999999">
      <c r="A1" s="1" t="str">
        <f>Input!G28</f>
        <v>Peoples Gas System</v>
      </c>
      <c r="B1" s="822"/>
      <c r="C1" s="822"/>
      <c r="D1" s="822"/>
      <c r="E1" s="822"/>
      <c r="F1" s="822"/>
    </row>
    <row r="2" spans="1:6" ht="17.399999999999999">
      <c r="A2" s="2" t="s">
        <v>1425</v>
      </c>
      <c r="B2" s="823"/>
      <c r="C2" s="823"/>
      <c r="D2" s="823"/>
      <c r="E2" s="823"/>
      <c r="F2" s="823"/>
    </row>
    <row r="3" spans="1:6" ht="17.399999999999999">
      <c r="A3" s="2" t="s">
        <v>180</v>
      </c>
      <c r="B3" s="823"/>
      <c r="C3" s="823"/>
      <c r="D3" s="823"/>
      <c r="E3" s="823"/>
      <c r="F3" s="823"/>
    </row>
    <row r="4" spans="1:6" ht="17.399999999999999">
      <c r="A4" s="2" t="s">
        <v>2216</v>
      </c>
      <c r="B4" s="823"/>
      <c r="C4" s="823"/>
      <c r="D4" s="823"/>
      <c r="E4" s="823"/>
      <c r="F4" s="823"/>
    </row>
    <row r="5" spans="1:6" ht="17.399999999999999">
      <c r="A5" s="1" t="str">
        <f>Input!I29</f>
        <v>Utility Proxy Group</v>
      </c>
      <c r="B5" s="822"/>
      <c r="C5" s="822"/>
      <c r="D5" s="822"/>
      <c r="E5" s="822"/>
      <c r="F5" s="822"/>
    </row>
    <row r="6" spans="1:6" ht="17.399999999999999">
      <c r="B6" s="807"/>
      <c r="C6" s="807"/>
      <c r="D6" s="807"/>
      <c r="E6" s="807"/>
      <c r="F6" s="807"/>
    </row>
    <row r="7" spans="1:6" ht="79.5" customHeight="1">
      <c r="A7" s="3"/>
      <c r="B7" s="824" t="s">
        <v>134</v>
      </c>
      <c r="C7" s="807"/>
      <c r="D7" s="807"/>
      <c r="E7" s="1041" t="str">
        <f>Input!I31</f>
        <v>Proxy Group of Thirty Nine Non-Price Regulated Companies</v>
      </c>
      <c r="F7" s="1041"/>
    </row>
    <row r="8" spans="1:6" ht="17.399999999999999">
      <c r="A8" s="3"/>
      <c r="B8" s="807"/>
      <c r="C8" s="807"/>
      <c r="D8" s="807"/>
      <c r="E8" s="807"/>
      <c r="F8" s="807"/>
    </row>
    <row r="9" spans="1:6" ht="17.399999999999999">
      <c r="A9" s="3"/>
      <c r="B9" s="825" t="s">
        <v>135</v>
      </c>
      <c r="C9" s="807"/>
      <c r="D9" s="807"/>
      <c r="E9" s="826">
        <f>'7.2 CEM DCF'!V53</f>
        <v>11.57</v>
      </c>
      <c r="F9" s="827" t="s">
        <v>18</v>
      </c>
    </row>
    <row r="10" spans="1:6" ht="17.399999999999999">
      <c r="A10" s="3"/>
      <c r="B10" s="807"/>
      <c r="C10" s="807"/>
      <c r="D10" s="807"/>
      <c r="E10" s="808"/>
      <c r="F10" s="806"/>
    </row>
    <row r="11" spans="1:6" ht="17.399999999999999">
      <c r="A11" s="3"/>
      <c r="B11" s="825" t="s">
        <v>136</v>
      </c>
      <c r="C11" s="807"/>
      <c r="D11" s="807"/>
      <c r="E11" s="828">
        <f>'7.3 CEM RPM Summary'!H20</f>
        <v>13.304444444444444</v>
      </c>
      <c r="F11" s="806"/>
    </row>
    <row r="12" spans="1:6" ht="17.399999999999999">
      <c r="A12" s="3"/>
      <c r="B12" s="807"/>
      <c r="C12" s="807"/>
      <c r="D12" s="807"/>
      <c r="E12" s="808"/>
      <c r="F12" s="806"/>
    </row>
    <row r="13" spans="1:6" ht="17.399999999999999">
      <c r="A13" s="3"/>
      <c r="B13" s="825" t="s">
        <v>137</v>
      </c>
      <c r="C13" s="807"/>
      <c r="D13" s="807"/>
      <c r="E13" s="829">
        <f>'7.6 CEM CAPM Backup'!V53</f>
        <v>12.32</v>
      </c>
      <c r="F13" s="806"/>
    </row>
    <row r="14" spans="1:6" ht="17.399999999999999">
      <c r="B14" s="807"/>
      <c r="C14" s="807"/>
      <c r="D14" s="807"/>
      <c r="E14" s="808"/>
      <c r="F14" s="806"/>
    </row>
    <row r="15" spans="1:6" ht="18" thickBot="1">
      <c r="A15" s="3"/>
      <c r="B15" s="807"/>
      <c r="C15" s="807"/>
      <c r="D15" s="808" t="s">
        <v>1377</v>
      </c>
      <c r="E15" s="830">
        <f>ROUND(AVERAGE(E9:E13),2)</f>
        <v>12.4</v>
      </c>
      <c r="F15" s="806" t="s">
        <v>18</v>
      </c>
    </row>
    <row r="16" spans="1:6" ht="18" thickTop="1">
      <c r="A16" s="3"/>
      <c r="B16" s="807"/>
      <c r="C16" s="807"/>
      <c r="D16" s="808"/>
      <c r="E16" s="826"/>
      <c r="F16" s="806"/>
    </row>
    <row r="17" spans="1:6" ht="18" thickBot="1">
      <c r="A17" s="3"/>
      <c r="B17" s="807"/>
      <c r="C17" s="807"/>
      <c r="D17" s="808" t="s">
        <v>183</v>
      </c>
      <c r="E17" s="830">
        <f>ROUND(MEDIAN(E9:E13),2)</f>
        <v>12.32</v>
      </c>
      <c r="F17" s="806" t="s">
        <v>18</v>
      </c>
    </row>
    <row r="18" spans="1:6" ht="18" thickTop="1">
      <c r="A18" s="3"/>
      <c r="B18" s="807"/>
      <c r="C18" s="807"/>
      <c r="D18" s="808"/>
      <c r="E18" s="826"/>
      <c r="F18" s="806"/>
    </row>
    <row r="19" spans="1:6" ht="18" thickBot="1">
      <c r="A19" s="3"/>
      <c r="B19" s="807"/>
      <c r="C19" s="807"/>
      <c r="D19" s="808" t="s">
        <v>1376</v>
      </c>
      <c r="E19" s="830">
        <f>ROUND(AVERAGE(E15:E17),2)</f>
        <v>12.36</v>
      </c>
      <c r="F19" s="806" t="s">
        <v>18</v>
      </c>
    </row>
    <row r="20" spans="1:6" ht="18" thickTop="1">
      <c r="A20" s="3"/>
      <c r="B20" s="807"/>
      <c r="C20" s="807"/>
      <c r="D20" s="807"/>
      <c r="E20" s="807"/>
      <c r="F20" s="807"/>
    </row>
    <row r="21" spans="1:6" ht="17.399999999999999">
      <c r="B21" s="807"/>
      <c r="C21" s="807"/>
      <c r="D21" s="807"/>
      <c r="E21" s="807"/>
      <c r="F21" s="807"/>
    </row>
    <row r="22" spans="1:6" ht="17.399999999999999">
      <c r="A22" s="10" t="s">
        <v>94</v>
      </c>
      <c r="B22" s="807"/>
      <c r="C22" s="807"/>
      <c r="D22" s="807"/>
      <c r="E22" s="807"/>
      <c r="F22" s="807"/>
    </row>
    <row r="23" spans="1:6" ht="17.399999999999999">
      <c r="A23" s="230" t="s">
        <v>95</v>
      </c>
      <c r="B23" s="807" t="s">
        <v>4448</v>
      </c>
      <c r="C23" s="807"/>
      <c r="D23" s="807"/>
      <c r="E23" s="807"/>
      <c r="F23" s="807"/>
    </row>
    <row r="24" spans="1:6" ht="17.399999999999999">
      <c r="A24" s="230" t="s">
        <v>96</v>
      </c>
      <c r="B24" s="807" t="s">
        <v>4449</v>
      </c>
      <c r="C24" s="807"/>
      <c r="D24" s="807"/>
      <c r="E24" s="807"/>
      <c r="F24" s="807"/>
    </row>
    <row r="25" spans="1:6" ht="17.399999999999999">
      <c r="A25" s="230" t="s">
        <v>97</v>
      </c>
      <c r="B25" s="807" t="s">
        <v>4450</v>
      </c>
      <c r="C25" s="807"/>
      <c r="D25" s="807"/>
      <c r="E25" s="807"/>
      <c r="F25" s="807"/>
    </row>
    <row r="26" spans="1:6" ht="17.399999999999999">
      <c r="B26" s="807"/>
      <c r="C26" s="807"/>
      <c r="D26" s="807"/>
      <c r="E26" s="807"/>
      <c r="F26" s="807"/>
    </row>
    <row r="27" spans="1:6" ht="17.399999999999999">
      <c r="B27" s="807"/>
      <c r="C27" s="807"/>
      <c r="D27" s="807"/>
      <c r="E27" s="807"/>
      <c r="F27" s="807"/>
    </row>
  </sheetData>
  <mergeCells count="1">
    <mergeCell ref="E7:F7"/>
  </mergeCells>
  <printOptions horizontalCentered="1"/>
  <pageMargins left="0.7" right="0.7" top="0.75" bottom="0.75" header="0.3" footer="0.3"/>
  <pageSetup scale="70" orientation="portrait" horizontalDpi="4294967294"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60"/>
  <sheetViews>
    <sheetView view="pageBreakPreview" topLeftCell="A7" zoomScale="55" zoomScaleNormal="44" zoomScaleSheetLayoutView="55" workbookViewId="0">
      <selection activeCell="P21" sqref="P21"/>
    </sheetView>
  </sheetViews>
  <sheetFormatPr defaultColWidth="9" defaultRowHeight="15"/>
  <cols>
    <col min="1" max="1" width="9" style="3"/>
    <col min="2" max="2" width="26" style="3" customWidth="1"/>
    <col min="3" max="3" width="2.6640625" style="3" customWidth="1"/>
    <col min="4" max="4" width="11.5546875" style="3" customWidth="1"/>
    <col min="5" max="5" width="4.33203125" style="3" customWidth="1"/>
    <col min="6" max="6" width="2.6640625" style="3" customWidth="1"/>
    <col min="7" max="7" width="13.33203125" style="3" customWidth="1"/>
    <col min="8" max="8" width="4.33203125" style="3" customWidth="1"/>
    <col min="9" max="9" width="2.6640625" style="3" customWidth="1"/>
    <col min="10" max="10" width="11.5546875" style="3" customWidth="1"/>
    <col min="11" max="11" width="4.33203125" style="3" customWidth="1"/>
    <col min="12" max="12" width="2.6640625" style="3" customWidth="1"/>
    <col min="13" max="13" width="11.5546875" style="3" customWidth="1"/>
    <col min="14" max="14" width="4.33203125" style="3" customWidth="1"/>
    <col min="15" max="15" width="2.6640625" style="3" customWidth="1"/>
    <col min="16" max="16" width="12.5546875" style="3" customWidth="1"/>
    <col min="17" max="17" width="4.33203125" style="3" customWidth="1"/>
    <col min="18" max="18" width="2.6640625" style="3" customWidth="1"/>
    <col min="19" max="19" width="10.5546875" style="3" customWidth="1"/>
    <col min="20" max="20" width="4.33203125" style="3" customWidth="1"/>
    <col min="21" max="21" width="2.6640625" style="3" customWidth="1"/>
    <col min="22" max="22" width="13.33203125" style="3" customWidth="1"/>
    <col min="23" max="23" width="4.33203125" style="3" customWidth="1"/>
    <col min="24" max="25" width="9" style="3"/>
    <col min="26" max="26" width="10.88671875" style="3" customWidth="1"/>
    <col min="27" max="27" width="9" style="3"/>
    <col min="28" max="28" width="9.88671875" style="3" customWidth="1"/>
    <col min="29" max="29" width="10.88671875" style="3" bestFit="1" customWidth="1"/>
    <col min="30" max="37" width="9" style="3"/>
    <col min="38" max="38" width="10" style="3" customWidth="1"/>
    <col min="39" max="16384" width="9" style="3"/>
  </cols>
  <sheetData>
    <row r="1" spans="1:78">
      <c r="B1" s="1" t="str">
        <f>Input!G28</f>
        <v>Peoples Gas System</v>
      </c>
      <c r="C1" s="2"/>
      <c r="D1" s="2"/>
      <c r="E1" s="2"/>
      <c r="F1" s="2"/>
      <c r="G1" s="2"/>
      <c r="H1" s="2"/>
      <c r="I1" s="2"/>
      <c r="J1" s="2"/>
      <c r="K1" s="2"/>
      <c r="L1" s="2"/>
      <c r="M1" s="2"/>
      <c r="N1" s="2"/>
      <c r="O1" s="2"/>
      <c r="P1" s="2"/>
      <c r="Q1" s="2"/>
      <c r="R1" s="2"/>
      <c r="S1" s="2"/>
      <c r="T1" s="2"/>
      <c r="U1" s="2"/>
      <c r="V1" s="2"/>
      <c r="W1" s="2"/>
    </row>
    <row r="2" spans="1:78">
      <c r="B2" s="2" t="s">
        <v>2217</v>
      </c>
      <c r="C2" s="2"/>
      <c r="D2" s="2"/>
      <c r="E2" s="2"/>
      <c r="F2" s="2"/>
      <c r="G2" s="2"/>
      <c r="H2" s="2"/>
      <c r="I2" s="2"/>
      <c r="J2" s="2"/>
      <c r="K2" s="2"/>
      <c r="L2" s="2"/>
      <c r="M2" s="2"/>
      <c r="N2" s="2"/>
      <c r="O2" s="2"/>
      <c r="P2" s="2"/>
      <c r="Q2" s="2"/>
      <c r="R2" s="2"/>
      <c r="S2" s="2"/>
      <c r="T2" s="2"/>
      <c r="U2" s="2"/>
      <c r="V2" s="2"/>
      <c r="W2" s="2"/>
    </row>
    <row r="3" spans="1:78">
      <c r="B3" s="1" t="str">
        <f>Input!I29</f>
        <v>Utility Proxy Group</v>
      </c>
      <c r="C3" s="2"/>
      <c r="D3" s="2"/>
      <c r="E3" s="2"/>
      <c r="F3" s="2"/>
      <c r="G3" s="2"/>
      <c r="H3" s="2"/>
      <c r="I3" s="2"/>
      <c r="J3" s="2"/>
      <c r="K3" s="2"/>
      <c r="L3" s="2"/>
      <c r="M3" s="2"/>
      <c r="N3" s="2"/>
      <c r="O3" s="2"/>
      <c r="P3" s="2"/>
      <c r="Q3" s="2"/>
      <c r="R3" s="2"/>
      <c r="S3" s="2"/>
      <c r="T3" s="2"/>
      <c r="U3" s="2"/>
      <c r="V3" s="2"/>
      <c r="W3" s="2"/>
    </row>
    <row r="4" spans="1:78">
      <c r="S4" s="10"/>
      <c r="V4" s="643"/>
    </row>
    <row r="5" spans="1:78">
      <c r="D5" s="1017" t="s">
        <v>1337</v>
      </c>
      <c r="E5" s="1017"/>
      <c r="F5" s="5"/>
      <c r="G5" s="1017" t="s">
        <v>1336</v>
      </c>
      <c r="H5" s="1017"/>
      <c r="I5" s="5"/>
      <c r="J5" s="1017" t="s">
        <v>1335</v>
      </c>
      <c r="K5" s="1017"/>
      <c r="L5" s="5"/>
      <c r="M5" s="1017" t="s">
        <v>1341</v>
      </c>
      <c r="N5" s="1017"/>
      <c r="O5" s="5"/>
      <c r="P5" s="1017" t="s">
        <v>1342</v>
      </c>
      <c r="Q5" s="1017"/>
      <c r="R5" s="5"/>
      <c r="S5" s="1017" t="s">
        <v>1345</v>
      </c>
      <c r="T5" s="1017"/>
      <c r="U5" s="5"/>
      <c r="V5" s="1017" t="s">
        <v>1346</v>
      </c>
      <c r="W5" s="1017"/>
    </row>
    <row r="7" spans="1:78" ht="98.25" customHeight="1">
      <c r="B7" s="644" t="str">
        <f>Input!I31</f>
        <v>Proxy Group of Thirty Nine Non-Price Regulated Companies</v>
      </c>
      <c r="D7" s="1015" t="s">
        <v>148</v>
      </c>
      <c r="E7" s="1015"/>
      <c r="G7" s="1015" t="s">
        <v>187</v>
      </c>
      <c r="H7" s="1015"/>
      <c r="J7" s="1015" t="s">
        <v>161</v>
      </c>
      <c r="K7" s="1015"/>
      <c r="M7" s="1015" t="s">
        <v>162</v>
      </c>
      <c r="N7" s="1015"/>
      <c r="P7" s="1015" t="s">
        <v>188</v>
      </c>
      <c r="Q7" s="1015"/>
      <c r="S7" s="1015" t="s">
        <v>149</v>
      </c>
      <c r="T7" s="1015"/>
      <c r="V7" s="1015" t="s">
        <v>2212</v>
      </c>
      <c r="W7" s="1015"/>
    </row>
    <row r="8" spans="1:78" ht="15.75" customHeight="1">
      <c r="A8" s="5"/>
      <c r="B8" s="5"/>
      <c r="C8" s="5"/>
      <c r="D8" s="5"/>
      <c r="E8" s="5"/>
      <c r="F8" s="5"/>
      <c r="G8" s="5"/>
      <c r="H8" s="5"/>
      <c r="I8" s="5"/>
      <c r="J8" s="5"/>
      <c r="K8" s="5"/>
      <c r="L8" s="5"/>
      <c r="M8" s="5"/>
      <c r="N8" s="5"/>
      <c r="O8" s="5"/>
      <c r="P8" s="5"/>
      <c r="Q8" s="5"/>
      <c r="R8" s="5"/>
      <c r="S8" s="5"/>
      <c r="T8" s="5"/>
      <c r="U8" s="5"/>
      <c r="V8" s="5"/>
      <c r="W8" s="5"/>
      <c r="X8" s="5"/>
      <c r="Y8" s="639"/>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row>
    <row r="9" spans="1:78" ht="15.75" customHeight="1">
      <c r="A9" s="640" t="str">
        <f>Input!C2</f>
        <v>A</v>
      </c>
      <c r="B9" s="640" t="str">
        <f>VLOOKUP($A9,'CEM Data Lookup'!$A$4:$P$60,2,FALSE)</f>
        <v>Agilent Technologies</v>
      </c>
      <c r="C9" s="5"/>
      <c r="D9" s="247">
        <f>HLOOKUP(A9&amp;" US Equity",'CEM PricesDivs'!$B$3:$WS$69,67,FALSE)</f>
        <v>0.63</v>
      </c>
      <c r="E9" s="5" t="s">
        <v>18</v>
      </c>
      <c r="F9" s="5"/>
      <c r="G9" s="445">
        <f>IFERROR('CEM Data Lookup'!E4*100,"NA")</f>
        <v>12</v>
      </c>
      <c r="H9" s="5" t="s">
        <v>18</v>
      </c>
      <c r="I9" s="5"/>
      <c r="J9" s="446">
        <f>IFERROR('CEM Data Lookup'!C4*100,"NA")</f>
        <v>10</v>
      </c>
      <c r="K9" s="5" t="s">
        <v>18</v>
      </c>
      <c r="L9" s="5"/>
      <c r="M9" s="497">
        <f>IFERROR('CEM Data Lookup'!D4*100,"NA")</f>
        <v>11.97</v>
      </c>
      <c r="N9" s="5" t="s">
        <v>18</v>
      </c>
      <c r="O9" s="5"/>
      <c r="P9" s="445">
        <f>IFERROR(ROUND(AVERAGE(G9,J9,M9),2),"NA")</f>
        <v>11.32</v>
      </c>
      <c r="Q9" s="5" t="s">
        <v>18</v>
      </c>
      <c r="R9" s="5"/>
      <c r="S9" s="641">
        <f>IFERROR(ROUND((D9*(1+(0.5*(P9/100)))),2),"NA")</f>
        <v>0.67</v>
      </c>
      <c r="T9" s="5" t="s">
        <v>18</v>
      </c>
      <c r="U9" s="5"/>
      <c r="V9" s="641">
        <f>IFERROR(IF(OR(VALUE(S9)=0,VALUE(P9)=0),"NA",S9+P9),"NA")</f>
        <v>11.99</v>
      </c>
      <c r="W9" s="5" t="s">
        <v>18</v>
      </c>
      <c r="X9" s="5"/>
      <c r="Y9" s="470"/>
      <c r="Z9" s="474"/>
      <c r="AA9" s="474"/>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row>
    <row r="10" spans="1:78" ht="15.75" customHeight="1">
      <c r="A10" s="640" t="str">
        <f>Input!C3</f>
        <v>ABT</v>
      </c>
      <c r="B10" s="640" t="str">
        <f>VLOOKUP($A10,'CEM Data Lookup'!$A$4:$P$60,2,FALSE)</f>
        <v xml:space="preserve">Abbott Labs.        </v>
      </c>
      <c r="C10" s="5"/>
      <c r="D10" s="247">
        <f>HLOOKUP(A10&amp;" US Equity",'CEM PricesDivs'!$B$3:$WS$69,67,FALSE)</f>
        <v>1.97</v>
      </c>
      <c r="E10" s="5"/>
      <c r="F10" s="5"/>
      <c r="G10" s="445">
        <f>IFERROR('CEM Data Lookup'!E5*100,"NA")</f>
        <v>7.0000000000000009</v>
      </c>
      <c r="H10" s="5"/>
      <c r="I10" s="5"/>
      <c r="J10" s="446">
        <f>IFERROR('CEM Data Lookup'!C5*100,"NA")</f>
        <v>5.0999999999999996</v>
      </c>
      <c r="K10" s="5"/>
      <c r="L10" s="5"/>
      <c r="M10" s="497">
        <f>IFERROR('CEM Data Lookup'!D5*100,"NA")</f>
        <v>8.3000000000000007</v>
      </c>
      <c r="N10" s="5"/>
      <c r="O10" s="5"/>
      <c r="P10" s="445">
        <f t="shared" ref="P10:P46" si="0">IFERROR(ROUND(AVERAGE(G10,J10,M10),2),"NA")</f>
        <v>6.8</v>
      </c>
      <c r="Q10" s="5"/>
      <c r="R10" s="5"/>
      <c r="S10" s="641">
        <f t="shared" ref="S10:S47" si="1">IFERROR(ROUND((D10*(1+(0.5*(P10/100)))),2),"NA")</f>
        <v>2.04</v>
      </c>
      <c r="T10" s="5"/>
      <c r="U10" s="5"/>
      <c r="V10" s="641">
        <f t="shared" ref="V10:V47" si="2">IFERROR(IF(OR(VALUE(S10)=0,VALUE(P10)=0),"NA",S10+P10),"NA")</f>
        <v>8.84</v>
      </c>
      <c r="W10" s="5"/>
      <c r="X10" s="5"/>
      <c r="Y10" s="475"/>
      <c r="Z10" s="474"/>
      <c r="AA10" s="474"/>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row>
    <row r="11" spans="1:78" ht="15.75" customHeight="1">
      <c r="A11" s="640" t="str">
        <f>Input!C4</f>
        <v>ADI</v>
      </c>
      <c r="B11" s="640" t="str">
        <f>VLOOKUP($A11,'CEM Data Lookup'!$A$4:$P$60,2,FALSE)</f>
        <v xml:space="preserve">Analog Devices      </v>
      </c>
      <c r="C11" s="5"/>
      <c r="D11" s="247">
        <f>HLOOKUP(A11&amp;" US Equity",'CEM PricesDivs'!$B$3:$WS$69,67,FALSE)</f>
        <v>1.94</v>
      </c>
      <c r="E11" s="5"/>
      <c r="F11" s="5"/>
      <c r="G11" s="445">
        <f>IFERROR('CEM Data Lookup'!E6*100,"NA")</f>
        <v>11.5</v>
      </c>
      <c r="H11" s="5"/>
      <c r="I11" s="5"/>
      <c r="J11" s="446">
        <f>IFERROR('CEM Data Lookup'!C6*100,"NA")</f>
        <v>12.3</v>
      </c>
      <c r="K11" s="5"/>
      <c r="L11" s="5"/>
      <c r="M11" s="497">
        <f>IFERROR('CEM Data Lookup'!D6*100,"NA")</f>
        <v>14.87</v>
      </c>
      <c r="N11" s="5"/>
      <c r="O11" s="5"/>
      <c r="P11" s="445">
        <f t="shared" si="0"/>
        <v>12.89</v>
      </c>
      <c r="Q11" s="5"/>
      <c r="R11" s="5"/>
      <c r="S11" s="641">
        <f t="shared" si="1"/>
        <v>2.0699999999999998</v>
      </c>
      <c r="T11" s="5"/>
      <c r="U11" s="5"/>
      <c r="V11" s="641">
        <f t="shared" si="2"/>
        <v>14.96</v>
      </c>
      <c r="W11" s="5"/>
      <c r="X11" s="5"/>
      <c r="Y11" s="470"/>
      <c r="Z11" s="474"/>
      <c r="AA11" s="474"/>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row>
    <row r="12" spans="1:78" ht="15.75" customHeight="1">
      <c r="A12" s="640" t="str">
        <f>Input!C5</f>
        <v>AIZ</v>
      </c>
      <c r="B12" s="640" t="str">
        <f>VLOOKUP($A12,'CEM Data Lookup'!$A$4:$P$60,2,FALSE)</f>
        <v xml:space="preserve">Assurant Inc.       </v>
      </c>
      <c r="C12" s="5"/>
      <c r="D12" s="247">
        <f>HLOOKUP(A12&amp;" US Equity",'CEM PricesDivs'!$B$3:$WS$69,67,FALSE)</f>
        <v>2.12</v>
      </c>
      <c r="E12" s="5"/>
      <c r="F12" s="5"/>
      <c r="G12" s="445">
        <f>IFERROR('CEM Data Lookup'!E7*100,"NA")</f>
        <v>15.5</v>
      </c>
      <c r="H12" s="5"/>
      <c r="I12" s="5"/>
      <c r="J12" s="446">
        <f>IFERROR('CEM Data Lookup'!C7*100,"NA")</f>
        <v>12.7</v>
      </c>
      <c r="K12" s="5"/>
      <c r="L12" s="5"/>
      <c r="M12" s="497">
        <f>IFERROR('CEM Data Lookup'!D7*100,"NA")</f>
        <v>17.399999999999999</v>
      </c>
      <c r="N12" s="5"/>
      <c r="O12" s="5"/>
      <c r="P12" s="445">
        <f t="shared" si="0"/>
        <v>15.2</v>
      </c>
      <c r="Q12" s="5"/>
      <c r="R12" s="5"/>
      <c r="S12" s="641">
        <f t="shared" si="1"/>
        <v>2.2799999999999998</v>
      </c>
      <c r="T12" s="5"/>
      <c r="U12" s="5"/>
      <c r="V12" s="641">
        <f t="shared" si="2"/>
        <v>17.48</v>
      </c>
      <c r="W12" s="5"/>
      <c r="X12" s="5"/>
      <c r="Y12" s="470"/>
      <c r="Z12" s="474"/>
      <c r="AA12" s="474"/>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row>
    <row r="13" spans="1:78" ht="15.75" customHeight="1">
      <c r="A13" s="640" t="str">
        <f>Input!C6</f>
        <v>AOS</v>
      </c>
      <c r="B13" s="640" t="str">
        <f>VLOOKUP($A13,'CEM Data Lookup'!$A$4:$P$60,2,FALSE)</f>
        <v xml:space="preserve">Smith (A.O.)        </v>
      </c>
      <c r="C13" s="5"/>
      <c r="D13" s="247">
        <f>HLOOKUP(A13&amp;" US Equity",'CEM PricesDivs'!$B$3:$WS$69,67,FALSE)</f>
        <v>2.14</v>
      </c>
      <c r="E13" s="5"/>
      <c r="F13" s="5"/>
      <c r="G13" s="445">
        <f>IFERROR('CEM Data Lookup'!E8*100,"NA")</f>
        <v>11.5</v>
      </c>
      <c r="H13" s="5"/>
      <c r="I13" s="5"/>
      <c r="J13" s="446">
        <f>IFERROR('CEM Data Lookup'!C8*100,"NA")</f>
        <v>9</v>
      </c>
      <c r="K13" s="5"/>
      <c r="L13" s="5"/>
      <c r="M13" s="497">
        <f>IFERROR('CEM Data Lookup'!D8*100,"NA")</f>
        <v>8</v>
      </c>
      <c r="N13" s="5"/>
      <c r="O13" s="5"/>
      <c r="P13" s="445">
        <f t="shared" si="0"/>
        <v>9.5</v>
      </c>
      <c r="Q13" s="5"/>
      <c r="R13" s="5"/>
      <c r="S13" s="641">
        <f t="shared" si="1"/>
        <v>2.2400000000000002</v>
      </c>
      <c r="T13" s="5"/>
      <c r="U13" s="5"/>
      <c r="V13" s="641">
        <f t="shared" si="2"/>
        <v>11.74</v>
      </c>
      <c r="W13" s="5"/>
      <c r="X13" s="5"/>
      <c r="Y13" s="241"/>
      <c r="Z13" s="474"/>
      <c r="AA13" s="474"/>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row>
    <row r="14" spans="1:78" ht="15.75" customHeight="1">
      <c r="A14" s="640" t="str">
        <f>Input!C7</f>
        <v>APD</v>
      </c>
      <c r="B14" s="640" t="str">
        <f>VLOOKUP($A14,'CEM Data Lookup'!$A$4:$P$60,2,FALSE)</f>
        <v>Air Products &amp; Chem.</v>
      </c>
      <c r="C14" s="5"/>
      <c r="D14" s="247">
        <f>HLOOKUP(A14&amp;" US Equity",'CEM PricesDivs'!$B$3:$WS$69,67,FALSE)</f>
        <v>2.2799999999999998</v>
      </c>
      <c r="E14" s="5"/>
      <c r="F14" s="5"/>
      <c r="G14" s="445">
        <f>IFERROR('CEM Data Lookup'!E9*100,"NA")</f>
        <v>11</v>
      </c>
      <c r="H14" s="5"/>
      <c r="I14" s="5"/>
      <c r="J14" s="446">
        <f>IFERROR('CEM Data Lookup'!C9*100,"NA")</f>
        <v>12.2</v>
      </c>
      <c r="K14" s="5"/>
      <c r="L14" s="5"/>
      <c r="M14" s="497">
        <f>IFERROR('CEM Data Lookup'!D9*100,"NA")</f>
        <v>10.65</v>
      </c>
      <c r="N14" s="5"/>
      <c r="O14" s="5"/>
      <c r="P14" s="445">
        <f t="shared" si="0"/>
        <v>11.28</v>
      </c>
      <c r="Q14" s="5"/>
      <c r="R14" s="5"/>
      <c r="S14" s="641">
        <f t="shared" si="1"/>
        <v>2.41</v>
      </c>
      <c r="T14" s="5"/>
      <c r="U14" s="5"/>
      <c r="V14" s="641">
        <f t="shared" si="2"/>
        <v>13.69</v>
      </c>
      <c r="W14" s="5"/>
      <c r="X14" s="5"/>
      <c r="Y14" s="241"/>
      <c r="Z14" s="474"/>
      <c r="AA14" s="474"/>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row>
    <row r="15" spans="1:78" ht="15.75" customHeight="1">
      <c r="A15" s="640" t="str">
        <f>Input!C8</f>
        <v>BFB</v>
      </c>
      <c r="B15" s="640" t="str">
        <f>VLOOKUP($A15,'CEM Data Lookup'!$A$4:$P$60,2,FALSE)</f>
        <v xml:space="preserve">Brown-Forman 'B'    </v>
      </c>
      <c r="C15" s="5"/>
      <c r="D15" s="247">
        <f>HLOOKUP(A15&amp;" US Equity",'CEM PricesDivs'!$B$3:$WS$69,67,FALSE)</f>
        <v>1.21</v>
      </c>
      <c r="E15" s="5"/>
      <c r="F15" s="5"/>
      <c r="G15" s="445">
        <f>IFERROR('CEM Data Lookup'!E10*100,"NA")</f>
        <v>14.499999999999998</v>
      </c>
      <c r="H15" s="5"/>
      <c r="I15" s="5"/>
      <c r="J15" s="446" t="str">
        <f>IFERROR('CEM Data Lookup'!C10*100,"NA")</f>
        <v>NA</v>
      </c>
      <c r="K15" s="5"/>
      <c r="L15" s="5"/>
      <c r="M15" s="497">
        <f>IFERROR('CEM Data Lookup'!D10*100,"NA")</f>
        <v>8.6199999999999992</v>
      </c>
      <c r="N15" s="5"/>
      <c r="O15" s="5"/>
      <c r="P15" s="445">
        <f t="shared" si="0"/>
        <v>11.56</v>
      </c>
      <c r="Q15" s="5"/>
      <c r="R15" s="5"/>
      <c r="S15" s="641">
        <f t="shared" si="1"/>
        <v>1.28</v>
      </c>
      <c r="T15" s="5"/>
      <c r="U15" s="5"/>
      <c r="V15" s="641">
        <f t="shared" si="2"/>
        <v>12.84</v>
      </c>
      <c r="W15" s="5"/>
      <c r="X15" s="5"/>
      <c r="Y15" s="474"/>
      <c r="Z15" s="474"/>
      <c r="AA15" s="474"/>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row>
    <row r="16" spans="1:78" ht="15.75" customHeight="1">
      <c r="A16" s="640" t="str">
        <f>Input!C9</f>
        <v>BMY</v>
      </c>
      <c r="B16" s="640" t="str">
        <f>VLOOKUP($A16,'CEM Data Lookup'!$A$4:$P$60,2,FALSE)</f>
        <v>Bristol-Myers Squibb</v>
      </c>
      <c r="C16" s="5"/>
      <c r="D16" s="247">
        <f>HLOOKUP(A16&amp;" US Equity",'CEM PricesDivs'!$B$3:$WS$69,67,FALSE)</f>
        <v>3.02</v>
      </c>
      <c r="E16" s="5"/>
      <c r="F16" s="5"/>
      <c r="G16" s="445" t="str">
        <f>IFERROR('CEM Data Lookup'!E11*100,"NA")</f>
        <v>NA</v>
      </c>
      <c r="H16" s="5"/>
      <c r="I16" s="5"/>
      <c r="J16" s="446">
        <f>IFERROR('CEM Data Lookup'!C11*100,"NA")</f>
        <v>5.6000000000000005</v>
      </c>
      <c r="K16" s="5"/>
      <c r="L16" s="5"/>
      <c r="M16" s="497">
        <f>IFERROR('CEM Data Lookup'!D11*100,"NA")</f>
        <v>4.1399999999999997</v>
      </c>
      <c r="N16" s="5"/>
      <c r="O16" s="5"/>
      <c r="P16" s="445">
        <f t="shared" si="0"/>
        <v>4.87</v>
      </c>
      <c r="Q16" s="5"/>
      <c r="R16" s="5"/>
      <c r="S16" s="641">
        <f t="shared" si="1"/>
        <v>3.09</v>
      </c>
      <c r="T16" s="5"/>
      <c r="U16" s="5"/>
      <c r="V16" s="641">
        <f t="shared" si="2"/>
        <v>7.96</v>
      </c>
      <c r="W16" s="5"/>
      <c r="X16" s="5"/>
      <c r="Y16" s="474"/>
      <c r="Z16" s="474"/>
      <c r="AA16" s="474"/>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row>
    <row r="17" spans="1:62" ht="15.75" customHeight="1">
      <c r="A17" s="640" t="str">
        <f>Input!C10</f>
        <v>BR</v>
      </c>
      <c r="B17" s="640" t="str">
        <f>VLOOKUP($A17,'CEM Data Lookup'!$A$4:$P$60,2,FALSE)</f>
        <v xml:space="preserve">Broadridge Fin'l    </v>
      </c>
      <c r="C17" s="5"/>
      <c r="D17" s="247">
        <f>HLOOKUP(A17&amp;" US Equity",'CEM PricesDivs'!$B$3:$WS$69,67,FALSE)</f>
        <v>2.0499999999999998</v>
      </c>
      <c r="E17" s="5"/>
      <c r="F17" s="5"/>
      <c r="G17" s="445">
        <f>IFERROR('CEM Data Lookup'!E12*100,"NA")</f>
        <v>9.5</v>
      </c>
      <c r="H17" s="5"/>
      <c r="I17" s="5"/>
      <c r="J17" s="446" t="str">
        <f>IFERROR('CEM Data Lookup'!C12*100,"NA")</f>
        <v>NA</v>
      </c>
      <c r="K17" s="5"/>
      <c r="L17" s="5"/>
      <c r="M17" s="497">
        <f>IFERROR('CEM Data Lookup'!D12*100,"NA")</f>
        <v>11.799999999999999</v>
      </c>
      <c r="N17" s="5"/>
      <c r="O17" s="5"/>
      <c r="P17" s="445">
        <f t="shared" si="0"/>
        <v>10.65</v>
      </c>
      <c r="Q17" s="5"/>
      <c r="R17" s="5"/>
      <c r="S17" s="641">
        <f t="shared" si="1"/>
        <v>2.16</v>
      </c>
      <c r="T17" s="5"/>
      <c r="U17" s="5"/>
      <c r="V17" s="641">
        <f t="shared" si="2"/>
        <v>12.81</v>
      </c>
      <c r="W17" s="5"/>
      <c r="X17" s="5"/>
      <c r="Y17" s="474"/>
      <c r="Z17" s="474"/>
      <c r="AA17" s="474"/>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row>
    <row r="18" spans="1:62" ht="15.75" customHeight="1">
      <c r="A18" s="640" t="str">
        <f>Input!C11</f>
        <v>CACI</v>
      </c>
      <c r="B18" s="640" t="str">
        <f>VLOOKUP($A18,'CEM Data Lookup'!$A$4:$P$60,2,FALSE)</f>
        <v xml:space="preserve">CACI Int'l          </v>
      </c>
      <c r="C18" s="5"/>
      <c r="D18" s="247">
        <f>HLOOKUP(A18&amp;" US Equity",'CEM PricesDivs'!$B$3:$WS$69,67,FALSE)</f>
        <v>0</v>
      </c>
      <c r="E18" s="5"/>
      <c r="F18" s="5"/>
      <c r="G18" s="445">
        <f>IFERROR('CEM Data Lookup'!E13*100,"NA")</f>
        <v>7.0000000000000009</v>
      </c>
      <c r="H18" s="5"/>
      <c r="I18" s="5"/>
      <c r="J18" s="446">
        <f>IFERROR('CEM Data Lookup'!C13*100,"NA")</f>
        <v>6.7</v>
      </c>
      <c r="K18" s="5"/>
      <c r="L18" s="5"/>
      <c r="M18" s="497">
        <f>IFERROR('CEM Data Lookup'!D13*100,"NA")</f>
        <v>2.4</v>
      </c>
      <c r="N18" s="5"/>
      <c r="O18" s="5"/>
      <c r="P18" s="445">
        <f t="shared" si="0"/>
        <v>5.37</v>
      </c>
      <c r="Q18" s="5"/>
      <c r="R18" s="5"/>
      <c r="S18" s="641">
        <f t="shared" si="1"/>
        <v>0</v>
      </c>
      <c r="T18" s="5"/>
      <c r="U18" s="5"/>
      <c r="V18" s="641" t="str">
        <f t="shared" si="2"/>
        <v>NA</v>
      </c>
      <c r="W18" s="5"/>
      <c r="X18" s="5"/>
      <c r="Y18" s="474"/>
      <c r="Z18" s="474"/>
      <c r="AA18" s="474"/>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row>
    <row r="19" spans="1:62" ht="15.75" customHeight="1">
      <c r="A19" s="640" t="str">
        <f>Input!C12</f>
        <v>CHE</v>
      </c>
      <c r="B19" s="640" t="str">
        <f>VLOOKUP($A19,'CEM Data Lookup'!$A$4:$P$60,2,FALSE)</f>
        <v xml:space="preserve">Chemed Corp.        </v>
      </c>
      <c r="C19" s="5"/>
      <c r="D19" s="247">
        <f>HLOOKUP(A19&amp;" US Equity",'CEM PricesDivs'!$B$3:$WS$69,67,FALSE)</f>
        <v>0.31</v>
      </c>
      <c r="E19" s="5"/>
      <c r="F19" s="5"/>
      <c r="G19" s="445">
        <f>IFERROR('CEM Data Lookup'!E14*100,"NA")</f>
        <v>7.0000000000000009</v>
      </c>
      <c r="H19" s="5"/>
      <c r="I19" s="5"/>
      <c r="J19" s="446">
        <f>IFERROR('CEM Data Lookup'!C14*100,"NA")</f>
        <v>6.9</v>
      </c>
      <c r="K19" s="5"/>
      <c r="L19" s="5"/>
      <c r="M19" s="497">
        <f>IFERROR('CEM Data Lookup'!D14*100,"NA")</f>
        <v>6.9500000000000011</v>
      </c>
      <c r="N19" s="5"/>
      <c r="O19" s="5"/>
      <c r="P19" s="445">
        <f t="shared" si="0"/>
        <v>6.95</v>
      </c>
      <c r="Q19" s="5"/>
      <c r="R19" s="5"/>
      <c r="S19" s="641">
        <f t="shared" si="1"/>
        <v>0.32</v>
      </c>
      <c r="T19" s="5"/>
      <c r="U19" s="5"/>
      <c r="V19" s="641">
        <f t="shared" si="2"/>
        <v>7.2700000000000005</v>
      </c>
      <c r="W19" s="5"/>
      <c r="X19" s="5"/>
      <c r="Y19" s="474"/>
      <c r="Z19" s="474"/>
      <c r="AA19" s="474"/>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row>
    <row r="20" spans="1:62" ht="15.75" customHeight="1">
      <c r="A20" s="640" t="str">
        <f>Input!C13</f>
        <v>CSWI</v>
      </c>
      <c r="B20" s="640" t="str">
        <f>VLOOKUP($A20,'CEM Data Lookup'!$A$4:$P$60,2,FALSE)</f>
        <v xml:space="preserve">CSW Industrials     </v>
      </c>
      <c r="C20" s="5"/>
      <c r="D20" s="247">
        <f>HLOOKUP(A20&amp;" US Equity",'CEM PricesDivs'!$B$3:$WS$69,67,FALSE)</f>
        <v>0.56999999999999995</v>
      </c>
      <c r="E20" s="5"/>
      <c r="F20" s="5"/>
      <c r="G20" s="445">
        <f>IFERROR('CEM Data Lookup'!E15*100,"NA")</f>
        <v>11.5</v>
      </c>
      <c r="H20" s="5"/>
      <c r="I20" s="5"/>
      <c r="J20" s="446" t="str">
        <f>IFERROR('CEM Data Lookup'!C15*100,"NA")</f>
        <v>NA</v>
      </c>
      <c r="K20" s="5"/>
      <c r="L20" s="5"/>
      <c r="M20" s="497">
        <f>IFERROR('CEM Data Lookup'!D15*100,"NA")</f>
        <v>12</v>
      </c>
      <c r="N20" s="5"/>
      <c r="O20" s="5"/>
      <c r="P20" s="445">
        <f t="shared" si="0"/>
        <v>11.75</v>
      </c>
      <c r="Q20" s="5"/>
      <c r="R20" s="5"/>
      <c r="S20" s="641">
        <f t="shared" si="1"/>
        <v>0.6</v>
      </c>
      <c r="T20" s="5"/>
      <c r="U20" s="5"/>
      <c r="V20" s="641">
        <f t="shared" si="2"/>
        <v>12.35</v>
      </c>
      <c r="W20" s="5"/>
      <c r="X20" s="5"/>
      <c r="Y20" s="474"/>
      <c r="Z20" s="474"/>
      <c r="AA20" s="474"/>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row>
    <row r="21" spans="1:62" ht="15.75" customHeight="1">
      <c r="A21" s="640" t="str">
        <f>Input!C14</f>
        <v>DGX</v>
      </c>
      <c r="B21" s="640" t="str">
        <f>VLOOKUP($A21,'CEM Data Lookup'!$A$4:$P$60,2,FALSE)</f>
        <v xml:space="preserve">Quest Diagnostics   </v>
      </c>
      <c r="C21" s="5"/>
      <c r="D21" s="247">
        <f>HLOOKUP(A21&amp;" US Equity",'CEM PricesDivs'!$B$3:$WS$69,67,FALSE)</f>
        <v>1.83</v>
      </c>
      <c r="E21" s="5"/>
      <c r="F21" s="5"/>
      <c r="G21" s="445">
        <f>IFERROR('CEM Data Lookup'!E16*100,"NA")</f>
        <v>4</v>
      </c>
      <c r="H21" s="5"/>
      <c r="I21" s="5"/>
      <c r="J21" s="446" t="str">
        <f>IFERROR('CEM Data Lookup'!C16*100,"NA")</f>
        <v>NA</v>
      </c>
      <c r="K21" s="5"/>
      <c r="L21" s="5"/>
      <c r="M21" s="497">
        <f>IFERROR('CEM Data Lookup'!D16*100,"NA")</f>
        <v>-15.6</v>
      </c>
      <c r="N21" s="5"/>
      <c r="O21" s="5"/>
      <c r="P21" s="445">
        <f>IFERROR(ROUND(AVERAGE(G21,J21),2),"NA")</f>
        <v>4</v>
      </c>
      <c r="Q21" s="5"/>
      <c r="R21" s="5"/>
      <c r="S21" s="641">
        <f t="shared" si="1"/>
        <v>1.87</v>
      </c>
      <c r="T21" s="5"/>
      <c r="U21" s="5"/>
      <c r="V21" s="641">
        <f t="shared" si="2"/>
        <v>5.87</v>
      </c>
      <c r="W21" s="5"/>
      <c r="X21" s="5"/>
      <c r="Y21" s="474"/>
      <c r="Z21" s="474"/>
      <c r="AA21" s="474"/>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row>
    <row r="22" spans="1:62" ht="15.75" customHeight="1">
      <c r="A22" s="640" t="str">
        <f>Input!C15</f>
        <v>EXPO</v>
      </c>
      <c r="B22" s="640" t="str">
        <f>VLOOKUP($A22,'CEM Data Lookup'!$A$4:$P$60,2,FALSE)</f>
        <v xml:space="preserve">Exponent, Inc.      </v>
      </c>
      <c r="C22" s="5"/>
      <c r="D22" s="247">
        <f>HLOOKUP(A22&amp;" US Equity",'CEM PricesDivs'!$B$3:$WS$69,67,FALSE)</f>
        <v>0.98</v>
      </c>
      <c r="E22" s="5"/>
      <c r="F22" s="5"/>
      <c r="G22" s="445">
        <f>IFERROR('CEM Data Lookup'!E17*100,"NA")</f>
        <v>10.5</v>
      </c>
      <c r="H22" s="5"/>
      <c r="I22" s="5"/>
      <c r="J22" s="446" t="str">
        <f>IFERROR('CEM Data Lookup'!C17*100,"NA")</f>
        <v>NA</v>
      </c>
      <c r="K22" s="5"/>
      <c r="L22" s="5"/>
      <c r="M22" s="497">
        <f>IFERROR('CEM Data Lookup'!D17*100,"NA")</f>
        <v>15</v>
      </c>
      <c r="N22" s="5"/>
      <c r="O22" s="5"/>
      <c r="P22" s="445">
        <f t="shared" si="0"/>
        <v>12.75</v>
      </c>
      <c r="Q22" s="5"/>
      <c r="R22" s="5"/>
      <c r="S22" s="641">
        <f t="shared" si="1"/>
        <v>1.04</v>
      </c>
      <c r="T22" s="5"/>
      <c r="U22" s="5"/>
      <c r="V22" s="641">
        <f t="shared" si="2"/>
        <v>13.79</v>
      </c>
      <c r="W22" s="5"/>
      <c r="X22" s="5"/>
      <c r="Y22" s="474"/>
      <c r="Z22" s="474"/>
      <c r="AA22" s="474"/>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row>
    <row r="23" spans="1:62" ht="15.75" customHeight="1">
      <c r="A23" s="640" t="str">
        <f>Input!C16</f>
        <v>INGR</v>
      </c>
      <c r="B23" s="640" t="str">
        <f>VLOOKUP($A23,'CEM Data Lookup'!$A$4:$P$60,2,FALSE)</f>
        <v xml:space="preserve">Ingredion Inc.      </v>
      </c>
      <c r="C23" s="5"/>
      <c r="D23" s="247">
        <f>HLOOKUP(A23&amp;" US Equity",'CEM PricesDivs'!$B$3:$WS$69,67,FALSE)</f>
        <v>3.06</v>
      </c>
      <c r="E23" s="5"/>
      <c r="F23" s="5"/>
      <c r="G23" s="445">
        <f>IFERROR('CEM Data Lookup'!E18*100,"NA")</f>
        <v>8</v>
      </c>
      <c r="H23" s="5"/>
      <c r="I23" s="5"/>
      <c r="J23" s="446" t="str">
        <f>IFERROR('CEM Data Lookup'!C18*100,"NA")</f>
        <v>NA</v>
      </c>
      <c r="K23" s="5"/>
      <c r="L23" s="5"/>
      <c r="M23" s="497">
        <f>IFERROR('CEM Data Lookup'!D18*100,"NA")</f>
        <v>9.9</v>
      </c>
      <c r="N23" s="5"/>
      <c r="O23" s="5"/>
      <c r="P23" s="445">
        <f t="shared" si="0"/>
        <v>8.9499999999999993</v>
      </c>
      <c r="Q23" s="5"/>
      <c r="R23" s="5"/>
      <c r="S23" s="641">
        <f t="shared" si="1"/>
        <v>3.2</v>
      </c>
      <c r="T23" s="5"/>
      <c r="U23" s="5"/>
      <c r="V23" s="641">
        <f t="shared" si="2"/>
        <v>12.149999999999999</v>
      </c>
      <c r="W23" s="5"/>
      <c r="X23" s="5"/>
      <c r="Y23" s="474"/>
      <c r="Z23" s="474"/>
      <c r="AA23" s="474"/>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row>
    <row r="24" spans="1:62" ht="15.75" customHeight="1">
      <c r="A24" s="640" t="str">
        <f>Input!C17</f>
        <v>JJSF</v>
      </c>
      <c r="B24" s="640" t="str">
        <f>VLOOKUP($A24,'CEM Data Lookup'!$A$4:$P$60,2,FALSE)</f>
        <v xml:space="preserve">J&amp;J Snack Foods     </v>
      </c>
      <c r="C24" s="5"/>
      <c r="D24" s="247">
        <f>HLOOKUP(A24&amp;" US Equity",'CEM PricesDivs'!$B$3:$WS$69,67,FALSE)</f>
        <v>1.88</v>
      </c>
      <c r="E24" s="5"/>
      <c r="F24" s="5"/>
      <c r="G24" s="445">
        <f>IFERROR('CEM Data Lookup'!E19*100,"NA")</f>
        <v>9</v>
      </c>
      <c r="H24" s="5"/>
      <c r="I24" s="5"/>
      <c r="J24" s="446" t="str">
        <f>IFERROR('CEM Data Lookup'!C19*100,"NA")</f>
        <v>NA</v>
      </c>
      <c r="K24" s="5"/>
      <c r="L24" s="5"/>
      <c r="M24" s="497">
        <f>IFERROR('CEM Data Lookup'!D19*100,"NA")</f>
        <v>73.099999999999994</v>
      </c>
      <c r="N24" s="5"/>
      <c r="O24" s="5"/>
      <c r="P24" s="445">
        <f>IFERROR(ROUND(AVERAGE(G24,J24),2),"NA")</f>
        <v>9</v>
      </c>
      <c r="Q24" s="5"/>
      <c r="R24" s="5"/>
      <c r="S24" s="641">
        <f t="shared" si="1"/>
        <v>1.96</v>
      </c>
      <c r="T24" s="5"/>
      <c r="U24" s="5"/>
      <c r="V24" s="641">
        <f t="shared" si="2"/>
        <v>10.96</v>
      </c>
      <c r="W24" s="5"/>
      <c r="X24" s="5"/>
      <c r="Y24" s="474"/>
      <c r="Z24" s="474"/>
      <c r="AA24" s="474"/>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row>
    <row r="25" spans="1:62" ht="15.75" customHeight="1">
      <c r="A25" s="640" t="str">
        <f>Input!C18</f>
        <v>JKHY</v>
      </c>
      <c r="B25" s="640" t="str">
        <f>VLOOKUP($A25,'CEM Data Lookup'!$A$4:$P$60,2,FALSE)</f>
        <v>Henry (Jack) &amp; Assoc</v>
      </c>
      <c r="C25" s="5"/>
      <c r="D25" s="247">
        <f>HLOOKUP(A25&amp;" US Equity",'CEM PricesDivs'!$B$3:$WS$69,67,FALSE)</f>
        <v>1.06</v>
      </c>
      <c r="E25" s="5"/>
      <c r="F25" s="5"/>
      <c r="G25" s="445">
        <f>IFERROR('CEM Data Lookup'!E20*100,"NA")</f>
        <v>8</v>
      </c>
      <c r="H25" s="5"/>
      <c r="I25" s="5"/>
      <c r="J25" s="446">
        <f>IFERROR('CEM Data Lookup'!C20*100,"NA")</f>
        <v>9</v>
      </c>
      <c r="K25" s="5"/>
      <c r="L25" s="5"/>
      <c r="M25" s="497">
        <f>IFERROR('CEM Data Lookup'!D20*100,"NA")</f>
        <v>9</v>
      </c>
      <c r="N25" s="5"/>
      <c r="O25" s="5"/>
      <c r="P25" s="445">
        <f t="shared" si="0"/>
        <v>8.67</v>
      </c>
      <c r="Q25" s="5"/>
      <c r="R25" s="5"/>
      <c r="S25" s="641">
        <f t="shared" si="1"/>
        <v>1.1100000000000001</v>
      </c>
      <c r="T25" s="5"/>
      <c r="U25" s="5"/>
      <c r="V25" s="641">
        <f t="shared" si="2"/>
        <v>9.7799999999999994</v>
      </c>
      <c r="W25" s="5"/>
      <c r="X25" s="5"/>
      <c r="Y25" s="474"/>
      <c r="Z25" s="474"/>
      <c r="AA25" s="474"/>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row>
    <row r="26" spans="1:62" ht="15.75" customHeight="1">
      <c r="A26" s="640" t="str">
        <f>Input!C19</f>
        <v>MKC</v>
      </c>
      <c r="B26" s="640" t="str">
        <f>VLOOKUP($A26,'CEM Data Lookup'!$A$4:$P$60,2,FALSE)</f>
        <v xml:space="preserve">McCormick &amp; Co.     </v>
      </c>
      <c r="C26" s="5"/>
      <c r="D26" s="247">
        <f>HLOOKUP(A26&amp;" US Equity",'CEM PricesDivs'!$B$3:$WS$69,67,FALSE)</f>
        <v>1.93</v>
      </c>
      <c r="E26" s="5"/>
      <c r="F26" s="5"/>
      <c r="G26" s="445">
        <f>IFERROR('CEM Data Lookup'!E21*100,"NA")</f>
        <v>5</v>
      </c>
      <c r="H26" s="5"/>
      <c r="I26" s="5"/>
      <c r="J26" s="446">
        <f>IFERROR('CEM Data Lookup'!C21*100,"NA")</f>
        <v>5.3</v>
      </c>
      <c r="K26" s="5"/>
      <c r="L26" s="5"/>
      <c r="M26" s="497">
        <f>IFERROR('CEM Data Lookup'!D21*100,"NA")</f>
        <v>5.0999999999999996</v>
      </c>
      <c r="N26" s="5"/>
      <c r="O26" s="5"/>
      <c r="P26" s="445">
        <f t="shared" si="0"/>
        <v>5.13</v>
      </c>
      <c r="Q26" s="5"/>
      <c r="R26" s="5"/>
      <c r="S26" s="641">
        <f t="shared" si="1"/>
        <v>1.98</v>
      </c>
      <c r="T26" s="5"/>
      <c r="U26" s="5"/>
      <c r="V26" s="641">
        <f t="shared" si="2"/>
        <v>7.1099999999999994</v>
      </c>
      <c r="W26" s="5"/>
      <c r="X26" s="5"/>
      <c r="Y26" s="474"/>
      <c r="Z26" s="474"/>
      <c r="AA26" s="474"/>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row>
    <row r="27" spans="1:62" ht="15.75" customHeight="1">
      <c r="A27" s="640" t="str">
        <f>Input!C20</f>
        <v>MRK</v>
      </c>
      <c r="B27" s="640" t="str">
        <f>VLOOKUP($A27,'CEM Data Lookup'!$A$4:$P$60,2,FALSE)</f>
        <v xml:space="preserve">Merck &amp; Co.         </v>
      </c>
      <c r="C27" s="5"/>
      <c r="D27" s="247">
        <f>HLOOKUP(A27&amp;" US Equity",'CEM PricesDivs'!$B$3:$WS$69,67,FALSE)</f>
        <v>2.84</v>
      </c>
      <c r="E27" s="5"/>
      <c r="F27" s="5"/>
      <c r="G27" s="445">
        <f>IFERROR('CEM Data Lookup'!E22*100,"NA")</f>
        <v>8</v>
      </c>
      <c r="H27" s="5"/>
      <c r="I27" s="5"/>
      <c r="J27" s="446">
        <f>IFERROR('CEM Data Lookup'!C22*100,"NA")</f>
        <v>10.4</v>
      </c>
      <c r="K27" s="5"/>
      <c r="L27" s="5"/>
      <c r="M27" s="497">
        <f>IFERROR('CEM Data Lookup'!D22*100,"NA")</f>
        <v>11.89</v>
      </c>
      <c r="N27" s="5"/>
      <c r="O27" s="5"/>
      <c r="P27" s="445">
        <f t="shared" si="0"/>
        <v>10.1</v>
      </c>
      <c r="Q27" s="5"/>
      <c r="R27" s="5"/>
      <c r="S27" s="641">
        <f t="shared" si="1"/>
        <v>2.98</v>
      </c>
      <c r="T27" s="5"/>
      <c r="U27" s="5"/>
      <c r="V27" s="641">
        <f t="shared" si="2"/>
        <v>13.08</v>
      </c>
      <c r="W27" s="5"/>
      <c r="X27" s="5"/>
      <c r="Y27" s="474"/>
      <c r="Z27" s="474"/>
      <c r="AA27" s="474"/>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row>
    <row r="28" spans="1:62" ht="15.75" customHeight="1">
      <c r="A28" s="640" t="str">
        <f>Input!C21</f>
        <v>MSCI</v>
      </c>
      <c r="B28" s="640" t="str">
        <f>VLOOKUP($A28,'CEM Data Lookup'!$A$4:$P$60,2,FALSE)</f>
        <v xml:space="preserve">MSCI Inc.           </v>
      </c>
      <c r="C28" s="5"/>
      <c r="D28" s="247">
        <f>HLOOKUP(A28&amp;" US Equity",'CEM PricesDivs'!$B$3:$WS$69,67,FALSE)</f>
        <v>1.07</v>
      </c>
      <c r="E28" s="5"/>
      <c r="F28" s="5"/>
      <c r="G28" s="445">
        <f>IFERROR('CEM Data Lookup'!E23*100,"NA")</f>
        <v>14.499999999999998</v>
      </c>
      <c r="H28" s="5"/>
      <c r="I28" s="5"/>
      <c r="J28" s="446" t="str">
        <f>IFERROR('CEM Data Lookup'!C23*100,"NA")</f>
        <v>NA</v>
      </c>
      <c r="K28" s="5"/>
      <c r="L28" s="5"/>
      <c r="M28" s="497">
        <f>IFERROR('CEM Data Lookup'!D23*100,"NA")</f>
        <v>12.53</v>
      </c>
      <c r="N28" s="5"/>
      <c r="O28" s="5"/>
      <c r="P28" s="445">
        <f t="shared" si="0"/>
        <v>13.52</v>
      </c>
      <c r="Q28" s="5"/>
      <c r="R28" s="5"/>
      <c r="S28" s="641">
        <f t="shared" si="1"/>
        <v>1.1399999999999999</v>
      </c>
      <c r="T28" s="5"/>
      <c r="U28" s="5"/>
      <c r="V28" s="641">
        <f t="shared" si="2"/>
        <v>14.66</v>
      </c>
      <c r="W28" s="5"/>
      <c r="X28" s="5"/>
      <c r="Y28" s="474"/>
      <c r="Z28" s="474"/>
      <c r="AA28" s="474"/>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row>
    <row r="29" spans="1:62" ht="15.75" customHeight="1">
      <c r="A29" s="640" t="str">
        <f>Input!C22</f>
        <v>MSI</v>
      </c>
      <c r="B29" s="640" t="str">
        <f>VLOOKUP($A29,'CEM Data Lookup'!$A$4:$P$60,2,FALSE)</f>
        <v xml:space="preserve">Motorola Solutions  </v>
      </c>
      <c r="C29" s="5"/>
      <c r="D29" s="247">
        <f>HLOOKUP(A29&amp;" US Equity",'CEM PricesDivs'!$B$3:$WS$69,67,FALSE)</f>
        <v>1.4</v>
      </c>
      <c r="E29" s="5"/>
      <c r="F29" s="5"/>
      <c r="G29" s="445">
        <f>IFERROR('CEM Data Lookup'!E24*100,"NA")</f>
        <v>10.5</v>
      </c>
      <c r="H29" s="5"/>
      <c r="I29" s="5"/>
      <c r="J29" s="446">
        <f>IFERROR('CEM Data Lookup'!C24*100,"NA")</f>
        <v>9</v>
      </c>
      <c r="K29" s="5"/>
      <c r="L29" s="5"/>
      <c r="M29" s="497">
        <f>IFERROR('CEM Data Lookup'!D24*100,"NA")</f>
        <v>11.18</v>
      </c>
      <c r="N29" s="5"/>
      <c r="O29" s="5"/>
      <c r="P29" s="445">
        <f t="shared" si="0"/>
        <v>10.23</v>
      </c>
      <c r="Q29" s="5"/>
      <c r="R29" s="5"/>
      <c r="S29" s="641">
        <f t="shared" si="1"/>
        <v>1.47</v>
      </c>
      <c r="T29" s="5"/>
      <c r="U29" s="5"/>
      <c r="V29" s="641">
        <f t="shared" si="2"/>
        <v>11.700000000000001</v>
      </c>
      <c r="W29" s="5"/>
      <c r="X29" s="5"/>
      <c r="Y29" s="474"/>
      <c r="Z29" s="474"/>
      <c r="AA29" s="474"/>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row>
    <row r="30" spans="1:62" ht="15.75" customHeight="1">
      <c r="A30" s="640" t="str">
        <f>Input!C23</f>
        <v>NEU</v>
      </c>
      <c r="B30" s="640" t="str">
        <f>VLOOKUP($A30,'CEM Data Lookup'!$A$4:$P$60,2,FALSE)</f>
        <v xml:space="preserve">NewMarket Corp.     </v>
      </c>
      <c r="C30" s="5"/>
      <c r="D30" s="247">
        <f>HLOOKUP(A30&amp;" US Equity",'CEM PricesDivs'!$B$3:$WS$69,67,FALSE)</f>
        <v>2.73</v>
      </c>
      <c r="E30" s="5"/>
      <c r="F30" s="5"/>
      <c r="G30" s="445">
        <f>IFERROR('CEM Data Lookup'!E25*100,"NA")</f>
        <v>-1.5</v>
      </c>
      <c r="H30" s="5"/>
      <c r="I30" s="5"/>
      <c r="J30" s="446" t="str">
        <f>IFERROR('CEM Data Lookup'!C25*100,"NA")</f>
        <v>NA</v>
      </c>
      <c r="K30" s="5"/>
      <c r="L30" s="5"/>
      <c r="M30" s="497">
        <f>IFERROR('CEM Data Lookup'!D25*100,"NA")</f>
        <v>7.7</v>
      </c>
      <c r="N30" s="5"/>
      <c r="O30" s="5"/>
      <c r="P30" s="445">
        <f>IFERROR(ROUND(AVERAGE(J30,M30),2),"NA")</f>
        <v>7.7</v>
      </c>
      <c r="Q30" s="5"/>
      <c r="R30" s="5"/>
      <c r="S30" s="641">
        <f t="shared" si="1"/>
        <v>2.84</v>
      </c>
      <c r="T30" s="5"/>
      <c r="U30" s="5"/>
      <c r="V30" s="641">
        <f t="shared" si="2"/>
        <v>10.54</v>
      </c>
      <c r="W30" s="5"/>
      <c r="X30" s="5"/>
      <c r="Y30" s="474"/>
      <c r="Z30" s="474"/>
      <c r="AA30" s="474"/>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row>
    <row r="31" spans="1:62" ht="15.75" customHeight="1">
      <c r="A31" s="640" t="str">
        <f>Input!C24</f>
        <v>NOC</v>
      </c>
      <c r="B31" s="640" t="str">
        <f>VLOOKUP($A31,'CEM Data Lookup'!$A$4:$P$60,2,FALSE)</f>
        <v xml:space="preserve">Northrop Grumman    </v>
      </c>
      <c r="C31" s="5"/>
      <c r="D31" s="247">
        <f>HLOOKUP(A31&amp;" US Equity",'CEM PricesDivs'!$B$3:$WS$69,67,FALSE)</f>
        <v>1.32</v>
      </c>
      <c r="E31" s="5"/>
      <c r="F31" s="5"/>
      <c r="G31" s="445">
        <f>IFERROR('CEM Data Lookup'!E26*100,"NA")</f>
        <v>6.5</v>
      </c>
      <c r="H31" s="5"/>
      <c r="I31" s="5"/>
      <c r="J31" s="446">
        <f>IFERROR('CEM Data Lookup'!C26*100,"NA")</f>
        <v>3.3000000000000003</v>
      </c>
      <c r="K31" s="5"/>
      <c r="L31" s="5"/>
      <c r="M31" s="497">
        <f>IFERROR('CEM Data Lookup'!D26*100,"NA")</f>
        <v>3</v>
      </c>
      <c r="N31" s="5"/>
      <c r="O31" s="5"/>
      <c r="P31" s="445">
        <f t="shared" si="0"/>
        <v>4.2699999999999996</v>
      </c>
      <c r="Q31" s="5"/>
      <c r="R31" s="5"/>
      <c r="S31" s="641">
        <f t="shared" si="1"/>
        <v>1.35</v>
      </c>
      <c r="T31" s="5"/>
      <c r="U31" s="5"/>
      <c r="V31" s="641">
        <f t="shared" si="2"/>
        <v>5.6199999999999992</v>
      </c>
      <c r="W31" s="5"/>
      <c r="X31" s="5"/>
      <c r="Y31" s="474"/>
      <c r="Z31" s="474"/>
      <c r="AA31" s="474"/>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row>
    <row r="32" spans="1:62" ht="15.75" customHeight="1">
      <c r="A32" s="640" t="str">
        <f>Input!C25</f>
        <v>ODFL</v>
      </c>
      <c r="B32" s="640" t="str">
        <f>VLOOKUP($A32,'CEM Data Lookup'!$A$4:$P$60,2,FALSE)</f>
        <v>Old Dominion Freight</v>
      </c>
      <c r="C32" s="5"/>
      <c r="D32" s="247">
        <f>HLOOKUP(A32&amp;" US Equity",'CEM PricesDivs'!$B$3:$WS$69,67,FALSE)</f>
        <v>0.42</v>
      </c>
      <c r="E32" s="5"/>
      <c r="F32" s="5"/>
      <c r="G32" s="445">
        <f>IFERROR('CEM Data Lookup'!E27*100,"NA")</f>
        <v>10.5</v>
      </c>
      <c r="H32" s="5"/>
      <c r="I32" s="5"/>
      <c r="J32" s="446">
        <f>IFERROR('CEM Data Lookup'!C27*100,"NA")</f>
        <v>14.099999999999998</v>
      </c>
      <c r="K32" s="5"/>
      <c r="L32" s="5"/>
      <c r="M32" s="497">
        <f>IFERROR('CEM Data Lookup'!D27*100,"NA")</f>
        <v>14.540000000000001</v>
      </c>
      <c r="N32" s="5"/>
      <c r="O32" s="5"/>
      <c r="P32" s="445">
        <f t="shared" si="0"/>
        <v>13.05</v>
      </c>
      <c r="Q32" s="5"/>
      <c r="R32" s="5"/>
      <c r="S32" s="641">
        <f t="shared" si="1"/>
        <v>0.45</v>
      </c>
      <c r="T32" s="5"/>
      <c r="U32" s="5"/>
      <c r="V32" s="641">
        <f t="shared" si="2"/>
        <v>13.5</v>
      </c>
      <c r="W32" s="5"/>
      <c r="X32" s="5"/>
      <c r="Y32" s="474"/>
      <c r="Z32" s="474"/>
      <c r="AA32" s="474"/>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row>
    <row r="33" spans="1:62" ht="15.75" customHeight="1">
      <c r="A33" s="640" t="str">
        <f>Input!C26</f>
        <v>ORCL</v>
      </c>
      <c r="B33" s="640" t="str">
        <f>VLOOKUP($A33,'CEM Data Lookup'!$A$4:$P$60,2,FALSE)</f>
        <v xml:space="preserve">Oracle Corp.        </v>
      </c>
      <c r="C33" s="5"/>
      <c r="D33" s="247">
        <f>HLOOKUP(A33&amp;" US Equity",'CEM PricesDivs'!$B$3:$WS$69,67,FALSE)</f>
        <v>1.67</v>
      </c>
      <c r="E33" s="5"/>
      <c r="F33" s="5"/>
      <c r="G33" s="445">
        <f>IFERROR('CEM Data Lookup'!E28*100,"NA")</f>
        <v>10</v>
      </c>
      <c r="H33" s="5"/>
      <c r="I33" s="5"/>
      <c r="J33" s="446">
        <f>IFERROR('CEM Data Lookup'!C28*100,"NA")</f>
        <v>8</v>
      </c>
      <c r="K33" s="5"/>
      <c r="L33" s="5"/>
      <c r="M33" s="497">
        <f>IFERROR('CEM Data Lookup'!D28*100,"NA")</f>
        <v>10.25</v>
      </c>
      <c r="N33" s="5"/>
      <c r="O33" s="5"/>
      <c r="P33" s="445">
        <f t="shared" si="0"/>
        <v>9.42</v>
      </c>
      <c r="Q33" s="5"/>
      <c r="R33" s="5"/>
      <c r="S33" s="641">
        <f t="shared" si="1"/>
        <v>1.75</v>
      </c>
      <c r="T33" s="5"/>
      <c r="U33" s="5"/>
      <c r="V33" s="641">
        <f t="shared" si="2"/>
        <v>11.17</v>
      </c>
      <c r="W33" s="5"/>
      <c r="X33" s="5"/>
      <c r="Y33" s="474"/>
      <c r="Z33" s="474"/>
      <c r="AA33" s="474"/>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row>
    <row r="34" spans="1:62" ht="15.75" customHeight="1">
      <c r="A34" s="640" t="str">
        <f>Input!C27</f>
        <v>PGR</v>
      </c>
      <c r="B34" s="640" t="str">
        <f>VLOOKUP($A34,'CEM Data Lookup'!$A$4:$P$60,2,FALSE)</f>
        <v xml:space="preserve">Progressive Corp.   </v>
      </c>
      <c r="C34" s="5"/>
      <c r="D34" s="247">
        <f>HLOOKUP(A34&amp;" US Equity",'CEM PricesDivs'!$B$3:$WS$69,67,FALSE)</f>
        <v>0.32</v>
      </c>
      <c r="E34" s="5"/>
      <c r="F34" s="5"/>
      <c r="G34" s="445">
        <f>IFERROR('CEM Data Lookup'!E29*100,"NA")</f>
        <v>6.5</v>
      </c>
      <c r="H34" s="5"/>
      <c r="I34" s="5"/>
      <c r="J34" s="446">
        <f>IFERROR('CEM Data Lookup'!C29*100,"NA")</f>
        <v>19.900000000000002</v>
      </c>
      <c r="K34" s="5"/>
      <c r="L34" s="5"/>
      <c r="M34" s="497">
        <f>IFERROR('CEM Data Lookup'!D29*100,"NA")</f>
        <v>27.12</v>
      </c>
      <c r="N34" s="5"/>
      <c r="O34" s="5"/>
      <c r="P34" s="445">
        <f>IFERROR(ROUND(AVERAGE(G34,J34),2),"NA")</f>
        <v>13.2</v>
      </c>
      <c r="Q34" s="5"/>
      <c r="R34" s="5"/>
      <c r="S34" s="641">
        <f t="shared" si="1"/>
        <v>0.34</v>
      </c>
      <c r="T34" s="5"/>
      <c r="U34" s="5"/>
      <c r="V34" s="641">
        <f t="shared" si="2"/>
        <v>13.54</v>
      </c>
      <c r="W34" s="5"/>
      <c r="X34" s="5"/>
      <c r="Y34" s="474"/>
      <c r="Z34" s="474"/>
      <c r="AA34" s="474"/>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row>
    <row r="35" spans="1:62" ht="15.75" customHeight="1">
      <c r="A35" s="640" t="str">
        <f>Input!C28</f>
        <v>POST</v>
      </c>
      <c r="B35" s="640" t="str">
        <f>VLOOKUP($A35,'CEM Data Lookup'!$A$4:$P$60,2,FALSE)</f>
        <v xml:space="preserve">Post Holdings       </v>
      </c>
      <c r="C35" s="5"/>
      <c r="D35" s="247">
        <f>HLOOKUP(A35&amp;" US Equity",'CEM PricesDivs'!$B$3:$WS$69,67,FALSE)</f>
        <v>0</v>
      </c>
      <c r="E35" s="5"/>
      <c r="F35" s="5"/>
      <c r="G35" s="445">
        <f>IFERROR('CEM Data Lookup'!E30*100,"NA")</f>
        <v>5</v>
      </c>
      <c r="H35" s="5"/>
      <c r="I35" s="5"/>
      <c r="J35" s="446" t="str">
        <f>IFERROR('CEM Data Lookup'!C30*100,"NA")</f>
        <v>NA</v>
      </c>
      <c r="K35" s="5"/>
      <c r="L35" s="5"/>
      <c r="M35" s="497">
        <f>IFERROR('CEM Data Lookup'!D30*100,"NA")</f>
        <v>32.4</v>
      </c>
      <c r="N35" s="5"/>
      <c r="O35" s="5"/>
      <c r="P35" s="445">
        <f t="shared" si="0"/>
        <v>18.7</v>
      </c>
      <c r="Q35" s="5"/>
      <c r="R35" s="5"/>
      <c r="S35" s="641">
        <f t="shared" si="1"/>
        <v>0</v>
      </c>
      <c r="T35" s="5"/>
      <c r="U35" s="5"/>
      <c r="V35" s="641" t="str">
        <f t="shared" si="2"/>
        <v>NA</v>
      </c>
      <c r="W35" s="5"/>
      <c r="X35" s="5"/>
      <c r="Y35" s="474"/>
      <c r="Z35" s="474"/>
      <c r="AA35" s="474"/>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row>
    <row r="36" spans="1:62" ht="15.75" customHeight="1">
      <c r="A36" s="640" t="str">
        <f>Input!C29</f>
        <v>RLI</v>
      </c>
      <c r="B36" s="640" t="str">
        <f>VLOOKUP($A36,'CEM Data Lookup'!$A$4:$P$60,2,FALSE)</f>
        <v xml:space="preserve">RLI Corp.           </v>
      </c>
      <c r="C36" s="5"/>
      <c r="D36" s="247">
        <f>HLOOKUP(A36&amp;" US Equity",'CEM PricesDivs'!$B$3:$WS$69,67,FALSE)</f>
        <v>0.83</v>
      </c>
      <c r="E36" s="5"/>
      <c r="F36" s="5"/>
      <c r="G36" s="445">
        <f>IFERROR('CEM Data Lookup'!E31*100,"NA")</f>
        <v>12</v>
      </c>
      <c r="H36" s="5"/>
      <c r="I36" s="5"/>
      <c r="J36" s="446" t="str">
        <f>IFERROR('CEM Data Lookup'!C31*100,"NA")</f>
        <v>NA</v>
      </c>
      <c r="K36" s="5"/>
      <c r="L36" s="5"/>
      <c r="M36" s="497">
        <f>IFERROR('CEM Data Lookup'!D31*100,"NA")</f>
        <v>9.8000000000000007</v>
      </c>
      <c r="N36" s="5"/>
      <c r="O36" s="5"/>
      <c r="P36" s="445">
        <f t="shared" si="0"/>
        <v>10.9</v>
      </c>
      <c r="Q36" s="5"/>
      <c r="R36" s="5"/>
      <c r="S36" s="641">
        <f t="shared" si="1"/>
        <v>0.88</v>
      </c>
      <c r="T36" s="5"/>
      <c r="U36" s="5"/>
      <c r="V36" s="641">
        <f t="shared" si="2"/>
        <v>11.780000000000001</v>
      </c>
      <c r="W36" s="5"/>
      <c r="X36" s="5"/>
      <c r="Y36" s="474"/>
      <c r="Z36" s="474"/>
      <c r="AA36" s="474"/>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row>
    <row r="37" spans="1:62" ht="15.75" customHeight="1">
      <c r="A37" s="640" t="str">
        <f>Input!C30</f>
        <v>ROL</v>
      </c>
      <c r="B37" s="640" t="str">
        <f>VLOOKUP($A37,'CEM Data Lookup'!$A$4:$P$60,2,FALSE)</f>
        <v xml:space="preserve">Rollins, Inc.       </v>
      </c>
      <c r="C37" s="5"/>
      <c r="D37" s="247">
        <f>HLOOKUP(A37&amp;" US Equity",'CEM PricesDivs'!$B$3:$WS$69,67,FALSE)</f>
        <v>1.33</v>
      </c>
      <c r="E37" s="5"/>
      <c r="F37" s="5"/>
      <c r="G37" s="445">
        <f>IFERROR('CEM Data Lookup'!E32*100,"NA")</f>
        <v>10.5</v>
      </c>
      <c r="H37" s="5"/>
      <c r="I37" s="5"/>
      <c r="J37" s="446" t="str">
        <f>IFERROR('CEM Data Lookup'!C32*100,"NA")</f>
        <v>NA</v>
      </c>
      <c r="K37" s="5"/>
      <c r="L37" s="5"/>
      <c r="M37" s="497">
        <f>IFERROR('CEM Data Lookup'!D32*100,"NA")</f>
        <v>8.2000000000000011</v>
      </c>
      <c r="N37" s="5"/>
      <c r="O37" s="5"/>
      <c r="P37" s="445">
        <f t="shared" si="0"/>
        <v>9.35</v>
      </c>
      <c r="Q37" s="5"/>
      <c r="R37" s="5"/>
      <c r="S37" s="641">
        <f t="shared" si="1"/>
        <v>1.39</v>
      </c>
      <c r="T37" s="5"/>
      <c r="U37" s="5"/>
      <c r="V37" s="641">
        <f t="shared" si="2"/>
        <v>10.74</v>
      </c>
      <c r="W37" s="5"/>
      <c r="X37" s="5"/>
      <c r="Y37" s="474"/>
      <c r="Z37" s="474"/>
      <c r="AA37" s="474"/>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row>
    <row r="38" spans="1:62" ht="15.75" customHeight="1">
      <c r="A38" s="640" t="str">
        <f>Input!C31</f>
        <v>SHW</v>
      </c>
      <c r="B38" s="640" t="str">
        <f>VLOOKUP($A38,'CEM Data Lookup'!$A$4:$P$60,2,FALSE)</f>
        <v xml:space="preserve">Sherwin-Williams    </v>
      </c>
      <c r="C38" s="5"/>
      <c r="D38" s="247">
        <f>HLOOKUP(A38&amp;" US Equity",'CEM PricesDivs'!$B$3:$WS$69,67,FALSE)</f>
        <v>1.03</v>
      </c>
      <c r="E38" s="5"/>
      <c r="F38" s="5"/>
      <c r="G38" s="445">
        <f>IFERROR('CEM Data Lookup'!E33*100,"NA")</f>
        <v>11.5</v>
      </c>
      <c r="H38" s="5"/>
      <c r="I38" s="5"/>
      <c r="J38" s="446">
        <f>IFERROR('CEM Data Lookup'!C33*100,"NA")</f>
        <v>12.8</v>
      </c>
      <c r="K38" s="5"/>
      <c r="L38" s="5"/>
      <c r="M38" s="497">
        <f>IFERROR('CEM Data Lookup'!D33*100,"NA")</f>
        <v>11.464</v>
      </c>
      <c r="N38" s="5"/>
      <c r="O38" s="5"/>
      <c r="P38" s="445">
        <f t="shared" si="0"/>
        <v>11.92</v>
      </c>
      <c r="Q38" s="5"/>
      <c r="R38" s="5"/>
      <c r="S38" s="641">
        <f t="shared" si="1"/>
        <v>1.0900000000000001</v>
      </c>
      <c r="T38" s="5"/>
      <c r="U38" s="5"/>
      <c r="V38" s="641">
        <f t="shared" si="2"/>
        <v>13.01</v>
      </c>
      <c r="W38" s="5"/>
      <c r="X38" s="5"/>
      <c r="Y38" s="474"/>
      <c r="Z38" s="474"/>
      <c r="AA38" s="474"/>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row>
    <row r="39" spans="1:62" ht="15.75" customHeight="1">
      <c r="A39" s="640" t="str">
        <f>Input!C32</f>
        <v>SIGI</v>
      </c>
      <c r="B39" s="640" t="str">
        <f>VLOOKUP($A39,'CEM Data Lookup'!$A$4:$P$60,2,FALSE)</f>
        <v>Selective Ins. Group</v>
      </c>
      <c r="C39" s="5"/>
      <c r="D39" s="247">
        <f>HLOOKUP(A39&amp;" US Equity",'CEM PricesDivs'!$B$3:$WS$69,67,FALSE)</f>
        <v>1.31</v>
      </c>
      <c r="E39" s="5"/>
      <c r="F39" s="5"/>
      <c r="G39" s="445">
        <f>IFERROR('CEM Data Lookup'!E34*100,"NA")</f>
        <v>9.5</v>
      </c>
      <c r="H39" s="5"/>
      <c r="I39" s="5"/>
      <c r="J39" s="446">
        <f>IFERROR('CEM Data Lookup'!C34*100,"NA")</f>
        <v>6.6000000000000005</v>
      </c>
      <c r="K39" s="5"/>
      <c r="L39" s="5"/>
      <c r="M39" s="497">
        <f>IFERROR('CEM Data Lookup'!D34*100,"NA")</f>
        <v>13.4</v>
      </c>
      <c r="N39" s="5"/>
      <c r="O39" s="5"/>
      <c r="P39" s="445">
        <f t="shared" si="0"/>
        <v>9.83</v>
      </c>
      <c r="Q39" s="5"/>
      <c r="R39" s="5"/>
      <c r="S39" s="641">
        <f t="shared" si="1"/>
        <v>1.37</v>
      </c>
      <c r="T39" s="5"/>
      <c r="U39" s="5"/>
      <c r="V39" s="641">
        <f t="shared" si="2"/>
        <v>11.2</v>
      </c>
      <c r="W39" s="5"/>
      <c r="X39" s="5"/>
      <c r="Y39" s="474"/>
      <c r="Z39" s="474"/>
      <c r="AA39" s="474"/>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row>
    <row r="40" spans="1:62" ht="15.75" customHeight="1">
      <c r="A40" s="640" t="str">
        <f>Input!C33</f>
        <v>SIRI</v>
      </c>
      <c r="B40" s="640" t="str">
        <f>VLOOKUP($A40,'CEM Data Lookup'!$A$4:$P$60,2,FALSE)</f>
        <v xml:space="preserve">Sirius XM Holdings  </v>
      </c>
      <c r="C40" s="5"/>
      <c r="D40" s="247">
        <f>HLOOKUP(A40&amp;" US Equity",'CEM PricesDivs'!$B$3:$WS$69,67,FALSE)</f>
        <v>1.57</v>
      </c>
      <c r="E40" s="5"/>
      <c r="F40" s="5"/>
      <c r="G40" s="445">
        <f>IFERROR('CEM Data Lookup'!E35*100,"NA")</f>
        <v>32.5</v>
      </c>
      <c r="H40" s="5"/>
      <c r="I40" s="5"/>
      <c r="J40" s="446">
        <f>IFERROR('CEM Data Lookup'!C35*100,"NA")</f>
        <v>7.0000000000000009</v>
      </c>
      <c r="K40" s="5"/>
      <c r="L40" s="5"/>
      <c r="M40" s="497">
        <f>IFERROR('CEM Data Lookup'!D35*100,"NA")</f>
        <v>3.54</v>
      </c>
      <c r="N40" s="5"/>
      <c r="O40" s="5"/>
      <c r="P40" s="445">
        <f>IFERROR(ROUND(AVERAGE(J40,M40),2),"NA")</f>
        <v>5.27</v>
      </c>
      <c r="Q40" s="5"/>
      <c r="R40" s="5"/>
      <c r="S40" s="641">
        <f t="shared" si="1"/>
        <v>1.61</v>
      </c>
      <c r="T40" s="5"/>
      <c r="U40" s="5"/>
      <c r="V40" s="641">
        <f t="shared" si="2"/>
        <v>6.88</v>
      </c>
      <c r="W40" s="5"/>
      <c r="X40" s="5"/>
      <c r="Y40" s="474"/>
      <c r="Z40" s="474"/>
      <c r="AA40" s="474"/>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row>
    <row r="41" spans="1:62" ht="15.75" customHeight="1">
      <c r="A41" s="640" t="str">
        <f>Input!C34</f>
        <v>SXT</v>
      </c>
      <c r="B41" s="640" t="str">
        <f>VLOOKUP($A41,'CEM Data Lookup'!$A$4:$P$60,2,FALSE)</f>
        <v xml:space="preserve">Sensient Techn.     </v>
      </c>
      <c r="C41" s="5"/>
      <c r="D41" s="247">
        <f>HLOOKUP(A41&amp;" US Equity",'CEM PricesDivs'!$B$3:$WS$69,67,FALSE)</f>
        <v>2.29</v>
      </c>
      <c r="E41" s="5"/>
      <c r="F41" s="5"/>
      <c r="G41" s="445">
        <f>IFERROR('CEM Data Lookup'!E36*100,"NA")</f>
        <v>2.5</v>
      </c>
      <c r="H41" s="5"/>
      <c r="I41" s="5"/>
      <c r="J41" s="446" t="str">
        <f>IFERROR('CEM Data Lookup'!C36*100,"NA")</f>
        <v>NA</v>
      </c>
      <c r="K41" s="5"/>
      <c r="L41" s="5"/>
      <c r="M41" s="497">
        <f>IFERROR('CEM Data Lookup'!D36*100,"NA")</f>
        <v>3.8</v>
      </c>
      <c r="N41" s="5"/>
      <c r="O41" s="5"/>
      <c r="P41" s="445">
        <f t="shared" si="0"/>
        <v>3.15</v>
      </c>
      <c r="Q41" s="5"/>
      <c r="R41" s="5"/>
      <c r="S41" s="641">
        <f t="shared" si="1"/>
        <v>2.33</v>
      </c>
      <c r="T41" s="5"/>
      <c r="U41" s="5"/>
      <c r="V41" s="641">
        <f t="shared" si="2"/>
        <v>5.48</v>
      </c>
      <c r="W41" s="5"/>
      <c r="X41" s="5"/>
      <c r="Y41" s="474"/>
      <c r="Z41" s="474"/>
      <c r="AA41" s="474"/>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row>
    <row r="42" spans="1:62" ht="15.75" customHeight="1">
      <c r="A42" s="640" t="str">
        <f>Input!C35</f>
        <v>TMO</v>
      </c>
      <c r="B42" s="640" t="str">
        <f>VLOOKUP($A42,'CEM Data Lookup'!$A$4:$P$60,2,FALSE)</f>
        <v xml:space="preserve">Thermo Fisher Sci.  </v>
      </c>
      <c r="C42" s="5"/>
      <c r="D42" s="247">
        <f>HLOOKUP(A42&amp;" US Equity",'CEM PricesDivs'!$B$3:$WS$69,67,FALSE)</f>
        <v>0.23</v>
      </c>
      <c r="E42" s="5"/>
      <c r="F42" s="5"/>
      <c r="G42" s="445">
        <f>IFERROR('CEM Data Lookup'!E37*100,"NA")</f>
        <v>10.5</v>
      </c>
      <c r="H42" s="5"/>
      <c r="I42" s="5"/>
      <c r="J42" s="446">
        <f>IFERROR('CEM Data Lookup'!C37*100,"NA")</f>
        <v>12.5</v>
      </c>
      <c r="K42" s="5"/>
      <c r="L42" s="5"/>
      <c r="M42" s="497">
        <f>IFERROR('CEM Data Lookup'!D37*100,"NA")</f>
        <v>3.51</v>
      </c>
      <c r="N42" s="5"/>
      <c r="O42" s="5"/>
      <c r="P42" s="445">
        <f t="shared" si="0"/>
        <v>8.84</v>
      </c>
      <c r="Q42" s="5"/>
      <c r="R42" s="5"/>
      <c r="S42" s="641">
        <f t="shared" si="1"/>
        <v>0.24</v>
      </c>
      <c r="T42" s="5"/>
      <c r="U42" s="5"/>
      <c r="V42" s="641">
        <f t="shared" si="2"/>
        <v>9.08</v>
      </c>
      <c r="W42" s="5"/>
      <c r="X42" s="5"/>
      <c r="Y42" s="474"/>
      <c r="Z42" s="474"/>
      <c r="AA42" s="474"/>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row>
    <row r="43" spans="1:62" ht="15.75" customHeight="1">
      <c r="A43" s="640" t="str">
        <f>Input!C36</f>
        <v>TXN</v>
      </c>
      <c r="B43" s="640" t="str">
        <f>VLOOKUP($A43,'CEM Data Lookup'!$A$4:$P$60,2,FALSE)</f>
        <v xml:space="preserve">Texas Instruments   </v>
      </c>
      <c r="C43" s="5"/>
      <c r="D43" s="247">
        <f>HLOOKUP(A43&amp;" US Equity",'CEM PricesDivs'!$B$3:$WS$69,67,FALSE)</f>
        <v>2.97</v>
      </c>
      <c r="E43" s="5"/>
      <c r="F43" s="5"/>
      <c r="G43" s="445">
        <f>IFERROR('CEM Data Lookup'!E38*100,"NA")</f>
        <v>7.5</v>
      </c>
      <c r="H43" s="5"/>
      <c r="I43" s="5"/>
      <c r="J43" s="446">
        <f>IFERROR('CEM Data Lookup'!C38*100,"NA")</f>
        <v>9.3000000000000007</v>
      </c>
      <c r="K43" s="5"/>
      <c r="L43" s="5"/>
      <c r="M43" s="497">
        <f>IFERROR('CEM Data Lookup'!D38*100,"NA")</f>
        <v>10</v>
      </c>
      <c r="N43" s="5"/>
      <c r="O43" s="5"/>
      <c r="P43" s="445">
        <f t="shared" si="0"/>
        <v>8.93</v>
      </c>
      <c r="Q43" s="5"/>
      <c r="R43" s="5"/>
      <c r="S43" s="641">
        <f t="shared" si="1"/>
        <v>3.1</v>
      </c>
      <c r="T43" s="5"/>
      <c r="U43" s="5"/>
      <c r="V43" s="641">
        <f t="shared" si="2"/>
        <v>12.03</v>
      </c>
      <c r="W43" s="5"/>
      <c r="X43" s="5"/>
      <c r="Y43" s="474"/>
      <c r="Z43" s="474"/>
      <c r="AA43" s="474"/>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row>
    <row r="44" spans="1:62" ht="15.75" customHeight="1">
      <c r="A44" s="640" t="str">
        <f>Input!C37</f>
        <v>VRSN</v>
      </c>
      <c r="B44" s="640" t="str">
        <f>VLOOKUP($A44,'CEM Data Lookup'!$A$4:$P$60,2,FALSE)</f>
        <v xml:space="preserve">VeriSign Inc.       </v>
      </c>
      <c r="C44" s="5"/>
      <c r="D44" s="247">
        <f>HLOOKUP(A44&amp;" US Equity",'CEM PricesDivs'!$B$3:$WS$69,67,FALSE)</f>
        <v>0</v>
      </c>
      <c r="E44" s="5"/>
      <c r="F44" s="5"/>
      <c r="G44" s="445">
        <f>IFERROR('CEM Data Lookup'!E39*100,"NA")</f>
        <v>11</v>
      </c>
      <c r="H44" s="5"/>
      <c r="I44" s="5"/>
      <c r="J44" s="446" t="str">
        <f>IFERROR('CEM Data Lookup'!C39*100,"NA")</f>
        <v>NA</v>
      </c>
      <c r="K44" s="5"/>
      <c r="L44" s="5"/>
      <c r="M44" s="497">
        <f>IFERROR('CEM Data Lookup'!D39*100,"NA")</f>
        <v>8</v>
      </c>
      <c r="N44" s="5"/>
      <c r="O44" s="5"/>
      <c r="P44" s="445">
        <f t="shared" si="0"/>
        <v>9.5</v>
      </c>
      <c r="Q44" s="5"/>
      <c r="R44" s="5"/>
      <c r="S44" s="641">
        <f t="shared" si="1"/>
        <v>0</v>
      </c>
      <c r="T44" s="5"/>
      <c r="U44" s="5"/>
      <c r="V44" s="641" t="str">
        <f t="shared" si="2"/>
        <v>NA</v>
      </c>
      <c r="W44" s="5"/>
      <c r="X44" s="5"/>
      <c r="Y44" s="474"/>
      <c r="Z44" s="474"/>
      <c r="AA44" s="474"/>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row>
    <row r="45" spans="1:62" ht="15.75" customHeight="1">
      <c r="A45" s="640" t="str">
        <f>Input!C38</f>
        <v>WAT</v>
      </c>
      <c r="B45" s="640" t="str">
        <f>VLOOKUP($A45,'CEM Data Lookup'!$A$4:$P$60,2,FALSE)</f>
        <v xml:space="preserve">Waters Corp.        </v>
      </c>
      <c r="C45" s="5"/>
      <c r="D45" s="247">
        <f>HLOOKUP(A45&amp;" US Equity",'CEM PricesDivs'!$B$3:$WS$69,67,FALSE)</f>
        <v>0</v>
      </c>
      <c r="E45" s="5"/>
      <c r="F45" s="5"/>
      <c r="G45" s="445">
        <f>IFERROR('CEM Data Lookup'!E40*100,"NA")</f>
        <v>6</v>
      </c>
      <c r="H45" s="5"/>
      <c r="I45" s="5"/>
      <c r="J45" s="446">
        <f>IFERROR('CEM Data Lookup'!C40*100,"NA")</f>
        <v>7.1999999999999993</v>
      </c>
      <c r="K45" s="5"/>
      <c r="L45" s="5"/>
      <c r="M45" s="497">
        <f>IFERROR('CEM Data Lookup'!D40*100,"NA")</f>
        <v>8.34</v>
      </c>
      <c r="N45" s="5"/>
      <c r="O45" s="5"/>
      <c r="P45" s="445">
        <f t="shared" si="0"/>
        <v>7.18</v>
      </c>
      <c r="Q45" s="5"/>
      <c r="R45" s="5"/>
      <c r="S45" s="641">
        <f t="shared" si="1"/>
        <v>0</v>
      </c>
      <c r="T45" s="5"/>
      <c r="U45" s="5"/>
      <c r="V45" s="641" t="str">
        <f t="shared" si="2"/>
        <v>NA</v>
      </c>
      <c r="W45" s="5"/>
      <c r="X45" s="5"/>
      <c r="Y45" s="474"/>
      <c r="Z45" s="474"/>
      <c r="AA45" s="474"/>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row>
    <row r="46" spans="1:62" ht="15.75" customHeight="1">
      <c r="A46" s="640" t="str">
        <f>Input!C39</f>
        <v>WSO</v>
      </c>
      <c r="B46" s="640" t="str">
        <f>VLOOKUP($A46,'CEM Data Lookup'!$A$4:$P$60,2,FALSE)</f>
        <v xml:space="preserve">Watsco, Inc.        </v>
      </c>
      <c r="C46" s="5"/>
      <c r="D46" s="247">
        <f>HLOOKUP(A46&amp;" US Equity",'CEM PricesDivs'!$B$3:$WS$69,67,FALSE)</f>
        <v>3.35</v>
      </c>
      <c r="E46" s="5"/>
      <c r="F46" s="5"/>
      <c r="G46" s="445">
        <f>IFERROR('CEM Data Lookup'!E41*100,"NA")</f>
        <v>11.5</v>
      </c>
      <c r="H46" s="5"/>
      <c r="I46" s="5"/>
      <c r="J46" s="446" t="str">
        <f>IFERROR('CEM Data Lookup'!C41*100,"NA")</f>
        <v>NA</v>
      </c>
      <c r="K46" s="5"/>
      <c r="L46" s="5"/>
      <c r="M46" s="497">
        <f>IFERROR('CEM Data Lookup'!D41*100,"NA")</f>
        <v>15</v>
      </c>
      <c r="N46" s="5"/>
      <c r="O46" s="5"/>
      <c r="P46" s="445">
        <f t="shared" si="0"/>
        <v>13.25</v>
      </c>
      <c r="Q46" s="5"/>
      <c r="R46" s="5"/>
      <c r="S46" s="641">
        <f t="shared" si="1"/>
        <v>3.57</v>
      </c>
      <c r="T46" s="5"/>
      <c r="U46" s="5"/>
      <c r="V46" s="641">
        <f t="shared" si="2"/>
        <v>16.82</v>
      </c>
      <c r="W46" s="5"/>
      <c r="X46" s="5"/>
      <c r="Y46" s="474"/>
      <c r="Z46" s="474"/>
      <c r="AA46" s="474"/>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row>
    <row r="47" spans="1:62" ht="15.75" customHeight="1">
      <c r="A47" s="640" t="str">
        <f>Input!C40</f>
        <v>WU</v>
      </c>
      <c r="B47" s="640" t="str">
        <f>VLOOKUP($A47,'CEM Data Lookup'!$A$4:$P$60,2,FALSE)</f>
        <v xml:space="preserve">Western Union       </v>
      </c>
      <c r="C47" s="5"/>
      <c r="D47" s="247">
        <f>HLOOKUP(A47&amp;" US Equity",'CEM PricesDivs'!$B$3:$WS$69,67,FALSE)</f>
        <v>6.82</v>
      </c>
      <c r="E47" s="5"/>
      <c r="F47" s="5"/>
      <c r="G47" s="445">
        <f>IFERROR('CEM Data Lookup'!E42*100,"NA")</f>
        <v>8</v>
      </c>
      <c r="H47" s="5"/>
      <c r="I47" s="5"/>
      <c r="J47" s="446" t="str">
        <f>IFERROR('CEM Data Lookup'!C42*100,"NA")</f>
        <v>NA</v>
      </c>
      <c r="K47" s="5"/>
      <c r="L47" s="5"/>
      <c r="M47" s="497">
        <f>IFERROR('CEM Data Lookup'!D42*100,"NA")</f>
        <v>-11.05</v>
      </c>
      <c r="N47" s="5"/>
      <c r="O47" s="5"/>
      <c r="P47" s="445">
        <f>IFERROR(ROUND(AVERAGE(G47,J47),2),"NA")</f>
        <v>8</v>
      </c>
      <c r="Q47" s="5"/>
      <c r="R47" s="5"/>
      <c r="S47" s="641">
        <f t="shared" si="1"/>
        <v>7.09</v>
      </c>
      <c r="T47" s="5"/>
      <c r="U47" s="5"/>
      <c r="V47" s="641">
        <f t="shared" si="2"/>
        <v>15.09</v>
      </c>
      <c r="W47" s="5"/>
      <c r="X47" s="5"/>
      <c r="Y47" s="474"/>
      <c r="Z47" s="474"/>
      <c r="AA47" s="474"/>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row>
    <row r="48" spans="1:62" ht="15.75" customHeight="1">
      <c r="A48" s="5"/>
      <c r="B48" s="5"/>
      <c r="C48" s="5"/>
      <c r="D48" s="5"/>
      <c r="E48" s="5"/>
      <c r="F48" s="5"/>
      <c r="G48" s="445"/>
      <c r="H48" s="5"/>
      <c r="I48" s="5"/>
      <c r="J48" s="5"/>
      <c r="K48" s="5"/>
      <c r="L48" s="5"/>
      <c r="M48" s="5"/>
      <c r="N48" s="5"/>
      <c r="O48" s="5"/>
      <c r="P48" s="5"/>
      <c r="Q48" s="5"/>
      <c r="R48" s="5"/>
      <c r="S48" s="5"/>
      <c r="T48" s="5"/>
      <c r="U48" s="5"/>
      <c r="V48" s="444"/>
      <c r="W48" s="5"/>
      <c r="X48" s="5"/>
    </row>
    <row r="49" spans="2:23" ht="15.75" customHeight="1" thickBot="1">
      <c r="D49" s="3" t="s">
        <v>194</v>
      </c>
      <c r="S49" s="10" t="s">
        <v>1377</v>
      </c>
      <c r="V49" s="642">
        <f>AVERAGE(V9:V47)</f>
        <v>11.357428571428567</v>
      </c>
      <c r="W49" s="3" t="s">
        <v>18</v>
      </c>
    </row>
    <row r="50" spans="2:23" ht="15.75" customHeight="1" thickTop="1"/>
    <row r="51" spans="2:23" ht="15.75" customHeight="1" thickBot="1">
      <c r="S51" s="10" t="s">
        <v>183</v>
      </c>
      <c r="V51" s="642">
        <f>MEDIAN(V9:V47)</f>
        <v>11.780000000000001</v>
      </c>
      <c r="W51" s="3" t="s">
        <v>18</v>
      </c>
    </row>
    <row r="52" spans="2:23" ht="15.75" customHeight="1" thickTop="1"/>
    <row r="53" spans="2:23" ht="15.75" customHeight="1" thickBot="1">
      <c r="S53" s="10" t="s">
        <v>1376</v>
      </c>
      <c r="V53" s="642">
        <f>ROUND(AVERAGE(V49:V51),2)</f>
        <v>11.57</v>
      </c>
      <c r="W53" s="3" t="s">
        <v>18</v>
      </c>
    </row>
    <row r="54" spans="2:23" ht="15.75" customHeight="1" thickTop="1"/>
    <row r="55" spans="2:23">
      <c r="B55" s="10" t="s">
        <v>94</v>
      </c>
    </row>
    <row r="56" spans="2:23" ht="81" customHeight="1">
      <c r="C56" s="231" t="s">
        <v>95</v>
      </c>
      <c r="D56" s="1042" t="s">
        <v>4598</v>
      </c>
      <c r="E56" s="1042"/>
      <c r="F56" s="1042"/>
      <c r="G56" s="1042"/>
      <c r="H56" s="1042"/>
      <c r="I56" s="1042"/>
      <c r="J56" s="1042"/>
      <c r="K56" s="1042"/>
      <c r="L56" s="1042"/>
      <c r="M56" s="1042"/>
      <c r="N56" s="1042"/>
      <c r="O56" s="1042"/>
      <c r="P56" s="1042"/>
      <c r="Q56" s="1042"/>
      <c r="R56" s="1042"/>
      <c r="S56" s="1042"/>
      <c r="T56" s="1042"/>
      <c r="U56" s="1042"/>
      <c r="V56" s="1042"/>
      <c r="W56" s="1042"/>
    </row>
    <row r="58" spans="2:23">
      <c r="B58" s="3" t="s">
        <v>146</v>
      </c>
      <c r="C58" s="3" t="s">
        <v>4231</v>
      </c>
    </row>
    <row r="59" spans="2:23">
      <c r="C59" s="3" t="str">
        <f>CONCATENATE("www.zacks.com, Downloaded on ",TEXT(Input!E2,"mm/dd/yyyy"))&amp;"."</f>
        <v>www.zacks.com, Downloaded on 12/30/2022.</v>
      </c>
    </row>
    <row r="60" spans="2:23">
      <c r="C60" s="3" t="str">
        <f>CONCATENATE("www.yahoo.com, Downloaded on ",TEXT(Input!E2,"mm/dd/yyyy"))&amp;"."</f>
        <v>www.yahoo.com, Downloaded on 12/30/2022.</v>
      </c>
    </row>
  </sheetData>
  <mergeCells count="15">
    <mergeCell ref="M7:N7"/>
    <mergeCell ref="P7:Q7"/>
    <mergeCell ref="S7:T7"/>
    <mergeCell ref="V7:W7"/>
    <mergeCell ref="D56:W56"/>
    <mergeCell ref="D7:E7"/>
    <mergeCell ref="G7:H7"/>
    <mergeCell ref="J7:K7"/>
    <mergeCell ref="D5:E5"/>
    <mergeCell ref="G5:H5"/>
    <mergeCell ref="J5:K5"/>
    <mergeCell ref="S5:T5"/>
    <mergeCell ref="V5:W5"/>
    <mergeCell ref="M5:N5"/>
    <mergeCell ref="P5:Q5"/>
  </mergeCells>
  <printOptions horizontalCentered="1"/>
  <pageMargins left="0.7" right="0.7" top="0.75" bottom="0.75" header="0.3" footer="0.3"/>
  <pageSetup scale="54" fitToHeight="2" orientation="portrait"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45"/>
  <sheetViews>
    <sheetView view="pageBreakPreview" zoomScale="95" zoomScaleNormal="100" zoomScaleSheetLayoutView="85" workbookViewId="0">
      <selection activeCell="F14" sqref="F14"/>
    </sheetView>
  </sheetViews>
  <sheetFormatPr defaultColWidth="9" defaultRowHeight="15"/>
  <cols>
    <col min="1" max="1" width="9.88671875" style="13" customWidth="1"/>
    <col min="2" max="2" width="5.33203125" style="13" customWidth="1"/>
    <col min="3" max="3" width="8" style="13" customWidth="1"/>
    <col min="4" max="4" width="12.33203125" style="13" customWidth="1"/>
    <col min="5" max="5" width="3.33203125" style="13" bestFit="1" customWidth="1"/>
    <col min="6" max="6" width="11.33203125" style="13" customWidth="1"/>
    <col min="7" max="7" width="3.88671875" style="13" customWidth="1"/>
    <col min="8" max="8" width="16.44140625" style="13" customWidth="1"/>
    <col min="9" max="9" width="3.33203125" style="13" bestFit="1" customWidth="1"/>
    <col min="10" max="16384" width="9" style="13"/>
  </cols>
  <sheetData>
    <row r="1" spans="1:9">
      <c r="A1" s="1001" t="str">
        <f>Input!G28</f>
        <v>Peoples Gas System</v>
      </c>
      <c r="B1" s="1001"/>
      <c r="C1" s="1001"/>
      <c r="D1" s="1001"/>
      <c r="E1" s="1001"/>
      <c r="F1" s="1001"/>
      <c r="G1" s="1001"/>
      <c r="H1" s="1001"/>
      <c r="I1" s="1001"/>
    </row>
    <row r="2" spans="1:9">
      <c r="A2" s="1024" t="s">
        <v>123</v>
      </c>
      <c r="B2" s="1024"/>
      <c r="C2" s="1024"/>
      <c r="D2" s="1024"/>
      <c r="E2" s="1024"/>
      <c r="F2" s="1024"/>
      <c r="G2" s="1024"/>
      <c r="H2" s="1024"/>
      <c r="I2" s="1024"/>
    </row>
    <row r="3" spans="1:9">
      <c r="A3" s="1024" t="s">
        <v>124</v>
      </c>
      <c r="B3" s="1024"/>
      <c r="C3" s="1024"/>
      <c r="D3" s="1024"/>
      <c r="E3" s="1024"/>
      <c r="F3" s="1024"/>
      <c r="G3" s="1024"/>
      <c r="H3" s="1024"/>
      <c r="I3" s="1024"/>
    </row>
    <row r="4" spans="1:9">
      <c r="A4" s="1001" t="s">
        <v>125</v>
      </c>
      <c r="B4" s="1001"/>
      <c r="C4" s="1001"/>
      <c r="D4" s="1001"/>
      <c r="E4" s="1001"/>
      <c r="F4" s="1001"/>
      <c r="G4" s="1001"/>
      <c r="H4" s="1001"/>
      <c r="I4" s="1001"/>
    </row>
    <row r="6" spans="1:9" ht="80.25" customHeight="1">
      <c r="A6" s="321" t="s">
        <v>92</v>
      </c>
      <c r="B6" s="321"/>
      <c r="H6" s="1023" t="str">
        <f>'7.4 CEM RPM Bond Ratings'!B8</f>
        <v>Proxy Group of Thirty Nine Non-Price Regulated Companies</v>
      </c>
      <c r="I6" s="1023"/>
    </row>
    <row r="7" spans="1:9">
      <c r="A7" s="16"/>
      <c r="B7" s="16"/>
    </row>
    <row r="8" spans="1:9">
      <c r="A8" s="16" t="s">
        <v>93</v>
      </c>
      <c r="B8" s="16"/>
      <c r="C8" s="13" t="s">
        <v>3936</v>
      </c>
    </row>
    <row r="9" spans="1:9">
      <c r="A9" s="16"/>
      <c r="B9" s="16"/>
      <c r="C9" s="13" t="s">
        <v>127</v>
      </c>
      <c r="H9" s="20">
        <f>$H$32</f>
        <v>6.05</v>
      </c>
      <c r="I9" s="21" t="s">
        <v>18</v>
      </c>
    </row>
    <row r="10" spans="1:9">
      <c r="A10" s="16"/>
      <c r="B10" s="16"/>
      <c r="H10" s="20"/>
      <c r="I10" s="21"/>
    </row>
    <row r="11" spans="1:9" ht="15" customHeight="1">
      <c r="A11" s="16">
        <v>2</v>
      </c>
      <c r="B11" s="16"/>
      <c r="C11" s="79" t="s">
        <v>4376</v>
      </c>
      <c r="D11" s="516"/>
      <c r="E11" s="516"/>
      <c r="F11" s="516"/>
      <c r="H11" s="20"/>
      <c r="I11" s="21"/>
    </row>
    <row r="12" spans="1:9">
      <c r="A12" s="16"/>
      <c r="B12" s="16"/>
      <c r="C12" s="13" t="s">
        <v>4608</v>
      </c>
      <c r="H12" s="472">
        <f>-H42</f>
        <v>-0.16555555555555557</v>
      </c>
      <c r="I12" s="21"/>
    </row>
    <row r="13" spans="1:9">
      <c r="A13" s="16"/>
      <c r="B13" s="16"/>
      <c r="C13" s="13" t="s">
        <v>4609</v>
      </c>
      <c r="H13" s="20"/>
      <c r="I13" s="21"/>
    </row>
    <row r="14" spans="1:9">
      <c r="A14" s="16"/>
      <c r="B14" s="16"/>
      <c r="H14" s="20"/>
      <c r="I14" s="21"/>
    </row>
    <row r="15" spans="1:9">
      <c r="A15" s="16">
        <v>3</v>
      </c>
      <c r="B15" s="16"/>
      <c r="C15" s="13" t="s">
        <v>4384</v>
      </c>
      <c r="H15" s="20">
        <f>SUM(H9:H12)</f>
        <v>5.8844444444444441</v>
      </c>
      <c r="I15" s="21"/>
    </row>
    <row r="16" spans="1:9">
      <c r="A16" s="16"/>
      <c r="B16" s="16"/>
      <c r="H16" s="20"/>
      <c r="I16" s="21"/>
    </row>
    <row r="17" spans="1:9">
      <c r="A17" s="38" t="s">
        <v>104</v>
      </c>
      <c r="B17" s="16"/>
      <c r="C17" s="13" t="s">
        <v>4385</v>
      </c>
      <c r="H17" s="22">
        <f>'7.5 CEM Beta Adjusted RP'!F25</f>
        <v>7.42</v>
      </c>
      <c r="I17" s="24"/>
    </row>
    <row r="18" spans="1:9">
      <c r="A18" s="25"/>
      <c r="B18" s="16"/>
      <c r="H18" s="24"/>
      <c r="I18" s="24"/>
    </row>
    <row r="19" spans="1:9">
      <c r="A19" s="38" t="s">
        <v>105</v>
      </c>
      <c r="B19" s="16"/>
      <c r="C19" s="13" t="s">
        <v>131</v>
      </c>
      <c r="H19" s="24"/>
      <c r="I19" s="24"/>
    </row>
    <row r="20" spans="1:9" ht="15.6" thickBot="1">
      <c r="A20" s="16"/>
      <c r="B20" s="16"/>
      <c r="C20" s="13" t="s">
        <v>132</v>
      </c>
      <c r="H20" s="26">
        <f>SUM(H15:H17)</f>
        <v>13.304444444444444</v>
      </c>
      <c r="I20" s="24" t="s">
        <v>18</v>
      </c>
    </row>
    <row r="21" spans="1:9" ht="15.6" thickTop="1">
      <c r="A21" s="16"/>
      <c r="B21" s="16"/>
    </row>
    <row r="22" spans="1:9" ht="82.5" customHeight="1">
      <c r="A22" s="27" t="s">
        <v>101</v>
      </c>
      <c r="B22" s="28" t="s">
        <v>95</v>
      </c>
      <c r="C22" s="1029" t="s">
        <v>4615</v>
      </c>
      <c r="D22" s="1029"/>
      <c r="E22" s="1029"/>
      <c r="F22" s="1029"/>
      <c r="G22" s="1029"/>
      <c r="H22" s="1029"/>
      <c r="I22" s="1029"/>
    </row>
    <row r="23" spans="1:9">
      <c r="A23" s="27"/>
      <c r="B23" s="28"/>
      <c r="C23" s="45"/>
      <c r="E23" s="45"/>
      <c r="F23" s="34"/>
      <c r="G23" s="45" t="str">
        <f>'MRP WP1'!B28</f>
        <v>First Quarter 2023</v>
      </c>
      <c r="H23" s="34">
        <f>'MRP WP1'!O28</f>
        <v>6.1</v>
      </c>
      <c r="I23" s="34" t="s">
        <v>18</v>
      </c>
    </row>
    <row r="24" spans="1:9">
      <c r="A24" s="27"/>
      <c r="B24" s="28"/>
      <c r="C24" s="45"/>
      <c r="E24" s="45"/>
      <c r="F24" s="34"/>
      <c r="G24" s="45" t="str">
        <f>'MRP WP1'!B29</f>
        <v>Second Quarter 2023</v>
      </c>
      <c r="H24" s="34">
        <f>'MRP WP1'!O29</f>
        <v>6.3</v>
      </c>
      <c r="I24" s="34"/>
    </row>
    <row r="25" spans="1:9">
      <c r="A25" s="27"/>
      <c r="B25" s="28"/>
      <c r="C25" s="45"/>
      <c r="E25" s="45"/>
      <c r="F25" s="34"/>
      <c r="G25" s="45" t="str">
        <f>'MRP WP1'!B30</f>
        <v>Third Quarter 2023</v>
      </c>
      <c r="H25" s="34">
        <f>'MRP WP1'!O30</f>
        <v>6.2</v>
      </c>
      <c r="I25" s="34"/>
    </row>
    <row r="26" spans="1:9">
      <c r="A26" s="27"/>
      <c r="B26" s="28"/>
      <c r="C26" s="45"/>
      <c r="E26" s="45"/>
      <c r="F26" s="34"/>
      <c r="G26" s="45" t="str">
        <f>'MRP WP1'!B31</f>
        <v>Fourth Quarter 2023</v>
      </c>
      <c r="H26" s="34">
        <f>'MRP WP1'!O31</f>
        <v>6.1</v>
      </c>
      <c r="I26" s="34"/>
    </row>
    <row r="27" spans="1:9">
      <c r="A27" s="27"/>
      <c r="B27" s="28"/>
      <c r="C27" s="45"/>
      <c r="E27" s="45"/>
      <c r="F27" s="34"/>
      <c r="G27" s="45" t="str">
        <f>'MRP WP1'!B32</f>
        <v>First Quarter 2024</v>
      </c>
      <c r="H27" s="34">
        <f>'MRP WP1'!O32</f>
        <v>5.9</v>
      </c>
      <c r="I27" s="34"/>
    </row>
    <row r="28" spans="1:9">
      <c r="A28" s="27"/>
      <c r="B28" s="28"/>
      <c r="C28" s="45"/>
      <c r="E28" s="45"/>
      <c r="F28" s="34"/>
      <c r="G28" s="45" t="str">
        <f>'MRP WP1'!B33</f>
        <v>Second Quarter 2024</v>
      </c>
      <c r="H28" s="34">
        <f>'MRP WP1'!O33</f>
        <v>5.8</v>
      </c>
      <c r="I28" s="34"/>
    </row>
    <row r="29" spans="1:9">
      <c r="A29" s="27"/>
      <c r="B29" s="28"/>
      <c r="C29" s="45"/>
      <c r="E29" s="50"/>
      <c r="F29" s="34"/>
      <c r="G29" s="45" t="str">
        <f>'MRP WP1'!B34</f>
        <v>2024-2028</v>
      </c>
      <c r="H29" s="34">
        <f>'MRP WP1'!O34</f>
        <v>6</v>
      </c>
      <c r="I29" s="34"/>
    </row>
    <row r="30" spans="1:9">
      <c r="A30" s="27"/>
      <c r="B30" s="28"/>
      <c r="C30" s="45"/>
      <c r="E30" s="50"/>
      <c r="F30" s="34"/>
      <c r="G30" s="45" t="str">
        <f>'MRP WP1'!B35</f>
        <v>2029-2033</v>
      </c>
      <c r="H30" s="40">
        <f>'MRP WP1'!O35</f>
        <v>6</v>
      </c>
      <c r="I30" s="34"/>
    </row>
    <row r="31" spans="1:9" ht="15" customHeight="1">
      <c r="A31" s="27"/>
      <c r="B31" s="28"/>
      <c r="C31" s="34"/>
      <c r="E31" s="34"/>
      <c r="F31" s="34"/>
      <c r="G31" s="34"/>
      <c r="H31" s="34"/>
      <c r="I31" s="34"/>
    </row>
    <row r="32" spans="1:9" ht="15" customHeight="1" thickBot="1">
      <c r="A32" s="27"/>
      <c r="B32" s="28"/>
      <c r="C32" s="46"/>
      <c r="E32" s="46"/>
      <c r="F32" s="34"/>
      <c r="G32" s="46" t="s">
        <v>80</v>
      </c>
      <c r="H32" s="41">
        <f>ROUND(AVERAGE(H23:H30),2)</f>
        <v>6.05</v>
      </c>
      <c r="I32" s="34" t="s">
        <v>18</v>
      </c>
    </row>
    <row r="33" spans="1:9" ht="15" customHeight="1" thickTop="1">
      <c r="A33" s="27"/>
      <c r="B33" s="28"/>
      <c r="C33" s="46"/>
      <c r="E33" s="46"/>
      <c r="F33" s="34"/>
      <c r="G33" s="46"/>
      <c r="H33" s="34"/>
    </row>
    <row r="34" spans="1:9" ht="15" customHeight="1">
      <c r="A34" s="27"/>
      <c r="B34" s="31" t="s">
        <v>96</v>
      </c>
      <c r="C34" s="1029" t="str">
        <f>CONCATENATE("The average yield spread of Baa rated corporate bonds over A corporate bonds for the three months ending ",TEXT(C38,"mmmm yyyy")," .  To reflect the ", IFERROR('7.4 CEM RPM Bond Ratings'!D50,"NA"), " average rating of the Gas Non-Utility proxy groups, the prosepctive yield on Baa1 corporate bonds must be adjusted by 1/3 of the spread between A and Baa corporate bond yields as shown below:")</f>
        <v>The average yield spread of Baa rated corporate bonds over A corporate bonds for the three months ending December 2022 .  To reflect the Baa1 average rating of the Gas Non-Utility proxy groups, the prosepctive yield on Baa1 corporate bonds must be adjusted by 1/3 of the spread between A and Baa corporate bond yields as shown below:</v>
      </c>
      <c r="D34" s="1029"/>
      <c r="E34" s="1029"/>
      <c r="F34" s="1029"/>
      <c r="G34" s="1029"/>
      <c r="H34" s="1029"/>
      <c r="I34" s="1029"/>
    </row>
    <row r="35" spans="1:9" ht="15" customHeight="1">
      <c r="A35" s="27"/>
      <c r="B35" s="28"/>
      <c r="C35" s="1029"/>
      <c r="D35" s="1029"/>
      <c r="E35" s="1029"/>
      <c r="F35" s="1029"/>
      <c r="G35" s="1029"/>
      <c r="H35" s="1029"/>
      <c r="I35" s="1029"/>
    </row>
    <row r="36" spans="1:9" ht="81.75" customHeight="1">
      <c r="A36" s="27"/>
      <c r="B36" s="28"/>
      <c r="C36" s="1029"/>
      <c r="D36" s="1029"/>
      <c r="E36" s="1029"/>
      <c r="F36" s="1029"/>
      <c r="G36" s="1029"/>
      <c r="H36" s="1029"/>
      <c r="I36" s="1029"/>
    </row>
    <row r="37" spans="1:9" ht="33" customHeight="1">
      <c r="A37" s="27"/>
      <c r="C37" s="28"/>
      <c r="D37" s="1028" t="s">
        <v>4360</v>
      </c>
      <c r="E37" s="1028"/>
      <c r="F37" s="1043" t="s">
        <v>4361</v>
      </c>
      <c r="G37" s="1043"/>
      <c r="H37" s="742" t="s">
        <v>4362</v>
      </c>
    </row>
    <row r="38" spans="1:9">
      <c r="A38" s="27"/>
      <c r="C38" s="511">
        <f>'Market Data'!B1</f>
        <v>44926</v>
      </c>
      <c r="D38" s="86">
        <f>'Market Data'!B6</f>
        <v>5.0999999999999996</v>
      </c>
      <c r="E38" s="39" t="s">
        <v>18</v>
      </c>
      <c r="F38" s="34">
        <f>'Market Data'!B7</f>
        <v>5.58</v>
      </c>
      <c r="G38" s="39" t="s">
        <v>18</v>
      </c>
      <c r="H38" s="512">
        <f>F38-D38</f>
        <v>0.48000000000000043</v>
      </c>
      <c r="I38" s="29" t="s">
        <v>18</v>
      </c>
    </row>
    <row r="39" spans="1:9">
      <c r="A39" s="27"/>
      <c r="C39" s="511">
        <f>'Market Data'!C1</f>
        <v>44895</v>
      </c>
      <c r="D39" s="86">
        <f>'Market Data'!C6</f>
        <v>5.58</v>
      </c>
      <c r="E39" s="46"/>
      <c r="F39" s="34">
        <f>'Market Data'!C7</f>
        <v>6.07</v>
      </c>
      <c r="G39" s="46"/>
      <c r="H39" s="512">
        <f t="shared" ref="H39:H40" si="0">F39-D39</f>
        <v>0.49000000000000021</v>
      </c>
    </row>
    <row r="40" spans="1:9">
      <c r="A40" s="27"/>
      <c r="C40" s="511">
        <f>'Market Data'!D1</f>
        <v>44864</v>
      </c>
      <c r="D40" s="86">
        <f>'Market Data'!D6</f>
        <v>5.74</v>
      </c>
      <c r="E40" s="46"/>
      <c r="F40" s="34">
        <f>'Market Data'!D7</f>
        <v>6.26</v>
      </c>
      <c r="G40" s="46"/>
      <c r="H40" s="741">
        <f t="shared" si="0"/>
        <v>0.51999999999999957</v>
      </c>
    </row>
    <row r="41" spans="1:9">
      <c r="A41" s="27"/>
      <c r="C41" s="28"/>
      <c r="E41" s="46"/>
      <c r="F41" s="34"/>
      <c r="G41" s="46" t="s">
        <v>4363</v>
      </c>
      <c r="H41" s="740">
        <f>AVERAGE(H38:H40)</f>
        <v>0.49666666666666676</v>
      </c>
    </row>
    <row r="42" spans="1:9" ht="15.6" thickBot="1">
      <c r="A42" s="27"/>
      <c r="C42" s="28"/>
      <c r="E42" s="46"/>
      <c r="F42" s="34"/>
      <c r="G42" s="46" t="s">
        <v>4364</v>
      </c>
      <c r="H42" s="513">
        <f>H41*(1/3)</f>
        <v>0.16555555555555557</v>
      </c>
    </row>
    <row r="43" spans="1:9" ht="15.6" thickTop="1">
      <c r="A43" s="27"/>
      <c r="B43" s="28"/>
      <c r="C43" s="46"/>
      <c r="E43" s="46"/>
      <c r="F43" s="34"/>
      <c r="G43" s="46"/>
    </row>
    <row r="44" spans="1:9" ht="15" customHeight="1">
      <c r="A44" s="27"/>
      <c r="B44" s="31" t="s">
        <v>97</v>
      </c>
      <c r="C44" s="1029" t="s">
        <v>4433</v>
      </c>
      <c r="D44" s="1029"/>
      <c r="E44" s="1029"/>
      <c r="F44" s="1029"/>
      <c r="G44" s="1029"/>
      <c r="H44" s="1029"/>
      <c r="I44" s="34"/>
    </row>
    <row r="45" spans="1:9" ht="15.75" customHeight="1"/>
  </sheetData>
  <mergeCells count="10">
    <mergeCell ref="A1:I1"/>
    <mergeCell ref="A2:I2"/>
    <mergeCell ref="A3:I3"/>
    <mergeCell ref="A4:I4"/>
    <mergeCell ref="C44:H44"/>
    <mergeCell ref="H6:I6"/>
    <mergeCell ref="C34:I36"/>
    <mergeCell ref="C22:I22"/>
    <mergeCell ref="D37:E37"/>
    <mergeCell ref="F37:G37"/>
  </mergeCells>
  <printOptions horizontalCentered="1"/>
  <pageMargins left="0.7" right="0.7" top="0.75" bottom="0.75" header="0.3" footer="0.3"/>
  <pageSetup scale="74" orientation="portrait" horizontalDpi="4294967293"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1"/>
  <dimension ref="A1:AL56"/>
  <sheetViews>
    <sheetView view="pageBreakPreview" zoomScale="85" zoomScaleNormal="100" zoomScaleSheetLayoutView="85" workbookViewId="0"/>
  </sheetViews>
  <sheetFormatPr defaultColWidth="9" defaultRowHeight="15"/>
  <cols>
    <col min="1" max="1" width="9" style="3"/>
    <col min="2" max="2" width="33.33203125" style="3" customWidth="1"/>
    <col min="3" max="3" width="4.33203125" style="3" customWidth="1"/>
    <col min="4" max="4" width="16.88671875" style="3" customWidth="1"/>
    <col min="5" max="5" width="4.33203125" style="3" customWidth="1"/>
    <col min="6" max="6" width="16.88671875" style="3" customWidth="1"/>
    <col min="7" max="7" width="4.33203125" style="3" customWidth="1"/>
    <col min="8" max="8" width="16.88671875" style="3" customWidth="1"/>
    <col min="9" max="9" width="4.33203125" style="3" customWidth="1"/>
    <col min="10" max="10" width="16.88671875" style="3" customWidth="1"/>
    <col min="11" max="16384" width="9" style="3"/>
  </cols>
  <sheetData>
    <row r="1" spans="1:38">
      <c r="B1" s="1" t="str">
        <f>Input!G28</f>
        <v>Peoples Gas System</v>
      </c>
      <c r="C1" s="2"/>
      <c r="D1" s="2"/>
      <c r="E1" s="2"/>
      <c r="F1" s="2"/>
      <c r="G1" s="2"/>
      <c r="H1" s="2"/>
      <c r="I1" s="2"/>
      <c r="J1" s="2"/>
    </row>
    <row r="2" spans="1:38">
      <c r="B2" s="2" t="s">
        <v>1358</v>
      </c>
      <c r="C2" s="2"/>
      <c r="D2" s="2"/>
      <c r="E2" s="2"/>
      <c r="F2" s="2"/>
      <c r="G2" s="2"/>
      <c r="H2" s="2"/>
      <c r="I2" s="2"/>
      <c r="J2" s="2"/>
    </row>
    <row r="3" spans="1:38">
      <c r="B3" s="1" t="str">
        <f>Input!I29</f>
        <v>Utility Proxy Group</v>
      </c>
      <c r="C3" s="2"/>
      <c r="D3" s="2"/>
      <c r="E3" s="2"/>
      <c r="F3" s="2"/>
      <c r="G3" s="2"/>
      <c r="H3" s="2"/>
      <c r="I3" s="2"/>
      <c r="J3" s="2"/>
    </row>
    <row r="4" spans="1:38">
      <c r="B4" s="2"/>
      <c r="C4" s="2"/>
      <c r="D4" s="2"/>
      <c r="E4" s="2"/>
      <c r="F4" s="2"/>
      <c r="G4" s="2"/>
      <c r="H4" s="2"/>
      <c r="I4" s="2"/>
      <c r="J4" s="2"/>
    </row>
    <row r="5" spans="1:38">
      <c r="D5" s="2" t="s">
        <v>140</v>
      </c>
      <c r="E5" s="2"/>
      <c r="F5" s="2"/>
      <c r="H5" s="2" t="s">
        <v>141</v>
      </c>
      <c r="I5" s="2"/>
      <c r="J5" s="2"/>
    </row>
    <row r="6" spans="1:38">
      <c r="D6" s="2" t="s">
        <v>1356</v>
      </c>
      <c r="E6" s="2"/>
      <c r="F6" s="2"/>
      <c r="H6" s="2" t="str">
        <f>D6</f>
        <v>Long-Term Issuer Rating</v>
      </c>
      <c r="I6" s="2"/>
      <c r="J6" s="2"/>
    </row>
    <row r="7" spans="1:38">
      <c r="D7" s="232" t="str">
        <f>TEXT(Input!$E$2, "mmmm yyyy")</f>
        <v>December 2022</v>
      </c>
      <c r="E7" s="233"/>
      <c r="F7" s="233"/>
      <c r="H7" s="232" t="str">
        <f>D7</f>
        <v>December 2022</v>
      </c>
      <c r="I7" s="233"/>
      <c r="J7" s="233"/>
    </row>
    <row r="8" spans="1:38" ht="30">
      <c r="B8" s="438" t="str">
        <f>'7.6 CEM CAPM Backup'!B7</f>
        <v>Proxy Group of Thirty Nine Non-Price Regulated Companies</v>
      </c>
      <c r="D8" s="439" t="s">
        <v>1356</v>
      </c>
      <c r="F8" s="439" t="s">
        <v>184</v>
      </c>
      <c r="H8" s="439" t="str">
        <f>D8</f>
        <v>Long-Term Issuer Rating</v>
      </c>
      <c r="J8" s="439" t="s">
        <v>184</v>
      </c>
    </row>
    <row r="9" spans="1:38" ht="15.6">
      <c r="L9" s="123"/>
      <c r="M9" s="123"/>
    </row>
    <row r="10" spans="1:38" ht="15.75" customHeight="1">
      <c r="A10" s="3" t="str">
        <f>Input!C2</f>
        <v>A</v>
      </c>
      <c r="B10" s="3" t="str">
        <f>VLOOKUP($A10,'CEM Data Lookup'!$A:$P,2,FALSE)</f>
        <v>Agilent Technologies</v>
      </c>
      <c r="D10" s="510" t="str">
        <f>'CEM Data Lookup'!J4</f>
        <v>Baa2</v>
      </c>
      <c r="E10" s="5"/>
      <c r="F10" s="48">
        <f>IFERROR(VLOOKUP('7.4 CEM RPM Bond Ratings'!D10,'4.6 Moody''s_S&amp;P numbericl'!B:D,3,FALSE),"--")</f>
        <v>9</v>
      </c>
      <c r="G10" s="5"/>
      <c r="H10" s="510" t="str">
        <f>'CEM Data Lookup'!K4</f>
        <v>BBB+</v>
      </c>
      <c r="I10" s="5"/>
      <c r="J10" s="48">
        <f>IFERROR(VLOOKUP(H10, '4.6 Moody''s_S&amp;P numbericl'!$F$6:$H$26, 3, FALSE),"--")</f>
        <v>8</v>
      </c>
      <c r="L10" s="443"/>
      <c r="M10" s="443"/>
    </row>
    <row r="11" spans="1:38" ht="15.75" customHeight="1">
      <c r="A11" s="3" t="str">
        <f>Input!C3</f>
        <v>ABT</v>
      </c>
      <c r="B11" s="3" t="str">
        <f>VLOOKUP($A11,'CEM Data Lookup'!$A:$P,2,FALSE)</f>
        <v xml:space="preserve">Abbott Labs.        </v>
      </c>
      <c r="D11" s="510" t="str">
        <f>'CEM Data Lookup'!J5</f>
        <v>A1</v>
      </c>
      <c r="E11" s="5"/>
      <c r="F11" s="48">
        <f>IFERROR(VLOOKUP('7.4 CEM RPM Bond Ratings'!D11,'4.6 Moody''s_S&amp;P numbericl'!B:D,3,FALSE),"--")</f>
        <v>5</v>
      </c>
      <c r="G11" s="5"/>
      <c r="H11" s="510" t="str">
        <f>'CEM Data Lookup'!K5</f>
        <v>AA-</v>
      </c>
      <c r="I11" s="5"/>
      <c r="J11" s="48">
        <f>IFERROR(VLOOKUP(H11, '4.6 Moody''s_S&amp;P numbericl'!$F$6:$H$26, 3, FALSE),"--")</f>
        <v>4</v>
      </c>
      <c r="L11" s="443"/>
      <c r="M11" s="443"/>
    </row>
    <row r="12" spans="1:38" ht="15.75" customHeight="1">
      <c r="A12" s="3" t="str">
        <f>Input!C4</f>
        <v>ADI</v>
      </c>
      <c r="B12" s="3" t="str">
        <f>VLOOKUP($A12,'CEM Data Lookup'!$A:$P,2,FALSE)</f>
        <v xml:space="preserve">Analog Devices      </v>
      </c>
      <c r="D12" s="510" t="str">
        <f>'CEM Data Lookup'!J6</f>
        <v>A3</v>
      </c>
      <c r="E12" s="5"/>
      <c r="F12" s="48">
        <f>IFERROR(VLOOKUP('7.4 CEM RPM Bond Ratings'!D12,'4.6 Moody''s_S&amp;P numbericl'!B:D,3,FALSE),"--")</f>
        <v>7</v>
      </c>
      <c r="G12" s="5"/>
      <c r="H12" s="510" t="str">
        <f>'CEM Data Lookup'!K6</f>
        <v>A-</v>
      </c>
      <c r="I12" s="5"/>
      <c r="J12" s="48">
        <f>IFERROR(VLOOKUP(H12, '4.6 Moody''s_S&amp;P numbericl'!$F$6:$H$26, 3, FALSE),"--")</f>
        <v>7</v>
      </c>
      <c r="L12" s="443"/>
      <c r="M12" s="443"/>
      <c r="AF12" s="234"/>
      <c r="AG12" s="108"/>
      <c r="AH12" s="234"/>
      <c r="AI12" s="108"/>
      <c r="AJ12" s="234"/>
      <c r="AK12" s="108"/>
      <c r="AL12" s="234"/>
    </row>
    <row r="13" spans="1:38" ht="15.75" customHeight="1">
      <c r="A13" s="3" t="str">
        <f>Input!C5</f>
        <v>AIZ</v>
      </c>
      <c r="B13" s="3" t="str">
        <f>VLOOKUP($A13,'CEM Data Lookup'!$A:$P,2,FALSE)</f>
        <v xml:space="preserve">Assurant Inc.       </v>
      </c>
      <c r="D13" s="510" t="str">
        <f>'CEM Data Lookup'!J7</f>
        <v>Baa2</v>
      </c>
      <c r="E13" s="5"/>
      <c r="F13" s="48">
        <f>IFERROR(VLOOKUP('7.4 CEM RPM Bond Ratings'!D13,'4.6 Moody''s_S&amp;P numbericl'!B:D,3,FALSE),"--")</f>
        <v>9</v>
      </c>
      <c r="G13" s="5"/>
      <c r="H13" s="510" t="str">
        <f>'CEM Data Lookup'!K7</f>
        <v>BBB</v>
      </c>
      <c r="I13" s="5"/>
      <c r="J13" s="48">
        <f>IFERROR(VLOOKUP(H13, '4.6 Moody''s_S&amp;P numbericl'!$F$6:$H$26, 3, FALSE),"--")</f>
        <v>9</v>
      </c>
      <c r="L13" s="443"/>
      <c r="M13" s="443"/>
      <c r="AF13" s="108"/>
      <c r="AG13" s="108"/>
      <c r="AH13" s="108"/>
      <c r="AI13" s="108"/>
      <c r="AJ13" s="111"/>
      <c r="AK13" s="108"/>
      <c r="AL13" s="108"/>
    </row>
    <row r="14" spans="1:38" ht="15.75" customHeight="1">
      <c r="A14" s="3" t="str">
        <f>Input!C6</f>
        <v>AOS</v>
      </c>
      <c r="B14" s="3" t="str">
        <f>VLOOKUP($A14,'CEM Data Lookup'!$A:$P,2,FALSE)</f>
        <v xml:space="preserve">Smith (A.O.)        </v>
      </c>
      <c r="D14" s="510" t="str">
        <f>'CEM Data Lookup'!J8</f>
        <v>NA</v>
      </c>
      <c r="E14" s="5"/>
      <c r="F14" s="48" t="str">
        <f>IFERROR(VLOOKUP('7.4 CEM RPM Bond Ratings'!D14,'4.6 Moody''s_S&amp;P numbericl'!B:D,3,FALSE),"--")</f>
        <v>--</v>
      </c>
      <c r="G14" s="5"/>
      <c r="H14" s="510" t="str">
        <f>'CEM Data Lookup'!K8</f>
        <v>NA</v>
      </c>
      <c r="I14" s="5"/>
      <c r="J14" s="48" t="str">
        <f>IFERROR(VLOOKUP(H14, '4.6 Moody''s_S&amp;P numbericl'!$F$6:$H$26, 3, FALSE),"--")</f>
        <v>--</v>
      </c>
      <c r="L14" s="443"/>
      <c r="M14" s="443"/>
      <c r="AF14" s="111"/>
      <c r="AG14" s="108"/>
      <c r="AH14" s="111"/>
      <c r="AI14" s="108"/>
      <c r="AJ14" s="111"/>
      <c r="AK14" s="112"/>
      <c r="AL14" s="111"/>
    </row>
    <row r="15" spans="1:38" ht="15.75" customHeight="1">
      <c r="A15" s="3" t="str">
        <f>Input!C7</f>
        <v>APD</v>
      </c>
      <c r="B15" s="3" t="str">
        <f>VLOOKUP($A15,'CEM Data Lookup'!$A:$P,2,FALSE)</f>
        <v>Air Products &amp; Chem.</v>
      </c>
      <c r="D15" s="510" t="str">
        <f>'CEM Data Lookup'!J9</f>
        <v>A2</v>
      </c>
      <c r="E15" s="5"/>
      <c r="F15" s="48">
        <f>IFERROR(VLOOKUP('7.4 CEM RPM Bond Ratings'!D15,'4.6 Moody''s_S&amp;P numbericl'!B:D,3,FALSE),"--")</f>
        <v>6</v>
      </c>
      <c r="G15" s="5"/>
      <c r="H15" s="510" t="str">
        <f>'CEM Data Lookup'!K9</f>
        <v>A</v>
      </c>
      <c r="I15" s="5"/>
      <c r="J15" s="48">
        <f>IFERROR(VLOOKUP(H15, '4.6 Moody''s_S&amp;P numbericl'!$F$6:$H$26, 3, FALSE),"--")</f>
        <v>6</v>
      </c>
      <c r="L15" s="443"/>
      <c r="M15" s="443"/>
      <c r="AF15" s="111"/>
      <c r="AG15" s="108"/>
      <c r="AH15" s="111"/>
      <c r="AI15" s="108"/>
      <c r="AJ15" s="111"/>
      <c r="AK15" s="112"/>
      <c r="AL15" s="111"/>
    </row>
    <row r="16" spans="1:38" ht="15.75" customHeight="1">
      <c r="A16" s="3" t="str">
        <f>Input!C8</f>
        <v>BFB</v>
      </c>
      <c r="B16" s="3" t="str">
        <f>VLOOKUP($A16,'CEM Data Lookup'!$A:$P,2,FALSE)</f>
        <v xml:space="preserve">Brown-Forman 'B'    </v>
      </c>
      <c r="D16" s="510" t="str">
        <f>'CEM Data Lookup'!J10</f>
        <v>A1</v>
      </c>
      <c r="E16" s="5"/>
      <c r="F16" s="48">
        <f>IFERROR(VLOOKUP('7.4 CEM RPM Bond Ratings'!D16,'4.6 Moody''s_S&amp;P numbericl'!B:D,3,FALSE),"--")</f>
        <v>5</v>
      </c>
      <c r="G16" s="5"/>
      <c r="H16" s="510" t="str">
        <f>'CEM Data Lookup'!K10</f>
        <v>A-</v>
      </c>
      <c r="I16" s="5"/>
      <c r="J16" s="48">
        <f>IFERROR(VLOOKUP(H16, '4.6 Moody''s_S&amp;P numbericl'!$F$6:$H$26, 3, FALSE),"--")</f>
        <v>7</v>
      </c>
      <c r="L16" s="443"/>
      <c r="M16" s="443"/>
      <c r="AF16" s="111"/>
      <c r="AG16" s="108"/>
      <c r="AH16" s="111"/>
      <c r="AI16" s="108"/>
      <c r="AJ16" s="111"/>
      <c r="AK16" s="112"/>
      <c r="AL16" s="111"/>
    </row>
    <row r="17" spans="1:38" ht="15.75" customHeight="1">
      <c r="A17" s="3" t="str">
        <f>Input!C9</f>
        <v>BMY</v>
      </c>
      <c r="B17" s="3" t="str">
        <f>VLOOKUP($A17,'CEM Data Lookup'!$A:$P,2,FALSE)</f>
        <v>Bristol-Myers Squibb</v>
      </c>
      <c r="D17" s="510" t="str">
        <f>'CEM Data Lookup'!J11</f>
        <v>A2</v>
      </c>
      <c r="E17" s="5"/>
      <c r="F17" s="48">
        <f>IFERROR(VLOOKUP('7.4 CEM RPM Bond Ratings'!D17,'4.6 Moody''s_S&amp;P numbericl'!B:D,3,FALSE),"--")</f>
        <v>6</v>
      </c>
      <c r="G17" s="5"/>
      <c r="H17" s="510" t="str">
        <f>'CEM Data Lookup'!K11</f>
        <v>A+</v>
      </c>
      <c r="I17" s="5"/>
      <c r="J17" s="48">
        <f>IFERROR(VLOOKUP(H17, '4.6 Moody''s_S&amp;P numbericl'!$F$6:$H$26, 3, FALSE),"--")</f>
        <v>5</v>
      </c>
      <c r="L17" s="443"/>
      <c r="M17" s="443"/>
      <c r="AF17" s="111"/>
      <c r="AG17" s="108"/>
      <c r="AH17" s="111"/>
      <c r="AI17" s="108"/>
      <c r="AJ17" s="111"/>
      <c r="AK17" s="112"/>
      <c r="AL17" s="111"/>
    </row>
    <row r="18" spans="1:38" ht="15.75" customHeight="1">
      <c r="A18" s="3" t="str">
        <f>Input!C10</f>
        <v>BR</v>
      </c>
      <c r="B18" s="3" t="str">
        <f>VLOOKUP($A18,'CEM Data Lookup'!$A:$P,2,FALSE)</f>
        <v xml:space="preserve">Broadridge Fin'l    </v>
      </c>
      <c r="D18" s="510" t="str">
        <f>'CEM Data Lookup'!J12</f>
        <v>Baa1</v>
      </c>
      <c r="E18" s="5"/>
      <c r="F18" s="48">
        <f>IFERROR(VLOOKUP('7.4 CEM RPM Bond Ratings'!D18,'4.6 Moody''s_S&amp;P numbericl'!B:D,3,FALSE),"--")</f>
        <v>8</v>
      </c>
      <c r="G18" s="5"/>
      <c r="H18" s="510" t="str">
        <f>'CEM Data Lookup'!K12</f>
        <v>BBB+</v>
      </c>
      <c r="I18" s="5"/>
      <c r="J18" s="48">
        <f>IFERROR(VLOOKUP(H18, '4.6 Moody''s_S&amp;P numbericl'!$F$6:$H$26, 3, FALSE),"--")</f>
        <v>8</v>
      </c>
      <c r="L18" s="443"/>
      <c r="M18" s="443"/>
      <c r="AF18" s="111"/>
      <c r="AG18" s="108"/>
      <c r="AH18" s="111"/>
      <c r="AI18" s="108"/>
      <c r="AJ18" s="111"/>
      <c r="AK18" s="112"/>
      <c r="AL18" s="111"/>
    </row>
    <row r="19" spans="1:38" ht="15.75" customHeight="1">
      <c r="A19" s="3" t="str">
        <f>Input!C11</f>
        <v>CACI</v>
      </c>
      <c r="B19" s="3" t="str">
        <f>VLOOKUP($A19,'CEM Data Lookup'!$A:$P,2,FALSE)</f>
        <v xml:space="preserve">CACI Int'l          </v>
      </c>
      <c r="D19" s="510" t="str">
        <f>'CEM Data Lookup'!J13</f>
        <v>NA</v>
      </c>
      <c r="E19" s="5"/>
      <c r="F19" s="48" t="str">
        <f>IFERROR(VLOOKUP('7.4 CEM RPM Bond Ratings'!D19,'4.6 Moody''s_S&amp;P numbericl'!B:D,3,FALSE),"--")</f>
        <v>--</v>
      </c>
      <c r="G19" s="5"/>
      <c r="H19" s="510" t="str">
        <f>'CEM Data Lookup'!K13</f>
        <v>BB+</v>
      </c>
      <c r="I19" s="5"/>
      <c r="J19" s="48">
        <f>IFERROR(VLOOKUP(H19, '4.6 Moody''s_S&amp;P numbericl'!$F$6:$H$26, 3, FALSE),"--")</f>
        <v>11</v>
      </c>
      <c r="L19" s="443"/>
      <c r="M19" s="443"/>
      <c r="AF19" s="111"/>
      <c r="AG19" s="108"/>
      <c r="AH19" s="111"/>
      <c r="AI19" s="108"/>
      <c r="AJ19" s="111"/>
      <c r="AK19" s="112"/>
      <c r="AL19" s="111"/>
    </row>
    <row r="20" spans="1:38" ht="15.75" customHeight="1">
      <c r="A20" s="3" t="str">
        <f>Input!C12</f>
        <v>CHE</v>
      </c>
      <c r="B20" s="3" t="str">
        <f>VLOOKUP($A20,'CEM Data Lookup'!$A:$P,2,FALSE)</f>
        <v xml:space="preserve">Chemed Corp.        </v>
      </c>
      <c r="D20" s="510" t="str">
        <f>'CEM Data Lookup'!J14</f>
        <v>WR</v>
      </c>
      <c r="E20" s="5"/>
      <c r="F20" s="48" t="str">
        <f>IFERROR(VLOOKUP('7.4 CEM RPM Bond Ratings'!D20,'4.6 Moody''s_S&amp;P numbericl'!B:D,3,FALSE),"--")</f>
        <v>--</v>
      </c>
      <c r="G20" s="5"/>
      <c r="H20" s="510" t="str">
        <f>'CEM Data Lookup'!K14</f>
        <v>NR</v>
      </c>
      <c r="I20" s="5"/>
      <c r="J20" s="48" t="str">
        <f>IFERROR(VLOOKUP(H20, '4.6 Moody''s_S&amp;P numbericl'!$F$6:$H$26, 3, FALSE),"--")</f>
        <v>--</v>
      </c>
      <c r="L20" s="443"/>
      <c r="M20" s="443"/>
      <c r="AF20" s="111"/>
      <c r="AG20" s="108"/>
      <c r="AH20" s="111"/>
      <c r="AI20" s="108"/>
      <c r="AJ20" s="111"/>
      <c r="AK20" s="112"/>
      <c r="AL20" s="111"/>
    </row>
    <row r="21" spans="1:38" ht="15.75" customHeight="1">
      <c r="A21" s="3" t="str">
        <f>Input!C13</f>
        <v>CSWI</v>
      </c>
      <c r="B21" s="3" t="str">
        <f>VLOOKUP($A21,'CEM Data Lookup'!$A:$P,2,FALSE)</f>
        <v xml:space="preserve">CSW Industrials     </v>
      </c>
      <c r="D21" s="510" t="str">
        <f>'CEM Data Lookup'!J15</f>
        <v>NA</v>
      </c>
      <c r="E21" s="5"/>
      <c r="F21" s="48" t="str">
        <f>IFERROR(VLOOKUP('7.4 CEM RPM Bond Ratings'!D21,'4.6 Moody''s_S&amp;P numbericl'!B:D,3,FALSE),"--")</f>
        <v>--</v>
      </c>
      <c r="G21" s="5"/>
      <c r="H21" s="510" t="str">
        <f>'CEM Data Lookup'!K15</f>
        <v>NA</v>
      </c>
      <c r="I21" s="5"/>
      <c r="J21" s="48" t="str">
        <f>IFERROR(VLOOKUP(H21, '4.6 Moody''s_S&amp;P numbericl'!$F$6:$H$26, 3, FALSE),"--")</f>
        <v>--</v>
      </c>
      <c r="L21" s="443"/>
      <c r="M21" s="443"/>
      <c r="AF21" s="111"/>
      <c r="AG21" s="108"/>
      <c r="AH21" s="111"/>
      <c r="AI21" s="108"/>
      <c r="AJ21" s="111"/>
      <c r="AK21" s="112"/>
      <c r="AL21" s="111"/>
    </row>
    <row r="22" spans="1:38" ht="15.75" customHeight="1">
      <c r="A22" s="3" t="str">
        <f>Input!C14</f>
        <v>DGX</v>
      </c>
      <c r="B22" s="3" t="str">
        <f>VLOOKUP($A22,'CEM Data Lookup'!$A:$P,2,FALSE)</f>
        <v xml:space="preserve">Quest Diagnostics   </v>
      </c>
      <c r="D22" s="510" t="str">
        <f>'CEM Data Lookup'!J16</f>
        <v>Baa2</v>
      </c>
      <c r="E22" s="5"/>
      <c r="F22" s="48">
        <f>IFERROR(VLOOKUP('7.4 CEM RPM Bond Ratings'!D22,'4.6 Moody''s_S&amp;P numbericl'!B:D,3,FALSE),"--")</f>
        <v>9</v>
      </c>
      <c r="G22" s="5"/>
      <c r="H22" s="510" t="str">
        <f>'CEM Data Lookup'!K16</f>
        <v>BBB+</v>
      </c>
      <c r="I22" s="5"/>
      <c r="J22" s="48">
        <f>IFERROR(VLOOKUP(H22, '4.6 Moody''s_S&amp;P numbericl'!$F$6:$H$26, 3, FALSE),"--")</f>
        <v>8</v>
      </c>
      <c r="L22" s="443"/>
      <c r="M22" s="443"/>
      <c r="AF22" s="111"/>
      <c r="AG22" s="108"/>
      <c r="AH22" s="111"/>
      <c r="AI22" s="108"/>
      <c r="AJ22" s="111"/>
      <c r="AK22" s="112"/>
      <c r="AL22" s="111"/>
    </row>
    <row r="23" spans="1:38" ht="15.75" customHeight="1">
      <c r="A23" s="3" t="str">
        <f>Input!C15</f>
        <v>EXPO</v>
      </c>
      <c r="B23" s="3" t="str">
        <f>VLOOKUP($A23,'CEM Data Lookup'!$A:$P,2,FALSE)</f>
        <v xml:space="preserve">Exponent, Inc.      </v>
      </c>
      <c r="D23" s="510" t="str">
        <f>'CEM Data Lookup'!J17</f>
        <v>NA</v>
      </c>
      <c r="E23" s="5"/>
      <c r="F23" s="48" t="str">
        <f>IFERROR(VLOOKUP('7.4 CEM RPM Bond Ratings'!D23,'4.6 Moody''s_S&amp;P numbericl'!B:D,3,FALSE),"--")</f>
        <v>--</v>
      </c>
      <c r="G23" s="5"/>
      <c r="H23" s="510" t="str">
        <f>'CEM Data Lookup'!K17</f>
        <v>NA</v>
      </c>
      <c r="I23" s="5"/>
      <c r="J23" s="48" t="str">
        <f>IFERROR(VLOOKUP(H23, '4.6 Moody''s_S&amp;P numbericl'!$F$6:$H$26, 3, FALSE),"--")</f>
        <v>--</v>
      </c>
      <c r="L23" s="443"/>
      <c r="M23" s="443"/>
      <c r="AF23" s="111"/>
      <c r="AG23" s="108"/>
      <c r="AH23" s="111"/>
      <c r="AI23" s="108"/>
      <c r="AJ23" s="111"/>
      <c r="AK23" s="112"/>
      <c r="AL23" s="111"/>
    </row>
    <row r="24" spans="1:38" ht="15.75" customHeight="1">
      <c r="A24" s="3" t="str">
        <f>Input!C16</f>
        <v>INGR</v>
      </c>
      <c r="B24" s="3" t="str">
        <f>VLOOKUP($A24,'CEM Data Lookup'!$A:$P,2,FALSE)</f>
        <v xml:space="preserve">Ingredion Inc.      </v>
      </c>
      <c r="D24" s="510" t="str">
        <f>'CEM Data Lookup'!J18</f>
        <v>Baa1</v>
      </c>
      <c r="E24" s="5"/>
      <c r="F24" s="48">
        <f>IFERROR(VLOOKUP('7.4 CEM RPM Bond Ratings'!D24,'4.6 Moody''s_S&amp;P numbericl'!B:D,3,FALSE),"--")</f>
        <v>8</v>
      </c>
      <c r="G24" s="5"/>
      <c r="H24" s="510" t="str">
        <f>'CEM Data Lookup'!K18</f>
        <v>BBB</v>
      </c>
      <c r="I24" s="5"/>
      <c r="J24" s="48">
        <f>IFERROR(VLOOKUP(H24, '4.6 Moody''s_S&amp;P numbericl'!$F$6:$H$26, 3, FALSE),"--")</f>
        <v>9</v>
      </c>
      <c r="L24" s="443"/>
      <c r="M24" s="443"/>
      <c r="AF24" s="111"/>
      <c r="AG24" s="108"/>
      <c r="AH24" s="111"/>
      <c r="AI24" s="108"/>
      <c r="AJ24" s="111"/>
      <c r="AK24" s="112"/>
      <c r="AL24" s="111"/>
    </row>
    <row r="25" spans="1:38" ht="15.75" customHeight="1">
      <c r="A25" s="3" t="str">
        <f>Input!C17</f>
        <v>JJSF</v>
      </c>
      <c r="B25" s="3" t="str">
        <f>VLOOKUP($A25,'CEM Data Lookup'!$A:$P,2,FALSE)</f>
        <v xml:space="preserve">J&amp;J Snack Foods     </v>
      </c>
      <c r="D25" s="510" t="str">
        <f>'CEM Data Lookup'!J19</f>
        <v>NA</v>
      </c>
      <c r="E25" s="5"/>
      <c r="F25" s="48" t="str">
        <f>IFERROR(VLOOKUP('7.4 CEM RPM Bond Ratings'!D25,'4.6 Moody''s_S&amp;P numbericl'!B:D,3,FALSE),"--")</f>
        <v>--</v>
      </c>
      <c r="G25" s="5"/>
      <c r="H25" s="510" t="str">
        <f>'CEM Data Lookup'!K19</f>
        <v>NA</v>
      </c>
      <c r="I25" s="5"/>
      <c r="J25" s="48" t="str">
        <f>IFERROR(VLOOKUP(H25, '4.6 Moody''s_S&amp;P numbericl'!$F$6:$H$26, 3, FALSE),"--")</f>
        <v>--</v>
      </c>
      <c r="L25" s="443"/>
      <c r="M25" s="443"/>
      <c r="AF25" s="111"/>
      <c r="AG25" s="108"/>
      <c r="AH25" s="111"/>
      <c r="AI25" s="108"/>
      <c r="AJ25" s="111"/>
      <c r="AK25" s="112"/>
      <c r="AL25" s="111"/>
    </row>
    <row r="26" spans="1:38" ht="15.75" customHeight="1">
      <c r="A26" s="3" t="str">
        <f>Input!C18</f>
        <v>JKHY</v>
      </c>
      <c r="B26" s="3" t="str">
        <f>VLOOKUP($A26,'CEM Data Lookup'!$A:$P,2,FALSE)</f>
        <v>Henry (Jack) &amp; Assoc</v>
      </c>
      <c r="D26" s="510" t="str">
        <f>'CEM Data Lookup'!J20</f>
        <v>NA</v>
      </c>
      <c r="E26" s="5"/>
      <c r="F26" s="48" t="str">
        <f>IFERROR(VLOOKUP('7.4 CEM RPM Bond Ratings'!D26,'4.6 Moody''s_S&amp;P numbericl'!B:D,3,FALSE),"--")</f>
        <v>--</v>
      </c>
      <c r="G26" s="5"/>
      <c r="H26" s="510" t="str">
        <f>'CEM Data Lookup'!K20</f>
        <v>NA</v>
      </c>
      <c r="I26" s="5"/>
      <c r="J26" s="48" t="str">
        <f>IFERROR(VLOOKUP(H26, '4.6 Moody''s_S&amp;P numbericl'!$F$6:$H$26, 3, FALSE),"--")</f>
        <v>--</v>
      </c>
      <c r="L26" s="443"/>
      <c r="M26" s="443"/>
      <c r="AF26" s="111"/>
      <c r="AG26" s="108"/>
      <c r="AH26" s="111"/>
      <c r="AI26" s="108"/>
      <c r="AJ26" s="111"/>
      <c r="AK26" s="112"/>
      <c r="AL26" s="111"/>
    </row>
    <row r="27" spans="1:38" ht="15.75" customHeight="1">
      <c r="A27" s="3" t="str">
        <f>Input!C19</f>
        <v>MKC</v>
      </c>
      <c r="B27" s="3" t="str">
        <f>VLOOKUP($A27,'CEM Data Lookup'!$A:$P,2,FALSE)</f>
        <v xml:space="preserve">McCormick &amp; Co.     </v>
      </c>
      <c r="D27" s="510" t="str">
        <f>'CEM Data Lookup'!J21</f>
        <v>Baa2</v>
      </c>
      <c r="E27" s="5"/>
      <c r="F27" s="48">
        <f>IFERROR(VLOOKUP('7.4 CEM RPM Bond Ratings'!D27,'4.6 Moody''s_S&amp;P numbericl'!B:D,3,FALSE),"--")</f>
        <v>9</v>
      </c>
      <c r="G27" s="5"/>
      <c r="H27" s="510" t="str">
        <f>'CEM Data Lookup'!K21</f>
        <v>BBB</v>
      </c>
      <c r="I27" s="5"/>
      <c r="J27" s="48">
        <f>IFERROR(VLOOKUP(H27, '4.6 Moody''s_S&amp;P numbericl'!$F$6:$H$26, 3, FALSE),"--")</f>
        <v>9</v>
      </c>
      <c r="L27" s="443"/>
      <c r="M27" s="443"/>
      <c r="AF27" s="111"/>
      <c r="AG27" s="108"/>
      <c r="AH27" s="111"/>
      <c r="AI27" s="108"/>
      <c r="AJ27" s="111"/>
      <c r="AK27" s="112"/>
      <c r="AL27" s="111"/>
    </row>
    <row r="28" spans="1:38" ht="15.75" customHeight="1">
      <c r="A28" s="3" t="str">
        <f>Input!C20</f>
        <v>MRK</v>
      </c>
      <c r="B28" s="3" t="str">
        <f>VLOOKUP($A28,'CEM Data Lookup'!$A:$P,2,FALSE)</f>
        <v xml:space="preserve">Merck &amp; Co.         </v>
      </c>
      <c r="D28" s="510" t="str">
        <f>'CEM Data Lookup'!J22</f>
        <v>A1</v>
      </c>
      <c r="E28" s="5"/>
      <c r="F28" s="48">
        <f>IFERROR(VLOOKUP('7.4 CEM RPM Bond Ratings'!D28,'4.6 Moody''s_S&amp;P numbericl'!B:D,3,FALSE),"--")</f>
        <v>5</v>
      </c>
      <c r="G28" s="5"/>
      <c r="H28" s="510" t="str">
        <f>'CEM Data Lookup'!K22</f>
        <v>A+</v>
      </c>
      <c r="I28" s="5"/>
      <c r="J28" s="48">
        <f>IFERROR(VLOOKUP(H28, '4.6 Moody''s_S&amp;P numbericl'!$F$6:$H$26, 3, FALSE),"--")</f>
        <v>5</v>
      </c>
      <c r="L28" s="443"/>
      <c r="M28" s="443"/>
      <c r="AF28" s="111"/>
      <c r="AG28" s="108"/>
      <c r="AH28" s="111"/>
      <c r="AI28" s="108"/>
      <c r="AJ28" s="111"/>
      <c r="AK28" s="112"/>
      <c r="AL28" s="111"/>
    </row>
    <row r="29" spans="1:38" ht="15.75" customHeight="1">
      <c r="A29" s="3" t="str">
        <f>Input!C21</f>
        <v>MSCI</v>
      </c>
      <c r="B29" s="3" t="str">
        <f>VLOOKUP($A29,'CEM Data Lookup'!$A:$P,2,FALSE)</f>
        <v xml:space="preserve">MSCI Inc.           </v>
      </c>
      <c r="D29" s="510" t="str">
        <f>'CEM Data Lookup'!J23</f>
        <v>Ba1</v>
      </c>
      <c r="E29" s="5"/>
      <c r="F29" s="48">
        <f>IFERROR(VLOOKUP('7.4 CEM RPM Bond Ratings'!D29,'4.6 Moody''s_S&amp;P numbericl'!B:D,3,FALSE),"--")</f>
        <v>11</v>
      </c>
      <c r="G29" s="5"/>
      <c r="H29" s="510" t="str">
        <f>'CEM Data Lookup'!K23</f>
        <v>BB+</v>
      </c>
      <c r="I29" s="5"/>
      <c r="J29" s="48">
        <f>IFERROR(VLOOKUP(H29, '4.6 Moody''s_S&amp;P numbericl'!$F$6:$H$26, 3, FALSE),"--")</f>
        <v>11</v>
      </c>
      <c r="L29" s="443"/>
      <c r="M29" s="443"/>
      <c r="AF29" s="111"/>
      <c r="AG29" s="108"/>
      <c r="AH29" s="111"/>
      <c r="AI29" s="108"/>
      <c r="AJ29" s="111"/>
      <c r="AK29" s="112"/>
      <c r="AL29" s="111"/>
    </row>
    <row r="30" spans="1:38" ht="15.75" customHeight="1">
      <c r="A30" s="3" t="str">
        <f>Input!C22</f>
        <v>MSI</v>
      </c>
      <c r="B30" s="3" t="str">
        <f>VLOOKUP($A30,'CEM Data Lookup'!$A:$P,2,FALSE)</f>
        <v xml:space="preserve">Motorola Solutions  </v>
      </c>
      <c r="D30" s="510" t="str">
        <f>'CEM Data Lookup'!J24</f>
        <v>Baa3</v>
      </c>
      <c r="E30" s="5"/>
      <c r="F30" s="48">
        <f>IFERROR(VLOOKUP('7.4 CEM RPM Bond Ratings'!D30,'4.6 Moody''s_S&amp;P numbericl'!B:D,3,FALSE),"--")</f>
        <v>10</v>
      </c>
      <c r="G30" s="5"/>
      <c r="H30" s="510" t="str">
        <f>'CEM Data Lookup'!K24</f>
        <v>BBB-</v>
      </c>
      <c r="I30" s="5"/>
      <c r="J30" s="48">
        <f>IFERROR(VLOOKUP(H30, '4.6 Moody''s_S&amp;P numbericl'!$F$6:$H$26, 3, FALSE),"--")</f>
        <v>10</v>
      </c>
      <c r="L30" s="443"/>
      <c r="M30" s="443"/>
      <c r="AF30" s="111"/>
      <c r="AG30" s="108"/>
      <c r="AH30" s="111"/>
      <c r="AI30" s="108"/>
      <c r="AJ30" s="111"/>
      <c r="AK30" s="112"/>
      <c r="AL30" s="111"/>
    </row>
    <row r="31" spans="1:38" ht="15.75" customHeight="1">
      <c r="A31" s="3" t="str">
        <f>Input!C23</f>
        <v>NEU</v>
      </c>
      <c r="B31" s="3" t="str">
        <f>VLOOKUP($A31,'CEM Data Lookup'!$A:$P,2,FALSE)</f>
        <v xml:space="preserve">NewMarket Corp.     </v>
      </c>
      <c r="D31" s="510" t="str">
        <f>'CEM Data Lookup'!J25</f>
        <v>Baa2</v>
      </c>
      <c r="E31" s="5"/>
      <c r="F31" s="48">
        <f>IFERROR(VLOOKUP('7.4 CEM RPM Bond Ratings'!D31,'4.6 Moody''s_S&amp;P numbericl'!B:D,3,FALSE),"--")</f>
        <v>9</v>
      </c>
      <c r="G31" s="5"/>
      <c r="H31" s="510" t="str">
        <f>'CEM Data Lookup'!K25</f>
        <v>BBB+</v>
      </c>
      <c r="I31" s="5"/>
      <c r="J31" s="48">
        <f>IFERROR(VLOOKUP(H31, '4.6 Moody''s_S&amp;P numbericl'!$F$6:$H$26, 3, FALSE),"--")</f>
        <v>8</v>
      </c>
      <c r="L31" s="443"/>
      <c r="M31" s="443"/>
      <c r="AF31" s="111"/>
      <c r="AG31" s="108"/>
      <c r="AH31" s="111"/>
      <c r="AI31" s="108"/>
      <c r="AJ31" s="111"/>
      <c r="AK31" s="112"/>
      <c r="AL31" s="111"/>
    </row>
    <row r="32" spans="1:38" ht="15.75" customHeight="1">
      <c r="A32" s="3" t="str">
        <f>Input!C24</f>
        <v>NOC</v>
      </c>
      <c r="B32" s="3" t="str">
        <f>VLOOKUP($A32,'CEM Data Lookup'!$A:$P,2,FALSE)</f>
        <v xml:space="preserve">Northrop Grumman    </v>
      </c>
      <c r="D32" s="510" t="str">
        <f>'CEM Data Lookup'!J26</f>
        <v>Baa1</v>
      </c>
      <c r="E32" s="5"/>
      <c r="F32" s="48">
        <f>IFERROR(VLOOKUP('7.4 CEM RPM Bond Ratings'!D32,'4.6 Moody''s_S&amp;P numbericl'!B:D,3,FALSE),"--")</f>
        <v>8</v>
      </c>
      <c r="G32" s="5"/>
      <c r="H32" s="510" t="str">
        <f>'CEM Data Lookup'!K26</f>
        <v>BBB+</v>
      </c>
      <c r="I32" s="5"/>
      <c r="J32" s="48">
        <f>IFERROR(VLOOKUP(H32, '4.6 Moody''s_S&amp;P numbericl'!$F$6:$H$26, 3, FALSE),"--")</f>
        <v>8</v>
      </c>
      <c r="L32" s="443"/>
      <c r="M32" s="443"/>
      <c r="AF32" s="111"/>
      <c r="AG32" s="108"/>
      <c r="AH32" s="111"/>
      <c r="AI32" s="108"/>
      <c r="AJ32" s="111"/>
      <c r="AK32" s="112"/>
      <c r="AL32" s="111"/>
    </row>
    <row r="33" spans="1:38" ht="15.75" customHeight="1">
      <c r="A33" s="3" t="str">
        <f>Input!C25</f>
        <v>ODFL</v>
      </c>
      <c r="B33" s="3" t="str">
        <f>VLOOKUP($A33,'CEM Data Lookup'!$A:$P,2,FALSE)</f>
        <v>Old Dominion Freight</v>
      </c>
      <c r="D33" s="510" t="str">
        <f>'CEM Data Lookup'!J27</f>
        <v>NA</v>
      </c>
      <c r="E33" s="5"/>
      <c r="F33" s="48" t="str">
        <f>IFERROR(VLOOKUP('7.4 CEM RPM Bond Ratings'!D33,'4.6 Moody''s_S&amp;P numbericl'!B:D,3,FALSE),"--")</f>
        <v>--</v>
      </c>
      <c r="G33" s="5"/>
      <c r="H33" s="510" t="str">
        <f>'CEM Data Lookup'!K27</f>
        <v>NA</v>
      </c>
      <c r="I33" s="5"/>
      <c r="J33" s="48" t="str">
        <f>IFERROR(VLOOKUP(H33, '4.6 Moody''s_S&amp;P numbericl'!$F$6:$H$26, 3, FALSE),"--")</f>
        <v>--</v>
      </c>
      <c r="L33" s="443"/>
      <c r="M33" s="443"/>
      <c r="AF33" s="111"/>
      <c r="AG33" s="108"/>
      <c r="AH33" s="111"/>
      <c r="AI33" s="108"/>
      <c r="AJ33" s="111"/>
      <c r="AK33" s="112"/>
      <c r="AL33" s="111"/>
    </row>
    <row r="34" spans="1:38" ht="15.75" customHeight="1">
      <c r="A34" s="3" t="str">
        <f>Input!C26</f>
        <v>ORCL</v>
      </c>
      <c r="B34" s="3" t="str">
        <f>VLOOKUP($A34,'CEM Data Lookup'!$A:$P,2,FALSE)</f>
        <v xml:space="preserve">Oracle Corp.        </v>
      </c>
      <c r="D34" s="510" t="str">
        <f>'CEM Data Lookup'!J28</f>
        <v>Baa2</v>
      </c>
      <c r="E34" s="5"/>
      <c r="F34" s="48">
        <f>IFERROR(VLOOKUP('7.4 CEM RPM Bond Ratings'!D34,'4.6 Moody''s_S&amp;P numbericl'!B:D,3,FALSE),"--")</f>
        <v>9</v>
      </c>
      <c r="G34" s="5"/>
      <c r="H34" s="510" t="str">
        <f>'CEM Data Lookup'!K28</f>
        <v>BBB</v>
      </c>
      <c r="I34" s="5"/>
      <c r="J34" s="48">
        <f>IFERROR(VLOOKUP(H34, '4.6 Moody''s_S&amp;P numbericl'!$F$6:$H$26, 3, FALSE),"--")</f>
        <v>9</v>
      </c>
      <c r="L34" s="443"/>
      <c r="M34" s="443"/>
    </row>
    <row r="35" spans="1:38" ht="15.75" customHeight="1">
      <c r="A35" s="3" t="str">
        <f>Input!C27</f>
        <v>PGR</v>
      </c>
      <c r="B35" s="3" t="str">
        <f>VLOOKUP($A35,'CEM Data Lookup'!$A:$P,2,FALSE)</f>
        <v xml:space="preserve">Progressive Corp.   </v>
      </c>
      <c r="D35" s="510" t="str">
        <f>'CEM Data Lookup'!J29</f>
        <v>A2</v>
      </c>
      <c r="E35" s="5"/>
      <c r="F35" s="48">
        <f>IFERROR(VLOOKUP('7.4 CEM RPM Bond Ratings'!D35,'4.6 Moody''s_S&amp;P numbericl'!B:D,3,FALSE),"--")</f>
        <v>6</v>
      </c>
      <c r="G35" s="5"/>
      <c r="H35" s="510" t="str">
        <f>'CEM Data Lookup'!K29</f>
        <v>A</v>
      </c>
      <c r="I35" s="5"/>
      <c r="J35" s="48">
        <f>IFERROR(VLOOKUP(H35, '4.6 Moody''s_S&amp;P numbericl'!$F$6:$H$26, 3, FALSE),"--")</f>
        <v>6</v>
      </c>
      <c r="L35" s="443"/>
      <c r="M35" s="443"/>
    </row>
    <row r="36" spans="1:38" ht="15.75" customHeight="1">
      <c r="A36" s="3" t="str">
        <f>Input!C28</f>
        <v>POST</v>
      </c>
      <c r="B36" s="3" t="str">
        <f>VLOOKUP($A36,'CEM Data Lookup'!$A:$P,2,FALSE)</f>
        <v xml:space="preserve">Post Holdings       </v>
      </c>
      <c r="D36" s="510" t="str">
        <f>'CEM Data Lookup'!J30</f>
        <v>B2</v>
      </c>
      <c r="E36" s="5"/>
      <c r="F36" s="48">
        <f>IFERROR(VLOOKUP('7.4 CEM RPM Bond Ratings'!D36,'4.6 Moody''s_S&amp;P numbericl'!B:D,3,FALSE),"--")</f>
        <v>15</v>
      </c>
      <c r="G36" s="5"/>
      <c r="H36" s="510" t="str">
        <f>'CEM Data Lookup'!K30</f>
        <v>B+</v>
      </c>
      <c r="I36" s="5"/>
      <c r="J36" s="48">
        <f>IFERROR(VLOOKUP(H36, '4.6 Moody''s_S&amp;P numbericl'!$F$6:$H$26, 3, FALSE),"--")</f>
        <v>14</v>
      </c>
      <c r="L36" s="443"/>
      <c r="M36" s="443"/>
    </row>
    <row r="37" spans="1:38" ht="15.75" customHeight="1">
      <c r="A37" s="3" t="str">
        <f>Input!C29</f>
        <v>RLI</v>
      </c>
      <c r="B37" s="3" t="str">
        <f>VLOOKUP($A37,'CEM Data Lookup'!$A:$P,2,FALSE)</f>
        <v xml:space="preserve">RLI Corp.           </v>
      </c>
      <c r="D37" s="510" t="str">
        <f>'CEM Data Lookup'!J31</f>
        <v>Baa2</v>
      </c>
      <c r="E37" s="5"/>
      <c r="F37" s="48">
        <f>IFERROR(VLOOKUP('7.4 CEM RPM Bond Ratings'!D37,'4.6 Moody''s_S&amp;P numbericl'!B:D,3,FALSE),"--")</f>
        <v>9</v>
      </c>
      <c r="G37" s="5"/>
      <c r="H37" s="510" t="str">
        <f>'CEM Data Lookup'!K31</f>
        <v>BBB</v>
      </c>
      <c r="I37" s="5"/>
      <c r="J37" s="48">
        <f>IFERROR(VLOOKUP(H37, '4.6 Moody''s_S&amp;P numbericl'!$F$6:$H$26, 3, FALSE),"--")</f>
        <v>9</v>
      </c>
      <c r="L37" s="443"/>
      <c r="M37" s="443"/>
    </row>
    <row r="38" spans="1:38" ht="15.75" customHeight="1">
      <c r="A38" s="3" t="str">
        <f>Input!C30</f>
        <v>ROL</v>
      </c>
      <c r="B38" s="3" t="str">
        <f>VLOOKUP($A38,'CEM Data Lookup'!$A:$P,2,FALSE)</f>
        <v xml:space="preserve">Rollins, Inc.       </v>
      </c>
      <c r="D38" s="510" t="str">
        <f>'CEM Data Lookup'!J32</f>
        <v>NA</v>
      </c>
      <c r="E38" s="5"/>
      <c r="F38" s="48" t="str">
        <f>IFERROR(VLOOKUP('7.4 CEM RPM Bond Ratings'!D38,'4.6 Moody''s_S&amp;P numbericl'!B:D,3,FALSE),"--")</f>
        <v>--</v>
      </c>
      <c r="G38" s="5"/>
      <c r="H38" s="510" t="str">
        <f>'CEM Data Lookup'!K32</f>
        <v>NA</v>
      </c>
      <c r="I38" s="5"/>
      <c r="J38" s="48" t="str">
        <f>IFERROR(VLOOKUP(H38, '4.6 Moody''s_S&amp;P numbericl'!$F$6:$H$26, 3, FALSE),"--")</f>
        <v>--</v>
      </c>
      <c r="L38" s="443"/>
      <c r="M38" s="443"/>
    </row>
    <row r="39" spans="1:38" ht="15.75" customHeight="1">
      <c r="A39" s="3" t="str">
        <f>Input!C31</f>
        <v>SHW</v>
      </c>
      <c r="B39" s="3" t="str">
        <f>VLOOKUP($A39,'CEM Data Lookup'!$A:$P,2,FALSE)</f>
        <v xml:space="preserve">Sherwin-Williams    </v>
      </c>
      <c r="D39" s="510" t="str">
        <f>'CEM Data Lookup'!J33</f>
        <v>Baa2</v>
      </c>
      <c r="E39" s="5"/>
      <c r="F39" s="48">
        <f>IFERROR(VLOOKUP('7.4 CEM RPM Bond Ratings'!D39,'4.6 Moody''s_S&amp;P numbericl'!B:D,3,FALSE),"--")</f>
        <v>9</v>
      </c>
      <c r="G39" s="5"/>
      <c r="H39" s="510" t="str">
        <f>'CEM Data Lookup'!K33</f>
        <v>BBB</v>
      </c>
      <c r="I39" s="5"/>
      <c r="J39" s="48">
        <f>IFERROR(VLOOKUP(H39, '4.6 Moody''s_S&amp;P numbericl'!$F$6:$H$26, 3, FALSE),"--")</f>
        <v>9</v>
      </c>
      <c r="L39" s="443"/>
      <c r="M39" s="443"/>
    </row>
    <row r="40" spans="1:38" ht="15.75" customHeight="1">
      <c r="A40" s="3" t="str">
        <f>Input!C32</f>
        <v>SIGI</v>
      </c>
      <c r="B40" s="3" t="str">
        <f>VLOOKUP($A40,'CEM Data Lookup'!$A:$P,2,FALSE)</f>
        <v>Selective Ins. Group</v>
      </c>
      <c r="D40" s="510" t="str">
        <f>'CEM Data Lookup'!J34</f>
        <v>Baa2</v>
      </c>
      <c r="E40" s="5"/>
      <c r="F40" s="48">
        <f>IFERROR(VLOOKUP('7.4 CEM RPM Bond Ratings'!D40,'4.6 Moody''s_S&amp;P numbericl'!B:D,3,FALSE),"--")</f>
        <v>9</v>
      </c>
      <c r="G40" s="5"/>
      <c r="H40" s="510" t="str">
        <f>'CEM Data Lookup'!K34</f>
        <v>BBB</v>
      </c>
      <c r="I40" s="5"/>
      <c r="J40" s="48">
        <f>IFERROR(VLOOKUP(H40, '4.6 Moody''s_S&amp;P numbericl'!$F$6:$H$26, 3, FALSE),"--")</f>
        <v>9</v>
      </c>
      <c r="L40" s="443"/>
      <c r="M40" s="443"/>
    </row>
    <row r="41" spans="1:38" ht="15.75" customHeight="1">
      <c r="A41" s="3" t="str">
        <f>Input!C33</f>
        <v>SIRI</v>
      </c>
      <c r="B41" s="3" t="str">
        <f>VLOOKUP($A41,'CEM Data Lookup'!$A:$P,2,FALSE)</f>
        <v xml:space="preserve">Sirius XM Holdings  </v>
      </c>
      <c r="D41" s="510" t="str">
        <f>'CEM Data Lookup'!J35</f>
        <v>NA</v>
      </c>
      <c r="E41" s="5"/>
      <c r="F41" s="48" t="str">
        <f>IFERROR(VLOOKUP('7.4 CEM RPM Bond Ratings'!D41,'4.6 Moody''s_S&amp;P numbericl'!B:D,3,FALSE),"--")</f>
        <v>--</v>
      </c>
      <c r="G41" s="5"/>
      <c r="H41" s="510" t="str">
        <f>'CEM Data Lookup'!K35</f>
        <v>NA</v>
      </c>
      <c r="I41" s="5"/>
      <c r="J41" s="48" t="str">
        <f>IFERROR(VLOOKUP(H41, '4.6 Moody''s_S&amp;P numbericl'!$F$6:$H$26, 3, FALSE),"--")</f>
        <v>--</v>
      </c>
      <c r="L41" s="443"/>
      <c r="M41" s="443"/>
    </row>
    <row r="42" spans="1:38" ht="15.75" customHeight="1">
      <c r="A42" s="3" t="str">
        <f>Input!C34</f>
        <v>SXT</v>
      </c>
      <c r="B42" s="3" t="str">
        <f>VLOOKUP($A42,'CEM Data Lookup'!$A:$P,2,FALSE)</f>
        <v xml:space="preserve">Sensient Techn.     </v>
      </c>
      <c r="D42" s="510" t="str">
        <f>'CEM Data Lookup'!J36</f>
        <v>WR</v>
      </c>
      <c r="E42" s="5"/>
      <c r="F42" s="48" t="str">
        <f>IFERROR(VLOOKUP('7.4 CEM RPM Bond Ratings'!D42,'4.6 Moody''s_S&amp;P numbericl'!B:D,3,FALSE),"--")</f>
        <v>--</v>
      </c>
      <c r="G42" s="5"/>
      <c r="H42" s="510" t="str">
        <f>'CEM Data Lookup'!K36</f>
        <v>NR</v>
      </c>
      <c r="I42" s="5"/>
      <c r="J42" s="48" t="str">
        <f>IFERROR(VLOOKUP(H42, '4.6 Moody''s_S&amp;P numbericl'!$F$6:$H$26, 3, FALSE),"--")</f>
        <v>--</v>
      </c>
      <c r="L42" s="443"/>
      <c r="M42" s="443"/>
    </row>
    <row r="43" spans="1:38" ht="15.75" customHeight="1">
      <c r="A43" s="3" t="str">
        <f>Input!C35</f>
        <v>TMO</v>
      </c>
      <c r="B43" s="3" t="str">
        <f>VLOOKUP($A43,'CEM Data Lookup'!$A:$P,2,FALSE)</f>
        <v xml:space="preserve">Thermo Fisher Sci.  </v>
      </c>
      <c r="D43" s="510" t="str">
        <f>'CEM Data Lookup'!J37</f>
        <v>A3</v>
      </c>
      <c r="E43" s="5"/>
      <c r="F43" s="48">
        <f>IFERROR(VLOOKUP('7.4 CEM RPM Bond Ratings'!D43,'4.6 Moody''s_S&amp;P numbericl'!B:D,3,FALSE),"--")</f>
        <v>7</v>
      </c>
      <c r="G43" s="5"/>
      <c r="H43" s="510" t="str">
        <f>'CEM Data Lookup'!K37</f>
        <v>A-</v>
      </c>
      <c r="I43" s="5"/>
      <c r="J43" s="48">
        <f>IFERROR(VLOOKUP(H43, '4.6 Moody''s_S&amp;P numbericl'!$F$6:$H$26, 3, FALSE),"--")</f>
        <v>7</v>
      </c>
      <c r="L43" s="443"/>
      <c r="M43" s="443"/>
    </row>
    <row r="44" spans="1:38" ht="15.75" customHeight="1">
      <c r="A44" s="3" t="str">
        <f>Input!C36</f>
        <v>TXN</v>
      </c>
      <c r="B44" s="3" t="str">
        <f>VLOOKUP($A44,'CEM Data Lookup'!$A:$P,2,FALSE)</f>
        <v xml:space="preserve">Texas Instruments   </v>
      </c>
      <c r="D44" s="510" t="str">
        <f>'CEM Data Lookup'!J38</f>
        <v>Aa3</v>
      </c>
      <c r="E44" s="5"/>
      <c r="F44" s="48">
        <f>IFERROR(VLOOKUP('7.4 CEM RPM Bond Ratings'!D44,'4.6 Moody''s_S&amp;P numbericl'!B:D,3,FALSE),"--")</f>
        <v>4</v>
      </c>
      <c r="G44" s="5"/>
      <c r="H44" s="510" t="str">
        <f>'CEM Data Lookup'!K38</f>
        <v>A+</v>
      </c>
      <c r="I44" s="5"/>
      <c r="J44" s="48">
        <f>IFERROR(VLOOKUP(H44, '4.6 Moody''s_S&amp;P numbericl'!$F$6:$H$26, 3, FALSE),"--")</f>
        <v>5</v>
      </c>
      <c r="L44" s="443"/>
      <c r="M44" s="443"/>
    </row>
    <row r="45" spans="1:38" ht="15.75" customHeight="1">
      <c r="A45" s="3" t="str">
        <f>Input!C37</f>
        <v>VRSN</v>
      </c>
      <c r="B45" s="3" t="str">
        <f>VLOOKUP($A45,'CEM Data Lookup'!$A:$P,2,FALSE)</f>
        <v xml:space="preserve">VeriSign Inc.       </v>
      </c>
      <c r="D45" s="510" t="str">
        <f>'CEM Data Lookup'!J39</f>
        <v>Baa3</v>
      </c>
      <c r="E45" s="5"/>
      <c r="F45" s="48">
        <f>IFERROR(VLOOKUP('7.4 CEM RPM Bond Ratings'!D45,'4.6 Moody''s_S&amp;P numbericl'!B:D,3,FALSE),"--")</f>
        <v>10</v>
      </c>
      <c r="G45" s="5"/>
      <c r="H45" s="510" t="str">
        <f>'CEM Data Lookup'!K39</f>
        <v>BBB</v>
      </c>
      <c r="I45" s="5"/>
      <c r="J45" s="48">
        <f>IFERROR(VLOOKUP(H45, '4.6 Moody''s_S&amp;P numbericl'!$F$6:$H$26, 3, FALSE),"--")</f>
        <v>9</v>
      </c>
      <c r="L45" s="443"/>
      <c r="M45" s="443"/>
    </row>
    <row r="46" spans="1:38" ht="15.75" customHeight="1">
      <c r="A46" s="3" t="str">
        <f>Input!C38</f>
        <v>WAT</v>
      </c>
      <c r="B46" s="3" t="str">
        <f>VLOOKUP($A46,'CEM Data Lookup'!$A:$P,2,FALSE)</f>
        <v xml:space="preserve">Waters Corp.        </v>
      </c>
      <c r="D46" s="510" t="str">
        <f>'CEM Data Lookup'!J40</f>
        <v>NA</v>
      </c>
      <c r="E46" s="5"/>
      <c r="F46" s="48" t="str">
        <f>IFERROR(VLOOKUP('7.4 CEM RPM Bond Ratings'!D46,'4.6 Moody''s_S&amp;P numbericl'!B:D,3,FALSE),"--")</f>
        <v>--</v>
      </c>
      <c r="G46" s="5"/>
      <c r="H46" s="510" t="str">
        <f>'CEM Data Lookup'!K40</f>
        <v>NA</v>
      </c>
      <c r="I46" s="5"/>
      <c r="J46" s="48" t="str">
        <f>IFERROR(VLOOKUP(H46, '4.6 Moody''s_S&amp;P numbericl'!$F$6:$H$26, 3, FALSE),"--")</f>
        <v>--</v>
      </c>
      <c r="L46" s="443"/>
      <c r="M46" s="443"/>
    </row>
    <row r="47" spans="1:38" ht="15.75" customHeight="1">
      <c r="A47" s="3" t="str">
        <f>Input!C39</f>
        <v>WSO</v>
      </c>
      <c r="B47" s="3" t="str">
        <f>VLOOKUP($A47,'CEM Data Lookup'!$A:$P,2,FALSE)</f>
        <v xml:space="preserve">Watsco, Inc.        </v>
      </c>
      <c r="D47" s="510" t="str">
        <f>'CEM Data Lookup'!J41</f>
        <v>NA</v>
      </c>
      <c r="E47" s="5"/>
      <c r="F47" s="48" t="str">
        <f>IFERROR(VLOOKUP('7.4 CEM RPM Bond Ratings'!D47,'4.6 Moody''s_S&amp;P numbericl'!B:D,3,FALSE),"--")</f>
        <v>--</v>
      </c>
      <c r="G47" s="5"/>
      <c r="H47" s="510" t="str">
        <f>'CEM Data Lookup'!K41</f>
        <v>NA</v>
      </c>
      <c r="I47" s="5"/>
      <c r="J47" s="48" t="str">
        <f>IFERROR(VLOOKUP(H47, '4.6 Moody''s_S&amp;P numbericl'!$F$6:$H$26, 3, FALSE),"--")</f>
        <v>--</v>
      </c>
      <c r="L47" s="443"/>
      <c r="M47" s="443"/>
    </row>
    <row r="48" spans="1:38" ht="15.75" customHeight="1">
      <c r="A48" s="3" t="str">
        <f>Input!C40</f>
        <v>WU</v>
      </c>
      <c r="B48" s="3" t="str">
        <f>VLOOKUP($A48,'CEM Data Lookup'!$A:$P,2,FALSE)</f>
        <v xml:space="preserve">Western Union       </v>
      </c>
      <c r="D48" s="510" t="str">
        <f>'CEM Data Lookup'!J42</f>
        <v>Baa2</v>
      </c>
      <c r="E48" s="5"/>
      <c r="F48" s="48">
        <f>IFERROR(VLOOKUP('7.4 CEM RPM Bond Ratings'!D48,'4.6 Moody''s_S&amp;P numbericl'!B:D,3,FALSE),"--")</f>
        <v>9</v>
      </c>
      <c r="G48" s="5"/>
      <c r="H48" s="510" t="str">
        <f>'CEM Data Lookup'!K42</f>
        <v>BBB</v>
      </c>
      <c r="I48" s="5"/>
      <c r="J48" s="48">
        <f>IFERROR(VLOOKUP(H48, '4.6 Moody''s_S&amp;P numbericl'!$F$6:$H$26, 3, FALSE),"--")</f>
        <v>9</v>
      </c>
      <c r="L48" s="443"/>
      <c r="M48" s="443"/>
    </row>
    <row r="49" spans="2:13" ht="15.75" customHeight="1">
      <c r="D49" s="444"/>
      <c r="E49" s="5"/>
      <c r="F49" s="444"/>
      <c r="G49" s="5"/>
      <c r="H49" s="444"/>
      <c r="I49" s="5"/>
      <c r="J49" s="444"/>
      <c r="L49" s="443"/>
      <c r="M49" s="443"/>
    </row>
    <row r="50" spans="2:13" ht="15.75" customHeight="1" thickBot="1">
      <c r="B50" s="3" t="s">
        <v>80</v>
      </c>
      <c r="D50" s="94" t="s">
        <v>224</v>
      </c>
      <c r="E50" s="5"/>
      <c r="F50" s="49">
        <f>ROUND(AVERAGE(F9:F49),1)</f>
        <v>8.1</v>
      </c>
      <c r="G50" s="5"/>
      <c r="H50" s="94" t="s">
        <v>223</v>
      </c>
      <c r="I50" s="5"/>
      <c r="J50" s="49">
        <f>ROUND(AVERAGE(J9:J49),1)</f>
        <v>8.1</v>
      </c>
    </row>
    <row r="51" spans="2:13" ht="15.6" thickTop="1">
      <c r="D51" s="16"/>
      <c r="E51" s="5"/>
      <c r="F51" s="441"/>
      <c r="G51" s="5"/>
      <c r="H51" s="16"/>
      <c r="I51" s="5"/>
      <c r="J51" s="441"/>
    </row>
    <row r="52" spans="2:13">
      <c r="B52" s="10" t="s">
        <v>94</v>
      </c>
    </row>
    <row r="53" spans="2:13">
      <c r="B53" s="230" t="s">
        <v>95</v>
      </c>
      <c r="C53" s="3" t="s">
        <v>4451</v>
      </c>
    </row>
    <row r="54" spans="2:13">
      <c r="B54" s="230"/>
    </row>
    <row r="55" spans="2:13">
      <c r="B55" s="3" t="s">
        <v>146</v>
      </c>
    </row>
    <row r="56" spans="2:13">
      <c r="B56" s="235" t="s">
        <v>4222</v>
      </c>
    </row>
  </sheetData>
  <printOptions horizontalCentered="1"/>
  <pageMargins left="0.7" right="0.7" top="0.75" bottom="0.75" header="0.3" footer="0.3"/>
  <pageSetup scale="70" fitToHeight="2" orientation="portrait" horizontalDpi="4294967294"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G77"/>
  <sheetViews>
    <sheetView view="pageBreakPreview" topLeftCell="A19" zoomScale="80" zoomScaleNormal="100" zoomScaleSheetLayoutView="80" workbookViewId="0">
      <selection activeCell="C38" sqref="C38:G38"/>
    </sheetView>
  </sheetViews>
  <sheetFormatPr defaultColWidth="9" defaultRowHeight="15"/>
  <cols>
    <col min="1" max="1" width="9.88671875" style="13" customWidth="1"/>
    <col min="2" max="2" width="4.5546875" style="13" customWidth="1"/>
    <col min="3" max="3" width="43" style="13" customWidth="1"/>
    <col min="4" max="4" width="6" style="13" customWidth="1"/>
    <col min="5" max="5" width="5.5546875" style="13" customWidth="1"/>
    <col min="6" max="6" width="21.44140625" style="13" customWidth="1"/>
    <col min="7" max="7" width="3" style="13" customWidth="1"/>
    <col min="8" max="16384" width="9" style="13"/>
  </cols>
  <sheetData>
    <row r="1" spans="1:7">
      <c r="A1" s="1001" t="str">
        <f>Input!G28</f>
        <v>Peoples Gas System</v>
      </c>
      <c r="B1" s="1001"/>
      <c r="C1" s="1001"/>
      <c r="D1" s="1001"/>
      <c r="E1" s="1001"/>
      <c r="F1" s="1001"/>
      <c r="G1" s="1001"/>
    </row>
    <row r="2" spans="1:7">
      <c r="A2" s="1024" t="s">
        <v>102</v>
      </c>
      <c r="B2" s="1024"/>
      <c r="C2" s="1024"/>
      <c r="D2" s="1024"/>
      <c r="E2" s="1024"/>
      <c r="F2" s="1024"/>
      <c r="G2" s="1024"/>
    </row>
    <row r="3" spans="1:7">
      <c r="A3" s="1024" t="s">
        <v>103</v>
      </c>
      <c r="B3" s="1024"/>
      <c r="C3" s="1024"/>
      <c r="D3" s="1024"/>
      <c r="E3" s="1024"/>
      <c r="F3" s="1024"/>
      <c r="G3" s="1024"/>
    </row>
    <row r="4" spans="1:7">
      <c r="A4" s="1024" t="s">
        <v>4219</v>
      </c>
      <c r="B4" s="1024"/>
      <c r="C4" s="1024"/>
      <c r="D4" s="1024"/>
      <c r="E4" s="1024"/>
      <c r="F4" s="1024"/>
      <c r="G4" s="1024"/>
    </row>
    <row r="5" spans="1:7">
      <c r="A5" s="1001" t="str">
        <f>Input!I29</f>
        <v>Utility Proxy Group</v>
      </c>
      <c r="B5" s="1001"/>
      <c r="C5" s="1001"/>
      <c r="D5" s="1001"/>
      <c r="E5" s="1001"/>
      <c r="F5" s="1001"/>
      <c r="G5" s="1001"/>
    </row>
    <row r="6" spans="1:7">
      <c r="A6" s="15"/>
      <c r="B6" s="15"/>
      <c r="C6" s="15"/>
      <c r="D6" s="15"/>
      <c r="E6" s="15"/>
      <c r="F6" s="15"/>
      <c r="G6" s="15"/>
    </row>
    <row r="7" spans="1:7" ht="75.75" customHeight="1">
      <c r="A7" s="321" t="s">
        <v>92</v>
      </c>
      <c r="C7" s="33" t="s">
        <v>1323</v>
      </c>
      <c r="E7" s="15"/>
      <c r="F7" s="1028" t="str">
        <f>'7.6 CEM CAPM Backup'!B7</f>
        <v>Proxy Group of Thirty Nine Non-Price Regulated Companies</v>
      </c>
      <c r="G7" s="1028"/>
    </row>
    <row r="9" spans="1:7">
      <c r="A9" s="16" t="s">
        <v>93</v>
      </c>
      <c r="C9" s="34" t="s">
        <v>4560</v>
      </c>
      <c r="D9" s="34"/>
      <c r="E9" s="34"/>
      <c r="F9" s="34">
        <f>'4.8-4.9 Beta Adjusted ERP'!E11</f>
        <v>6.13</v>
      </c>
      <c r="G9" s="35" t="s">
        <v>18</v>
      </c>
    </row>
    <row r="10" spans="1:7">
      <c r="C10" s="34"/>
      <c r="D10" s="34"/>
      <c r="E10" s="34"/>
      <c r="F10" s="34"/>
    </row>
    <row r="11" spans="1:7">
      <c r="A11" s="16" t="s">
        <v>99</v>
      </c>
      <c r="C11" s="34" t="s">
        <v>4561</v>
      </c>
      <c r="D11" s="34"/>
      <c r="E11" s="34"/>
      <c r="F11" s="34">
        <f>'MRP ERP WP'!$AK$42*100</f>
        <v>7.2582293456286067</v>
      </c>
    </row>
    <row r="12" spans="1:7">
      <c r="C12" s="34"/>
      <c r="D12" s="34"/>
      <c r="E12" s="34"/>
      <c r="F12" s="34"/>
    </row>
    <row r="13" spans="1:7">
      <c r="A13" s="16" t="s">
        <v>100</v>
      </c>
      <c r="C13" s="34" t="s">
        <v>4562</v>
      </c>
      <c r="D13" s="34"/>
      <c r="E13" s="34"/>
      <c r="F13" s="34">
        <f>'PRPM WP1'!$J$1181*100</f>
        <v>11.459385708050219</v>
      </c>
    </row>
    <row r="14" spans="1:7">
      <c r="A14" s="16"/>
      <c r="C14" s="34"/>
      <c r="D14" s="34"/>
      <c r="E14" s="34"/>
      <c r="F14" s="34"/>
    </row>
    <row r="15" spans="1:7" ht="30">
      <c r="A15" s="38" t="s">
        <v>104</v>
      </c>
      <c r="C15" s="37" t="s">
        <v>4146</v>
      </c>
      <c r="D15" s="34"/>
      <c r="E15" s="34"/>
      <c r="F15" s="34">
        <f>'MRP WP1'!$M$22*100-'MRP WP1'!$M$37</f>
        <v>11.530000000000001</v>
      </c>
    </row>
    <row r="16" spans="1:7">
      <c r="A16" s="38"/>
      <c r="C16" s="37"/>
      <c r="D16" s="34"/>
      <c r="E16" s="34"/>
      <c r="F16" s="34"/>
    </row>
    <row r="17" spans="1:7" ht="30">
      <c r="A17" s="36">
        <v>5</v>
      </c>
      <c r="C17" s="37" t="s">
        <v>4147</v>
      </c>
      <c r="D17" s="34"/>
      <c r="E17" s="34"/>
      <c r="F17" s="34">
        <f>'4.8-4.9 Beta Adjusted ERP'!E19</f>
        <v>10.621050750081153</v>
      </c>
    </row>
    <row r="18" spans="1:7">
      <c r="C18" s="37"/>
      <c r="D18" s="34"/>
      <c r="E18" s="34"/>
      <c r="F18" s="34"/>
    </row>
    <row r="19" spans="1:7" ht="30">
      <c r="A19" s="38" t="s">
        <v>106</v>
      </c>
      <c r="C19" s="37" t="s">
        <v>4143</v>
      </c>
      <c r="D19" s="34"/>
      <c r="E19" s="34"/>
      <c r="F19" s="40">
        <f>'4.8-4.9 Beta Adjusted ERP'!E21</f>
        <v>6.008401239764015</v>
      </c>
    </row>
    <row r="20" spans="1:7" ht="15.75" customHeight="1">
      <c r="C20" s="34"/>
      <c r="D20" s="34"/>
      <c r="E20" s="34"/>
    </row>
    <row r="21" spans="1:7" ht="15.75" customHeight="1">
      <c r="A21" s="25" t="s">
        <v>108</v>
      </c>
      <c r="C21" s="39" t="s">
        <v>2331</v>
      </c>
      <c r="D21" s="34"/>
      <c r="E21" s="34"/>
      <c r="F21" s="56">
        <f>ROUND(AVERAGE(F9,F11,F13,F15,F17,F19),2)</f>
        <v>8.83</v>
      </c>
      <c r="G21" s="35" t="s">
        <v>18</v>
      </c>
    </row>
    <row r="22" spans="1:7" ht="15.75" customHeight="1">
      <c r="C22" s="34"/>
      <c r="D22" s="34"/>
      <c r="E22" s="34"/>
    </row>
    <row r="23" spans="1:7" ht="15.75" customHeight="1">
      <c r="A23" s="25" t="s">
        <v>109</v>
      </c>
      <c r="C23" s="34" t="s">
        <v>4144</v>
      </c>
      <c r="D23" s="34"/>
      <c r="E23" s="34"/>
      <c r="F23" s="440">
        <f>'7.6 CEM CAPM Backup'!H53</f>
        <v>0.84</v>
      </c>
    </row>
    <row r="24" spans="1:7" ht="15.75" customHeight="1">
      <c r="C24" s="34"/>
      <c r="D24" s="34"/>
      <c r="E24" s="34"/>
    </row>
    <row r="25" spans="1:7" ht="15.6" thickBot="1">
      <c r="A25" s="25" t="s">
        <v>2195</v>
      </c>
      <c r="C25" s="34" t="s">
        <v>107</v>
      </c>
      <c r="D25" s="34"/>
      <c r="E25" s="34"/>
      <c r="F25" s="41">
        <f>ROUND(F21*F23,2)</f>
        <v>7.42</v>
      </c>
      <c r="G25" s="34" t="s">
        <v>18</v>
      </c>
    </row>
    <row r="26" spans="1:7" ht="15.6" thickTop="1">
      <c r="A26" s="25"/>
      <c r="C26" s="34"/>
      <c r="D26" s="34"/>
      <c r="E26" s="34"/>
      <c r="F26" s="34"/>
      <c r="G26" s="34"/>
    </row>
    <row r="27" spans="1:7">
      <c r="A27" s="69" t="s">
        <v>94</v>
      </c>
      <c r="C27" s="34"/>
      <c r="D27" s="34"/>
      <c r="E27" s="34"/>
      <c r="F27" s="34"/>
      <c r="G27" s="34"/>
    </row>
    <row r="28" spans="1:7">
      <c r="A28" s="25"/>
      <c r="B28" s="21" t="s">
        <v>95</v>
      </c>
      <c r="C28" s="34" t="s">
        <v>4506</v>
      </c>
      <c r="D28" s="34"/>
      <c r="E28" s="34"/>
      <c r="F28" s="34"/>
      <c r="G28" s="34"/>
    </row>
    <row r="29" spans="1:7">
      <c r="A29" s="25"/>
      <c r="B29" s="55" t="s">
        <v>96</v>
      </c>
      <c r="C29" s="34" t="s">
        <v>4507</v>
      </c>
      <c r="D29" s="34"/>
      <c r="E29" s="34"/>
      <c r="F29" s="34"/>
      <c r="G29" s="34"/>
    </row>
    <row r="30" spans="1:7">
      <c r="A30" s="25"/>
      <c r="B30" s="55" t="s">
        <v>97</v>
      </c>
      <c r="C30" s="34" t="s">
        <v>4508</v>
      </c>
      <c r="D30" s="34"/>
      <c r="E30" s="34"/>
      <c r="F30" s="34"/>
      <c r="G30" s="34"/>
    </row>
    <row r="31" spans="1:7">
      <c r="A31" s="25"/>
      <c r="B31" s="55" t="s">
        <v>98</v>
      </c>
      <c r="C31" s="34" t="s">
        <v>4509</v>
      </c>
      <c r="D31" s="34"/>
      <c r="E31" s="34"/>
      <c r="F31" s="34"/>
      <c r="G31" s="34"/>
    </row>
    <row r="32" spans="1:7">
      <c r="A32" s="25"/>
      <c r="B32" s="55" t="s">
        <v>110</v>
      </c>
      <c r="C32" s="34" t="s">
        <v>4510</v>
      </c>
      <c r="D32" s="34"/>
      <c r="E32" s="34"/>
      <c r="F32" s="34"/>
      <c r="G32" s="34"/>
    </row>
    <row r="33" spans="1:7">
      <c r="A33" s="25"/>
      <c r="B33" s="55" t="s">
        <v>111</v>
      </c>
      <c r="C33" s="34" t="s">
        <v>4511</v>
      </c>
      <c r="D33" s="34"/>
      <c r="E33" s="34"/>
      <c r="F33" s="34"/>
      <c r="G33" s="34"/>
    </row>
    <row r="34" spans="1:7">
      <c r="A34" s="29"/>
      <c r="B34" s="55" t="s">
        <v>2161</v>
      </c>
      <c r="C34" s="43" t="s">
        <v>4504</v>
      </c>
    </row>
    <row r="35" spans="1:7">
      <c r="A35" s="29"/>
      <c r="B35" s="29"/>
      <c r="C35" s="43"/>
      <c r="D35" s="322"/>
      <c r="E35" s="322"/>
      <c r="F35" s="322"/>
      <c r="G35" s="322"/>
    </row>
    <row r="36" spans="1:7">
      <c r="B36" s="13" t="s">
        <v>151</v>
      </c>
      <c r="C36" s="34"/>
      <c r="D36" s="34"/>
      <c r="E36" s="34"/>
      <c r="F36" s="34"/>
      <c r="G36" s="34"/>
    </row>
    <row r="37" spans="1:7" ht="15.75" customHeight="1">
      <c r="C37" s="1044" t="str">
        <f>'5.2 CAPM Notes'!B61</f>
        <v>Stocks, Bonds, Bills, and Inflation -  2022 SBBI Yearbook, Kroll.</v>
      </c>
      <c r="D37" s="1044"/>
      <c r="E37" s="1044"/>
      <c r="F37" s="1044"/>
      <c r="G37" s="1044"/>
    </row>
    <row r="38" spans="1:7">
      <c r="C38" s="1044" t="s">
        <v>4223</v>
      </c>
      <c r="D38" s="1044"/>
      <c r="E38" s="1044"/>
      <c r="F38" s="1044"/>
      <c r="G38" s="1044"/>
    </row>
    <row r="39" spans="1:7">
      <c r="C39" s="44" t="str">
        <f>'5.2 CAPM Notes'!B60</f>
        <v>Blue Chip Financial Forecasts December 2, 2022 and January 1, 2022.</v>
      </c>
      <c r="D39" s="34"/>
      <c r="E39" s="34"/>
      <c r="F39" s="34"/>
      <c r="G39" s="34"/>
    </row>
    <row r="40" spans="1:7">
      <c r="C40" s="44" t="s">
        <v>4222</v>
      </c>
      <c r="D40" s="34"/>
      <c r="E40" s="34"/>
      <c r="F40" s="34"/>
      <c r="G40" s="34"/>
    </row>
    <row r="41" spans="1:7">
      <c r="C41" s="45"/>
      <c r="D41" s="34"/>
      <c r="E41" s="34"/>
      <c r="F41" s="34"/>
      <c r="G41" s="34"/>
    </row>
    <row r="42" spans="1:7">
      <c r="C42" s="34"/>
      <c r="D42" s="34"/>
      <c r="E42" s="34"/>
      <c r="F42" s="34"/>
      <c r="G42" s="34"/>
    </row>
    <row r="43" spans="1:7">
      <c r="C43" s="46"/>
      <c r="D43" s="34"/>
      <c r="E43" s="34"/>
      <c r="F43" s="34"/>
      <c r="G43" s="34"/>
    </row>
    <row r="44" spans="1:7">
      <c r="C44" s="34"/>
      <c r="D44" s="34"/>
      <c r="E44" s="34"/>
      <c r="F44" s="34"/>
      <c r="G44" s="34"/>
    </row>
    <row r="45" spans="1:7">
      <c r="B45" s="47"/>
      <c r="C45" s="42"/>
      <c r="D45" s="42"/>
      <c r="E45" s="42"/>
      <c r="F45" s="42"/>
      <c r="G45" s="42"/>
    </row>
    <row r="46" spans="1:7" ht="32.25" customHeight="1">
      <c r="B46" s="47"/>
      <c r="C46" s="42"/>
      <c r="D46" s="42"/>
      <c r="E46" s="42"/>
      <c r="F46" s="42"/>
      <c r="G46" s="42"/>
    </row>
    <row r="47" spans="1:7">
      <c r="B47" s="47"/>
      <c r="C47" s="34"/>
      <c r="D47" s="34"/>
      <c r="E47" s="34"/>
      <c r="F47" s="34"/>
      <c r="G47" s="34"/>
    </row>
    <row r="48" spans="1:7">
      <c r="C48" s="34"/>
      <c r="D48" s="34"/>
      <c r="E48" s="34"/>
      <c r="F48" s="34"/>
      <c r="G48" s="34"/>
    </row>
    <row r="49" spans="3:7">
      <c r="C49" s="34"/>
      <c r="D49" s="34"/>
      <c r="E49" s="34"/>
      <c r="F49" s="34"/>
      <c r="G49" s="34"/>
    </row>
    <row r="50" spans="3:7">
      <c r="C50" s="34"/>
      <c r="D50" s="34"/>
      <c r="E50" s="34"/>
      <c r="F50" s="34"/>
      <c r="G50" s="34"/>
    </row>
    <row r="51" spans="3:7">
      <c r="C51" s="34"/>
      <c r="D51" s="34"/>
      <c r="E51" s="34"/>
      <c r="F51" s="34"/>
      <c r="G51" s="34"/>
    </row>
    <row r="52" spans="3:7">
      <c r="C52" s="34"/>
      <c r="D52" s="34"/>
      <c r="E52" s="34"/>
      <c r="F52" s="34"/>
      <c r="G52" s="34"/>
    </row>
    <row r="53" spans="3:7">
      <c r="C53" s="34"/>
      <c r="D53" s="34"/>
      <c r="E53" s="34"/>
      <c r="F53" s="34"/>
      <c r="G53" s="34"/>
    </row>
    <row r="54" spans="3:7">
      <c r="C54" s="34"/>
      <c r="D54" s="34"/>
      <c r="E54" s="34"/>
      <c r="F54" s="34"/>
      <c r="G54" s="34"/>
    </row>
    <row r="55" spans="3:7">
      <c r="C55" s="34"/>
      <c r="D55" s="34"/>
      <c r="E55" s="34"/>
      <c r="F55" s="34"/>
      <c r="G55" s="34"/>
    </row>
    <row r="56" spans="3:7">
      <c r="C56" s="34"/>
      <c r="D56" s="34"/>
      <c r="E56" s="34"/>
      <c r="F56" s="34"/>
      <c r="G56" s="34"/>
    </row>
    <row r="57" spans="3:7">
      <c r="C57" s="34"/>
      <c r="D57" s="34"/>
      <c r="E57" s="34"/>
      <c r="F57" s="34"/>
      <c r="G57" s="34"/>
    </row>
    <row r="58" spans="3:7">
      <c r="C58" s="34"/>
      <c r="D58" s="34"/>
      <c r="E58" s="34"/>
      <c r="F58" s="34"/>
      <c r="G58" s="34"/>
    </row>
    <row r="59" spans="3:7">
      <c r="C59" s="34"/>
      <c r="D59" s="34"/>
      <c r="E59" s="34"/>
      <c r="F59" s="34"/>
      <c r="G59" s="34"/>
    </row>
    <row r="60" spans="3:7">
      <c r="C60" s="34"/>
      <c r="D60" s="34"/>
      <c r="E60" s="34"/>
      <c r="F60" s="34"/>
      <c r="G60" s="34"/>
    </row>
    <row r="61" spans="3:7">
      <c r="C61" s="34"/>
      <c r="D61" s="34"/>
      <c r="E61" s="34"/>
      <c r="F61" s="34"/>
      <c r="G61" s="34"/>
    </row>
    <row r="62" spans="3:7">
      <c r="C62" s="34"/>
      <c r="D62" s="34"/>
      <c r="E62" s="34"/>
      <c r="F62" s="34"/>
      <c r="G62" s="34"/>
    </row>
    <row r="63" spans="3:7">
      <c r="C63" s="34"/>
      <c r="D63" s="34"/>
      <c r="E63" s="34"/>
      <c r="F63" s="34"/>
      <c r="G63" s="34"/>
    </row>
    <row r="64" spans="3:7">
      <c r="C64" s="34"/>
      <c r="D64" s="34"/>
      <c r="E64" s="34"/>
      <c r="F64" s="34"/>
      <c r="G64" s="34"/>
    </row>
    <row r="65" spans="3:7">
      <c r="C65" s="34"/>
      <c r="D65" s="34"/>
      <c r="E65" s="34"/>
      <c r="F65" s="34"/>
      <c r="G65" s="34"/>
    </row>
    <row r="66" spans="3:7">
      <c r="C66" s="34"/>
      <c r="D66" s="34"/>
      <c r="E66" s="34"/>
      <c r="F66" s="34"/>
      <c r="G66" s="34"/>
    </row>
    <row r="67" spans="3:7">
      <c r="C67" s="34"/>
      <c r="D67" s="34"/>
      <c r="E67" s="34"/>
      <c r="F67" s="34"/>
      <c r="G67" s="34"/>
    </row>
    <row r="68" spans="3:7">
      <c r="C68" s="34"/>
      <c r="D68" s="34"/>
      <c r="E68" s="34"/>
      <c r="F68" s="34"/>
      <c r="G68" s="34"/>
    </row>
    <row r="69" spans="3:7">
      <c r="C69" s="34"/>
      <c r="D69" s="34"/>
      <c r="E69" s="34"/>
      <c r="F69" s="34"/>
      <c r="G69" s="34"/>
    </row>
    <row r="70" spans="3:7">
      <c r="C70" s="34"/>
      <c r="D70" s="34"/>
      <c r="E70" s="34"/>
      <c r="F70" s="34"/>
      <c r="G70" s="34"/>
    </row>
    <row r="71" spans="3:7">
      <c r="C71" s="34"/>
      <c r="D71" s="34"/>
      <c r="E71" s="34"/>
      <c r="F71" s="34"/>
      <c r="G71" s="34"/>
    </row>
    <row r="72" spans="3:7">
      <c r="C72" s="34"/>
      <c r="D72" s="34"/>
      <c r="E72" s="34"/>
      <c r="F72" s="34"/>
      <c r="G72" s="34"/>
    </row>
    <row r="73" spans="3:7">
      <c r="C73" s="34"/>
      <c r="D73" s="34"/>
      <c r="E73" s="34"/>
      <c r="F73" s="34"/>
      <c r="G73" s="34"/>
    </row>
    <row r="74" spans="3:7">
      <c r="C74" s="34"/>
      <c r="D74" s="34"/>
      <c r="E74" s="34"/>
      <c r="F74" s="34"/>
      <c r="G74" s="34"/>
    </row>
    <row r="75" spans="3:7">
      <c r="C75" s="34"/>
      <c r="D75" s="34"/>
      <c r="E75" s="34"/>
      <c r="F75" s="34"/>
      <c r="G75" s="34"/>
    </row>
    <row r="76" spans="3:7">
      <c r="C76" s="34"/>
      <c r="D76" s="34"/>
      <c r="E76" s="34"/>
      <c r="F76" s="34"/>
      <c r="G76" s="34"/>
    </row>
    <row r="77" spans="3:7">
      <c r="C77" s="34"/>
      <c r="D77" s="34"/>
      <c r="E77" s="34"/>
      <c r="F77" s="34"/>
      <c r="G77" s="34"/>
    </row>
  </sheetData>
  <mergeCells count="8">
    <mergeCell ref="C38:G38"/>
    <mergeCell ref="C37:G37"/>
    <mergeCell ref="F7:G7"/>
    <mergeCell ref="A1:G1"/>
    <mergeCell ref="A2:G2"/>
    <mergeCell ref="A3:G3"/>
    <mergeCell ref="A4:G4"/>
    <mergeCell ref="A5:G5"/>
  </mergeCells>
  <printOptions horizontalCentered="1"/>
  <pageMargins left="1" right="1" top="1" bottom="1" header="0.3" footer="0.3"/>
  <pageSetup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Z59"/>
  <sheetViews>
    <sheetView view="pageBreakPreview" zoomScale="70" zoomScaleNormal="100" zoomScaleSheetLayoutView="70" workbookViewId="0"/>
  </sheetViews>
  <sheetFormatPr defaultColWidth="9" defaultRowHeight="17.399999999999999"/>
  <cols>
    <col min="1" max="1" width="9" style="3"/>
    <col min="2" max="2" width="31.5546875" style="807" customWidth="1"/>
    <col min="3" max="3" width="2.6640625" style="807" customWidth="1"/>
    <col min="4" max="4" width="15" style="807" customWidth="1"/>
    <col min="5" max="5" width="2.6640625" style="807" customWidth="1"/>
    <col min="6" max="6" width="13.88671875" style="807" customWidth="1"/>
    <col min="7" max="7" width="2.6640625" style="807" customWidth="1"/>
    <col min="8" max="8" width="11.33203125" style="807" customWidth="1"/>
    <col min="9" max="9" width="2.6640625" style="807" customWidth="1"/>
    <col min="10" max="10" width="13.88671875" style="807" customWidth="1"/>
    <col min="11" max="11" width="4.33203125" style="807" customWidth="1"/>
    <col min="12" max="12" width="2.6640625" style="807" customWidth="1"/>
    <col min="13" max="13" width="11.33203125" style="807" customWidth="1"/>
    <col min="14" max="14" width="4.33203125" style="807" customWidth="1"/>
    <col min="15" max="15" width="2.6640625" style="807" customWidth="1"/>
    <col min="16" max="16" width="9.5546875" style="807" customWidth="1"/>
    <col min="17" max="17" width="4.33203125" style="807" customWidth="1"/>
    <col min="18" max="18" width="2.6640625" style="807" customWidth="1"/>
    <col min="19" max="19" width="11.109375" style="807" customWidth="1"/>
    <col min="20" max="20" width="4.33203125" style="807" customWidth="1"/>
    <col min="21" max="21" width="2.6640625" style="807" customWidth="1"/>
    <col min="22" max="22" width="16" style="807" customWidth="1"/>
    <col min="23" max="23" width="4.33203125" style="807" customWidth="1"/>
    <col min="24" max="16384" width="9" style="3"/>
  </cols>
  <sheetData>
    <row r="1" spans="1:23">
      <c r="B1" s="822" t="str">
        <f>Input!G28</f>
        <v>Peoples Gas System</v>
      </c>
      <c r="C1" s="823"/>
      <c r="D1" s="823"/>
      <c r="E1" s="823"/>
      <c r="F1" s="823"/>
      <c r="G1" s="823"/>
      <c r="H1" s="823"/>
      <c r="I1" s="823"/>
      <c r="J1" s="823"/>
      <c r="K1" s="823"/>
      <c r="L1" s="823"/>
      <c r="M1" s="823"/>
      <c r="N1" s="823"/>
      <c r="O1" s="823"/>
      <c r="P1" s="823"/>
      <c r="Q1" s="823"/>
      <c r="R1" s="823"/>
      <c r="S1" s="823"/>
      <c r="T1" s="823"/>
      <c r="U1" s="823"/>
      <c r="V1" s="823"/>
      <c r="W1" s="823"/>
    </row>
    <row r="2" spans="1:23">
      <c r="B2" s="823" t="s">
        <v>2218</v>
      </c>
      <c r="C2" s="823"/>
      <c r="D2" s="823"/>
      <c r="E2" s="823"/>
      <c r="F2" s="823"/>
      <c r="G2" s="823"/>
      <c r="H2" s="823"/>
      <c r="I2" s="823"/>
      <c r="J2" s="823"/>
      <c r="K2" s="823"/>
      <c r="L2" s="823"/>
      <c r="M2" s="823"/>
      <c r="N2" s="823"/>
      <c r="O2" s="823"/>
      <c r="P2" s="823"/>
      <c r="Q2" s="823"/>
      <c r="R2" s="823"/>
      <c r="S2" s="823"/>
      <c r="T2" s="823"/>
      <c r="U2" s="823"/>
      <c r="V2" s="823"/>
      <c r="W2" s="823"/>
    </row>
    <row r="3" spans="1:23">
      <c r="B3" s="822" t="str">
        <f>'7.5 CEM Beta Adjusted RP'!A5</f>
        <v>Utility Proxy Group</v>
      </c>
      <c r="C3" s="823"/>
      <c r="D3" s="823"/>
      <c r="E3" s="823"/>
      <c r="F3" s="823"/>
      <c r="G3" s="823"/>
      <c r="H3" s="823"/>
      <c r="I3" s="823"/>
      <c r="J3" s="823"/>
      <c r="K3" s="823"/>
      <c r="L3" s="823"/>
      <c r="M3" s="823"/>
      <c r="N3" s="823"/>
      <c r="O3" s="823"/>
      <c r="P3" s="823"/>
      <c r="Q3" s="823"/>
      <c r="R3" s="823"/>
      <c r="S3" s="823"/>
      <c r="T3" s="823"/>
      <c r="U3" s="823"/>
      <c r="V3" s="823"/>
      <c r="W3" s="823"/>
    </row>
    <row r="5" spans="1:23">
      <c r="D5" s="806" t="s">
        <v>1337</v>
      </c>
      <c r="E5" s="806"/>
      <c r="F5" s="806" t="s">
        <v>1336</v>
      </c>
      <c r="G5" s="806"/>
      <c r="H5" s="806" t="s">
        <v>1335</v>
      </c>
      <c r="J5" s="823" t="s">
        <v>1341</v>
      </c>
      <c r="K5" s="823"/>
      <c r="M5" s="823" t="s">
        <v>1342</v>
      </c>
      <c r="N5" s="823"/>
      <c r="P5" s="823" t="s">
        <v>1345</v>
      </c>
      <c r="Q5" s="823"/>
      <c r="S5" s="823" t="s">
        <v>1346</v>
      </c>
      <c r="T5" s="823"/>
      <c r="V5" s="823" t="s">
        <v>1357</v>
      </c>
      <c r="W5" s="823"/>
    </row>
    <row r="7" spans="1:23" ht="74.25" customHeight="1">
      <c r="B7" s="809" t="str">
        <f>Input!I31</f>
        <v>Proxy Group of Thirty Nine Non-Price Regulated Companies</v>
      </c>
      <c r="D7" s="810" t="s">
        <v>168</v>
      </c>
      <c r="E7" s="831"/>
      <c r="F7" s="810" t="s">
        <v>1321</v>
      </c>
      <c r="G7" s="806"/>
      <c r="H7" s="810" t="s">
        <v>1322</v>
      </c>
      <c r="I7" s="806"/>
      <c r="J7" s="1041" t="s">
        <v>169</v>
      </c>
      <c r="K7" s="1041"/>
      <c r="L7" s="806"/>
      <c r="M7" s="1041" t="s">
        <v>170</v>
      </c>
      <c r="N7" s="1046"/>
      <c r="O7" s="806"/>
      <c r="P7" s="1041" t="s">
        <v>1351</v>
      </c>
      <c r="Q7" s="1046"/>
      <c r="R7" s="806"/>
      <c r="S7" s="1041" t="s">
        <v>1352</v>
      </c>
      <c r="T7" s="1046"/>
      <c r="U7" s="806"/>
      <c r="V7" s="1041" t="s">
        <v>4145</v>
      </c>
      <c r="W7" s="1047"/>
    </row>
    <row r="8" spans="1:23" ht="15.75" customHeight="1">
      <c r="P8" s="814"/>
    </row>
    <row r="9" spans="1:23" ht="15.75" customHeight="1">
      <c r="A9" s="122" t="str">
        <f>Input!C2</f>
        <v>A</v>
      </c>
      <c r="B9" s="807" t="str">
        <f>VLOOKUP($A9,'CEM Data Lookup'!$A:$P,2,FALSE)</f>
        <v>Agilent Technologies</v>
      </c>
      <c r="D9" s="826">
        <f>'MRP WP1'!E74</f>
        <v>0.85</v>
      </c>
      <c r="E9" s="813"/>
      <c r="F9" s="813">
        <f>VLOOKUP($A9,'CEM Data Lookup'!$A:$P,7,FALSE)</f>
        <v>1.0691213607788086</v>
      </c>
      <c r="G9" s="832"/>
      <c r="H9" s="832">
        <f>ROUND(AVERAGE(D9:F9),2)</f>
        <v>0.96</v>
      </c>
      <c r="I9" s="832"/>
      <c r="J9" s="814">
        <f>'MRP WP1'!H$65</f>
        <v>9.7498071769275878</v>
      </c>
      <c r="K9" s="832" t="s">
        <v>18</v>
      </c>
      <c r="L9" s="832"/>
      <c r="M9" s="814">
        <f>'MRP WP1'!F$37</f>
        <v>3.91</v>
      </c>
      <c r="N9" s="832" t="s">
        <v>18</v>
      </c>
      <c r="O9" s="832"/>
      <c r="P9" s="833">
        <f>(H9*(J9))+M9</f>
        <v>13.269814889850483</v>
      </c>
      <c r="Q9" s="832" t="s">
        <v>18</v>
      </c>
      <c r="R9" s="832"/>
      <c r="S9" s="833">
        <f>ROUND((0.75*(H9*J9))+(0.25*J9)+M9,4)</f>
        <v>13.3673</v>
      </c>
      <c r="T9" s="832" t="s">
        <v>18</v>
      </c>
      <c r="U9" s="832"/>
      <c r="V9" s="814">
        <f>ROUND(AVERAGE(P9,S9),2)</f>
        <v>13.32</v>
      </c>
      <c r="W9" s="807" t="s">
        <v>18</v>
      </c>
    </row>
    <row r="10" spans="1:23" ht="15.75" customHeight="1">
      <c r="A10" s="122" t="str">
        <f>Input!C3</f>
        <v>ABT</v>
      </c>
      <c r="B10" s="807" t="str">
        <f>VLOOKUP($A10,'CEM Data Lookup'!$A:$P,2,FALSE)</f>
        <v xml:space="preserve">Abbott Labs.        </v>
      </c>
      <c r="D10" s="826">
        <f>'MRP WP1'!E75</f>
        <v>0.9</v>
      </c>
      <c r="E10" s="813"/>
      <c r="F10" s="813">
        <f>VLOOKUP($A10,'CEM Data Lookup'!$A:$P,7,FALSE)</f>
        <v>0.76022017002105713</v>
      </c>
      <c r="G10" s="832"/>
      <c r="H10" s="832">
        <f t="shared" ref="H10:H47" si="0">ROUND(AVERAGE(D10:F10),2)</f>
        <v>0.83</v>
      </c>
      <c r="I10" s="832"/>
      <c r="J10" s="814">
        <f>'MRP WP1'!H$65</f>
        <v>9.7498071769275878</v>
      </c>
      <c r="K10" s="832"/>
      <c r="L10" s="832"/>
      <c r="M10" s="814">
        <f>'MRP WP1'!F$37</f>
        <v>3.91</v>
      </c>
      <c r="N10" s="832"/>
      <c r="O10" s="832"/>
      <c r="P10" s="833">
        <f t="shared" ref="P10:P47" si="1">(H10*(J10))+M10</f>
        <v>12.002339956849898</v>
      </c>
      <c r="Q10" s="832"/>
      <c r="R10" s="832"/>
      <c r="S10" s="833">
        <f t="shared" ref="S10:S47" si="2">ROUND((0.75*(H10*J10))+(0.25*J10)+M10,4)</f>
        <v>12.416700000000001</v>
      </c>
      <c r="T10" s="832"/>
      <c r="U10" s="832"/>
      <c r="V10" s="814">
        <f t="shared" ref="V10:V47" si="3">ROUND(AVERAGE(P10,S10),2)</f>
        <v>12.21</v>
      </c>
    </row>
    <row r="11" spans="1:23" ht="15.75" customHeight="1">
      <c r="A11" s="122" t="str">
        <f>Input!C4</f>
        <v>ADI</v>
      </c>
      <c r="B11" s="807" t="str">
        <f>VLOOKUP($A11,'CEM Data Lookup'!$A:$P,2,FALSE)</f>
        <v xml:space="preserve">Analog Devices      </v>
      </c>
      <c r="D11" s="826">
        <f>'MRP WP1'!E76</f>
        <v>1</v>
      </c>
      <c r="E11" s="813"/>
      <c r="F11" s="813">
        <f>VLOOKUP($A11,'CEM Data Lookup'!$A:$P,7,FALSE)</f>
        <v>1.0239076614379883</v>
      </c>
      <c r="G11" s="832"/>
      <c r="H11" s="832">
        <f t="shared" si="0"/>
        <v>1.01</v>
      </c>
      <c r="I11" s="832"/>
      <c r="J11" s="814">
        <f>'MRP WP1'!H$65</f>
        <v>9.7498071769275878</v>
      </c>
      <c r="L11" s="832"/>
      <c r="M11" s="814">
        <f>'MRP WP1'!F$37</f>
        <v>3.91</v>
      </c>
      <c r="O11" s="832"/>
      <c r="P11" s="833">
        <f t="shared" si="1"/>
        <v>13.757305248696865</v>
      </c>
      <c r="R11" s="832"/>
      <c r="S11" s="833">
        <f t="shared" si="2"/>
        <v>13.732900000000001</v>
      </c>
      <c r="U11" s="832"/>
      <c r="V11" s="814">
        <f t="shared" si="3"/>
        <v>13.75</v>
      </c>
    </row>
    <row r="12" spans="1:23" ht="15.75" customHeight="1">
      <c r="A12" s="122" t="str">
        <f>Input!C5</f>
        <v>AIZ</v>
      </c>
      <c r="B12" s="807" t="str">
        <f>VLOOKUP($A12,'CEM Data Lookup'!$A:$P,2,FALSE)</f>
        <v xml:space="preserve">Assurant Inc.       </v>
      </c>
      <c r="D12" s="826">
        <f>'MRP WP1'!E77</f>
        <v>0.9</v>
      </c>
      <c r="E12" s="813"/>
      <c r="F12" s="813">
        <f>VLOOKUP($A12,'CEM Data Lookup'!$A:$P,7,FALSE)</f>
        <v>0.72135257720947266</v>
      </c>
      <c r="G12" s="832"/>
      <c r="H12" s="832">
        <f t="shared" si="0"/>
        <v>0.81</v>
      </c>
      <c r="I12" s="832"/>
      <c r="J12" s="814">
        <f>'MRP WP1'!H$65</f>
        <v>9.7498071769275878</v>
      </c>
      <c r="L12" s="832"/>
      <c r="M12" s="814">
        <f>'MRP WP1'!F$37</f>
        <v>3.91</v>
      </c>
      <c r="O12" s="832"/>
      <c r="P12" s="833">
        <f t="shared" si="1"/>
        <v>11.807343813311347</v>
      </c>
      <c r="R12" s="832"/>
      <c r="S12" s="833">
        <f t="shared" si="2"/>
        <v>12.2705</v>
      </c>
      <c r="U12" s="832"/>
      <c r="V12" s="814">
        <f t="shared" si="3"/>
        <v>12.04</v>
      </c>
    </row>
    <row r="13" spans="1:23" ht="15.75" customHeight="1">
      <c r="A13" s="122" t="str">
        <f>Input!C6</f>
        <v>AOS</v>
      </c>
      <c r="B13" s="807" t="str">
        <f>VLOOKUP($A13,'CEM Data Lookup'!$A:$P,2,FALSE)</f>
        <v xml:space="preserve">Smith (A.O.)        </v>
      </c>
      <c r="D13" s="826">
        <f>'MRP WP1'!E78</f>
        <v>0.9</v>
      </c>
      <c r="E13" s="813"/>
      <c r="F13" s="813">
        <f>VLOOKUP($A13,'CEM Data Lookup'!$A:$P,7,FALSE)</f>
        <v>1.0350164175033569</v>
      </c>
      <c r="G13" s="832"/>
      <c r="H13" s="832">
        <f t="shared" si="0"/>
        <v>0.97</v>
      </c>
      <c r="I13" s="832"/>
      <c r="J13" s="814">
        <f>'MRP WP1'!H$65</f>
        <v>9.7498071769275878</v>
      </c>
      <c r="L13" s="832"/>
      <c r="M13" s="814">
        <f>'MRP WP1'!F$37</f>
        <v>3.91</v>
      </c>
      <c r="O13" s="832"/>
      <c r="P13" s="833">
        <f t="shared" si="1"/>
        <v>13.36731296161976</v>
      </c>
      <c r="R13" s="832"/>
      <c r="S13" s="833">
        <f t="shared" si="2"/>
        <v>13.4404</v>
      </c>
      <c r="U13" s="832"/>
      <c r="V13" s="814">
        <f t="shared" si="3"/>
        <v>13.4</v>
      </c>
    </row>
    <row r="14" spans="1:23" ht="15.75" customHeight="1">
      <c r="A14" s="122" t="str">
        <f>Input!C7</f>
        <v>APD</v>
      </c>
      <c r="B14" s="807" t="str">
        <f>VLOOKUP($A14,'CEM Data Lookup'!$A:$P,2,FALSE)</f>
        <v>Air Products &amp; Chem.</v>
      </c>
      <c r="D14" s="826">
        <f>'MRP WP1'!E79</f>
        <v>0.9</v>
      </c>
      <c r="E14" s="813"/>
      <c r="F14" s="813">
        <f>VLOOKUP($A14,'CEM Data Lookup'!$A:$P,7,FALSE)</f>
        <v>0.80731379985809326</v>
      </c>
      <c r="G14" s="832"/>
      <c r="H14" s="832">
        <f t="shared" si="0"/>
        <v>0.85</v>
      </c>
      <c r="I14" s="832"/>
      <c r="J14" s="814">
        <f>'MRP WP1'!H$65</f>
        <v>9.7498071769275878</v>
      </c>
      <c r="L14" s="832"/>
      <c r="M14" s="814">
        <f>'MRP WP1'!F$37</f>
        <v>3.91</v>
      </c>
      <c r="O14" s="832"/>
      <c r="P14" s="833">
        <f t="shared" si="1"/>
        <v>12.19733610038845</v>
      </c>
      <c r="R14" s="832"/>
      <c r="S14" s="833">
        <f t="shared" si="2"/>
        <v>12.563000000000001</v>
      </c>
      <c r="U14" s="832"/>
      <c r="V14" s="814">
        <f t="shared" si="3"/>
        <v>12.38</v>
      </c>
    </row>
    <row r="15" spans="1:23" ht="15.75" customHeight="1">
      <c r="A15" s="122" t="str">
        <f>Input!C8</f>
        <v>BFB</v>
      </c>
      <c r="B15" s="807" t="str">
        <f>VLOOKUP($A15,'CEM Data Lookup'!$A:$P,2,FALSE)</f>
        <v xml:space="preserve">Brown-Forman 'B'    </v>
      </c>
      <c r="D15" s="826">
        <f>'MRP WP1'!E80</f>
        <v>0.85</v>
      </c>
      <c r="E15" s="813"/>
      <c r="F15" s="813">
        <f>VLOOKUP($A15,'CEM Data Lookup'!$A:$P,7,FALSE)</f>
        <v>0.79479449987411499</v>
      </c>
      <c r="G15" s="832"/>
      <c r="H15" s="832">
        <f t="shared" si="0"/>
        <v>0.82</v>
      </c>
      <c r="I15" s="832"/>
      <c r="J15" s="814">
        <f>'MRP WP1'!H$65</f>
        <v>9.7498071769275878</v>
      </c>
      <c r="L15" s="832"/>
      <c r="M15" s="814">
        <f>'MRP WP1'!F$37</f>
        <v>3.91</v>
      </c>
      <c r="O15" s="832"/>
      <c r="P15" s="833">
        <f t="shared" si="1"/>
        <v>11.904841885080621</v>
      </c>
      <c r="R15" s="832"/>
      <c r="S15" s="833">
        <f t="shared" si="2"/>
        <v>12.3436</v>
      </c>
      <c r="U15" s="832"/>
      <c r="V15" s="814">
        <f t="shared" si="3"/>
        <v>12.12</v>
      </c>
    </row>
    <row r="16" spans="1:23" ht="15.75" customHeight="1">
      <c r="A16" s="122" t="str">
        <f>Input!C9</f>
        <v>BMY</v>
      </c>
      <c r="B16" s="807" t="str">
        <f>VLOOKUP($A16,'CEM Data Lookup'!$A:$P,2,FALSE)</f>
        <v>Bristol-Myers Squibb</v>
      </c>
      <c r="D16" s="826">
        <f>'MRP WP1'!E81</f>
        <v>0.8</v>
      </c>
      <c r="E16" s="813"/>
      <c r="F16" s="813">
        <f>VLOOKUP($A16,'CEM Data Lookup'!$A:$P,7,FALSE)</f>
        <v>0.49832990765571594</v>
      </c>
      <c r="G16" s="832"/>
      <c r="H16" s="832">
        <f t="shared" si="0"/>
        <v>0.65</v>
      </c>
      <c r="I16" s="832"/>
      <c r="J16" s="814">
        <f>'MRP WP1'!H$65</f>
        <v>9.7498071769275878</v>
      </c>
      <c r="L16" s="832"/>
      <c r="M16" s="814">
        <f>'MRP WP1'!F$37</f>
        <v>3.91</v>
      </c>
      <c r="O16" s="832"/>
      <c r="P16" s="833">
        <f t="shared" si="1"/>
        <v>10.247374665002933</v>
      </c>
      <c r="R16" s="832"/>
      <c r="S16" s="833">
        <f t="shared" si="2"/>
        <v>11.1005</v>
      </c>
      <c r="U16" s="832"/>
      <c r="V16" s="814">
        <f t="shared" si="3"/>
        <v>10.67</v>
      </c>
    </row>
    <row r="17" spans="1:22" ht="15.75" customHeight="1">
      <c r="A17" s="122" t="str">
        <f>Input!C10</f>
        <v>BR</v>
      </c>
      <c r="B17" s="807" t="str">
        <f>VLOOKUP($A17,'CEM Data Lookup'!$A:$P,2,FALSE)</f>
        <v xml:space="preserve">Broadridge Fin'l    </v>
      </c>
      <c r="D17" s="826">
        <f>'MRP WP1'!E82</f>
        <v>0.9</v>
      </c>
      <c r="E17" s="813"/>
      <c r="F17" s="813">
        <f>VLOOKUP($A17,'CEM Data Lookup'!$A:$P,7,FALSE)</f>
        <v>0.98402196168899536</v>
      </c>
      <c r="G17" s="832"/>
      <c r="H17" s="832">
        <f t="shared" si="0"/>
        <v>0.94</v>
      </c>
      <c r="I17" s="832"/>
      <c r="J17" s="814">
        <f>'MRP WP1'!H$65</f>
        <v>9.7498071769275878</v>
      </c>
      <c r="L17" s="832"/>
      <c r="M17" s="814">
        <f>'MRP WP1'!F$37</f>
        <v>3.91</v>
      </c>
      <c r="O17" s="832"/>
      <c r="P17" s="833">
        <f t="shared" si="1"/>
        <v>13.074818746311932</v>
      </c>
      <c r="R17" s="832"/>
      <c r="S17" s="833">
        <f t="shared" si="2"/>
        <v>13.2211</v>
      </c>
      <c r="U17" s="832"/>
      <c r="V17" s="814">
        <f t="shared" si="3"/>
        <v>13.15</v>
      </c>
    </row>
    <row r="18" spans="1:22" ht="15.75" customHeight="1">
      <c r="A18" s="122" t="str">
        <f>Input!C11</f>
        <v>CACI</v>
      </c>
      <c r="B18" s="807" t="str">
        <f>VLOOKUP($A18,'CEM Data Lookup'!$A:$P,2,FALSE)</f>
        <v xml:space="preserve">CACI Int'l          </v>
      </c>
      <c r="D18" s="826">
        <f>'MRP WP1'!E83</f>
        <v>0.9</v>
      </c>
      <c r="E18" s="813"/>
      <c r="F18" s="813">
        <f>VLOOKUP($A18,'CEM Data Lookup'!$A:$P,7,FALSE)</f>
        <v>0.74475908279418945</v>
      </c>
      <c r="G18" s="832"/>
      <c r="H18" s="832">
        <f t="shared" si="0"/>
        <v>0.82</v>
      </c>
      <c r="I18" s="832"/>
      <c r="J18" s="814">
        <f>'MRP WP1'!H$65</f>
        <v>9.7498071769275878</v>
      </c>
      <c r="L18" s="832"/>
      <c r="M18" s="814">
        <f>'MRP WP1'!F$37</f>
        <v>3.91</v>
      </c>
      <c r="O18" s="832"/>
      <c r="P18" s="833">
        <f t="shared" si="1"/>
        <v>11.904841885080621</v>
      </c>
      <c r="R18" s="832"/>
      <c r="S18" s="833">
        <f t="shared" si="2"/>
        <v>12.3436</v>
      </c>
      <c r="U18" s="832"/>
      <c r="V18" s="814">
        <f t="shared" si="3"/>
        <v>12.12</v>
      </c>
    </row>
    <row r="19" spans="1:22" ht="15.75" customHeight="1">
      <c r="A19" s="122" t="str">
        <f>Input!C12</f>
        <v>CHE</v>
      </c>
      <c r="B19" s="807" t="str">
        <f>VLOOKUP($A19,'CEM Data Lookup'!$A:$P,2,FALSE)</f>
        <v xml:space="preserve">Chemed Corp.        </v>
      </c>
      <c r="D19" s="826">
        <f>'MRP WP1'!E84</f>
        <v>0.8</v>
      </c>
      <c r="E19" s="813"/>
      <c r="F19" s="813">
        <f>VLOOKUP($A19,'CEM Data Lookup'!$A:$P,7,FALSE)</f>
        <v>0.72125041484832764</v>
      </c>
      <c r="G19" s="832"/>
      <c r="H19" s="832">
        <f t="shared" si="0"/>
        <v>0.76</v>
      </c>
      <c r="I19" s="832"/>
      <c r="J19" s="814">
        <f>'MRP WP1'!H$65</f>
        <v>9.7498071769275878</v>
      </c>
      <c r="L19" s="832"/>
      <c r="M19" s="814">
        <f>'MRP WP1'!F$37</f>
        <v>3.91</v>
      </c>
      <c r="O19" s="832"/>
      <c r="P19" s="833">
        <f t="shared" si="1"/>
        <v>11.319853454464967</v>
      </c>
      <c r="R19" s="832"/>
      <c r="S19" s="833">
        <f t="shared" si="2"/>
        <v>11.9048</v>
      </c>
      <c r="U19" s="832"/>
      <c r="V19" s="814">
        <f t="shared" si="3"/>
        <v>11.61</v>
      </c>
    </row>
    <row r="20" spans="1:22" ht="15.75" customHeight="1">
      <c r="A20" s="122" t="str">
        <f>Input!C13</f>
        <v>CSWI</v>
      </c>
      <c r="B20" s="807" t="str">
        <f>VLOOKUP($A20,'CEM Data Lookup'!$A:$P,2,FALSE)</f>
        <v xml:space="preserve">CSW Industrials     </v>
      </c>
      <c r="D20" s="826">
        <f>'MRP WP1'!E85</f>
        <v>0.85</v>
      </c>
      <c r="E20" s="813"/>
      <c r="F20" s="813">
        <f>VLOOKUP($A20,'CEM Data Lookup'!$A:$P,7,FALSE)</f>
        <v>0.77070599794387817</v>
      </c>
      <c r="G20" s="832"/>
      <c r="H20" s="832">
        <f t="shared" si="0"/>
        <v>0.81</v>
      </c>
      <c r="I20" s="832"/>
      <c r="J20" s="814">
        <f>'MRP WP1'!H$65</f>
        <v>9.7498071769275878</v>
      </c>
      <c r="L20" s="832"/>
      <c r="M20" s="814">
        <f>'MRP WP1'!F$37</f>
        <v>3.91</v>
      </c>
      <c r="O20" s="832"/>
      <c r="P20" s="833">
        <f t="shared" si="1"/>
        <v>11.807343813311347</v>
      </c>
      <c r="R20" s="832"/>
      <c r="S20" s="833">
        <f t="shared" si="2"/>
        <v>12.2705</v>
      </c>
      <c r="U20" s="832"/>
      <c r="V20" s="814">
        <f t="shared" si="3"/>
        <v>12.04</v>
      </c>
    </row>
    <row r="21" spans="1:22" ht="15.75" customHeight="1">
      <c r="A21" s="122" t="str">
        <f>Input!C14</f>
        <v>DGX</v>
      </c>
      <c r="B21" s="807" t="str">
        <f>VLOOKUP($A21,'CEM Data Lookup'!$A:$P,2,FALSE)</f>
        <v xml:space="preserve">Quest Diagnostics   </v>
      </c>
      <c r="D21" s="826">
        <f>'MRP WP1'!E86</f>
        <v>0.8</v>
      </c>
      <c r="E21" s="813"/>
      <c r="F21" s="813">
        <f>VLOOKUP($A21,'CEM Data Lookup'!$A:$P,7,FALSE)</f>
        <v>0.69651615619659424</v>
      </c>
      <c r="G21" s="832"/>
      <c r="H21" s="832">
        <f t="shared" si="0"/>
        <v>0.75</v>
      </c>
      <c r="I21" s="832"/>
      <c r="J21" s="814">
        <f>'MRP WP1'!H$65</f>
        <v>9.7498071769275878</v>
      </c>
      <c r="L21" s="832"/>
      <c r="M21" s="814">
        <f>'MRP WP1'!F$37</f>
        <v>3.91</v>
      </c>
      <c r="O21" s="832"/>
      <c r="P21" s="833">
        <f t="shared" si="1"/>
        <v>11.222355382695691</v>
      </c>
      <c r="R21" s="832"/>
      <c r="S21" s="833">
        <f t="shared" si="2"/>
        <v>11.8317</v>
      </c>
      <c r="U21" s="832"/>
      <c r="V21" s="814">
        <f t="shared" si="3"/>
        <v>11.53</v>
      </c>
    </row>
    <row r="22" spans="1:22" ht="15.75" customHeight="1">
      <c r="A22" s="122" t="str">
        <f>Input!C15</f>
        <v>EXPO</v>
      </c>
      <c r="B22" s="807" t="str">
        <f>VLOOKUP($A22,'CEM Data Lookup'!$A:$P,2,FALSE)</f>
        <v xml:space="preserve">Exponent, Inc.      </v>
      </c>
      <c r="D22" s="826">
        <f>'MRP WP1'!E87</f>
        <v>0.9</v>
      </c>
      <c r="E22" s="813"/>
      <c r="F22" s="813">
        <f>VLOOKUP($A22,'CEM Data Lookup'!$A:$P,7,FALSE)</f>
        <v>0.99756920337677002</v>
      </c>
      <c r="G22" s="832"/>
      <c r="H22" s="832">
        <f t="shared" si="0"/>
        <v>0.95</v>
      </c>
      <c r="I22" s="832"/>
      <c r="J22" s="814">
        <f>'MRP WP1'!H$65</f>
        <v>9.7498071769275878</v>
      </c>
      <c r="L22" s="832"/>
      <c r="M22" s="814">
        <f>'MRP WP1'!F$37</f>
        <v>3.91</v>
      </c>
      <c r="O22" s="832"/>
      <c r="P22" s="833">
        <f t="shared" si="1"/>
        <v>13.172316818081208</v>
      </c>
      <c r="R22" s="832"/>
      <c r="S22" s="833">
        <f t="shared" si="2"/>
        <v>13.2942</v>
      </c>
      <c r="U22" s="832"/>
      <c r="V22" s="814">
        <f t="shared" si="3"/>
        <v>13.23</v>
      </c>
    </row>
    <row r="23" spans="1:22" ht="15.75" customHeight="1">
      <c r="A23" s="122" t="str">
        <f>Input!C16</f>
        <v>INGR</v>
      </c>
      <c r="B23" s="807" t="str">
        <f>VLOOKUP($A23,'CEM Data Lookup'!$A:$P,2,FALSE)</f>
        <v xml:space="preserve">Ingredion Inc.      </v>
      </c>
      <c r="D23" s="826">
        <f>'MRP WP1'!E88</f>
        <v>0.9</v>
      </c>
      <c r="E23" s="813"/>
      <c r="F23" s="813">
        <f>VLOOKUP($A23,'CEM Data Lookup'!$A:$P,7,FALSE)</f>
        <v>0.68774235248565674</v>
      </c>
      <c r="G23" s="832"/>
      <c r="H23" s="832">
        <f t="shared" si="0"/>
        <v>0.79</v>
      </c>
      <c r="I23" s="832"/>
      <c r="J23" s="814">
        <f>'MRP WP1'!H$65</f>
        <v>9.7498071769275878</v>
      </c>
      <c r="L23" s="832"/>
      <c r="M23" s="814">
        <f>'MRP WP1'!F$37</f>
        <v>3.91</v>
      </c>
      <c r="O23" s="832"/>
      <c r="P23" s="833">
        <f t="shared" si="1"/>
        <v>11.612347669772795</v>
      </c>
      <c r="R23" s="832"/>
      <c r="S23" s="833">
        <f t="shared" si="2"/>
        <v>12.1242</v>
      </c>
      <c r="U23" s="832"/>
      <c r="V23" s="814">
        <f t="shared" si="3"/>
        <v>11.87</v>
      </c>
    </row>
    <row r="24" spans="1:22" ht="15.75" customHeight="1">
      <c r="A24" s="122" t="str">
        <f>Input!C17</f>
        <v>JJSF</v>
      </c>
      <c r="B24" s="807" t="str">
        <f>VLOOKUP($A24,'CEM Data Lookup'!$A:$P,2,FALSE)</f>
        <v xml:space="preserve">J&amp;J Snack Foods     </v>
      </c>
      <c r="D24" s="826">
        <f>'MRP WP1'!E89</f>
        <v>0.9</v>
      </c>
      <c r="E24" s="813"/>
      <c r="F24" s="813">
        <f>VLOOKUP($A24,'CEM Data Lookup'!$A:$P,7,FALSE)</f>
        <v>0.57813775539398193</v>
      </c>
      <c r="G24" s="832"/>
      <c r="H24" s="832">
        <f t="shared" si="0"/>
        <v>0.74</v>
      </c>
      <c r="I24" s="832"/>
      <c r="J24" s="814">
        <f>'MRP WP1'!H$65</f>
        <v>9.7498071769275878</v>
      </c>
      <c r="L24" s="832"/>
      <c r="M24" s="814">
        <f>'MRP WP1'!F$37</f>
        <v>3.91</v>
      </c>
      <c r="O24" s="832"/>
      <c r="P24" s="833">
        <f t="shared" si="1"/>
        <v>11.124857310926416</v>
      </c>
      <c r="R24" s="832"/>
      <c r="S24" s="833">
        <f t="shared" si="2"/>
        <v>11.758599999999999</v>
      </c>
      <c r="U24" s="832"/>
      <c r="V24" s="814">
        <f t="shared" si="3"/>
        <v>11.44</v>
      </c>
    </row>
    <row r="25" spans="1:22" ht="15.75" customHeight="1">
      <c r="A25" s="122" t="str">
        <f>Input!C18</f>
        <v>JKHY</v>
      </c>
      <c r="B25" s="807" t="str">
        <f>VLOOKUP($A25,'CEM Data Lookup'!$A:$P,2,FALSE)</f>
        <v>Henry (Jack) &amp; Assoc</v>
      </c>
      <c r="D25" s="826">
        <f>'MRP WP1'!E90</f>
        <v>0.85</v>
      </c>
      <c r="E25" s="813"/>
      <c r="F25" s="813">
        <f>VLOOKUP($A25,'CEM Data Lookup'!$A:$P,7,FALSE)</f>
        <v>0.7571338415145874</v>
      </c>
      <c r="G25" s="832"/>
      <c r="H25" s="832">
        <f t="shared" si="0"/>
        <v>0.8</v>
      </c>
      <c r="I25" s="832"/>
      <c r="J25" s="814">
        <f>'MRP WP1'!H$65</f>
        <v>9.7498071769275878</v>
      </c>
      <c r="L25" s="832"/>
      <c r="M25" s="814">
        <f>'MRP WP1'!F$37</f>
        <v>3.91</v>
      </c>
      <c r="O25" s="832"/>
      <c r="P25" s="833">
        <f t="shared" si="1"/>
        <v>11.709845741542072</v>
      </c>
      <c r="R25" s="832"/>
      <c r="S25" s="833">
        <f t="shared" si="2"/>
        <v>12.1973</v>
      </c>
      <c r="U25" s="832"/>
      <c r="V25" s="814">
        <f t="shared" si="3"/>
        <v>11.95</v>
      </c>
    </row>
    <row r="26" spans="1:22" ht="15.75" customHeight="1">
      <c r="A26" s="122" t="str">
        <f>Input!C19</f>
        <v>MKC</v>
      </c>
      <c r="B26" s="807" t="str">
        <f>VLOOKUP($A26,'CEM Data Lookup'!$A:$P,2,FALSE)</f>
        <v xml:space="preserve">McCormick &amp; Co.     </v>
      </c>
      <c r="D26" s="826">
        <f>'MRP WP1'!E91</f>
        <v>0.75</v>
      </c>
      <c r="E26" s="813"/>
      <c r="F26" s="813">
        <f>VLOOKUP($A26,'CEM Data Lookup'!$A:$P,7,FALSE)</f>
        <v>0.72053992748260498</v>
      </c>
      <c r="G26" s="832"/>
      <c r="H26" s="832">
        <f t="shared" si="0"/>
        <v>0.74</v>
      </c>
      <c r="I26" s="832"/>
      <c r="J26" s="814">
        <f>'MRP WP1'!H$65</f>
        <v>9.7498071769275878</v>
      </c>
      <c r="L26" s="832"/>
      <c r="M26" s="814">
        <f>'MRP WP1'!F$37</f>
        <v>3.91</v>
      </c>
      <c r="O26" s="832"/>
      <c r="P26" s="833">
        <f t="shared" si="1"/>
        <v>11.124857310926416</v>
      </c>
      <c r="R26" s="832"/>
      <c r="S26" s="833">
        <f t="shared" si="2"/>
        <v>11.758599999999999</v>
      </c>
      <c r="U26" s="832"/>
      <c r="V26" s="814">
        <f t="shared" si="3"/>
        <v>11.44</v>
      </c>
    </row>
    <row r="27" spans="1:22" ht="15.75" customHeight="1">
      <c r="A27" s="122" t="str">
        <f>Input!C20</f>
        <v>MRK</v>
      </c>
      <c r="B27" s="807" t="str">
        <f>VLOOKUP($A27,'CEM Data Lookup'!$A:$P,2,FALSE)</f>
        <v xml:space="preserve">Merck &amp; Co.         </v>
      </c>
      <c r="D27" s="826">
        <f>'MRP WP1'!E92</f>
        <v>0.75</v>
      </c>
      <c r="E27" s="813"/>
      <c r="F27" s="813">
        <f>VLOOKUP($A27,'CEM Data Lookup'!$A:$P,7,FALSE)</f>
        <v>0.4687764048576355</v>
      </c>
      <c r="G27" s="832"/>
      <c r="H27" s="832">
        <f t="shared" si="0"/>
        <v>0.61</v>
      </c>
      <c r="I27" s="832"/>
      <c r="J27" s="814">
        <f>'MRP WP1'!H$65</f>
        <v>9.7498071769275878</v>
      </c>
      <c r="L27" s="832"/>
      <c r="M27" s="814">
        <f>'MRP WP1'!F$37</f>
        <v>3.91</v>
      </c>
      <c r="O27" s="832"/>
      <c r="P27" s="833">
        <f t="shared" si="1"/>
        <v>9.8573823779258287</v>
      </c>
      <c r="R27" s="832"/>
      <c r="S27" s="833">
        <f t="shared" si="2"/>
        <v>10.808</v>
      </c>
      <c r="U27" s="832"/>
      <c r="V27" s="814">
        <f t="shared" si="3"/>
        <v>10.33</v>
      </c>
    </row>
    <row r="28" spans="1:22" ht="15.75" customHeight="1">
      <c r="A28" s="122" t="str">
        <f>Input!C21</f>
        <v>MSCI</v>
      </c>
      <c r="B28" s="807" t="str">
        <f>VLOOKUP($A28,'CEM Data Lookup'!$A:$P,2,FALSE)</f>
        <v xml:space="preserve">MSCI Inc.           </v>
      </c>
      <c r="D28" s="826">
        <f>'MRP WP1'!E93</f>
        <v>1.05</v>
      </c>
      <c r="E28" s="813"/>
      <c r="F28" s="813">
        <f>VLOOKUP($A28,'CEM Data Lookup'!$A:$P,7,FALSE)</f>
        <v>1.3656225204467773</v>
      </c>
      <c r="G28" s="832"/>
      <c r="H28" s="832">
        <f t="shared" si="0"/>
        <v>1.21</v>
      </c>
      <c r="I28" s="832"/>
      <c r="J28" s="814">
        <f>'MRP WP1'!H$65</f>
        <v>9.7498071769275878</v>
      </c>
      <c r="L28" s="832"/>
      <c r="M28" s="814">
        <f>'MRP WP1'!F$37</f>
        <v>3.91</v>
      </c>
      <c r="O28" s="832"/>
      <c r="P28" s="833">
        <f t="shared" si="1"/>
        <v>15.707266684082381</v>
      </c>
      <c r="R28" s="832"/>
      <c r="S28" s="833">
        <f t="shared" si="2"/>
        <v>15.195399999999999</v>
      </c>
      <c r="U28" s="832"/>
      <c r="V28" s="814">
        <f t="shared" si="3"/>
        <v>15.45</v>
      </c>
    </row>
    <row r="29" spans="1:22" ht="15.75" customHeight="1">
      <c r="A29" s="122" t="str">
        <f>Input!C22</f>
        <v>MSI</v>
      </c>
      <c r="B29" s="807" t="str">
        <f>VLOOKUP($A29,'CEM Data Lookup'!$A:$P,2,FALSE)</f>
        <v xml:space="preserve">Motorola Solutions  </v>
      </c>
      <c r="D29" s="826">
        <f>'MRP WP1'!E94</f>
        <v>0.9</v>
      </c>
      <c r="E29" s="813"/>
      <c r="F29" s="813">
        <f>VLOOKUP($A29,'CEM Data Lookup'!$A:$P,7,FALSE)</f>
        <v>0.96679747104644775</v>
      </c>
      <c r="G29" s="832"/>
      <c r="H29" s="832">
        <f t="shared" si="0"/>
        <v>0.93</v>
      </c>
      <c r="I29" s="832"/>
      <c r="J29" s="814">
        <f>'MRP WP1'!H$65</f>
        <v>9.7498071769275878</v>
      </c>
      <c r="L29" s="832"/>
      <c r="M29" s="814">
        <f>'MRP WP1'!F$37</f>
        <v>3.91</v>
      </c>
      <c r="O29" s="832"/>
      <c r="P29" s="833">
        <f t="shared" si="1"/>
        <v>12.977320674542657</v>
      </c>
      <c r="R29" s="832"/>
      <c r="S29" s="833">
        <f t="shared" si="2"/>
        <v>13.1479</v>
      </c>
      <c r="U29" s="832"/>
      <c r="V29" s="814">
        <f t="shared" si="3"/>
        <v>13.06</v>
      </c>
    </row>
    <row r="30" spans="1:22" ht="15.75" customHeight="1">
      <c r="A30" s="122" t="str">
        <f>Input!C23</f>
        <v>NEU</v>
      </c>
      <c r="B30" s="807" t="str">
        <f>VLOOKUP($A30,'CEM Data Lookup'!$A:$P,2,FALSE)</f>
        <v xml:space="preserve">NewMarket Corp.     </v>
      </c>
      <c r="D30" s="826">
        <f>'MRP WP1'!E94</f>
        <v>0.9</v>
      </c>
      <c r="E30" s="813"/>
      <c r="F30" s="813">
        <f>VLOOKUP($A30,'CEM Data Lookup'!$A:$P,7,FALSE)</f>
        <v>0.61711913347244263</v>
      </c>
      <c r="G30" s="832"/>
      <c r="H30" s="832">
        <f t="shared" si="0"/>
        <v>0.76</v>
      </c>
      <c r="I30" s="832"/>
      <c r="J30" s="814">
        <f>'MRP WP1'!H$65</f>
        <v>9.7498071769275878</v>
      </c>
      <c r="L30" s="832"/>
      <c r="M30" s="814">
        <f>'MRP WP1'!F$37</f>
        <v>3.91</v>
      </c>
      <c r="O30" s="832"/>
      <c r="P30" s="833">
        <f t="shared" si="1"/>
        <v>11.319853454464967</v>
      </c>
      <c r="R30" s="832"/>
      <c r="S30" s="833">
        <f t="shared" si="2"/>
        <v>11.9048</v>
      </c>
      <c r="U30" s="832"/>
      <c r="V30" s="814">
        <f t="shared" si="3"/>
        <v>11.61</v>
      </c>
    </row>
    <row r="31" spans="1:22" ht="15.75" customHeight="1">
      <c r="A31" s="122" t="str">
        <f>Input!C24</f>
        <v>NOC</v>
      </c>
      <c r="B31" s="807" t="str">
        <f>VLOOKUP($A31,'CEM Data Lookup'!$A:$P,2,FALSE)</f>
        <v xml:space="preserve">Northrop Grumman    </v>
      </c>
      <c r="D31" s="826">
        <f>'MRP WP1'!E95</f>
        <v>0.75</v>
      </c>
      <c r="E31" s="813"/>
      <c r="F31" s="813">
        <f>VLOOKUP($A31,'CEM Data Lookup'!$A:$P,7,FALSE)</f>
        <v>0.65922749042510986</v>
      </c>
      <c r="G31" s="832"/>
      <c r="H31" s="832">
        <f t="shared" si="0"/>
        <v>0.7</v>
      </c>
      <c r="I31" s="832"/>
      <c r="J31" s="814">
        <f>'MRP WP1'!H$65</f>
        <v>9.7498071769275878</v>
      </c>
      <c r="L31" s="832"/>
      <c r="M31" s="814">
        <f>'MRP WP1'!F$37</f>
        <v>3.91</v>
      </c>
      <c r="O31" s="832"/>
      <c r="P31" s="833">
        <f t="shared" si="1"/>
        <v>10.734865023849311</v>
      </c>
      <c r="R31" s="832"/>
      <c r="S31" s="833">
        <f t="shared" si="2"/>
        <v>11.466100000000001</v>
      </c>
      <c r="U31" s="832"/>
      <c r="V31" s="814">
        <f t="shared" si="3"/>
        <v>11.1</v>
      </c>
    </row>
    <row r="32" spans="1:22" ht="15.75" customHeight="1">
      <c r="A32" s="122" t="str">
        <f>Input!C25</f>
        <v>ODFL</v>
      </c>
      <c r="B32" s="807" t="str">
        <f>VLOOKUP($A32,'CEM Data Lookup'!$A:$P,2,FALSE)</f>
        <v>Old Dominion Freight</v>
      </c>
      <c r="D32" s="826">
        <f>'MRP WP1'!E96</f>
        <v>0.8</v>
      </c>
      <c r="E32" s="813"/>
      <c r="F32" s="813">
        <f>VLOOKUP($A32,'CEM Data Lookup'!$A:$P,7,FALSE)</f>
        <v>1.1335461139678955</v>
      </c>
      <c r="G32" s="832"/>
      <c r="H32" s="832">
        <f t="shared" si="0"/>
        <v>0.97</v>
      </c>
      <c r="I32" s="832"/>
      <c r="J32" s="814">
        <f>'MRP WP1'!H$65</f>
        <v>9.7498071769275878</v>
      </c>
      <c r="L32" s="832"/>
      <c r="M32" s="814">
        <f>'MRP WP1'!F$37</f>
        <v>3.91</v>
      </c>
      <c r="O32" s="832"/>
      <c r="P32" s="833">
        <f t="shared" si="1"/>
        <v>13.36731296161976</v>
      </c>
      <c r="R32" s="832"/>
      <c r="S32" s="833">
        <f t="shared" si="2"/>
        <v>13.4404</v>
      </c>
      <c r="U32" s="832"/>
      <c r="V32" s="814">
        <f t="shared" si="3"/>
        <v>13.4</v>
      </c>
    </row>
    <row r="33" spans="1:22" ht="15.75" customHeight="1">
      <c r="A33" s="122" t="str">
        <f>Input!C26</f>
        <v>ORCL</v>
      </c>
      <c r="B33" s="807" t="str">
        <f>VLOOKUP($A33,'CEM Data Lookup'!$A:$P,2,FALSE)</f>
        <v xml:space="preserve">Oracle Corp.        </v>
      </c>
      <c r="D33" s="826">
        <f>'MRP WP1'!E97</f>
        <v>0.95</v>
      </c>
      <c r="E33" s="813"/>
      <c r="F33" s="813">
        <f>VLOOKUP($A33,'CEM Data Lookup'!$A:$P,7,FALSE)</f>
        <v>0.99250739812850952</v>
      </c>
      <c r="G33" s="832"/>
      <c r="H33" s="832">
        <f t="shared" si="0"/>
        <v>0.97</v>
      </c>
      <c r="I33" s="832"/>
      <c r="J33" s="814">
        <f>'MRP WP1'!H$65</f>
        <v>9.7498071769275878</v>
      </c>
      <c r="L33" s="832"/>
      <c r="M33" s="814">
        <f>'MRP WP1'!F$37</f>
        <v>3.91</v>
      </c>
      <c r="O33" s="832"/>
      <c r="P33" s="833">
        <f t="shared" si="1"/>
        <v>13.36731296161976</v>
      </c>
      <c r="R33" s="832"/>
      <c r="S33" s="833">
        <f t="shared" si="2"/>
        <v>13.4404</v>
      </c>
      <c r="U33" s="832"/>
      <c r="V33" s="814">
        <f t="shared" si="3"/>
        <v>13.4</v>
      </c>
    </row>
    <row r="34" spans="1:22" ht="15.75" customHeight="1">
      <c r="A34" s="122" t="str">
        <f>Input!C27</f>
        <v>PGR</v>
      </c>
      <c r="B34" s="807" t="str">
        <f>VLOOKUP($A34,'CEM Data Lookup'!$A:$P,2,FALSE)</f>
        <v xml:space="preserve">Progressive Corp.   </v>
      </c>
      <c r="D34" s="826">
        <f>'MRP WP1'!E98</f>
        <v>0.8</v>
      </c>
      <c r="E34" s="813"/>
      <c r="F34" s="813">
        <f>VLOOKUP($A34,'CEM Data Lookup'!$A:$P,7,FALSE)</f>
        <v>0.7506294846534729</v>
      </c>
      <c r="G34" s="832"/>
      <c r="H34" s="832">
        <f t="shared" si="0"/>
        <v>0.78</v>
      </c>
      <c r="I34" s="832"/>
      <c r="J34" s="814">
        <f>'MRP WP1'!H$65</f>
        <v>9.7498071769275878</v>
      </c>
      <c r="L34" s="832"/>
      <c r="M34" s="814">
        <f>'MRP WP1'!F$37</f>
        <v>3.91</v>
      </c>
      <c r="O34" s="832"/>
      <c r="P34" s="833">
        <f t="shared" si="1"/>
        <v>11.514849598003519</v>
      </c>
      <c r="R34" s="832"/>
      <c r="S34" s="833">
        <f t="shared" si="2"/>
        <v>12.0511</v>
      </c>
      <c r="U34" s="832"/>
      <c r="V34" s="814">
        <f t="shared" si="3"/>
        <v>11.78</v>
      </c>
    </row>
    <row r="35" spans="1:22" ht="15.75" customHeight="1">
      <c r="A35" s="122" t="str">
        <f>Input!C28</f>
        <v>POST</v>
      </c>
      <c r="B35" s="807" t="str">
        <f>VLOOKUP($A35,'CEM Data Lookup'!$A:$P,2,FALSE)</f>
        <v xml:space="preserve">Post Holdings       </v>
      </c>
      <c r="D35" s="826">
        <f>'MRP WP1'!E99</f>
        <v>0.75</v>
      </c>
      <c r="E35" s="813"/>
      <c r="F35" s="813">
        <f>VLOOKUP($A35,'CEM Data Lookup'!$A:$P,7,FALSE)</f>
        <v>0.65590405464172363</v>
      </c>
      <c r="G35" s="832"/>
      <c r="H35" s="832">
        <f t="shared" si="0"/>
        <v>0.7</v>
      </c>
      <c r="I35" s="832"/>
      <c r="J35" s="814">
        <f>'MRP WP1'!H$65</f>
        <v>9.7498071769275878</v>
      </c>
      <c r="L35" s="832"/>
      <c r="M35" s="814">
        <f>'MRP WP1'!F$37</f>
        <v>3.91</v>
      </c>
      <c r="O35" s="832"/>
      <c r="P35" s="833">
        <f t="shared" si="1"/>
        <v>10.734865023849311</v>
      </c>
      <c r="R35" s="832"/>
      <c r="S35" s="833">
        <f t="shared" si="2"/>
        <v>11.466100000000001</v>
      </c>
      <c r="U35" s="832"/>
      <c r="V35" s="814">
        <f t="shared" si="3"/>
        <v>11.1</v>
      </c>
    </row>
    <row r="36" spans="1:22" ht="15.75" customHeight="1">
      <c r="A36" s="122" t="str">
        <f>Input!C29</f>
        <v>RLI</v>
      </c>
      <c r="B36" s="807" t="str">
        <f>VLOOKUP($A36,'CEM Data Lookup'!$A:$P,2,FALSE)</f>
        <v xml:space="preserve">RLI Corp.           </v>
      </c>
      <c r="D36" s="826" t="str">
        <f>'MRP WP1'!E100</f>
        <v>NMF</v>
      </c>
      <c r="E36" s="813"/>
      <c r="F36" s="813">
        <f>VLOOKUP($A36,'CEM Data Lookup'!$A:$P,7,FALSE)</f>
        <v>0.77834731340408325</v>
      </c>
      <c r="G36" s="832"/>
      <c r="H36" s="832">
        <f t="shared" si="0"/>
        <v>0.78</v>
      </c>
      <c r="I36" s="832"/>
      <c r="J36" s="814">
        <f>'MRP WP1'!H$65</f>
        <v>9.7498071769275878</v>
      </c>
      <c r="L36" s="832"/>
      <c r="M36" s="814">
        <f>'MRP WP1'!F$37</f>
        <v>3.91</v>
      </c>
      <c r="O36" s="832"/>
      <c r="P36" s="833">
        <f t="shared" si="1"/>
        <v>11.514849598003519</v>
      </c>
      <c r="R36" s="832"/>
      <c r="S36" s="833">
        <f t="shared" si="2"/>
        <v>12.0511</v>
      </c>
      <c r="U36" s="832"/>
      <c r="V36" s="814">
        <f t="shared" si="3"/>
        <v>11.78</v>
      </c>
    </row>
    <row r="37" spans="1:22" ht="15.75" customHeight="1">
      <c r="A37" s="122" t="str">
        <f>Input!C30</f>
        <v>ROL</v>
      </c>
      <c r="B37" s="807" t="str">
        <f>VLOOKUP($A37,'CEM Data Lookup'!$A:$P,2,FALSE)</f>
        <v xml:space="preserve">Rollins, Inc.       </v>
      </c>
      <c r="D37" s="826">
        <f>'MRP WP1'!E101</f>
        <v>0.8</v>
      </c>
      <c r="E37" s="813"/>
      <c r="F37" s="813">
        <f>VLOOKUP($A37,'CEM Data Lookup'!$A:$P,7,FALSE)</f>
        <v>0.87550854682922363</v>
      </c>
      <c r="G37" s="832"/>
      <c r="H37" s="832">
        <f t="shared" si="0"/>
        <v>0.84</v>
      </c>
      <c r="I37" s="832"/>
      <c r="J37" s="814">
        <f>'MRP WP1'!H$65</f>
        <v>9.7498071769275878</v>
      </c>
      <c r="L37" s="832"/>
      <c r="M37" s="814">
        <f>'MRP WP1'!F$37</f>
        <v>3.91</v>
      </c>
      <c r="O37" s="832"/>
      <c r="P37" s="833">
        <f t="shared" si="1"/>
        <v>12.099838028619173</v>
      </c>
      <c r="R37" s="832"/>
      <c r="S37" s="833">
        <f t="shared" si="2"/>
        <v>12.489800000000001</v>
      </c>
      <c r="U37" s="832"/>
      <c r="V37" s="814">
        <f t="shared" si="3"/>
        <v>12.29</v>
      </c>
    </row>
    <row r="38" spans="1:22" ht="15.75" customHeight="1">
      <c r="A38" s="122" t="str">
        <f>Input!C31</f>
        <v>SHW</v>
      </c>
      <c r="B38" s="807" t="str">
        <f>VLOOKUP($A38,'CEM Data Lookup'!$A:$P,2,FALSE)</f>
        <v xml:space="preserve">Sherwin-Williams    </v>
      </c>
      <c r="D38" s="826">
        <f>'MRP WP1'!E102</f>
        <v>0.85</v>
      </c>
      <c r="E38" s="813"/>
      <c r="F38" s="813">
        <f>VLOOKUP($A38,'CEM Data Lookup'!$A:$P,7,FALSE)</f>
        <v>1.0015096664428711</v>
      </c>
      <c r="G38" s="832"/>
      <c r="H38" s="832">
        <f t="shared" si="0"/>
        <v>0.93</v>
      </c>
      <c r="I38" s="832"/>
      <c r="J38" s="814">
        <f>'MRP WP1'!H$65</f>
        <v>9.7498071769275878</v>
      </c>
      <c r="L38" s="832"/>
      <c r="M38" s="814">
        <f>'MRP WP1'!F$37</f>
        <v>3.91</v>
      </c>
      <c r="O38" s="832"/>
      <c r="P38" s="833">
        <f t="shared" si="1"/>
        <v>12.977320674542657</v>
      </c>
      <c r="R38" s="832"/>
      <c r="S38" s="833">
        <f t="shared" si="2"/>
        <v>13.1479</v>
      </c>
      <c r="U38" s="832"/>
      <c r="V38" s="814">
        <f t="shared" si="3"/>
        <v>13.06</v>
      </c>
    </row>
    <row r="39" spans="1:22" ht="15.75" customHeight="1">
      <c r="A39" s="122" t="str">
        <f>Input!C32</f>
        <v>SIGI</v>
      </c>
      <c r="B39" s="807" t="str">
        <f>VLOOKUP($A39,'CEM Data Lookup'!$A:$P,2,FALSE)</f>
        <v>Selective Ins. Group</v>
      </c>
      <c r="D39" s="826">
        <f>'MRP WP1'!E103</f>
        <v>0.95</v>
      </c>
      <c r="E39" s="813"/>
      <c r="F39" s="813">
        <f>VLOOKUP($A39,'CEM Data Lookup'!$A:$P,7,FALSE)</f>
        <v>0.69410860538482666</v>
      </c>
      <c r="G39" s="832"/>
      <c r="H39" s="832">
        <f t="shared" si="0"/>
        <v>0.82</v>
      </c>
      <c r="I39" s="832"/>
      <c r="J39" s="814">
        <f>'MRP WP1'!H$65</f>
        <v>9.7498071769275878</v>
      </c>
      <c r="L39" s="832"/>
      <c r="M39" s="814">
        <f>'MRP WP1'!F$37</f>
        <v>3.91</v>
      </c>
      <c r="O39" s="832"/>
      <c r="P39" s="833">
        <f t="shared" si="1"/>
        <v>11.904841885080621</v>
      </c>
      <c r="R39" s="832"/>
      <c r="S39" s="833">
        <f t="shared" si="2"/>
        <v>12.3436</v>
      </c>
      <c r="U39" s="832"/>
      <c r="V39" s="814">
        <f t="shared" si="3"/>
        <v>12.12</v>
      </c>
    </row>
    <row r="40" spans="1:22" ht="15.75" customHeight="1">
      <c r="A40" s="122" t="str">
        <f>Input!C33</f>
        <v>SIRI</v>
      </c>
      <c r="B40" s="807" t="str">
        <f>VLOOKUP($A40,'CEM Data Lookup'!$A:$P,2,FALSE)</f>
        <v xml:space="preserve">Sirius XM Holdings  </v>
      </c>
      <c r="D40" s="826">
        <f>'MRP WP1'!E104</f>
        <v>0.85</v>
      </c>
      <c r="E40" s="813"/>
      <c r="F40" s="813">
        <f>VLOOKUP($A40,'CEM Data Lookup'!$A:$P,7,FALSE)</f>
        <v>0.71677941083908081</v>
      </c>
      <c r="G40" s="832"/>
      <c r="H40" s="832">
        <f t="shared" si="0"/>
        <v>0.78</v>
      </c>
      <c r="I40" s="832"/>
      <c r="J40" s="814">
        <f>'MRP WP1'!H$65</f>
        <v>9.7498071769275878</v>
      </c>
      <c r="L40" s="832"/>
      <c r="M40" s="814">
        <f>'MRP WP1'!F$37</f>
        <v>3.91</v>
      </c>
      <c r="O40" s="832"/>
      <c r="P40" s="833">
        <f t="shared" si="1"/>
        <v>11.514849598003519</v>
      </c>
      <c r="R40" s="832"/>
      <c r="S40" s="833">
        <f t="shared" si="2"/>
        <v>12.0511</v>
      </c>
      <c r="U40" s="832"/>
      <c r="V40" s="814">
        <f t="shared" si="3"/>
        <v>11.78</v>
      </c>
    </row>
    <row r="41" spans="1:22" ht="15.75" customHeight="1">
      <c r="A41" s="122" t="str">
        <f>Input!C34</f>
        <v>SXT</v>
      </c>
      <c r="B41" s="807" t="str">
        <f>VLOOKUP($A41,'CEM Data Lookup'!$A:$P,2,FALSE)</f>
        <v xml:space="preserve">Sensient Techn.     </v>
      </c>
      <c r="D41" s="826">
        <f>'MRP WP1'!E105</f>
        <v>0.9</v>
      </c>
      <c r="E41" s="813"/>
      <c r="F41" s="813">
        <f>VLOOKUP($A41,'CEM Data Lookup'!$A:$P,7,FALSE)</f>
        <v>0.96372032165527344</v>
      </c>
      <c r="G41" s="832"/>
      <c r="H41" s="832">
        <f t="shared" si="0"/>
        <v>0.93</v>
      </c>
      <c r="I41" s="832"/>
      <c r="J41" s="814">
        <f>'MRP WP1'!H$65</f>
        <v>9.7498071769275878</v>
      </c>
      <c r="L41" s="832"/>
      <c r="M41" s="814">
        <f>'MRP WP1'!F$37</f>
        <v>3.91</v>
      </c>
      <c r="O41" s="832"/>
      <c r="P41" s="833">
        <f t="shared" si="1"/>
        <v>12.977320674542657</v>
      </c>
      <c r="R41" s="832"/>
      <c r="S41" s="833">
        <f t="shared" si="2"/>
        <v>13.1479</v>
      </c>
      <c r="U41" s="832"/>
      <c r="V41" s="814">
        <f t="shared" si="3"/>
        <v>13.06</v>
      </c>
    </row>
    <row r="42" spans="1:22" ht="15.75" customHeight="1">
      <c r="A42" s="122" t="str">
        <f>Input!C35</f>
        <v>TMO</v>
      </c>
      <c r="B42" s="807" t="str">
        <f>VLOOKUP($A42,'CEM Data Lookup'!$A:$P,2,FALSE)</f>
        <v xml:space="preserve">Thermo Fisher Sci.  </v>
      </c>
      <c r="D42" s="826">
        <f>'MRP WP1'!E106</f>
        <v>0.95</v>
      </c>
      <c r="E42" s="813"/>
      <c r="F42" s="813">
        <f>VLOOKUP($A42,'CEM Data Lookup'!$A:$P,7,FALSE)</f>
        <v>0.92452317476272583</v>
      </c>
      <c r="G42" s="832"/>
      <c r="H42" s="832">
        <f t="shared" si="0"/>
        <v>0.94</v>
      </c>
      <c r="I42" s="832"/>
      <c r="J42" s="814">
        <f>'MRP WP1'!H$65</f>
        <v>9.7498071769275878</v>
      </c>
      <c r="L42" s="832"/>
      <c r="M42" s="814">
        <f>'MRP WP1'!F$37</f>
        <v>3.91</v>
      </c>
      <c r="O42" s="832"/>
      <c r="P42" s="833">
        <f t="shared" si="1"/>
        <v>13.074818746311932</v>
      </c>
      <c r="R42" s="832"/>
      <c r="S42" s="833">
        <f t="shared" si="2"/>
        <v>13.2211</v>
      </c>
      <c r="U42" s="832"/>
      <c r="V42" s="814">
        <f t="shared" si="3"/>
        <v>13.15</v>
      </c>
    </row>
    <row r="43" spans="1:22" ht="15.75" customHeight="1">
      <c r="A43" s="122" t="str">
        <f>Input!C36</f>
        <v>TXN</v>
      </c>
      <c r="B43" s="807" t="str">
        <f>VLOOKUP($A43,'CEM Data Lookup'!$A:$P,2,FALSE)</f>
        <v xml:space="preserve">Texas Instruments   </v>
      </c>
      <c r="D43" s="826">
        <f>'MRP WP1'!E107</f>
        <v>0.85</v>
      </c>
      <c r="E43" s="813"/>
      <c r="F43" s="813">
        <f>VLOOKUP($A43,'CEM Data Lookup'!$A:$P,7,FALSE)</f>
        <v>0.97030335664749146</v>
      </c>
      <c r="G43" s="832"/>
      <c r="H43" s="832">
        <f t="shared" si="0"/>
        <v>0.91</v>
      </c>
      <c r="I43" s="832"/>
      <c r="J43" s="814">
        <f>'MRP WP1'!H$65</f>
        <v>9.7498071769275878</v>
      </c>
      <c r="L43" s="832"/>
      <c r="M43" s="814">
        <f>'MRP WP1'!F$37</f>
        <v>3.91</v>
      </c>
      <c r="O43" s="832"/>
      <c r="P43" s="833">
        <f t="shared" si="1"/>
        <v>12.782324531004106</v>
      </c>
      <c r="R43" s="832"/>
      <c r="S43" s="833">
        <f t="shared" si="2"/>
        <v>13.0017</v>
      </c>
      <c r="U43" s="832"/>
      <c r="V43" s="814">
        <f t="shared" si="3"/>
        <v>12.89</v>
      </c>
    </row>
    <row r="44" spans="1:22" ht="15.75" customHeight="1">
      <c r="A44" s="122" t="str">
        <f>Input!C37</f>
        <v>VRSN</v>
      </c>
      <c r="B44" s="807" t="str">
        <f>VLOOKUP($A44,'CEM Data Lookup'!$A:$P,2,FALSE)</f>
        <v xml:space="preserve">VeriSign Inc.       </v>
      </c>
      <c r="D44" s="826">
        <f>'MRP WP1'!E108</f>
        <v>0.9</v>
      </c>
      <c r="E44" s="813"/>
      <c r="F44" s="813">
        <f>VLOOKUP($A44,'CEM Data Lookup'!$A:$P,7,FALSE)</f>
        <v>1.0538966655731201</v>
      </c>
      <c r="G44" s="832"/>
      <c r="H44" s="832">
        <f t="shared" si="0"/>
        <v>0.98</v>
      </c>
      <c r="I44" s="832"/>
      <c r="J44" s="814">
        <f>'MRP WP1'!H$65</f>
        <v>9.7498071769275878</v>
      </c>
      <c r="L44" s="832"/>
      <c r="M44" s="814">
        <f>'MRP WP1'!F$37</f>
        <v>3.91</v>
      </c>
      <c r="O44" s="832"/>
      <c r="P44" s="833">
        <f t="shared" si="1"/>
        <v>13.464811033389037</v>
      </c>
      <c r="R44" s="832"/>
      <c r="S44" s="833">
        <f t="shared" si="2"/>
        <v>13.5136</v>
      </c>
      <c r="U44" s="832"/>
      <c r="V44" s="814">
        <f t="shared" si="3"/>
        <v>13.49</v>
      </c>
    </row>
    <row r="45" spans="1:22" ht="15.75" customHeight="1">
      <c r="A45" s="122" t="str">
        <f>Input!C38</f>
        <v>WAT</v>
      </c>
      <c r="B45" s="807" t="str">
        <f>VLOOKUP($A45,'CEM Data Lookup'!$A:$P,2,FALSE)</f>
        <v xml:space="preserve">Waters Corp.        </v>
      </c>
      <c r="D45" s="826">
        <f>'MRP WP1'!E109</f>
        <v>0.95</v>
      </c>
      <c r="E45" s="813"/>
      <c r="F45" s="813">
        <f>VLOOKUP($A45,'CEM Data Lookup'!$A:$P,7,FALSE)</f>
        <v>0.97911584377288818</v>
      </c>
      <c r="G45" s="832"/>
      <c r="H45" s="832">
        <f t="shared" si="0"/>
        <v>0.96</v>
      </c>
      <c r="I45" s="832"/>
      <c r="J45" s="814">
        <f>'MRP WP1'!H$65</f>
        <v>9.7498071769275878</v>
      </c>
      <c r="L45" s="832"/>
      <c r="M45" s="814">
        <f>'MRP WP1'!F$37</f>
        <v>3.91</v>
      </c>
      <c r="O45" s="832"/>
      <c r="P45" s="833">
        <f t="shared" si="1"/>
        <v>13.269814889850483</v>
      </c>
      <c r="R45" s="832"/>
      <c r="S45" s="833">
        <f t="shared" si="2"/>
        <v>13.3673</v>
      </c>
      <c r="U45" s="832"/>
      <c r="V45" s="814">
        <f t="shared" si="3"/>
        <v>13.32</v>
      </c>
    </row>
    <row r="46" spans="1:22" ht="15.75" customHeight="1">
      <c r="A46" s="122" t="str">
        <f>Input!C39</f>
        <v>WSO</v>
      </c>
      <c r="B46" s="807" t="str">
        <f>VLOOKUP($A46,'CEM Data Lookup'!$A:$P,2,FALSE)</f>
        <v xml:space="preserve">Watsco, Inc.        </v>
      </c>
      <c r="D46" s="826">
        <f>'MRP WP1'!E110</f>
        <v>0.95</v>
      </c>
      <c r="E46" s="813"/>
      <c r="F46" s="813">
        <f>VLOOKUP($A46,'CEM Data Lookup'!$A:$P,7,FALSE)</f>
        <v>1.0211198329925537</v>
      </c>
      <c r="G46" s="832"/>
      <c r="H46" s="832">
        <f t="shared" si="0"/>
        <v>0.99</v>
      </c>
      <c r="I46" s="832"/>
      <c r="J46" s="814">
        <f>'MRP WP1'!H$65</f>
        <v>9.7498071769275878</v>
      </c>
      <c r="L46" s="832"/>
      <c r="M46" s="814">
        <f>'MRP WP1'!F$37</f>
        <v>3.91</v>
      </c>
      <c r="O46" s="832"/>
      <c r="P46" s="833">
        <f t="shared" si="1"/>
        <v>13.562309105158311</v>
      </c>
      <c r="R46" s="832"/>
      <c r="S46" s="833">
        <f t="shared" si="2"/>
        <v>13.5867</v>
      </c>
      <c r="U46" s="832"/>
      <c r="V46" s="814">
        <f t="shared" si="3"/>
        <v>13.57</v>
      </c>
    </row>
    <row r="47" spans="1:22" ht="15.75" customHeight="1">
      <c r="A47" s="122" t="str">
        <f>Input!C40</f>
        <v>WU</v>
      </c>
      <c r="B47" s="807" t="str">
        <f>VLOOKUP($A47,'CEM Data Lookup'!$A:$P,2,FALSE)</f>
        <v xml:space="preserve">Western Union       </v>
      </c>
      <c r="D47" s="826">
        <f>'MRP WP1'!E111</f>
        <v>0.85</v>
      </c>
      <c r="E47" s="813"/>
      <c r="F47" s="813">
        <f>VLOOKUP($A47,'CEM Data Lookup'!$A:$P,7,FALSE)</f>
        <v>0.81399881839752197</v>
      </c>
      <c r="G47" s="832"/>
      <c r="H47" s="832">
        <f t="shared" si="0"/>
        <v>0.83</v>
      </c>
      <c r="I47" s="832"/>
      <c r="J47" s="814">
        <f>'MRP WP1'!H$65</f>
        <v>9.7498071769275878</v>
      </c>
      <c r="L47" s="832"/>
      <c r="M47" s="814">
        <f>'MRP WP1'!F$37</f>
        <v>3.91</v>
      </c>
      <c r="O47" s="832"/>
      <c r="P47" s="833">
        <f t="shared" si="1"/>
        <v>12.002339956849898</v>
      </c>
      <c r="R47" s="832"/>
      <c r="S47" s="833">
        <f t="shared" si="2"/>
        <v>12.416700000000001</v>
      </c>
      <c r="U47" s="832"/>
      <c r="V47" s="814">
        <f t="shared" si="3"/>
        <v>12.21</v>
      </c>
    </row>
    <row r="48" spans="1:22" ht="15.75" customHeight="1">
      <c r="D48" s="834"/>
      <c r="E48" s="834"/>
      <c r="F48" s="834"/>
      <c r="G48" s="832"/>
      <c r="H48" s="835"/>
      <c r="I48" s="832"/>
      <c r="J48" s="833"/>
      <c r="K48" s="832"/>
      <c r="L48" s="832"/>
      <c r="M48" s="833"/>
      <c r="N48" s="832"/>
      <c r="O48" s="832"/>
      <c r="P48" s="836"/>
      <c r="Q48" s="832"/>
      <c r="R48" s="832"/>
      <c r="S48" s="836"/>
      <c r="T48" s="832"/>
      <c r="U48" s="832"/>
      <c r="V48" s="833"/>
    </row>
    <row r="49" spans="3:26" ht="15.75" customHeight="1" thickBot="1">
      <c r="D49" s="833"/>
      <c r="E49" s="833"/>
      <c r="F49" s="808" t="s">
        <v>1377</v>
      </c>
      <c r="G49" s="832"/>
      <c r="H49" s="818">
        <f>ROUND(AVERAGE(H8:H47),2)</f>
        <v>0.85</v>
      </c>
      <c r="I49" s="832"/>
      <c r="J49" s="832"/>
      <c r="K49" s="832"/>
      <c r="L49" s="832"/>
      <c r="M49" s="832"/>
      <c r="N49" s="832"/>
      <c r="O49" s="832"/>
      <c r="P49" s="818">
        <f>ROUND(AVERAGE(P8:P47),2)</f>
        <v>12.24</v>
      </c>
      <c r="Q49" s="832" t="s">
        <v>18</v>
      </c>
      <c r="R49" s="832"/>
      <c r="S49" s="818">
        <f>ROUND(AVERAGE(S8:S47),2)</f>
        <v>12.59</v>
      </c>
      <c r="T49" s="832" t="s">
        <v>18</v>
      </c>
      <c r="U49" s="832"/>
      <c r="V49" s="818">
        <f>ROUND(AVERAGE(V8:V47),2)</f>
        <v>12.42</v>
      </c>
      <c r="W49" s="832" t="s">
        <v>18</v>
      </c>
    </row>
    <row r="50" spans="3:26" ht="15.75" customHeight="1" thickTop="1">
      <c r="D50" s="833"/>
      <c r="E50" s="833"/>
      <c r="F50" s="808"/>
      <c r="G50" s="832"/>
      <c r="H50" s="814"/>
      <c r="I50" s="832"/>
      <c r="J50" s="832"/>
      <c r="K50" s="832"/>
      <c r="L50" s="832"/>
      <c r="M50" s="832"/>
      <c r="N50" s="832"/>
      <c r="O50" s="832"/>
      <c r="P50" s="814"/>
      <c r="Q50" s="832"/>
      <c r="R50" s="832"/>
      <c r="S50" s="814"/>
      <c r="T50" s="832"/>
      <c r="U50" s="832"/>
      <c r="V50" s="814"/>
      <c r="W50" s="832"/>
    </row>
    <row r="51" spans="3:26" ht="15.75" customHeight="1" thickBot="1">
      <c r="D51" s="833"/>
      <c r="E51" s="833"/>
      <c r="F51" s="808" t="s">
        <v>183</v>
      </c>
      <c r="G51" s="832"/>
      <c r="H51" s="818">
        <f>ROUND(MEDIAN(H8:H48),2)</f>
        <v>0.83</v>
      </c>
      <c r="I51" s="832"/>
      <c r="J51" s="832"/>
      <c r="K51" s="832"/>
      <c r="L51" s="832"/>
      <c r="M51" s="832"/>
      <c r="N51" s="832"/>
      <c r="O51" s="832"/>
      <c r="P51" s="818">
        <f>ROUND(MEDIAN(P8:P47),2)</f>
        <v>12</v>
      </c>
      <c r="Q51" s="832" t="s">
        <v>18</v>
      </c>
      <c r="R51" s="832"/>
      <c r="S51" s="818">
        <f>ROUND(MEDIAN(S8:S47),2)</f>
        <v>12.42</v>
      </c>
      <c r="T51" s="832" t="s">
        <v>18</v>
      </c>
      <c r="U51" s="832"/>
      <c r="V51" s="818">
        <f>ROUND(MEDIAN(V8:V47),2)</f>
        <v>12.21</v>
      </c>
      <c r="W51" s="832" t="s">
        <v>18</v>
      </c>
    </row>
    <row r="52" spans="3:26" ht="15.75" customHeight="1" thickTop="1">
      <c r="F52" s="808"/>
    </row>
    <row r="53" spans="3:26" ht="15.75" customHeight="1" thickBot="1">
      <c r="F53" s="808" t="s">
        <v>1376</v>
      </c>
      <c r="H53" s="837">
        <f>ROUND(AVERAGE(H49:H51),2)</f>
        <v>0.84</v>
      </c>
      <c r="P53" s="837">
        <f>ROUND(AVERAGE(P49:P51),2)</f>
        <v>12.12</v>
      </c>
      <c r="Q53" s="832" t="s">
        <v>18</v>
      </c>
      <c r="S53" s="837">
        <f>ROUND(AVERAGE(S49:S51),2)</f>
        <v>12.51</v>
      </c>
      <c r="T53" s="832" t="s">
        <v>18</v>
      </c>
      <c r="V53" s="837">
        <f>ROUND(AVERAGE(V49:V51),2)</f>
        <v>12.32</v>
      </c>
      <c r="W53" s="832" t="s">
        <v>18</v>
      </c>
    </row>
    <row r="54" spans="3:26" ht="15.75" customHeight="1" thickTop="1">
      <c r="F54" s="808"/>
      <c r="H54" s="838"/>
      <c r="P54" s="838"/>
      <c r="Q54" s="832"/>
      <c r="S54" s="838"/>
      <c r="T54" s="832"/>
      <c r="V54" s="833"/>
      <c r="W54" s="832"/>
    </row>
    <row r="55" spans="3:26" ht="15.75" customHeight="1">
      <c r="C55" s="808" t="s">
        <v>94</v>
      </c>
    </row>
    <row r="56" spans="3:26" ht="15.75" customHeight="1">
      <c r="C56" s="839" t="s">
        <v>95</v>
      </c>
      <c r="D56" s="807" t="s">
        <v>4452</v>
      </c>
    </row>
    <row r="57" spans="3:26" ht="15.75" customHeight="1">
      <c r="C57" s="839" t="s">
        <v>96</v>
      </c>
      <c r="D57" s="807" t="s">
        <v>4453</v>
      </c>
    </row>
    <row r="58" spans="3:26" ht="15.75" customHeight="1">
      <c r="C58" s="840" t="s">
        <v>97</v>
      </c>
      <c r="D58" s="807" t="s">
        <v>195</v>
      </c>
    </row>
    <row r="59" spans="3:26" ht="15.75" customHeight="1">
      <c r="C59" s="839"/>
      <c r="D59" s="1045"/>
      <c r="E59" s="1045"/>
      <c r="F59" s="1045"/>
      <c r="G59" s="1045"/>
      <c r="H59" s="1045"/>
      <c r="I59" s="1045"/>
      <c r="J59" s="1045"/>
      <c r="K59" s="1045"/>
      <c r="L59" s="1045"/>
      <c r="M59" s="1045"/>
      <c r="N59" s="1045"/>
      <c r="O59" s="1045"/>
      <c r="P59" s="1045"/>
      <c r="Q59" s="1045"/>
      <c r="R59" s="1045"/>
      <c r="S59" s="1045"/>
      <c r="T59" s="1045"/>
      <c r="U59" s="1045"/>
      <c r="V59" s="1045"/>
      <c r="W59" s="1045"/>
      <c r="X59" s="325"/>
      <c r="Y59" s="325"/>
      <c r="Z59" s="325"/>
    </row>
  </sheetData>
  <mergeCells count="6">
    <mergeCell ref="D59:W59"/>
    <mergeCell ref="J7:K7"/>
    <mergeCell ref="M7:N7"/>
    <mergeCell ref="P7:Q7"/>
    <mergeCell ref="S7:T7"/>
    <mergeCell ref="V7:W7"/>
  </mergeCells>
  <printOptions horizontalCentered="1"/>
  <pageMargins left="0.7" right="0.7" top="1" bottom="0.75" header="0.3" footer="0.3"/>
  <pageSetup scale="47" orientation="portrait" horizontalDpi="4294967294"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V38"/>
  <sheetViews>
    <sheetView view="pageBreakPreview" zoomScale="85" zoomScaleNormal="80" zoomScaleSheetLayoutView="85" workbookViewId="0">
      <selection sqref="A1:E1"/>
    </sheetView>
  </sheetViews>
  <sheetFormatPr defaultColWidth="12.33203125" defaultRowHeight="15"/>
  <cols>
    <col min="1" max="1" width="8.5546875" style="13" customWidth="1"/>
    <col min="2" max="2" width="4.33203125" style="13" customWidth="1"/>
    <col min="3" max="3" width="55" style="13" customWidth="1"/>
    <col min="4" max="4" width="4.33203125" style="13" customWidth="1"/>
    <col min="5" max="6" width="23" style="13" customWidth="1"/>
    <col min="7" max="7" width="10" style="13" customWidth="1"/>
    <col min="8" max="9" width="9" style="13" bestFit="1" customWidth="1"/>
    <col min="10" max="10" width="12.33203125" style="13"/>
    <col min="11" max="11" width="12.33203125" style="468"/>
    <col min="12" max="16384" width="12.33203125" style="13"/>
  </cols>
  <sheetData>
    <row r="1" spans="1:230" ht="15.75" customHeight="1">
      <c r="A1" s="1001" t="str">
        <f>Input!G28</f>
        <v>Peoples Gas System</v>
      </c>
      <c r="B1" s="1001"/>
      <c r="C1" s="1001"/>
      <c r="D1" s="1001"/>
      <c r="E1" s="1001"/>
      <c r="F1" s="17"/>
    </row>
    <row r="2" spans="1:230">
      <c r="A2" s="1001" t="s">
        <v>133</v>
      </c>
      <c r="B2" s="1001"/>
      <c r="C2" s="1001"/>
      <c r="D2" s="1001"/>
      <c r="E2" s="1001"/>
      <c r="F2" s="17"/>
    </row>
    <row r="3" spans="1:230">
      <c r="A3" s="16"/>
      <c r="B3" s="16"/>
      <c r="C3" s="16"/>
      <c r="D3" s="16"/>
      <c r="E3" s="16"/>
      <c r="F3" s="16"/>
    </row>
    <row r="4" spans="1:230" ht="15" customHeight="1">
      <c r="A4" s="16"/>
      <c r="B4" s="16"/>
      <c r="C4" s="16"/>
      <c r="F4" s="19"/>
    </row>
    <row r="5" spans="1:230" ht="45">
      <c r="A5" s="299" t="s">
        <v>92</v>
      </c>
      <c r="B5" s="16"/>
      <c r="C5" s="73" t="s">
        <v>134</v>
      </c>
      <c r="D5" s="16"/>
      <c r="E5" s="455" t="str">
        <f>Input!I30</f>
        <v>Proxy Group of Six Natural Gas Companies</v>
      </c>
      <c r="F5" s="19"/>
      <c r="H5" s="17"/>
    </row>
    <row r="6" spans="1:230">
      <c r="A6" s="16"/>
      <c r="B6" s="16"/>
      <c r="C6" s="16"/>
    </row>
    <row r="7" spans="1:230">
      <c r="A7" s="63" t="s">
        <v>93</v>
      </c>
      <c r="B7" s="63"/>
      <c r="C7" s="54" t="s">
        <v>135</v>
      </c>
      <c r="E7" s="300">
        <f>'3.1 DCF Summary'!V20/100</f>
        <v>0.1</v>
      </c>
      <c r="F7" s="166">
        <f>AVERAGE(E7:E13)</f>
        <v>0.1138</v>
      </c>
      <c r="G7" s="339">
        <f>F10</f>
        <v>0.1</v>
      </c>
      <c r="H7" s="166"/>
      <c r="I7" s="339" t="s">
        <v>4600</v>
      </c>
      <c r="J7" s="54"/>
      <c r="K7" s="468">
        <f>E7</f>
        <v>0.1</v>
      </c>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row>
    <row r="8" spans="1:230">
      <c r="A8" s="63"/>
      <c r="B8" s="63"/>
      <c r="C8" s="54"/>
      <c r="D8" s="18"/>
      <c r="E8" s="46"/>
      <c r="F8" s="166">
        <f>MEDIAN(E7:E13)</f>
        <v>0.11579999999999999</v>
      </c>
      <c r="G8" s="339">
        <f>F7</f>
        <v>0.1138</v>
      </c>
      <c r="H8" s="166"/>
      <c r="I8" s="339"/>
      <c r="J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row>
    <row r="9" spans="1:230">
      <c r="A9" s="63" t="s">
        <v>99</v>
      </c>
      <c r="B9" s="63"/>
      <c r="C9" s="54" t="s">
        <v>136</v>
      </c>
      <c r="D9" s="54"/>
      <c r="E9" s="300">
        <f>'4.1 RP Summary'!D10/100</f>
        <v>0.11539999999999999</v>
      </c>
      <c r="F9" s="166">
        <f>MAX(E7:E13)</f>
        <v>0.12359999999999999</v>
      </c>
      <c r="G9" s="339">
        <f>G7+SUM(E17:E19)</f>
        <v>0.10322488334943501</v>
      </c>
      <c r="H9" s="166"/>
      <c r="I9" s="339"/>
      <c r="J9" s="54"/>
      <c r="K9" s="468">
        <f>'4.3 Risk Premium Summary'!J23/100</f>
        <v>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c r="A10" s="63"/>
      <c r="B10" s="63"/>
      <c r="C10" s="63"/>
      <c r="D10" s="54"/>
      <c r="E10" s="301"/>
      <c r="F10" s="166">
        <f>MIN(E7:E13)</f>
        <v>0.1</v>
      </c>
      <c r="G10" s="339">
        <f>G8+SUM(E17:E19)</f>
        <v>0.117024883349435</v>
      </c>
      <c r="H10" s="166"/>
      <c r="I10" s="339"/>
      <c r="J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row>
    <row r="11" spans="1:230">
      <c r="A11" s="63" t="s">
        <v>100</v>
      </c>
      <c r="B11" s="63"/>
      <c r="C11" s="54" t="s">
        <v>137</v>
      </c>
      <c r="E11" s="174">
        <f>'5.1 CAPM'!V20/100</f>
        <v>0.1162</v>
      </c>
      <c r="F11" s="166">
        <f>AVERAGE(F9:F10)</f>
        <v>0.1118</v>
      </c>
      <c r="H11" s="166"/>
      <c r="I11" s="54"/>
      <c r="J11" s="54"/>
      <c r="K11" s="468">
        <f>'5.1 CAPM'!V39/100</f>
        <v>0</v>
      </c>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row>
    <row r="12" spans="1:230">
      <c r="A12" s="63"/>
      <c r="B12" s="63"/>
      <c r="C12" s="54"/>
      <c r="E12" s="46"/>
      <c r="H12" s="24"/>
      <c r="I12" s="54"/>
      <c r="J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row>
    <row r="13" spans="1:230" ht="39" customHeight="1">
      <c r="A13" s="63" t="s">
        <v>104</v>
      </c>
      <c r="B13" s="63"/>
      <c r="C13" s="19" t="s">
        <v>150</v>
      </c>
      <c r="E13" s="467">
        <f>'7.1 CEM Summary'!E19/100</f>
        <v>0.12359999999999999</v>
      </c>
      <c r="H13" s="165"/>
      <c r="I13" s="54"/>
      <c r="J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row>
    <row r="14" spans="1:230">
      <c r="A14" s="63"/>
      <c r="B14" s="63"/>
      <c r="C14" s="63"/>
      <c r="D14" s="54"/>
      <c r="E14" s="46"/>
      <c r="H14" s="54"/>
      <c r="I14" s="54"/>
      <c r="J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row>
    <row r="15" spans="1:230" ht="30">
      <c r="A15" s="36" t="s">
        <v>105</v>
      </c>
      <c r="B15" s="16"/>
      <c r="C15" s="32" t="s">
        <v>4603</v>
      </c>
      <c r="D15" s="19"/>
      <c r="E15" s="16" t="str">
        <f>_xlfn.CONCAT(TEXT(E7,"0.00%")," - ",TEXT(E11,"0.00%"))</f>
        <v>10.00% - 11.62%</v>
      </c>
      <c r="F15" s="166"/>
      <c r="H15" s="166"/>
    </row>
    <row r="16" spans="1:230">
      <c r="A16" s="28"/>
      <c r="B16" s="28"/>
      <c r="C16" s="435"/>
      <c r="D16" s="435"/>
      <c r="E16" s="660"/>
    </row>
    <row r="17" spans="1:10">
      <c r="A17" s="31" t="s">
        <v>106</v>
      </c>
      <c r="B17" s="28"/>
      <c r="C17" s="435" t="s">
        <v>4604</v>
      </c>
      <c r="D17" s="435"/>
      <c r="E17" s="300">
        <f>'8.1 Equity Contributions'!M21/100</f>
        <v>1.2248833494350108E-3</v>
      </c>
      <c r="F17" s="166"/>
      <c r="H17" s="166"/>
    </row>
    <row r="18" spans="1:10">
      <c r="A18" s="31"/>
      <c r="B18" s="28"/>
      <c r="C18" s="435"/>
      <c r="D18" s="435"/>
      <c r="E18" s="300"/>
    </row>
    <row r="19" spans="1:10">
      <c r="A19" s="38" t="s">
        <v>108</v>
      </c>
      <c r="B19" s="28"/>
      <c r="C19" s="435" t="s">
        <v>4606</v>
      </c>
      <c r="D19" s="435"/>
      <c r="E19" s="467">
        <v>2E-3</v>
      </c>
      <c r="F19" s="166"/>
      <c r="H19" s="166"/>
    </row>
    <row r="20" spans="1:10">
      <c r="A20" s="38"/>
      <c r="B20" s="28"/>
      <c r="C20" s="435"/>
      <c r="D20" s="435"/>
      <c r="E20" s="300"/>
    </row>
    <row r="21" spans="1:10" ht="34.5" customHeight="1" thickBot="1">
      <c r="A21" s="38" t="s">
        <v>109</v>
      </c>
      <c r="B21" s="16"/>
      <c r="C21" s="435" t="s">
        <v>4441</v>
      </c>
      <c r="D21" s="245"/>
      <c r="E21" s="748" t="str">
        <f>_xlfn.CONCAT(TEXT(G9,"0.00%")," - ",TEXT(G10,"0.00%"))</f>
        <v>10.32% - 11.70%</v>
      </c>
      <c r="F21" s="311"/>
      <c r="H21" s="166"/>
    </row>
    <row r="22" spans="1:10" ht="15.75" customHeight="1" thickTop="1">
      <c r="A22" s="38"/>
      <c r="B22" s="16"/>
      <c r="C22" s="113"/>
      <c r="D22" s="245"/>
      <c r="E22" s="749"/>
      <c r="F22" s="633"/>
      <c r="G22" s="311"/>
      <c r="H22" s="311"/>
    </row>
    <row r="23" spans="1:10" ht="15.6" thickBot="1">
      <c r="A23" s="38" t="s">
        <v>2195</v>
      </c>
      <c r="C23" s="435" t="s">
        <v>4605</v>
      </c>
      <c r="E23" s="750">
        <v>0.11</v>
      </c>
      <c r="F23" s="633"/>
      <c r="G23" s="311"/>
      <c r="H23" s="311"/>
      <c r="J23" s="166"/>
    </row>
    <row r="24" spans="1:10" ht="15" customHeight="1" thickTop="1">
      <c r="A24" s="38"/>
      <c r="B24" s="16"/>
      <c r="C24" s="64"/>
      <c r="D24" s="245"/>
      <c r="E24" s="300"/>
      <c r="F24" s="59"/>
      <c r="G24" s="74"/>
    </row>
    <row r="25" spans="1:10">
      <c r="A25" s="16" t="s">
        <v>139</v>
      </c>
      <c r="B25" s="47" t="s">
        <v>95</v>
      </c>
      <c r="C25" s="13" t="s">
        <v>4399</v>
      </c>
      <c r="D25" s="32"/>
      <c r="E25" s="32"/>
      <c r="F25" s="74"/>
      <c r="G25" s="74"/>
      <c r="H25" s="999"/>
      <c r="I25" s="999"/>
    </row>
    <row r="26" spans="1:10" ht="15" customHeight="1">
      <c r="A26" s="16"/>
      <c r="B26" s="21" t="s">
        <v>96</v>
      </c>
      <c r="C26" s="13" t="s">
        <v>4400</v>
      </c>
      <c r="F26" s="74"/>
      <c r="G26" s="74"/>
      <c r="H26" s="999"/>
      <c r="I26" s="999"/>
    </row>
    <row r="27" spans="1:10" ht="15" customHeight="1">
      <c r="A27" s="16"/>
      <c r="B27" s="21" t="s">
        <v>97</v>
      </c>
      <c r="C27" s="13" t="s">
        <v>4401</v>
      </c>
      <c r="F27" s="251"/>
      <c r="G27" s="74"/>
      <c r="H27" s="74"/>
      <c r="I27" s="74"/>
    </row>
    <row r="28" spans="1:10" ht="15" customHeight="1">
      <c r="A28" s="16"/>
      <c r="B28" s="47" t="s">
        <v>98</v>
      </c>
      <c r="C28" s="13" t="s">
        <v>4442</v>
      </c>
      <c r="F28" s="251"/>
      <c r="G28" s="74"/>
      <c r="H28" s="74"/>
      <c r="I28" s="74"/>
    </row>
    <row r="29" spans="1:10">
      <c r="B29" s="47" t="s">
        <v>110</v>
      </c>
      <c r="C29" s="32" t="s">
        <v>4443</v>
      </c>
      <c r="D29" s="32"/>
      <c r="E29" s="32"/>
      <c r="F29" s="487"/>
    </row>
    <row r="30" spans="1:10" ht="49.5" customHeight="1">
      <c r="B30" s="47" t="s">
        <v>111</v>
      </c>
      <c r="C30" s="1000" t="s">
        <v>4612</v>
      </c>
      <c r="D30" s="1000"/>
      <c r="E30" s="1000"/>
      <c r="F30" s="646"/>
    </row>
    <row r="31" spans="1:10" ht="49.95" customHeight="1">
      <c r="B31" s="47" t="s">
        <v>2161</v>
      </c>
      <c r="C31" s="1000" t="s">
        <v>4611</v>
      </c>
      <c r="D31" s="1000"/>
      <c r="E31" s="1000"/>
      <c r="F31" s="646"/>
    </row>
    <row r="32" spans="1:10">
      <c r="C32" s="64"/>
    </row>
    <row r="33" spans="3:3">
      <c r="C33" s="64"/>
    </row>
    <row r="34" spans="3:3">
      <c r="C34" s="64"/>
    </row>
    <row r="35" spans="3:3">
      <c r="C35" s="64"/>
    </row>
    <row r="36" spans="3:3">
      <c r="C36" s="64"/>
    </row>
    <row r="37" spans="3:3">
      <c r="C37" s="64"/>
    </row>
    <row r="38" spans="3:3">
      <c r="C38" s="64"/>
    </row>
  </sheetData>
  <mergeCells count="5">
    <mergeCell ref="H25:I26"/>
    <mergeCell ref="C30:E30"/>
    <mergeCell ref="C31:E31"/>
    <mergeCell ref="A1:E1"/>
    <mergeCell ref="A2:E2"/>
  </mergeCells>
  <phoneticPr fontId="0" type="noConversion"/>
  <printOptions horizontalCentered="1"/>
  <pageMargins left="0.7" right="0.7" top="0.75" bottom="0.75" header="0.3" footer="0.3"/>
  <pageSetup scale="96" orientation="portrait" r:id="rId1"/>
  <ignoredErrors>
    <ignoredError sqref="B25:B31"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57"/>
  <sheetViews>
    <sheetView view="pageBreakPreview" zoomScale="70" zoomScaleNormal="85" zoomScaleSheetLayoutView="70" workbookViewId="0">
      <selection sqref="A1:W1"/>
    </sheetView>
  </sheetViews>
  <sheetFormatPr defaultColWidth="12.5546875" defaultRowHeight="15"/>
  <cols>
    <col min="1" max="1" width="28" style="344" bestFit="1" customWidth="1"/>
    <col min="2" max="2" width="5.5546875" style="344" bestFit="1" customWidth="1"/>
    <col min="3" max="3" width="18.5546875" style="344" customWidth="1"/>
    <col min="4" max="4" width="3.33203125" style="344" customWidth="1"/>
    <col min="5" max="5" width="15.33203125" style="344" customWidth="1"/>
    <col min="6" max="6" width="3.33203125" style="344" customWidth="1"/>
    <col min="7" max="7" width="15.33203125" style="344" customWidth="1"/>
    <col min="8" max="8" width="3.33203125" style="344" customWidth="1"/>
    <col min="9" max="9" width="15.33203125" style="344" customWidth="1"/>
    <col min="10" max="10" width="3.33203125" style="344" customWidth="1"/>
    <col min="11" max="11" width="15.33203125" style="344" customWidth="1"/>
    <col min="12" max="12" width="3.33203125" style="344" customWidth="1"/>
    <col min="13" max="13" width="15.33203125" style="344" customWidth="1"/>
    <col min="14" max="14" width="3.33203125" style="344" customWidth="1"/>
    <col min="15" max="15" width="15.33203125" style="344" customWidth="1"/>
    <col min="16" max="16" width="2.6640625" style="344" customWidth="1"/>
    <col min="17" max="17" width="18.5546875" style="344" customWidth="1"/>
    <col min="18" max="18" width="2.6640625" style="344" customWidth="1"/>
    <col min="19" max="19" width="18.5546875" style="344" bestFit="1" customWidth="1"/>
    <col min="20" max="20" width="2.6640625" style="344" customWidth="1"/>
    <col min="21" max="21" width="18.5546875" style="344" bestFit="1" customWidth="1"/>
    <col min="22" max="22" width="2.6640625" style="344" customWidth="1"/>
    <col min="23" max="23" width="15.33203125" style="344" customWidth="1"/>
    <col min="24" max="24" width="17" style="344" bestFit="1" customWidth="1"/>
    <col min="25" max="25" width="15.5546875" style="344" bestFit="1" customWidth="1"/>
    <col min="26" max="16384" width="12.5546875" style="344"/>
  </cols>
  <sheetData>
    <row r="1" spans="1:23">
      <c r="A1" s="1048" t="str">
        <f>Input!G28</f>
        <v>Peoples Gas System</v>
      </c>
      <c r="B1" s="1048"/>
      <c r="C1" s="1048"/>
      <c r="D1" s="1048"/>
      <c r="E1" s="1048"/>
      <c r="F1" s="1048"/>
      <c r="G1" s="1048"/>
      <c r="H1" s="1048"/>
      <c r="I1" s="1048"/>
      <c r="J1" s="1048"/>
      <c r="K1" s="1048"/>
      <c r="L1" s="1048"/>
      <c r="M1" s="1048"/>
      <c r="N1" s="1048"/>
      <c r="O1" s="1048"/>
      <c r="P1" s="1048"/>
      <c r="Q1" s="1048"/>
      <c r="R1" s="1048"/>
      <c r="S1" s="1048"/>
      <c r="T1" s="1048"/>
      <c r="U1" s="1048"/>
      <c r="V1" s="1048"/>
      <c r="W1" s="1048"/>
    </row>
    <row r="2" spans="1:23">
      <c r="A2" s="1048" t="s">
        <v>4122</v>
      </c>
      <c r="B2" s="1048"/>
      <c r="C2" s="1048"/>
      <c r="D2" s="1048"/>
      <c r="E2" s="1048"/>
      <c r="F2" s="1048"/>
      <c r="G2" s="1048"/>
      <c r="H2" s="1048"/>
      <c r="I2" s="1048"/>
      <c r="J2" s="1048"/>
      <c r="K2" s="1048"/>
      <c r="L2" s="1048"/>
      <c r="M2" s="1048"/>
      <c r="N2" s="1048"/>
      <c r="O2" s="1048"/>
      <c r="P2" s="1048"/>
      <c r="Q2" s="1048"/>
      <c r="R2" s="1048"/>
      <c r="S2" s="1048"/>
      <c r="T2" s="1048"/>
      <c r="U2" s="1048"/>
      <c r="V2" s="1048"/>
      <c r="W2" s="1048"/>
    </row>
    <row r="3" spans="1:23">
      <c r="A3" s="407"/>
      <c r="B3" s="407"/>
      <c r="C3" s="407"/>
      <c r="D3" s="407"/>
      <c r="E3" s="407"/>
      <c r="F3" s="407"/>
      <c r="G3" s="407"/>
      <c r="H3" s="407"/>
      <c r="I3" s="407"/>
      <c r="J3" s="407"/>
      <c r="K3" s="407"/>
      <c r="L3" s="407"/>
      <c r="M3" s="407"/>
      <c r="N3" s="407"/>
      <c r="O3" s="407"/>
      <c r="P3" s="407"/>
      <c r="Q3" s="407"/>
    </row>
    <row r="4" spans="1:23">
      <c r="A4" s="407"/>
      <c r="B4" s="407"/>
      <c r="C4" s="407"/>
      <c r="D4" s="407"/>
      <c r="E4" s="407"/>
      <c r="F4" s="407"/>
      <c r="G4" s="407"/>
      <c r="H4" s="407"/>
      <c r="I4" s="407"/>
      <c r="J4" s="407"/>
      <c r="K4" s="407"/>
      <c r="L4" s="407"/>
      <c r="M4" s="407"/>
      <c r="N4" s="407"/>
      <c r="O4" s="407"/>
      <c r="P4" s="407"/>
      <c r="Q4" s="407"/>
    </row>
    <row r="5" spans="1:23">
      <c r="A5" s="1048" t="s">
        <v>4454</v>
      </c>
      <c r="B5" s="1048"/>
      <c r="C5" s="1048"/>
      <c r="D5" s="1048"/>
      <c r="E5" s="1048"/>
      <c r="F5" s="1048"/>
      <c r="G5" s="1048"/>
      <c r="H5" s="1048"/>
      <c r="I5" s="1048"/>
      <c r="J5" s="1048"/>
      <c r="K5" s="1048"/>
      <c r="L5" s="1048"/>
      <c r="M5" s="1048"/>
      <c r="N5" s="1048"/>
      <c r="O5" s="1048"/>
      <c r="P5" s="1048"/>
      <c r="Q5" s="1048"/>
      <c r="R5" s="1048"/>
      <c r="S5" s="1048"/>
      <c r="T5" s="1048"/>
      <c r="U5" s="1048"/>
      <c r="V5" s="1048"/>
      <c r="W5" s="1048"/>
    </row>
    <row r="6" spans="1:23">
      <c r="A6" s="407"/>
      <c r="B6" s="407"/>
      <c r="C6" s="407"/>
      <c r="D6" s="407"/>
      <c r="E6" s="407"/>
      <c r="F6" s="407"/>
      <c r="G6" s="407"/>
      <c r="H6" s="407"/>
      <c r="I6" s="407"/>
      <c r="J6" s="407"/>
      <c r="K6" s="407"/>
      <c r="L6" s="407"/>
      <c r="M6" s="407"/>
      <c r="N6" s="407"/>
      <c r="O6" s="407"/>
      <c r="P6" s="407"/>
      <c r="Q6" s="407"/>
    </row>
    <row r="8" spans="1:23">
      <c r="A8" s="407"/>
      <c r="B8" s="407"/>
      <c r="C8" s="407"/>
      <c r="D8" s="407"/>
      <c r="E8" s="408" t="s">
        <v>4123</v>
      </c>
      <c r="F8" s="409"/>
      <c r="G8" s="408" t="s">
        <v>4124</v>
      </c>
      <c r="H8" s="409"/>
      <c r="I8" s="408" t="s">
        <v>4125</v>
      </c>
      <c r="J8" s="409"/>
      <c r="K8" s="408" t="s">
        <v>4126</v>
      </c>
      <c r="L8" s="409"/>
      <c r="M8" s="408" t="s">
        <v>4127</v>
      </c>
      <c r="N8" s="409"/>
      <c r="O8" s="408" t="s">
        <v>4128</v>
      </c>
      <c r="Q8" s="408" t="s">
        <v>4129</v>
      </c>
      <c r="S8" s="408" t="s">
        <v>4130</v>
      </c>
      <c r="U8" s="408" t="s">
        <v>4131</v>
      </c>
      <c r="W8" s="408" t="s">
        <v>4132</v>
      </c>
    </row>
    <row r="9" spans="1:23">
      <c r="A9" s="407"/>
      <c r="B9" s="407"/>
      <c r="C9" s="407"/>
      <c r="D9" s="407"/>
      <c r="E9" s="408"/>
    </row>
    <row r="10" spans="1:23" ht="45">
      <c r="A10" s="662" t="s">
        <v>147</v>
      </c>
      <c r="B10" s="663"/>
      <c r="C10" s="662" t="s">
        <v>4455</v>
      </c>
      <c r="D10" s="663"/>
      <c r="E10" s="410" t="s">
        <v>4225</v>
      </c>
      <c r="F10" s="411"/>
      <c r="G10" s="410" t="s">
        <v>4226</v>
      </c>
      <c r="I10" s="410" t="s">
        <v>4227</v>
      </c>
      <c r="J10" s="412"/>
      <c r="K10" s="410" t="s">
        <v>4468</v>
      </c>
      <c r="M10" s="410" t="s">
        <v>4469</v>
      </c>
      <c r="O10" s="410" t="s">
        <v>4473</v>
      </c>
      <c r="P10" s="411"/>
      <c r="Q10" s="410" t="s">
        <v>4474</v>
      </c>
      <c r="R10" s="412"/>
      <c r="S10" s="410" t="s">
        <v>4475</v>
      </c>
      <c r="T10" s="412"/>
      <c r="U10" s="410" t="s">
        <v>4476</v>
      </c>
      <c r="V10" s="412"/>
      <c r="W10" s="410" t="s">
        <v>4477</v>
      </c>
    </row>
    <row r="11" spans="1:23">
      <c r="A11" s="413"/>
      <c r="B11" s="413"/>
      <c r="C11" s="413"/>
      <c r="D11" s="413"/>
      <c r="E11" s="413"/>
      <c r="I11" s="413"/>
      <c r="J11" s="413"/>
      <c r="O11" s="413"/>
      <c r="R11" s="413"/>
      <c r="S11" s="413"/>
      <c r="T11" s="413"/>
      <c r="U11" s="413"/>
      <c r="V11" s="413"/>
    </row>
    <row r="12" spans="1:23">
      <c r="A12" s="665" t="s">
        <v>4470</v>
      </c>
      <c r="B12" s="664"/>
      <c r="C12" s="667" t="s">
        <v>4471</v>
      </c>
      <c r="D12" s="664"/>
      <c r="E12" s="669">
        <f>1800000+982982</f>
        <v>2782982</v>
      </c>
      <c r="G12" s="674" t="s">
        <v>1447</v>
      </c>
      <c r="H12" s="426"/>
      <c r="I12" s="674" t="s">
        <v>1447</v>
      </c>
      <c r="J12" s="675"/>
      <c r="K12" s="426" t="s">
        <v>1447</v>
      </c>
      <c r="M12" s="182">
        <f>Q12/E12</f>
        <v>0.75458626753604585</v>
      </c>
      <c r="O12" s="676">
        <f>U12/E12</f>
        <v>56.306508629951615</v>
      </c>
      <c r="Q12" s="677">
        <f>S12-U12</f>
        <v>2100000</v>
      </c>
      <c r="R12" s="415"/>
      <c r="S12" s="677">
        <f>100000000+58800000</f>
        <v>158800000</v>
      </c>
      <c r="T12" s="415"/>
      <c r="U12" s="678">
        <f>98700000+58000000</f>
        <v>156700000</v>
      </c>
      <c r="V12" s="414"/>
      <c r="W12" s="311">
        <f t="shared" ref="W12:W14" si="0">Q12/S12</f>
        <v>1.3224181360201511E-2</v>
      </c>
    </row>
    <row r="13" spans="1:23">
      <c r="A13" s="665">
        <v>43087</v>
      </c>
      <c r="B13" s="666"/>
      <c r="C13" s="667" t="s">
        <v>4471</v>
      </c>
      <c r="D13" s="665"/>
      <c r="E13" s="670">
        <f>14614000+1045000</f>
        <v>15659000</v>
      </c>
      <c r="G13" s="673">
        <v>47.98</v>
      </c>
      <c r="I13" s="673">
        <v>47.9</v>
      </c>
      <c r="J13" s="672"/>
      <c r="K13" s="673">
        <v>1.9159999999999999</v>
      </c>
      <c r="M13" s="182">
        <f>450000/E13</f>
        <v>2.8737467271217829E-2</v>
      </c>
      <c r="O13" s="676">
        <f>I13-K13-M13</f>
        <v>45.955262532728781</v>
      </c>
      <c r="Q13" s="677">
        <f>(G13-O13)*E13</f>
        <v>31705363.999999963</v>
      </c>
      <c r="R13" s="415"/>
      <c r="S13" s="677">
        <f t="shared" ref="S13" si="1">E13*G13</f>
        <v>751318820</v>
      </c>
      <c r="T13" s="415"/>
      <c r="U13" s="678">
        <f t="shared" ref="U13:U14" si="2">E13*O13</f>
        <v>719613456</v>
      </c>
      <c r="V13" s="414"/>
      <c r="W13" s="311">
        <f t="shared" si="0"/>
        <v>4.2199613740542215E-2</v>
      </c>
    </row>
    <row r="14" spans="1:23">
      <c r="A14" s="665">
        <v>42712</v>
      </c>
      <c r="B14" s="666"/>
      <c r="C14" s="667" t="s">
        <v>4471</v>
      </c>
      <c r="D14" s="665"/>
      <c r="E14" s="671">
        <f>6630000+994500</f>
        <v>7624500</v>
      </c>
      <c r="G14" s="673">
        <v>44.26</v>
      </c>
      <c r="I14" s="673">
        <v>45.25</v>
      </c>
      <c r="J14" s="672"/>
      <c r="K14" s="673">
        <v>1.81</v>
      </c>
      <c r="M14" s="743">
        <f>450000/E14</f>
        <v>5.9020263623844188E-2</v>
      </c>
      <c r="O14" s="676">
        <f t="shared" ref="O14" si="3">I14-K14-M14</f>
        <v>43.380979736376155</v>
      </c>
      <c r="Q14" s="679">
        <f t="shared" ref="Q14" si="4">(G14-O14)*E14</f>
        <v>6702089.9999999935</v>
      </c>
      <c r="R14" s="415"/>
      <c r="S14" s="679">
        <f>E14*G14</f>
        <v>337460370</v>
      </c>
      <c r="T14" s="415"/>
      <c r="U14" s="680">
        <f t="shared" si="2"/>
        <v>330758280</v>
      </c>
      <c r="V14" s="414"/>
      <c r="W14" s="681">
        <f t="shared" si="0"/>
        <v>1.9860376493986517E-2</v>
      </c>
    </row>
    <row r="15" spans="1:23" ht="15.6" thickBot="1">
      <c r="A15" s="668" t="s">
        <v>5</v>
      </c>
      <c r="B15" s="668"/>
      <c r="C15" s="667" t="s">
        <v>4472</v>
      </c>
      <c r="D15" s="668"/>
      <c r="E15" s="414"/>
      <c r="F15" s="414"/>
      <c r="G15" s="414"/>
      <c r="H15" s="414"/>
      <c r="I15" s="414"/>
      <c r="J15" s="414"/>
      <c r="K15" s="414"/>
      <c r="L15" s="414"/>
      <c r="M15" s="414"/>
      <c r="N15" s="414"/>
      <c r="O15" s="414"/>
      <c r="P15" s="415"/>
      <c r="Q15" s="682">
        <f>SUM(Q12:Q14)</f>
        <v>40507453.999999955</v>
      </c>
      <c r="R15" s="683"/>
      <c r="S15" s="682">
        <f>SUM(S12:S14)</f>
        <v>1247579190</v>
      </c>
      <c r="T15" s="683"/>
      <c r="U15" s="682">
        <f>SUM(U12:U14)</f>
        <v>1207071736</v>
      </c>
      <c r="W15" s="684">
        <f>Q15/S15</f>
        <v>3.2468843921643127E-2</v>
      </c>
    </row>
    <row r="16" spans="1:23" ht="15.6" thickTop="1">
      <c r="A16" s="1049" t="s">
        <v>4133</v>
      </c>
      <c r="B16" s="1049"/>
      <c r="C16" s="1049"/>
      <c r="D16" s="1049"/>
      <c r="E16" s="1049"/>
      <c r="F16" s="1049"/>
      <c r="G16" s="1049"/>
      <c r="H16" s="1049"/>
      <c r="I16" s="1049"/>
      <c r="J16" s="1049"/>
      <c r="K16" s="1049"/>
      <c r="L16" s="1049"/>
      <c r="M16" s="1049"/>
      <c r="N16" s="1049"/>
      <c r="O16" s="1049"/>
      <c r="P16" s="1049"/>
      <c r="Q16" s="1049"/>
      <c r="R16" s="417"/>
      <c r="T16" s="408"/>
      <c r="U16" s="416"/>
    </row>
    <row r="17" spans="1:21">
      <c r="A17" s="418"/>
      <c r="B17" s="418"/>
      <c r="C17" s="418"/>
      <c r="D17" s="418"/>
      <c r="E17" s="418"/>
      <c r="F17" s="418"/>
      <c r="G17" s="418"/>
      <c r="H17" s="418"/>
      <c r="I17" s="418"/>
      <c r="J17" s="418"/>
      <c r="K17" s="418"/>
      <c r="L17" s="418"/>
      <c r="M17" s="418"/>
      <c r="N17" s="418"/>
      <c r="O17" s="418"/>
      <c r="P17" s="418"/>
      <c r="Q17" s="418"/>
      <c r="R17" s="417"/>
      <c r="T17" s="408"/>
      <c r="U17" s="416"/>
    </row>
    <row r="18" spans="1:21">
      <c r="A18" s="418"/>
      <c r="B18" s="418"/>
      <c r="C18" s="408" t="s">
        <v>4456</v>
      </c>
      <c r="E18" s="408" t="s">
        <v>4457</v>
      </c>
      <c r="G18" s="408" t="s">
        <v>4458</v>
      </c>
      <c r="I18" s="408" t="s">
        <v>4459</v>
      </c>
      <c r="K18" s="408" t="s">
        <v>4460</v>
      </c>
      <c r="M18" s="408" t="s">
        <v>4461</v>
      </c>
      <c r="N18" s="418"/>
      <c r="O18" s="418"/>
      <c r="P18" s="418"/>
      <c r="Q18" s="418"/>
      <c r="R18" s="417"/>
      <c r="T18" s="408"/>
      <c r="U18" s="416"/>
    </row>
    <row r="19" spans="1:21">
      <c r="A19" s="418"/>
      <c r="B19" s="418"/>
      <c r="C19" s="408"/>
      <c r="E19" s="408"/>
      <c r="G19" s="408"/>
      <c r="I19" s="408"/>
      <c r="K19" s="408"/>
      <c r="M19" s="408"/>
      <c r="N19" s="418"/>
      <c r="O19" s="418"/>
      <c r="P19" s="418"/>
      <c r="Q19" s="418"/>
      <c r="R19" s="417"/>
      <c r="T19" s="408"/>
      <c r="U19" s="416"/>
    </row>
    <row r="20" spans="1:21" ht="60">
      <c r="C20" s="410" t="s">
        <v>4462</v>
      </c>
      <c r="D20" s="412"/>
      <c r="E20" s="410" t="s">
        <v>4463</v>
      </c>
      <c r="F20" s="419"/>
      <c r="G20" s="661" t="s">
        <v>4464</v>
      </c>
      <c r="H20" s="419"/>
      <c r="I20" s="661" t="s">
        <v>4465</v>
      </c>
      <c r="J20" s="419"/>
      <c r="K20" s="661" t="s">
        <v>4466</v>
      </c>
      <c r="L20" s="419"/>
      <c r="M20" s="661" t="s">
        <v>4467</v>
      </c>
      <c r="N20" s="414"/>
    </row>
    <row r="21" spans="1:21" ht="66" customHeight="1" thickBot="1">
      <c r="A21" s="420" t="str">
        <f>Input!I30</f>
        <v>Proxy Group of Six Natural Gas Companies</v>
      </c>
      <c r="C21" s="421">
        <f>AVERAGE('3.1 DCF Summary'!D9:D14)</f>
        <v>3.5383333333333336</v>
      </c>
      <c r="D21" s="424" t="s">
        <v>18</v>
      </c>
      <c r="E21" s="421">
        <f>AVERAGE('3.1 DCF Summary'!P9:P14)</f>
        <v>6.4666666666666677</v>
      </c>
      <c r="F21" s="344" t="s">
        <v>18</v>
      </c>
      <c r="G21" s="422">
        <f>ROUND(C21*(1+(0.5*(E21/100))),2)</f>
        <v>3.65</v>
      </c>
      <c r="H21" s="344" t="s">
        <v>18</v>
      </c>
      <c r="I21" s="421">
        <f>G21+E21</f>
        <v>10.116666666666667</v>
      </c>
      <c r="J21" s="344" t="s">
        <v>18</v>
      </c>
      <c r="K21" s="422">
        <f>(G21/(1-$W$15))+E21</f>
        <v>10.239155001610168</v>
      </c>
      <c r="L21" s="344" t="s">
        <v>18</v>
      </c>
      <c r="M21" s="422">
        <f>K21-I21</f>
        <v>0.12248833494350109</v>
      </c>
      <c r="N21" s="419" t="s">
        <v>18</v>
      </c>
      <c r="Q21" s="423"/>
    </row>
    <row r="22" spans="1:21" ht="12" customHeight="1" thickTop="1">
      <c r="A22" s="411"/>
      <c r="C22" s="425"/>
      <c r="D22" s="424"/>
      <c r="E22" s="425"/>
      <c r="G22" s="416"/>
      <c r="I22" s="425"/>
      <c r="K22" s="416"/>
      <c r="M22" s="416"/>
      <c r="N22" s="419"/>
      <c r="Q22" s="423"/>
    </row>
    <row r="23" spans="1:21">
      <c r="A23" s="426"/>
      <c r="E23" s="425"/>
      <c r="G23" s="416"/>
      <c r="H23" s="413"/>
      <c r="I23" s="416"/>
      <c r="K23" s="416"/>
      <c r="M23" s="416"/>
      <c r="Q23" s="423"/>
    </row>
    <row r="24" spans="1:21">
      <c r="A24" s="426" t="s">
        <v>94</v>
      </c>
      <c r="B24" s="685">
        <v>1</v>
      </c>
      <c r="C24" s="344" t="s">
        <v>4478</v>
      </c>
      <c r="E24" s="425"/>
      <c r="G24" s="416"/>
      <c r="H24" s="413"/>
      <c r="I24" s="416"/>
      <c r="K24" s="416"/>
      <c r="M24" s="416"/>
      <c r="Q24" s="423"/>
    </row>
    <row r="25" spans="1:21">
      <c r="A25" s="426"/>
      <c r="B25" s="685">
        <f>B24+1</f>
        <v>2</v>
      </c>
      <c r="C25" s="344" t="s">
        <v>4479</v>
      </c>
      <c r="E25" s="425"/>
      <c r="G25" s="416"/>
      <c r="H25" s="413"/>
      <c r="I25" s="416"/>
      <c r="K25" s="416"/>
      <c r="M25" s="416"/>
      <c r="Q25" s="423"/>
    </row>
    <row r="26" spans="1:21">
      <c r="A26" s="426"/>
      <c r="B26" s="685">
        <f t="shared" ref="B26:B34" si="5">B25+1</f>
        <v>3</v>
      </c>
      <c r="C26" s="344" t="s">
        <v>4480</v>
      </c>
      <c r="E26" s="425"/>
      <c r="G26" s="416"/>
      <c r="H26" s="413"/>
      <c r="I26" s="416"/>
      <c r="K26" s="416"/>
      <c r="M26" s="416"/>
      <c r="Q26" s="423"/>
    </row>
    <row r="27" spans="1:21">
      <c r="A27" s="426"/>
      <c r="B27" s="685">
        <f t="shared" si="5"/>
        <v>4</v>
      </c>
      <c r="C27" s="344" t="s">
        <v>4481</v>
      </c>
      <c r="E27" s="425"/>
      <c r="G27" s="416"/>
      <c r="H27" s="413"/>
      <c r="I27" s="416"/>
      <c r="K27" s="416"/>
      <c r="M27" s="416"/>
      <c r="Q27" s="423"/>
    </row>
    <row r="28" spans="1:21">
      <c r="A28" s="426"/>
      <c r="B28" s="685">
        <f t="shared" si="5"/>
        <v>5</v>
      </c>
      <c r="C28" s="344" t="s">
        <v>4482</v>
      </c>
      <c r="E28" s="425"/>
      <c r="G28" s="416"/>
      <c r="H28" s="413"/>
      <c r="I28" s="416"/>
      <c r="K28" s="416"/>
      <c r="M28" s="416"/>
      <c r="Q28" s="423"/>
    </row>
    <row r="29" spans="1:21">
      <c r="A29" s="426"/>
      <c r="B29" s="685">
        <f t="shared" si="5"/>
        <v>6</v>
      </c>
      <c r="C29" s="344" t="s">
        <v>4483</v>
      </c>
      <c r="E29" s="425"/>
      <c r="G29" s="416"/>
      <c r="H29" s="413"/>
      <c r="I29" s="416"/>
      <c r="K29" s="416"/>
      <c r="M29" s="416"/>
      <c r="Q29" s="423"/>
    </row>
    <row r="30" spans="1:21">
      <c r="A30" s="426"/>
      <c r="B30" s="685">
        <f t="shared" si="5"/>
        <v>7</v>
      </c>
      <c r="C30" s="344" t="s">
        <v>4484</v>
      </c>
      <c r="E30" s="425"/>
      <c r="G30" s="416"/>
      <c r="H30" s="413"/>
      <c r="I30" s="416"/>
      <c r="K30" s="416"/>
      <c r="M30" s="416"/>
      <c r="Q30" s="423"/>
    </row>
    <row r="31" spans="1:21">
      <c r="A31" s="426"/>
      <c r="B31" s="685">
        <f t="shared" si="5"/>
        <v>8</v>
      </c>
      <c r="C31" s="344" t="s">
        <v>4485</v>
      </c>
      <c r="E31" s="425"/>
      <c r="G31" s="416"/>
      <c r="H31" s="413"/>
      <c r="I31" s="416"/>
      <c r="K31" s="416"/>
      <c r="M31" s="416"/>
      <c r="Q31" s="423"/>
    </row>
    <row r="32" spans="1:21">
      <c r="A32" s="426"/>
      <c r="B32" s="685">
        <f t="shared" si="5"/>
        <v>9</v>
      </c>
      <c r="C32" s="344" t="s">
        <v>4486</v>
      </c>
      <c r="E32" s="425"/>
      <c r="G32" s="416"/>
      <c r="H32" s="413"/>
      <c r="I32" s="416"/>
      <c r="K32" s="416"/>
      <c r="M32" s="416"/>
      <c r="Q32" s="423"/>
    </row>
    <row r="33" spans="1:17">
      <c r="A33" s="426"/>
      <c r="B33" s="685">
        <f t="shared" si="5"/>
        <v>10</v>
      </c>
      <c r="C33" s="344" t="s">
        <v>4487</v>
      </c>
      <c r="E33" s="425"/>
      <c r="G33" s="416"/>
      <c r="H33" s="413"/>
      <c r="I33" s="416"/>
      <c r="K33" s="416"/>
      <c r="M33" s="416"/>
      <c r="Q33" s="423"/>
    </row>
    <row r="34" spans="1:17">
      <c r="A34" s="426"/>
      <c r="B34" s="685">
        <f t="shared" si="5"/>
        <v>11</v>
      </c>
      <c r="C34" s="344" t="s">
        <v>4488</v>
      </c>
      <c r="E34" s="425"/>
      <c r="G34" s="416"/>
      <c r="H34" s="413"/>
      <c r="I34" s="416"/>
      <c r="K34" s="416"/>
      <c r="M34" s="416"/>
      <c r="Q34" s="423"/>
    </row>
    <row r="35" spans="1:17">
      <c r="E35" s="425"/>
      <c r="G35" s="416"/>
      <c r="I35" s="416"/>
      <c r="K35" s="416"/>
      <c r="M35" s="416"/>
      <c r="Q35" s="423"/>
    </row>
    <row r="36" spans="1:17">
      <c r="D36" s="427"/>
      <c r="E36" s="425"/>
      <c r="G36" s="416"/>
      <c r="H36" s="428"/>
      <c r="I36" s="416"/>
      <c r="J36" s="424"/>
      <c r="K36" s="416"/>
      <c r="L36" s="424"/>
      <c r="M36" s="416"/>
      <c r="N36" s="424"/>
      <c r="O36" s="424"/>
      <c r="Q36" s="423"/>
    </row>
    <row r="37" spans="1:17">
      <c r="E37" s="425"/>
      <c r="G37" s="416"/>
      <c r="I37" s="416"/>
      <c r="K37" s="416"/>
      <c r="M37" s="416"/>
    </row>
    <row r="38" spans="1:17">
      <c r="E38" s="425"/>
      <c r="G38" s="416"/>
      <c r="H38" s="426"/>
      <c r="I38" s="416"/>
      <c r="K38" s="416"/>
      <c r="M38" s="416"/>
    </row>
    <row r="39" spans="1:17">
      <c r="E39" s="425"/>
      <c r="G39" s="416"/>
      <c r="I39" s="416"/>
      <c r="K39" s="416"/>
      <c r="M39" s="416"/>
    </row>
    <row r="40" spans="1:17">
      <c r="E40" s="425"/>
      <c r="G40" s="416"/>
      <c r="I40" s="416"/>
      <c r="K40" s="416"/>
      <c r="M40" s="416"/>
      <c r="Q40" s="424"/>
    </row>
    <row r="41" spans="1:17">
      <c r="E41" s="425"/>
      <c r="G41" s="416"/>
      <c r="I41" s="416"/>
      <c r="K41" s="416"/>
      <c r="M41" s="416"/>
      <c r="Q41" s="424"/>
    </row>
    <row r="42" spans="1:17">
      <c r="E42" s="425"/>
      <c r="G42" s="416"/>
      <c r="I42" s="416"/>
      <c r="K42" s="416"/>
      <c r="M42" s="416"/>
      <c r="Q42" s="424"/>
    </row>
    <row r="43" spans="1:17">
      <c r="E43" s="425"/>
      <c r="G43" s="416"/>
      <c r="I43" s="416"/>
      <c r="K43" s="416"/>
      <c r="M43" s="416"/>
    </row>
    <row r="44" spans="1:17">
      <c r="E44" s="425"/>
      <c r="G44" s="416"/>
      <c r="I44" s="416"/>
      <c r="K44" s="416"/>
      <c r="M44" s="416"/>
    </row>
    <row r="45" spans="1:17">
      <c r="E45" s="425"/>
      <c r="G45" s="416"/>
      <c r="I45" s="416"/>
      <c r="K45" s="416"/>
      <c r="M45" s="416"/>
      <c r="Q45" s="423"/>
    </row>
    <row r="46" spans="1:17">
      <c r="E46" s="425"/>
      <c r="G46" s="416"/>
      <c r="I46" s="416"/>
      <c r="K46" s="416"/>
      <c r="M46" s="416"/>
      <c r="P46" s="424"/>
      <c r="Q46" s="429"/>
    </row>
    <row r="47" spans="1:17">
      <c r="E47" s="425"/>
      <c r="G47" s="416"/>
      <c r="I47" s="416"/>
      <c r="K47" s="416"/>
      <c r="M47" s="416"/>
      <c r="P47" s="424"/>
      <c r="Q47" s="429"/>
    </row>
    <row r="48" spans="1:17">
      <c r="E48" s="425"/>
      <c r="G48" s="416"/>
      <c r="I48" s="416"/>
      <c r="K48" s="416"/>
      <c r="M48" s="416"/>
      <c r="Q48" s="423"/>
    </row>
    <row r="49" spans="1:17">
      <c r="P49" s="423"/>
      <c r="Q49" s="423"/>
    </row>
    <row r="50" spans="1:17">
      <c r="C50" s="426"/>
      <c r="G50" s="430"/>
      <c r="H50" s="430"/>
      <c r="I50" s="430"/>
      <c r="J50" s="430"/>
      <c r="K50" s="416"/>
      <c r="L50" s="430"/>
      <c r="M50" s="416"/>
      <c r="N50" s="430"/>
      <c r="O50" s="430"/>
      <c r="P50" s="423"/>
      <c r="Q50" s="423"/>
    </row>
    <row r="51" spans="1:17">
      <c r="A51" s="430"/>
      <c r="G51" s="431"/>
      <c r="H51" s="431"/>
      <c r="I51" s="431"/>
      <c r="J51" s="431"/>
      <c r="K51" s="431"/>
      <c r="L51" s="431"/>
      <c r="M51" s="431"/>
      <c r="N51" s="431"/>
      <c r="O51" s="431"/>
      <c r="P51" s="423"/>
      <c r="Q51" s="423"/>
    </row>
    <row r="52" spans="1:17">
      <c r="A52" s="430"/>
      <c r="G52" s="431"/>
      <c r="H52" s="431"/>
      <c r="I52" s="431"/>
      <c r="J52" s="431"/>
      <c r="K52" s="431"/>
      <c r="L52" s="431"/>
      <c r="M52" s="431"/>
      <c r="N52" s="431"/>
      <c r="O52" s="431"/>
      <c r="P52" s="423"/>
      <c r="Q52" s="423"/>
    </row>
    <row r="53" spans="1:17">
      <c r="A53" s="430"/>
      <c r="G53" s="431"/>
      <c r="H53" s="431"/>
      <c r="I53" s="431"/>
      <c r="J53" s="431"/>
      <c r="K53" s="431"/>
      <c r="L53" s="431"/>
      <c r="M53" s="431"/>
      <c r="N53" s="431"/>
      <c r="O53" s="431"/>
      <c r="P53" s="423"/>
      <c r="Q53" s="423"/>
    </row>
    <row r="54" spans="1:17">
      <c r="A54" s="430"/>
      <c r="G54" s="431"/>
      <c r="H54" s="431"/>
      <c r="I54" s="431"/>
      <c r="J54" s="431"/>
      <c r="K54" s="431"/>
      <c r="L54" s="431"/>
      <c r="M54" s="431"/>
      <c r="N54" s="431"/>
      <c r="O54" s="431"/>
      <c r="P54" s="432"/>
      <c r="Q54" s="432"/>
    </row>
    <row r="55" spans="1:17">
      <c r="A55" s="430"/>
      <c r="G55" s="431"/>
      <c r="H55" s="431"/>
      <c r="I55" s="431"/>
      <c r="J55" s="431"/>
      <c r="K55" s="431"/>
      <c r="L55" s="431"/>
      <c r="M55" s="431"/>
      <c r="N55" s="431"/>
      <c r="O55" s="431"/>
      <c r="P55" s="432"/>
      <c r="Q55" s="432"/>
    </row>
    <row r="56" spans="1:17">
      <c r="A56" s="430"/>
      <c r="G56" s="431"/>
      <c r="H56" s="431"/>
      <c r="I56" s="431"/>
      <c r="J56" s="431"/>
      <c r="K56" s="431"/>
      <c r="L56" s="431"/>
      <c r="M56" s="431"/>
      <c r="N56" s="431"/>
      <c r="O56" s="431"/>
      <c r="P56" s="432"/>
      <c r="Q56" s="432"/>
    </row>
    <row r="57" spans="1:17">
      <c r="A57" s="430"/>
      <c r="G57" s="431"/>
      <c r="H57" s="431"/>
      <c r="I57" s="431"/>
      <c r="J57" s="431"/>
      <c r="K57" s="431"/>
      <c r="L57" s="431"/>
      <c r="M57" s="431"/>
      <c r="N57" s="431"/>
      <c r="O57" s="431"/>
      <c r="P57" s="432"/>
      <c r="Q57" s="432"/>
    </row>
    <row r="58" spans="1:17">
      <c r="A58" s="430"/>
      <c r="G58" s="431"/>
      <c r="H58" s="431"/>
      <c r="I58" s="431"/>
      <c r="J58" s="431"/>
      <c r="K58" s="431"/>
      <c r="L58" s="431"/>
      <c r="M58" s="431"/>
      <c r="N58" s="431"/>
      <c r="O58" s="431"/>
      <c r="P58" s="432"/>
      <c r="Q58" s="432"/>
    </row>
    <row r="59" spans="1:17">
      <c r="A59" s="430"/>
      <c r="G59" s="431"/>
      <c r="H59" s="431"/>
      <c r="I59" s="431"/>
      <c r="J59" s="431"/>
      <c r="K59" s="431"/>
      <c r="L59" s="431"/>
      <c r="M59" s="431"/>
      <c r="N59" s="431"/>
      <c r="O59" s="431"/>
      <c r="P59" s="432"/>
      <c r="Q59" s="432"/>
    </row>
    <row r="60" spans="1:17">
      <c r="A60" s="430"/>
      <c r="G60" s="431"/>
      <c r="H60" s="431"/>
      <c r="I60" s="431"/>
      <c r="J60" s="431"/>
      <c r="K60" s="431"/>
      <c r="L60" s="431"/>
      <c r="M60" s="431"/>
      <c r="N60" s="431"/>
      <c r="O60" s="431"/>
      <c r="P60" s="432"/>
      <c r="Q60" s="432"/>
    </row>
    <row r="61" spans="1:17">
      <c r="A61" s="430"/>
      <c r="G61" s="431"/>
      <c r="H61" s="431"/>
      <c r="I61" s="431"/>
      <c r="J61" s="431"/>
      <c r="K61" s="431"/>
      <c r="L61" s="431"/>
      <c r="M61" s="431"/>
      <c r="N61" s="431"/>
      <c r="O61" s="431"/>
      <c r="P61" s="432"/>
      <c r="Q61" s="432"/>
    </row>
    <row r="62" spans="1:17">
      <c r="A62" s="430"/>
      <c r="G62" s="431"/>
      <c r="H62" s="431"/>
      <c r="I62" s="431"/>
      <c r="J62" s="431"/>
      <c r="K62" s="431"/>
      <c r="L62" s="431"/>
      <c r="M62" s="431"/>
      <c r="N62" s="431"/>
      <c r="O62" s="431"/>
      <c r="P62" s="432"/>
      <c r="Q62" s="432"/>
    </row>
    <row r="63" spans="1:17">
      <c r="A63" s="430"/>
      <c r="G63" s="431"/>
      <c r="H63" s="431"/>
      <c r="I63" s="431"/>
      <c r="J63" s="431"/>
      <c r="K63" s="431"/>
      <c r="L63" s="431"/>
      <c r="M63" s="431"/>
      <c r="N63" s="431"/>
      <c r="O63" s="431"/>
      <c r="P63" s="432"/>
      <c r="Q63" s="432"/>
    </row>
    <row r="64" spans="1:17">
      <c r="A64" s="430"/>
      <c r="G64" s="431"/>
      <c r="H64" s="431"/>
      <c r="I64" s="431"/>
      <c r="J64" s="431"/>
      <c r="K64" s="431"/>
      <c r="L64" s="431"/>
      <c r="M64" s="431"/>
      <c r="N64" s="431"/>
      <c r="O64" s="431"/>
      <c r="P64" s="432"/>
      <c r="Q64" s="432"/>
    </row>
    <row r="65" spans="1:17">
      <c r="A65" s="430"/>
      <c r="G65" s="431"/>
      <c r="H65" s="431"/>
      <c r="I65" s="431"/>
      <c r="J65" s="431"/>
      <c r="K65" s="431"/>
      <c r="L65" s="431"/>
      <c r="M65" s="431"/>
      <c r="N65" s="431"/>
      <c r="O65" s="431"/>
      <c r="P65" s="432"/>
      <c r="Q65" s="432"/>
    </row>
    <row r="66" spans="1:17">
      <c r="A66" s="430"/>
      <c r="G66" s="431"/>
      <c r="H66" s="431"/>
      <c r="I66" s="431"/>
      <c r="J66" s="431"/>
      <c r="K66" s="431"/>
      <c r="L66" s="431"/>
      <c r="M66" s="431"/>
      <c r="N66" s="431"/>
      <c r="O66" s="431"/>
      <c r="P66" s="432"/>
      <c r="Q66" s="432"/>
    </row>
    <row r="67" spans="1:17">
      <c r="A67" s="430"/>
      <c r="G67" s="431"/>
      <c r="H67" s="431"/>
      <c r="I67" s="431"/>
      <c r="J67" s="431"/>
      <c r="K67" s="431"/>
      <c r="L67" s="431"/>
      <c r="M67" s="431"/>
      <c r="N67" s="431"/>
      <c r="O67" s="431"/>
      <c r="P67" s="432"/>
      <c r="Q67" s="432"/>
    </row>
    <row r="68" spans="1:17">
      <c r="A68" s="430"/>
      <c r="G68" s="431"/>
      <c r="H68" s="431"/>
      <c r="I68" s="431"/>
      <c r="J68" s="431"/>
      <c r="K68" s="431"/>
      <c r="L68" s="431"/>
      <c r="M68" s="431"/>
      <c r="N68" s="431"/>
      <c r="O68" s="431"/>
      <c r="P68" s="432"/>
      <c r="Q68" s="432"/>
    </row>
    <row r="69" spans="1:17">
      <c r="A69" s="430"/>
      <c r="G69" s="431"/>
      <c r="H69" s="431"/>
      <c r="I69" s="431"/>
      <c r="J69" s="431"/>
      <c r="K69" s="431"/>
      <c r="L69" s="431"/>
      <c r="M69" s="431"/>
      <c r="N69" s="431"/>
      <c r="O69" s="431"/>
      <c r="P69" s="432"/>
      <c r="Q69" s="432"/>
    </row>
    <row r="70" spans="1:17">
      <c r="A70" s="430"/>
      <c r="G70" s="431"/>
      <c r="H70" s="431"/>
      <c r="I70" s="431"/>
      <c r="J70" s="431"/>
      <c r="K70" s="431"/>
      <c r="L70" s="431"/>
      <c r="M70" s="431"/>
      <c r="N70" s="431"/>
      <c r="O70" s="431"/>
      <c r="P70" s="432"/>
      <c r="Q70" s="432"/>
    </row>
    <row r="71" spans="1:17">
      <c r="A71" s="430"/>
      <c r="G71" s="431"/>
      <c r="H71" s="431"/>
      <c r="I71" s="431"/>
      <c r="J71" s="431"/>
      <c r="K71" s="431"/>
      <c r="L71" s="431"/>
      <c r="M71" s="431"/>
      <c r="N71" s="431"/>
      <c r="O71" s="431"/>
      <c r="P71" s="432"/>
      <c r="Q71" s="432"/>
    </row>
    <row r="72" spans="1:17">
      <c r="A72" s="430"/>
      <c r="G72" s="431"/>
      <c r="H72" s="431"/>
      <c r="I72" s="431"/>
      <c r="J72" s="431"/>
      <c r="K72" s="431"/>
      <c r="L72" s="431"/>
      <c r="M72" s="431"/>
      <c r="N72" s="431"/>
      <c r="O72" s="431"/>
      <c r="P72" s="432"/>
      <c r="Q72" s="432"/>
    </row>
    <row r="73" spans="1:17">
      <c r="A73" s="430"/>
      <c r="G73" s="431"/>
      <c r="H73" s="431"/>
      <c r="I73" s="431"/>
      <c r="J73" s="431"/>
      <c r="K73" s="431"/>
      <c r="L73" s="431"/>
      <c r="M73" s="431"/>
      <c r="N73" s="431"/>
      <c r="O73" s="431"/>
      <c r="P73" s="432"/>
      <c r="Q73" s="432"/>
    </row>
    <row r="74" spans="1:17">
      <c r="A74" s="430"/>
      <c r="G74" s="431"/>
      <c r="H74" s="431"/>
      <c r="I74" s="431"/>
      <c r="J74" s="431"/>
      <c r="K74" s="431"/>
      <c r="L74" s="431"/>
      <c r="M74" s="431"/>
      <c r="N74" s="431"/>
      <c r="O74" s="431"/>
      <c r="P74" s="432"/>
      <c r="Q74" s="432"/>
    </row>
    <row r="75" spans="1:17">
      <c r="A75" s="430"/>
      <c r="G75" s="431"/>
      <c r="H75" s="431"/>
      <c r="I75" s="431"/>
      <c r="J75" s="431"/>
      <c r="K75" s="431"/>
      <c r="L75" s="431"/>
      <c r="M75" s="431"/>
      <c r="N75" s="431"/>
      <c r="O75" s="431"/>
      <c r="P75" s="432"/>
      <c r="Q75" s="432"/>
    </row>
    <row r="76" spans="1:17">
      <c r="A76" s="430"/>
      <c r="G76" s="431"/>
      <c r="H76" s="431"/>
      <c r="I76" s="431"/>
      <c r="J76" s="431"/>
      <c r="K76" s="431"/>
      <c r="L76" s="431"/>
      <c r="M76" s="431"/>
      <c r="N76" s="431"/>
      <c r="O76" s="431"/>
      <c r="P76" s="432"/>
      <c r="Q76" s="432"/>
    </row>
    <row r="77" spans="1:17">
      <c r="A77" s="430"/>
      <c r="G77" s="431"/>
      <c r="H77" s="431"/>
      <c r="I77" s="431"/>
      <c r="J77" s="431"/>
      <c r="K77" s="431"/>
      <c r="L77" s="431"/>
      <c r="M77" s="431"/>
      <c r="N77" s="431"/>
      <c r="O77" s="431"/>
      <c r="P77" s="432"/>
      <c r="Q77" s="432"/>
    </row>
    <row r="78" spans="1:17">
      <c r="A78" s="430"/>
      <c r="G78" s="431"/>
      <c r="H78" s="431"/>
      <c r="I78" s="431"/>
      <c r="J78" s="431"/>
      <c r="K78" s="431"/>
      <c r="L78" s="431"/>
      <c r="M78" s="431"/>
      <c r="N78" s="431"/>
      <c r="O78" s="431"/>
      <c r="P78" s="432"/>
      <c r="Q78" s="432"/>
    </row>
    <row r="79" spans="1:17">
      <c r="A79" s="430"/>
      <c r="G79" s="431"/>
      <c r="H79" s="431"/>
      <c r="I79" s="431"/>
      <c r="J79" s="431"/>
      <c r="K79" s="431"/>
      <c r="L79" s="431"/>
      <c r="M79" s="431"/>
      <c r="N79" s="431"/>
      <c r="O79" s="431"/>
      <c r="P79" s="432"/>
      <c r="Q79" s="432"/>
    </row>
    <row r="80" spans="1:17">
      <c r="A80" s="430"/>
      <c r="G80" s="431"/>
      <c r="H80" s="431"/>
      <c r="I80" s="431"/>
      <c r="J80" s="431"/>
      <c r="K80" s="431"/>
      <c r="L80" s="431"/>
      <c r="M80" s="431"/>
      <c r="N80" s="431"/>
      <c r="O80" s="431"/>
      <c r="P80" s="432"/>
      <c r="Q80" s="432"/>
    </row>
    <row r="81" spans="1:17">
      <c r="A81" s="430"/>
      <c r="G81" s="431"/>
      <c r="H81" s="431"/>
      <c r="I81" s="431"/>
      <c r="J81" s="431"/>
      <c r="K81" s="431"/>
      <c r="L81" s="431"/>
      <c r="M81" s="431"/>
      <c r="N81" s="431"/>
      <c r="O81" s="431"/>
      <c r="P81" s="432"/>
      <c r="Q81" s="432"/>
    </row>
    <row r="82" spans="1:17">
      <c r="A82" s="430"/>
      <c r="G82" s="431"/>
      <c r="H82" s="431"/>
      <c r="I82" s="431"/>
      <c r="J82" s="431"/>
      <c r="K82" s="431"/>
      <c r="L82" s="431"/>
      <c r="M82" s="431"/>
      <c r="N82" s="431"/>
      <c r="O82" s="431"/>
      <c r="P82" s="432"/>
      <c r="Q82" s="432"/>
    </row>
    <row r="83" spans="1:17">
      <c r="A83" s="430"/>
      <c r="G83" s="431"/>
      <c r="H83" s="431"/>
      <c r="I83" s="431"/>
      <c r="J83" s="431"/>
      <c r="K83" s="431"/>
      <c r="L83" s="431"/>
      <c r="M83" s="431"/>
      <c r="N83" s="431"/>
      <c r="O83" s="431"/>
      <c r="P83" s="432"/>
      <c r="Q83" s="432"/>
    </row>
    <row r="84" spans="1:17">
      <c r="A84" s="430"/>
      <c r="G84" s="431"/>
      <c r="H84" s="431"/>
      <c r="I84" s="431"/>
      <c r="J84" s="431"/>
      <c r="K84" s="431"/>
      <c r="L84" s="431"/>
      <c r="M84" s="431"/>
      <c r="N84" s="431"/>
      <c r="O84" s="431"/>
      <c r="P84" s="432"/>
      <c r="Q84" s="432"/>
    </row>
    <row r="85" spans="1:17">
      <c r="A85" s="430"/>
      <c r="G85" s="431"/>
      <c r="H85" s="431"/>
      <c r="I85" s="431"/>
      <c r="J85" s="431"/>
      <c r="K85" s="431"/>
      <c r="L85" s="431"/>
      <c r="M85" s="431"/>
      <c r="N85" s="431"/>
      <c r="O85" s="431"/>
      <c r="P85" s="432"/>
      <c r="Q85" s="432"/>
    </row>
    <row r="86" spans="1:17">
      <c r="A86" s="430"/>
      <c r="G86" s="431"/>
      <c r="H86" s="431"/>
      <c r="I86" s="431"/>
      <c r="J86" s="431"/>
      <c r="K86" s="431"/>
      <c r="L86" s="431"/>
      <c r="M86" s="431"/>
      <c r="N86" s="431"/>
      <c r="O86" s="431"/>
      <c r="P86" s="432"/>
      <c r="Q86" s="432"/>
    </row>
    <row r="87" spans="1:17">
      <c r="A87" s="430"/>
      <c r="G87" s="431"/>
      <c r="H87" s="431"/>
      <c r="I87" s="431"/>
      <c r="J87" s="431"/>
      <c r="K87" s="431"/>
      <c r="L87" s="431"/>
      <c r="M87" s="431"/>
      <c r="N87" s="431"/>
      <c r="O87" s="431"/>
      <c r="P87" s="432"/>
      <c r="Q87" s="432"/>
    </row>
    <row r="88" spans="1:17">
      <c r="A88" s="430"/>
      <c r="G88" s="431"/>
      <c r="H88" s="431"/>
      <c r="I88" s="431"/>
      <c r="J88" s="431"/>
      <c r="K88" s="431"/>
      <c r="L88" s="431"/>
      <c r="M88" s="431"/>
      <c r="N88" s="431"/>
      <c r="O88" s="431"/>
      <c r="P88" s="432"/>
      <c r="Q88" s="432"/>
    </row>
    <row r="89" spans="1:17">
      <c r="A89" s="430"/>
      <c r="G89" s="431"/>
      <c r="H89" s="431"/>
      <c r="I89" s="431"/>
      <c r="J89" s="431"/>
      <c r="K89" s="431"/>
      <c r="L89" s="431"/>
      <c r="M89" s="431"/>
      <c r="N89" s="431"/>
      <c r="O89" s="431"/>
      <c r="P89" s="432"/>
      <c r="Q89" s="432"/>
    </row>
    <row r="90" spans="1:17">
      <c r="A90" s="430"/>
      <c r="G90" s="431"/>
      <c r="H90" s="431"/>
      <c r="I90" s="431"/>
      <c r="J90" s="431"/>
      <c r="K90" s="431"/>
      <c r="L90" s="431"/>
      <c r="M90" s="431"/>
      <c r="N90" s="431"/>
      <c r="O90" s="431"/>
      <c r="P90" s="432"/>
      <c r="Q90" s="432"/>
    </row>
    <row r="91" spans="1:17">
      <c r="A91" s="430"/>
      <c r="G91" s="431"/>
      <c r="H91" s="431"/>
      <c r="I91" s="431"/>
      <c r="J91" s="431"/>
      <c r="K91" s="431"/>
      <c r="L91" s="431"/>
      <c r="M91" s="431"/>
      <c r="N91" s="431"/>
      <c r="O91" s="431"/>
      <c r="P91" s="432"/>
      <c r="Q91" s="432"/>
    </row>
    <row r="92" spans="1:17">
      <c r="A92" s="430"/>
      <c r="G92" s="431"/>
      <c r="H92" s="431"/>
      <c r="I92" s="431"/>
      <c r="J92" s="431"/>
      <c r="K92" s="431"/>
      <c r="L92" s="431"/>
      <c r="M92" s="431"/>
      <c r="N92" s="431"/>
      <c r="O92" s="431"/>
      <c r="P92" s="432"/>
      <c r="Q92" s="432"/>
    </row>
    <row r="93" spans="1:17">
      <c r="A93" s="430"/>
      <c r="G93" s="431"/>
      <c r="H93" s="431"/>
      <c r="I93" s="431"/>
      <c r="J93" s="431"/>
      <c r="K93" s="431"/>
      <c r="L93" s="431"/>
      <c r="M93" s="431"/>
      <c r="N93" s="431"/>
      <c r="O93" s="431"/>
      <c r="P93" s="432"/>
      <c r="Q93" s="432"/>
    </row>
    <row r="94" spans="1:17">
      <c r="A94" s="430"/>
      <c r="G94" s="431"/>
      <c r="H94" s="431"/>
      <c r="I94" s="431"/>
      <c r="J94" s="431"/>
      <c r="K94" s="431"/>
      <c r="L94" s="431"/>
      <c r="M94" s="431"/>
      <c r="N94" s="431"/>
      <c r="O94" s="431"/>
      <c r="P94" s="432"/>
      <c r="Q94" s="432"/>
    </row>
    <row r="95" spans="1:17">
      <c r="A95" s="430"/>
      <c r="G95" s="431"/>
      <c r="H95" s="431"/>
      <c r="I95" s="431"/>
      <c r="J95" s="431"/>
      <c r="K95" s="431"/>
      <c r="L95" s="431"/>
      <c r="M95" s="431"/>
      <c r="N95" s="431"/>
      <c r="O95" s="431"/>
      <c r="P95" s="432"/>
      <c r="Q95" s="432"/>
    </row>
    <row r="96" spans="1:17">
      <c r="A96" s="430"/>
      <c r="G96" s="431"/>
      <c r="H96" s="431"/>
      <c r="I96" s="431"/>
      <c r="J96" s="431"/>
      <c r="K96" s="431"/>
      <c r="L96" s="431"/>
      <c r="M96" s="431"/>
      <c r="N96" s="431"/>
      <c r="O96" s="431"/>
      <c r="P96" s="432"/>
      <c r="Q96" s="432"/>
    </row>
    <row r="97" spans="1:17">
      <c r="A97" s="430"/>
      <c r="G97" s="431"/>
      <c r="H97" s="431"/>
      <c r="I97" s="431"/>
      <c r="J97" s="431"/>
      <c r="K97" s="431"/>
      <c r="L97" s="431"/>
      <c r="M97" s="431"/>
      <c r="N97" s="431"/>
      <c r="O97" s="431"/>
      <c r="P97" s="432"/>
      <c r="Q97" s="432"/>
    </row>
    <row r="98" spans="1:17">
      <c r="A98" s="430"/>
      <c r="G98" s="431"/>
      <c r="H98" s="431"/>
      <c r="I98" s="431"/>
      <c r="J98" s="431"/>
      <c r="K98" s="431"/>
      <c r="L98" s="431"/>
      <c r="M98" s="431"/>
      <c r="N98" s="431"/>
      <c r="O98" s="431"/>
      <c r="P98" s="432"/>
      <c r="Q98" s="432"/>
    </row>
    <row r="99" spans="1:17">
      <c r="A99" s="430"/>
      <c r="G99" s="431"/>
      <c r="H99" s="431"/>
      <c r="I99" s="431"/>
      <c r="J99" s="431"/>
      <c r="K99" s="431"/>
      <c r="L99" s="431"/>
      <c r="M99" s="431"/>
      <c r="N99" s="431"/>
      <c r="O99" s="431"/>
      <c r="P99" s="432"/>
      <c r="Q99" s="432"/>
    </row>
    <row r="100" spans="1:17">
      <c r="A100" s="430"/>
      <c r="G100" s="431"/>
      <c r="H100" s="431"/>
      <c r="I100" s="431"/>
      <c r="J100" s="431"/>
      <c r="K100" s="431"/>
      <c r="L100" s="431"/>
      <c r="M100" s="431"/>
      <c r="N100" s="431"/>
      <c r="O100" s="431"/>
      <c r="P100" s="432"/>
      <c r="Q100" s="432"/>
    </row>
    <row r="101" spans="1:17">
      <c r="A101" s="430"/>
      <c r="G101" s="431"/>
      <c r="H101" s="431"/>
      <c r="I101" s="431"/>
      <c r="J101" s="431"/>
      <c r="K101" s="431"/>
      <c r="L101" s="431"/>
      <c r="M101" s="431"/>
      <c r="N101" s="431"/>
      <c r="O101" s="431"/>
      <c r="P101" s="432"/>
      <c r="Q101" s="432"/>
    </row>
    <row r="102" spans="1:17">
      <c r="A102" s="430"/>
      <c r="G102" s="431"/>
      <c r="H102" s="431"/>
      <c r="I102" s="431"/>
      <c r="J102" s="431"/>
      <c r="K102" s="431"/>
      <c r="L102" s="431"/>
      <c r="M102" s="431"/>
      <c r="N102" s="431"/>
      <c r="O102" s="431"/>
      <c r="P102" s="432"/>
      <c r="Q102" s="432"/>
    </row>
    <row r="103" spans="1:17">
      <c r="A103" s="430"/>
      <c r="G103" s="431"/>
      <c r="H103" s="431"/>
      <c r="I103" s="431"/>
      <c r="J103" s="431"/>
      <c r="K103" s="431"/>
      <c r="L103" s="431"/>
      <c r="M103" s="431"/>
      <c r="N103" s="431"/>
      <c r="O103" s="431"/>
      <c r="P103" s="432"/>
      <c r="Q103" s="432"/>
    </row>
    <row r="104" spans="1:17">
      <c r="A104" s="430"/>
      <c r="G104" s="431"/>
      <c r="H104" s="431"/>
      <c r="I104" s="431"/>
      <c r="J104" s="431"/>
      <c r="K104" s="431"/>
      <c r="L104" s="431"/>
      <c r="M104" s="431"/>
      <c r="N104" s="431"/>
      <c r="O104" s="431"/>
      <c r="P104" s="432"/>
      <c r="Q104" s="432"/>
    </row>
    <row r="105" spans="1:17">
      <c r="A105" s="430"/>
      <c r="G105" s="431"/>
      <c r="H105" s="431"/>
      <c r="I105" s="431"/>
      <c r="J105" s="431"/>
      <c r="K105" s="431"/>
      <c r="L105" s="431"/>
      <c r="M105" s="431"/>
      <c r="N105" s="431"/>
      <c r="O105" s="431"/>
      <c r="P105" s="432"/>
      <c r="Q105" s="432"/>
    </row>
    <row r="106" spans="1:17">
      <c r="A106" s="430"/>
      <c r="G106" s="431"/>
      <c r="H106" s="431"/>
      <c r="I106" s="431"/>
      <c r="J106" s="431"/>
      <c r="K106" s="431"/>
      <c r="L106" s="431"/>
      <c r="M106" s="431"/>
      <c r="N106" s="431"/>
      <c r="O106" s="431"/>
      <c r="P106" s="432"/>
      <c r="Q106" s="432"/>
    </row>
    <row r="107" spans="1:17">
      <c r="A107" s="430"/>
      <c r="G107" s="431"/>
      <c r="H107" s="431"/>
      <c r="I107" s="431"/>
      <c r="J107" s="431"/>
      <c r="K107" s="431"/>
      <c r="L107" s="431"/>
      <c r="M107" s="431"/>
      <c r="N107" s="431"/>
      <c r="O107" s="431"/>
      <c r="P107" s="432"/>
      <c r="Q107" s="432"/>
    </row>
    <row r="108" spans="1:17">
      <c r="A108" s="430"/>
      <c r="G108" s="431"/>
      <c r="H108" s="431"/>
      <c r="I108" s="431"/>
      <c r="J108" s="431"/>
      <c r="K108" s="431"/>
      <c r="L108" s="431"/>
      <c r="M108" s="431"/>
      <c r="N108" s="431"/>
      <c r="O108" s="431"/>
      <c r="P108" s="432"/>
      <c r="Q108" s="432"/>
    </row>
    <row r="109" spans="1:17">
      <c r="A109" s="430"/>
      <c r="G109" s="431"/>
      <c r="H109" s="431"/>
      <c r="I109" s="431"/>
      <c r="J109" s="431"/>
      <c r="K109" s="431"/>
      <c r="L109" s="431"/>
      <c r="M109" s="431"/>
      <c r="N109" s="431"/>
      <c r="O109" s="431"/>
      <c r="P109" s="432"/>
      <c r="Q109" s="432"/>
    </row>
    <row r="110" spans="1:17">
      <c r="A110" s="430"/>
      <c r="G110" s="431"/>
      <c r="H110" s="431"/>
      <c r="I110" s="431"/>
      <c r="J110" s="431"/>
      <c r="K110" s="431"/>
      <c r="L110" s="431"/>
      <c r="M110" s="431"/>
      <c r="N110" s="431"/>
      <c r="O110" s="431"/>
      <c r="P110" s="432"/>
      <c r="Q110" s="432"/>
    </row>
    <row r="111" spans="1:17">
      <c r="A111" s="430"/>
      <c r="G111" s="431"/>
      <c r="H111" s="431"/>
      <c r="I111" s="431"/>
      <c r="J111" s="431"/>
      <c r="K111" s="431"/>
      <c r="L111" s="431"/>
      <c r="M111" s="431"/>
      <c r="N111" s="431"/>
      <c r="O111" s="431"/>
      <c r="P111" s="432"/>
      <c r="Q111" s="432"/>
    </row>
    <row r="112" spans="1:17">
      <c r="A112" s="430"/>
      <c r="G112" s="431"/>
      <c r="H112" s="431"/>
      <c r="I112" s="431"/>
      <c r="J112" s="431"/>
      <c r="K112" s="431"/>
      <c r="L112" s="431"/>
      <c r="M112" s="431"/>
      <c r="N112" s="431"/>
      <c r="O112" s="431"/>
      <c r="P112" s="432"/>
      <c r="Q112" s="432"/>
    </row>
    <row r="113" spans="1:17">
      <c r="A113" s="430"/>
      <c r="G113" s="431"/>
      <c r="H113" s="431"/>
      <c r="I113" s="431"/>
      <c r="J113" s="431"/>
      <c r="K113" s="431"/>
      <c r="L113" s="431"/>
      <c r="M113" s="431"/>
      <c r="N113" s="431"/>
      <c r="O113" s="431"/>
      <c r="P113" s="432"/>
      <c r="Q113" s="432"/>
    </row>
    <row r="114" spans="1:17">
      <c r="A114" s="430"/>
      <c r="P114" s="432"/>
      <c r="Q114" s="432"/>
    </row>
    <row r="115" spans="1:17">
      <c r="A115" s="430"/>
    </row>
    <row r="116" spans="1:17">
      <c r="A116" s="430"/>
    </row>
    <row r="117" spans="1:17">
      <c r="A117" s="430"/>
    </row>
    <row r="118" spans="1:17">
      <c r="A118" s="430"/>
    </row>
    <row r="119" spans="1:17">
      <c r="A119" s="430"/>
    </row>
    <row r="120" spans="1:17">
      <c r="A120" s="430"/>
    </row>
    <row r="121" spans="1:17">
      <c r="A121" s="430"/>
    </row>
    <row r="122" spans="1:17">
      <c r="A122" s="430"/>
    </row>
    <row r="123" spans="1:17">
      <c r="A123" s="430"/>
    </row>
    <row r="124" spans="1:17">
      <c r="A124" s="430"/>
    </row>
    <row r="125" spans="1:17">
      <c r="A125" s="430"/>
    </row>
    <row r="126" spans="1:17">
      <c r="A126" s="430"/>
    </row>
    <row r="127" spans="1:17">
      <c r="A127" s="430"/>
    </row>
    <row r="128" spans="1:17">
      <c r="A128" s="430"/>
    </row>
    <row r="129" spans="1:1">
      <c r="A129" s="430"/>
    </row>
    <row r="130" spans="1:1">
      <c r="A130" s="430"/>
    </row>
    <row r="131" spans="1:1">
      <c r="A131" s="430"/>
    </row>
    <row r="132" spans="1:1">
      <c r="A132" s="430"/>
    </row>
    <row r="133" spans="1:1">
      <c r="A133" s="430"/>
    </row>
    <row r="134" spans="1:1">
      <c r="A134" s="430"/>
    </row>
    <row r="135" spans="1:1">
      <c r="A135" s="430"/>
    </row>
    <row r="136" spans="1:1">
      <c r="A136" s="430"/>
    </row>
    <row r="137" spans="1:1">
      <c r="A137" s="430"/>
    </row>
    <row r="138" spans="1:1">
      <c r="A138" s="430"/>
    </row>
    <row r="139" spans="1:1">
      <c r="A139" s="430"/>
    </row>
    <row r="140" spans="1:1">
      <c r="A140" s="430"/>
    </row>
    <row r="141" spans="1:1">
      <c r="A141" s="430"/>
    </row>
    <row r="142" spans="1:1">
      <c r="A142" s="430"/>
    </row>
    <row r="143" spans="1:1">
      <c r="A143" s="430"/>
    </row>
    <row r="144" spans="1:1">
      <c r="A144" s="430"/>
    </row>
    <row r="145" spans="1:1">
      <c r="A145" s="430"/>
    </row>
    <row r="146" spans="1:1">
      <c r="A146" s="430"/>
    </row>
    <row r="147" spans="1:1">
      <c r="A147" s="430"/>
    </row>
    <row r="148" spans="1:1">
      <c r="A148" s="430"/>
    </row>
    <row r="149" spans="1:1">
      <c r="A149" s="430"/>
    </row>
    <row r="150" spans="1:1">
      <c r="A150" s="430"/>
    </row>
    <row r="151" spans="1:1">
      <c r="A151" s="430"/>
    </row>
    <row r="152" spans="1:1">
      <c r="A152" s="430"/>
    </row>
    <row r="153" spans="1:1">
      <c r="A153" s="430"/>
    </row>
    <row r="154" spans="1:1">
      <c r="A154" s="430"/>
    </row>
    <row r="155" spans="1:1">
      <c r="A155" s="430"/>
    </row>
    <row r="156" spans="1:1">
      <c r="A156" s="430"/>
    </row>
    <row r="157" spans="1:1">
      <c r="A157" s="430"/>
    </row>
  </sheetData>
  <mergeCells count="4">
    <mergeCell ref="A1:W1"/>
    <mergeCell ref="A2:W2"/>
    <mergeCell ref="A5:W5"/>
    <mergeCell ref="A16:Q16"/>
  </mergeCells>
  <printOptions horizontalCentered="1"/>
  <pageMargins left="0.7" right="0.7" top="0.75" bottom="0.75" header="0.3" footer="0.3"/>
  <pageSetup scale="49" orientation="landscape" horizontalDpi="1200" verticalDpi="1200" r:id="rId1"/>
  <ignoredErrors>
    <ignoredError sqref="Q15:U15"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
  <sheetViews>
    <sheetView view="pageBreakPreview" zoomScale="69" zoomScaleNormal="85" zoomScaleSheetLayoutView="85" workbookViewId="0"/>
  </sheetViews>
  <sheetFormatPr defaultColWidth="9" defaultRowHeight="15"/>
  <cols>
    <col min="1" max="1" width="7.5546875" style="53" bestFit="1" customWidth="1"/>
    <col min="2" max="2" width="2.88671875" style="167" bestFit="1" customWidth="1"/>
    <col min="3" max="3" width="52.33203125" style="53" customWidth="1"/>
    <col min="4" max="4" width="3.88671875" style="53" customWidth="1"/>
    <col min="5" max="5" width="17.5546875" style="53" customWidth="1"/>
    <col min="6" max="6" width="2.6640625" style="53" customWidth="1"/>
    <col min="7" max="7" width="16" style="53" customWidth="1"/>
    <col min="8" max="8" width="2.6640625" style="53" customWidth="1"/>
    <col min="9" max="9" width="19.88671875" style="53" customWidth="1"/>
    <col min="10" max="10" width="2.6640625" style="53" customWidth="1"/>
    <col min="11" max="11" width="20" style="53" customWidth="1"/>
    <col min="12" max="12" width="2.6640625" style="53" customWidth="1"/>
    <col min="13" max="13" width="15" style="53" customWidth="1"/>
    <col min="14" max="14" width="2.5546875" style="53" customWidth="1"/>
    <col min="15" max="15" width="9" style="53"/>
    <col min="16" max="16" width="17.5546875" style="53" customWidth="1"/>
    <col min="17" max="17" width="13.33203125" style="53" customWidth="1"/>
    <col min="18" max="18" width="10.33203125" style="53" bestFit="1" customWidth="1"/>
    <col min="19" max="16384" width="9" style="53"/>
  </cols>
  <sheetData>
    <row r="1" spans="1:17">
      <c r="A1" s="491" t="str">
        <f>Input!G28</f>
        <v>Peoples Gas System</v>
      </c>
      <c r="B1" s="492"/>
      <c r="C1" s="492"/>
      <c r="D1" s="493"/>
      <c r="E1" s="493"/>
      <c r="F1" s="493"/>
      <c r="G1" s="493"/>
      <c r="H1" s="493"/>
      <c r="I1" s="493"/>
      <c r="J1" s="493"/>
      <c r="K1" s="493"/>
      <c r="L1" s="493"/>
      <c r="M1" s="493"/>
      <c r="N1" s="168"/>
    </row>
    <row r="2" spans="1:17">
      <c r="A2" s="492" t="s">
        <v>2935</v>
      </c>
      <c r="B2" s="492"/>
      <c r="C2" s="492"/>
      <c r="D2" s="492"/>
      <c r="E2" s="492"/>
      <c r="F2" s="492"/>
      <c r="G2" s="492"/>
      <c r="H2" s="492"/>
      <c r="I2" s="492"/>
      <c r="J2" s="492"/>
      <c r="K2" s="492"/>
      <c r="L2" s="492"/>
      <c r="M2" s="492"/>
    </row>
    <row r="3" spans="1:17">
      <c r="A3" s="493" t="s">
        <v>4568</v>
      </c>
      <c r="B3" s="492"/>
      <c r="C3" s="492"/>
      <c r="D3" s="493"/>
      <c r="E3" s="493"/>
      <c r="F3" s="493"/>
      <c r="G3" s="493"/>
      <c r="H3" s="493"/>
      <c r="I3" s="493"/>
      <c r="J3" s="493"/>
      <c r="K3" s="493"/>
      <c r="L3" s="493"/>
      <c r="M3" s="493"/>
      <c r="N3" s="168"/>
    </row>
    <row r="4" spans="1:17">
      <c r="C4" s="168"/>
    </row>
    <row r="5" spans="1:17">
      <c r="C5" s="168"/>
    </row>
    <row r="6" spans="1:17">
      <c r="C6" s="168"/>
      <c r="E6" s="1055" t="s">
        <v>1337</v>
      </c>
      <c r="F6" s="1055"/>
      <c r="G6" s="1055"/>
      <c r="I6" s="167" t="s">
        <v>1336</v>
      </c>
      <c r="K6" s="167" t="s">
        <v>1335</v>
      </c>
      <c r="M6" s="167" t="s">
        <v>1341</v>
      </c>
    </row>
    <row r="7" spans="1:17" ht="13.5" customHeight="1">
      <c r="M7" s="1056" t="s">
        <v>2936</v>
      </c>
    </row>
    <row r="8" spans="1:17" ht="13.5" customHeight="1">
      <c r="E8" s="1056" t="s">
        <v>4599</v>
      </c>
      <c r="F8" s="1056"/>
      <c r="G8" s="1056"/>
      <c r="I8" s="1056" t="s">
        <v>2937</v>
      </c>
      <c r="K8" s="167"/>
      <c r="M8" s="1056"/>
    </row>
    <row r="9" spans="1:17">
      <c r="E9" s="1056"/>
      <c r="F9" s="1056"/>
      <c r="G9" s="1056"/>
      <c r="I9" s="1056"/>
      <c r="K9" s="1056" t="s">
        <v>2938</v>
      </c>
      <c r="M9" s="1056"/>
      <c r="Q9" s="53" t="s">
        <v>1418</v>
      </c>
    </row>
    <row r="10" spans="1:17" ht="12.75" customHeight="1">
      <c r="E10" s="1056"/>
      <c r="F10" s="1056"/>
      <c r="G10" s="1056"/>
      <c r="I10" s="1056"/>
      <c r="K10" s="1056"/>
      <c r="M10" s="1056"/>
    </row>
    <row r="11" spans="1:17" ht="30.75" customHeight="1">
      <c r="A11" s="169" t="s">
        <v>92</v>
      </c>
      <c r="E11" s="1057"/>
      <c r="F11" s="1057"/>
      <c r="G11" s="1057"/>
      <c r="I11" s="1057"/>
      <c r="K11" s="1057"/>
      <c r="M11" s="1057"/>
    </row>
    <row r="12" spans="1:17">
      <c r="A12" s="167"/>
      <c r="E12" s="170" t="s">
        <v>2939</v>
      </c>
      <c r="F12" s="170"/>
      <c r="G12" s="167" t="s">
        <v>2940</v>
      </c>
    </row>
    <row r="13" spans="1:17">
      <c r="A13" s="167"/>
    </row>
    <row r="14" spans="1:17">
      <c r="A14" s="170"/>
      <c r="B14" s="170" t="s">
        <v>4185</v>
      </c>
      <c r="C14" s="334" t="s">
        <v>4388</v>
      </c>
      <c r="E14" s="366">
        <f ca="1">'9.2 Market Cap'!P13</f>
        <v>2179.6631273816597</v>
      </c>
      <c r="F14" s="171"/>
      <c r="G14" s="172"/>
      <c r="I14" s="173">
        <v>6</v>
      </c>
      <c r="K14" s="174">
        <f>VLOOKUP(I14,$G$22:$M$31,7,FALSE)</f>
        <v>1.37E-2</v>
      </c>
    </row>
    <row r="15" spans="1:17">
      <c r="A15" s="170"/>
      <c r="B15" s="170"/>
      <c r="C15" s="171"/>
      <c r="E15" s="175"/>
      <c r="F15" s="171"/>
      <c r="G15" s="172"/>
      <c r="I15" s="173"/>
      <c r="K15" s="176"/>
    </row>
    <row r="16" spans="1:17" ht="31.5" customHeight="1">
      <c r="A16" s="170"/>
      <c r="B16" s="167" t="s">
        <v>4185</v>
      </c>
      <c r="C16" s="437" t="s">
        <v>4242</v>
      </c>
      <c r="E16" s="177">
        <f ca="1">'9.2 Market Cap'!P24</f>
        <v>6634.06</v>
      </c>
      <c r="F16" s="167"/>
      <c r="G16" s="178">
        <f ca="1">ROUND(E16/E14,1)</f>
        <v>3</v>
      </c>
      <c r="H16" s="53" t="s">
        <v>44</v>
      </c>
      <c r="I16" s="167">
        <v>4</v>
      </c>
      <c r="K16" s="174">
        <f>VLOOKUP(I16,$G$22:$M$31,7,FALSE)</f>
        <v>7.4999999999999997E-3</v>
      </c>
      <c r="M16" s="77">
        <f>K14-K16</f>
        <v>6.2000000000000006E-3</v>
      </c>
      <c r="P16" s="468"/>
    </row>
    <row r="17" spans="1:20" ht="45" customHeight="1">
      <c r="A17" s="170"/>
      <c r="C17" s="179"/>
      <c r="E17" s="177"/>
      <c r="F17" s="167"/>
      <c r="G17" s="178"/>
      <c r="I17" s="167"/>
      <c r="K17" s="176"/>
      <c r="M17" s="77"/>
    </row>
    <row r="18" spans="1:20" ht="15" customHeight="1">
      <c r="G18" s="167" t="s">
        <v>2782</v>
      </c>
      <c r="H18" s="167"/>
      <c r="I18" s="167" t="s">
        <v>2783</v>
      </c>
      <c r="J18" s="167"/>
      <c r="K18" s="167" t="s">
        <v>2784</v>
      </c>
      <c r="L18" s="167"/>
      <c r="M18" s="167" t="s">
        <v>2785</v>
      </c>
      <c r="N18" s="180"/>
      <c r="O18" s="180"/>
      <c r="P18" s="180"/>
    </row>
    <row r="19" spans="1:20" ht="67.5" customHeight="1">
      <c r="G19" s="169" t="s">
        <v>2941</v>
      </c>
      <c r="I19" s="169" t="s">
        <v>2942</v>
      </c>
      <c r="J19" s="53" t="s">
        <v>1418</v>
      </c>
      <c r="K19" s="169" t="s">
        <v>2943</v>
      </c>
      <c r="L19" s="53" t="s">
        <v>1418</v>
      </c>
      <c r="M19" s="169" t="s">
        <v>2944</v>
      </c>
      <c r="N19" s="180"/>
      <c r="O19" s="180"/>
      <c r="P19" s="180"/>
      <c r="T19" s="77"/>
    </row>
    <row r="20" spans="1:20">
      <c r="G20" s="53" t="s">
        <v>1418</v>
      </c>
      <c r="I20" s="167" t="s">
        <v>2939</v>
      </c>
      <c r="J20" s="53" t="s">
        <v>1418</v>
      </c>
      <c r="K20" s="167" t="s">
        <v>2939</v>
      </c>
      <c r="L20" s="53" t="s">
        <v>1418</v>
      </c>
      <c r="M20" s="53" t="s">
        <v>1418</v>
      </c>
      <c r="N20" s="180"/>
      <c r="O20" s="180"/>
      <c r="P20" s="180"/>
    </row>
    <row r="21" spans="1:20">
      <c r="G21" s="53" t="s">
        <v>1418</v>
      </c>
      <c r="I21" s="53" t="s">
        <v>1418</v>
      </c>
      <c r="K21" s="53" t="s">
        <v>1418</v>
      </c>
      <c r="L21" s="53" t="s">
        <v>1418</v>
      </c>
      <c r="M21" s="53" t="s">
        <v>1418</v>
      </c>
      <c r="N21" s="180"/>
      <c r="O21" s="180"/>
      <c r="P21" s="180"/>
    </row>
    <row r="22" spans="1:20">
      <c r="E22" s="181" t="s">
        <v>2945</v>
      </c>
      <c r="G22" s="167">
        <v>1</v>
      </c>
      <c r="I22" s="182">
        <v>36160.584000000003</v>
      </c>
      <c r="J22" s="182" t="s">
        <v>1418</v>
      </c>
      <c r="K22" s="182">
        <v>2324390.219</v>
      </c>
      <c r="L22" s="53" t="s">
        <v>1418</v>
      </c>
      <c r="M22" s="311">
        <v>-2.2000000000000001E-3</v>
      </c>
      <c r="N22" s="180"/>
      <c r="O22" s="183"/>
      <c r="P22" s="184"/>
    </row>
    <row r="23" spans="1:20">
      <c r="G23" s="167">
        <v>2</v>
      </c>
      <c r="I23" s="185">
        <v>16759.39</v>
      </c>
      <c r="J23" s="185" t="s">
        <v>1418</v>
      </c>
      <c r="K23" s="185">
        <v>36099.220999999998</v>
      </c>
      <c r="L23" s="53" t="s">
        <v>1418</v>
      </c>
      <c r="M23" s="311">
        <v>4.8999999999999998E-3</v>
      </c>
      <c r="N23" s="180"/>
      <c r="O23" s="183"/>
      <c r="P23" s="184"/>
    </row>
    <row r="24" spans="1:20">
      <c r="G24" s="167">
        <v>3</v>
      </c>
      <c r="I24" s="185">
        <v>8216.3559999999998</v>
      </c>
      <c r="J24" s="185" t="s">
        <v>1418</v>
      </c>
      <c r="K24" s="185">
        <v>16738.364000000001</v>
      </c>
      <c r="L24" s="53" t="s">
        <v>1418</v>
      </c>
      <c r="M24" s="311">
        <v>7.1000000000000004E-3</v>
      </c>
      <c r="N24" s="180"/>
      <c r="O24" s="183"/>
      <c r="P24" s="184"/>
    </row>
    <row r="25" spans="1:20">
      <c r="G25" s="167">
        <v>4</v>
      </c>
      <c r="I25" s="185">
        <v>5019.8829999999998</v>
      </c>
      <c r="J25" s="185" t="s">
        <v>1418</v>
      </c>
      <c r="K25" s="185">
        <v>8212.6380000000008</v>
      </c>
      <c r="L25" s="53" t="s">
        <v>1418</v>
      </c>
      <c r="M25" s="311">
        <v>7.4999999999999997E-3</v>
      </c>
      <c r="N25" s="180"/>
      <c r="O25" s="183"/>
      <c r="P25" s="184"/>
      <c r="Q25" s="186"/>
    </row>
    <row r="26" spans="1:20">
      <c r="E26" s="181"/>
      <c r="G26" s="167">
        <v>5</v>
      </c>
      <c r="I26" s="185">
        <v>3281.009</v>
      </c>
      <c r="J26" s="185"/>
      <c r="K26" s="185">
        <v>5003.7470000000003</v>
      </c>
      <c r="L26" s="53" t="s">
        <v>1418</v>
      </c>
      <c r="M26" s="311">
        <v>1.09E-2</v>
      </c>
      <c r="N26" s="180"/>
      <c r="O26" s="183"/>
      <c r="P26" s="184"/>
      <c r="Q26" s="187"/>
    </row>
    <row r="27" spans="1:20">
      <c r="E27" s="181"/>
      <c r="G27" s="167">
        <v>6</v>
      </c>
      <c r="I27" s="185">
        <v>2170.3150000000001</v>
      </c>
      <c r="J27" s="185" t="s">
        <v>1418</v>
      </c>
      <c r="K27" s="185">
        <v>3276.5529999999999</v>
      </c>
      <c r="L27" s="53" t="s">
        <v>1418</v>
      </c>
      <c r="M27" s="311">
        <v>1.37E-2</v>
      </c>
      <c r="N27" s="180"/>
      <c r="O27" s="183"/>
      <c r="P27" s="184"/>
    </row>
    <row r="28" spans="1:20">
      <c r="E28" s="181"/>
      <c r="G28" s="167">
        <v>7</v>
      </c>
      <c r="I28" s="185">
        <v>1306.402</v>
      </c>
      <c r="J28" s="185"/>
      <c r="K28" s="185">
        <v>2164.5239999999999</v>
      </c>
      <c r="L28" s="53" t="s">
        <v>1418</v>
      </c>
      <c r="M28" s="311">
        <v>1.54E-2</v>
      </c>
      <c r="N28" s="180"/>
      <c r="O28" s="183"/>
      <c r="P28" s="184"/>
    </row>
    <row r="29" spans="1:20">
      <c r="E29" s="181"/>
      <c r="G29" s="167">
        <v>8</v>
      </c>
      <c r="I29" s="185">
        <v>629.11800000000005</v>
      </c>
      <c r="J29" s="185" t="s">
        <v>1418</v>
      </c>
      <c r="K29" s="185">
        <v>1306.038</v>
      </c>
      <c r="L29" s="53" t="s">
        <v>1418</v>
      </c>
      <c r="M29" s="311">
        <v>1.46E-2</v>
      </c>
      <c r="N29" s="180"/>
      <c r="O29" s="183"/>
      <c r="P29" s="184"/>
      <c r="R29" s="188"/>
    </row>
    <row r="30" spans="1:20">
      <c r="E30" s="181"/>
      <c r="G30" s="167">
        <v>9</v>
      </c>
      <c r="I30" s="185">
        <v>290.00200000000001</v>
      </c>
      <c r="J30" s="185" t="s">
        <v>1418</v>
      </c>
      <c r="K30" s="185">
        <v>627.803</v>
      </c>
      <c r="L30" s="53" t="s">
        <v>1418</v>
      </c>
      <c r="M30" s="311">
        <v>2.29E-2</v>
      </c>
      <c r="N30" s="180"/>
      <c r="O30" s="183"/>
      <c r="P30" s="184"/>
      <c r="R30" s="188"/>
    </row>
    <row r="31" spans="1:20">
      <c r="E31" s="181" t="s">
        <v>2946</v>
      </c>
      <c r="G31" s="167">
        <v>10</v>
      </c>
      <c r="I31" s="185">
        <v>10.587999999999999</v>
      </c>
      <c r="J31" s="185" t="s">
        <v>1418</v>
      </c>
      <c r="K31" s="185">
        <v>289.00700000000001</v>
      </c>
      <c r="L31" s="53" t="s">
        <v>1418</v>
      </c>
      <c r="M31" s="311">
        <v>5.0099999999999999E-2</v>
      </c>
      <c r="N31" s="180"/>
      <c r="O31" s="180"/>
      <c r="P31" s="180"/>
    </row>
    <row r="32" spans="1:20">
      <c r="E32" s="53" t="s">
        <v>1418</v>
      </c>
      <c r="F32" s="53" t="s">
        <v>1418</v>
      </c>
      <c r="H32" s="53" t="s">
        <v>4594</v>
      </c>
      <c r="I32" s="189"/>
      <c r="J32" s="189"/>
      <c r="K32" s="189"/>
      <c r="M32" s="125"/>
      <c r="P32" s="186"/>
      <c r="Q32" s="190"/>
    </row>
    <row r="33" spans="3:16">
      <c r="C33" s="181" t="s">
        <v>94</v>
      </c>
      <c r="E33" s="191"/>
      <c r="G33" s="191"/>
      <c r="K33" s="191"/>
      <c r="P33" s="186"/>
    </row>
    <row r="34" spans="3:16">
      <c r="D34" s="192" t="s">
        <v>95</v>
      </c>
      <c r="E34" s="368" t="s">
        <v>4398</v>
      </c>
      <c r="F34" s="368"/>
      <c r="G34" s="193"/>
      <c r="H34" s="194"/>
      <c r="I34" s="195"/>
      <c r="J34" s="194"/>
      <c r="K34" s="195"/>
      <c r="L34" s="194"/>
      <c r="M34" s="194"/>
      <c r="P34" s="186"/>
    </row>
    <row r="35" spans="3:16" ht="31.5" customHeight="1">
      <c r="D35" s="192" t="s">
        <v>96</v>
      </c>
      <c r="E35" s="1050" t="s">
        <v>2947</v>
      </c>
      <c r="F35" s="1051"/>
      <c r="G35" s="1051"/>
      <c r="H35" s="1051"/>
      <c r="I35" s="1051"/>
      <c r="J35" s="1051"/>
      <c r="K35" s="1051"/>
      <c r="L35" s="1051"/>
      <c r="M35" s="1051"/>
    </row>
    <row r="36" spans="3:16" ht="15" customHeight="1">
      <c r="D36" s="192" t="s">
        <v>97</v>
      </c>
      <c r="E36" s="194" t="s">
        <v>2948</v>
      </c>
      <c r="F36" s="194"/>
      <c r="G36" s="194"/>
      <c r="H36" s="194"/>
      <c r="I36" s="194"/>
      <c r="J36" s="194"/>
      <c r="K36" s="194"/>
      <c r="L36" s="194"/>
      <c r="M36" s="194"/>
    </row>
    <row r="37" spans="3:16">
      <c r="D37" s="192" t="s">
        <v>98</v>
      </c>
      <c r="E37" s="1052" t="str">
        <f>CONCATENATE("Line No. 1 Column [3] – Line No. 2 Column [3].  For example, the ",TEXT((M16*100),"#0.00"),"%  in Column [4], Line No. 2 is derived as follows ",TEXT((M16*100),"#0.00"),"% = ",K14*100,"% - ",TEXT((K16*100),"#0.00"),"%.")</f>
        <v>Line No. 1 Column [3] – Line No. 2 Column [3].  For example, the 0.62%  in Column [4], Line No. 2 is derived as follows 0.62% = 1.37% - 0.75%.</v>
      </c>
      <c r="F37" s="1053"/>
      <c r="G37" s="1053"/>
      <c r="H37" s="1053"/>
      <c r="I37" s="1053"/>
      <c r="J37" s="1053"/>
      <c r="K37" s="1053"/>
      <c r="L37" s="1053"/>
      <c r="M37" s="1053"/>
    </row>
    <row r="38" spans="3:16" ht="15.75" customHeight="1">
      <c r="E38" s="1054"/>
      <c r="F38" s="1054"/>
      <c r="G38" s="1054"/>
      <c r="H38" s="1054"/>
      <c r="I38" s="1054"/>
      <c r="J38" s="1054"/>
      <c r="K38" s="1054"/>
      <c r="L38" s="1054"/>
      <c r="M38" s="1054"/>
    </row>
  </sheetData>
  <mergeCells count="7">
    <mergeCell ref="E35:M35"/>
    <mergeCell ref="E37:M38"/>
    <mergeCell ref="E6:G6"/>
    <mergeCell ref="M7:M11"/>
    <mergeCell ref="E8:G11"/>
    <mergeCell ref="I8:I11"/>
    <mergeCell ref="K9:K11"/>
  </mergeCells>
  <printOptions horizontalCentered="1"/>
  <pageMargins left="0.7" right="0.7" top="0.75" bottom="0.75" header="0.3" footer="0.3"/>
  <pageSetup scale="53" orientation="landscape" horizontalDpi="4294967293" verticalDpi="36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T40"/>
  <sheetViews>
    <sheetView view="pageBreakPreview" zoomScale="70" zoomScaleNormal="100" zoomScaleSheetLayoutView="70" workbookViewId="0"/>
  </sheetViews>
  <sheetFormatPr defaultColWidth="9" defaultRowHeight="15"/>
  <cols>
    <col min="1" max="1" width="9" style="196"/>
    <col min="2" max="2" width="39.5546875" style="196" customWidth="1"/>
    <col min="3" max="3" width="2.6640625" style="196" customWidth="1"/>
    <col min="4" max="4" width="12.5546875" style="196" customWidth="1"/>
    <col min="5" max="5" width="4.109375" style="196" customWidth="1"/>
    <col min="6" max="6" width="21.33203125" style="196" customWidth="1"/>
    <col min="7" max="7" width="2.6640625" style="196" customWidth="1"/>
    <col min="8" max="8" width="21.33203125" style="196" customWidth="1"/>
    <col min="9" max="9" width="2.6640625" style="196" customWidth="1"/>
    <col min="10" max="10" width="21.5546875" style="196" customWidth="1"/>
    <col min="11" max="11" width="4" style="196" customWidth="1"/>
    <col min="12" max="12" width="21.5546875" style="196" customWidth="1"/>
    <col min="13" max="13" width="2.33203125" style="196" customWidth="1"/>
    <col min="14" max="14" width="21.5546875" style="196" customWidth="1"/>
    <col min="15" max="15" width="4.109375" style="196" customWidth="1"/>
    <col min="16" max="16" width="21.33203125" style="196" customWidth="1"/>
    <col min="17" max="17" width="4.109375" style="196" customWidth="1"/>
    <col min="18" max="18" width="9" style="196"/>
    <col min="19" max="19" width="9" style="196" customWidth="1"/>
    <col min="20" max="16384" width="9" style="196"/>
  </cols>
  <sheetData>
    <row r="1" spans="1:17">
      <c r="A1" s="197" t="str">
        <f>Input!G28</f>
        <v>Peoples Gas System</v>
      </c>
      <c r="B1" s="198"/>
      <c r="C1" s="198"/>
      <c r="D1" s="198"/>
      <c r="E1" s="198"/>
      <c r="F1" s="198"/>
      <c r="G1" s="198"/>
      <c r="H1" s="198"/>
      <c r="I1" s="198"/>
      <c r="J1" s="198"/>
      <c r="K1" s="198"/>
      <c r="L1" s="198"/>
      <c r="M1" s="198"/>
      <c r="N1" s="198"/>
      <c r="O1" s="198"/>
      <c r="P1" s="198"/>
      <c r="Q1" s="198"/>
    </row>
    <row r="2" spans="1:17">
      <c r="A2" s="198" t="str">
        <f>CONCATENATE("Market Capitalization of ",A1," and the")</f>
        <v>Market Capitalization of Peoples Gas System and the</v>
      </c>
      <c r="B2" s="198"/>
      <c r="C2" s="198"/>
      <c r="D2" s="198"/>
      <c r="E2" s="198"/>
      <c r="F2" s="198"/>
      <c r="G2" s="198"/>
      <c r="H2" s="198"/>
      <c r="I2" s="198"/>
      <c r="J2" s="198"/>
      <c r="K2" s="198"/>
      <c r="L2" s="198"/>
      <c r="M2" s="198"/>
      <c r="N2" s="198"/>
      <c r="O2" s="198"/>
      <c r="P2" s="198"/>
      <c r="Q2" s="198"/>
    </row>
    <row r="3" spans="1:17">
      <c r="A3" s="198" t="str">
        <f>Input!I29</f>
        <v>Utility Proxy Group</v>
      </c>
      <c r="B3" s="197"/>
      <c r="C3" s="198"/>
      <c r="D3" s="198"/>
      <c r="E3" s="198"/>
      <c r="F3" s="198"/>
      <c r="G3" s="198"/>
      <c r="H3" s="198"/>
      <c r="I3" s="198"/>
      <c r="J3" s="198"/>
      <c r="K3" s="198"/>
      <c r="L3" s="198"/>
      <c r="M3" s="198"/>
      <c r="N3" s="198"/>
      <c r="O3" s="198"/>
      <c r="P3" s="198"/>
      <c r="Q3" s="198"/>
    </row>
    <row r="6" spans="1:17">
      <c r="F6" s="199" t="s">
        <v>1337</v>
      </c>
      <c r="G6" s="199"/>
      <c r="H6" s="199" t="s">
        <v>1336</v>
      </c>
      <c r="I6" s="199"/>
      <c r="J6" s="199" t="s">
        <v>1335</v>
      </c>
      <c r="K6" s="199"/>
      <c r="L6" s="199" t="s">
        <v>1341</v>
      </c>
      <c r="M6" s="199"/>
      <c r="N6" s="199" t="s">
        <v>1342</v>
      </c>
      <c r="O6" s="199"/>
      <c r="P6" s="199" t="s">
        <v>1345</v>
      </c>
    </row>
    <row r="8" spans="1:17" ht="84.75" customHeight="1">
      <c r="B8" s="200" t="s">
        <v>158</v>
      </c>
      <c r="D8" s="200" t="s">
        <v>2949</v>
      </c>
      <c r="F8" s="200" t="str">
        <f>CONCATENATE("Common Stock Shares Outstanding at Fiscal Year End ",YEAR(Input!G49))</f>
        <v>Common Stock Shares Outstanding at Fiscal Year End 2021</v>
      </c>
      <c r="H8" s="200" t="s">
        <v>4387</v>
      </c>
      <c r="J8" s="200" t="str">
        <f>CONCATENATE("Total Common Equity at Fiscal Year End ",YEAR(Input!G49))</f>
        <v>Total Common Equity at Fiscal Year End 2021</v>
      </c>
      <c r="L8" s="200" t="str">
        <f>CONCATENATE("Closing Stock Market Price on ",TEXT(Input!E2,"mmmm dd, yyyy"))</f>
        <v>Closing Stock Market Price on December 30, 2022</v>
      </c>
      <c r="N8" s="200" t="str">
        <f>CONCATENATE("Market-to-Book Ratio on ",TEXT(Input!E2,"mmmm dd, yyyy")," (2)")</f>
        <v>Market-to-Book Ratio on December 30, 2022 (2)</v>
      </c>
      <c r="P8" s="200" t="str">
        <f>CONCATENATE("Market Capitalization on ",TEXT(Input!E2,"mmmm dd, yyyy")," (3)")</f>
        <v>Market Capitalization on December 30, 2022 (3)</v>
      </c>
    </row>
    <row r="9" spans="1:17">
      <c r="B9" s="199"/>
      <c r="C9" s="199"/>
      <c r="D9" s="199"/>
      <c r="E9" s="199"/>
      <c r="F9" s="201" t="s">
        <v>2939</v>
      </c>
      <c r="G9" s="199"/>
      <c r="H9" s="199"/>
      <c r="I9" s="199"/>
      <c r="J9" s="201" t="s">
        <v>2939</v>
      </c>
      <c r="K9" s="199"/>
      <c r="L9" s="199"/>
      <c r="M9" s="199"/>
      <c r="N9" s="199"/>
      <c r="O9" s="199"/>
      <c r="P9" s="201" t="s">
        <v>2939</v>
      </c>
    </row>
    <row r="11" spans="1:17" ht="15.6" thickBot="1">
      <c r="B11" s="202" t="str">
        <f>Input!G28</f>
        <v>Peoples Gas System</v>
      </c>
      <c r="F11" s="203" t="s">
        <v>1447</v>
      </c>
      <c r="G11" s="204"/>
      <c r="H11" s="203" t="s">
        <v>1447</v>
      </c>
      <c r="J11" s="747">
        <f>(Input!G43)/1000000*Input!F14</f>
        <v>1124.1171363494893</v>
      </c>
      <c r="K11" s="204" t="s">
        <v>98</v>
      </c>
      <c r="L11" s="203" t="s">
        <v>1447</v>
      </c>
    </row>
    <row r="12" spans="1:17" ht="15.6" thickTop="1"/>
    <row r="13" spans="1:17" ht="30.6" thickBot="1">
      <c r="B13" s="4" t="str">
        <f>CONCATENATE("Based upon ",B16)</f>
        <v>Based upon Proxy Group of Six Natural Gas Companies</v>
      </c>
      <c r="N13" s="250">
        <f ca="1">N24</f>
        <v>193.9</v>
      </c>
      <c r="O13" s="205" t="s">
        <v>110</v>
      </c>
      <c r="P13" s="206">
        <f ca="1">IFERROR(N13*J11/100,"NA")</f>
        <v>2179.6631273816597</v>
      </c>
      <c r="Q13" s="204" t="s">
        <v>111</v>
      </c>
    </row>
    <row r="14" spans="1:17" ht="15.6" thickTop="1">
      <c r="B14" s="12"/>
      <c r="N14" s="208"/>
      <c r="O14" s="205"/>
      <c r="P14" s="209"/>
      <c r="Q14" s="204"/>
    </row>
    <row r="15" spans="1:17">
      <c r="B15" s="207"/>
      <c r="N15" s="208"/>
      <c r="O15" s="205"/>
      <c r="P15" s="209"/>
      <c r="Q15" s="204"/>
    </row>
    <row r="16" spans="1:17">
      <c r="B16" s="546" t="str">
        <f>Input!I30</f>
        <v>Proxy Group of Six Natural Gas Companies</v>
      </c>
    </row>
    <row r="17" spans="1:20">
      <c r="A17" s="196" t="str">
        <f>Input!A2</f>
        <v>ATO</v>
      </c>
      <c r="B17" s="542" t="str">
        <f>'Proxy Data Lookup'!B3</f>
        <v>Atmos Energy Corporation</v>
      </c>
      <c r="D17" s="196" t="str">
        <f>Input!B2</f>
        <v>NYSE</v>
      </c>
      <c r="F17" s="369" cm="1">
        <f t="array" aca="1" ref="F17" ca="1">INDIRECT("'3. "&amp;$A17&amp;"'!C15")/1000000</f>
        <v>132.41975400000001</v>
      </c>
      <c r="H17" s="648">
        <f t="shared" ref="H17:H22" ca="1" si="0">IFERROR(ROUND(J17/F17,3),"NA")</f>
        <v>59.710999999999999</v>
      </c>
      <c r="I17" s="649"/>
      <c r="J17" s="503" cm="1">
        <f t="array" aca="1" ref="J17" ca="1">INDIRECT("'3. "&amp;$A17&amp;"'!C16")/1000000</f>
        <v>7906.8890000000001</v>
      </c>
      <c r="K17" s="650"/>
      <c r="L17" s="650">
        <f>HLOOKUP(A17,'Proxy Price Data'!$D$1:$I$3,3,FALSE)</f>
        <v>112.07</v>
      </c>
      <c r="N17" s="370">
        <f t="shared" ref="N17:N22" ca="1" si="1">IFERROR(ROUND(L17/H17*100,1),"NA")</f>
        <v>187.7</v>
      </c>
      <c r="O17" s="204" t="s">
        <v>18</v>
      </c>
      <c r="P17" s="302">
        <f t="shared" ref="P17:P22" ca="1" si="2">IFERROR(ROUND(F17*L17,3),"NA")</f>
        <v>14840.281999999999</v>
      </c>
    </row>
    <row r="18" spans="1:20">
      <c r="A18" s="196" t="str">
        <f>Input!A3</f>
        <v>NJR</v>
      </c>
      <c r="B18" s="542" t="str">
        <f>'Proxy Data Lookup'!B4</f>
        <v>New Jersey Resources Corporation</v>
      </c>
      <c r="D18" s="196" t="str">
        <f>Input!B3</f>
        <v>NYSE</v>
      </c>
      <c r="F18" s="369" cm="1">
        <f t="array" aca="1" ref="F18" ca="1">INDIRECT("'3. "&amp;$A18&amp;"'!C15")/1000000</f>
        <v>95.709661999999994</v>
      </c>
      <c r="H18" s="648">
        <f t="shared" ca="1" si="0"/>
        <v>17.04</v>
      </c>
      <c r="I18" s="649"/>
      <c r="J18" s="651" cm="1">
        <f t="array" aca="1" ref="J18" ca="1">INDIRECT("'3. "&amp;$A18&amp;"'!C16")/1000000</f>
        <v>1630.8620000000001</v>
      </c>
      <c r="K18" s="650"/>
      <c r="L18" s="650">
        <f>HLOOKUP(A18,'Proxy Price Data'!$D$1:$I$3,3,FALSE)</f>
        <v>49.62</v>
      </c>
      <c r="N18" s="370">
        <f t="shared" ca="1" si="1"/>
        <v>291.2</v>
      </c>
      <c r="O18" s="204"/>
      <c r="P18" s="6">
        <f t="shared" ca="1" si="2"/>
        <v>4749.1130000000003</v>
      </c>
    </row>
    <row r="19" spans="1:20">
      <c r="A19" s="196" t="str">
        <f>Input!A4</f>
        <v>NI</v>
      </c>
      <c r="B19" s="542" t="str">
        <f>'Proxy Data Lookup'!B5</f>
        <v>NiSource Inc.</v>
      </c>
      <c r="D19" s="196" t="str">
        <f>Input!B4</f>
        <v>NYSE</v>
      </c>
      <c r="F19" s="369" cm="1">
        <f t="array" aca="1" ref="F19" ca="1">INDIRECT("'3. "&amp;$A19&amp;"'!C15")/1000000</f>
        <v>405.303023</v>
      </c>
      <c r="H19" s="648">
        <f t="shared" ca="1" si="0"/>
        <v>13.324999999999999</v>
      </c>
      <c r="I19" s="649"/>
      <c r="J19" s="651" cm="1">
        <f t="array" aca="1" ref="J19" ca="1">INDIRECT("'3. "&amp;$A19&amp;"'!C16")/1000000</f>
        <v>5400.8</v>
      </c>
      <c r="K19" s="650"/>
      <c r="L19" s="650">
        <f>HLOOKUP(A19,'Proxy Price Data'!$D$1:$I$3,3,FALSE)</f>
        <v>27.42</v>
      </c>
      <c r="N19" s="370">
        <f t="shared" ca="1" si="1"/>
        <v>205.8</v>
      </c>
      <c r="O19" s="204"/>
      <c r="P19" s="6">
        <f t="shared" ca="1" si="2"/>
        <v>11113.409</v>
      </c>
    </row>
    <row r="20" spans="1:20">
      <c r="A20" s="196" t="str">
        <f>Input!A5</f>
        <v>NWN</v>
      </c>
      <c r="B20" s="542" t="str">
        <f>'Proxy Data Lookup'!B6</f>
        <v>Northwest Natural Holding Company</v>
      </c>
      <c r="D20" s="196" t="str">
        <f>Input!B5</f>
        <v>NYSE</v>
      </c>
      <c r="F20" s="369" cm="1">
        <f t="array" aca="1" ref="F20" ca="1">INDIRECT("'3. "&amp;$A20&amp;"'!C15")/1000000</f>
        <v>31.129000000000001</v>
      </c>
      <c r="H20" s="648">
        <f t="shared" ca="1" si="0"/>
        <v>30.041</v>
      </c>
      <c r="I20" s="649"/>
      <c r="J20" s="651" cm="1">
        <f t="array" aca="1" ref="J20" ca="1">INDIRECT("'3. "&amp;$A20&amp;"'!C16")/1000000</f>
        <v>935.14599999999996</v>
      </c>
      <c r="K20" s="650"/>
      <c r="L20" s="650">
        <f>HLOOKUP(A20,'Proxy Price Data'!$D$1:$I$3,3,FALSE)</f>
        <v>47.59</v>
      </c>
      <c r="N20" s="370">
        <f t="shared" ca="1" si="1"/>
        <v>158.4</v>
      </c>
      <c r="O20" s="204"/>
      <c r="P20" s="6">
        <f t="shared" ca="1" si="2"/>
        <v>1481.4290000000001</v>
      </c>
    </row>
    <row r="21" spans="1:20">
      <c r="A21" s="196" t="str">
        <f>Input!A6</f>
        <v>OGS</v>
      </c>
      <c r="B21" s="542" t="str">
        <f>'Proxy Data Lookup'!B7</f>
        <v>ONE Gas, Inc.</v>
      </c>
      <c r="D21" s="196" t="str">
        <f>Input!B6</f>
        <v>NYSE</v>
      </c>
      <c r="F21" s="369" cm="1">
        <f t="array" aca="1" ref="F21" ca="1">INDIRECT("'3. "&amp;$A21&amp;"'!C15")/1000000</f>
        <v>53.633209999999998</v>
      </c>
      <c r="H21" s="648">
        <f t="shared" ca="1" si="0"/>
        <v>43.807000000000002</v>
      </c>
      <c r="I21" s="649"/>
      <c r="J21" s="651" cm="1">
        <f t="array" aca="1" ref="J21" ca="1">INDIRECT("'3. "&amp;$A21&amp;"'!C16")/1000000</f>
        <v>2349.5320000000002</v>
      </c>
      <c r="K21" s="650"/>
      <c r="L21" s="650">
        <f>HLOOKUP(A21,'Proxy Price Data'!$D$1:$I$3,3,FALSE)</f>
        <v>75.72</v>
      </c>
      <c r="N21" s="370">
        <f t="shared" ca="1" si="1"/>
        <v>172.8</v>
      </c>
      <c r="O21" s="204"/>
      <c r="P21" s="6">
        <f t="shared" ca="1" si="2"/>
        <v>4061.107</v>
      </c>
    </row>
    <row r="22" spans="1:20">
      <c r="A22" s="196" t="str">
        <f>Input!A7</f>
        <v>SR</v>
      </c>
      <c r="B22" s="542" t="str">
        <f>'Proxy Data Lookup'!B8</f>
        <v>Spire Inc.</v>
      </c>
      <c r="D22" s="196" t="str">
        <f>Input!B7</f>
        <v>NYSE</v>
      </c>
      <c r="F22" s="504" cm="1">
        <f t="array" aca="1" ref="F22" ca="1">INDIRECT("'3. "&amp;$A22&amp;"'!C15")/1000000</f>
        <v>51.684882999999999</v>
      </c>
      <c r="H22" s="652">
        <f t="shared" ca="1" si="0"/>
        <v>46.749000000000002</v>
      </c>
      <c r="I22" s="649"/>
      <c r="J22" s="653" cm="1">
        <f t="array" aca="1" ref="J22" ca="1">INDIRECT("'3. "&amp;$A22&amp;"'!C16")/1000000</f>
        <v>2416.1999999999998</v>
      </c>
      <c r="K22" s="650"/>
      <c r="L22" s="654">
        <f>HLOOKUP(A22,'Proxy Price Data'!$D$1:$I$3,3,FALSE)</f>
        <v>68.86</v>
      </c>
      <c r="N22" s="509">
        <f t="shared" ca="1" si="1"/>
        <v>147.30000000000001</v>
      </c>
      <c r="O22" s="204"/>
      <c r="P22" s="476">
        <f t="shared" ca="1" si="2"/>
        <v>3559.0210000000002</v>
      </c>
    </row>
    <row r="24" spans="1:20" ht="15.6" thickBot="1">
      <c r="B24" s="196" t="s">
        <v>80</v>
      </c>
      <c r="F24" s="371">
        <f ca="1">ROUND(AVERAGE(F16:F23),3)</f>
        <v>128.31299999999999</v>
      </c>
      <c r="H24" s="372">
        <f ca="1">ROUND(AVERAGE(H16:H23),3)</f>
        <v>35.112000000000002</v>
      </c>
      <c r="J24" s="372">
        <f ca="1">ROUND(AVERAGE(J16:J23),3)</f>
        <v>3439.9050000000002</v>
      </c>
      <c r="L24" s="372">
        <f>ROUND(AVERAGE(L16:L23),3)</f>
        <v>63.546999999999997</v>
      </c>
      <c r="N24" s="373">
        <f ca="1">ROUND(AVERAGE(N16:N23),1)</f>
        <v>193.9</v>
      </c>
      <c r="O24" s="204" t="s">
        <v>18</v>
      </c>
      <c r="P24" s="372">
        <f ca="1">ROUND(AVERAGE(P16:P23),3)</f>
        <v>6634.06</v>
      </c>
      <c r="T24" s="302"/>
    </row>
    <row r="25" spans="1:20" ht="15.6" thickTop="1">
      <c r="F25" s="369"/>
      <c r="H25" s="302"/>
      <c r="J25" s="302"/>
      <c r="L25" s="302"/>
      <c r="N25" s="370"/>
      <c r="O25" s="204"/>
      <c r="P25" s="302"/>
    </row>
    <row r="26" spans="1:20">
      <c r="F26" s="369"/>
      <c r="H26" s="302"/>
      <c r="J26" s="302"/>
      <c r="L26" s="302"/>
      <c r="N26" s="370"/>
      <c r="O26" s="204"/>
      <c r="P26" s="302"/>
    </row>
    <row r="27" spans="1:20">
      <c r="F27" s="369"/>
      <c r="H27" s="302"/>
      <c r="J27" s="302"/>
      <c r="L27" s="302"/>
      <c r="N27" s="370"/>
      <c r="O27" s="204"/>
      <c r="P27" s="302"/>
    </row>
    <row r="28" spans="1:20">
      <c r="C28" s="196" t="s">
        <v>194</v>
      </c>
      <c r="N28" s="303"/>
    </row>
    <row r="29" spans="1:20">
      <c r="N29" s="303"/>
    </row>
    <row r="30" spans="1:20">
      <c r="D30" s="210" t="s">
        <v>94</v>
      </c>
      <c r="E30" s="204" t="s">
        <v>95</v>
      </c>
      <c r="F30" s="196" t="s">
        <v>2950</v>
      </c>
      <c r="N30" s="303"/>
    </row>
    <row r="31" spans="1:20">
      <c r="E31" s="204" t="s">
        <v>96</v>
      </c>
      <c r="F31" s="196" t="s">
        <v>2951</v>
      </c>
    </row>
    <row r="32" spans="1:20">
      <c r="E32" s="204" t="s">
        <v>97</v>
      </c>
      <c r="F32" s="196" t="s">
        <v>2952</v>
      </c>
    </row>
    <row r="33" spans="2:16" ht="14.25" customHeight="1">
      <c r="E33" s="204" t="s">
        <v>98</v>
      </c>
      <c r="F33" s="196" t="s">
        <v>3937</v>
      </c>
    </row>
    <row r="34" spans="2:16" ht="32.25" customHeight="1">
      <c r="E34" s="211" t="s">
        <v>110</v>
      </c>
      <c r="F34" s="1058" t="str">
        <f>CONCATENATE("The market-to-book ratio of ",Input!G28," on ",TEXT(Input!E2,"mmmm dd, yyyy")," is assumed to be equal to the market-to-book ratio of ",'9.2 Market Cap'!B3," on ",TEXT(Input!E2,"mmmm dd, yyyy")," as appropriate.")</f>
        <v>The market-to-book ratio of Peoples Gas System on December 30, 2022 is assumed to be equal to the market-to-book ratio of  on December 30, 2022 as appropriate.</v>
      </c>
      <c r="G34" s="1058"/>
      <c r="H34" s="1058"/>
      <c r="I34" s="1058"/>
      <c r="J34" s="1058"/>
      <c r="K34" s="1058"/>
      <c r="L34" s="1058"/>
      <c r="M34" s="1058"/>
      <c r="N34" s="1058"/>
      <c r="O34" s="1058"/>
      <c r="P34" s="1058"/>
    </row>
    <row r="35" spans="2:16">
      <c r="E35" s="211" t="s">
        <v>111</v>
      </c>
      <c r="F35" s="1058" t="s">
        <v>2953</v>
      </c>
      <c r="G35" s="1058"/>
      <c r="H35" s="1058"/>
      <c r="I35" s="1058"/>
      <c r="J35" s="1058"/>
      <c r="K35" s="1058"/>
      <c r="L35" s="1058"/>
      <c r="M35" s="1058"/>
      <c r="N35" s="1058"/>
      <c r="O35" s="1058"/>
      <c r="P35" s="1058"/>
    </row>
    <row r="36" spans="2:16">
      <c r="E36" s="204"/>
      <c r="F36" s="212"/>
      <c r="G36" s="212"/>
      <c r="H36" s="212"/>
      <c r="I36" s="212"/>
      <c r="J36" s="212"/>
      <c r="K36" s="212"/>
      <c r="L36" s="212"/>
      <c r="M36" s="212"/>
      <c r="N36" s="212"/>
      <c r="O36" s="212"/>
      <c r="P36" s="212"/>
    </row>
    <row r="38" spans="2:16">
      <c r="B38" s="210" t="s">
        <v>146</v>
      </c>
      <c r="C38" s="196" t="str">
        <f>CONCATENATE(YEAR(Input!G49)," Annual Forms 10K.")</f>
        <v>2021 Annual Forms 10K.</v>
      </c>
    </row>
    <row r="39" spans="2:16">
      <c r="C39" s="196" t="s">
        <v>4234</v>
      </c>
    </row>
    <row r="40" spans="2:16">
      <c r="C40" s="196" t="s">
        <v>4222</v>
      </c>
    </row>
  </sheetData>
  <mergeCells count="2">
    <mergeCell ref="F34:P34"/>
    <mergeCell ref="F35:P35"/>
  </mergeCells>
  <printOptions horizontalCentered="1"/>
  <pageMargins left="0.45" right="0.45" top="0.75" bottom="0.75" header="0.3" footer="0.3"/>
  <pageSetup scale="56" orientation="landscape" horizontalDpi="4294967294"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27"/>
  <sheetViews>
    <sheetView view="pageBreakPreview" zoomScale="66" zoomScaleNormal="58" zoomScaleSheetLayoutView="66" workbookViewId="0"/>
  </sheetViews>
  <sheetFormatPr defaultColWidth="9" defaultRowHeight="15"/>
  <cols>
    <col min="1" max="1" width="9" style="687"/>
    <col min="2" max="2" width="22.44140625" style="687" bestFit="1" customWidth="1"/>
    <col min="3" max="3" width="14.33203125" style="688" bestFit="1" customWidth="1"/>
    <col min="4" max="4" width="16" style="687" customWidth="1"/>
    <col min="5" max="5" width="17" style="687" customWidth="1"/>
    <col min="6" max="6" width="17.88671875" style="687" customWidth="1"/>
    <col min="7" max="7" width="15" style="687" customWidth="1"/>
    <col min="8" max="8" width="15.5546875" style="687" customWidth="1"/>
    <col min="9" max="9" width="16.44140625" style="687" customWidth="1"/>
    <col min="10" max="10" width="2.6640625" style="687" customWidth="1"/>
    <col min="11" max="11" width="14.5546875" style="687" customWidth="1"/>
    <col min="12" max="12" width="49.44140625" style="687" bestFit="1" customWidth="1"/>
    <col min="13" max="13" width="2.6640625" style="687" customWidth="1"/>
    <col min="14" max="14" width="23.6640625" style="690" customWidth="1"/>
    <col min="15" max="15" width="11.6640625" style="690" customWidth="1"/>
    <col min="16" max="16384" width="9" style="687"/>
  </cols>
  <sheetData>
    <row r="2" spans="1:25">
      <c r="C2" s="688" t="s">
        <v>4492</v>
      </c>
      <c r="D2" s="689">
        <v>44895</v>
      </c>
      <c r="E2" s="689">
        <f>D2</f>
        <v>44895</v>
      </c>
      <c r="F2" s="689">
        <f t="shared" ref="F2:I2" si="0">E2</f>
        <v>44895</v>
      </c>
      <c r="G2" s="689">
        <f t="shared" si="0"/>
        <v>44895</v>
      </c>
      <c r="H2" s="689">
        <f t="shared" si="0"/>
        <v>44895</v>
      </c>
      <c r="I2" s="689">
        <f t="shared" si="0"/>
        <v>44895</v>
      </c>
      <c r="R2" s="1059" t="str">
        <f>Input!G28</f>
        <v>Peoples Gas System</v>
      </c>
      <c r="S2" s="1059"/>
      <c r="T2" s="1059"/>
      <c r="U2" s="1059"/>
      <c r="V2" s="1059"/>
      <c r="W2" s="1059"/>
      <c r="X2" s="1059"/>
      <c r="Y2" s="1059"/>
    </row>
    <row r="3" spans="1:25">
      <c r="A3" s="687">
        <v>1</v>
      </c>
      <c r="D3" s="690" t="s">
        <v>2333</v>
      </c>
      <c r="E3" s="690" t="s">
        <v>3051</v>
      </c>
      <c r="F3" s="690" t="s">
        <v>214</v>
      </c>
      <c r="G3" s="690" t="s">
        <v>3052</v>
      </c>
      <c r="H3" s="690" t="s">
        <v>3053</v>
      </c>
      <c r="I3" s="690" t="s">
        <v>3055</v>
      </c>
      <c r="K3" s="690" t="s">
        <v>4495</v>
      </c>
      <c r="N3" s="690" t="s">
        <v>181</v>
      </c>
      <c r="O3" s="690" t="s">
        <v>4498</v>
      </c>
      <c r="R3" s="1059" t="s">
        <v>4501</v>
      </c>
      <c r="S3" s="1059"/>
      <c r="T3" s="1059"/>
      <c r="U3" s="1059"/>
      <c r="V3" s="1059"/>
      <c r="W3" s="1059"/>
      <c r="X3" s="1059"/>
      <c r="Y3" s="1059"/>
    </row>
    <row r="4" spans="1:25">
      <c r="A4" s="687">
        <v>2</v>
      </c>
      <c r="B4" s="687" t="s">
        <v>4489</v>
      </c>
      <c r="C4" s="688">
        <v>2022</v>
      </c>
      <c r="D4" s="691">
        <v>17.2</v>
      </c>
      <c r="E4" s="731">
        <v>6.05</v>
      </c>
      <c r="F4" s="731">
        <v>6.15</v>
      </c>
      <c r="G4" s="731">
        <v>9.5</v>
      </c>
      <c r="H4" s="731">
        <v>9.5500000000000007</v>
      </c>
      <c r="I4" s="731">
        <v>10.5</v>
      </c>
      <c r="K4" s="692">
        <v>399.11675865999996</v>
      </c>
      <c r="L4" s="687" t="s">
        <v>4496</v>
      </c>
      <c r="N4" s="690" t="s">
        <v>3053</v>
      </c>
      <c r="O4" s="693">
        <f t="shared" ref="O4:O10" si="1">HLOOKUP(N4,D$3:K$26,A$23,FALSE)</f>
        <v>0.3064526555529869</v>
      </c>
    </row>
    <row r="5" spans="1:25">
      <c r="A5" s="687">
        <v>3</v>
      </c>
      <c r="C5" s="688">
        <v>2023</v>
      </c>
      <c r="D5" s="691">
        <v>18.5</v>
      </c>
      <c r="E5" s="731">
        <v>5.15</v>
      </c>
      <c r="F5" s="731">
        <v>7.35</v>
      </c>
      <c r="G5" s="731">
        <v>7.75</v>
      </c>
      <c r="H5" s="731">
        <v>9.75</v>
      </c>
      <c r="I5" s="731">
        <v>13.35</v>
      </c>
      <c r="K5" s="692">
        <v>362.40470378000009</v>
      </c>
      <c r="L5" s="687" t="s">
        <v>4496</v>
      </c>
      <c r="N5" s="690" t="s">
        <v>3052</v>
      </c>
      <c r="O5" s="693">
        <f t="shared" si="1"/>
        <v>0.31633330237669588</v>
      </c>
    </row>
    <row r="6" spans="1:25">
      <c r="A6" s="687">
        <v>4</v>
      </c>
      <c r="C6" s="688">
        <v>2024</v>
      </c>
      <c r="D6" s="694">
        <f>D5+((D$8-D$5)/3)</f>
        <v>18.333333333333332</v>
      </c>
      <c r="E6" s="732">
        <f t="shared" ref="E6:I7" si="2">E5+((E$8-E$5)/3)</f>
        <v>6.2666666666666666</v>
      </c>
      <c r="F6" s="732">
        <f t="shared" si="2"/>
        <v>7.3166666666666664</v>
      </c>
      <c r="G6" s="732">
        <f t="shared" si="2"/>
        <v>8.3333333333333339</v>
      </c>
      <c r="H6" s="732">
        <f t="shared" si="2"/>
        <v>9.8666666666666671</v>
      </c>
      <c r="I6" s="732">
        <f t="shared" si="2"/>
        <v>12.9</v>
      </c>
      <c r="K6" s="692">
        <v>310.62985200000003</v>
      </c>
      <c r="L6" s="687" t="s">
        <v>4496</v>
      </c>
      <c r="N6" s="690" t="s">
        <v>3055</v>
      </c>
      <c r="O6" s="693">
        <f t="shared" si="1"/>
        <v>0.38047550289771942</v>
      </c>
    </row>
    <row r="7" spans="1:25">
      <c r="A7" s="687">
        <v>5</v>
      </c>
      <c r="C7" s="688">
        <v>2025</v>
      </c>
      <c r="D7" s="694">
        <f>D6+((D$8-D$5)/3)</f>
        <v>18.166666666666664</v>
      </c>
      <c r="E7" s="732">
        <f t="shared" si="2"/>
        <v>7.3833333333333329</v>
      </c>
      <c r="F7" s="732">
        <f t="shared" si="2"/>
        <v>7.2833333333333332</v>
      </c>
      <c r="G7" s="732">
        <f t="shared" si="2"/>
        <v>8.9166666666666679</v>
      </c>
      <c r="H7" s="732">
        <f t="shared" si="2"/>
        <v>9.9833333333333343</v>
      </c>
      <c r="I7" s="732">
        <f t="shared" si="2"/>
        <v>12.450000000000001</v>
      </c>
      <c r="K7" s="692">
        <v>312.65410600000001</v>
      </c>
      <c r="L7" s="687" t="s">
        <v>4496</v>
      </c>
      <c r="N7" s="690" t="s">
        <v>3051</v>
      </c>
      <c r="O7" s="693">
        <f t="shared" si="1"/>
        <v>0.41062009677887212</v>
      </c>
    </row>
    <row r="8" spans="1:25">
      <c r="A8" s="687">
        <v>6</v>
      </c>
      <c r="C8" s="688" t="s">
        <v>4493</v>
      </c>
      <c r="D8" s="691">
        <v>18</v>
      </c>
      <c r="E8" s="731">
        <v>8.5</v>
      </c>
      <c r="F8" s="731">
        <v>7.25</v>
      </c>
      <c r="G8" s="731">
        <v>9.5</v>
      </c>
      <c r="H8" s="731">
        <v>10.1</v>
      </c>
      <c r="I8" s="731">
        <v>12</v>
      </c>
      <c r="K8" s="692">
        <v>274.730436</v>
      </c>
      <c r="L8" s="687" t="s">
        <v>4496</v>
      </c>
      <c r="N8" s="690" t="s">
        <v>214</v>
      </c>
      <c r="O8" s="693">
        <f t="shared" si="1"/>
        <v>0.47425657706694507</v>
      </c>
    </row>
    <row r="9" spans="1:25">
      <c r="A9" s="687">
        <v>7</v>
      </c>
      <c r="C9" s="688">
        <v>2027</v>
      </c>
      <c r="D9" s="694">
        <f>D8+(D$8-D$7)</f>
        <v>17.833333333333336</v>
      </c>
      <c r="E9" s="694">
        <f t="shared" ref="E9:I9" si="3">E8+(E$8-E$7)</f>
        <v>9.6166666666666671</v>
      </c>
      <c r="F9" s="732">
        <f t="shared" si="3"/>
        <v>7.2166666666666668</v>
      </c>
      <c r="G9" s="732">
        <f t="shared" si="3"/>
        <v>10.083333333333332</v>
      </c>
      <c r="H9" s="694">
        <f t="shared" si="3"/>
        <v>10.216666666666665</v>
      </c>
      <c r="I9" s="694">
        <f t="shared" si="3"/>
        <v>11.549999999999999</v>
      </c>
      <c r="N9" s="690" t="s">
        <v>2333</v>
      </c>
      <c r="O9" s="693">
        <f t="shared" si="1"/>
        <v>0.51892001534194843</v>
      </c>
    </row>
    <row r="10" spans="1:25">
      <c r="A10" s="687">
        <v>8</v>
      </c>
      <c r="D10" s="695"/>
      <c r="E10" s="695"/>
      <c r="F10" s="695"/>
      <c r="G10" s="695"/>
      <c r="H10" s="695"/>
      <c r="I10" s="695"/>
      <c r="K10" s="695"/>
      <c r="N10" s="690" t="s">
        <v>4495</v>
      </c>
      <c r="O10" s="693">
        <f t="shared" si="1"/>
        <v>0.60283217492135466</v>
      </c>
    </row>
    <row r="11" spans="1:25">
      <c r="A11" s="687">
        <v>9</v>
      </c>
      <c r="B11" s="687" t="s">
        <v>4512</v>
      </c>
      <c r="C11" s="688">
        <v>2022</v>
      </c>
      <c r="D11" s="696">
        <v>142</v>
      </c>
      <c r="E11" s="729">
        <v>98</v>
      </c>
      <c r="F11" s="729">
        <v>406</v>
      </c>
      <c r="G11" s="729">
        <v>35</v>
      </c>
      <c r="H11" s="729">
        <v>54.5</v>
      </c>
      <c r="I11" s="729">
        <v>52.5</v>
      </c>
      <c r="K11" s="695"/>
      <c r="O11" s="693"/>
    </row>
    <row r="12" spans="1:25">
      <c r="A12" s="687">
        <v>10</v>
      </c>
      <c r="C12" s="688">
        <v>2023</v>
      </c>
      <c r="D12" s="696">
        <v>146</v>
      </c>
      <c r="E12" s="729">
        <v>99</v>
      </c>
      <c r="F12" s="729">
        <v>408</v>
      </c>
      <c r="G12" s="729">
        <v>35.5</v>
      </c>
      <c r="H12" s="729">
        <v>54.5</v>
      </c>
      <c r="I12" s="729">
        <v>52.5</v>
      </c>
      <c r="K12" s="695"/>
      <c r="N12" s="690" t="s">
        <v>4499</v>
      </c>
      <c r="O12" s="693">
        <f>MEDIAN(O4:O9)</f>
        <v>0.3955477998382958</v>
      </c>
    </row>
    <row r="13" spans="1:25">
      <c r="A13" s="687">
        <v>11</v>
      </c>
      <c r="C13" s="688">
        <v>2024</v>
      </c>
      <c r="D13" s="697">
        <f>D12+((D$8-D$5)/3)</f>
        <v>145.83333333333334</v>
      </c>
      <c r="E13" s="730">
        <f t="shared" ref="E13:I14" si="4">E12+((E$8-E$5)/3)</f>
        <v>100.11666666666666</v>
      </c>
      <c r="F13" s="730">
        <f t="shared" si="4"/>
        <v>407.96666666666664</v>
      </c>
      <c r="G13" s="730">
        <f t="shared" si="4"/>
        <v>36.083333333333336</v>
      </c>
      <c r="H13" s="730">
        <f t="shared" si="4"/>
        <v>54.616666666666667</v>
      </c>
      <c r="I13" s="730">
        <f t="shared" si="4"/>
        <v>52.05</v>
      </c>
      <c r="K13" s="695"/>
      <c r="O13" s="693"/>
    </row>
    <row r="14" spans="1:25">
      <c r="A14" s="687">
        <v>12</v>
      </c>
      <c r="C14" s="688">
        <v>2025</v>
      </c>
      <c r="D14" s="697">
        <f>D13+((D$8-D$5)/3)</f>
        <v>145.66666666666669</v>
      </c>
      <c r="E14" s="730">
        <f t="shared" si="4"/>
        <v>101.23333333333332</v>
      </c>
      <c r="F14" s="730">
        <f t="shared" si="4"/>
        <v>407.93333333333328</v>
      </c>
      <c r="G14" s="730">
        <f t="shared" si="4"/>
        <v>36.666666666666671</v>
      </c>
      <c r="H14" s="730">
        <f t="shared" si="4"/>
        <v>54.733333333333334</v>
      </c>
      <c r="I14" s="730">
        <f t="shared" si="4"/>
        <v>51.599999999999994</v>
      </c>
      <c r="K14" s="695"/>
      <c r="N14" s="690" t="s">
        <v>4500</v>
      </c>
      <c r="O14" s="693">
        <f>O10-O12</f>
        <v>0.20728437508305886</v>
      </c>
    </row>
    <row r="15" spans="1:25">
      <c r="A15" s="687">
        <v>13</v>
      </c>
      <c r="C15" s="688" t="s">
        <v>4493</v>
      </c>
      <c r="D15" s="696">
        <v>155</v>
      </c>
      <c r="E15" s="729">
        <v>100</v>
      </c>
      <c r="F15" s="729">
        <v>415</v>
      </c>
      <c r="G15" s="729">
        <v>38</v>
      </c>
      <c r="H15" s="729">
        <v>57</v>
      </c>
      <c r="I15" s="729">
        <v>55</v>
      </c>
      <c r="K15" s="695"/>
      <c r="O15" s="693"/>
    </row>
    <row r="16" spans="1:25">
      <c r="A16" s="687">
        <v>14</v>
      </c>
      <c r="C16" s="688">
        <v>2027</v>
      </c>
      <c r="D16" s="697">
        <f>D15+(D$8-D$7)</f>
        <v>154.83333333333334</v>
      </c>
      <c r="E16" s="697">
        <f t="shared" ref="E16:I16" si="5">E15+(E$8-E$7)</f>
        <v>101.11666666666667</v>
      </c>
      <c r="F16" s="697">
        <f t="shared" si="5"/>
        <v>414.96666666666664</v>
      </c>
      <c r="G16" s="697">
        <f t="shared" si="5"/>
        <v>38.583333333333329</v>
      </c>
      <c r="H16" s="697">
        <f t="shared" si="5"/>
        <v>57.116666666666667</v>
      </c>
      <c r="I16" s="697">
        <f t="shared" si="5"/>
        <v>54.55</v>
      </c>
      <c r="K16" s="695"/>
      <c r="O16" s="693">
        <f>O14/O12</f>
        <v>0.52404380751908852</v>
      </c>
    </row>
    <row r="17" spans="1:20">
      <c r="A17" s="687">
        <v>15</v>
      </c>
      <c r="D17" s="695"/>
      <c r="E17" s="695"/>
      <c r="F17" s="695"/>
      <c r="G17" s="695"/>
      <c r="H17" s="695"/>
      <c r="I17" s="695"/>
      <c r="K17" s="695"/>
    </row>
    <row r="18" spans="1:20">
      <c r="A18" s="687">
        <v>16</v>
      </c>
      <c r="D18" s="695"/>
      <c r="E18" s="695"/>
      <c r="F18" s="695"/>
      <c r="G18" s="695"/>
      <c r="H18" s="695"/>
      <c r="I18" s="695"/>
      <c r="K18" s="695"/>
    </row>
    <row r="19" spans="1:20">
      <c r="A19" s="687">
        <v>17</v>
      </c>
      <c r="B19" s="687" t="s">
        <v>4490</v>
      </c>
      <c r="C19" s="688">
        <v>2021</v>
      </c>
      <c r="D19" s="692">
        <v>15064</v>
      </c>
      <c r="E19" s="692">
        <v>4213.5</v>
      </c>
      <c r="F19" s="692">
        <v>17882</v>
      </c>
      <c r="G19" s="692">
        <v>2871.4</v>
      </c>
      <c r="H19" s="692">
        <v>5190.8</v>
      </c>
      <c r="I19" s="692">
        <v>5055.7</v>
      </c>
      <c r="K19" s="692">
        <f>1778523707/1000000</f>
        <v>1778.5237070000001</v>
      </c>
      <c r="L19" s="687" t="s">
        <v>4497</v>
      </c>
    </row>
    <row r="20" spans="1:20">
      <c r="A20" s="687">
        <v>18</v>
      </c>
      <c r="D20" s="695"/>
      <c r="E20" s="695"/>
      <c r="F20" s="695"/>
      <c r="G20" s="695"/>
      <c r="H20" s="695"/>
      <c r="I20" s="695"/>
      <c r="K20" s="695"/>
    </row>
    <row r="21" spans="1:20">
      <c r="A21" s="687">
        <v>19</v>
      </c>
      <c r="D21" s="695"/>
      <c r="E21" s="695"/>
      <c r="F21" s="695"/>
      <c r="G21" s="695"/>
      <c r="H21" s="695"/>
      <c r="I21" s="695"/>
      <c r="K21" s="695"/>
    </row>
    <row r="22" spans="1:20">
      <c r="A22" s="687">
        <v>20</v>
      </c>
      <c r="B22" s="687" t="s">
        <v>4613</v>
      </c>
      <c r="D22" s="695">
        <f t="shared" ref="D22:I22" si="6">(D4*D11)+(D5*D12)+(D6*D13)</f>
        <v>7817.0111111111109</v>
      </c>
      <c r="E22" s="695">
        <f t="shared" si="6"/>
        <v>1730.1477777777777</v>
      </c>
      <c r="F22" s="695">
        <f t="shared" si="6"/>
        <v>8480.6561111111114</v>
      </c>
      <c r="G22" s="695">
        <f t="shared" si="6"/>
        <v>908.31944444444457</v>
      </c>
      <c r="H22" s="695">
        <f t="shared" si="6"/>
        <v>1590.7344444444443</v>
      </c>
      <c r="I22" s="695">
        <f t="shared" si="6"/>
        <v>1923.57</v>
      </c>
      <c r="K22" s="695">
        <f>SUM(K4:K6)</f>
        <v>1072.1513144400001</v>
      </c>
    </row>
    <row r="23" spans="1:20">
      <c r="A23" s="687">
        <v>21</v>
      </c>
      <c r="B23" s="687" t="s">
        <v>4494</v>
      </c>
      <c r="D23" s="693">
        <f t="shared" ref="D23:I23" si="7">D22/D19</f>
        <v>0.51892001534194843</v>
      </c>
      <c r="E23" s="693">
        <f t="shared" si="7"/>
        <v>0.41062009677887212</v>
      </c>
      <c r="F23" s="693">
        <f t="shared" si="7"/>
        <v>0.47425657706694507</v>
      </c>
      <c r="G23" s="693">
        <f t="shared" si="7"/>
        <v>0.31633330237669588</v>
      </c>
      <c r="H23" s="693">
        <f t="shared" si="7"/>
        <v>0.3064526555529869</v>
      </c>
      <c r="I23" s="693">
        <f t="shared" si="7"/>
        <v>0.38047550289771942</v>
      </c>
      <c r="K23" s="693">
        <f>K22/K19</f>
        <v>0.60283217492135466</v>
      </c>
    </row>
    <row r="24" spans="1:20">
      <c r="S24" s="698" t="s">
        <v>151</v>
      </c>
      <c r="T24" s="698"/>
    </row>
    <row r="25" spans="1:20">
      <c r="S25" s="698"/>
      <c r="T25" s="698" t="s">
        <v>1325</v>
      </c>
    </row>
    <row r="26" spans="1:20">
      <c r="B26" s="687" t="s">
        <v>4491</v>
      </c>
      <c r="D26" s="690" t="str">
        <f>D3</f>
        <v>ATO</v>
      </c>
      <c r="E26" s="690" t="str">
        <f t="shared" ref="E26:I26" si="8">E3</f>
        <v>NJR</v>
      </c>
      <c r="F26" s="690" t="str">
        <f t="shared" si="8"/>
        <v>NI</v>
      </c>
      <c r="G26" s="690" t="str">
        <f t="shared" si="8"/>
        <v>NWN</v>
      </c>
      <c r="H26" s="690" t="str">
        <f t="shared" si="8"/>
        <v>OGS</v>
      </c>
      <c r="I26" s="690" t="str">
        <f t="shared" si="8"/>
        <v>SR</v>
      </c>
      <c r="K26" s="690"/>
      <c r="S26" s="698"/>
      <c r="T26" s="698" t="s">
        <v>4502</v>
      </c>
    </row>
    <row r="27" spans="1:20">
      <c r="T27" s="698" t="s">
        <v>4496</v>
      </c>
    </row>
  </sheetData>
  <autoFilter ref="N3:O10">
    <sortState ref="N4:O10">
      <sortCondition ref="O3:O10"/>
    </sortState>
  </autoFilter>
  <mergeCells count="2">
    <mergeCell ref="R2:Y2"/>
    <mergeCell ref="R3:Y3"/>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63"/>
  <sheetViews>
    <sheetView zoomScale="85" zoomScaleNormal="85" workbookViewId="0">
      <selection activeCell="F13" sqref="F13"/>
    </sheetView>
  </sheetViews>
  <sheetFormatPr defaultColWidth="8.88671875" defaultRowHeight="13.8"/>
  <cols>
    <col min="1" max="1" width="12" style="146" bestFit="1" customWidth="1"/>
    <col min="2" max="2" width="16" style="146" bestFit="1" customWidth="1"/>
    <col min="3" max="3" width="10.33203125" style="146" bestFit="1" customWidth="1"/>
    <col min="4" max="4" width="2" style="146" customWidth="1"/>
    <col min="5" max="5" width="38.33203125" style="146" bestFit="1" customWidth="1"/>
    <col min="6" max="6" width="10.44140625" style="146" bestFit="1" customWidth="1"/>
    <col min="7" max="7" width="39" style="146" customWidth="1"/>
    <col min="8" max="8" width="8.88671875" style="146"/>
    <col min="9" max="9" width="40.33203125" style="146" bestFit="1" customWidth="1"/>
    <col min="10" max="10" width="34.33203125" style="146" bestFit="1" customWidth="1"/>
    <col min="11" max="16384" width="8.88671875" style="146"/>
  </cols>
  <sheetData>
    <row r="1" spans="1:21" ht="45.75" customHeight="1" thickBot="1">
      <c r="A1" s="145" t="s">
        <v>1393</v>
      </c>
      <c r="B1" s="145" t="s">
        <v>1419</v>
      </c>
      <c r="C1" s="145" t="s">
        <v>1394</v>
      </c>
      <c r="E1" s="147" t="s">
        <v>1395</v>
      </c>
      <c r="G1" s="147"/>
    </row>
    <row r="2" spans="1:21" ht="15" thickBot="1">
      <c r="A2" s="346" t="s">
        <v>2333</v>
      </c>
      <c r="B2" s="348" t="s">
        <v>1446</v>
      </c>
      <c r="C2" s="350" t="s">
        <v>192</v>
      </c>
      <c r="D2"/>
      <c r="E2" s="351">
        <v>44925</v>
      </c>
      <c r="G2" s="150"/>
      <c r="I2" s="258"/>
      <c r="J2"/>
      <c r="K2"/>
    </row>
    <row r="3" spans="1:21" ht="14.4">
      <c r="A3" s="346" t="s">
        <v>3051</v>
      </c>
      <c r="B3" s="348" t="s">
        <v>1446</v>
      </c>
      <c r="C3" s="346" t="s">
        <v>1495</v>
      </c>
      <c r="D3"/>
      <c r="I3" s="258"/>
      <c r="J3"/>
      <c r="K3"/>
    </row>
    <row r="4" spans="1:21" ht="15" thickBot="1">
      <c r="A4" s="346" t="s">
        <v>214</v>
      </c>
      <c r="B4" s="348" t="s">
        <v>1446</v>
      </c>
      <c r="C4" s="346" t="s">
        <v>1501</v>
      </c>
      <c r="D4"/>
      <c r="E4" s="147" t="s">
        <v>1396</v>
      </c>
      <c r="I4" s="258"/>
      <c r="J4"/>
      <c r="K4"/>
    </row>
    <row r="5" spans="1:21" ht="15" thickBot="1">
      <c r="A5" s="346" t="s">
        <v>3052</v>
      </c>
      <c r="B5" s="348" t="s">
        <v>1446</v>
      </c>
      <c r="C5" s="346" t="s">
        <v>1516</v>
      </c>
      <c r="D5"/>
      <c r="E5" s="151"/>
      <c r="I5" s="258"/>
      <c r="J5"/>
      <c r="K5"/>
    </row>
    <row r="6" spans="1:21" ht="14.4">
      <c r="A6" s="346" t="s">
        <v>3053</v>
      </c>
      <c r="B6" s="348" t="s">
        <v>1446</v>
      </c>
      <c r="C6" s="346" t="s">
        <v>2275</v>
      </c>
      <c r="D6"/>
      <c r="I6" s="258"/>
      <c r="J6"/>
      <c r="K6"/>
    </row>
    <row r="7" spans="1:21" ht="15" thickBot="1">
      <c r="A7" s="346" t="s">
        <v>3055</v>
      </c>
      <c r="B7" s="348" t="s">
        <v>1446</v>
      </c>
      <c r="C7" s="346" t="s">
        <v>1545</v>
      </c>
      <c r="D7"/>
      <c r="E7" s="147" t="s">
        <v>138</v>
      </c>
      <c r="I7" s="258"/>
      <c r="J7"/>
      <c r="K7"/>
    </row>
    <row r="8" spans="1:21" ht="15" thickBot="1">
      <c r="A8" s="346"/>
      <c r="B8" s="347"/>
      <c r="C8" s="376" t="s">
        <v>4154</v>
      </c>
      <c r="D8"/>
      <c r="E8" s="153"/>
      <c r="I8" s="258"/>
      <c r="J8"/>
      <c r="K8"/>
    </row>
    <row r="9" spans="1:21" ht="14.4">
      <c r="A9" s="346"/>
      <c r="B9" s="347"/>
      <c r="C9" s="346" t="s">
        <v>1582</v>
      </c>
      <c r="D9"/>
      <c r="I9" s="258"/>
      <c r="J9"/>
      <c r="K9"/>
    </row>
    <row r="10" spans="1:21" ht="15.6">
      <c r="A10" s="346"/>
      <c r="B10" s="347"/>
      <c r="C10" s="346" t="s">
        <v>2399</v>
      </c>
      <c r="D10"/>
      <c r="E10" s="116" t="s">
        <v>1386</v>
      </c>
      <c r="F10" s="88"/>
      <c r="G10" s="88"/>
      <c r="H10" s="88"/>
      <c r="I10" s="258"/>
      <c r="J10"/>
      <c r="K10"/>
      <c r="O10" s="88"/>
      <c r="P10" s="88"/>
      <c r="Q10" s="88"/>
      <c r="R10" s="88"/>
      <c r="S10" s="88"/>
      <c r="T10" s="88"/>
      <c r="U10" s="88"/>
    </row>
    <row r="11" spans="1:21" ht="14.4">
      <c r="A11" s="346"/>
      <c r="B11" s="347"/>
      <c r="C11" s="346" t="s">
        <v>3974</v>
      </c>
      <c r="D11"/>
      <c r="E11" s="88"/>
      <c r="F11" s="88"/>
      <c r="G11" s="88"/>
      <c r="H11" s="88"/>
      <c r="I11" s="258"/>
      <c r="J11"/>
      <c r="K11"/>
      <c r="O11" s="88"/>
      <c r="P11" s="88"/>
      <c r="Q11" s="88"/>
      <c r="R11" s="88"/>
      <c r="S11" s="88"/>
      <c r="T11" s="88"/>
      <c r="U11" s="88"/>
    </row>
    <row r="12" spans="1:21" ht="16.2" thickBot="1">
      <c r="A12" s="152"/>
      <c r="B12" s="347"/>
      <c r="C12" s="346" t="s">
        <v>4155</v>
      </c>
      <c r="D12"/>
      <c r="E12" s="117" t="s">
        <v>1385</v>
      </c>
      <c r="F12" s="3"/>
      <c r="G12" s="118" t="s">
        <v>1384</v>
      </c>
      <c r="H12" s="88"/>
      <c r="I12" s="258"/>
      <c r="J12"/>
      <c r="K12"/>
      <c r="Q12" s="88"/>
      <c r="R12" s="88"/>
      <c r="S12" s="88"/>
      <c r="T12" s="88"/>
      <c r="U12" s="88"/>
    </row>
    <row r="13" spans="1:21" ht="14.4">
      <c r="A13" s="346"/>
      <c r="B13" s="349"/>
      <c r="C13" s="346" t="s">
        <v>4061</v>
      </c>
      <c r="D13"/>
      <c r="E13" s="88" t="s">
        <v>4059</v>
      </c>
      <c r="F13" s="979">
        <v>0.40476565351532917</v>
      </c>
      <c r="G13" s="119" t="s">
        <v>158</v>
      </c>
      <c r="H13" s="88"/>
      <c r="I13" s="258"/>
      <c r="J13"/>
      <c r="K13"/>
      <c r="Q13" s="88"/>
      <c r="R13" s="88"/>
      <c r="S13" s="88"/>
      <c r="T13" s="88"/>
      <c r="U13" s="88"/>
    </row>
    <row r="14" spans="1:21" ht="14.4">
      <c r="A14" s="346"/>
      <c r="B14" s="347"/>
      <c r="C14" s="346" t="s">
        <v>1670</v>
      </c>
      <c r="D14"/>
      <c r="E14" s="88" t="s">
        <v>1383</v>
      </c>
      <c r="F14" s="980">
        <v>0.54675532705499608</v>
      </c>
      <c r="G14" s="119" t="s">
        <v>158</v>
      </c>
      <c r="H14" s="365"/>
      <c r="I14" s="258"/>
      <c r="J14"/>
      <c r="K14"/>
      <c r="Q14" s="88"/>
      <c r="R14" s="88"/>
      <c r="S14" s="88"/>
      <c r="T14" s="88"/>
      <c r="U14" s="88"/>
    </row>
    <row r="15" spans="1:21" ht="14.4">
      <c r="A15" s="346"/>
      <c r="B15" s="347"/>
      <c r="C15" s="346" t="s">
        <v>3016</v>
      </c>
      <c r="D15"/>
      <c r="E15" s="88" t="s">
        <v>3925</v>
      </c>
      <c r="F15" s="978">
        <v>4.8479019429674697E-2</v>
      </c>
      <c r="G15" s="119" t="s">
        <v>158</v>
      </c>
      <c r="H15" s="88"/>
      <c r="I15" s="258"/>
      <c r="J15"/>
      <c r="K15"/>
      <c r="O15" s="88"/>
      <c r="P15" s="88"/>
      <c r="Q15" s="88"/>
      <c r="R15" s="88"/>
      <c r="S15" s="88"/>
      <c r="T15" s="88"/>
      <c r="U15" s="88"/>
    </row>
    <row r="16" spans="1:21" ht="14.4">
      <c r="A16" s="346"/>
      <c r="B16" s="349"/>
      <c r="C16" s="346" t="s">
        <v>3017</v>
      </c>
      <c r="D16"/>
      <c r="E16" s="88" t="s">
        <v>4060</v>
      </c>
      <c r="F16" s="978">
        <v>5.5399999999999998E-2</v>
      </c>
      <c r="G16" s="119" t="s">
        <v>158</v>
      </c>
      <c r="H16" s="88"/>
      <c r="I16" s="258"/>
      <c r="J16"/>
      <c r="K16"/>
      <c r="O16" s="88"/>
      <c r="P16" s="88"/>
      <c r="Q16" s="88"/>
      <c r="R16" s="88"/>
      <c r="S16" s="88"/>
      <c r="T16" s="88"/>
      <c r="U16" s="88"/>
    </row>
    <row r="17" spans="1:21" ht="15" thickBot="1">
      <c r="A17" s="346"/>
      <c r="B17" s="347"/>
      <c r="C17" s="346" t="s">
        <v>4514</v>
      </c>
      <c r="D17"/>
      <c r="E17" s="88" t="s">
        <v>3926</v>
      </c>
      <c r="F17" s="981">
        <v>4.8500000000000001E-2</v>
      </c>
      <c r="G17" s="119" t="s">
        <v>158</v>
      </c>
      <c r="H17" s="88"/>
      <c r="I17" s="258"/>
      <c r="J17"/>
      <c r="K17"/>
      <c r="O17" s="88"/>
      <c r="P17" s="88"/>
      <c r="Q17" s="88"/>
      <c r="R17" s="88"/>
      <c r="S17" s="88"/>
      <c r="T17" s="88"/>
      <c r="U17" s="88"/>
    </row>
    <row r="18" spans="1:21" ht="14.4">
      <c r="A18" s="346"/>
      <c r="B18" s="348"/>
      <c r="C18" s="346" t="s">
        <v>2563</v>
      </c>
      <c r="D18"/>
      <c r="E18" s="88"/>
      <c r="F18" s="89"/>
      <c r="G18" s="119"/>
      <c r="H18" s="88"/>
      <c r="I18" s="258"/>
      <c r="J18"/>
      <c r="K18"/>
      <c r="M18" s="88"/>
      <c r="O18" s="88"/>
      <c r="P18" s="88"/>
      <c r="Q18" s="88"/>
      <c r="R18" s="88"/>
      <c r="S18" s="88"/>
      <c r="T18" s="88"/>
      <c r="U18" s="88"/>
    </row>
    <row r="19" spans="1:21" ht="14.4">
      <c r="A19" s="346"/>
      <c r="B19" s="347"/>
      <c r="C19" s="346" t="s">
        <v>1897</v>
      </c>
      <c r="D19"/>
      <c r="I19" s="258"/>
      <c r="J19"/>
      <c r="K19"/>
      <c r="M19" s="88"/>
      <c r="O19" s="88"/>
      <c r="P19" s="88"/>
      <c r="Q19" s="88"/>
      <c r="R19" s="88"/>
      <c r="S19" s="88"/>
      <c r="T19" s="88"/>
      <c r="U19" s="88"/>
    </row>
    <row r="20" spans="1:21" ht="16.2" thickBot="1">
      <c r="A20" s="346"/>
      <c r="B20" s="347"/>
      <c r="C20" s="346" t="s">
        <v>1308</v>
      </c>
      <c r="D20"/>
      <c r="E20" s="117" t="s">
        <v>4239</v>
      </c>
      <c r="F20" s="88"/>
      <c r="G20" s="120" t="s">
        <v>94</v>
      </c>
      <c r="H20" s="88"/>
      <c r="I20" s="258"/>
      <c r="J20"/>
      <c r="K20"/>
      <c r="M20" s="88"/>
      <c r="O20" s="88"/>
      <c r="P20" s="88"/>
      <c r="Q20" s="88"/>
      <c r="R20" s="88"/>
      <c r="S20" s="88"/>
      <c r="T20" s="88"/>
      <c r="U20" s="88"/>
    </row>
    <row r="21" spans="1:21" ht="15" thickBot="1">
      <c r="A21" s="346"/>
      <c r="B21" s="347"/>
      <c r="C21" s="346" t="s">
        <v>2324</v>
      </c>
      <c r="D21"/>
      <c r="E21" s="88" t="s">
        <v>1387</v>
      </c>
      <c r="F21" s="338">
        <v>12.37</v>
      </c>
      <c r="G21" s="88" t="s">
        <v>4569</v>
      </c>
      <c r="H21" s="88"/>
      <c r="I21" s="258"/>
      <c r="J21"/>
      <c r="K21"/>
      <c r="M21" s="88"/>
      <c r="O21" s="88"/>
      <c r="P21" s="88"/>
      <c r="Q21" s="88"/>
      <c r="R21" s="88"/>
      <c r="S21" s="88"/>
      <c r="T21" s="88"/>
      <c r="U21" s="88"/>
    </row>
    <row r="22" spans="1:21" ht="14.4">
      <c r="A22" s="346"/>
      <c r="B22" s="347"/>
      <c r="C22" s="346" t="s">
        <v>1920</v>
      </c>
      <c r="D22"/>
      <c r="E22" s="88" t="s">
        <v>1388</v>
      </c>
      <c r="F22" s="338">
        <v>5.0199999999999996</v>
      </c>
      <c r="G22" s="88" t="s">
        <v>4569</v>
      </c>
      <c r="H22" s="88"/>
      <c r="I22" s="258"/>
      <c r="J22"/>
      <c r="K22"/>
      <c r="M22" s="88"/>
      <c r="O22" s="88"/>
      <c r="P22" s="88"/>
      <c r="Q22" s="88"/>
      <c r="R22" s="88"/>
      <c r="S22" s="88"/>
      <c r="T22" s="88"/>
      <c r="U22" s="88"/>
    </row>
    <row r="23" spans="1:21" ht="14.4">
      <c r="A23" s="152"/>
      <c r="B23" s="347"/>
      <c r="C23" s="346" t="s">
        <v>4238</v>
      </c>
      <c r="D23"/>
      <c r="E23" s="88"/>
      <c r="F23" s="88"/>
      <c r="G23" s="88"/>
      <c r="I23" s="258"/>
      <c r="J23"/>
      <c r="K23"/>
      <c r="M23" s="88"/>
      <c r="O23" s="88"/>
      <c r="P23" s="88"/>
      <c r="Q23" s="88"/>
      <c r="R23" s="88"/>
      <c r="S23" s="88"/>
      <c r="T23" s="88"/>
      <c r="U23" s="88"/>
    </row>
    <row r="24" spans="1:21" ht="14.4" thickBot="1">
      <c r="A24" s="346"/>
      <c r="B24" s="349"/>
      <c r="C24" s="346" t="s">
        <v>1938</v>
      </c>
      <c r="D24"/>
      <c r="E24" s="154" t="s">
        <v>2213</v>
      </c>
      <c r="F24" s="88"/>
      <c r="G24" s="154" t="s">
        <v>1423</v>
      </c>
      <c r="I24" s="314" t="s">
        <v>1424</v>
      </c>
      <c r="J24"/>
      <c r="K24"/>
      <c r="M24" s="88"/>
      <c r="O24" s="88"/>
      <c r="P24" s="88"/>
      <c r="Q24" s="88"/>
      <c r="R24" s="88"/>
      <c r="S24" s="88"/>
      <c r="T24" s="88"/>
      <c r="U24" s="88"/>
    </row>
    <row r="25" spans="1:21" ht="14.4" thickBot="1">
      <c r="A25" s="346"/>
      <c r="B25" s="347"/>
      <c r="C25" s="346" t="s">
        <v>2968</v>
      </c>
      <c r="D25"/>
      <c r="E25" s="501">
        <v>44925</v>
      </c>
      <c r="F25" s="88"/>
      <c r="G25" s="318" t="s">
        <v>4572</v>
      </c>
      <c r="I25" s="354" t="s">
        <v>4595</v>
      </c>
      <c r="J25"/>
      <c r="K25"/>
      <c r="M25" s="88"/>
      <c r="O25" s="88"/>
      <c r="P25" s="88"/>
      <c r="Q25" s="88"/>
      <c r="R25" s="88"/>
      <c r="S25" s="88"/>
      <c r="T25" s="88"/>
      <c r="U25" s="88"/>
    </row>
    <row r="26" spans="1:21">
      <c r="A26" s="346"/>
      <c r="B26" s="347"/>
      <c r="C26" s="346" t="s">
        <v>1958</v>
      </c>
      <c r="D26"/>
      <c r="I26" s="319"/>
      <c r="J26"/>
      <c r="K26"/>
    </row>
    <row r="27" spans="1:21" ht="14.4" thickBot="1">
      <c r="A27" s="346"/>
      <c r="B27" s="347"/>
      <c r="C27" s="346" t="s">
        <v>1975</v>
      </c>
      <c r="D27"/>
      <c r="E27" s="147" t="s">
        <v>4397</v>
      </c>
      <c r="G27" s="147" t="s">
        <v>155</v>
      </c>
      <c r="I27" s="314" t="s">
        <v>1421</v>
      </c>
      <c r="J27"/>
      <c r="K27"/>
    </row>
    <row r="28" spans="1:21" ht="15" thickBot="1">
      <c r="A28" s="346"/>
      <c r="B28" s="347"/>
      <c r="C28" s="346" t="s">
        <v>4515</v>
      </c>
      <c r="D28"/>
      <c r="E28" s="148" t="s">
        <v>205</v>
      </c>
      <c r="F28" s="121"/>
      <c r="G28" s="155" t="s">
        <v>3246</v>
      </c>
      <c r="I28" s="320" t="s">
        <v>4390</v>
      </c>
      <c r="J28"/>
      <c r="K28"/>
    </row>
    <row r="29" spans="1:21" ht="14.4">
      <c r="A29" s="346"/>
      <c r="B29" s="347"/>
      <c r="C29" s="346" t="s">
        <v>3975</v>
      </c>
      <c r="D29"/>
      <c r="E29" s="149" t="s">
        <v>198</v>
      </c>
      <c r="F29" s="121"/>
      <c r="I29" s="313" t="s">
        <v>1393</v>
      </c>
      <c r="J29"/>
      <c r="K29"/>
    </row>
    <row r="30" spans="1:21" ht="15" thickBot="1">
      <c r="A30" s="346"/>
      <c r="B30" s="347"/>
      <c r="C30" s="346" t="s">
        <v>2688</v>
      </c>
      <c r="D30"/>
      <c r="E30" s="156" t="s">
        <v>1448</v>
      </c>
      <c r="F30" s="121"/>
      <c r="G30" s="147" t="s">
        <v>1410</v>
      </c>
      <c r="I30" s="313" t="s">
        <v>4242</v>
      </c>
      <c r="J30"/>
      <c r="K30"/>
    </row>
    <row r="31" spans="1:21" ht="15" thickBot="1">
      <c r="A31" s="346"/>
      <c r="B31" s="347"/>
      <c r="C31" s="346" t="s">
        <v>186</v>
      </c>
      <c r="D31"/>
      <c r="E31" s="149" t="s">
        <v>2333</v>
      </c>
      <c r="F31" s="121"/>
      <c r="G31" s="155" t="s">
        <v>4389</v>
      </c>
      <c r="I31" s="313" t="s">
        <v>4610</v>
      </c>
      <c r="J31"/>
      <c r="K31"/>
    </row>
    <row r="32" spans="1:21" ht="14.4">
      <c r="A32" s="346"/>
      <c r="B32" s="347"/>
      <c r="C32" s="346" t="s">
        <v>3018</v>
      </c>
      <c r="D32"/>
      <c r="E32" s="149" t="s">
        <v>156</v>
      </c>
      <c r="F32" s="121"/>
      <c r="I32" s="258"/>
      <c r="J32"/>
      <c r="K32"/>
    </row>
    <row r="33" spans="1:11" ht="15" thickBot="1">
      <c r="A33" s="346"/>
      <c r="B33" s="347"/>
      <c r="C33" s="346" t="s">
        <v>3976</v>
      </c>
      <c r="D33"/>
      <c r="E33" s="149" t="s">
        <v>4240</v>
      </c>
      <c r="F33" s="121"/>
      <c r="G33" s="147" t="s">
        <v>1426</v>
      </c>
      <c r="I33" s="258"/>
      <c r="J33"/>
      <c r="K33"/>
    </row>
    <row r="34" spans="1:11" ht="15" thickBot="1">
      <c r="A34" s="346"/>
      <c r="B34" s="347"/>
      <c r="C34" s="346" t="s">
        <v>4516</v>
      </c>
      <c r="D34"/>
      <c r="E34" s="149" t="s">
        <v>207</v>
      </c>
      <c r="F34" s="121"/>
      <c r="G34" s="155" t="s">
        <v>3056</v>
      </c>
      <c r="I34" s="258"/>
      <c r="J34"/>
      <c r="K34"/>
    </row>
    <row r="35" spans="1:11" ht="14.4">
      <c r="A35" s="346"/>
      <c r="B35" s="347"/>
      <c r="C35" s="346" t="s">
        <v>2074</v>
      </c>
      <c r="D35"/>
      <c r="E35" s="149" t="s">
        <v>206</v>
      </c>
      <c r="F35" s="121"/>
      <c r="H35" s="157" t="s">
        <v>1417</v>
      </c>
      <c r="I35" s="258"/>
      <c r="J35"/>
      <c r="K35"/>
    </row>
    <row r="36" spans="1:11" ht="15" thickBot="1">
      <c r="A36" s="346"/>
      <c r="B36" s="347"/>
      <c r="C36" s="346" t="s">
        <v>2084</v>
      </c>
      <c r="D36"/>
      <c r="E36" s="149" t="s">
        <v>209</v>
      </c>
      <c r="F36" s="121"/>
      <c r="G36" s="147" t="s">
        <v>1415</v>
      </c>
      <c r="I36" s="258"/>
      <c r="J36"/>
      <c r="K36"/>
    </row>
    <row r="37" spans="1:11" ht="15" thickBot="1">
      <c r="A37" s="346"/>
      <c r="B37" s="347"/>
      <c r="C37" s="346" t="s">
        <v>2116</v>
      </c>
      <c r="D37"/>
      <c r="E37" s="149" t="s">
        <v>210</v>
      </c>
      <c r="F37" s="121"/>
      <c r="G37" s="841" t="s">
        <v>1447</v>
      </c>
      <c r="I37" s="258"/>
      <c r="J37"/>
      <c r="K37"/>
    </row>
    <row r="38" spans="1:11" ht="14.4">
      <c r="A38" s="346"/>
      <c r="B38" s="347"/>
      <c r="C38" s="346" t="s">
        <v>2124</v>
      </c>
      <c r="D38"/>
      <c r="E38" s="149" t="s">
        <v>211</v>
      </c>
      <c r="F38" s="121"/>
      <c r="I38" s="253"/>
      <c r="J38"/>
      <c r="K38"/>
    </row>
    <row r="39" spans="1:11" ht="15" thickBot="1">
      <c r="A39" s="346"/>
      <c r="B39" s="347"/>
      <c r="C39" s="346" t="s">
        <v>4157</v>
      </c>
      <c r="D39"/>
      <c r="E39" s="149" t="s">
        <v>208</v>
      </c>
      <c r="F39" s="121"/>
      <c r="G39" s="147" t="s">
        <v>1416</v>
      </c>
      <c r="I39" s="253"/>
      <c r="J39"/>
      <c r="K39"/>
    </row>
    <row r="40" spans="1:11" ht="15" thickBot="1">
      <c r="A40" s="346"/>
      <c r="B40" s="347"/>
      <c r="C40" s="346" t="s">
        <v>2142</v>
      </c>
      <c r="D40"/>
      <c r="E40" s="149" t="s">
        <v>199</v>
      </c>
      <c r="F40" s="121"/>
      <c r="G40" s="155" t="s">
        <v>1447</v>
      </c>
      <c r="I40" s="253"/>
      <c r="J40"/>
      <c r="K40"/>
    </row>
    <row r="41" spans="1:11" ht="14.4">
      <c r="A41" s="346">
        <f>COUNTA(A2:A40)</f>
        <v>6</v>
      </c>
      <c r="B41" s="347"/>
      <c r="C41" s="346">
        <f>COUNTA(C2:C40)</f>
        <v>39</v>
      </c>
      <c r="D41"/>
      <c r="E41" s="149" t="s">
        <v>1359</v>
      </c>
      <c r="F41" s="121"/>
      <c r="J41"/>
      <c r="K41"/>
    </row>
    <row r="42" spans="1:11" ht="15" thickBot="1">
      <c r="E42" s="149" t="s">
        <v>212</v>
      </c>
      <c r="F42" s="121"/>
      <c r="G42" s="147" t="s">
        <v>4042</v>
      </c>
      <c r="J42"/>
      <c r="K42"/>
    </row>
    <row r="43" spans="1:11" ht="15" thickBot="1">
      <c r="E43" s="149" t="s">
        <v>2334</v>
      </c>
      <c r="F43" s="121"/>
      <c r="G43" s="977">
        <v>2055978388.7325866</v>
      </c>
      <c r="H43" s="352" t="s">
        <v>4043</v>
      </c>
      <c r="K43"/>
    </row>
    <row r="44" spans="1:11" ht="14.4">
      <c r="E44" s="149" t="s">
        <v>213</v>
      </c>
      <c r="F44" s="121"/>
      <c r="I44" s="317"/>
      <c r="K44"/>
    </row>
    <row r="45" spans="1:11" ht="15" thickBot="1">
      <c r="E45" s="149" t="s">
        <v>200</v>
      </c>
      <c r="F45" s="121"/>
      <c r="G45" s="147" t="s">
        <v>2322</v>
      </c>
      <c r="K45"/>
    </row>
    <row r="46" spans="1:11" ht="15" thickBot="1">
      <c r="E46" s="149" t="s">
        <v>1355</v>
      </c>
      <c r="F46" s="121"/>
      <c r="G46" s="155" t="s">
        <v>1447</v>
      </c>
      <c r="K46"/>
    </row>
    <row r="47" spans="1:11" ht="14.4">
      <c r="E47" s="149" t="s">
        <v>201</v>
      </c>
      <c r="F47" s="121"/>
      <c r="K47"/>
    </row>
    <row r="48" spans="1:11" ht="15" thickBot="1">
      <c r="E48" s="149" t="s">
        <v>214</v>
      </c>
      <c r="F48" s="121"/>
      <c r="G48" s="147" t="s">
        <v>1422</v>
      </c>
      <c r="K48"/>
    </row>
    <row r="49" spans="5:7" ht="15" thickBot="1">
      <c r="E49" s="152" t="s">
        <v>1449</v>
      </c>
      <c r="F49" s="121"/>
      <c r="G49" s="353" t="s">
        <v>4241</v>
      </c>
    </row>
    <row r="50" spans="5:7" ht="14.4">
      <c r="E50" s="152" t="s">
        <v>4326</v>
      </c>
      <c r="F50" s="121"/>
    </row>
    <row r="51" spans="5:7" ht="15" thickBot="1">
      <c r="E51" s="149" t="s">
        <v>215</v>
      </c>
      <c r="F51" s="121"/>
      <c r="G51" s="147" t="s">
        <v>1440</v>
      </c>
    </row>
    <row r="52" spans="5:7" ht="15" thickBot="1">
      <c r="E52" s="149" t="s">
        <v>202</v>
      </c>
      <c r="F52" s="121"/>
      <c r="G52" s="153" t="s">
        <v>1447</v>
      </c>
    </row>
    <row r="53" spans="5:7" ht="14.4">
      <c r="E53" s="149" t="s">
        <v>203</v>
      </c>
      <c r="F53" s="121"/>
    </row>
    <row r="54" spans="5:7" ht="14.4">
      <c r="E54" s="149" t="s">
        <v>204</v>
      </c>
      <c r="F54" s="121"/>
    </row>
    <row r="55" spans="5:7" ht="14.4">
      <c r="E55" s="149" t="s">
        <v>216</v>
      </c>
      <c r="F55" s="121"/>
    </row>
    <row r="56" spans="5:7" ht="14.4">
      <c r="E56" s="152" t="s">
        <v>217</v>
      </c>
      <c r="F56" s="254" t="s">
        <v>1418</v>
      </c>
    </row>
    <row r="57" spans="5:7">
      <c r="E57" s="149" t="s">
        <v>218</v>
      </c>
    </row>
    <row r="58" spans="5:7" ht="14.7" customHeight="1">
      <c r="E58" s="149"/>
    </row>
    <row r="59" spans="5:7">
      <c r="E59" s="149"/>
    </row>
    <row r="60" spans="5:7">
      <c r="E60" s="149"/>
    </row>
    <row r="61" spans="5:7">
      <c r="E61" s="149"/>
    </row>
    <row r="62" spans="5:7">
      <c r="E62" s="149"/>
    </row>
    <row r="63" spans="5:7" ht="14.4" thickBot="1">
      <c r="E63" s="158"/>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13"/>
  <sheetViews>
    <sheetView zoomScale="85" zoomScaleNormal="85" workbookViewId="0">
      <selection activeCell="B12" sqref="B12"/>
    </sheetView>
  </sheetViews>
  <sheetFormatPr defaultColWidth="8.88671875" defaultRowHeight="13.8"/>
  <cols>
    <col min="1" max="1" width="27" style="146" customWidth="1"/>
    <col min="2" max="2" width="11" style="146" customWidth="1"/>
    <col min="3" max="16384" width="8.88671875" style="146"/>
  </cols>
  <sheetData>
    <row r="1" spans="1:9" ht="33" customHeight="1">
      <c r="A1" s="147" t="s">
        <v>1401</v>
      </c>
      <c r="B1" s="159">
        <v>44926</v>
      </c>
      <c r="C1" s="159">
        <f>EDATE(B1,-1)</f>
        <v>44895</v>
      </c>
      <c r="D1" s="159">
        <f>EDATE(C1,-1)</f>
        <v>44864</v>
      </c>
      <c r="E1" s="295"/>
    </row>
    <row r="2" spans="1:9">
      <c r="A2" s="147" t="s">
        <v>1402</v>
      </c>
      <c r="B2" s="249">
        <v>5.27</v>
      </c>
      <c r="C2" s="249">
        <v>5.75</v>
      </c>
      <c r="D2" s="249">
        <v>5.88</v>
      </c>
      <c r="E2" s="315"/>
      <c r="F2" s="315"/>
      <c r="G2" s="315"/>
      <c r="H2" s="316"/>
      <c r="I2" s="249"/>
    </row>
    <row r="3" spans="1:9">
      <c r="A3" s="147" t="s">
        <v>1403</v>
      </c>
      <c r="B3" s="249">
        <v>5.56</v>
      </c>
      <c r="C3" s="249">
        <v>6.05</v>
      </c>
      <c r="D3" s="249">
        <v>6.18</v>
      </c>
      <c r="I3" s="249"/>
    </row>
    <row r="4" spans="1:9">
      <c r="A4" s="147" t="s">
        <v>1404</v>
      </c>
      <c r="B4" s="249">
        <v>4.41</v>
      </c>
      <c r="C4" s="249">
        <v>4.9000000000000004</v>
      </c>
      <c r="D4" s="249">
        <v>5.0999999999999996</v>
      </c>
    </row>
    <row r="5" spans="1:9">
      <c r="A5" s="147" t="s">
        <v>1405</v>
      </c>
      <c r="B5" s="249">
        <v>4.75</v>
      </c>
      <c r="C5" s="249">
        <v>5.23</v>
      </c>
      <c r="D5" s="249">
        <v>5.4</v>
      </c>
    </row>
    <row r="6" spans="1:9">
      <c r="A6" s="147" t="s">
        <v>1406</v>
      </c>
      <c r="B6" s="249">
        <v>5.0999999999999996</v>
      </c>
      <c r="C6" s="249">
        <v>5.58</v>
      </c>
      <c r="D6" s="249">
        <v>5.74</v>
      </c>
      <c r="I6" s="249"/>
    </row>
    <row r="7" spans="1:9">
      <c r="A7" s="147" t="s">
        <v>1407</v>
      </c>
      <c r="B7" s="249">
        <v>5.58</v>
      </c>
      <c r="C7" s="249">
        <v>6.07</v>
      </c>
      <c r="D7" s="249">
        <v>6.26</v>
      </c>
    </row>
    <row r="9" spans="1:9">
      <c r="A9" s="147" t="s">
        <v>1420</v>
      </c>
    </row>
    <row r="10" spans="1:9" ht="78" customHeight="1">
      <c r="A10" s="217" t="s">
        <v>4243</v>
      </c>
      <c r="B10" s="502">
        <v>0.1211</v>
      </c>
      <c r="D10" s="160"/>
    </row>
    <row r="11" spans="1:9" ht="65.25" customHeight="1">
      <c r="A11" s="161" t="s">
        <v>4244</v>
      </c>
      <c r="B11" s="502">
        <v>5.9799999999999999E-2</v>
      </c>
      <c r="C11" s="160"/>
      <c r="D11" s="160"/>
    </row>
    <row r="12" spans="1:9" ht="61.5" customHeight="1">
      <c r="A12" s="161" t="s">
        <v>4245</v>
      </c>
      <c r="B12" s="502">
        <v>0.1074</v>
      </c>
      <c r="D12" s="160"/>
    </row>
    <row r="13" spans="1:9" ht="41.4">
      <c r="A13" s="161" t="s">
        <v>4246</v>
      </c>
      <c r="B13" s="502">
        <v>6.4600000000000005E-2</v>
      </c>
      <c r="D13" s="160"/>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I70"/>
  <sheetViews>
    <sheetView zoomScale="89" zoomScaleNormal="89" workbookViewId="0">
      <pane xSplit="1" topLeftCell="B1" activePane="topRight" state="frozen"/>
      <selection pane="topRight" activeCell="C18" sqref="C18"/>
    </sheetView>
  </sheetViews>
  <sheetFormatPr defaultColWidth="8.88671875" defaultRowHeight="13.8"/>
  <cols>
    <col min="1" max="1" width="7.88671875" style="146" bestFit="1" customWidth="1"/>
    <col min="2" max="2" width="36.33203125" style="146" bestFit="1" customWidth="1"/>
    <col min="3" max="4" width="8.5546875" style="146" bestFit="1" customWidth="1"/>
    <col min="5" max="6" width="11.6640625" style="146" bestFit="1" customWidth="1"/>
    <col min="7" max="7" width="12.33203125" style="146" bestFit="1" customWidth="1"/>
    <col min="8" max="8" width="12.5546875" style="146" bestFit="1" customWidth="1"/>
    <col min="9" max="9" width="12.6640625" style="146" bestFit="1" customWidth="1"/>
    <col min="10" max="10" width="9.5546875" style="146" bestFit="1" customWidth="1"/>
    <col min="11" max="11" width="11" style="146" bestFit="1" customWidth="1"/>
    <col min="12" max="12" width="10.88671875" style="146" bestFit="1" customWidth="1"/>
    <col min="13" max="13" width="14" style="146" bestFit="1" customWidth="1"/>
    <col min="14" max="14" width="6.33203125" style="146" bestFit="1" customWidth="1"/>
    <col min="15" max="15" width="9.6640625" style="146" bestFit="1" customWidth="1"/>
    <col min="16" max="16" width="8.88671875" style="146"/>
    <col min="17" max="17" width="6.33203125" style="859" bestFit="1" customWidth="1"/>
    <col min="18" max="18" width="9.6640625" style="859" bestFit="1" customWidth="1"/>
    <col min="19" max="19" width="37.33203125" style="859" bestFit="1" customWidth="1"/>
    <col min="20" max="20" width="5.5546875" style="859" bestFit="1" customWidth="1"/>
    <col min="21" max="21" width="7" style="859" bestFit="1" customWidth="1"/>
    <col min="22" max="22" width="9.6640625" style="859" bestFit="1" customWidth="1"/>
    <col min="23" max="16384" width="8.88671875" style="146"/>
  </cols>
  <sheetData>
    <row r="1" spans="1:35" ht="32.25" customHeight="1">
      <c r="C1" s="842" t="s">
        <v>1398</v>
      </c>
      <c r="D1" s="843"/>
      <c r="E1" s="844"/>
      <c r="F1" s="842" t="s">
        <v>145</v>
      </c>
      <c r="G1" s="843"/>
      <c r="H1" s="845"/>
      <c r="I1" s="846" t="s">
        <v>1399</v>
      </c>
      <c r="J1" s="845" t="s">
        <v>1411</v>
      </c>
      <c r="K1" s="843"/>
      <c r="L1" s="843"/>
      <c r="M1" s="844"/>
      <c r="N1" s="842" t="s">
        <v>144</v>
      </c>
      <c r="O1" s="844"/>
      <c r="Q1" s="847"/>
      <c r="R1" s="848"/>
      <c r="S1" s="848"/>
      <c r="T1" s="848"/>
      <c r="U1" s="848"/>
      <c r="V1" s="849"/>
    </row>
    <row r="2" spans="1:35" ht="15">
      <c r="A2" s="850" t="s">
        <v>181</v>
      </c>
      <c r="B2" s="851" t="s">
        <v>155</v>
      </c>
      <c r="C2" s="852" t="s">
        <v>1324</v>
      </c>
      <c r="D2" s="853" t="s">
        <v>143</v>
      </c>
      <c r="E2" s="853" t="s">
        <v>1325</v>
      </c>
      <c r="F2" s="852" t="s">
        <v>1325</v>
      </c>
      <c r="G2" s="854" t="s">
        <v>1375</v>
      </c>
      <c r="H2" s="855" t="s">
        <v>1390</v>
      </c>
      <c r="I2" s="856"/>
      <c r="J2" s="852" t="s">
        <v>182</v>
      </c>
      <c r="K2" s="853" t="s">
        <v>1414</v>
      </c>
      <c r="L2" s="853" t="s">
        <v>1412</v>
      </c>
      <c r="M2" s="855" t="s">
        <v>1413</v>
      </c>
      <c r="N2" s="852" t="s">
        <v>1400</v>
      </c>
      <c r="O2" s="855" t="s">
        <v>140</v>
      </c>
      <c r="Q2" s="857" t="s">
        <v>1400</v>
      </c>
      <c r="R2" s="858" t="s">
        <v>140</v>
      </c>
      <c r="U2" s="858" t="s">
        <v>1400</v>
      </c>
      <c r="V2" s="860" t="s">
        <v>140</v>
      </c>
      <c r="AC2" s="1060"/>
      <c r="AD2" s="1060"/>
      <c r="AE2" s="1060"/>
      <c r="AG2" s="1060"/>
      <c r="AH2" s="1060"/>
      <c r="AI2" s="1060"/>
    </row>
    <row r="3" spans="1:35" ht="15">
      <c r="A3" s="861" t="str">
        <f>Input!A2</f>
        <v>ATO</v>
      </c>
      <c r="B3" s="541" t="s">
        <v>3928</v>
      </c>
      <c r="C3" s="862">
        <v>7.4999999999999997E-2</v>
      </c>
      <c r="D3" s="863">
        <v>8.1600000000000006E-2</v>
      </c>
      <c r="E3" s="863">
        <v>7.4999999999999997E-2</v>
      </c>
      <c r="F3" s="864">
        <v>0.8</v>
      </c>
      <c r="G3" s="865">
        <v>0.73475563526153564</v>
      </c>
      <c r="H3" s="866">
        <v>0.68</v>
      </c>
      <c r="I3" s="867">
        <v>2.96</v>
      </c>
      <c r="J3" s="868">
        <v>0.52569999999999995</v>
      </c>
      <c r="K3" s="868">
        <v>2.7458</v>
      </c>
      <c r="L3" s="868">
        <v>3.2216</v>
      </c>
      <c r="M3" s="869">
        <v>6.8400000000000002E-2</v>
      </c>
      <c r="N3" s="870" t="s">
        <v>193</v>
      </c>
      <c r="O3" s="871" t="s">
        <v>191</v>
      </c>
      <c r="Q3" s="872" t="s">
        <v>223</v>
      </c>
      <c r="R3" s="859" t="s">
        <v>224</v>
      </c>
      <c r="S3" s="873" t="s">
        <v>4250</v>
      </c>
      <c r="T3" s="859" t="s">
        <v>214</v>
      </c>
      <c r="U3" s="256">
        <f>IFERROR(VLOOKUP(Q3,'4.6 Moody''s_S&amp;P numbericl'!$F$6:$H$26,3,FALSE),"NR")</f>
        <v>8</v>
      </c>
      <c r="V3" s="257">
        <f>IFERROR(VLOOKUP(R3,'4.6 Moody''s_S&amp;P numbericl'!$B$6:$D$26,3,FALSE),"NR")</f>
        <v>8</v>
      </c>
      <c r="Z3" s="219"/>
      <c r="AA3" s="219"/>
      <c r="AC3" s="111"/>
      <c r="AD3" s="108"/>
      <c r="AE3" s="111"/>
      <c r="AF3" s="108"/>
      <c r="AG3" s="111"/>
      <c r="AH3" s="112"/>
      <c r="AI3" s="111"/>
    </row>
    <row r="4" spans="1:35" ht="15">
      <c r="A4" s="146" t="str">
        <f>Input!A3</f>
        <v>NJR</v>
      </c>
      <c r="B4" s="541" t="s">
        <v>4377</v>
      </c>
      <c r="C4" s="874">
        <v>0.06</v>
      </c>
      <c r="D4" s="875">
        <v>0.06</v>
      </c>
      <c r="E4" s="875">
        <v>0.05</v>
      </c>
      <c r="F4" s="876">
        <v>1</v>
      </c>
      <c r="G4" s="877">
        <v>0.70650196075439453</v>
      </c>
      <c r="H4" s="878">
        <v>0.94</v>
      </c>
      <c r="I4" s="867">
        <v>1.56</v>
      </c>
      <c r="J4" s="879">
        <v>0.61950000000000005</v>
      </c>
      <c r="K4" s="879">
        <v>2.9752000000000001</v>
      </c>
      <c r="L4" s="879">
        <v>3.7826</v>
      </c>
      <c r="M4" s="880">
        <v>7.4099999999999999E-2</v>
      </c>
      <c r="N4" s="881" t="s">
        <v>2296</v>
      </c>
      <c r="O4" s="882" t="s">
        <v>191</v>
      </c>
      <c r="Q4" s="872"/>
      <c r="V4" s="883"/>
      <c r="Z4" s="219"/>
      <c r="AA4" s="219"/>
      <c r="AC4" s="111"/>
      <c r="AD4" s="108"/>
      <c r="AE4" s="111"/>
      <c r="AF4" s="108"/>
      <c r="AG4" s="111"/>
      <c r="AH4" s="112"/>
      <c r="AI4" s="111"/>
    </row>
    <row r="5" spans="1:35" ht="15">
      <c r="A5" s="146" t="str">
        <f>Input!A4</f>
        <v>NI</v>
      </c>
      <c r="B5" s="541" t="s">
        <v>4354</v>
      </c>
      <c r="C5" s="874">
        <v>6.8000000000000005E-2</v>
      </c>
      <c r="D5" s="875">
        <v>6.3500000000000001E-2</v>
      </c>
      <c r="E5" s="875">
        <v>9.5000000000000001E-2</v>
      </c>
      <c r="F5" s="876">
        <v>0.85</v>
      </c>
      <c r="G5" s="877">
        <v>0.73715859651565552</v>
      </c>
      <c r="H5" s="878">
        <v>0.71</v>
      </c>
      <c r="I5" s="867">
        <v>0.94</v>
      </c>
      <c r="J5" s="879">
        <v>0.58550000000000002</v>
      </c>
      <c r="K5" s="879">
        <v>2.4801000000000002</v>
      </c>
      <c r="L5" s="879">
        <v>3.0535000000000001</v>
      </c>
      <c r="M5" s="880">
        <v>6.1699999999999998E-2</v>
      </c>
      <c r="N5" s="881" t="s">
        <v>223</v>
      </c>
      <c r="O5" s="882" t="s">
        <v>224</v>
      </c>
      <c r="Q5" s="872" t="s">
        <v>2296</v>
      </c>
      <c r="R5" s="859" t="s">
        <v>191</v>
      </c>
      <c r="S5" s="859" t="s">
        <v>4359</v>
      </c>
      <c r="T5" s="859" t="s">
        <v>3051</v>
      </c>
      <c r="U5" s="256" t="str">
        <f>IFERROR(VLOOKUP(Q5,'4.6 Moody''s_S&amp;P numbericl'!$F$6:$H$26,3,FALSE),"NR")</f>
        <v>NR</v>
      </c>
      <c r="V5" s="257">
        <f>IFERROR(VLOOKUP(R5,'4.6 Moody''s_S&amp;P numbericl'!$B$6:$D$26,3,FALSE),"NR")</f>
        <v>5</v>
      </c>
      <c r="X5" s="219"/>
      <c r="Y5" s="219"/>
      <c r="Z5" s="219"/>
      <c r="AA5" s="219"/>
      <c r="AC5" s="111"/>
      <c r="AD5" s="108"/>
      <c r="AE5" s="111"/>
      <c r="AF5" s="108"/>
      <c r="AG5" s="111"/>
      <c r="AH5" s="112"/>
      <c r="AI5" s="111"/>
    </row>
    <row r="6" spans="1:35" ht="15">
      <c r="A6" s="146" t="str">
        <f>Input!A5</f>
        <v>NWN</v>
      </c>
      <c r="B6" s="541" t="s">
        <v>4378</v>
      </c>
      <c r="C6" s="874">
        <v>4.2999999999999997E-2</v>
      </c>
      <c r="D6" s="875">
        <v>4.2999999999999997E-2</v>
      </c>
      <c r="E6" s="875">
        <v>6.5000000000000002E-2</v>
      </c>
      <c r="F6" s="876">
        <v>0.85</v>
      </c>
      <c r="G6" s="877">
        <v>0.52684015035629272</v>
      </c>
      <c r="H6" s="878">
        <v>0.7</v>
      </c>
      <c r="I6" s="867">
        <v>1.94</v>
      </c>
      <c r="J6" s="879">
        <v>0.48880000000000001</v>
      </c>
      <c r="K6" s="879">
        <v>3.1227999999999998</v>
      </c>
      <c r="L6" s="879">
        <v>3.5724999999999998</v>
      </c>
      <c r="M6" s="880">
        <v>7.7700000000000005E-2</v>
      </c>
      <c r="N6" s="881" t="s">
        <v>190</v>
      </c>
      <c r="O6" s="882" t="s">
        <v>224</v>
      </c>
      <c r="Q6" s="872"/>
      <c r="V6" s="883"/>
      <c r="X6" s="219"/>
      <c r="Y6" s="219"/>
      <c r="Z6" s="219"/>
      <c r="AA6" s="219"/>
      <c r="AC6" s="111"/>
      <c r="AD6" s="108"/>
      <c r="AE6" s="111"/>
      <c r="AF6" s="108"/>
      <c r="AG6" s="111"/>
      <c r="AH6" s="112"/>
      <c r="AI6" s="111"/>
    </row>
    <row r="7" spans="1:35" ht="15">
      <c r="A7" s="146" t="str">
        <f>Input!A6</f>
        <v>OGS</v>
      </c>
      <c r="B7" s="541" t="s">
        <v>3062</v>
      </c>
      <c r="C7" s="874">
        <v>0.05</v>
      </c>
      <c r="D7" s="875">
        <v>0.05</v>
      </c>
      <c r="E7" s="875">
        <v>6.5000000000000002E-2</v>
      </c>
      <c r="F7" s="876">
        <v>0.8</v>
      </c>
      <c r="G7" s="877">
        <v>0.58262908458709717</v>
      </c>
      <c r="H7" s="878">
        <v>0.66</v>
      </c>
      <c r="I7" s="867">
        <v>2.48</v>
      </c>
      <c r="J7" s="879">
        <v>0.5242</v>
      </c>
      <c r="K7" s="879">
        <v>2.7000999999999999</v>
      </c>
      <c r="L7" s="879">
        <v>3.1644000000000001</v>
      </c>
      <c r="M7" s="880">
        <v>6.7199999999999996E-2</v>
      </c>
      <c r="N7" s="881" t="s">
        <v>193</v>
      </c>
      <c r="O7" s="882" t="s">
        <v>219</v>
      </c>
      <c r="Q7" s="872" t="s">
        <v>190</v>
      </c>
      <c r="R7" s="859" t="s">
        <v>224</v>
      </c>
      <c r="S7" s="884" t="s">
        <v>4040</v>
      </c>
      <c r="T7" s="859" t="s">
        <v>3052</v>
      </c>
      <c r="U7" s="256">
        <f>IFERROR(VLOOKUP(Q7,'4.6 Moody''s_S&amp;P numbericl'!$F$6:$H$26,3,FALSE),"NR")</f>
        <v>5</v>
      </c>
      <c r="V7" s="257">
        <f>IFERROR(VLOOKUP(R7,'4.6 Moody''s_S&amp;P numbericl'!$B$6:$D$26,3,FALSE),"NR")</f>
        <v>8</v>
      </c>
      <c r="X7" s="219"/>
      <c r="Y7" s="219"/>
      <c r="Z7" s="219"/>
      <c r="AA7" s="219"/>
      <c r="AC7" s="111"/>
      <c r="AD7" s="108"/>
      <c r="AE7" s="111"/>
      <c r="AF7" s="108"/>
      <c r="AG7" s="111"/>
      <c r="AH7" s="112"/>
      <c r="AI7" s="111"/>
    </row>
    <row r="8" spans="1:35" ht="15">
      <c r="A8" s="348" t="str">
        <f>Input!A7</f>
        <v>SR</v>
      </c>
      <c r="B8" s="543" t="s">
        <v>3066</v>
      </c>
      <c r="C8" s="885">
        <v>0.05</v>
      </c>
      <c r="D8" s="886">
        <v>0.08</v>
      </c>
      <c r="E8" s="886">
        <v>0.09</v>
      </c>
      <c r="F8" s="887">
        <v>0.85</v>
      </c>
      <c r="G8" s="888">
        <v>0.69245487451553345</v>
      </c>
      <c r="H8" s="889">
        <v>0.72</v>
      </c>
      <c r="I8" s="890">
        <v>2.88</v>
      </c>
      <c r="J8" s="891">
        <v>0.54010000000000002</v>
      </c>
      <c r="K8" s="891">
        <v>2.8254999999999999</v>
      </c>
      <c r="L8" s="891">
        <v>3.3509000000000002</v>
      </c>
      <c r="M8" s="892">
        <v>7.0300000000000001E-2</v>
      </c>
      <c r="N8" s="893" t="s">
        <v>193</v>
      </c>
      <c r="O8" s="894" t="s">
        <v>3061</v>
      </c>
      <c r="Q8" s="872"/>
      <c r="V8" s="883"/>
      <c r="X8" s="219"/>
      <c r="Y8" s="219"/>
      <c r="Z8" s="219"/>
      <c r="AA8" s="219"/>
      <c r="AC8" s="111"/>
      <c r="AD8" s="108"/>
      <c r="AE8" s="111"/>
      <c r="AF8" s="108"/>
      <c r="AG8" s="111"/>
      <c r="AH8" s="112"/>
      <c r="AI8" s="111"/>
    </row>
    <row r="9" spans="1:35" ht="15">
      <c r="Q9" s="872" t="s">
        <v>193</v>
      </c>
      <c r="R9" s="895" t="s">
        <v>189</v>
      </c>
      <c r="S9" s="859" t="s">
        <v>3059</v>
      </c>
      <c r="T9" s="859" t="s">
        <v>3055</v>
      </c>
      <c r="U9" s="256">
        <f>IFERROR(VLOOKUP(Q9,'4.6 Moody''s_S&amp;P numbericl'!$F$6:$H$26,3,FALSE),"NR")</f>
        <v>7</v>
      </c>
      <c r="V9" s="257">
        <f>IFERROR(VLOOKUP(R9,'4.6 Moody''s_S&amp;P numbericl'!$B$6:$D$26,3,FALSE),"NR")</f>
        <v>6</v>
      </c>
      <c r="X9" s="219"/>
      <c r="Y9" s="219"/>
      <c r="Z9" s="219"/>
      <c r="AA9" s="219"/>
      <c r="AC9" s="111"/>
      <c r="AD9" s="108"/>
      <c r="AE9" s="111"/>
      <c r="AF9" s="108"/>
      <c r="AG9" s="111"/>
      <c r="AH9" s="112"/>
      <c r="AI9" s="111"/>
    </row>
    <row r="10" spans="1:35" ht="15">
      <c r="B10" s="324"/>
      <c r="C10" s="162"/>
      <c r="D10" s="162"/>
      <c r="E10"/>
      <c r="F10" s="164"/>
      <c r="G10"/>
      <c r="H10" s="164"/>
      <c r="I10" s="896"/>
      <c r="J10" s="220"/>
      <c r="K10" s="220"/>
      <c r="L10" s="220"/>
      <c r="M10" s="220"/>
      <c r="Q10" s="872" t="s">
        <v>193</v>
      </c>
      <c r="R10" s="895" t="s">
        <v>191</v>
      </c>
      <c r="S10" s="859" t="s">
        <v>3060</v>
      </c>
      <c r="T10" s="859" t="s">
        <v>3055</v>
      </c>
      <c r="U10" s="256">
        <f>IFERROR(VLOOKUP(Q10,'4.6 Moody''s_S&amp;P numbericl'!$F$6:$H$26,3,FALSE),"NR")</f>
        <v>7</v>
      </c>
      <c r="V10" s="257">
        <f>IFERROR(VLOOKUP(R10,'4.6 Moody''s_S&amp;P numbericl'!$B$6:$D$26,3,FALSE),"NR")</f>
        <v>5</v>
      </c>
      <c r="X10" s="219"/>
      <c r="Y10" s="219"/>
      <c r="Z10" s="219"/>
      <c r="AA10" s="219"/>
      <c r="AC10" s="111"/>
      <c r="AD10" s="108"/>
      <c r="AE10" s="111"/>
      <c r="AF10" s="108"/>
      <c r="AG10" s="111"/>
      <c r="AH10" s="112"/>
      <c r="AI10" s="111"/>
    </row>
    <row r="11" spans="1:35" ht="15">
      <c r="C11" s="162"/>
      <c r="D11" s="162"/>
      <c r="E11" s="162"/>
      <c r="F11" s="164"/>
      <c r="G11" s="164"/>
      <c r="H11" s="164"/>
      <c r="I11" s="896"/>
      <c r="J11" s="220"/>
      <c r="K11" s="220"/>
      <c r="L11" s="220"/>
      <c r="M11" s="220"/>
      <c r="Q11" s="897"/>
      <c r="R11" s="898"/>
      <c r="S11" s="898"/>
      <c r="T11" s="898"/>
      <c r="U11" s="433">
        <f>AVERAGE(U9:U10)</f>
        <v>7</v>
      </c>
      <c r="V11" s="434">
        <f>AVERAGE(V9:V10)</f>
        <v>5.5</v>
      </c>
      <c r="X11" s="219"/>
      <c r="Y11" s="219"/>
      <c r="Z11" s="219"/>
      <c r="AA11" s="219"/>
      <c r="AC11" s="111"/>
      <c r="AD11" s="108"/>
      <c r="AE11" s="111"/>
      <c r="AF11" s="108"/>
      <c r="AG11" s="111"/>
      <c r="AH11" s="112"/>
      <c r="AI11" s="111"/>
    </row>
    <row r="12" spans="1:35" ht="15">
      <c r="C12" s="162"/>
      <c r="D12" s="162"/>
      <c r="E12" s="162"/>
      <c r="F12" s="164"/>
      <c r="G12" s="164"/>
      <c r="H12" s="164"/>
      <c r="I12" s="896"/>
      <c r="J12" s="220"/>
      <c r="K12" s="220"/>
      <c r="L12" s="220"/>
      <c r="M12" s="220"/>
      <c r="X12" s="219"/>
      <c r="Y12" s="219"/>
      <c r="Z12" s="219"/>
      <c r="AA12" s="219"/>
      <c r="AC12" s="111"/>
      <c r="AD12" s="108"/>
      <c r="AE12" s="111"/>
      <c r="AF12" s="108"/>
      <c r="AG12" s="111"/>
      <c r="AH12" s="112"/>
      <c r="AI12" s="111"/>
    </row>
    <row r="13" spans="1:35" ht="15">
      <c r="C13" s="162"/>
      <c r="D13" s="162"/>
      <c r="E13" s="162"/>
      <c r="F13" s="164"/>
      <c r="G13" s="164"/>
      <c r="H13" s="164"/>
      <c r="I13" s="896"/>
      <c r="J13" s="220"/>
      <c r="K13" s="220"/>
      <c r="L13" s="220"/>
      <c r="M13" s="220"/>
      <c r="X13" s="219"/>
      <c r="Y13" s="219"/>
      <c r="Z13" s="219"/>
      <c r="AA13" s="219"/>
      <c r="AC13" s="111"/>
      <c r="AD13" s="108"/>
      <c r="AE13" s="111"/>
      <c r="AF13" s="108"/>
      <c r="AG13" s="111"/>
      <c r="AH13" s="112"/>
      <c r="AI13" s="111"/>
    </row>
    <row r="14" spans="1:35" ht="15">
      <c r="C14" s="162"/>
      <c r="D14" s="162"/>
      <c r="E14" s="162"/>
      <c r="F14" s="164"/>
      <c r="G14" s="164"/>
      <c r="H14" s="164"/>
      <c r="I14" s="896"/>
      <c r="J14" s="220"/>
      <c r="K14" s="220"/>
      <c r="L14" s="220"/>
      <c r="M14" s="220"/>
      <c r="X14" s="219"/>
      <c r="Y14" s="219"/>
      <c r="Z14" s="219"/>
      <c r="AA14" s="219"/>
      <c r="AC14" s="111"/>
      <c r="AD14" s="108"/>
      <c r="AE14" s="111"/>
      <c r="AF14" s="108"/>
      <c r="AG14" s="111"/>
      <c r="AH14" s="112"/>
      <c r="AI14" s="111"/>
    </row>
    <row r="15" spans="1:35" ht="15">
      <c r="C15" s="162"/>
      <c r="D15" s="162"/>
      <c r="E15" s="162"/>
      <c r="F15" s="164"/>
      <c r="G15" s="164"/>
      <c r="H15" s="164"/>
      <c r="I15" s="896"/>
      <c r="J15" s="220"/>
      <c r="K15" s="220"/>
      <c r="L15" s="220"/>
      <c r="M15" s="220"/>
      <c r="X15" s="219"/>
      <c r="Y15" s="219"/>
      <c r="Z15" s="219"/>
      <c r="AA15" s="219"/>
      <c r="AC15" s="111"/>
      <c r="AD15" s="108"/>
      <c r="AE15" s="111"/>
      <c r="AF15" s="108"/>
      <c r="AG15" s="111"/>
      <c r="AH15" s="112"/>
      <c r="AI15" s="111"/>
    </row>
    <row r="16" spans="1:35" ht="15">
      <c r="C16" s="146" t="s">
        <v>4517</v>
      </c>
      <c r="D16" s="162"/>
      <c r="E16" s="162"/>
      <c r="F16" s="164"/>
      <c r="G16" s="164"/>
      <c r="H16" s="164"/>
      <c r="I16" s="896"/>
      <c r="J16" s="220"/>
      <c r="K16" s="220"/>
      <c r="L16" s="220"/>
      <c r="M16" s="220"/>
      <c r="X16" s="219"/>
      <c r="Y16" s="219"/>
      <c r="Z16" s="219"/>
      <c r="AA16" s="219"/>
      <c r="AC16" s="111"/>
      <c r="AD16" s="108"/>
      <c r="AE16" s="111"/>
      <c r="AF16" s="108"/>
      <c r="AG16" s="111"/>
      <c r="AH16" s="112"/>
      <c r="AI16" s="111"/>
    </row>
    <row r="17" spans="4:35" ht="15">
      <c r="D17" s="162"/>
      <c r="E17" s="162"/>
      <c r="F17" s="164"/>
      <c r="G17" s="164"/>
      <c r="H17" s="164"/>
      <c r="I17" s="896"/>
      <c r="J17" s="164"/>
      <c r="K17" s="164"/>
      <c r="L17" s="164"/>
      <c r="M17" s="164"/>
      <c r="X17" s="219"/>
      <c r="Y17" s="219"/>
      <c r="Z17" s="219"/>
      <c r="AA17" s="219"/>
      <c r="AC17" s="111"/>
      <c r="AD17" s="108"/>
      <c r="AE17" s="111"/>
      <c r="AF17" s="108"/>
      <c r="AG17" s="111"/>
      <c r="AH17" s="112"/>
      <c r="AI17" s="111"/>
    </row>
    <row r="18" spans="4:35" ht="15">
      <c r="D18" s="162"/>
      <c r="E18" s="162"/>
      <c r="F18" s="164"/>
      <c r="G18" s="164"/>
      <c r="H18" s="164"/>
      <c r="I18" s="896"/>
      <c r="J18" s="164"/>
      <c r="K18" s="164"/>
      <c r="L18" s="164"/>
      <c r="M18" s="164"/>
      <c r="W18" s="219"/>
      <c r="X18" s="219"/>
      <c r="Y18" s="219"/>
      <c r="Z18" s="219"/>
      <c r="AA18" s="219"/>
      <c r="AC18" s="111"/>
      <c r="AD18" s="108"/>
      <c r="AE18" s="111"/>
      <c r="AF18" s="108"/>
      <c r="AG18" s="111"/>
      <c r="AH18" s="112"/>
      <c r="AI18" s="111"/>
    </row>
    <row r="19" spans="4:35" ht="15">
      <c r="D19" s="162"/>
      <c r="E19" s="162"/>
      <c r="F19" s="164"/>
      <c r="G19" s="164"/>
      <c r="H19" s="164"/>
      <c r="I19" s="896"/>
      <c r="J19" s="164"/>
      <c r="K19" s="164"/>
      <c r="L19" s="164"/>
      <c r="M19" s="164"/>
      <c r="X19" s="219"/>
      <c r="Y19" s="219"/>
      <c r="Z19" s="219"/>
      <c r="AA19" s="219"/>
      <c r="AC19" s="111"/>
      <c r="AD19" s="108"/>
      <c r="AE19" s="111"/>
      <c r="AF19" s="108"/>
      <c r="AG19" s="111"/>
      <c r="AH19" s="112"/>
      <c r="AI19" s="111"/>
    </row>
    <row r="20" spans="4:35" ht="15">
      <c r="D20" s="162"/>
      <c r="E20" s="162"/>
      <c r="F20" s="164"/>
      <c r="G20" s="164"/>
      <c r="H20" s="164"/>
      <c r="I20" s="896"/>
      <c r="J20" s="220"/>
      <c r="K20" s="220"/>
      <c r="L20" s="220"/>
      <c r="M20" s="220"/>
      <c r="X20" s="219"/>
      <c r="Y20" s="219"/>
      <c r="Z20" s="219"/>
      <c r="AA20" s="219"/>
      <c r="AC20" s="111"/>
      <c r="AD20" s="108"/>
      <c r="AE20" s="111"/>
      <c r="AF20" s="108"/>
      <c r="AG20" s="111"/>
      <c r="AH20" s="112"/>
      <c r="AI20" s="111"/>
    </row>
    <row r="21" spans="4:35" ht="15">
      <c r="D21" s="162"/>
      <c r="E21" s="162"/>
      <c r="F21" s="164"/>
      <c r="G21" s="164"/>
      <c r="H21" s="164"/>
      <c r="I21" s="896"/>
      <c r="J21" s="220"/>
      <c r="K21" s="220"/>
      <c r="L21" s="220"/>
      <c r="M21" s="220"/>
      <c r="Z21" s="219"/>
      <c r="AA21" s="219"/>
      <c r="AC21" s="111"/>
      <c r="AD21" s="108"/>
      <c r="AE21" s="111"/>
      <c r="AF21" s="108"/>
      <c r="AG21" s="111"/>
      <c r="AH21" s="112"/>
      <c r="AI21" s="111"/>
    </row>
    <row r="22" spans="4:35" ht="15">
      <c r="D22" s="162"/>
      <c r="E22" s="222"/>
      <c r="F22" s="164"/>
      <c r="G22" s="164"/>
      <c r="H22" s="164"/>
      <c r="I22" s="896"/>
      <c r="J22" s="220"/>
      <c r="K22" s="220"/>
      <c r="L22" s="220"/>
      <c r="M22" s="220"/>
      <c r="X22" s="219"/>
      <c r="Y22" s="219"/>
      <c r="Z22" s="219"/>
      <c r="AA22" s="219"/>
    </row>
    <row r="23" spans="4:35" ht="15">
      <c r="D23" s="162"/>
      <c r="E23" s="162"/>
      <c r="F23" s="164"/>
      <c r="G23" s="164"/>
      <c r="H23" s="164"/>
      <c r="I23" s="896"/>
      <c r="J23" s="220"/>
      <c r="K23" s="220"/>
      <c r="L23" s="220"/>
      <c r="M23" s="220"/>
      <c r="X23" s="219"/>
      <c r="Y23" s="219"/>
      <c r="Z23" s="219"/>
      <c r="AA23" s="219"/>
    </row>
    <row r="24" spans="4:35" ht="15">
      <c r="D24" s="162"/>
      <c r="E24" s="162"/>
      <c r="F24" s="164"/>
      <c r="G24" s="881"/>
      <c r="H24" s="164"/>
      <c r="I24" s="896"/>
      <c r="J24" s="220"/>
      <c r="K24" s="220"/>
      <c r="L24" s="220"/>
      <c r="M24" s="220"/>
      <c r="X24" s="219"/>
      <c r="Y24" s="219"/>
      <c r="Z24" s="219"/>
      <c r="AA24" s="219"/>
    </row>
    <row r="25" spans="4:35" ht="15">
      <c r="D25" s="162"/>
      <c r="E25" s="162"/>
      <c r="F25" s="164"/>
      <c r="G25" s="881"/>
      <c r="H25" s="164"/>
      <c r="I25" s="881"/>
      <c r="J25" s="220"/>
      <c r="K25" s="220"/>
      <c r="L25" s="220"/>
      <c r="M25" s="220"/>
      <c r="X25" s="219"/>
      <c r="Y25" s="219"/>
      <c r="Z25" s="219"/>
      <c r="AA25" s="219"/>
    </row>
    <row r="26" spans="4:35" ht="15">
      <c r="D26" s="162"/>
      <c r="E26" s="162"/>
      <c r="F26" s="164"/>
      <c r="G26" s="881"/>
      <c r="H26" s="164"/>
      <c r="I26" s="881"/>
      <c r="J26" s="220"/>
      <c r="K26" s="220"/>
      <c r="L26" s="220"/>
      <c r="M26" s="220"/>
      <c r="X26" s="219"/>
      <c r="Y26" s="219"/>
      <c r="Z26" s="219"/>
      <c r="AA26" s="219"/>
    </row>
    <row r="27" spans="4:35" ht="15">
      <c r="D27" s="162"/>
      <c r="E27" s="162"/>
      <c r="F27" s="164"/>
      <c r="G27" s="881"/>
      <c r="H27" s="164"/>
      <c r="I27" s="881"/>
      <c r="J27" s="220"/>
      <c r="K27" s="220"/>
      <c r="L27" s="220"/>
      <c r="M27" s="220"/>
      <c r="X27" s="219"/>
      <c r="Y27" s="219"/>
      <c r="Z27" s="219"/>
      <c r="AA27" s="219"/>
    </row>
    <row r="28" spans="4:35" ht="15">
      <c r="D28" s="162"/>
      <c r="E28" s="162"/>
      <c r="F28" s="164"/>
      <c r="G28" s="881"/>
      <c r="H28" s="164"/>
      <c r="I28" s="881"/>
      <c r="J28" s="220"/>
      <c r="K28" s="220"/>
      <c r="L28" s="220"/>
      <c r="M28" s="220"/>
      <c r="X28" s="219"/>
      <c r="Y28" s="219"/>
      <c r="Z28" s="219"/>
      <c r="AA28" s="219"/>
    </row>
    <row r="29" spans="4:35" ht="15">
      <c r="D29" s="162"/>
      <c r="E29" s="162"/>
      <c r="F29" s="881"/>
      <c r="G29" s="881"/>
      <c r="H29" s="881"/>
      <c r="I29" s="881"/>
      <c r="J29" s="881"/>
      <c r="Z29" s="219"/>
      <c r="AA29" s="219"/>
    </row>
    <row r="30" spans="4:35" ht="15">
      <c r="D30" s="162"/>
      <c r="E30" s="162"/>
      <c r="F30" s="881"/>
      <c r="G30" s="881"/>
      <c r="H30" s="881"/>
      <c r="I30" s="881"/>
      <c r="J30" s="881"/>
      <c r="Z30" s="219"/>
      <c r="AA30" s="219"/>
    </row>
    <row r="31" spans="4:35" ht="15">
      <c r="D31" s="162"/>
      <c r="E31" s="162"/>
      <c r="F31" s="881"/>
      <c r="G31" s="881"/>
      <c r="H31" s="881"/>
      <c r="I31" s="881"/>
      <c r="J31" s="881"/>
      <c r="X31" s="219"/>
      <c r="Y31" s="219"/>
      <c r="Z31" s="219"/>
      <c r="AA31" s="219"/>
    </row>
    <row r="32" spans="4:35" ht="15">
      <c r="D32" s="162"/>
      <c r="E32" s="162"/>
      <c r="F32" s="881"/>
      <c r="G32" s="881"/>
      <c r="H32" s="881"/>
      <c r="I32" s="881"/>
      <c r="J32" s="881"/>
      <c r="X32" s="219"/>
      <c r="Y32" s="219"/>
      <c r="Z32" s="219"/>
      <c r="AA32" s="219"/>
    </row>
    <row r="33" spans="3:27" ht="15">
      <c r="D33" s="162"/>
      <c r="E33" s="162"/>
      <c r="F33" s="881"/>
      <c r="G33" s="881"/>
      <c r="H33" s="881"/>
      <c r="I33" s="881"/>
      <c r="J33" s="881"/>
      <c r="X33" s="219"/>
      <c r="Y33" s="219"/>
      <c r="Z33" s="219"/>
      <c r="AA33" s="219"/>
    </row>
    <row r="34" spans="3:27" ht="15">
      <c r="D34" s="163"/>
      <c r="E34" s="163"/>
      <c r="X34" s="219"/>
      <c r="Y34" s="219"/>
      <c r="Z34" s="219"/>
      <c r="AA34" s="219"/>
    </row>
    <row r="35" spans="3:27" ht="15">
      <c r="C35" s="162"/>
      <c r="D35" s="163"/>
      <c r="E35" s="163"/>
      <c r="X35" s="219"/>
      <c r="Y35" s="219"/>
      <c r="Z35" s="219"/>
      <c r="AA35" s="219"/>
    </row>
    <row r="36" spans="3:27" ht="15">
      <c r="C36" s="162"/>
      <c r="D36" s="163"/>
      <c r="E36" s="163"/>
      <c r="X36" s="219"/>
      <c r="Y36" s="219"/>
      <c r="Z36" s="219"/>
      <c r="AA36" s="219"/>
    </row>
    <row r="37" spans="3:27" ht="15">
      <c r="C37" s="163"/>
      <c r="D37" s="163"/>
      <c r="E37" s="163"/>
      <c r="X37" s="219"/>
      <c r="Y37" s="219"/>
      <c r="Z37" s="219"/>
      <c r="AA37" s="219"/>
    </row>
    <row r="38" spans="3:27" ht="15">
      <c r="X38" s="219"/>
      <c r="Y38" s="219"/>
      <c r="Z38" s="219"/>
      <c r="AA38" s="219"/>
    </row>
    <row r="39" spans="3:27" ht="15">
      <c r="Z39" s="219"/>
      <c r="AA39" s="219"/>
    </row>
    <row r="40" spans="3:27" ht="15">
      <c r="Z40" s="219"/>
      <c r="AA40" s="219"/>
    </row>
    <row r="41" spans="3:27" ht="15">
      <c r="X41" s="219"/>
      <c r="Y41" s="219"/>
      <c r="Z41" s="219"/>
      <c r="AA41" s="219"/>
    </row>
    <row r="42" spans="3:27" ht="15">
      <c r="X42" s="219"/>
      <c r="Y42" s="219"/>
      <c r="Z42" s="219"/>
      <c r="AA42" s="219"/>
    </row>
    <row r="43" spans="3:27" ht="15">
      <c r="X43" s="219"/>
      <c r="Y43" s="219"/>
      <c r="Z43" s="219"/>
      <c r="AA43" s="219"/>
    </row>
    <row r="44" spans="3:27" ht="15">
      <c r="X44" s="219"/>
      <c r="Y44" s="219"/>
      <c r="Z44" s="219"/>
      <c r="AA44" s="219"/>
    </row>
    <row r="45" spans="3:27" ht="15">
      <c r="X45" s="219"/>
      <c r="Y45" s="219"/>
      <c r="Z45" s="219"/>
      <c r="AA45" s="219"/>
    </row>
    <row r="46" spans="3:27" ht="15">
      <c r="X46" s="219"/>
      <c r="Y46" s="219"/>
      <c r="Z46" s="219"/>
      <c r="AA46" s="219"/>
    </row>
    <row r="47" spans="3:27" ht="15">
      <c r="X47" s="219"/>
      <c r="Y47" s="219"/>
      <c r="Z47" s="219"/>
      <c r="AA47" s="219"/>
    </row>
    <row r="48" spans="3:27" ht="15">
      <c r="X48" s="219"/>
      <c r="Y48" s="219"/>
      <c r="Z48" s="219"/>
      <c r="AA48" s="219"/>
    </row>
    <row r="49" spans="24:27" ht="15">
      <c r="X49" s="219"/>
      <c r="Y49" s="219"/>
      <c r="Z49" s="219"/>
      <c r="AA49" s="219"/>
    </row>
    <row r="50" spans="24:27" ht="15">
      <c r="X50" s="219"/>
      <c r="Y50" s="219"/>
      <c r="Z50" s="219"/>
      <c r="AA50" s="219"/>
    </row>
    <row r="51" spans="24:27" ht="15">
      <c r="Z51" s="219"/>
      <c r="AA51" s="219"/>
    </row>
    <row r="52" spans="24:27" ht="15">
      <c r="Z52" s="219"/>
      <c r="AA52" s="219"/>
    </row>
    <row r="53" spans="24:27" ht="15">
      <c r="X53" s="219"/>
      <c r="Y53" s="219"/>
      <c r="Z53" s="219"/>
      <c r="AA53" s="219"/>
    </row>
    <row r="54" spans="24:27" ht="15">
      <c r="Z54" s="219"/>
      <c r="AA54" s="219"/>
    </row>
    <row r="55" spans="24:27" ht="15">
      <c r="Z55" s="219"/>
      <c r="AA55" s="219"/>
    </row>
    <row r="56" spans="24:27" ht="15">
      <c r="Z56" s="219"/>
      <c r="AA56" s="219"/>
    </row>
    <row r="61" spans="24:27" ht="15">
      <c r="X61" s="219"/>
      <c r="Y61" s="219"/>
    </row>
    <row r="62" spans="24:27" ht="15">
      <c r="X62" s="219"/>
      <c r="Y62" s="219"/>
    </row>
    <row r="67" spans="24:25" ht="15">
      <c r="X67" s="219"/>
      <c r="Y67" s="219"/>
    </row>
    <row r="68" spans="24:25" ht="15">
      <c r="X68" s="219"/>
      <c r="Y68" s="219"/>
    </row>
    <row r="69" spans="24:25" ht="15">
      <c r="X69" s="219"/>
      <c r="Y69" s="219"/>
    </row>
    <row r="70" spans="24:25" ht="15">
      <c r="X70" s="219"/>
      <c r="Y70" s="219"/>
    </row>
  </sheetData>
  <sortState ref="B7:B8">
    <sortCondition ref="B6:B8"/>
  </sortState>
  <mergeCells count="2">
    <mergeCell ref="AC2:AE2"/>
    <mergeCell ref="AG2:AI2"/>
  </mergeCells>
  <phoneticPr fontId="159" type="noConversion"/>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506"/>
  <sheetViews>
    <sheetView topLeftCell="B1" zoomScale="85" zoomScaleNormal="85" workbookViewId="0">
      <selection activeCell="H46" sqref="H46"/>
    </sheetView>
  </sheetViews>
  <sheetFormatPr defaultColWidth="8.88671875" defaultRowHeight="13.8"/>
  <cols>
    <col min="1" max="1" width="17.33203125" style="146" hidden="1" customWidth="1"/>
    <col min="2" max="2" width="17.33203125" style="146" customWidth="1"/>
    <col min="3" max="3" width="12.33203125" style="150" bestFit="1" customWidth="1"/>
    <col min="4" max="9" width="9.33203125" style="146" customWidth="1"/>
    <col min="10" max="16384" width="8.88671875" style="146"/>
  </cols>
  <sheetData>
    <row r="1" spans="1:13">
      <c r="A1" s="1061" t="s">
        <v>1408</v>
      </c>
      <c r="B1" s="517"/>
      <c r="C1" s="147" t="s">
        <v>1409</v>
      </c>
      <c r="D1" s="146" t="s">
        <v>2333</v>
      </c>
      <c r="E1" s="146" t="s">
        <v>3051</v>
      </c>
      <c r="F1" s="146" t="s">
        <v>214</v>
      </c>
      <c r="G1" s="146" t="s">
        <v>3052</v>
      </c>
      <c r="H1" s="146" t="s">
        <v>3053</v>
      </c>
      <c r="I1" s="146" t="s">
        <v>3055</v>
      </c>
    </row>
    <row r="2" spans="1:13">
      <c r="A2" s="1061"/>
      <c r="B2" s="517"/>
      <c r="C2" s="324" t="s">
        <v>1302</v>
      </c>
      <c r="D2" s="538" t="str">
        <f>D1&amp;" US Equity"</f>
        <v>ATO US Equity</v>
      </c>
      <c r="E2" s="324" t="str">
        <f t="shared" ref="E2" si="0">E1&amp;" US Equity"</f>
        <v>NJR US Equity</v>
      </c>
      <c r="F2" s="324" t="str">
        <f t="shared" ref="F2" si="1">F1&amp;" US Equity"</f>
        <v>NI US Equity</v>
      </c>
      <c r="G2" s="324" t="str">
        <f t="shared" ref="G2" si="2">G1&amp;" US Equity"</f>
        <v>NWN US Equity</v>
      </c>
      <c r="H2" s="324" t="str">
        <f t="shared" ref="H2" si="3">H1&amp;" US Equity"</f>
        <v>OGS US Equity</v>
      </c>
      <c r="I2" s="324" t="str">
        <f t="shared" ref="I2" si="4">I1&amp;" US Equity"</f>
        <v>SR US Equity</v>
      </c>
      <c r="J2" s="324"/>
      <c r="K2" s="324"/>
      <c r="L2" s="324"/>
      <c r="M2" s="324"/>
    </row>
    <row r="3" spans="1:13">
      <c r="A3" s="147">
        <v>2</v>
      </c>
      <c r="B3" s="147">
        <v>1</v>
      </c>
      <c r="C3" s="539">
        <v>44925</v>
      </c>
      <c r="D3" s="540">
        <v>112.07</v>
      </c>
      <c r="E3" s="520">
        <v>49.62</v>
      </c>
      <c r="F3" s="520">
        <v>27.42</v>
      </c>
      <c r="G3" s="520">
        <v>47.59</v>
      </c>
      <c r="H3" s="520">
        <v>75.72</v>
      </c>
      <c r="I3" s="520">
        <v>68.86</v>
      </c>
    </row>
    <row r="4" spans="1:13">
      <c r="A4" s="147">
        <f>A3+1</f>
        <v>3</v>
      </c>
      <c r="B4" s="147">
        <v>2</v>
      </c>
      <c r="C4" s="539">
        <v>44924</v>
      </c>
      <c r="D4" s="540">
        <v>114.49</v>
      </c>
      <c r="E4" s="520">
        <v>50.01</v>
      </c>
      <c r="F4" s="520">
        <v>27.84</v>
      </c>
      <c r="G4" s="520">
        <v>48.27</v>
      </c>
      <c r="H4" s="520">
        <v>76.739999999999995</v>
      </c>
      <c r="I4" s="520">
        <v>70.19</v>
      </c>
    </row>
    <row r="5" spans="1:13">
      <c r="A5" s="147">
        <f t="shared" ref="A5:A67" si="5">A4+1</f>
        <v>4</v>
      </c>
      <c r="B5" s="147">
        <v>3</v>
      </c>
      <c r="C5" s="539">
        <v>44923</v>
      </c>
      <c r="D5" s="540">
        <v>115.07</v>
      </c>
      <c r="E5" s="520">
        <v>49.19</v>
      </c>
      <c r="F5" s="520">
        <v>27.55</v>
      </c>
      <c r="G5" s="520">
        <v>47.31</v>
      </c>
      <c r="H5" s="520">
        <v>75.53</v>
      </c>
      <c r="I5" s="520">
        <v>69.28</v>
      </c>
    </row>
    <row r="6" spans="1:13">
      <c r="A6" s="147">
        <f t="shared" si="5"/>
        <v>5</v>
      </c>
      <c r="B6" s="147">
        <v>4</v>
      </c>
      <c r="C6" s="539">
        <v>44922</v>
      </c>
      <c r="D6" s="540">
        <v>115.58</v>
      </c>
      <c r="E6" s="520">
        <v>49.53</v>
      </c>
      <c r="F6" s="520">
        <v>27.8</v>
      </c>
      <c r="G6" s="520">
        <v>47.88</v>
      </c>
      <c r="H6" s="520">
        <v>75.92</v>
      </c>
      <c r="I6" s="520">
        <v>69.930000000000007</v>
      </c>
    </row>
    <row r="7" spans="1:13">
      <c r="A7" s="147">
        <f t="shared" si="5"/>
        <v>6</v>
      </c>
      <c r="B7" s="147">
        <v>5</v>
      </c>
      <c r="C7" s="539">
        <v>44918</v>
      </c>
      <c r="D7" s="540">
        <v>115.1</v>
      </c>
      <c r="E7" s="520">
        <v>49.64</v>
      </c>
      <c r="F7" s="520">
        <v>27.71</v>
      </c>
      <c r="G7" s="520">
        <v>47.72</v>
      </c>
      <c r="H7" s="520">
        <v>75.540000000000006</v>
      </c>
      <c r="I7" s="520">
        <v>69.7</v>
      </c>
    </row>
    <row r="8" spans="1:13">
      <c r="A8" s="147">
        <f t="shared" si="5"/>
        <v>7</v>
      </c>
      <c r="B8" s="147">
        <v>6</v>
      </c>
      <c r="C8" s="539">
        <v>44917</v>
      </c>
      <c r="D8" s="540">
        <v>114.03</v>
      </c>
      <c r="E8" s="520">
        <v>48.8</v>
      </c>
      <c r="F8" s="520">
        <v>27.42</v>
      </c>
      <c r="G8" s="520">
        <v>46.75</v>
      </c>
      <c r="H8" s="520">
        <v>74.92</v>
      </c>
      <c r="I8" s="520">
        <v>68.47</v>
      </c>
    </row>
    <row r="9" spans="1:13">
      <c r="A9" s="147">
        <f t="shared" si="5"/>
        <v>8</v>
      </c>
      <c r="B9" s="147">
        <v>7</v>
      </c>
      <c r="C9" s="539">
        <v>44916</v>
      </c>
      <c r="D9" s="540">
        <v>114.58</v>
      </c>
      <c r="E9" s="520">
        <v>49.25</v>
      </c>
      <c r="F9" s="520">
        <v>27.55</v>
      </c>
      <c r="G9" s="520">
        <v>47.34</v>
      </c>
      <c r="H9" s="520">
        <v>75.48</v>
      </c>
      <c r="I9" s="520">
        <v>68.34</v>
      </c>
    </row>
    <row r="10" spans="1:13">
      <c r="A10" s="147">
        <f t="shared" si="5"/>
        <v>9</v>
      </c>
      <c r="B10" s="147">
        <v>8</v>
      </c>
      <c r="C10" s="539">
        <v>44915</v>
      </c>
      <c r="D10" s="540">
        <v>113.07</v>
      </c>
      <c r="E10" s="520">
        <v>48.65</v>
      </c>
      <c r="F10" s="520">
        <v>27.07</v>
      </c>
      <c r="G10" s="520">
        <v>47.21</v>
      </c>
      <c r="H10" s="520">
        <v>75.040000000000006</v>
      </c>
      <c r="I10" s="520">
        <v>66.56</v>
      </c>
    </row>
    <row r="11" spans="1:13">
      <c r="A11" s="147">
        <f t="shared" si="5"/>
        <v>10</v>
      </c>
      <c r="B11" s="147">
        <v>9</v>
      </c>
      <c r="C11" s="539">
        <v>44914</v>
      </c>
      <c r="D11" s="540">
        <v>113.48</v>
      </c>
      <c r="E11" s="520">
        <v>48.52</v>
      </c>
      <c r="F11" s="520">
        <v>27.05</v>
      </c>
      <c r="G11" s="520">
        <v>46.83</v>
      </c>
      <c r="H11" s="520">
        <v>74.69</v>
      </c>
      <c r="I11" s="520">
        <v>66.400000000000006</v>
      </c>
    </row>
    <row r="12" spans="1:13">
      <c r="A12" s="147">
        <f t="shared" si="5"/>
        <v>11</v>
      </c>
      <c r="B12" s="147">
        <v>10</v>
      </c>
      <c r="C12" s="539">
        <v>44911</v>
      </c>
      <c r="D12" s="540">
        <v>114.77</v>
      </c>
      <c r="E12" s="520">
        <v>48.57</v>
      </c>
      <c r="F12" s="520">
        <v>27.19</v>
      </c>
      <c r="G12" s="520">
        <v>46.34</v>
      </c>
      <c r="H12" s="520">
        <v>74.319999999999993</v>
      </c>
      <c r="I12" s="520">
        <v>65.8</v>
      </c>
    </row>
    <row r="13" spans="1:13">
      <c r="A13" s="147">
        <f t="shared" si="5"/>
        <v>12</v>
      </c>
      <c r="B13" s="147">
        <v>11</v>
      </c>
      <c r="C13" s="539">
        <v>44910</v>
      </c>
      <c r="D13" s="540">
        <v>116.86</v>
      </c>
      <c r="E13" s="520">
        <v>49.11</v>
      </c>
      <c r="F13" s="520">
        <v>27.44</v>
      </c>
      <c r="G13" s="520">
        <v>46.91</v>
      </c>
      <c r="H13" s="520">
        <v>76.239999999999995</v>
      </c>
      <c r="I13" s="520">
        <v>66.87</v>
      </c>
    </row>
    <row r="14" spans="1:13">
      <c r="A14" s="147">
        <f t="shared" si="5"/>
        <v>13</v>
      </c>
      <c r="B14" s="147">
        <v>12</v>
      </c>
      <c r="C14" s="539">
        <v>44909</v>
      </c>
      <c r="D14" s="540">
        <v>118.34</v>
      </c>
      <c r="E14" s="520">
        <v>49.88</v>
      </c>
      <c r="F14" s="520">
        <v>27.82</v>
      </c>
      <c r="G14" s="520">
        <v>47.33</v>
      </c>
      <c r="H14" s="520">
        <v>78.88</v>
      </c>
      <c r="I14" s="520">
        <v>67.849999999999994</v>
      </c>
    </row>
    <row r="15" spans="1:13">
      <c r="A15" s="147">
        <f t="shared" si="5"/>
        <v>14</v>
      </c>
      <c r="B15" s="147">
        <v>13</v>
      </c>
      <c r="C15" s="539">
        <v>44908</v>
      </c>
      <c r="D15" s="540">
        <v>118.53</v>
      </c>
      <c r="E15" s="520">
        <v>49.72</v>
      </c>
      <c r="F15" s="520">
        <v>27.93</v>
      </c>
      <c r="G15" s="520">
        <v>47.88</v>
      </c>
      <c r="H15" s="520">
        <v>78.33</v>
      </c>
      <c r="I15" s="520">
        <v>68</v>
      </c>
    </row>
    <row r="16" spans="1:13">
      <c r="A16" s="147">
        <f t="shared" si="5"/>
        <v>15</v>
      </c>
      <c r="B16" s="147">
        <v>14</v>
      </c>
      <c r="C16" s="539">
        <v>44907</v>
      </c>
      <c r="D16" s="540">
        <v>119</v>
      </c>
      <c r="E16" s="520">
        <v>50.71</v>
      </c>
      <c r="F16" s="520">
        <v>28.08</v>
      </c>
      <c r="G16" s="520">
        <v>48.36</v>
      </c>
      <c r="H16" s="520">
        <v>78.790000000000006</v>
      </c>
      <c r="I16" s="520">
        <v>68.42</v>
      </c>
    </row>
    <row r="17" spans="1:9">
      <c r="A17" s="147">
        <f t="shared" si="5"/>
        <v>16</v>
      </c>
      <c r="B17" s="147">
        <v>15</v>
      </c>
      <c r="C17" s="539">
        <v>44904</v>
      </c>
      <c r="D17" s="540">
        <v>117.67</v>
      </c>
      <c r="E17" s="520">
        <v>49.91</v>
      </c>
      <c r="F17" s="520">
        <v>27.39</v>
      </c>
      <c r="G17" s="520">
        <v>47.97</v>
      </c>
      <c r="H17" s="520">
        <v>77.180000000000007</v>
      </c>
      <c r="I17" s="520">
        <v>67.7</v>
      </c>
    </row>
    <row r="18" spans="1:9">
      <c r="A18" s="147">
        <f t="shared" si="5"/>
        <v>17</v>
      </c>
      <c r="B18" s="147">
        <v>16</v>
      </c>
      <c r="C18" s="539">
        <v>44903</v>
      </c>
      <c r="D18" s="540">
        <v>117.5</v>
      </c>
      <c r="E18" s="520">
        <v>49.85</v>
      </c>
      <c r="F18" s="520">
        <v>27.77</v>
      </c>
      <c r="G18" s="520">
        <v>47.82</v>
      </c>
      <c r="H18" s="520">
        <v>77.069999999999993</v>
      </c>
      <c r="I18" s="520">
        <v>68.81</v>
      </c>
    </row>
    <row r="19" spans="1:9">
      <c r="A19" s="147">
        <f t="shared" si="5"/>
        <v>18</v>
      </c>
      <c r="B19" s="147">
        <v>17</v>
      </c>
      <c r="C19" s="539">
        <v>44902</v>
      </c>
      <c r="D19" s="540">
        <v>117.41</v>
      </c>
      <c r="E19" s="520">
        <v>49.86</v>
      </c>
      <c r="F19" s="520">
        <v>27.67</v>
      </c>
      <c r="G19" s="520">
        <v>48.21</v>
      </c>
      <c r="H19" s="520">
        <v>76.2</v>
      </c>
      <c r="I19" s="520">
        <v>68.790000000000006</v>
      </c>
    </row>
    <row r="20" spans="1:9">
      <c r="A20" s="147">
        <f t="shared" si="5"/>
        <v>19</v>
      </c>
      <c r="B20" s="147">
        <v>18</v>
      </c>
      <c r="C20" s="539">
        <v>44901</v>
      </c>
      <c r="D20" s="540">
        <v>117.44</v>
      </c>
      <c r="E20" s="520">
        <v>49.6</v>
      </c>
      <c r="F20" s="520">
        <v>27.84</v>
      </c>
      <c r="G20" s="520">
        <v>47.54</v>
      </c>
      <c r="H20" s="520">
        <v>76.31</v>
      </c>
      <c r="I20" s="520">
        <v>67.52</v>
      </c>
    </row>
    <row r="21" spans="1:9">
      <c r="A21" s="147">
        <f t="shared" si="5"/>
        <v>20</v>
      </c>
      <c r="B21" s="147">
        <v>19</v>
      </c>
      <c r="C21" s="539">
        <v>44900</v>
      </c>
      <c r="D21" s="540">
        <v>115.86</v>
      </c>
      <c r="E21" s="520">
        <v>48.72</v>
      </c>
      <c r="F21" s="520">
        <v>27.51</v>
      </c>
      <c r="G21" s="520">
        <v>47.33</v>
      </c>
      <c r="H21" s="520">
        <v>73.31</v>
      </c>
      <c r="I21" s="520">
        <v>65.13</v>
      </c>
    </row>
    <row r="22" spans="1:9">
      <c r="A22" s="147">
        <f t="shared" si="5"/>
        <v>21</v>
      </c>
      <c r="B22" s="147">
        <v>20</v>
      </c>
      <c r="C22" s="539">
        <v>44897</v>
      </c>
      <c r="D22" s="540">
        <v>116.54</v>
      </c>
      <c r="E22" s="520">
        <v>48.77</v>
      </c>
      <c r="F22" s="520">
        <v>27.57</v>
      </c>
      <c r="G22" s="520">
        <v>46.68</v>
      </c>
      <c r="H22" s="520">
        <v>72.84</v>
      </c>
      <c r="I22" s="520">
        <v>68.739999999999995</v>
      </c>
    </row>
    <row r="23" spans="1:9">
      <c r="A23" s="147">
        <f t="shared" si="5"/>
        <v>22</v>
      </c>
      <c r="B23" s="147">
        <v>21</v>
      </c>
      <c r="C23" s="539">
        <v>44896</v>
      </c>
      <c r="D23" s="540">
        <v>117.49</v>
      </c>
      <c r="E23" s="520">
        <v>48.56</v>
      </c>
      <c r="F23" s="520">
        <v>27.75</v>
      </c>
      <c r="G23" s="520">
        <v>47.65</v>
      </c>
      <c r="H23" s="520">
        <v>71.61</v>
      </c>
      <c r="I23" s="520">
        <v>71.19</v>
      </c>
    </row>
    <row r="24" spans="1:9">
      <c r="A24" s="147">
        <f t="shared" si="5"/>
        <v>23</v>
      </c>
      <c r="B24" s="147">
        <v>22</v>
      </c>
      <c r="C24" s="539">
        <v>44895</v>
      </c>
      <c r="D24" s="540">
        <v>120.2</v>
      </c>
      <c r="E24" s="520">
        <v>49.75</v>
      </c>
      <c r="F24" s="520">
        <v>27.94</v>
      </c>
      <c r="G24" s="520">
        <v>50.11</v>
      </c>
      <c r="H24" s="520">
        <v>86.95</v>
      </c>
      <c r="I24" s="520">
        <v>74.099999999999994</v>
      </c>
    </row>
    <row r="25" spans="1:9">
      <c r="A25" s="147">
        <f t="shared" si="5"/>
        <v>24</v>
      </c>
      <c r="B25" s="147">
        <v>23</v>
      </c>
      <c r="C25" s="539">
        <v>44894</v>
      </c>
      <c r="D25" s="540">
        <v>118.64</v>
      </c>
      <c r="E25" s="520">
        <v>48.81</v>
      </c>
      <c r="F25" s="520">
        <v>27.23</v>
      </c>
      <c r="G25" s="520">
        <v>49.41</v>
      </c>
      <c r="H25" s="520">
        <v>85.15</v>
      </c>
      <c r="I25" s="520">
        <v>73.12</v>
      </c>
    </row>
    <row r="26" spans="1:9">
      <c r="A26" s="147">
        <f t="shared" si="5"/>
        <v>25</v>
      </c>
      <c r="B26" s="147">
        <v>24</v>
      </c>
      <c r="C26" s="539">
        <v>44893</v>
      </c>
      <c r="D26" s="540">
        <v>118.07</v>
      </c>
      <c r="E26" s="520">
        <v>48.82</v>
      </c>
      <c r="F26" s="520">
        <v>27.22</v>
      </c>
      <c r="G26" s="520">
        <v>49.32</v>
      </c>
      <c r="H26" s="520">
        <v>86.55</v>
      </c>
      <c r="I26" s="520">
        <v>73.67</v>
      </c>
    </row>
    <row r="27" spans="1:9">
      <c r="A27" s="147">
        <f t="shared" si="5"/>
        <v>26</v>
      </c>
      <c r="B27" s="147">
        <v>25</v>
      </c>
      <c r="C27" s="539">
        <v>44890</v>
      </c>
      <c r="D27" s="540">
        <v>119.16</v>
      </c>
      <c r="E27" s="520">
        <v>49.64</v>
      </c>
      <c r="F27" s="520">
        <v>27.29</v>
      </c>
      <c r="G27" s="520">
        <v>49.59</v>
      </c>
      <c r="H27" s="520">
        <v>88.33</v>
      </c>
      <c r="I27" s="520">
        <v>74.67</v>
      </c>
    </row>
    <row r="28" spans="1:9">
      <c r="A28" s="147">
        <f t="shared" si="5"/>
        <v>27</v>
      </c>
      <c r="B28" s="147">
        <v>26</v>
      </c>
      <c r="C28" s="539">
        <v>44888</v>
      </c>
      <c r="D28" s="540">
        <v>118.58</v>
      </c>
      <c r="E28" s="520">
        <v>49.25</v>
      </c>
      <c r="F28" s="520">
        <v>27.18</v>
      </c>
      <c r="G28" s="520">
        <v>49.61</v>
      </c>
      <c r="H28" s="520">
        <v>87.54</v>
      </c>
      <c r="I28" s="520">
        <v>73.66</v>
      </c>
    </row>
    <row r="29" spans="1:9">
      <c r="A29" s="147">
        <f t="shared" si="5"/>
        <v>28</v>
      </c>
      <c r="B29" s="147">
        <v>27</v>
      </c>
      <c r="C29" s="539">
        <v>44887</v>
      </c>
      <c r="D29" s="540">
        <v>117.51</v>
      </c>
      <c r="E29" s="520">
        <v>49.89</v>
      </c>
      <c r="F29" s="520">
        <v>26.8</v>
      </c>
      <c r="G29" s="520">
        <v>49.74</v>
      </c>
      <c r="H29" s="520">
        <v>87.15</v>
      </c>
      <c r="I29" s="520">
        <v>73.290000000000006</v>
      </c>
    </row>
    <row r="30" spans="1:9">
      <c r="A30" s="147">
        <f t="shared" si="5"/>
        <v>29</v>
      </c>
      <c r="B30" s="147">
        <v>28</v>
      </c>
      <c r="C30" s="539">
        <v>44886</v>
      </c>
      <c r="D30" s="540">
        <v>115.79</v>
      </c>
      <c r="E30" s="520">
        <v>48.93</v>
      </c>
      <c r="F30" s="520">
        <v>26.55</v>
      </c>
      <c r="G30" s="520">
        <v>49.32</v>
      </c>
      <c r="H30" s="520">
        <v>85.83</v>
      </c>
      <c r="I30" s="520">
        <v>72.45</v>
      </c>
    </row>
    <row r="31" spans="1:9">
      <c r="A31" s="147">
        <f t="shared" si="5"/>
        <v>30</v>
      </c>
      <c r="B31" s="147">
        <v>29</v>
      </c>
      <c r="C31" s="539">
        <v>44883</v>
      </c>
      <c r="D31" s="540">
        <v>115.05</v>
      </c>
      <c r="E31" s="520">
        <v>47.95</v>
      </c>
      <c r="F31" s="520">
        <v>26.32</v>
      </c>
      <c r="G31" s="520">
        <v>48.69</v>
      </c>
      <c r="H31" s="520">
        <v>84.87</v>
      </c>
      <c r="I31" s="520">
        <v>70.86</v>
      </c>
    </row>
    <row r="32" spans="1:9">
      <c r="A32" s="147">
        <f t="shared" si="5"/>
        <v>31</v>
      </c>
      <c r="B32" s="147">
        <v>30</v>
      </c>
      <c r="C32" s="539">
        <v>44882</v>
      </c>
      <c r="D32" s="540">
        <v>111.16</v>
      </c>
      <c r="E32" s="520">
        <v>45.58</v>
      </c>
      <c r="F32" s="520">
        <v>25.56</v>
      </c>
      <c r="G32" s="520">
        <v>47.4</v>
      </c>
      <c r="H32" s="520">
        <v>82.07</v>
      </c>
      <c r="I32" s="520">
        <v>68.599999999999994</v>
      </c>
    </row>
    <row r="33" spans="1:9">
      <c r="A33" s="147">
        <f t="shared" si="5"/>
        <v>32</v>
      </c>
      <c r="B33" s="147">
        <v>31</v>
      </c>
      <c r="C33" s="539">
        <v>44881</v>
      </c>
      <c r="D33" s="540">
        <v>112.3</v>
      </c>
      <c r="E33" s="520">
        <v>44.82</v>
      </c>
      <c r="F33" s="520">
        <v>26</v>
      </c>
      <c r="G33" s="520">
        <v>47.87</v>
      </c>
      <c r="H33" s="520">
        <v>81.53</v>
      </c>
      <c r="I33" s="520">
        <v>67.760000000000005</v>
      </c>
    </row>
    <row r="34" spans="1:9">
      <c r="A34" s="147">
        <f t="shared" si="5"/>
        <v>33</v>
      </c>
      <c r="B34" s="147">
        <v>32</v>
      </c>
      <c r="C34" s="539">
        <v>44880</v>
      </c>
      <c r="D34" s="540">
        <v>111.58</v>
      </c>
      <c r="E34" s="520">
        <v>45.11</v>
      </c>
      <c r="F34" s="520">
        <v>25.68</v>
      </c>
      <c r="G34" s="520">
        <v>47.91</v>
      </c>
      <c r="H34" s="520">
        <v>81.91</v>
      </c>
      <c r="I34" s="520">
        <v>70.010000000000005</v>
      </c>
    </row>
    <row r="35" spans="1:9">
      <c r="A35" s="147">
        <f t="shared" si="5"/>
        <v>34</v>
      </c>
      <c r="B35" s="147">
        <v>33</v>
      </c>
      <c r="C35" s="539">
        <v>44879</v>
      </c>
      <c r="D35" s="540">
        <v>110.53</v>
      </c>
      <c r="E35" s="520">
        <v>44.45</v>
      </c>
      <c r="F35" s="520">
        <v>25.76</v>
      </c>
      <c r="G35" s="520">
        <v>47.49</v>
      </c>
      <c r="H35" s="520">
        <v>81.47</v>
      </c>
      <c r="I35" s="520">
        <v>69.55</v>
      </c>
    </row>
    <row r="36" spans="1:9">
      <c r="A36" s="147">
        <f t="shared" si="5"/>
        <v>35</v>
      </c>
      <c r="B36" s="147">
        <v>34</v>
      </c>
      <c r="C36" s="539">
        <v>44876</v>
      </c>
      <c r="D36" s="540">
        <v>110.69</v>
      </c>
      <c r="E36" s="520">
        <v>45.13</v>
      </c>
      <c r="F36" s="520">
        <v>25.81</v>
      </c>
      <c r="G36" s="520">
        <v>47.19</v>
      </c>
      <c r="H36" s="520">
        <v>81.36</v>
      </c>
      <c r="I36" s="520">
        <v>70.540000000000006</v>
      </c>
    </row>
    <row r="37" spans="1:9">
      <c r="A37" s="147">
        <f t="shared" si="5"/>
        <v>36</v>
      </c>
      <c r="B37" s="147">
        <v>35</v>
      </c>
      <c r="C37" s="539">
        <v>44875</v>
      </c>
      <c r="D37" s="540">
        <v>111.8</v>
      </c>
      <c r="E37" s="520">
        <v>46</v>
      </c>
      <c r="F37" s="520">
        <v>26.09</v>
      </c>
      <c r="G37" s="520">
        <v>47.08</v>
      </c>
      <c r="H37" s="520">
        <v>82.31</v>
      </c>
      <c r="I37" s="520">
        <v>71.11</v>
      </c>
    </row>
    <row r="38" spans="1:9">
      <c r="A38" s="147">
        <f t="shared" si="5"/>
        <v>37</v>
      </c>
      <c r="B38" s="147">
        <v>36</v>
      </c>
      <c r="C38" s="539">
        <v>44874</v>
      </c>
      <c r="D38" s="540">
        <v>103.15</v>
      </c>
      <c r="E38" s="520">
        <v>43.92</v>
      </c>
      <c r="F38" s="520">
        <v>24.89</v>
      </c>
      <c r="G38" s="520">
        <v>45.4</v>
      </c>
      <c r="H38" s="520">
        <v>78.290000000000006</v>
      </c>
      <c r="I38" s="520">
        <v>68.41</v>
      </c>
    </row>
    <row r="39" spans="1:9">
      <c r="A39" s="147">
        <f t="shared" si="5"/>
        <v>38</v>
      </c>
      <c r="B39" s="147">
        <v>37</v>
      </c>
      <c r="C39" s="539">
        <v>44873</v>
      </c>
      <c r="D39" s="540">
        <v>104.64</v>
      </c>
      <c r="E39" s="520">
        <v>44.17</v>
      </c>
      <c r="F39" s="520">
        <v>24.93</v>
      </c>
      <c r="G39" s="520">
        <v>44.52</v>
      </c>
      <c r="H39" s="520">
        <v>78.22</v>
      </c>
      <c r="I39" s="520">
        <v>67.98</v>
      </c>
    </row>
    <row r="40" spans="1:9">
      <c r="A40" s="147">
        <f t="shared" si="5"/>
        <v>39</v>
      </c>
      <c r="B40" s="147">
        <v>38</v>
      </c>
      <c r="C40" s="539">
        <v>44872</v>
      </c>
      <c r="D40" s="540">
        <v>103.97</v>
      </c>
      <c r="E40" s="520">
        <v>43.39</v>
      </c>
      <c r="F40" s="520">
        <v>24.37</v>
      </c>
      <c r="G40" s="520">
        <v>44.94</v>
      </c>
      <c r="H40" s="520">
        <v>77.77</v>
      </c>
      <c r="I40" s="520">
        <v>67.430000000000007</v>
      </c>
    </row>
    <row r="41" spans="1:9">
      <c r="A41" s="147">
        <f t="shared" si="5"/>
        <v>40</v>
      </c>
      <c r="B41" s="147">
        <v>39</v>
      </c>
      <c r="C41" s="539">
        <v>44869</v>
      </c>
      <c r="D41" s="540">
        <v>106.03</v>
      </c>
      <c r="E41" s="520">
        <v>44.28</v>
      </c>
      <c r="F41" s="520">
        <v>25.89</v>
      </c>
      <c r="G41" s="520">
        <v>46.64</v>
      </c>
      <c r="H41" s="520">
        <v>80.900000000000006</v>
      </c>
      <c r="I41" s="520">
        <v>68.48</v>
      </c>
    </row>
    <row r="42" spans="1:9">
      <c r="A42" s="147">
        <f t="shared" si="5"/>
        <v>41</v>
      </c>
      <c r="B42" s="147">
        <v>40</v>
      </c>
      <c r="C42" s="539">
        <v>44868</v>
      </c>
      <c r="D42" s="540">
        <v>104.74</v>
      </c>
      <c r="E42" s="520">
        <v>44.26</v>
      </c>
      <c r="F42" s="520">
        <v>25.66</v>
      </c>
      <c r="G42" s="520">
        <v>46.1</v>
      </c>
      <c r="H42" s="520">
        <v>79.930000000000007</v>
      </c>
      <c r="I42" s="520">
        <v>67.930000000000007</v>
      </c>
    </row>
    <row r="43" spans="1:9">
      <c r="A43" s="147">
        <f t="shared" si="5"/>
        <v>42</v>
      </c>
      <c r="B43" s="147">
        <v>41</v>
      </c>
      <c r="C43" s="539">
        <v>44867</v>
      </c>
      <c r="D43" s="540">
        <v>105.55</v>
      </c>
      <c r="E43" s="520">
        <v>44.52</v>
      </c>
      <c r="F43" s="520">
        <v>25.62</v>
      </c>
      <c r="G43" s="520">
        <v>46.8</v>
      </c>
      <c r="H43" s="520">
        <v>79.37</v>
      </c>
      <c r="I43" s="520">
        <v>69.180000000000007</v>
      </c>
    </row>
    <row r="44" spans="1:9">
      <c r="A44" s="147">
        <f t="shared" si="5"/>
        <v>43</v>
      </c>
      <c r="B44" s="147">
        <v>42</v>
      </c>
      <c r="C44" s="539">
        <v>44866</v>
      </c>
      <c r="D44" s="540">
        <v>106.27</v>
      </c>
      <c r="E44" s="520">
        <v>45.11</v>
      </c>
      <c r="F44" s="520">
        <v>25.83</v>
      </c>
      <c r="G44" s="520">
        <v>47.75</v>
      </c>
      <c r="H44" s="520">
        <v>80.03</v>
      </c>
      <c r="I44" s="520">
        <v>70.349999999999994</v>
      </c>
    </row>
    <row r="45" spans="1:9">
      <c r="A45" s="147">
        <f t="shared" si="5"/>
        <v>44</v>
      </c>
      <c r="B45" s="147">
        <v>43</v>
      </c>
      <c r="C45" s="539">
        <v>44865</v>
      </c>
      <c r="D45" s="540">
        <v>106.55</v>
      </c>
      <c r="E45" s="520">
        <v>44.64</v>
      </c>
      <c r="F45" s="520">
        <v>25.69</v>
      </c>
      <c r="G45" s="520">
        <v>48.09</v>
      </c>
      <c r="H45" s="520">
        <v>77.48</v>
      </c>
      <c r="I45" s="520">
        <v>69.81</v>
      </c>
    </row>
    <row r="46" spans="1:9">
      <c r="A46" s="147">
        <f t="shared" si="5"/>
        <v>45</v>
      </c>
      <c r="B46" s="147">
        <v>44</v>
      </c>
      <c r="C46" s="539">
        <v>44862</v>
      </c>
      <c r="D46" s="540">
        <v>107.11</v>
      </c>
      <c r="E46" s="520">
        <v>45.28</v>
      </c>
      <c r="F46" s="520">
        <v>25.89</v>
      </c>
      <c r="G46" s="520">
        <v>48.12</v>
      </c>
      <c r="H46" s="520">
        <v>77.2</v>
      </c>
      <c r="I46" s="520">
        <v>69.7</v>
      </c>
    </row>
    <row r="47" spans="1:9">
      <c r="A47" s="147">
        <f t="shared" si="5"/>
        <v>46</v>
      </c>
      <c r="B47" s="147">
        <v>45</v>
      </c>
      <c r="C47" s="539">
        <v>44861</v>
      </c>
      <c r="D47" s="540">
        <v>104.69</v>
      </c>
      <c r="E47" s="520">
        <v>44.44</v>
      </c>
      <c r="F47" s="520">
        <v>25.37</v>
      </c>
      <c r="G47" s="520">
        <v>47.45</v>
      </c>
      <c r="H47" s="520">
        <v>75.59</v>
      </c>
      <c r="I47" s="520">
        <v>69.099999999999994</v>
      </c>
    </row>
    <row r="48" spans="1:9">
      <c r="A48" s="147">
        <f t="shared" si="5"/>
        <v>47</v>
      </c>
      <c r="B48" s="147">
        <v>46</v>
      </c>
      <c r="C48" s="539">
        <v>44860</v>
      </c>
      <c r="D48" s="540">
        <v>103.42</v>
      </c>
      <c r="E48" s="520">
        <v>43.65</v>
      </c>
      <c r="F48" s="520">
        <v>25.17</v>
      </c>
      <c r="G48" s="520">
        <v>46.67</v>
      </c>
      <c r="H48" s="520">
        <v>74.45</v>
      </c>
      <c r="I48" s="520">
        <v>67.930000000000007</v>
      </c>
    </row>
    <row r="49" spans="1:9">
      <c r="A49" s="147">
        <f t="shared" si="5"/>
        <v>48</v>
      </c>
      <c r="B49" s="147">
        <v>47</v>
      </c>
      <c r="C49" s="539">
        <v>44859</v>
      </c>
      <c r="D49" s="540">
        <v>103.32</v>
      </c>
      <c r="E49" s="520">
        <v>42.98</v>
      </c>
      <c r="F49" s="520">
        <v>25.13</v>
      </c>
      <c r="G49" s="520">
        <v>46.43</v>
      </c>
      <c r="H49" s="520">
        <v>73.709999999999994</v>
      </c>
      <c r="I49" s="520">
        <v>66.900000000000006</v>
      </c>
    </row>
    <row r="50" spans="1:9">
      <c r="A50" s="147">
        <f t="shared" si="5"/>
        <v>49</v>
      </c>
      <c r="B50" s="147">
        <v>48</v>
      </c>
      <c r="C50" s="539">
        <v>44858</v>
      </c>
      <c r="D50" s="540">
        <v>101.35</v>
      </c>
      <c r="E50" s="520">
        <v>42.19</v>
      </c>
      <c r="F50" s="520">
        <v>24.67</v>
      </c>
      <c r="G50" s="520">
        <v>45.45</v>
      </c>
      <c r="H50" s="520">
        <v>72.98</v>
      </c>
      <c r="I50" s="520">
        <v>65.599999999999994</v>
      </c>
    </row>
    <row r="51" spans="1:9">
      <c r="A51" s="147">
        <f t="shared" si="5"/>
        <v>50</v>
      </c>
      <c r="B51" s="147">
        <v>49</v>
      </c>
      <c r="C51" s="539">
        <v>44855</v>
      </c>
      <c r="D51" s="540">
        <v>101.74</v>
      </c>
      <c r="E51" s="520">
        <v>42.08</v>
      </c>
      <c r="F51" s="520">
        <v>24.49</v>
      </c>
      <c r="G51" s="520">
        <v>45.81</v>
      </c>
      <c r="H51" s="520">
        <v>73.08</v>
      </c>
      <c r="I51" s="520">
        <v>65.36</v>
      </c>
    </row>
    <row r="52" spans="1:9">
      <c r="A52" s="147">
        <f t="shared" si="5"/>
        <v>51</v>
      </c>
      <c r="B52" s="147">
        <v>50</v>
      </c>
      <c r="C52" s="539">
        <v>44854</v>
      </c>
      <c r="D52" s="540">
        <v>100.11</v>
      </c>
      <c r="E52" s="520">
        <v>40.770000000000003</v>
      </c>
      <c r="F52" s="520">
        <v>24.15</v>
      </c>
      <c r="G52" s="520">
        <v>45.15</v>
      </c>
      <c r="H52" s="520">
        <v>72.39</v>
      </c>
      <c r="I52" s="520">
        <v>64.8</v>
      </c>
    </row>
    <row r="53" spans="1:9">
      <c r="A53" s="147">
        <f t="shared" si="5"/>
        <v>52</v>
      </c>
      <c r="B53" s="147">
        <v>51</v>
      </c>
      <c r="C53" s="539">
        <v>44853</v>
      </c>
      <c r="D53" s="540">
        <v>102.04</v>
      </c>
      <c r="E53" s="520">
        <v>41.19</v>
      </c>
      <c r="F53" s="520">
        <v>24.88</v>
      </c>
      <c r="G53" s="520">
        <v>46.19</v>
      </c>
      <c r="H53" s="520">
        <v>73.8</v>
      </c>
      <c r="I53" s="520">
        <v>65.489999999999995</v>
      </c>
    </row>
    <row r="54" spans="1:9">
      <c r="A54" s="147">
        <f t="shared" si="5"/>
        <v>53</v>
      </c>
      <c r="B54" s="147">
        <v>52</v>
      </c>
      <c r="C54" s="539">
        <v>44852</v>
      </c>
      <c r="D54" s="540">
        <v>101.75</v>
      </c>
      <c r="E54" s="520">
        <v>41.13</v>
      </c>
      <c r="F54" s="520">
        <v>25.27</v>
      </c>
      <c r="G54" s="520">
        <v>46.87</v>
      </c>
      <c r="H54" s="520">
        <v>73.75</v>
      </c>
      <c r="I54" s="520">
        <v>65.86</v>
      </c>
    </row>
    <row r="55" spans="1:9">
      <c r="A55" s="147">
        <f t="shared" si="5"/>
        <v>54</v>
      </c>
      <c r="B55" s="147">
        <v>53</v>
      </c>
      <c r="C55" s="539">
        <v>44851</v>
      </c>
      <c r="D55" s="540">
        <v>99.63</v>
      </c>
      <c r="E55" s="520">
        <v>40.43</v>
      </c>
      <c r="F55" s="520">
        <v>24.89</v>
      </c>
      <c r="G55" s="520">
        <v>45.96</v>
      </c>
      <c r="H55" s="520">
        <v>72.38</v>
      </c>
      <c r="I55" s="520">
        <v>64.7</v>
      </c>
    </row>
    <row r="56" spans="1:9">
      <c r="A56" s="147">
        <f t="shared" si="5"/>
        <v>55</v>
      </c>
      <c r="B56" s="147">
        <v>54</v>
      </c>
      <c r="C56" s="539">
        <v>44848</v>
      </c>
      <c r="D56" s="540">
        <v>98.11</v>
      </c>
      <c r="E56" s="520">
        <v>39.479999999999997</v>
      </c>
      <c r="F56" s="520">
        <v>24.49</v>
      </c>
      <c r="G56" s="520">
        <v>45.31</v>
      </c>
      <c r="H56" s="520">
        <v>70.540000000000006</v>
      </c>
      <c r="I56" s="520">
        <v>63.2</v>
      </c>
    </row>
    <row r="57" spans="1:9">
      <c r="A57" s="147">
        <f t="shared" si="5"/>
        <v>56</v>
      </c>
      <c r="B57" s="147">
        <v>55</v>
      </c>
      <c r="C57" s="539">
        <v>44847</v>
      </c>
      <c r="D57" s="540">
        <v>101.46</v>
      </c>
      <c r="E57" s="520">
        <v>40.14</v>
      </c>
      <c r="F57" s="520">
        <v>25.24</v>
      </c>
      <c r="G57" s="520">
        <v>45.61</v>
      </c>
      <c r="H57" s="520">
        <v>71.959999999999994</v>
      </c>
      <c r="I57" s="520">
        <v>65.36</v>
      </c>
    </row>
    <row r="58" spans="1:9">
      <c r="A58" s="147">
        <f t="shared" si="5"/>
        <v>57</v>
      </c>
      <c r="B58" s="147">
        <v>56</v>
      </c>
      <c r="C58" s="539">
        <v>44846</v>
      </c>
      <c r="D58" s="540">
        <v>99.26</v>
      </c>
      <c r="E58" s="520">
        <v>38.770000000000003</v>
      </c>
      <c r="F58" s="520">
        <v>24.19</v>
      </c>
      <c r="G58" s="520">
        <v>43.95</v>
      </c>
      <c r="H58" s="520">
        <v>70.03</v>
      </c>
      <c r="I58" s="520">
        <v>62.94</v>
      </c>
    </row>
    <row r="59" spans="1:9">
      <c r="A59" s="147">
        <f t="shared" si="5"/>
        <v>58</v>
      </c>
      <c r="B59" s="147">
        <v>57</v>
      </c>
      <c r="C59" s="539">
        <v>44845</v>
      </c>
      <c r="D59" s="540">
        <v>102.2</v>
      </c>
      <c r="E59" s="520">
        <v>39.909999999999997</v>
      </c>
      <c r="F59" s="520">
        <v>24.87</v>
      </c>
      <c r="G59" s="520">
        <v>44.56</v>
      </c>
      <c r="H59" s="520">
        <v>72</v>
      </c>
      <c r="I59" s="520">
        <v>63.62</v>
      </c>
    </row>
    <row r="60" spans="1:9">
      <c r="A60" s="147">
        <f t="shared" si="5"/>
        <v>59</v>
      </c>
      <c r="B60" s="147">
        <v>58</v>
      </c>
      <c r="C60" s="539">
        <v>44844</v>
      </c>
      <c r="D60" s="540">
        <v>99.88</v>
      </c>
      <c r="E60" s="520">
        <v>39.28</v>
      </c>
      <c r="F60" s="520">
        <v>24.52</v>
      </c>
      <c r="G60" s="520">
        <v>42.79</v>
      </c>
      <c r="H60" s="520">
        <v>70.53</v>
      </c>
      <c r="I60" s="520">
        <v>62.04</v>
      </c>
    </row>
    <row r="61" spans="1:9">
      <c r="A61" s="147">
        <f t="shared" si="5"/>
        <v>60</v>
      </c>
      <c r="B61" s="147">
        <v>59</v>
      </c>
      <c r="C61" s="539">
        <v>44841</v>
      </c>
      <c r="D61" s="540">
        <v>99.39</v>
      </c>
      <c r="E61" s="520">
        <v>38.97</v>
      </c>
      <c r="F61" s="520">
        <v>24.51</v>
      </c>
      <c r="G61" s="520">
        <v>42.73</v>
      </c>
      <c r="H61" s="520">
        <v>70.290000000000006</v>
      </c>
      <c r="I61" s="520">
        <v>62</v>
      </c>
    </row>
    <row r="62" spans="1:9">
      <c r="A62" s="147">
        <f t="shared" si="5"/>
        <v>61</v>
      </c>
      <c r="B62" s="147">
        <v>60</v>
      </c>
      <c r="C62" s="539">
        <v>44840</v>
      </c>
      <c r="D62" s="540">
        <v>100.81</v>
      </c>
      <c r="E62" s="520">
        <v>39.76</v>
      </c>
      <c r="F62" s="520">
        <v>25.1</v>
      </c>
      <c r="G62" s="520">
        <v>43.31</v>
      </c>
      <c r="H62" s="520">
        <v>71.16</v>
      </c>
      <c r="I62" s="520">
        <v>62.97</v>
      </c>
    </row>
    <row r="63" spans="1:9">
      <c r="A63" s="147" t="e">
        <f>#REF!+1</f>
        <v>#REF!</v>
      </c>
      <c r="B63" s="147"/>
      <c r="C63" s="539"/>
      <c r="D63" s="324"/>
      <c r="E63" s="324"/>
      <c r="F63" s="324"/>
      <c r="G63" s="324"/>
      <c r="H63" s="324"/>
      <c r="I63" s="324"/>
    </row>
    <row r="64" spans="1:9">
      <c r="A64" s="147" t="e">
        <f t="shared" si="5"/>
        <v>#REF!</v>
      </c>
      <c r="B64" s="147"/>
      <c r="C64" s="539"/>
    </row>
    <row r="65" spans="1:3">
      <c r="A65" s="147" t="e">
        <f t="shared" si="5"/>
        <v>#REF!</v>
      </c>
      <c r="B65" s="147"/>
      <c r="C65" s="539"/>
    </row>
    <row r="66" spans="1:3">
      <c r="A66" s="147" t="e">
        <f t="shared" si="5"/>
        <v>#REF!</v>
      </c>
      <c r="B66" s="147"/>
      <c r="C66" s="539"/>
    </row>
    <row r="67" spans="1:3">
      <c r="A67" s="147" t="e">
        <f t="shared" si="5"/>
        <v>#REF!</v>
      </c>
      <c r="B67" s="147"/>
      <c r="C67" s="539"/>
    </row>
    <row r="68" spans="1:3">
      <c r="A68" s="147" t="e">
        <f t="shared" ref="A68:A90" si="6">A67+1</f>
        <v>#REF!</v>
      </c>
      <c r="B68" s="147"/>
      <c r="C68" s="539"/>
    </row>
    <row r="69" spans="1:3">
      <c r="A69" s="147" t="e">
        <f t="shared" si="6"/>
        <v>#REF!</v>
      </c>
      <c r="B69" s="147"/>
      <c r="C69" s="539"/>
    </row>
    <row r="70" spans="1:3">
      <c r="A70" s="147" t="e">
        <f t="shared" si="6"/>
        <v>#REF!</v>
      </c>
      <c r="B70" s="147"/>
      <c r="C70" s="539"/>
    </row>
    <row r="71" spans="1:3">
      <c r="A71" s="147" t="e">
        <f t="shared" si="6"/>
        <v>#REF!</v>
      </c>
      <c r="B71" s="147"/>
      <c r="C71" s="539"/>
    </row>
    <row r="72" spans="1:3">
      <c r="A72" s="147" t="e">
        <f t="shared" si="6"/>
        <v>#REF!</v>
      </c>
      <c r="B72" s="147"/>
      <c r="C72" s="539"/>
    </row>
    <row r="73" spans="1:3">
      <c r="A73" s="147" t="e">
        <f t="shared" si="6"/>
        <v>#REF!</v>
      </c>
      <c r="B73" s="147"/>
      <c r="C73" s="539"/>
    </row>
    <row r="74" spans="1:3">
      <c r="A74" s="147" t="e">
        <f t="shared" si="6"/>
        <v>#REF!</v>
      </c>
      <c r="B74" s="147"/>
      <c r="C74" s="539"/>
    </row>
    <row r="75" spans="1:3">
      <c r="A75" s="147" t="e">
        <f t="shared" si="6"/>
        <v>#REF!</v>
      </c>
      <c r="B75" s="147"/>
      <c r="C75" s="539"/>
    </row>
    <row r="76" spans="1:3">
      <c r="A76" s="147" t="e">
        <f t="shared" si="6"/>
        <v>#REF!</v>
      </c>
      <c r="B76" s="147"/>
      <c r="C76" s="539"/>
    </row>
    <row r="77" spans="1:3">
      <c r="A77" s="147" t="e">
        <f t="shared" si="6"/>
        <v>#REF!</v>
      </c>
      <c r="B77" s="147"/>
      <c r="C77" s="539"/>
    </row>
    <row r="78" spans="1:3">
      <c r="A78" s="147" t="e">
        <f t="shared" si="6"/>
        <v>#REF!</v>
      </c>
      <c r="B78" s="147"/>
      <c r="C78" s="539"/>
    </row>
    <row r="79" spans="1:3">
      <c r="A79" s="147" t="e">
        <f t="shared" si="6"/>
        <v>#REF!</v>
      </c>
      <c r="B79" s="147"/>
      <c r="C79" s="539"/>
    </row>
    <row r="80" spans="1:3">
      <c r="A80" s="147" t="e">
        <f t="shared" si="6"/>
        <v>#REF!</v>
      </c>
      <c r="B80" s="147"/>
      <c r="C80" s="539"/>
    </row>
    <row r="81" spans="1:3">
      <c r="A81" s="147" t="e">
        <f t="shared" si="6"/>
        <v>#REF!</v>
      </c>
      <c r="B81" s="147"/>
      <c r="C81" s="539"/>
    </row>
    <row r="82" spans="1:3">
      <c r="A82" s="147" t="e">
        <f t="shared" si="6"/>
        <v>#REF!</v>
      </c>
      <c r="B82" s="147"/>
      <c r="C82" s="539"/>
    </row>
    <row r="83" spans="1:3">
      <c r="A83" s="147" t="e">
        <f t="shared" si="6"/>
        <v>#REF!</v>
      </c>
      <c r="B83" s="147"/>
      <c r="C83" s="539"/>
    </row>
    <row r="84" spans="1:3">
      <c r="A84" s="147" t="e">
        <f t="shared" si="6"/>
        <v>#REF!</v>
      </c>
      <c r="B84" s="147"/>
      <c r="C84" s="539"/>
    </row>
    <row r="85" spans="1:3">
      <c r="A85" s="147" t="e">
        <f t="shared" si="6"/>
        <v>#REF!</v>
      </c>
      <c r="B85" s="147"/>
      <c r="C85" s="539"/>
    </row>
    <row r="86" spans="1:3">
      <c r="A86" s="147" t="e">
        <f t="shared" si="6"/>
        <v>#REF!</v>
      </c>
      <c r="B86" s="147"/>
      <c r="C86" s="539"/>
    </row>
    <row r="87" spans="1:3">
      <c r="A87" s="147" t="e">
        <f t="shared" si="6"/>
        <v>#REF!</v>
      </c>
      <c r="B87" s="147"/>
      <c r="C87" s="539"/>
    </row>
    <row r="88" spans="1:3">
      <c r="A88" s="147" t="e">
        <f t="shared" si="6"/>
        <v>#REF!</v>
      </c>
      <c r="B88" s="147"/>
      <c r="C88" s="539"/>
    </row>
    <row r="89" spans="1:3">
      <c r="A89" s="147" t="e">
        <f t="shared" si="6"/>
        <v>#REF!</v>
      </c>
      <c r="B89" s="147"/>
      <c r="C89" s="539"/>
    </row>
    <row r="90" spans="1:3">
      <c r="A90" s="147" t="e">
        <f t="shared" si="6"/>
        <v>#REF!</v>
      </c>
      <c r="B90" s="147"/>
      <c r="C90" s="539"/>
    </row>
    <row r="91" spans="1:3">
      <c r="A91" s="147" t="e">
        <f>A90+1</f>
        <v>#REF!</v>
      </c>
      <c r="B91" s="147"/>
      <c r="C91" s="539"/>
    </row>
    <row r="92" spans="1:3">
      <c r="C92" s="539"/>
    </row>
    <row r="93" spans="1:3">
      <c r="C93" s="539"/>
    </row>
    <row r="94" spans="1:3">
      <c r="C94" s="539"/>
    </row>
    <row r="95" spans="1:3">
      <c r="C95" s="539"/>
    </row>
    <row r="96" spans="1:3">
      <c r="C96" s="539"/>
    </row>
    <row r="97" spans="3:3">
      <c r="C97" s="539"/>
    </row>
    <row r="98" spans="3:3">
      <c r="C98" s="539"/>
    </row>
    <row r="99" spans="3:3">
      <c r="C99" s="539"/>
    </row>
    <row r="100" spans="3:3">
      <c r="C100" s="539"/>
    </row>
    <row r="101" spans="3:3">
      <c r="C101" s="539"/>
    </row>
    <row r="102" spans="3:3">
      <c r="C102" s="539"/>
    </row>
    <row r="103" spans="3:3">
      <c r="C103" s="539"/>
    </row>
    <row r="104" spans="3:3">
      <c r="C104" s="539"/>
    </row>
    <row r="105" spans="3:3">
      <c r="C105" s="539"/>
    </row>
    <row r="106" spans="3:3">
      <c r="C106" s="539"/>
    </row>
    <row r="107" spans="3:3">
      <c r="C107" s="539"/>
    </row>
    <row r="108" spans="3:3">
      <c r="C108" s="539"/>
    </row>
    <row r="109" spans="3:3">
      <c r="C109" s="539"/>
    </row>
    <row r="110" spans="3:3">
      <c r="C110" s="539"/>
    </row>
    <row r="111" spans="3:3">
      <c r="C111" s="539"/>
    </row>
    <row r="112" spans="3:3">
      <c r="C112" s="539"/>
    </row>
    <row r="113" spans="3:3">
      <c r="C113" s="539"/>
    </row>
    <row r="114" spans="3:3">
      <c r="C114" s="539"/>
    </row>
    <row r="115" spans="3:3">
      <c r="C115" s="539"/>
    </row>
    <row r="116" spans="3:3">
      <c r="C116" s="539"/>
    </row>
    <row r="117" spans="3:3">
      <c r="C117" s="539"/>
    </row>
    <row r="118" spans="3:3">
      <c r="C118" s="539"/>
    </row>
    <row r="119" spans="3:3">
      <c r="C119" s="539"/>
    </row>
    <row r="120" spans="3:3">
      <c r="C120" s="539"/>
    </row>
    <row r="121" spans="3:3">
      <c r="C121" s="539"/>
    </row>
    <row r="122" spans="3:3">
      <c r="C122" s="539"/>
    </row>
    <row r="123" spans="3:3">
      <c r="C123" s="539"/>
    </row>
    <row r="124" spans="3:3">
      <c r="C124" s="539"/>
    </row>
    <row r="125" spans="3:3">
      <c r="C125" s="539"/>
    </row>
    <row r="126" spans="3:3">
      <c r="C126" s="539"/>
    </row>
    <row r="127" spans="3:3">
      <c r="C127" s="539"/>
    </row>
    <row r="128" spans="3:3">
      <c r="C128" s="539"/>
    </row>
    <row r="129" spans="3:3">
      <c r="C129" s="539"/>
    </row>
    <row r="130" spans="3:3">
      <c r="C130" s="539"/>
    </row>
    <row r="131" spans="3:3">
      <c r="C131" s="539"/>
    </row>
    <row r="132" spans="3:3">
      <c r="C132" s="539"/>
    </row>
    <row r="133" spans="3:3">
      <c r="C133" s="539"/>
    </row>
    <row r="134" spans="3:3">
      <c r="C134" s="539"/>
    </row>
    <row r="135" spans="3:3">
      <c r="C135" s="539"/>
    </row>
    <row r="136" spans="3:3">
      <c r="C136" s="539"/>
    </row>
    <row r="137" spans="3:3">
      <c r="C137" s="539"/>
    </row>
    <row r="138" spans="3:3">
      <c r="C138" s="539"/>
    </row>
    <row r="139" spans="3:3">
      <c r="C139" s="539"/>
    </row>
    <row r="140" spans="3:3">
      <c r="C140" s="539"/>
    </row>
    <row r="141" spans="3:3">
      <c r="C141" s="539"/>
    </row>
    <row r="142" spans="3:3">
      <c r="C142" s="539"/>
    </row>
    <row r="143" spans="3:3">
      <c r="C143" s="539"/>
    </row>
    <row r="144" spans="3:3">
      <c r="C144" s="539"/>
    </row>
    <row r="145" spans="3:3">
      <c r="C145" s="539"/>
    </row>
    <row r="146" spans="3:3">
      <c r="C146" s="539"/>
    </row>
    <row r="147" spans="3:3">
      <c r="C147" s="539"/>
    </row>
    <row r="148" spans="3:3">
      <c r="C148" s="539"/>
    </row>
    <row r="149" spans="3:3">
      <c r="C149" s="539"/>
    </row>
    <row r="150" spans="3:3">
      <c r="C150" s="539"/>
    </row>
    <row r="151" spans="3:3">
      <c r="C151" s="539"/>
    </row>
    <row r="152" spans="3:3">
      <c r="C152" s="539"/>
    </row>
    <row r="153" spans="3:3">
      <c r="C153" s="539"/>
    </row>
    <row r="154" spans="3:3">
      <c r="C154" s="539"/>
    </row>
    <row r="155" spans="3:3">
      <c r="C155" s="539"/>
    </row>
    <row r="156" spans="3:3">
      <c r="C156" s="539"/>
    </row>
    <row r="157" spans="3:3">
      <c r="C157" s="539"/>
    </row>
    <row r="158" spans="3:3">
      <c r="C158" s="539"/>
    </row>
    <row r="159" spans="3:3">
      <c r="C159" s="539"/>
    </row>
    <row r="160" spans="3:3">
      <c r="C160" s="539"/>
    </row>
    <row r="161" spans="3:3">
      <c r="C161" s="539"/>
    </row>
    <row r="162" spans="3:3">
      <c r="C162" s="539"/>
    </row>
    <row r="163" spans="3:3">
      <c r="C163" s="539"/>
    </row>
    <row r="164" spans="3:3">
      <c r="C164" s="539"/>
    </row>
    <row r="165" spans="3:3">
      <c r="C165" s="539"/>
    </row>
    <row r="166" spans="3:3">
      <c r="C166" s="539"/>
    </row>
    <row r="167" spans="3:3">
      <c r="C167" s="539"/>
    </row>
    <row r="168" spans="3:3">
      <c r="C168" s="539"/>
    </row>
    <row r="169" spans="3:3">
      <c r="C169" s="539"/>
    </row>
    <row r="170" spans="3:3">
      <c r="C170" s="539"/>
    </row>
    <row r="171" spans="3:3">
      <c r="C171" s="539"/>
    </row>
    <row r="172" spans="3:3">
      <c r="C172" s="539"/>
    </row>
    <row r="173" spans="3:3">
      <c r="C173" s="539"/>
    </row>
    <row r="174" spans="3:3">
      <c r="C174" s="539"/>
    </row>
    <row r="175" spans="3:3">
      <c r="C175" s="539"/>
    </row>
    <row r="176" spans="3:3">
      <c r="C176" s="539"/>
    </row>
    <row r="177" spans="3:3">
      <c r="C177" s="539"/>
    </row>
    <row r="178" spans="3:3">
      <c r="C178" s="539"/>
    </row>
    <row r="179" spans="3:3">
      <c r="C179" s="539"/>
    </row>
    <row r="180" spans="3:3">
      <c r="C180" s="539"/>
    </row>
    <row r="181" spans="3:3">
      <c r="C181" s="539"/>
    </row>
    <row r="182" spans="3:3">
      <c r="C182" s="539"/>
    </row>
    <row r="183" spans="3:3">
      <c r="C183" s="539"/>
    </row>
    <row r="184" spans="3:3">
      <c r="C184" s="539"/>
    </row>
    <row r="185" spans="3:3">
      <c r="C185" s="539"/>
    </row>
    <row r="186" spans="3:3">
      <c r="C186" s="539"/>
    </row>
    <row r="187" spans="3:3">
      <c r="C187" s="539"/>
    </row>
    <row r="188" spans="3:3">
      <c r="C188" s="539"/>
    </row>
    <row r="189" spans="3:3">
      <c r="C189" s="539"/>
    </row>
    <row r="190" spans="3:3">
      <c r="C190" s="539"/>
    </row>
    <row r="191" spans="3:3">
      <c r="C191" s="539"/>
    </row>
    <row r="192" spans="3:3">
      <c r="C192" s="539"/>
    </row>
    <row r="193" spans="3:3">
      <c r="C193" s="539"/>
    </row>
    <row r="194" spans="3:3">
      <c r="C194" s="539"/>
    </row>
    <row r="195" spans="3:3">
      <c r="C195" s="539"/>
    </row>
    <row r="196" spans="3:3">
      <c r="C196" s="539"/>
    </row>
    <row r="197" spans="3:3">
      <c r="C197" s="539"/>
    </row>
    <row r="198" spans="3:3">
      <c r="C198" s="539"/>
    </row>
    <row r="199" spans="3:3">
      <c r="C199" s="539"/>
    </row>
    <row r="200" spans="3:3">
      <c r="C200" s="539"/>
    </row>
    <row r="201" spans="3:3">
      <c r="C201" s="539"/>
    </row>
    <row r="202" spans="3:3">
      <c r="C202" s="539"/>
    </row>
    <row r="203" spans="3:3">
      <c r="C203" s="539"/>
    </row>
    <row r="204" spans="3:3">
      <c r="C204" s="539"/>
    </row>
    <row r="205" spans="3:3">
      <c r="C205" s="539"/>
    </row>
    <row r="206" spans="3:3">
      <c r="C206" s="539"/>
    </row>
    <row r="207" spans="3:3">
      <c r="C207" s="539"/>
    </row>
    <row r="208" spans="3:3">
      <c r="C208" s="539"/>
    </row>
    <row r="209" spans="3:3">
      <c r="C209" s="539"/>
    </row>
    <row r="210" spans="3:3">
      <c r="C210" s="539"/>
    </row>
    <row r="211" spans="3:3">
      <c r="C211" s="539"/>
    </row>
    <row r="212" spans="3:3">
      <c r="C212" s="539"/>
    </row>
    <row r="213" spans="3:3">
      <c r="C213" s="539"/>
    </row>
    <row r="214" spans="3:3">
      <c r="C214" s="539"/>
    </row>
    <row r="215" spans="3:3">
      <c r="C215" s="539"/>
    </row>
    <row r="216" spans="3:3">
      <c r="C216" s="539"/>
    </row>
    <row r="217" spans="3:3">
      <c r="C217" s="539"/>
    </row>
    <row r="218" spans="3:3">
      <c r="C218" s="539"/>
    </row>
    <row r="219" spans="3:3">
      <c r="C219" s="539"/>
    </row>
    <row r="220" spans="3:3">
      <c r="C220" s="539"/>
    </row>
    <row r="221" spans="3:3">
      <c r="C221" s="539"/>
    </row>
    <row r="222" spans="3:3">
      <c r="C222" s="539"/>
    </row>
    <row r="223" spans="3:3">
      <c r="C223" s="539"/>
    </row>
    <row r="224" spans="3:3">
      <c r="C224" s="539"/>
    </row>
    <row r="225" spans="3:3">
      <c r="C225" s="539"/>
    </row>
    <row r="226" spans="3:3">
      <c r="C226" s="539"/>
    </row>
    <row r="227" spans="3:3">
      <c r="C227" s="539"/>
    </row>
    <row r="228" spans="3:3">
      <c r="C228" s="539"/>
    </row>
    <row r="229" spans="3:3">
      <c r="C229" s="539"/>
    </row>
    <row r="230" spans="3:3">
      <c r="C230" s="539"/>
    </row>
    <row r="231" spans="3:3">
      <c r="C231" s="539"/>
    </row>
    <row r="232" spans="3:3">
      <c r="C232" s="539"/>
    </row>
    <row r="233" spans="3:3">
      <c r="C233" s="539"/>
    </row>
    <row r="234" spans="3:3">
      <c r="C234" s="539"/>
    </row>
    <row r="235" spans="3:3">
      <c r="C235" s="539"/>
    </row>
    <row r="236" spans="3:3">
      <c r="C236" s="539"/>
    </row>
    <row r="237" spans="3:3">
      <c r="C237" s="539"/>
    </row>
    <row r="238" spans="3:3">
      <c r="C238" s="539"/>
    </row>
    <row r="239" spans="3:3">
      <c r="C239" s="539"/>
    </row>
    <row r="240" spans="3:3">
      <c r="C240" s="539"/>
    </row>
    <row r="241" spans="3:3">
      <c r="C241" s="539"/>
    </row>
    <row r="242" spans="3:3">
      <c r="C242" s="539"/>
    </row>
    <row r="243" spans="3:3">
      <c r="C243" s="539"/>
    </row>
    <row r="244" spans="3:3">
      <c r="C244" s="539"/>
    </row>
    <row r="245" spans="3:3">
      <c r="C245" s="539"/>
    </row>
    <row r="246" spans="3:3">
      <c r="C246" s="539"/>
    </row>
    <row r="247" spans="3:3">
      <c r="C247" s="539"/>
    </row>
    <row r="248" spans="3:3">
      <c r="C248" s="539"/>
    </row>
    <row r="249" spans="3:3">
      <c r="C249" s="539"/>
    </row>
    <row r="250" spans="3:3">
      <c r="C250" s="539"/>
    </row>
    <row r="251" spans="3:3">
      <c r="C251" s="539"/>
    </row>
    <row r="252" spans="3:3">
      <c r="C252" s="539"/>
    </row>
    <row r="253" spans="3:3">
      <c r="C253" s="539"/>
    </row>
    <row r="254" spans="3:3">
      <c r="C254" s="539"/>
    </row>
    <row r="255" spans="3:3">
      <c r="C255" s="539"/>
    </row>
    <row r="256" spans="3:3">
      <c r="C256" s="539"/>
    </row>
    <row r="257" spans="3:3">
      <c r="C257" s="539"/>
    </row>
    <row r="258" spans="3:3">
      <c r="C258" s="539"/>
    </row>
    <row r="259" spans="3:3">
      <c r="C259" s="539"/>
    </row>
    <row r="260" spans="3:3">
      <c r="C260" s="539"/>
    </row>
    <row r="261" spans="3:3">
      <c r="C261" s="539"/>
    </row>
    <row r="262" spans="3:3">
      <c r="C262" s="539"/>
    </row>
    <row r="263" spans="3:3">
      <c r="C263" s="539"/>
    </row>
    <row r="264" spans="3:3">
      <c r="C264" s="539"/>
    </row>
    <row r="265" spans="3:3">
      <c r="C265" s="539"/>
    </row>
    <row r="266" spans="3:3">
      <c r="C266" s="539"/>
    </row>
    <row r="267" spans="3:3">
      <c r="C267" s="539"/>
    </row>
    <row r="268" spans="3:3">
      <c r="C268" s="539"/>
    </row>
    <row r="269" spans="3:3">
      <c r="C269" s="539"/>
    </row>
    <row r="270" spans="3:3">
      <c r="C270" s="539"/>
    </row>
    <row r="271" spans="3:3">
      <c r="C271" s="539"/>
    </row>
    <row r="272" spans="3:3">
      <c r="C272" s="539"/>
    </row>
    <row r="273" spans="3:3">
      <c r="C273" s="539"/>
    </row>
    <row r="274" spans="3:3">
      <c r="C274" s="539"/>
    </row>
    <row r="275" spans="3:3">
      <c r="C275" s="539"/>
    </row>
    <row r="276" spans="3:3">
      <c r="C276" s="539"/>
    </row>
    <row r="277" spans="3:3">
      <c r="C277" s="539"/>
    </row>
    <row r="278" spans="3:3">
      <c r="C278" s="539"/>
    </row>
    <row r="279" spans="3:3">
      <c r="C279" s="539"/>
    </row>
    <row r="280" spans="3:3">
      <c r="C280" s="539"/>
    </row>
    <row r="281" spans="3:3">
      <c r="C281" s="539"/>
    </row>
    <row r="282" spans="3:3">
      <c r="C282" s="539"/>
    </row>
    <row r="283" spans="3:3">
      <c r="C283" s="539"/>
    </row>
    <row r="284" spans="3:3">
      <c r="C284" s="539"/>
    </row>
    <row r="285" spans="3:3">
      <c r="C285" s="539"/>
    </row>
    <row r="286" spans="3:3">
      <c r="C286" s="539"/>
    </row>
    <row r="287" spans="3:3">
      <c r="C287" s="539"/>
    </row>
    <row r="288" spans="3:3">
      <c r="C288" s="539"/>
    </row>
    <row r="289" spans="3:3">
      <c r="C289" s="539"/>
    </row>
    <row r="290" spans="3:3">
      <c r="C290" s="539"/>
    </row>
    <row r="291" spans="3:3">
      <c r="C291" s="539"/>
    </row>
    <row r="292" spans="3:3">
      <c r="C292" s="539"/>
    </row>
    <row r="293" spans="3:3">
      <c r="C293" s="539"/>
    </row>
    <row r="294" spans="3:3">
      <c r="C294" s="539"/>
    </row>
    <row r="295" spans="3:3">
      <c r="C295" s="539"/>
    </row>
    <row r="296" spans="3:3">
      <c r="C296" s="539"/>
    </row>
    <row r="297" spans="3:3">
      <c r="C297" s="539"/>
    </row>
    <row r="298" spans="3:3">
      <c r="C298" s="539"/>
    </row>
    <row r="299" spans="3:3">
      <c r="C299" s="539"/>
    </row>
    <row r="300" spans="3:3">
      <c r="C300" s="539"/>
    </row>
    <row r="301" spans="3:3">
      <c r="C301" s="539"/>
    </row>
    <row r="302" spans="3:3">
      <c r="C302" s="539"/>
    </row>
    <row r="303" spans="3:3">
      <c r="C303" s="539"/>
    </row>
    <row r="304" spans="3:3">
      <c r="C304" s="539"/>
    </row>
    <row r="305" spans="3:3">
      <c r="C305" s="539"/>
    </row>
    <row r="306" spans="3:3">
      <c r="C306" s="539"/>
    </row>
    <row r="307" spans="3:3">
      <c r="C307" s="539"/>
    </row>
    <row r="308" spans="3:3">
      <c r="C308" s="539"/>
    </row>
    <row r="309" spans="3:3">
      <c r="C309" s="539"/>
    </row>
    <row r="310" spans="3:3">
      <c r="C310" s="539"/>
    </row>
    <row r="311" spans="3:3">
      <c r="C311" s="539"/>
    </row>
    <row r="312" spans="3:3">
      <c r="C312" s="539"/>
    </row>
    <row r="313" spans="3:3">
      <c r="C313" s="539"/>
    </row>
    <row r="314" spans="3:3">
      <c r="C314" s="539"/>
    </row>
    <row r="315" spans="3:3">
      <c r="C315" s="539"/>
    </row>
    <row r="316" spans="3:3">
      <c r="C316" s="539"/>
    </row>
    <row r="317" spans="3:3">
      <c r="C317" s="539"/>
    </row>
    <row r="318" spans="3:3">
      <c r="C318" s="539"/>
    </row>
    <row r="319" spans="3:3">
      <c r="C319" s="539"/>
    </row>
    <row r="320" spans="3:3">
      <c r="C320" s="539"/>
    </row>
    <row r="321" spans="3:3">
      <c r="C321" s="539"/>
    </row>
    <row r="322" spans="3:3">
      <c r="C322" s="539"/>
    </row>
    <row r="323" spans="3:3">
      <c r="C323" s="539"/>
    </row>
    <row r="324" spans="3:3">
      <c r="C324" s="539"/>
    </row>
    <row r="325" spans="3:3">
      <c r="C325" s="539"/>
    </row>
    <row r="326" spans="3:3">
      <c r="C326" s="539"/>
    </row>
    <row r="327" spans="3:3">
      <c r="C327" s="539"/>
    </row>
    <row r="328" spans="3:3">
      <c r="C328" s="539"/>
    </row>
    <row r="329" spans="3:3">
      <c r="C329" s="539"/>
    </row>
    <row r="330" spans="3:3">
      <c r="C330" s="539"/>
    </row>
    <row r="331" spans="3:3">
      <c r="C331" s="539"/>
    </row>
    <row r="332" spans="3:3">
      <c r="C332" s="539"/>
    </row>
    <row r="333" spans="3:3">
      <c r="C333" s="539"/>
    </row>
    <row r="334" spans="3:3">
      <c r="C334" s="539"/>
    </row>
    <row r="335" spans="3:3">
      <c r="C335" s="539"/>
    </row>
    <row r="336" spans="3:3">
      <c r="C336" s="539"/>
    </row>
    <row r="337" spans="3:3">
      <c r="C337" s="539"/>
    </row>
    <row r="338" spans="3:3">
      <c r="C338" s="539"/>
    </row>
    <row r="339" spans="3:3">
      <c r="C339" s="539"/>
    </row>
    <row r="340" spans="3:3">
      <c r="C340" s="539"/>
    </row>
    <row r="341" spans="3:3">
      <c r="C341" s="539"/>
    </row>
    <row r="342" spans="3:3">
      <c r="C342" s="539"/>
    </row>
    <row r="343" spans="3:3">
      <c r="C343" s="539"/>
    </row>
    <row r="344" spans="3:3">
      <c r="C344" s="539"/>
    </row>
    <row r="345" spans="3:3">
      <c r="C345" s="539"/>
    </row>
    <row r="346" spans="3:3">
      <c r="C346" s="539"/>
    </row>
    <row r="347" spans="3:3">
      <c r="C347" s="539"/>
    </row>
    <row r="348" spans="3:3">
      <c r="C348" s="539"/>
    </row>
    <row r="349" spans="3:3">
      <c r="C349" s="539"/>
    </row>
    <row r="350" spans="3:3">
      <c r="C350" s="539"/>
    </row>
    <row r="351" spans="3:3">
      <c r="C351" s="539"/>
    </row>
    <row r="352" spans="3:3">
      <c r="C352" s="539"/>
    </row>
    <row r="353" spans="3:3">
      <c r="C353" s="539"/>
    </row>
    <row r="354" spans="3:3">
      <c r="C354" s="539"/>
    </row>
    <row r="355" spans="3:3">
      <c r="C355" s="539"/>
    </row>
    <row r="356" spans="3:3">
      <c r="C356" s="539"/>
    </row>
    <row r="357" spans="3:3">
      <c r="C357" s="539"/>
    </row>
    <row r="358" spans="3:3">
      <c r="C358" s="539"/>
    </row>
    <row r="359" spans="3:3">
      <c r="C359" s="539"/>
    </row>
    <row r="360" spans="3:3">
      <c r="C360" s="539"/>
    </row>
    <row r="361" spans="3:3">
      <c r="C361" s="539"/>
    </row>
    <row r="362" spans="3:3">
      <c r="C362" s="539"/>
    </row>
    <row r="363" spans="3:3">
      <c r="C363" s="539"/>
    </row>
    <row r="364" spans="3:3">
      <c r="C364" s="539"/>
    </row>
    <row r="365" spans="3:3">
      <c r="C365" s="539"/>
    </row>
    <row r="366" spans="3:3">
      <c r="C366" s="539"/>
    </row>
    <row r="367" spans="3:3">
      <c r="C367" s="539"/>
    </row>
    <row r="368" spans="3:3">
      <c r="C368" s="539"/>
    </row>
    <row r="369" spans="3:3">
      <c r="C369" s="539"/>
    </row>
    <row r="370" spans="3:3">
      <c r="C370" s="539"/>
    </row>
    <row r="371" spans="3:3">
      <c r="C371" s="539"/>
    </row>
    <row r="372" spans="3:3">
      <c r="C372" s="539"/>
    </row>
    <row r="373" spans="3:3">
      <c r="C373" s="539"/>
    </row>
    <row r="374" spans="3:3">
      <c r="C374" s="539"/>
    </row>
    <row r="375" spans="3:3">
      <c r="C375" s="539"/>
    </row>
    <row r="376" spans="3:3">
      <c r="C376" s="539"/>
    </row>
    <row r="377" spans="3:3">
      <c r="C377" s="539"/>
    </row>
    <row r="378" spans="3:3">
      <c r="C378" s="539"/>
    </row>
    <row r="379" spans="3:3">
      <c r="C379" s="539"/>
    </row>
    <row r="380" spans="3:3">
      <c r="C380" s="539"/>
    </row>
    <row r="381" spans="3:3">
      <c r="C381" s="539"/>
    </row>
    <row r="382" spans="3:3">
      <c r="C382" s="539"/>
    </row>
    <row r="383" spans="3:3">
      <c r="C383" s="539"/>
    </row>
    <row r="384" spans="3:3">
      <c r="C384" s="539"/>
    </row>
    <row r="385" spans="3:3">
      <c r="C385" s="539"/>
    </row>
    <row r="386" spans="3:3">
      <c r="C386" s="539"/>
    </row>
    <row r="387" spans="3:3">
      <c r="C387" s="539"/>
    </row>
    <row r="388" spans="3:3">
      <c r="C388" s="539"/>
    </row>
    <row r="389" spans="3:3">
      <c r="C389" s="539"/>
    </row>
    <row r="390" spans="3:3">
      <c r="C390" s="539"/>
    </row>
    <row r="391" spans="3:3">
      <c r="C391" s="539"/>
    </row>
    <row r="392" spans="3:3">
      <c r="C392" s="539"/>
    </row>
    <row r="393" spans="3:3">
      <c r="C393" s="539"/>
    </row>
    <row r="394" spans="3:3">
      <c r="C394" s="539"/>
    </row>
    <row r="395" spans="3:3">
      <c r="C395" s="539"/>
    </row>
    <row r="396" spans="3:3">
      <c r="C396" s="539"/>
    </row>
    <row r="397" spans="3:3">
      <c r="C397" s="539"/>
    </row>
    <row r="398" spans="3:3">
      <c r="C398" s="539"/>
    </row>
    <row r="399" spans="3:3">
      <c r="C399" s="539"/>
    </row>
    <row r="400" spans="3:3">
      <c r="C400" s="539"/>
    </row>
    <row r="401" spans="3:3">
      <c r="C401" s="539"/>
    </row>
    <row r="402" spans="3:3">
      <c r="C402" s="539"/>
    </row>
    <row r="403" spans="3:3">
      <c r="C403" s="539"/>
    </row>
    <row r="404" spans="3:3">
      <c r="C404" s="539"/>
    </row>
    <row r="405" spans="3:3">
      <c r="C405" s="539"/>
    </row>
    <row r="406" spans="3:3">
      <c r="C406" s="539"/>
    </row>
    <row r="407" spans="3:3">
      <c r="C407" s="539"/>
    </row>
    <row r="408" spans="3:3">
      <c r="C408" s="539"/>
    </row>
    <row r="409" spans="3:3">
      <c r="C409" s="539"/>
    </row>
    <row r="410" spans="3:3">
      <c r="C410" s="539"/>
    </row>
    <row r="411" spans="3:3">
      <c r="C411" s="539"/>
    </row>
    <row r="412" spans="3:3">
      <c r="C412" s="539"/>
    </row>
    <row r="413" spans="3:3">
      <c r="C413" s="539"/>
    </row>
    <row r="414" spans="3:3">
      <c r="C414" s="539"/>
    </row>
    <row r="415" spans="3:3">
      <c r="C415" s="539"/>
    </row>
    <row r="416" spans="3:3">
      <c r="C416" s="539"/>
    </row>
    <row r="417" spans="3:3">
      <c r="C417" s="539"/>
    </row>
    <row r="418" spans="3:3">
      <c r="C418" s="539"/>
    </row>
    <row r="419" spans="3:3">
      <c r="C419" s="539"/>
    </row>
    <row r="420" spans="3:3">
      <c r="C420" s="539"/>
    </row>
    <row r="421" spans="3:3">
      <c r="C421" s="539"/>
    </row>
    <row r="422" spans="3:3">
      <c r="C422" s="539"/>
    </row>
    <row r="423" spans="3:3">
      <c r="C423" s="539"/>
    </row>
    <row r="424" spans="3:3">
      <c r="C424" s="539"/>
    </row>
    <row r="425" spans="3:3">
      <c r="C425" s="539"/>
    </row>
    <row r="426" spans="3:3">
      <c r="C426" s="539"/>
    </row>
    <row r="427" spans="3:3">
      <c r="C427" s="539"/>
    </row>
    <row r="428" spans="3:3">
      <c r="C428" s="539"/>
    </row>
    <row r="429" spans="3:3">
      <c r="C429" s="539"/>
    </row>
    <row r="430" spans="3:3">
      <c r="C430" s="539"/>
    </row>
    <row r="431" spans="3:3">
      <c r="C431" s="539"/>
    </row>
    <row r="432" spans="3:3">
      <c r="C432" s="539"/>
    </row>
    <row r="433" spans="3:3">
      <c r="C433" s="539"/>
    </row>
    <row r="434" spans="3:3">
      <c r="C434" s="539"/>
    </row>
    <row r="435" spans="3:3">
      <c r="C435" s="539"/>
    </row>
    <row r="436" spans="3:3">
      <c r="C436" s="539"/>
    </row>
    <row r="437" spans="3:3">
      <c r="C437" s="539"/>
    </row>
    <row r="438" spans="3:3">
      <c r="C438" s="539"/>
    </row>
    <row r="439" spans="3:3">
      <c r="C439" s="539"/>
    </row>
    <row r="440" spans="3:3">
      <c r="C440" s="539"/>
    </row>
    <row r="441" spans="3:3">
      <c r="C441" s="539"/>
    </row>
    <row r="442" spans="3:3">
      <c r="C442" s="539"/>
    </row>
    <row r="443" spans="3:3">
      <c r="C443" s="539"/>
    </row>
    <row r="444" spans="3:3">
      <c r="C444" s="539"/>
    </row>
    <row r="445" spans="3:3">
      <c r="C445" s="539"/>
    </row>
    <row r="446" spans="3:3">
      <c r="C446" s="539"/>
    </row>
    <row r="447" spans="3:3">
      <c r="C447" s="539"/>
    </row>
    <row r="448" spans="3:3">
      <c r="C448" s="539"/>
    </row>
    <row r="449" spans="3:3">
      <c r="C449" s="539"/>
    </row>
    <row r="450" spans="3:3">
      <c r="C450" s="539"/>
    </row>
    <row r="451" spans="3:3">
      <c r="C451" s="539"/>
    </row>
    <row r="452" spans="3:3">
      <c r="C452" s="539"/>
    </row>
    <row r="453" spans="3:3">
      <c r="C453" s="539"/>
    </row>
    <row r="454" spans="3:3">
      <c r="C454" s="539"/>
    </row>
    <row r="455" spans="3:3">
      <c r="C455" s="539"/>
    </row>
    <row r="456" spans="3:3">
      <c r="C456" s="539"/>
    </row>
    <row r="457" spans="3:3">
      <c r="C457" s="539"/>
    </row>
    <row r="458" spans="3:3">
      <c r="C458" s="539"/>
    </row>
    <row r="459" spans="3:3">
      <c r="C459" s="539"/>
    </row>
    <row r="460" spans="3:3">
      <c r="C460" s="539"/>
    </row>
    <row r="461" spans="3:3">
      <c r="C461" s="539"/>
    </row>
    <row r="462" spans="3:3">
      <c r="C462" s="539"/>
    </row>
    <row r="463" spans="3:3">
      <c r="C463" s="539"/>
    </row>
    <row r="464" spans="3:3">
      <c r="C464" s="539"/>
    </row>
    <row r="465" spans="3:3">
      <c r="C465" s="539"/>
    </row>
    <row r="466" spans="3:3">
      <c r="C466" s="539"/>
    </row>
    <row r="467" spans="3:3">
      <c r="C467" s="539"/>
    </row>
    <row r="468" spans="3:3">
      <c r="C468" s="539"/>
    </row>
    <row r="469" spans="3:3">
      <c r="C469" s="539"/>
    </row>
    <row r="470" spans="3:3">
      <c r="C470" s="539"/>
    </row>
    <row r="471" spans="3:3">
      <c r="C471" s="539"/>
    </row>
    <row r="472" spans="3:3">
      <c r="C472" s="539"/>
    </row>
    <row r="473" spans="3:3">
      <c r="C473" s="539"/>
    </row>
    <row r="474" spans="3:3">
      <c r="C474" s="539"/>
    </row>
    <row r="475" spans="3:3">
      <c r="C475" s="539"/>
    </row>
    <row r="476" spans="3:3">
      <c r="C476" s="539"/>
    </row>
    <row r="477" spans="3:3">
      <c r="C477" s="539"/>
    </row>
    <row r="478" spans="3:3">
      <c r="C478" s="539"/>
    </row>
    <row r="479" spans="3:3">
      <c r="C479" s="539"/>
    </row>
    <row r="480" spans="3:3">
      <c r="C480" s="539"/>
    </row>
    <row r="481" spans="3:3">
      <c r="C481" s="539"/>
    </row>
    <row r="482" spans="3:3">
      <c r="C482" s="539"/>
    </row>
    <row r="483" spans="3:3">
      <c r="C483" s="539"/>
    </row>
    <row r="484" spans="3:3">
      <c r="C484" s="539"/>
    </row>
    <row r="485" spans="3:3">
      <c r="C485" s="539"/>
    </row>
    <row r="486" spans="3:3">
      <c r="C486" s="539"/>
    </row>
    <row r="487" spans="3:3">
      <c r="C487" s="539"/>
    </row>
    <row r="488" spans="3:3">
      <c r="C488" s="539"/>
    </row>
    <row r="489" spans="3:3">
      <c r="C489" s="539"/>
    </row>
    <row r="490" spans="3:3">
      <c r="C490" s="539"/>
    </row>
    <row r="491" spans="3:3">
      <c r="C491" s="539"/>
    </row>
    <row r="492" spans="3:3">
      <c r="C492" s="539"/>
    </row>
    <row r="493" spans="3:3">
      <c r="C493" s="539"/>
    </row>
    <row r="494" spans="3:3">
      <c r="C494" s="539"/>
    </row>
    <row r="495" spans="3:3">
      <c r="C495" s="539"/>
    </row>
    <row r="496" spans="3:3">
      <c r="C496" s="539"/>
    </row>
    <row r="497" spans="3:3">
      <c r="C497" s="539"/>
    </row>
    <row r="498" spans="3:3">
      <c r="C498" s="539"/>
    </row>
    <row r="499" spans="3:3">
      <c r="C499" s="539"/>
    </row>
    <row r="500" spans="3:3">
      <c r="C500" s="539"/>
    </row>
    <row r="501" spans="3:3">
      <c r="C501" s="539"/>
    </row>
    <row r="502" spans="3:3">
      <c r="C502" s="539"/>
    </row>
    <row r="503" spans="3:3">
      <c r="C503" s="539"/>
    </row>
    <row r="504" spans="3:3">
      <c r="C504" s="539"/>
    </row>
    <row r="505" spans="3:3">
      <c r="C505" s="539"/>
    </row>
    <row r="506" spans="3:3">
      <c r="C506" s="539"/>
    </row>
  </sheetData>
  <mergeCells count="1">
    <mergeCell ref="A1:A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4:BF524"/>
  <sheetViews>
    <sheetView topLeftCell="A4" zoomScale="60" zoomScaleNormal="60" workbookViewId="0">
      <pane ySplit="1" topLeftCell="A5" activePane="bottomLeft" state="frozen"/>
      <selection pane="bottomLeft" activeCell="H69" sqref="H69"/>
    </sheetView>
  </sheetViews>
  <sheetFormatPr defaultColWidth="9" defaultRowHeight="13.8"/>
  <cols>
    <col min="1" max="1" width="24.5546875" style="523" bestFit="1" customWidth="1"/>
    <col min="2" max="2" width="15" style="523" bestFit="1" customWidth="1"/>
    <col min="3" max="3" width="16.33203125" style="523" bestFit="1" customWidth="1"/>
    <col min="4" max="4" width="15.5546875" style="523" bestFit="1" customWidth="1"/>
    <col min="5" max="5" width="17" style="523" bestFit="1" customWidth="1"/>
    <col min="6" max="6" width="15.5546875" style="523" bestFit="1" customWidth="1"/>
    <col min="7" max="7" width="15.33203125" style="523" bestFit="1" customWidth="1"/>
    <col min="8" max="16384" width="9" style="523"/>
  </cols>
  <sheetData>
    <row r="4" spans="1:7">
      <c r="B4" s="524" t="str">
        <f>'Proxy Price Data'!D1</f>
        <v>ATO</v>
      </c>
      <c r="C4" s="523" t="str">
        <f>'Proxy Price Data'!E1</f>
        <v>NJR</v>
      </c>
      <c r="D4" s="523" t="str">
        <f>'Proxy Price Data'!F1</f>
        <v>NI</v>
      </c>
      <c r="E4" s="523" t="str">
        <f>'Proxy Price Data'!G1</f>
        <v>NWN</v>
      </c>
      <c r="F4" s="523" t="str">
        <f>'Proxy Price Data'!H1</f>
        <v>OGS</v>
      </c>
      <c r="G4" s="523" t="str">
        <f>'Proxy Price Data'!I1</f>
        <v>SR</v>
      </c>
    </row>
    <row r="5" spans="1:7">
      <c r="A5" s="523" t="str">
        <f>IF('Proxy Price Data'!C2="","",'Proxy Price Data'!C2)</f>
        <v>PX_LAST</v>
      </c>
      <c r="B5" s="524" t="str">
        <f>'Proxy Price Data'!D2</f>
        <v>ATO US Equity</v>
      </c>
      <c r="C5" s="523" t="str">
        <f>'Proxy Price Data'!E2</f>
        <v>NJR US Equity</v>
      </c>
      <c r="D5" s="523" t="str">
        <f>'Proxy Price Data'!F2</f>
        <v>NI US Equity</v>
      </c>
      <c r="E5" s="523" t="str">
        <f>'Proxy Price Data'!G2</f>
        <v>NWN US Equity</v>
      </c>
      <c r="F5" s="523" t="str">
        <f>'Proxy Price Data'!H2</f>
        <v>OGS US Equity</v>
      </c>
      <c r="G5" s="523" t="str">
        <f>'Proxy Price Data'!I2</f>
        <v>SR US Equity</v>
      </c>
    </row>
    <row r="6" spans="1:7">
      <c r="A6" s="525">
        <f>IF('Proxy Price Data'!C3="","",'Proxy Price Data'!C3)</f>
        <v>44925</v>
      </c>
      <c r="B6" s="530">
        <f>IF('Proxy Price Data'!D3="","",'Proxy Price Data'!D3)</f>
        <v>112.07</v>
      </c>
      <c r="C6" s="529">
        <f>IF('Proxy Price Data'!E3="","",'Proxy Price Data'!E3)</f>
        <v>49.62</v>
      </c>
      <c r="D6" s="529">
        <f>IF('Proxy Price Data'!F3="","",'Proxy Price Data'!F3)</f>
        <v>27.42</v>
      </c>
      <c r="E6" s="529">
        <f>IF('Proxy Price Data'!G3="","",'Proxy Price Data'!G3)</f>
        <v>47.59</v>
      </c>
      <c r="F6" s="529">
        <f>IF('Proxy Price Data'!H3="","",'Proxy Price Data'!H3)</f>
        <v>75.72</v>
      </c>
      <c r="G6" s="529">
        <f>IF('Proxy Price Data'!I3="","",'Proxy Price Data'!I3)</f>
        <v>68.86</v>
      </c>
    </row>
    <row r="7" spans="1:7">
      <c r="A7" s="525">
        <f>IF('Proxy Price Data'!C4="","",'Proxy Price Data'!C4)</f>
        <v>44924</v>
      </c>
      <c r="B7" s="530">
        <f>IF('Proxy Price Data'!D4="","",'Proxy Price Data'!D4)</f>
        <v>114.49</v>
      </c>
      <c r="C7" s="529">
        <f>IF('Proxy Price Data'!E4="","",'Proxy Price Data'!E4)</f>
        <v>50.01</v>
      </c>
      <c r="D7" s="529">
        <f>IF('Proxy Price Data'!F4="","",'Proxy Price Data'!F4)</f>
        <v>27.84</v>
      </c>
      <c r="E7" s="529">
        <f>IF('Proxy Price Data'!G4="","",'Proxy Price Data'!G4)</f>
        <v>48.27</v>
      </c>
      <c r="F7" s="529">
        <f>IF('Proxy Price Data'!H4="","",'Proxy Price Data'!H4)</f>
        <v>76.739999999999995</v>
      </c>
      <c r="G7" s="529">
        <f>IF('Proxy Price Data'!I4="","",'Proxy Price Data'!I4)</f>
        <v>70.19</v>
      </c>
    </row>
    <row r="8" spans="1:7">
      <c r="A8" s="525">
        <f>IF('Proxy Price Data'!C5="","",'Proxy Price Data'!C5)</f>
        <v>44923</v>
      </c>
      <c r="B8" s="530">
        <f>IF('Proxy Price Data'!D5="","",'Proxy Price Data'!D5)</f>
        <v>115.07</v>
      </c>
      <c r="C8" s="529">
        <f>IF('Proxy Price Data'!E5="","",'Proxy Price Data'!E5)</f>
        <v>49.19</v>
      </c>
      <c r="D8" s="529">
        <f>IF('Proxy Price Data'!F5="","",'Proxy Price Data'!F5)</f>
        <v>27.55</v>
      </c>
      <c r="E8" s="529">
        <f>IF('Proxy Price Data'!G5="","",'Proxy Price Data'!G5)</f>
        <v>47.31</v>
      </c>
      <c r="F8" s="529">
        <f>IF('Proxy Price Data'!H5="","",'Proxy Price Data'!H5)</f>
        <v>75.53</v>
      </c>
      <c r="G8" s="529">
        <f>IF('Proxy Price Data'!I5="","",'Proxy Price Data'!I5)</f>
        <v>69.28</v>
      </c>
    </row>
    <row r="9" spans="1:7">
      <c r="A9" s="525">
        <f>IF('Proxy Price Data'!C6="","",'Proxy Price Data'!C6)</f>
        <v>44922</v>
      </c>
      <c r="B9" s="530">
        <f>IF('Proxy Price Data'!D6="","",'Proxy Price Data'!D6)</f>
        <v>115.58</v>
      </c>
      <c r="C9" s="529">
        <f>IF('Proxy Price Data'!E6="","",'Proxy Price Data'!E6)</f>
        <v>49.53</v>
      </c>
      <c r="D9" s="529">
        <f>IF('Proxy Price Data'!F6="","",'Proxy Price Data'!F6)</f>
        <v>27.8</v>
      </c>
      <c r="E9" s="529">
        <f>IF('Proxy Price Data'!G6="","",'Proxy Price Data'!G6)</f>
        <v>47.88</v>
      </c>
      <c r="F9" s="529">
        <f>IF('Proxy Price Data'!H6="","",'Proxy Price Data'!H6)</f>
        <v>75.92</v>
      </c>
      <c r="G9" s="529">
        <f>IF('Proxy Price Data'!I6="","",'Proxy Price Data'!I6)</f>
        <v>69.930000000000007</v>
      </c>
    </row>
    <row r="10" spans="1:7">
      <c r="A10" s="525">
        <f>IF('Proxy Price Data'!C7="","",'Proxy Price Data'!C7)</f>
        <v>44918</v>
      </c>
      <c r="B10" s="530">
        <f>IF('Proxy Price Data'!D7="","",'Proxy Price Data'!D7)</f>
        <v>115.1</v>
      </c>
      <c r="C10" s="529">
        <f>IF('Proxy Price Data'!E7="","",'Proxy Price Data'!E7)</f>
        <v>49.64</v>
      </c>
      <c r="D10" s="529">
        <f>IF('Proxy Price Data'!F7="","",'Proxy Price Data'!F7)</f>
        <v>27.71</v>
      </c>
      <c r="E10" s="529">
        <f>IF('Proxy Price Data'!G7="","",'Proxy Price Data'!G7)</f>
        <v>47.72</v>
      </c>
      <c r="F10" s="529">
        <f>IF('Proxy Price Data'!H7="","",'Proxy Price Data'!H7)</f>
        <v>75.540000000000006</v>
      </c>
      <c r="G10" s="529">
        <f>IF('Proxy Price Data'!I7="","",'Proxy Price Data'!I7)</f>
        <v>69.7</v>
      </c>
    </row>
    <row r="11" spans="1:7">
      <c r="A11" s="525">
        <f>IF('Proxy Price Data'!C8="","",'Proxy Price Data'!C8)</f>
        <v>44917</v>
      </c>
      <c r="B11" s="530">
        <f>IF('Proxy Price Data'!D8="","",'Proxy Price Data'!D8)</f>
        <v>114.03</v>
      </c>
      <c r="C11" s="529">
        <f>IF('Proxy Price Data'!E8="","",'Proxy Price Data'!E8)</f>
        <v>48.8</v>
      </c>
      <c r="D11" s="529">
        <f>IF('Proxy Price Data'!F8="","",'Proxy Price Data'!F8)</f>
        <v>27.42</v>
      </c>
      <c r="E11" s="529">
        <f>IF('Proxy Price Data'!G8="","",'Proxy Price Data'!G8)</f>
        <v>46.75</v>
      </c>
      <c r="F11" s="529">
        <f>IF('Proxy Price Data'!H8="","",'Proxy Price Data'!H8)</f>
        <v>74.92</v>
      </c>
      <c r="G11" s="529">
        <f>IF('Proxy Price Data'!I8="","",'Proxy Price Data'!I8)</f>
        <v>68.47</v>
      </c>
    </row>
    <row r="12" spans="1:7">
      <c r="A12" s="525">
        <f>IF('Proxy Price Data'!C9="","",'Proxy Price Data'!C9)</f>
        <v>44916</v>
      </c>
      <c r="B12" s="530">
        <f>IF('Proxy Price Data'!D9="","",'Proxy Price Data'!D9)</f>
        <v>114.58</v>
      </c>
      <c r="C12" s="529">
        <f>IF('Proxy Price Data'!E9="","",'Proxy Price Data'!E9)</f>
        <v>49.25</v>
      </c>
      <c r="D12" s="529">
        <f>IF('Proxy Price Data'!F9="","",'Proxy Price Data'!F9)</f>
        <v>27.55</v>
      </c>
      <c r="E12" s="529">
        <f>IF('Proxy Price Data'!G9="","",'Proxy Price Data'!G9)</f>
        <v>47.34</v>
      </c>
      <c r="F12" s="529">
        <f>IF('Proxy Price Data'!H9="","",'Proxy Price Data'!H9)</f>
        <v>75.48</v>
      </c>
      <c r="G12" s="529">
        <f>IF('Proxy Price Data'!I9="","",'Proxy Price Data'!I9)</f>
        <v>68.34</v>
      </c>
    </row>
    <row r="13" spans="1:7">
      <c r="A13" s="525">
        <f>IF('Proxy Price Data'!C10="","",'Proxy Price Data'!C10)</f>
        <v>44915</v>
      </c>
      <c r="B13" s="530">
        <f>IF('Proxy Price Data'!D10="","",'Proxy Price Data'!D10)</f>
        <v>113.07</v>
      </c>
      <c r="C13" s="529">
        <f>IF('Proxy Price Data'!E10="","",'Proxy Price Data'!E10)</f>
        <v>48.65</v>
      </c>
      <c r="D13" s="529">
        <f>IF('Proxy Price Data'!F10="","",'Proxy Price Data'!F10)</f>
        <v>27.07</v>
      </c>
      <c r="E13" s="529">
        <f>IF('Proxy Price Data'!G10="","",'Proxy Price Data'!G10)</f>
        <v>47.21</v>
      </c>
      <c r="F13" s="529">
        <f>IF('Proxy Price Data'!H10="","",'Proxy Price Data'!H10)</f>
        <v>75.040000000000006</v>
      </c>
      <c r="G13" s="529">
        <f>IF('Proxy Price Data'!I10="","",'Proxy Price Data'!I10)</f>
        <v>66.56</v>
      </c>
    </row>
    <row r="14" spans="1:7">
      <c r="A14" s="525">
        <f>IF('Proxy Price Data'!C11="","",'Proxy Price Data'!C11)</f>
        <v>44914</v>
      </c>
      <c r="B14" s="530">
        <f>IF('Proxy Price Data'!D11="","",'Proxy Price Data'!D11)</f>
        <v>113.48</v>
      </c>
      <c r="C14" s="529">
        <f>IF('Proxy Price Data'!E11="","",'Proxy Price Data'!E11)</f>
        <v>48.52</v>
      </c>
      <c r="D14" s="529">
        <f>IF('Proxy Price Data'!F11="","",'Proxy Price Data'!F11)</f>
        <v>27.05</v>
      </c>
      <c r="E14" s="529">
        <f>IF('Proxy Price Data'!G11="","",'Proxy Price Data'!G11)</f>
        <v>46.83</v>
      </c>
      <c r="F14" s="529">
        <f>IF('Proxy Price Data'!H11="","",'Proxy Price Data'!H11)</f>
        <v>74.69</v>
      </c>
      <c r="G14" s="529">
        <f>IF('Proxy Price Data'!I11="","",'Proxy Price Data'!I11)</f>
        <v>66.400000000000006</v>
      </c>
    </row>
    <row r="15" spans="1:7">
      <c r="A15" s="525">
        <f>IF('Proxy Price Data'!C12="","",'Proxy Price Data'!C12)</f>
        <v>44911</v>
      </c>
      <c r="B15" s="530">
        <f>IF('Proxy Price Data'!D12="","",'Proxy Price Data'!D12)</f>
        <v>114.77</v>
      </c>
      <c r="C15" s="529">
        <f>IF('Proxy Price Data'!E12="","",'Proxy Price Data'!E12)</f>
        <v>48.57</v>
      </c>
      <c r="D15" s="529">
        <f>IF('Proxy Price Data'!F12="","",'Proxy Price Data'!F12)</f>
        <v>27.19</v>
      </c>
      <c r="E15" s="529">
        <f>IF('Proxy Price Data'!G12="","",'Proxy Price Data'!G12)</f>
        <v>46.34</v>
      </c>
      <c r="F15" s="529">
        <f>IF('Proxy Price Data'!H12="","",'Proxy Price Data'!H12)</f>
        <v>74.319999999999993</v>
      </c>
      <c r="G15" s="529">
        <f>IF('Proxy Price Data'!I12="","",'Proxy Price Data'!I12)</f>
        <v>65.8</v>
      </c>
    </row>
    <row r="16" spans="1:7">
      <c r="A16" s="525">
        <f>IF('Proxy Price Data'!C13="","",'Proxy Price Data'!C13)</f>
        <v>44910</v>
      </c>
      <c r="B16" s="530">
        <f>IF('Proxy Price Data'!D13="","",'Proxy Price Data'!D13)</f>
        <v>116.86</v>
      </c>
      <c r="C16" s="529">
        <f>IF('Proxy Price Data'!E13="","",'Proxy Price Data'!E13)</f>
        <v>49.11</v>
      </c>
      <c r="D16" s="529">
        <f>IF('Proxy Price Data'!F13="","",'Proxy Price Data'!F13)</f>
        <v>27.44</v>
      </c>
      <c r="E16" s="529">
        <f>IF('Proxy Price Data'!G13="","",'Proxy Price Data'!G13)</f>
        <v>46.91</v>
      </c>
      <c r="F16" s="529">
        <f>IF('Proxy Price Data'!H13="","",'Proxy Price Data'!H13)</f>
        <v>76.239999999999995</v>
      </c>
      <c r="G16" s="529">
        <f>IF('Proxy Price Data'!I13="","",'Proxy Price Data'!I13)</f>
        <v>66.87</v>
      </c>
    </row>
    <row r="17" spans="1:7">
      <c r="A17" s="525">
        <f>IF('Proxy Price Data'!C14="","",'Proxy Price Data'!C14)</f>
        <v>44909</v>
      </c>
      <c r="B17" s="530">
        <f>IF('Proxy Price Data'!D14="","",'Proxy Price Data'!D14)</f>
        <v>118.34</v>
      </c>
      <c r="C17" s="529">
        <f>IF('Proxy Price Data'!E14="","",'Proxy Price Data'!E14)</f>
        <v>49.88</v>
      </c>
      <c r="D17" s="529">
        <f>IF('Proxy Price Data'!F14="","",'Proxy Price Data'!F14)</f>
        <v>27.82</v>
      </c>
      <c r="E17" s="529">
        <f>IF('Proxy Price Data'!G14="","",'Proxy Price Data'!G14)</f>
        <v>47.33</v>
      </c>
      <c r="F17" s="529">
        <f>IF('Proxy Price Data'!H14="","",'Proxy Price Data'!H14)</f>
        <v>78.88</v>
      </c>
      <c r="G17" s="529">
        <f>IF('Proxy Price Data'!I14="","",'Proxy Price Data'!I14)</f>
        <v>67.849999999999994</v>
      </c>
    </row>
    <row r="18" spans="1:7">
      <c r="A18" s="525">
        <f>IF('Proxy Price Data'!C15="","",'Proxy Price Data'!C15)</f>
        <v>44908</v>
      </c>
      <c r="B18" s="530">
        <f>IF('Proxy Price Data'!D15="","",'Proxy Price Data'!D15)</f>
        <v>118.53</v>
      </c>
      <c r="C18" s="529">
        <f>IF('Proxy Price Data'!E15="","",'Proxy Price Data'!E15)</f>
        <v>49.72</v>
      </c>
      <c r="D18" s="529">
        <f>IF('Proxy Price Data'!F15="","",'Proxy Price Data'!F15)</f>
        <v>27.93</v>
      </c>
      <c r="E18" s="529">
        <f>IF('Proxy Price Data'!G15="","",'Proxy Price Data'!G15)</f>
        <v>47.88</v>
      </c>
      <c r="F18" s="529">
        <f>IF('Proxy Price Data'!H15="","",'Proxy Price Data'!H15)</f>
        <v>78.33</v>
      </c>
      <c r="G18" s="529">
        <f>IF('Proxy Price Data'!I15="","",'Proxy Price Data'!I15)</f>
        <v>68</v>
      </c>
    </row>
    <row r="19" spans="1:7">
      <c r="A19" s="525">
        <f>IF('Proxy Price Data'!C16="","",'Proxy Price Data'!C16)</f>
        <v>44907</v>
      </c>
      <c r="B19" s="530">
        <f>IF('Proxy Price Data'!D16="","",'Proxy Price Data'!D16)</f>
        <v>119</v>
      </c>
      <c r="C19" s="529">
        <f>IF('Proxy Price Data'!E16="","",'Proxy Price Data'!E16)</f>
        <v>50.71</v>
      </c>
      <c r="D19" s="529">
        <f>IF('Proxy Price Data'!F16="","",'Proxy Price Data'!F16)</f>
        <v>28.08</v>
      </c>
      <c r="E19" s="529">
        <f>IF('Proxy Price Data'!G16="","",'Proxy Price Data'!G16)</f>
        <v>48.36</v>
      </c>
      <c r="F19" s="529">
        <f>IF('Proxy Price Data'!H16="","",'Proxy Price Data'!H16)</f>
        <v>78.790000000000006</v>
      </c>
      <c r="G19" s="529">
        <f>IF('Proxy Price Data'!I16="","",'Proxy Price Data'!I16)</f>
        <v>68.42</v>
      </c>
    </row>
    <row r="20" spans="1:7">
      <c r="A20" s="525">
        <f>IF('Proxy Price Data'!C17="","",'Proxy Price Data'!C17)</f>
        <v>44904</v>
      </c>
      <c r="B20" s="530">
        <f>IF('Proxy Price Data'!D17="","",'Proxy Price Data'!D17)</f>
        <v>117.67</v>
      </c>
      <c r="C20" s="529">
        <f>IF('Proxy Price Data'!E17="","",'Proxy Price Data'!E17)</f>
        <v>49.91</v>
      </c>
      <c r="D20" s="529">
        <f>IF('Proxy Price Data'!F17="","",'Proxy Price Data'!F17)</f>
        <v>27.39</v>
      </c>
      <c r="E20" s="529">
        <f>IF('Proxy Price Data'!G17="","",'Proxy Price Data'!G17)</f>
        <v>47.97</v>
      </c>
      <c r="F20" s="529">
        <f>IF('Proxy Price Data'!H17="","",'Proxy Price Data'!H17)</f>
        <v>77.180000000000007</v>
      </c>
      <c r="G20" s="529">
        <f>IF('Proxy Price Data'!I17="","",'Proxy Price Data'!I17)</f>
        <v>67.7</v>
      </c>
    </row>
    <row r="21" spans="1:7">
      <c r="A21" s="525">
        <f>IF('Proxy Price Data'!C18="","",'Proxy Price Data'!C18)</f>
        <v>44903</v>
      </c>
      <c r="B21" s="530">
        <f>IF('Proxy Price Data'!D18="","",'Proxy Price Data'!D18)</f>
        <v>117.5</v>
      </c>
      <c r="C21" s="529">
        <f>IF('Proxy Price Data'!E18="","",'Proxy Price Data'!E18)</f>
        <v>49.85</v>
      </c>
      <c r="D21" s="529">
        <f>IF('Proxy Price Data'!F18="","",'Proxy Price Data'!F18)</f>
        <v>27.77</v>
      </c>
      <c r="E21" s="529">
        <f>IF('Proxy Price Data'!G18="","",'Proxy Price Data'!G18)</f>
        <v>47.82</v>
      </c>
      <c r="F21" s="529">
        <f>IF('Proxy Price Data'!H18="","",'Proxy Price Data'!H18)</f>
        <v>77.069999999999993</v>
      </c>
      <c r="G21" s="529">
        <f>IF('Proxy Price Data'!I18="","",'Proxy Price Data'!I18)</f>
        <v>68.81</v>
      </c>
    </row>
    <row r="22" spans="1:7">
      <c r="A22" s="525">
        <f>IF('Proxy Price Data'!C19="","",'Proxy Price Data'!C19)</f>
        <v>44902</v>
      </c>
      <c r="B22" s="530">
        <f>IF('Proxy Price Data'!D19="","",'Proxy Price Data'!D19)</f>
        <v>117.41</v>
      </c>
      <c r="C22" s="529">
        <f>IF('Proxy Price Data'!E19="","",'Proxy Price Data'!E19)</f>
        <v>49.86</v>
      </c>
      <c r="D22" s="529">
        <f>IF('Proxy Price Data'!F19="","",'Proxy Price Data'!F19)</f>
        <v>27.67</v>
      </c>
      <c r="E22" s="529">
        <f>IF('Proxy Price Data'!G19="","",'Proxy Price Data'!G19)</f>
        <v>48.21</v>
      </c>
      <c r="F22" s="529">
        <f>IF('Proxy Price Data'!H19="","",'Proxy Price Data'!H19)</f>
        <v>76.2</v>
      </c>
      <c r="G22" s="529">
        <f>IF('Proxy Price Data'!I19="","",'Proxy Price Data'!I19)</f>
        <v>68.790000000000006</v>
      </c>
    </row>
    <row r="23" spans="1:7">
      <c r="A23" s="525">
        <f>IF('Proxy Price Data'!C20="","",'Proxy Price Data'!C20)</f>
        <v>44901</v>
      </c>
      <c r="B23" s="530">
        <f>IF('Proxy Price Data'!D20="","",'Proxy Price Data'!D20)</f>
        <v>117.44</v>
      </c>
      <c r="C23" s="529">
        <f>IF('Proxy Price Data'!E20="","",'Proxy Price Data'!E20)</f>
        <v>49.6</v>
      </c>
      <c r="D23" s="529">
        <f>IF('Proxy Price Data'!F20="","",'Proxy Price Data'!F20)</f>
        <v>27.84</v>
      </c>
      <c r="E23" s="529">
        <f>IF('Proxy Price Data'!G20="","",'Proxy Price Data'!G20)</f>
        <v>47.54</v>
      </c>
      <c r="F23" s="529">
        <f>IF('Proxy Price Data'!H20="","",'Proxy Price Data'!H20)</f>
        <v>76.31</v>
      </c>
      <c r="G23" s="529">
        <f>IF('Proxy Price Data'!I20="","",'Proxy Price Data'!I20)</f>
        <v>67.52</v>
      </c>
    </row>
    <row r="24" spans="1:7">
      <c r="A24" s="525">
        <f>IF('Proxy Price Data'!C21="","",'Proxy Price Data'!C21)</f>
        <v>44900</v>
      </c>
      <c r="B24" s="530">
        <f>IF('Proxy Price Data'!D21="","",'Proxy Price Data'!D21)</f>
        <v>115.86</v>
      </c>
      <c r="C24" s="529">
        <f>IF('Proxy Price Data'!E21="","",'Proxy Price Data'!E21)</f>
        <v>48.72</v>
      </c>
      <c r="D24" s="529">
        <f>IF('Proxy Price Data'!F21="","",'Proxy Price Data'!F21)</f>
        <v>27.51</v>
      </c>
      <c r="E24" s="529">
        <f>IF('Proxy Price Data'!G21="","",'Proxy Price Data'!G21)</f>
        <v>47.33</v>
      </c>
      <c r="F24" s="529">
        <f>IF('Proxy Price Data'!H21="","",'Proxy Price Data'!H21)</f>
        <v>73.31</v>
      </c>
      <c r="G24" s="529">
        <f>IF('Proxy Price Data'!I21="","",'Proxy Price Data'!I21)</f>
        <v>65.13</v>
      </c>
    </row>
    <row r="25" spans="1:7">
      <c r="A25" s="525">
        <f>IF('Proxy Price Data'!C22="","",'Proxy Price Data'!C22)</f>
        <v>44897</v>
      </c>
      <c r="B25" s="530">
        <f>IF('Proxy Price Data'!D22="","",'Proxy Price Data'!D22)</f>
        <v>116.54</v>
      </c>
      <c r="C25" s="529">
        <f>IF('Proxy Price Data'!E22="","",'Proxy Price Data'!E22)</f>
        <v>48.77</v>
      </c>
      <c r="D25" s="529">
        <f>IF('Proxy Price Data'!F22="","",'Proxy Price Data'!F22)</f>
        <v>27.57</v>
      </c>
      <c r="E25" s="529">
        <f>IF('Proxy Price Data'!G22="","",'Proxy Price Data'!G22)</f>
        <v>46.68</v>
      </c>
      <c r="F25" s="529">
        <f>IF('Proxy Price Data'!H22="","",'Proxy Price Data'!H22)</f>
        <v>72.84</v>
      </c>
      <c r="G25" s="529">
        <f>IF('Proxy Price Data'!I22="","",'Proxy Price Data'!I22)</f>
        <v>68.739999999999995</v>
      </c>
    </row>
    <row r="26" spans="1:7">
      <c r="A26" s="525">
        <f>IF('Proxy Price Data'!C23="","",'Proxy Price Data'!C23)</f>
        <v>44896</v>
      </c>
      <c r="B26" s="530">
        <f>IF('Proxy Price Data'!D23="","",'Proxy Price Data'!D23)</f>
        <v>117.49</v>
      </c>
      <c r="C26" s="529">
        <f>IF('Proxy Price Data'!E23="","",'Proxy Price Data'!E23)</f>
        <v>48.56</v>
      </c>
      <c r="D26" s="529">
        <f>IF('Proxy Price Data'!F23="","",'Proxy Price Data'!F23)</f>
        <v>27.75</v>
      </c>
      <c r="E26" s="529">
        <f>IF('Proxy Price Data'!G23="","",'Proxy Price Data'!G23)</f>
        <v>47.65</v>
      </c>
      <c r="F26" s="529">
        <f>IF('Proxy Price Data'!H23="","",'Proxy Price Data'!H23)</f>
        <v>71.61</v>
      </c>
      <c r="G26" s="529">
        <f>IF('Proxy Price Data'!I23="","",'Proxy Price Data'!I23)</f>
        <v>71.19</v>
      </c>
    </row>
    <row r="27" spans="1:7">
      <c r="A27" s="525">
        <f>IF('Proxy Price Data'!C24="","",'Proxy Price Data'!C24)</f>
        <v>44895</v>
      </c>
      <c r="B27" s="530">
        <f>IF('Proxy Price Data'!D24="","",'Proxy Price Data'!D24)</f>
        <v>120.2</v>
      </c>
      <c r="C27" s="529">
        <f>IF('Proxy Price Data'!E24="","",'Proxy Price Data'!E24)</f>
        <v>49.75</v>
      </c>
      <c r="D27" s="529">
        <f>IF('Proxy Price Data'!F24="","",'Proxy Price Data'!F24)</f>
        <v>27.94</v>
      </c>
      <c r="E27" s="529">
        <f>IF('Proxy Price Data'!G24="","",'Proxy Price Data'!G24)</f>
        <v>50.11</v>
      </c>
      <c r="F27" s="529">
        <f>IF('Proxy Price Data'!H24="","",'Proxy Price Data'!H24)</f>
        <v>86.95</v>
      </c>
      <c r="G27" s="529">
        <f>IF('Proxy Price Data'!I24="","",'Proxy Price Data'!I24)</f>
        <v>74.099999999999994</v>
      </c>
    </row>
    <row r="28" spans="1:7">
      <c r="A28" s="525">
        <f>IF('Proxy Price Data'!C25="","",'Proxy Price Data'!C25)</f>
        <v>44894</v>
      </c>
      <c r="B28" s="530">
        <f>IF('Proxy Price Data'!D25="","",'Proxy Price Data'!D25)</f>
        <v>118.64</v>
      </c>
      <c r="C28" s="529">
        <f>IF('Proxy Price Data'!E25="","",'Proxy Price Data'!E25)</f>
        <v>48.81</v>
      </c>
      <c r="D28" s="529">
        <f>IF('Proxy Price Data'!F25="","",'Proxy Price Data'!F25)</f>
        <v>27.23</v>
      </c>
      <c r="E28" s="529">
        <f>IF('Proxy Price Data'!G25="","",'Proxy Price Data'!G25)</f>
        <v>49.41</v>
      </c>
      <c r="F28" s="529">
        <f>IF('Proxy Price Data'!H25="","",'Proxy Price Data'!H25)</f>
        <v>85.15</v>
      </c>
      <c r="G28" s="529">
        <f>IF('Proxy Price Data'!I25="","",'Proxy Price Data'!I25)</f>
        <v>73.12</v>
      </c>
    </row>
    <row r="29" spans="1:7">
      <c r="A29" s="525">
        <f>IF('Proxy Price Data'!C26="","",'Proxy Price Data'!C26)</f>
        <v>44893</v>
      </c>
      <c r="B29" s="530">
        <f>IF('Proxy Price Data'!D26="","",'Proxy Price Data'!D26)</f>
        <v>118.07</v>
      </c>
      <c r="C29" s="529">
        <f>IF('Proxy Price Data'!E26="","",'Proxy Price Data'!E26)</f>
        <v>48.82</v>
      </c>
      <c r="D29" s="529">
        <f>IF('Proxy Price Data'!F26="","",'Proxy Price Data'!F26)</f>
        <v>27.22</v>
      </c>
      <c r="E29" s="529">
        <f>IF('Proxy Price Data'!G26="","",'Proxy Price Data'!G26)</f>
        <v>49.32</v>
      </c>
      <c r="F29" s="529">
        <f>IF('Proxy Price Data'!H26="","",'Proxy Price Data'!H26)</f>
        <v>86.55</v>
      </c>
      <c r="G29" s="529">
        <f>IF('Proxy Price Data'!I26="","",'Proxy Price Data'!I26)</f>
        <v>73.67</v>
      </c>
    </row>
    <row r="30" spans="1:7">
      <c r="A30" s="525">
        <f>IF('Proxy Price Data'!C27="","",'Proxy Price Data'!C27)</f>
        <v>44890</v>
      </c>
      <c r="B30" s="530">
        <f>IF('Proxy Price Data'!D27="","",'Proxy Price Data'!D27)</f>
        <v>119.16</v>
      </c>
      <c r="C30" s="529">
        <f>IF('Proxy Price Data'!E27="","",'Proxy Price Data'!E27)</f>
        <v>49.64</v>
      </c>
      <c r="D30" s="529">
        <f>IF('Proxy Price Data'!F27="","",'Proxy Price Data'!F27)</f>
        <v>27.29</v>
      </c>
      <c r="E30" s="529">
        <f>IF('Proxy Price Data'!G27="","",'Proxy Price Data'!G27)</f>
        <v>49.59</v>
      </c>
      <c r="F30" s="529">
        <f>IF('Proxy Price Data'!H27="","",'Proxy Price Data'!H27)</f>
        <v>88.33</v>
      </c>
      <c r="G30" s="529">
        <f>IF('Proxy Price Data'!I27="","",'Proxy Price Data'!I27)</f>
        <v>74.67</v>
      </c>
    </row>
    <row r="31" spans="1:7">
      <c r="A31" s="525">
        <f>IF('Proxy Price Data'!C28="","",'Proxy Price Data'!C28)</f>
        <v>44888</v>
      </c>
      <c r="B31" s="530">
        <f>IF('Proxy Price Data'!D28="","",'Proxy Price Data'!D28)</f>
        <v>118.58</v>
      </c>
      <c r="C31" s="529">
        <f>IF('Proxy Price Data'!E28="","",'Proxy Price Data'!E28)</f>
        <v>49.25</v>
      </c>
      <c r="D31" s="529">
        <f>IF('Proxy Price Data'!F28="","",'Proxy Price Data'!F28)</f>
        <v>27.18</v>
      </c>
      <c r="E31" s="529">
        <f>IF('Proxy Price Data'!G28="","",'Proxy Price Data'!G28)</f>
        <v>49.61</v>
      </c>
      <c r="F31" s="529">
        <f>IF('Proxy Price Data'!H28="","",'Proxy Price Data'!H28)</f>
        <v>87.54</v>
      </c>
      <c r="G31" s="529">
        <f>IF('Proxy Price Data'!I28="","",'Proxy Price Data'!I28)</f>
        <v>73.66</v>
      </c>
    </row>
    <row r="32" spans="1:7">
      <c r="A32" s="525">
        <f>IF('Proxy Price Data'!C29="","",'Proxy Price Data'!C29)</f>
        <v>44887</v>
      </c>
      <c r="B32" s="530">
        <f>IF('Proxy Price Data'!D29="","",'Proxy Price Data'!D29)</f>
        <v>117.51</v>
      </c>
      <c r="C32" s="529">
        <f>IF('Proxy Price Data'!E29="","",'Proxy Price Data'!E29)</f>
        <v>49.89</v>
      </c>
      <c r="D32" s="529">
        <f>IF('Proxy Price Data'!F29="","",'Proxy Price Data'!F29)</f>
        <v>26.8</v>
      </c>
      <c r="E32" s="529">
        <f>IF('Proxy Price Data'!G29="","",'Proxy Price Data'!G29)</f>
        <v>49.74</v>
      </c>
      <c r="F32" s="529">
        <f>IF('Proxy Price Data'!H29="","",'Proxy Price Data'!H29)</f>
        <v>87.15</v>
      </c>
      <c r="G32" s="529">
        <f>IF('Proxy Price Data'!I29="","",'Proxy Price Data'!I29)</f>
        <v>73.290000000000006</v>
      </c>
    </row>
    <row r="33" spans="1:7">
      <c r="A33" s="525">
        <f>IF('Proxy Price Data'!C30="","",'Proxy Price Data'!C30)</f>
        <v>44886</v>
      </c>
      <c r="B33" s="530">
        <f>IF('Proxy Price Data'!D30="","",'Proxy Price Data'!D30)</f>
        <v>115.79</v>
      </c>
      <c r="C33" s="529">
        <f>IF('Proxy Price Data'!E30="","",'Proxy Price Data'!E30)</f>
        <v>48.93</v>
      </c>
      <c r="D33" s="529">
        <f>IF('Proxy Price Data'!F30="","",'Proxy Price Data'!F30)</f>
        <v>26.55</v>
      </c>
      <c r="E33" s="529">
        <f>IF('Proxy Price Data'!G30="","",'Proxy Price Data'!G30)</f>
        <v>49.32</v>
      </c>
      <c r="F33" s="529">
        <f>IF('Proxy Price Data'!H30="","",'Proxy Price Data'!H30)</f>
        <v>85.83</v>
      </c>
      <c r="G33" s="529">
        <f>IF('Proxy Price Data'!I30="","",'Proxy Price Data'!I30)</f>
        <v>72.45</v>
      </c>
    </row>
    <row r="34" spans="1:7">
      <c r="A34" s="525">
        <f>IF('Proxy Price Data'!C31="","",'Proxy Price Data'!C31)</f>
        <v>44883</v>
      </c>
      <c r="B34" s="530">
        <f>IF('Proxy Price Data'!D31="","",'Proxy Price Data'!D31)</f>
        <v>115.05</v>
      </c>
      <c r="C34" s="529">
        <f>IF('Proxy Price Data'!E31="","",'Proxy Price Data'!E31)</f>
        <v>47.95</v>
      </c>
      <c r="D34" s="529">
        <f>IF('Proxy Price Data'!F31="","",'Proxy Price Data'!F31)</f>
        <v>26.32</v>
      </c>
      <c r="E34" s="529">
        <f>IF('Proxy Price Data'!G31="","",'Proxy Price Data'!G31)</f>
        <v>48.69</v>
      </c>
      <c r="F34" s="529">
        <f>IF('Proxy Price Data'!H31="","",'Proxy Price Data'!H31)</f>
        <v>84.87</v>
      </c>
      <c r="G34" s="529">
        <f>IF('Proxy Price Data'!I31="","",'Proxy Price Data'!I31)</f>
        <v>70.86</v>
      </c>
    </row>
    <row r="35" spans="1:7">
      <c r="A35" s="525">
        <f>IF('Proxy Price Data'!C32="","",'Proxy Price Data'!C32)</f>
        <v>44882</v>
      </c>
      <c r="B35" s="530">
        <f>IF('Proxy Price Data'!D32="","",'Proxy Price Data'!D32)</f>
        <v>111.16</v>
      </c>
      <c r="C35" s="529">
        <f>IF('Proxy Price Data'!E32="","",'Proxy Price Data'!E32)</f>
        <v>45.58</v>
      </c>
      <c r="D35" s="529">
        <f>IF('Proxy Price Data'!F32="","",'Proxy Price Data'!F32)</f>
        <v>25.56</v>
      </c>
      <c r="E35" s="529">
        <f>IF('Proxy Price Data'!G32="","",'Proxy Price Data'!G32)</f>
        <v>47.4</v>
      </c>
      <c r="F35" s="529">
        <f>IF('Proxy Price Data'!H32="","",'Proxy Price Data'!H32)</f>
        <v>82.07</v>
      </c>
      <c r="G35" s="529">
        <f>IF('Proxy Price Data'!I32="","",'Proxy Price Data'!I32)</f>
        <v>68.599999999999994</v>
      </c>
    </row>
    <row r="36" spans="1:7">
      <c r="A36" s="525">
        <f>IF('Proxy Price Data'!C33="","",'Proxy Price Data'!C33)</f>
        <v>44881</v>
      </c>
      <c r="B36" s="530">
        <f>IF('Proxy Price Data'!D33="","",'Proxy Price Data'!D33)</f>
        <v>112.3</v>
      </c>
      <c r="C36" s="529">
        <f>IF('Proxy Price Data'!E33="","",'Proxy Price Data'!E33)</f>
        <v>44.82</v>
      </c>
      <c r="D36" s="529">
        <f>IF('Proxy Price Data'!F33="","",'Proxy Price Data'!F33)</f>
        <v>26</v>
      </c>
      <c r="E36" s="529">
        <f>IF('Proxy Price Data'!G33="","",'Proxy Price Data'!G33)</f>
        <v>47.87</v>
      </c>
      <c r="F36" s="529">
        <f>IF('Proxy Price Data'!H33="","",'Proxy Price Data'!H33)</f>
        <v>81.53</v>
      </c>
      <c r="G36" s="529">
        <f>IF('Proxy Price Data'!I33="","",'Proxy Price Data'!I33)</f>
        <v>67.760000000000005</v>
      </c>
    </row>
    <row r="37" spans="1:7">
      <c r="A37" s="525">
        <f>IF('Proxy Price Data'!C34="","",'Proxy Price Data'!C34)</f>
        <v>44880</v>
      </c>
      <c r="B37" s="530">
        <f>IF('Proxy Price Data'!D34="","",'Proxy Price Data'!D34)</f>
        <v>111.58</v>
      </c>
      <c r="C37" s="529">
        <f>IF('Proxy Price Data'!E34="","",'Proxy Price Data'!E34)</f>
        <v>45.11</v>
      </c>
      <c r="D37" s="529">
        <f>IF('Proxy Price Data'!F34="","",'Proxy Price Data'!F34)</f>
        <v>25.68</v>
      </c>
      <c r="E37" s="529">
        <f>IF('Proxy Price Data'!G34="","",'Proxy Price Data'!G34)</f>
        <v>47.91</v>
      </c>
      <c r="F37" s="529">
        <f>IF('Proxy Price Data'!H34="","",'Proxy Price Data'!H34)</f>
        <v>81.91</v>
      </c>
      <c r="G37" s="529">
        <f>IF('Proxy Price Data'!I34="","",'Proxy Price Data'!I34)</f>
        <v>70.010000000000005</v>
      </c>
    </row>
    <row r="38" spans="1:7">
      <c r="A38" s="525">
        <f>IF('Proxy Price Data'!C35="","",'Proxy Price Data'!C35)</f>
        <v>44879</v>
      </c>
      <c r="B38" s="530">
        <f>IF('Proxy Price Data'!D35="","",'Proxy Price Data'!D35)</f>
        <v>110.53</v>
      </c>
      <c r="C38" s="529">
        <f>IF('Proxy Price Data'!E35="","",'Proxy Price Data'!E35)</f>
        <v>44.45</v>
      </c>
      <c r="D38" s="529">
        <f>IF('Proxy Price Data'!F35="","",'Proxy Price Data'!F35)</f>
        <v>25.76</v>
      </c>
      <c r="E38" s="529">
        <f>IF('Proxy Price Data'!G35="","",'Proxy Price Data'!G35)</f>
        <v>47.49</v>
      </c>
      <c r="F38" s="529">
        <f>IF('Proxy Price Data'!H35="","",'Proxy Price Data'!H35)</f>
        <v>81.47</v>
      </c>
      <c r="G38" s="529">
        <f>IF('Proxy Price Data'!I35="","",'Proxy Price Data'!I35)</f>
        <v>69.55</v>
      </c>
    </row>
    <row r="39" spans="1:7">
      <c r="A39" s="525">
        <f>IF('Proxy Price Data'!C36="","",'Proxy Price Data'!C36)</f>
        <v>44876</v>
      </c>
      <c r="B39" s="530">
        <f>IF('Proxy Price Data'!D36="","",'Proxy Price Data'!D36)</f>
        <v>110.69</v>
      </c>
      <c r="C39" s="529">
        <f>IF('Proxy Price Data'!E36="","",'Proxy Price Data'!E36)</f>
        <v>45.13</v>
      </c>
      <c r="D39" s="529">
        <f>IF('Proxy Price Data'!F36="","",'Proxy Price Data'!F36)</f>
        <v>25.81</v>
      </c>
      <c r="E39" s="529">
        <f>IF('Proxy Price Data'!G36="","",'Proxy Price Data'!G36)</f>
        <v>47.19</v>
      </c>
      <c r="F39" s="529">
        <f>IF('Proxy Price Data'!H36="","",'Proxy Price Data'!H36)</f>
        <v>81.36</v>
      </c>
      <c r="G39" s="529">
        <f>IF('Proxy Price Data'!I36="","",'Proxy Price Data'!I36)</f>
        <v>70.540000000000006</v>
      </c>
    </row>
    <row r="40" spans="1:7">
      <c r="A40" s="525">
        <f>IF('Proxy Price Data'!C37="","",'Proxy Price Data'!C37)</f>
        <v>44875</v>
      </c>
      <c r="B40" s="530">
        <f>IF('Proxy Price Data'!D37="","",'Proxy Price Data'!D37)</f>
        <v>111.8</v>
      </c>
      <c r="C40" s="529">
        <f>IF('Proxy Price Data'!E37="","",'Proxy Price Data'!E37)</f>
        <v>46</v>
      </c>
      <c r="D40" s="529">
        <f>IF('Proxy Price Data'!F37="","",'Proxy Price Data'!F37)</f>
        <v>26.09</v>
      </c>
      <c r="E40" s="529">
        <f>IF('Proxy Price Data'!G37="","",'Proxy Price Data'!G37)</f>
        <v>47.08</v>
      </c>
      <c r="F40" s="529">
        <f>IF('Proxy Price Data'!H37="","",'Proxy Price Data'!H37)</f>
        <v>82.31</v>
      </c>
      <c r="G40" s="529">
        <f>IF('Proxy Price Data'!I37="","",'Proxy Price Data'!I37)</f>
        <v>71.11</v>
      </c>
    </row>
    <row r="41" spans="1:7">
      <c r="A41" s="525">
        <f>IF('Proxy Price Data'!C38="","",'Proxy Price Data'!C38)</f>
        <v>44874</v>
      </c>
      <c r="B41" s="530">
        <f>IF('Proxy Price Data'!D38="","",'Proxy Price Data'!D38)</f>
        <v>103.15</v>
      </c>
      <c r="C41" s="529">
        <f>IF('Proxy Price Data'!E38="","",'Proxy Price Data'!E38)</f>
        <v>43.92</v>
      </c>
      <c r="D41" s="529">
        <f>IF('Proxy Price Data'!F38="","",'Proxy Price Data'!F38)</f>
        <v>24.89</v>
      </c>
      <c r="E41" s="529">
        <f>IF('Proxy Price Data'!G38="","",'Proxy Price Data'!G38)</f>
        <v>45.4</v>
      </c>
      <c r="F41" s="529">
        <f>IF('Proxy Price Data'!H38="","",'Proxy Price Data'!H38)</f>
        <v>78.290000000000006</v>
      </c>
      <c r="G41" s="529">
        <f>IF('Proxy Price Data'!I38="","",'Proxy Price Data'!I38)</f>
        <v>68.41</v>
      </c>
    </row>
    <row r="42" spans="1:7">
      <c r="A42" s="525">
        <f>IF('Proxy Price Data'!C39="","",'Proxy Price Data'!C39)</f>
        <v>44873</v>
      </c>
      <c r="B42" s="530">
        <f>IF('Proxy Price Data'!D39="","",'Proxy Price Data'!D39)</f>
        <v>104.64</v>
      </c>
      <c r="C42" s="529">
        <f>IF('Proxy Price Data'!E39="","",'Proxy Price Data'!E39)</f>
        <v>44.17</v>
      </c>
      <c r="D42" s="529">
        <f>IF('Proxy Price Data'!F39="","",'Proxy Price Data'!F39)</f>
        <v>24.93</v>
      </c>
      <c r="E42" s="529">
        <f>IF('Proxy Price Data'!G39="","",'Proxy Price Data'!G39)</f>
        <v>44.52</v>
      </c>
      <c r="F42" s="529">
        <f>IF('Proxy Price Data'!H39="","",'Proxy Price Data'!H39)</f>
        <v>78.22</v>
      </c>
      <c r="G42" s="529">
        <f>IF('Proxy Price Data'!I39="","",'Proxy Price Data'!I39)</f>
        <v>67.98</v>
      </c>
    </row>
    <row r="43" spans="1:7">
      <c r="A43" s="525">
        <f>IF('Proxy Price Data'!C40="","",'Proxy Price Data'!C40)</f>
        <v>44872</v>
      </c>
      <c r="B43" s="530">
        <f>IF('Proxy Price Data'!D40="","",'Proxy Price Data'!D40)</f>
        <v>103.97</v>
      </c>
      <c r="C43" s="529">
        <f>IF('Proxy Price Data'!E40="","",'Proxy Price Data'!E40)</f>
        <v>43.39</v>
      </c>
      <c r="D43" s="529">
        <f>IF('Proxy Price Data'!F40="","",'Proxy Price Data'!F40)</f>
        <v>24.37</v>
      </c>
      <c r="E43" s="529">
        <f>IF('Proxy Price Data'!G40="","",'Proxy Price Data'!G40)</f>
        <v>44.94</v>
      </c>
      <c r="F43" s="529">
        <f>IF('Proxy Price Data'!H40="","",'Proxy Price Data'!H40)</f>
        <v>77.77</v>
      </c>
      <c r="G43" s="529">
        <f>IF('Proxy Price Data'!I40="","",'Proxy Price Data'!I40)</f>
        <v>67.430000000000007</v>
      </c>
    </row>
    <row r="44" spans="1:7">
      <c r="A44" s="525">
        <f>IF('Proxy Price Data'!C41="","",'Proxy Price Data'!C41)</f>
        <v>44869</v>
      </c>
      <c r="B44" s="530">
        <f>IF('Proxy Price Data'!D41="","",'Proxy Price Data'!D41)</f>
        <v>106.03</v>
      </c>
      <c r="C44" s="529">
        <f>IF('Proxy Price Data'!E41="","",'Proxy Price Data'!E41)</f>
        <v>44.28</v>
      </c>
      <c r="D44" s="529">
        <f>IF('Proxy Price Data'!F41="","",'Proxy Price Data'!F41)</f>
        <v>25.89</v>
      </c>
      <c r="E44" s="529">
        <f>IF('Proxy Price Data'!G41="","",'Proxy Price Data'!G41)</f>
        <v>46.64</v>
      </c>
      <c r="F44" s="529">
        <f>IF('Proxy Price Data'!H41="","",'Proxy Price Data'!H41)</f>
        <v>80.900000000000006</v>
      </c>
      <c r="G44" s="529">
        <f>IF('Proxy Price Data'!I41="","",'Proxy Price Data'!I41)</f>
        <v>68.48</v>
      </c>
    </row>
    <row r="45" spans="1:7">
      <c r="A45" s="525">
        <f>IF('Proxy Price Data'!C42="","",'Proxy Price Data'!C42)</f>
        <v>44868</v>
      </c>
      <c r="B45" s="530">
        <f>IF('Proxy Price Data'!D42="","",'Proxy Price Data'!D42)</f>
        <v>104.74</v>
      </c>
      <c r="C45" s="529">
        <f>IF('Proxy Price Data'!E42="","",'Proxy Price Data'!E42)</f>
        <v>44.26</v>
      </c>
      <c r="D45" s="529">
        <f>IF('Proxy Price Data'!F42="","",'Proxy Price Data'!F42)</f>
        <v>25.66</v>
      </c>
      <c r="E45" s="529">
        <f>IF('Proxy Price Data'!G42="","",'Proxy Price Data'!G42)</f>
        <v>46.1</v>
      </c>
      <c r="F45" s="529">
        <f>IF('Proxy Price Data'!H42="","",'Proxy Price Data'!H42)</f>
        <v>79.930000000000007</v>
      </c>
      <c r="G45" s="529">
        <f>IF('Proxy Price Data'!I42="","",'Proxy Price Data'!I42)</f>
        <v>67.930000000000007</v>
      </c>
    </row>
    <row r="46" spans="1:7">
      <c r="A46" s="525">
        <f>IF('Proxy Price Data'!C43="","",'Proxy Price Data'!C43)</f>
        <v>44867</v>
      </c>
      <c r="B46" s="530">
        <f>IF('Proxy Price Data'!D43="","",'Proxy Price Data'!D43)</f>
        <v>105.55</v>
      </c>
      <c r="C46" s="529">
        <f>IF('Proxy Price Data'!E43="","",'Proxy Price Data'!E43)</f>
        <v>44.52</v>
      </c>
      <c r="D46" s="529">
        <f>IF('Proxy Price Data'!F43="","",'Proxy Price Data'!F43)</f>
        <v>25.62</v>
      </c>
      <c r="E46" s="529">
        <f>IF('Proxy Price Data'!G43="","",'Proxy Price Data'!G43)</f>
        <v>46.8</v>
      </c>
      <c r="F46" s="529">
        <f>IF('Proxy Price Data'!H43="","",'Proxy Price Data'!H43)</f>
        <v>79.37</v>
      </c>
      <c r="G46" s="529">
        <f>IF('Proxy Price Data'!I43="","",'Proxy Price Data'!I43)</f>
        <v>69.180000000000007</v>
      </c>
    </row>
    <row r="47" spans="1:7">
      <c r="A47" s="525">
        <f>IF('Proxy Price Data'!C44="","",'Proxy Price Data'!C44)</f>
        <v>44866</v>
      </c>
      <c r="B47" s="530">
        <f>IF('Proxy Price Data'!D44="","",'Proxy Price Data'!D44)</f>
        <v>106.27</v>
      </c>
      <c r="C47" s="529">
        <f>IF('Proxy Price Data'!E44="","",'Proxy Price Data'!E44)</f>
        <v>45.11</v>
      </c>
      <c r="D47" s="529">
        <f>IF('Proxy Price Data'!F44="","",'Proxy Price Data'!F44)</f>
        <v>25.83</v>
      </c>
      <c r="E47" s="529">
        <f>IF('Proxy Price Data'!G44="","",'Proxy Price Data'!G44)</f>
        <v>47.75</v>
      </c>
      <c r="F47" s="529">
        <f>IF('Proxy Price Data'!H44="","",'Proxy Price Data'!H44)</f>
        <v>80.03</v>
      </c>
      <c r="G47" s="529">
        <f>IF('Proxy Price Data'!I44="","",'Proxy Price Data'!I44)</f>
        <v>70.349999999999994</v>
      </c>
    </row>
    <row r="48" spans="1:7">
      <c r="A48" s="525">
        <f>IF('Proxy Price Data'!C45="","",'Proxy Price Data'!C45)</f>
        <v>44865</v>
      </c>
      <c r="B48" s="530">
        <f>IF('Proxy Price Data'!D45="","",'Proxy Price Data'!D45)</f>
        <v>106.55</v>
      </c>
      <c r="C48" s="529">
        <f>IF('Proxy Price Data'!E45="","",'Proxy Price Data'!E45)</f>
        <v>44.64</v>
      </c>
      <c r="D48" s="529">
        <f>IF('Proxy Price Data'!F45="","",'Proxy Price Data'!F45)</f>
        <v>25.69</v>
      </c>
      <c r="E48" s="529">
        <f>IF('Proxy Price Data'!G45="","",'Proxy Price Data'!G45)</f>
        <v>48.09</v>
      </c>
      <c r="F48" s="529">
        <f>IF('Proxy Price Data'!H45="","",'Proxy Price Data'!H45)</f>
        <v>77.48</v>
      </c>
      <c r="G48" s="529">
        <f>IF('Proxy Price Data'!I45="","",'Proxy Price Data'!I45)</f>
        <v>69.81</v>
      </c>
    </row>
    <row r="49" spans="1:7">
      <c r="A49" s="525">
        <f>IF('Proxy Price Data'!C46="","",'Proxy Price Data'!C46)</f>
        <v>44862</v>
      </c>
      <c r="B49" s="530">
        <f>IF('Proxy Price Data'!D46="","",'Proxy Price Data'!D46)</f>
        <v>107.11</v>
      </c>
      <c r="C49" s="529">
        <f>IF('Proxy Price Data'!E46="","",'Proxy Price Data'!E46)</f>
        <v>45.28</v>
      </c>
      <c r="D49" s="529">
        <f>IF('Proxy Price Data'!F46="","",'Proxy Price Data'!F46)</f>
        <v>25.89</v>
      </c>
      <c r="E49" s="529">
        <f>IF('Proxy Price Data'!G46="","",'Proxy Price Data'!G46)</f>
        <v>48.12</v>
      </c>
      <c r="F49" s="529">
        <f>IF('Proxy Price Data'!H46="","",'Proxy Price Data'!H46)</f>
        <v>77.2</v>
      </c>
      <c r="G49" s="529">
        <f>IF('Proxy Price Data'!I46="","",'Proxy Price Data'!I46)</f>
        <v>69.7</v>
      </c>
    </row>
    <row r="50" spans="1:7">
      <c r="A50" s="525">
        <f>IF('Proxy Price Data'!C47="","",'Proxy Price Data'!C47)</f>
        <v>44861</v>
      </c>
      <c r="B50" s="530">
        <f>IF('Proxy Price Data'!D47="","",'Proxy Price Data'!D47)</f>
        <v>104.69</v>
      </c>
      <c r="C50" s="529">
        <f>IF('Proxy Price Data'!E47="","",'Proxy Price Data'!E47)</f>
        <v>44.44</v>
      </c>
      <c r="D50" s="529">
        <f>IF('Proxy Price Data'!F47="","",'Proxy Price Data'!F47)</f>
        <v>25.37</v>
      </c>
      <c r="E50" s="529">
        <f>IF('Proxy Price Data'!G47="","",'Proxy Price Data'!G47)</f>
        <v>47.45</v>
      </c>
      <c r="F50" s="529">
        <f>IF('Proxy Price Data'!H47="","",'Proxy Price Data'!H47)</f>
        <v>75.59</v>
      </c>
      <c r="G50" s="529">
        <f>IF('Proxy Price Data'!I47="","",'Proxy Price Data'!I47)</f>
        <v>69.099999999999994</v>
      </c>
    </row>
    <row r="51" spans="1:7">
      <c r="A51" s="525">
        <f>IF('Proxy Price Data'!C48="","",'Proxy Price Data'!C48)</f>
        <v>44860</v>
      </c>
      <c r="B51" s="530">
        <f>IF('Proxy Price Data'!D48="","",'Proxy Price Data'!D48)</f>
        <v>103.42</v>
      </c>
      <c r="C51" s="529">
        <f>IF('Proxy Price Data'!E48="","",'Proxy Price Data'!E48)</f>
        <v>43.65</v>
      </c>
      <c r="D51" s="529">
        <f>IF('Proxy Price Data'!F48="","",'Proxy Price Data'!F48)</f>
        <v>25.17</v>
      </c>
      <c r="E51" s="529">
        <f>IF('Proxy Price Data'!G48="","",'Proxy Price Data'!G48)</f>
        <v>46.67</v>
      </c>
      <c r="F51" s="529">
        <f>IF('Proxy Price Data'!H48="","",'Proxy Price Data'!H48)</f>
        <v>74.45</v>
      </c>
      <c r="G51" s="529">
        <f>IF('Proxy Price Data'!I48="","",'Proxy Price Data'!I48)</f>
        <v>67.930000000000007</v>
      </c>
    </row>
    <row r="52" spans="1:7">
      <c r="A52" s="525">
        <f>IF('Proxy Price Data'!C49="","",'Proxy Price Data'!C49)</f>
        <v>44859</v>
      </c>
      <c r="B52" s="530">
        <f>IF('Proxy Price Data'!D49="","",'Proxy Price Data'!D49)</f>
        <v>103.32</v>
      </c>
      <c r="C52" s="529">
        <f>IF('Proxy Price Data'!E49="","",'Proxy Price Data'!E49)</f>
        <v>42.98</v>
      </c>
      <c r="D52" s="529">
        <f>IF('Proxy Price Data'!F49="","",'Proxy Price Data'!F49)</f>
        <v>25.13</v>
      </c>
      <c r="E52" s="529">
        <f>IF('Proxy Price Data'!G49="","",'Proxy Price Data'!G49)</f>
        <v>46.43</v>
      </c>
      <c r="F52" s="529">
        <f>IF('Proxy Price Data'!H49="","",'Proxy Price Data'!H49)</f>
        <v>73.709999999999994</v>
      </c>
      <c r="G52" s="529">
        <f>IF('Proxy Price Data'!I49="","",'Proxy Price Data'!I49)</f>
        <v>66.900000000000006</v>
      </c>
    </row>
    <row r="53" spans="1:7">
      <c r="A53" s="525">
        <f>IF('Proxy Price Data'!C50="","",'Proxy Price Data'!C50)</f>
        <v>44858</v>
      </c>
      <c r="B53" s="530">
        <f>IF('Proxy Price Data'!D50="","",'Proxy Price Data'!D50)</f>
        <v>101.35</v>
      </c>
      <c r="C53" s="529">
        <f>IF('Proxy Price Data'!E50="","",'Proxy Price Data'!E50)</f>
        <v>42.19</v>
      </c>
      <c r="D53" s="529">
        <f>IF('Proxy Price Data'!F50="","",'Proxy Price Data'!F50)</f>
        <v>24.67</v>
      </c>
      <c r="E53" s="529">
        <f>IF('Proxy Price Data'!G50="","",'Proxy Price Data'!G50)</f>
        <v>45.45</v>
      </c>
      <c r="F53" s="529">
        <f>IF('Proxy Price Data'!H50="","",'Proxy Price Data'!H50)</f>
        <v>72.98</v>
      </c>
      <c r="G53" s="529">
        <f>IF('Proxy Price Data'!I50="","",'Proxy Price Data'!I50)</f>
        <v>65.599999999999994</v>
      </c>
    </row>
    <row r="54" spans="1:7">
      <c r="A54" s="525">
        <f>IF('Proxy Price Data'!C51="","",'Proxy Price Data'!C51)</f>
        <v>44855</v>
      </c>
      <c r="B54" s="530">
        <f>IF('Proxy Price Data'!D51="","",'Proxy Price Data'!D51)</f>
        <v>101.74</v>
      </c>
      <c r="C54" s="529">
        <f>IF('Proxy Price Data'!E51="","",'Proxy Price Data'!E51)</f>
        <v>42.08</v>
      </c>
      <c r="D54" s="529">
        <f>IF('Proxy Price Data'!F51="","",'Proxy Price Data'!F51)</f>
        <v>24.49</v>
      </c>
      <c r="E54" s="529">
        <f>IF('Proxy Price Data'!G51="","",'Proxy Price Data'!G51)</f>
        <v>45.81</v>
      </c>
      <c r="F54" s="529">
        <f>IF('Proxy Price Data'!H51="","",'Proxy Price Data'!H51)</f>
        <v>73.08</v>
      </c>
      <c r="G54" s="529">
        <f>IF('Proxy Price Data'!I51="","",'Proxy Price Data'!I51)</f>
        <v>65.36</v>
      </c>
    </row>
    <row r="55" spans="1:7">
      <c r="A55" s="525">
        <f>IF('Proxy Price Data'!C52="","",'Proxy Price Data'!C52)</f>
        <v>44854</v>
      </c>
      <c r="B55" s="530">
        <f>IF('Proxy Price Data'!D52="","",'Proxy Price Data'!D52)</f>
        <v>100.11</v>
      </c>
      <c r="C55" s="529">
        <f>IF('Proxy Price Data'!E52="","",'Proxy Price Data'!E52)</f>
        <v>40.770000000000003</v>
      </c>
      <c r="D55" s="529">
        <f>IF('Proxy Price Data'!F52="","",'Proxy Price Data'!F52)</f>
        <v>24.15</v>
      </c>
      <c r="E55" s="529">
        <f>IF('Proxy Price Data'!G52="","",'Proxy Price Data'!G52)</f>
        <v>45.15</v>
      </c>
      <c r="F55" s="529">
        <f>IF('Proxy Price Data'!H52="","",'Proxy Price Data'!H52)</f>
        <v>72.39</v>
      </c>
      <c r="G55" s="529">
        <f>IF('Proxy Price Data'!I52="","",'Proxy Price Data'!I52)</f>
        <v>64.8</v>
      </c>
    </row>
    <row r="56" spans="1:7">
      <c r="A56" s="525">
        <f>IF('Proxy Price Data'!C53="","",'Proxy Price Data'!C53)</f>
        <v>44853</v>
      </c>
      <c r="B56" s="530">
        <f>IF('Proxy Price Data'!D53="","",'Proxy Price Data'!D53)</f>
        <v>102.04</v>
      </c>
      <c r="C56" s="529">
        <f>IF('Proxy Price Data'!E53="","",'Proxy Price Data'!E53)</f>
        <v>41.19</v>
      </c>
      <c r="D56" s="529">
        <f>IF('Proxy Price Data'!F53="","",'Proxy Price Data'!F53)</f>
        <v>24.88</v>
      </c>
      <c r="E56" s="529">
        <f>IF('Proxy Price Data'!G53="","",'Proxy Price Data'!G53)</f>
        <v>46.19</v>
      </c>
      <c r="F56" s="529">
        <f>IF('Proxy Price Data'!H53="","",'Proxy Price Data'!H53)</f>
        <v>73.8</v>
      </c>
      <c r="G56" s="529">
        <f>IF('Proxy Price Data'!I53="","",'Proxy Price Data'!I53)</f>
        <v>65.489999999999995</v>
      </c>
    </row>
    <row r="57" spans="1:7">
      <c r="A57" s="525">
        <f>IF('Proxy Price Data'!C54="","",'Proxy Price Data'!C54)</f>
        <v>44852</v>
      </c>
      <c r="B57" s="530">
        <f>IF('Proxy Price Data'!D54="","",'Proxy Price Data'!D54)</f>
        <v>101.75</v>
      </c>
      <c r="C57" s="529">
        <f>IF('Proxy Price Data'!E54="","",'Proxy Price Data'!E54)</f>
        <v>41.13</v>
      </c>
      <c r="D57" s="529">
        <f>IF('Proxy Price Data'!F54="","",'Proxy Price Data'!F54)</f>
        <v>25.27</v>
      </c>
      <c r="E57" s="529">
        <f>IF('Proxy Price Data'!G54="","",'Proxy Price Data'!G54)</f>
        <v>46.87</v>
      </c>
      <c r="F57" s="529">
        <f>IF('Proxy Price Data'!H54="","",'Proxy Price Data'!H54)</f>
        <v>73.75</v>
      </c>
      <c r="G57" s="529">
        <f>IF('Proxy Price Data'!I54="","",'Proxy Price Data'!I54)</f>
        <v>65.86</v>
      </c>
    </row>
    <row r="58" spans="1:7">
      <c r="A58" s="525">
        <f>IF('Proxy Price Data'!C55="","",'Proxy Price Data'!C55)</f>
        <v>44851</v>
      </c>
      <c r="B58" s="530">
        <f>IF('Proxy Price Data'!D55="","",'Proxy Price Data'!D55)</f>
        <v>99.63</v>
      </c>
      <c r="C58" s="529">
        <f>IF('Proxy Price Data'!E55="","",'Proxy Price Data'!E55)</f>
        <v>40.43</v>
      </c>
      <c r="D58" s="529">
        <f>IF('Proxy Price Data'!F55="","",'Proxy Price Data'!F55)</f>
        <v>24.89</v>
      </c>
      <c r="E58" s="529">
        <f>IF('Proxy Price Data'!G55="","",'Proxy Price Data'!G55)</f>
        <v>45.96</v>
      </c>
      <c r="F58" s="529">
        <f>IF('Proxy Price Data'!H55="","",'Proxy Price Data'!H55)</f>
        <v>72.38</v>
      </c>
      <c r="G58" s="529">
        <f>IF('Proxy Price Data'!I55="","",'Proxy Price Data'!I55)</f>
        <v>64.7</v>
      </c>
    </row>
    <row r="59" spans="1:7">
      <c r="A59" s="525">
        <f>IF('Proxy Price Data'!C56="","",'Proxy Price Data'!C56)</f>
        <v>44848</v>
      </c>
      <c r="B59" s="530">
        <f>IF('Proxy Price Data'!D56="","",'Proxy Price Data'!D56)</f>
        <v>98.11</v>
      </c>
      <c r="C59" s="529">
        <f>IF('Proxy Price Data'!E56="","",'Proxy Price Data'!E56)</f>
        <v>39.479999999999997</v>
      </c>
      <c r="D59" s="529">
        <f>IF('Proxy Price Data'!F56="","",'Proxy Price Data'!F56)</f>
        <v>24.49</v>
      </c>
      <c r="E59" s="529">
        <f>IF('Proxy Price Data'!G56="","",'Proxy Price Data'!G56)</f>
        <v>45.31</v>
      </c>
      <c r="F59" s="529">
        <f>IF('Proxy Price Data'!H56="","",'Proxy Price Data'!H56)</f>
        <v>70.540000000000006</v>
      </c>
      <c r="G59" s="529">
        <f>IF('Proxy Price Data'!I56="","",'Proxy Price Data'!I56)</f>
        <v>63.2</v>
      </c>
    </row>
    <row r="60" spans="1:7">
      <c r="A60" s="525">
        <f>IF('Proxy Price Data'!C57="","",'Proxy Price Data'!C57)</f>
        <v>44847</v>
      </c>
      <c r="B60" s="530">
        <f>IF('Proxy Price Data'!D57="","",'Proxy Price Data'!D57)</f>
        <v>101.46</v>
      </c>
      <c r="C60" s="529">
        <f>IF('Proxy Price Data'!E57="","",'Proxy Price Data'!E57)</f>
        <v>40.14</v>
      </c>
      <c r="D60" s="529">
        <f>IF('Proxy Price Data'!F57="","",'Proxy Price Data'!F57)</f>
        <v>25.24</v>
      </c>
      <c r="E60" s="529">
        <f>IF('Proxy Price Data'!G57="","",'Proxy Price Data'!G57)</f>
        <v>45.61</v>
      </c>
      <c r="F60" s="529">
        <f>IF('Proxy Price Data'!H57="","",'Proxy Price Data'!H57)</f>
        <v>71.959999999999994</v>
      </c>
      <c r="G60" s="529">
        <f>IF('Proxy Price Data'!I57="","",'Proxy Price Data'!I57)</f>
        <v>65.36</v>
      </c>
    </row>
    <row r="61" spans="1:7">
      <c r="A61" s="525">
        <f>IF('Proxy Price Data'!C58="","",'Proxy Price Data'!C58)</f>
        <v>44846</v>
      </c>
      <c r="B61" s="530">
        <f>IF('Proxy Price Data'!D58="","",'Proxy Price Data'!D58)</f>
        <v>99.26</v>
      </c>
      <c r="C61" s="529">
        <f>IF('Proxy Price Data'!E58="","",'Proxy Price Data'!E58)</f>
        <v>38.770000000000003</v>
      </c>
      <c r="D61" s="529">
        <f>IF('Proxy Price Data'!F58="","",'Proxy Price Data'!F58)</f>
        <v>24.19</v>
      </c>
      <c r="E61" s="529">
        <f>IF('Proxy Price Data'!G58="","",'Proxy Price Data'!G58)</f>
        <v>43.95</v>
      </c>
      <c r="F61" s="529">
        <f>IF('Proxy Price Data'!H58="","",'Proxy Price Data'!H58)</f>
        <v>70.03</v>
      </c>
      <c r="G61" s="529">
        <f>IF('Proxy Price Data'!I58="","",'Proxy Price Data'!I58)</f>
        <v>62.94</v>
      </c>
    </row>
    <row r="62" spans="1:7">
      <c r="A62" s="525">
        <f>IF('Proxy Price Data'!C59="","",'Proxy Price Data'!C59)</f>
        <v>44845</v>
      </c>
      <c r="B62" s="530">
        <f>IF('Proxy Price Data'!D59="","",'Proxy Price Data'!D59)</f>
        <v>102.2</v>
      </c>
      <c r="C62" s="529">
        <f>IF('Proxy Price Data'!E59="","",'Proxy Price Data'!E59)</f>
        <v>39.909999999999997</v>
      </c>
      <c r="D62" s="529">
        <f>IF('Proxy Price Data'!F59="","",'Proxy Price Data'!F59)</f>
        <v>24.87</v>
      </c>
      <c r="E62" s="529">
        <f>IF('Proxy Price Data'!G59="","",'Proxy Price Data'!G59)</f>
        <v>44.56</v>
      </c>
      <c r="F62" s="529">
        <f>IF('Proxy Price Data'!H59="","",'Proxy Price Data'!H59)</f>
        <v>72</v>
      </c>
      <c r="G62" s="529">
        <f>IF('Proxy Price Data'!I59="","",'Proxy Price Data'!I59)</f>
        <v>63.62</v>
      </c>
    </row>
    <row r="63" spans="1:7">
      <c r="A63" s="525">
        <f>IF('Proxy Price Data'!C60="","",'Proxy Price Data'!C60)</f>
        <v>44844</v>
      </c>
      <c r="B63" s="530">
        <f>IF('Proxy Price Data'!D60="","",'Proxy Price Data'!D60)</f>
        <v>99.88</v>
      </c>
      <c r="C63" s="529">
        <f>IF('Proxy Price Data'!E60="","",'Proxy Price Data'!E60)</f>
        <v>39.28</v>
      </c>
      <c r="D63" s="529">
        <f>IF('Proxy Price Data'!F60="","",'Proxy Price Data'!F60)</f>
        <v>24.52</v>
      </c>
      <c r="E63" s="529">
        <f>IF('Proxy Price Data'!G60="","",'Proxy Price Data'!G60)</f>
        <v>42.79</v>
      </c>
      <c r="F63" s="529">
        <f>IF('Proxy Price Data'!H60="","",'Proxy Price Data'!H60)</f>
        <v>70.53</v>
      </c>
      <c r="G63" s="529">
        <f>IF('Proxy Price Data'!I60="","",'Proxy Price Data'!I60)</f>
        <v>62.04</v>
      </c>
    </row>
    <row r="64" spans="1:7">
      <c r="A64" s="525">
        <f>IF('Proxy Price Data'!C61="","",'Proxy Price Data'!C61)</f>
        <v>44841</v>
      </c>
      <c r="B64" s="530">
        <f>IF('Proxy Price Data'!D61="","",'Proxy Price Data'!D61)</f>
        <v>99.39</v>
      </c>
      <c r="C64" s="529">
        <f>IF('Proxy Price Data'!E61="","",'Proxy Price Data'!E61)</f>
        <v>38.97</v>
      </c>
      <c r="D64" s="529">
        <f>IF('Proxy Price Data'!F61="","",'Proxy Price Data'!F61)</f>
        <v>24.51</v>
      </c>
      <c r="E64" s="529">
        <f>IF('Proxy Price Data'!G61="","",'Proxy Price Data'!G61)</f>
        <v>42.73</v>
      </c>
      <c r="F64" s="529">
        <f>IF('Proxy Price Data'!H61="","",'Proxy Price Data'!H61)</f>
        <v>70.290000000000006</v>
      </c>
      <c r="G64" s="529">
        <f>IF('Proxy Price Data'!I61="","",'Proxy Price Data'!I61)</f>
        <v>62</v>
      </c>
    </row>
    <row r="65" spans="1:58">
      <c r="A65" s="525">
        <f>IF('Proxy Price Data'!C62="","",'Proxy Price Data'!C62)</f>
        <v>44840</v>
      </c>
      <c r="B65" s="530">
        <f>IF('Proxy Price Data'!D62="","",'Proxy Price Data'!D62)</f>
        <v>100.81</v>
      </c>
      <c r="C65" s="529">
        <f>IF('Proxy Price Data'!E62="","",'Proxy Price Data'!E62)</f>
        <v>39.76</v>
      </c>
      <c r="D65" s="529">
        <f>IF('Proxy Price Data'!F62="","",'Proxy Price Data'!F62)</f>
        <v>25.1</v>
      </c>
      <c r="E65" s="529">
        <f>IF('Proxy Price Data'!G62="","",'Proxy Price Data'!G62)</f>
        <v>43.31</v>
      </c>
      <c r="F65" s="529">
        <f>IF('Proxy Price Data'!H62="","",'Proxy Price Data'!H62)</f>
        <v>71.16</v>
      </c>
      <c r="G65" s="529">
        <f>IF('Proxy Price Data'!I62="","",'Proxy Price Data'!I62)</f>
        <v>62.97</v>
      </c>
    </row>
    <row r="66" spans="1:58">
      <c r="A66" s="525"/>
      <c r="B66" s="524"/>
    </row>
    <row r="67" spans="1:58">
      <c r="A67" s="316" t="s">
        <v>23</v>
      </c>
      <c r="B67" s="531">
        <f t="shared" ref="B67:G67" si="0">IFERROR(ROUND(AVERAGE(B6:B65),2),0)</f>
        <v>110.22</v>
      </c>
      <c r="C67" s="655">
        <f t="shared" si="0"/>
        <v>45.92</v>
      </c>
      <c r="D67" s="655">
        <f t="shared" si="0"/>
        <v>26.28</v>
      </c>
      <c r="E67" s="655">
        <f t="shared" si="0"/>
        <v>47</v>
      </c>
      <c r="F67" s="655">
        <f t="shared" si="0"/>
        <v>77.36</v>
      </c>
      <c r="G67" s="655">
        <f t="shared" si="0"/>
        <v>68.22</v>
      </c>
    </row>
    <row r="68" spans="1:58">
      <c r="A68" s="525"/>
      <c r="B68" s="532"/>
      <c r="C68" s="525"/>
      <c r="D68" s="525"/>
      <c r="E68" s="525"/>
      <c r="F68" s="525"/>
      <c r="G68" s="525"/>
      <c r="H68" s="525"/>
      <c r="I68" s="525"/>
      <c r="J68" s="525"/>
      <c r="K68" s="525"/>
      <c r="L68" s="525"/>
      <c r="M68" s="525"/>
      <c r="N68" s="525"/>
      <c r="O68" s="525"/>
      <c r="P68" s="525"/>
      <c r="Q68" s="525"/>
      <c r="R68" s="525"/>
      <c r="S68" s="525"/>
      <c r="T68" s="525"/>
      <c r="U68" s="525"/>
      <c r="V68" s="525"/>
      <c r="W68" s="525"/>
      <c r="X68" s="525"/>
      <c r="Y68" s="525"/>
      <c r="Z68" s="525"/>
      <c r="AA68" s="525"/>
      <c r="AB68" s="525"/>
      <c r="AC68" s="525"/>
      <c r="AD68" s="525"/>
      <c r="AE68" s="525"/>
      <c r="AF68" s="525"/>
      <c r="AG68" s="525"/>
      <c r="AH68" s="525"/>
      <c r="AI68" s="525"/>
      <c r="AJ68" s="525"/>
      <c r="AK68" s="525"/>
      <c r="AL68" s="525"/>
      <c r="AM68" s="525"/>
      <c r="AN68" s="525"/>
      <c r="AO68" s="525"/>
      <c r="AP68" s="525"/>
      <c r="AQ68" s="525"/>
      <c r="AR68" s="525"/>
      <c r="AS68" s="525"/>
      <c r="AT68" s="525"/>
      <c r="AU68" s="525"/>
      <c r="AV68" s="525"/>
      <c r="AW68" s="525"/>
      <c r="AX68" s="525"/>
      <c r="AY68" s="525"/>
      <c r="AZ68" s="525"/>
      <c r="BA68" s="525"/>
      <c r="BB68" s="525"/>
      <c r="BC68" s="525"/>
      <c r="BD68" s="525"/>
      <c r="BE68" s="525"/>
      <c r="BF68" s="525"/>
    </row>
    <row r="69" spans="1:58">
      <c r="A69" s="525" t="s">
        <v>157</v>
      </c>
      <c r="B69" s="534">
        <f>VLOOKUP(B4,'Proxy Data Lookup'!$A$3:$I$8,9,FALSE)</f>
        <v>2.96</v>
      </c>
      <c r="C69" s="533">
        <f>VLOOKUP(C4,'Proxy Data Lookup'!$A$3:$I$8,9,FALSE)</f>
        <v>1.56</v>
      </c>
      <c r="D69" s="533">
        <f>VLOOKUP(D4,'Proxy Data Lookup'!$A$3:$I$8,9,FALSE)</f>
        <v>0.94</v>
      </c>
      <c r="E69" s="533">
        <f>VLOOKUP(E4,'Proxy Data Lookup'!$A$3:$I$8,9,FALSE)</f>
        <v>1.94</v>
      </c>
      <c r="F69" s="533">
        <f>VLOOKUP(F4,'Proxy Data Lookup'!$A$3:$I$8,9,FALSE)</f>
        <v>2.48</v>
      </c>
      <c r="G69" s="533">
        <f>VLOOKUP(G4,'Proxy Data Lookup'!$A$3:$I$8,9,FALSE)</f>
        <v>2.88</v>
      </c>
      <c r="H69" s="535"/>
      <c r="I69" s="535"/>
      <c r="J69" s="535"/>
      <c r="K69" s="535"/>
      <c r="L69" s="535"/>
      <c r="M69" s="535"/>
      <c r="N69" s="535"/>
      <c r="O69" s="535"/>
      <c r="P69" s="535"/>
      <c r="Q69" s="535"/>
      <c r="R69" s="535"/>
      <c r="S69" s="535"/>
      <c r="T69" s="535"/>
      <c r="U69" s="535"/>
      <c r="V69" s="535"/>
      <c r="W69" s="535"/>
      <c r="X69" s="535"/>
      <c r="Y69" s="535"/>
      <c r="Z69" s="535"/>
      <c r="AA69" s="535"/>
      <c r="AB69" s="535"/>
      <c r="AC69" s="535"/>
      <c r="AD69" s="535"/>
      <c r="AE69" s="535"/>
      <c r="AF69" s="535"/>
      <c r="AG69" s="535"/>
      <c r="AH69" s="535"/>
      <c r="AI69" s="535"/>
      <c r="AJ69" s="535"/>
      <c r="AK69" s="535"/>
      <c r="AL69" s="535"/>
      <c r="AM69" s="535"/>
      <c r="AN69" s="535"/>
      <c r="AO69" s="535"/>
      <c r="AP69" s="535"/>
      <c r="AQ69" s="535"/>
      <c r="AR69" s="535"/>
      <c r="AS69" s="535"/>
      <c r="AT69" s="535"/>
      <c r="AU69" s="535"/>
      <c r="AV69" s="535"/>
      <c r="AW69" s="535"/>
      <c r="AX69" s="535"/>
      <c r="AY69" s="535"/>
      <c r="AZ69" s="535"/>
      <c r="BA69" s="535"/>
      <c r="BB69" s="535"/>
      <c r="BC69" s="535"/>
      <c r="BD69" s="535"/>
      <c r="BE69" s="535"/>
      <c r="BF69" s="535"/>
    </row>
    <row r="70" spans="1:58">
      <c r="A70" s="525"/>
      <c r="B70" s="532"/>
      <c r="C70" s="525"/>
      <c r="D70" s="525"/>
      <c r="E70" s="525"/>
      <c r="F70" s="525"/>
      <c r="G70" s="525"/>
      <c r="H70" s="525"/>
      <c r="I70" s="525"/>
      <c r="J70" s="525"/>
      <c r="K70" s="525"/>
      <c r="L70" s="525"/>
      <c r="M70" s="525"/>
      <c r="N70" s="525"/>
      <c r="O70" s="525"/>
      <c r="P70" s="525"/>
      <c r="Q70" s="525"/>
      <c r="R70" s="525"/>
      <c r="S70" s="525"/>
      <c r="T70" s="525"/>
      <c r="U70" s="525"/>
      <c r="V70" s="525"/>
      <c r="W70" s="525"/>
      <c r="X70" s="525"/>
      <c r="Y70" s="525"/>
      <c r="Z70" s="525"/>
      <c r="AA70" s="525"/>
      <c r="AB70" s="525"/>
      <c r="AC70" s="525"/>
      <c r="AD70" s="525"/>
      <c r="AE70" s="525"/>
      <c r="AF70" s="525"/>
      <c r="AG70" s="525"/>
      <c r="AH70" s="525"/>
      <c r="AI70" s="525"/>
      <c r="AJ70" s="525"/>
      <c r="AK70" s="525"/>
      <c r="AL70" s="525"/>
      <c r="AM70" s="525"/>
      <c r="AN70" s="525"/>
      <c r="AO70" s="525"/>
      <c r="AP70" s="525"/>
      <c r="AQ70" s="525"/>
      <c r="AR70" s="525"/>
      <c r="AS70" s="525"/>
      <c r="AT70" s="525"/>
      <c r="AU70" s="525"/>
      <c r="AV70" s="525"/>
      <c r="AW70" s="525"/>
      <c r="AX70" s="525"/>
      <c r="AY70" s="525"/>
      <c r="AZ70" s="525"/>
      <c r="BA70" s="525"/>
      <c r="BB70" s="525"/>
      <c r="BC70" s="525"/>
      <c r="BD70" s="525"/>
      <c r="BE70" s="525"/>
      <c r="BF70" s="525"/>
    </row>
    <row r="71" spans="1:58">
      <c r="A71" s="525" t="s">
        <v>1320</v>
      </c>
      <c r="B71" s="537">
        <f t="shared" ref="B71:G71" si="1">IFERROR(ROUND(B69/B67,4),0)</f>
        <v>2.69E-2</v>
      </c>
      <c r="C71" s="536">
        <f t="shared" si="1"/>
        <v>3.4000000000000002E-2</v>
      </c>
      <c r="D71" s="536">
        <f t="shared" si="1"/>
        <v>3.5799999999999998E-2</v>
      </c>
      <c r="E71" s="536">
        <f t="shared" si="1"/>
        <v>4.1300000000000003E-2</v>
      </c>
      <c r="F71" s="536">
        <f t="shared" si="1"/>
        <v>3.2099999999999997E-2</v>
      </c>
      <c r="G71" s="536">
        <f t="shared" si="1"/>
        <v>4.2200000000000001E-2</v>
      </c>
      <c r="H71" s="536"/>
      <c r="I71" s="536"/>
      <c r="J71" s="536"/>
      <c r="K71" s="536"/>
      <c r="L71" s="536"/>
      <c r="M71" s="536"/>
      <c r="N71" s="536"/>
      <c r="O71" s="536"/>
      <c r="P71" s="536"/>
      <c r="Q71" s="536"/>
      <c r="R71" s="536"/>
      <c r="S71" s="536"/>
      <c r="T71" s="536"/>
      <c r="U71" s="536"/>
      <c r="V71" s="536"/>
      <c r="W71" s="536"/>
      <c r="X71" s="536"/>
      <c r="Y71" s="536"/>
      <c r="Z71" s="536"/>
      <c r="AA71" s="536"/>
      <c r="AB71" s="536"/>
      <c r="AC71" s="536"/>
      <c r="AD71" s="536"/>
      <c r="AE71" s="536"/>
      <c r="AF71" s="536"/>
      <c r="AG71" s="536"/>
      <c r="AH71" s="536"/>
      <c r="AI71" s="536"/>
      <c r="AJ71" s="536"/>
      <c r="AK71" s="536"/>
      <c r="AL71" s="536"/>
      <c r="AM71" s="536"/>
      <c r="AN71" s="536"/>
      <c r="AO71" s="536"/>
      <c r="AP71" s="536"/>
      <c r="AQ71" s="536"/>
      <c r="AR71" s="536"/>
      <c r="AS71" s="536"/>
      <c r="AT71" s="536"/>
      <c r="AU71" s="536"/>
      <c r="AV71" s="536"/>
      <c r="AW71" s="536"/>
      <c r="AX71" s="536"/>
      <c r="AY71" s="536"/>
      <c r="AZ71" s="536"/>
      <c r="BA71" s="536"/>
      <c r="BB71" s="536"/>
      <c r="BC71" s="536"/>
      <c r="BD71" s="536"/>
      <c r="BE71" s="536"/>
      <c r="BF71" s="536"/>
    </row>
    <row r="72" spans="1:58">
      <c r="A72" s="525"/>
    </row>
    <row r="73" spans="1:58">
      <c r="A73" s="525"/>
    </row>
    <row r="74" spans="1:58">
      <c r="A74" s="525"/>
    </row>
    <row r="75" spans="1:58">
      <c r="A75" s="525"/>
    </row>
    <row r="76" spans="1:58">
      <c r="A76" s="525"/>
    </row>
    <row r="77" spans="1:58">
      <c r="A77" s="525"/>
    </row>
    <row r="78" spans="1:58">
      <c r="A78" s="525"/>
    </row>
    <row r="79" spans="1:58">
      <c r="A79" s="525"/>
    </row>
    <row r="80" spans="1:58">
      <c r="A80" s="525"/>
    </row>
    <row r="81" spans="1:1">
      <c r="A81" s="525"/>
    </row>
    <row r="82" spans="1:1">
      <c r="A82" s="525"/>
    </row>
    <row r="83" spans="1:1">
      <c r="A83" s="525"/>
    </row>
    <row r="84" spans="1:1">
      <c r="A84" s="525"/>
    </row>
    <row r="85" spans="1:1">
      <c r="A85" s="525"/>
    </row>
    <row r="86" spans="1:1">
      <c r="A86" s="525"/>
    </row>
    <row r="87" spans="1:1">
      <c r="A87" s="525"/>
    </row>
    <row r="88" spans="1:1">
      <c r="A88" s="525"/>
    </row>
    <row r="89" spans="1:1">
      <c r="A89" s="525"/>
    </row>
    <row r="90" spans="1:1">
      <c r="A90" s="525"/>
    </row>
    <row r="91" spans="1:1">
      <c r="A91" s="525"/>
    </row>
    <row r="92" spans="1:1">
      <c r="A92" s="525"/>
    </row>
    <row r="93" spans="1:1">
      <c r="A93" s="525"/>
    </row>
    <row r="94" spans="1:1">
      <c r="A94" s="525"/>
    </row>
    <row r="95" spans="1:1">
      <c r="A95" s="525"/>
    </row>
    <row r="96" spans="1:1">
      <c r="A96" s="525"/>
    </row>
    <row r="97" spans="1:1">
      <c r="A97" s="525"/>
    </row>
    <row r="98" spans="1:1">
      <c r="A98" s="525"/>
    </row>
    <row r="99" spans="1:1">
      <c r="A99" s="525"/>
    </row>
    <row r="100" spans="1:1">
      <c r="A100" s="525"/>
    </row>
    <row r="101" spans="1:1">
      <c r="A101" s="525"/>
    </row>
    <row r="102" spans="1:1">
      <c r="A102" s="525"/>
    </row>
    <row r="103" spans="1:1">
      <c r="A103" s="525"/>
    </row>
    <row r="104" spans="1:1">
      <c r="A104" s="525"/>
    </row>
    <row r="105" spans="1:1">
      <c r="A105" s="525"/>
    </row>
    <row r="106" spans="1:1">
      <c r="A106" s="525"/>
    </row>
    <row r="107" spans="1:1">
      <c r="A107" s="525"/>
    </row>
    <row r="108" spans="1:1">
      <c r="A108" s="525"/>
    </row>
    <row r="109" spans="1:1">
      <c r="A109" s="525"/>
    </row>
    <row r="110" spans="1:1">
      <c r="A110" s="525"/>
    </row>
    <row r="111" spans="1:1">
      <c r="A111" s="525"/>
    </row>
    <row r="112" spans="1:1">
      <c r="A112" s="525"/>
    </row>
    <row r="113" spans="1:1">
      <c r="A113" s="525"/>
    </row>
    <row r="114" spans="1:1">
      <c r="A114" s="525"/>
    </row>
    <row r="115" spans="1:1">
      <c r="A115" s="525"/>
    </row>
    <row r="116" spans="1:1">
      <c r="A116" s="525"/>
    </row>
    <row r="117" spans="1:1">
      <c r="A117" s="525"/>
    </row>
    <row r="118" spans="1:1">
      <c r="A118" s="525"/>
    </row>
    <row r="119" spans="1:1">
      <c r="A119" s="525"/>
    </row>
    <row r="120" spans="1:1">
      <c r="A120" s="525"/>
    </row>
    <row r="121" spans="1:1">
      <c r="A121" s="525"/>
    </row>
    <row r="122" spans="1:1">
      <c r="A122" s="525"/>
    </row>
    <row r="123" spans="1:1">
      <c r="A123" s="525"/>
    </row>
    <row r="124" spans="1:1">
      <c r="A124" s="525"/>
    </row>
    <row r="125" spans="1:1">
      <c r="A125" s="525"/>
    </row>
    <row r="126" spans="1:1">
      <c r="A126" s="525"/>
    </row>
    <row r="127" spans="1:1">
      <c r="A127" s="525"/>
    </row>
    <row r="128" spans="1:1">
      <c r="A128" s="525"/>
    </row>
    <row r="129" spans="1:1">
      <c r="A129" s="525"/>
    </row>
    <row r="130" spans="1:1">
      <c r="A130" s="525"/>
    </row>
    <row r="131" spans="1:1">
      <c r="A131" s="525"/>
    </row>
    <row r="132" spans="1:1">
      <c r="A132" s="525"/>
    </row>
    <row r="133" spans="1:1">
      <c r="A133" s="525"/>
    </row>
    <row r="134" spans="1:1">
      <c r="A134" s="525"/>
    </row>
    <row r="135" spans="1:1">
      <c r="A135" s="525"/>
    </row>
    <row r="136" spans="1:1">
      <c r="A136" s="525"/>
    </row>
    <row r="137" spans="1:1">
      <c r="A137" s="525"/>
    </row>
    <row r="138" spans="1:1">
      <c r="A138" s="525"/>
    </row>
    <row r="139" spans="1:1">
      <c r="A139" s="525"/>
    </row>
    <row r="140" spans="1:1">
      <c r="A140" s="525"/>
    </row>
    <row r="141" spans="1:1">
      <c r="A141" s="525"/>
    </row>
    <row r="142" spans="1:1">
      <c r="A142" s="525"/>
    </row>
    <row r="143" spans="1:1">
      <c r="A143" s="525"/>
    </row>
    <row r="144" spans="1:1">
      <c r="A144" s="525"/>
    </row>
    <row r="145" spans="1:1">
      <c r="A145" s="525"/>
    </row>
    <row r="146" spans="1:1">
      <c r="A146" s="525"/>
    </row>
    <row r="147" spans="1:1">
      <c r="A147" s="525"/>
    </row>
    <row r="148" spans="1:1">
      <c r="A148" s="525"/>
    </row>
    <row r="149" spans="1:1">
      <c r="A149" s="525"/>
    </row>
    <row r="150" spans="1:1">
      <c r="A150" s="525"/>
    </row>
    <row r="151" spans="1:1">
      <c r="A151" s="525"/>
    </row>
    <row r="152" spans="1:1">
      <c r="A152" s="525"/>
    </row>
    <row r="153" spans="1:1">
      <c r="A153" s="525"/>
    </row>
    <row r="154" spans="1:1">
      <c r="A154" s="525"/>
    </row>
    <row r="155" spans="1:1">
      <c r="A155" s="525"/>
    </row>
    <row r="156" spans="1:1">
      <c r="A156" s="525"/>
    </row>
    <row r="157" spans="1:1">
      <c r="A157" s="525"/>
    </row>
    <row r="158" spans="1:1">
      <c r="A158" s="525"/>
    </row>
    <row r="159" spans="1:1">
      <c r="A159" s="525"/>
    </row>
    <row r="160" spans="1:1">
      <c r="A160" s="525"/>
    </row>
    <row r="161" spans="1:1">
      <c r="A161" s="525"/>
    </row>
    <row r="162" spans="1:1">
      <c r="A162" s="525"/>
    </row>
    <row r="163" spans="1:1">
      <c r="A163" s="525"/>
    </row>
    <row r="164" spans="1:1">
      <c r="A164" s="525"/>
    </row>
    <row r="165" spans="1:1">
      <c r="A165" s="525"/>
    </row>
    <row r="166" spans="1:1">
      <c r="A166" s="525"/>
    </row>
    <row r="167" spans="1:1">
      <c r="A167" s="525"/>
    </row>
    <row r="168" spans="1:1">
      <c r="A168" s="525"/>
    </row>
    <row r="169" spans="1:1">
      <c r="A169" s="525"/>
    </row>
    <row r="170" spans="1:1">
      <c r="A170" s="525"/>
    </row>
    <row r="171" spans="1:1">
      <c r="A171" s="525"/>
    </row>
    <row r="172" spans="1:1">
      <c r="A172" s="525"/>
    </row>
    <row r="173" spans="1:1">
      <c r="A173" s="525"/>
    </row>
    <row r="174" spans="1:1">
      <c r="A174" s="525"/>
    </row>
    <row r="175" spans="1:1">
      <c r="A175" s="525"/>
    </row>
    <row r="176" spans="1:1">
      <c r="A176" s="525"/>
    </row>
    <row r="177" spans="1:1">
      <c r="A177" s="525"/>
    </row>
    <row r="178" spans="1:1">
      <c r="A178" s="525"/>
    </row>
    <row r="179" spans="1:1">
      <c r="A179" s="525"/>
    </row>
    <row r="180" spans="1:1">
      <c r="A180" s="525"/>
    </row>
    <row r="181" spans="1:1">
      <c r="A181" s="525"/>
    </row>
    <row r="182" spans="1:1">
      <c r="A182" s="525"/>
    </row>
    <row r="183" spans="1:1">
      <c r="A183" s="525"/>
    </row>
    <row r="184" spans="1:1">
      <c r="A184" s="525"/>
    </row>
    <row r="185" spans="1:1">
      <c r="A185" s="525"/>
    </row>
    <row r="186" spans="1:1">
      <c r="A186" s="525"/>
    </row>
    <row r="187" spans="1:1">
      <c r="A187" s="525"/>
    </row>
    <row r="188" spans="1:1">
      <c r="A188" s="525"/>
    </row>
    <row r="189" spans="1:1">
      <c r="A189" s="525"/>
    </row>
    <row r="190" spans="1:1">
      <c r="A190" s="525"/>
    </row>
    <row r="191" spans="1:1">
      <c r="A191" s="525"/>
    </row>
    <row r="192" spans="1:1">
      <c r="A192" s="525"/>
    </row>
    <row r="193" spans="1:1">
      <c r="A193" s="525"/>
    </row>
    <row r="194" spans="1:1">
      <c r="A194" s="525"/>
    </row>
    <row r="195" spans="1:1">
      <c r="A195" s="525"/>
    </row>
    <row r="196" spans="1:1">
      <c r="A196" s="525"/>
    </row>
    <row r="197" spans="1:1">
      <c r="A197" s="525"/>
    </row>
    <row r="198" spans="1:1">
      <c r="A198" s="525"/>
    </row>
    <row r="199" spans="1:1">
      <c r="A199" s="525"/>
    </row>
    <row r="200" spans="1:1">
      <c r="A200" s="525"/>
    </row>
    <row r="201" spans="1:1">
      <c r="A201" s="525"/>
    </row>
    <row r="202" spans="1:1">
      <c r="A202" s="525"/>
    </row>
    <row r="203" spans="1:1">
      <c r="A203" s="525"/>
    </row>
    <row r="204" spans="1:1">
      <c r="A204" s="525"/>
    </row>
    <row r="205" spans="1:1">
      <c r="A205" s="525"/>
    </row>
    <row r="206" spans="1:1">
      <c r="A206" s="525"/>
    </row>
    <row r="207" spans="1:1">
      <c r="A207" s="525"/>
    </row>
    <row r="208" spans="1:1">
      <c r="A208" s="525"/>
    </row>
    <row r="209" spans="1:1">
      <c r="A209" s="525"/>
    </row>
    <row r="210" spans="1:1">
      <c r="A210" s="525"/>
    </row>
    <row r="211" spans="1:1">
      <c r="A211" s="525"/>
    </row>
    <row r="212" spans="1:1">
      <c r="A212" s="525"/>
    </row>
    <row r="213" spans="1:1">
      <c r="A213" s="525"/>
    </row>
    <row r="214" spans="1:1">
      <c r="A214" s="525"/>
    </row>
    <row r="215" spans="1:1">
      <c r="A215" s="525"/>
    </row>
    <row r="216" spans="1:1">
      <c r="A216" s="525"/>
    </row>
    <row r="217" spans="1:1">
      <c r="A217" s="525"/>
    </row>
    <row r="218" spans="1:1">
      <c r="A218" s="525"/>
    </row>
    <row r="219" spans="1:1">
      <c r="A219" s="525"/>
    </row>
    <row r="220" spans="1:1">
      <c r="A220" s="525"/>
    </row>
    <row r="221" spans="1:1">
      <c r="A221" s="525"/>
    </row>
    <row r="222" spans="1:1">
      <c r="A222" s="525"/>
    </row>
    <row r="223" spans="1:1">
      <c r="A223" s="525"/>
    </row>
    <row r="224" spans="1:1">
      <c r="A224" s="525"/>
    </row>
    <row r="225" spans="1:1">
      <c r="A225" s="525"/>
    </row>
    <row r="226" spans="1:1">
      <c r="A226" s="525"/>
    </row>
    <row r="227" spans="1:1">
      <c r="A227" s="525"/>
    </row>
    <row r="228" spans="1:1">
      <c r="A228" s="525"/>
    </row>
    <row r="229" spans="1:1">
      <c r="A229" s="525"/>
    </row>
    <row r="230" spans="1:1">
      <c r="A230" s="525"/>
    </row>
    <row r="231" spans="1:1">
      <c r="A231" s="525"/>
    </row>
    <row r="232" spans="1:1">
      <c r="A232" s="525"/>
    </row>
    <row r="233" spans="1:1">
      <c r="A233" s="525"/>
    </row>
    <row r="234" spans="1:1">
      <c r="A234" s="525"/>
    </row>
    <row r="235" spans="1:1">
      <c r="A235" s="525"/>
    </row>
    <row r="236" spans="1:1">
      <c r="A236" s="525"/>
    </row>
    <row r="237" spans="1:1">
      <c r="A237" s="525"/>
    </row>
    <row r="238" spans="1:1">
      <c r="A238" s="525"/>
    </row>
    <row r="239" spans="1:1">
      <c r="A239" s="525"/>
    </row>
    <row r="240" spans="1:1">
      <c r="A240" s="525"/>
    </row>
    <row r="241" spans="1:1">
      <c r="A241" s="525"/>
    </row>
    <row r="242" spans="1:1">
      <c r="A242" s="525"/>
    </row>
    <row r="243" spans="1:1">
      <c r="A243" s="525"/>
    </row>
    <row r="244" spans="1:1">
      <c r="A244" s="525"/>
    </row>
    <row r="245" spans="1:1">
      <c r="A245" s="525"/>
    </row>
    <row r="246" spans="1:1">
      <c r="A246" s="525"/>
    </row>
    <row r="247" spans="1:1">
      <c r="A247" s="525"/>
    </row>
    <row r="248" spans="1:1">
      <c r="A248" s="525"/>
    </row>
    <row r="249" spans="1:1">
      <c r="A249" s="525"/>
    </row>
    <row r="250" spans="1:1">
      <c r="A250" s="525"/>
    </row>
    <row r="251" spans="1:1">
      <c r="A251" s="525"/>
    </row>
    <row r="252" spans="1:1">
      <c r="A252" s="525"/>
    </row>
    <row r="253" spans="1:1">
      <c r="A253" s="525"/>
    </row>
    <row r="254" spans="1:1">
      <c r="A254" s="525"/>
    </row>
    <row r="255" spans="1:1">
      <c r="A255" s="525"/>
    </row>
    <row r="256" spans="1:1">
      <c r="A256" s="525"/>
    </row>
    <row r="257" spans="1:1">
      <c r="A257" s="525"/>
    </row>
    <row r="258" spans="1:1">
      <c r="A258" s="525"/>
    </row>
    <row r="259" spans="1:1">
      <c r="A259" s="525"/>
    </row>
    <row r="260" spans="1:1">
      <c r="A260" s="525"/>
    </row>
    <row r="261" spans="1:1">
      <c r="A261" s="525"/>
    </row>
    <row r="262" spans="1:1">
      <c r="A262" s="525"/>
    </row>
    <row r="263" spans="1:1">
      <c r="A263" s="525"/>
    </row>
    <row r="264" spans="1:1">
      <c r="A264" s="525"/>
    </row>
    <row r="265" spans="1:1">
      <c r="A265" s="525"/>
    </row>
    <row r="266" spans="1:1">
      <c r="A266" s="525"/>
    </row>
    <row r="267" spans="1:1">
      <c r="A267" s="525"/>
    </row>
    <row r="268" spans="1:1">
      <c r="A268" s="525"/>
    </row>
    <row r="269" spans="1:1">
      <c r="A269" s="525"/>
    </row>
    <row r="270" spans="1:1">
      <c r="A270" s="525"/>
    </row>
    <row r="271" spans="1:1">
      <c r="A271" s="525"/>
    </row>
    <row r="272" spans="1:1">
      <c r="A272" s="525"/>
    </row>
    <row r="273" spans="1:1">
      <c r="A273" s="525"/>
    </row>
    <row r="274" spans="1:1">
      <c r="A274" s="525"/>
    </row>
    <row r="275" spans="1:1">
      <c r="A275" s="525"/>
    </row>
    <row r="276" spans="1:1">
      <c r="A276" s="525"/>
    </row>
    <row r="277" spans="1:1">
      <c r="A277" s="525"/>
    </row>
    <row r="278" spans="1:1">
      <c r="A278" s="525"/>
    </row>
    <row r="279" spans="1:1">
      <c r="A279" s="525"/>
    </row>
    <row r="280" spans="1:1">
      <c r="A280" s="525"/>
    </row>
    <row r="281" spans="1:1">
      <c r="A281" s="525"/>
    </row>
    <row r="282" spans="1:1">
      <c r="A282" s="525"/>
    </row>
    <row r="283" spans="1:1">
      <c r="A283" s="525"/>
    </row>
    <row r="284" spans="1:1">
      <c r="A284" s="525"/>
    </row>
    <row r="285" spans="1:1">
      <c r="A285" s="525"/>
    </row>
    <row r="286" spans="1:1">
      <c r="A286" s="525"/>
    </row>
    <row r="287" spans="1:1">
      <c r="A287" s="525"/>
    </row>
    <row r="288" spans="1:1">
      <c r="A288" s="525"/>
    </row>
    <row r="289" spans="1:1">
      <c r="A289" s="525"/>
    </row>
    <row r="290" spans="1:1">
      <c r="A290" s="525"/>
    </row>
    <row r="291" spans="1:1">
      <c r="A291" s="525"/>
    </row>
    <row r="292" spans="1:1">
      <c r="A292" s="525"/>
    </row>
    <row r="293" spans="1:1">
      <c r="A293" s="525"/>
    </row>
    <row r="294" spans="1:1">
      <c r="A294" s="525"/>
    </row>
    <row r="295" spans="1:1">
      <c r="A295" s="525"/>
    </row>
    <row r="296" spans="1:1">
      <c r="A296" s="525"/>
    </row>
    <row r="297" spans="1:1">
      <c r="A297" s="525"/>
    </row>
    <row r="298" spans="1:1">
      <c r="A298" s="525"/>
    </row>
    <row r="299" spans="1:1">
      <c r="A299" s="525"/>
    </row>
    <row r="300" spans="1:1">
      <c r="A300" s="525"/>
    </row>
    <row r="301" spans="1:1">
      <c r="A301" s="525"/>
    </row>
    <row r="302" spans="1:1">
      <c r="A302" s="525"/>
    </row>
    <row r="303" spans="1:1">
      <c r="A303" s="525"/>
    </row>
    <row r="304" spans="1:1">
      <c r="A304" s="525"/>
    </row>
    <row r="305" spans="1:1">
      <c r="A305" s="525"/>
    </row>
    <row r="306" spans="1:1">
      <c r="A306" s="525"/>
    </row>
    <row r="307" spans="1:1">
      <c r="A307" s="525"/>
    </row>
    <row r="308" spans="1:1">
      <c r="A308" s="525"/>
    </row>
    <row r="309" spans="1:1">
      <c r="A309" s="525"/>
    </row>
    <row r="310" spans="1:1">
      <c r="A310" s="525"/>
    </row>
    <row r="311" spans="1:1">
      <c r="A311" s="525"/>
    </row>
    <row r="312" spans="1:1">
      <c r="A312" s="525"/>
    </row>
    <row r="313" spans="1:1">
      <c r="A313" s="525"/>
    </row>
    <row r="314" spans="1:1">
      <c r="A314" s="525"/>
    </row>
    <row r="315" spans="1:1">
      <c r="A315" s="525"/>
    </row>
    <row r="316" spans="1:1">
      <c r="A316" s="525"/>
    </row>
    <row r="317" spans="1:1">
      <c r="A317" s="525"/>
    </row>
    <row r="318" spans="1:1">
      <c r="A318" s="525"/>
    </row>
    <row r="319" spans="1:1">
      <c r="A319" s="525"/>
    </row>
    <row r="320" spans="1:1">
      <c r="A320" s="525"/>
    </row>
    <row r="321" spans="1:1">
      <c r="A321" s="525"/>
    </row>
    <row r="322" spans="1:1">
      <c r="A322" s="525"/>
    </row>
    <row r="323" spans="1:1">
      <c r="A323" s="525"/>
    </row>
    <row r="324" spans="1:1">
      <c r="A324" s="525"/>
    </row>
    <row r="325" spans="1:1">
      <c r="A325" s="525"/>
    </row>
    <row r="326" spans="1:1">
      <c r="A326" s="525"/>
    </row>
    <row r="327" spans="1:1">
      <c r="A327" s="525"/>
    </row>
    <row r="328" spans="1:1">
      <c r="A328" s="525"/>
    </row>
    <row r="329" spans="1:1">
      <c r="A329" s="525"/>
    </row>
    <row r="330" spans="1:1">
      <c r="A330" s="525"/>
    </row>
    <row r="331" spans="1:1">
      <c r="A331" s="525"/>
    </row>
    <row r="332" spans="1:1">
      <c r="A332" s="525"/>
    </row>
    <row r="333" spans="1:1">
      <c r="A333" s="525"/>
    </row>
    <row r="334" spans="1:1">
      <c r="A334" s="525"/>
    </row>
    <row r="335" spans="1:1">
      <c r="A335" s="525"/>
    </row>
    <row r="336" spans="1:1">
      <c r="A336" s="525"/>
    </row>
    <row r="337" spans="1:1">
      <c r="A337" s="525"/>
    </row>
    <row r="338" spans="1:1">
      <c r="A338" s="525"/>
    </row>
    <row r="339" spans="1:1">
      <c r="A339" s="525"/>
    </row>
    <row r="340" spans="1:1">
      <c r="A340" s="525"/>
    </row>
    <row r="341" spans="1:1">
      <c r="A341" s="525"/>
    </row>
    <row r="342" spans="1:1">
      <c r="A342" s="525"/>
    </row>
    <row r="343" spans="1:1">
      <c r="A343" s="525"/>
    </row>
    <row r="344" spans="1:1">
      <c r="A344" s="525"/>
    </row>
    <row r="345" spans="1:1">
      <c r="A345" s="525"/>
    </row>
    <row r="346" spans="1:1">
      <c r="A346" s="525"/>
    </row>
    <row r="347" spans="1:1">
      <c r="A347" s="525"/>
    </row>
    <row r="348" spans="1:1">
      <c r="A348" s="525"/>
    </row>
    <row r="349" spans="1:1">
      <c r="A349" s="525"/>
    </row>
    <row r="350" spans="1:1">
      <c r="A350" s="525"/>
    </row>
    <row r="351" spans="1:1">
      <c r="A351" s="525"/>
    </row>
    <row r="352" spans="1:1">
      <c r="A352" s="525"/>
    </row>
    <row r="353" spans="1:1">
      <c r="A353" s="525"/>
    </row>
    <row r="354" spans="1:1">
      <c r="A354" s="525"/>
    </row>
    <row r="355" spans="1:1">
      <c r="A355" s="525"/>
    </row>
    <row r="356" spans="1:1">
      <c r="A356" s="525"/>
    </row>
    <row r="357" spans="1:1">
      <c r="A357" s="525"/>
    </row>
    <row r="358" spans="1:1">
      <c r="A358" s="525"/>
    </row>
    <row r="359" spans="1:1">
      <c r="A359" s="525"/>
    </row>
    <row r="360" spans="1:1">
      <c r="A360" s="525"/>
    </row>
    <row r="361" spans="1:1">
      <c r="A361" s="525"/>
    </row>
    <row r="362" spans="1:1">
      <c r="A362" s="525"/>
    </row>
    <row r="363" spans="1:1">
      <c r="A363" s="525"/>
    </row>
    <row r="364" spans="1:1">
      <c r="A364" s="525"/>
    </row>
    <row r="365" spans="1:1">
      <c r="A365" s="525"/>
    </row>
    <row r="366" spans="1:1">
      <c r="A366" s="525"/>
    </row>
    <row r="367" spans="1:1">
      <c r="A367" s="525"/>
    </row>
    <row r="368" spans="1:1">
      <c r="A368" s="525"/>
    </row>
    <row r="369" spans="1:1">
      <c r="A369" s="525"/>
    </row>
    <row r="370" spans="1:1">
      <c r="A370" s="525"/>
    </row>
    <row r="371" spans="1:1">
      <c r="A371" s="525"/>
    </row>
    <row r="372" spans="1:1">
      <c r="A372" s="525"/>
    </row>
    <row r="373" spans="1:1">
      <c r="A373" s="525"/>
    </row>
    <row r="374" spans="1:1">
      <c r="A374" s="525"/>
    </row>
    <row r="375" spans="1:1">
      <c r="A375" s="525"/>
    </row>
    <row r="376" spans="1:1">
      <c r="A376" s="525"/>
    </row>
    <row r="377" spans="1:1">
      <c r="A377" s="525"/>
    </row>
    <row r="378" spans="1:1">
      <c r="A378" s="525"/>
    </row>
    <row r="379" spans="1:1">
      <c r="A379" s="525"/>
    </row>
    <row r="380" spans="1:1">
      <c r="A380" s="525"/>
    </row>
    <row r="381" spans="1:1">
      <c r="A381" s="525"/>
    </row>
    <row r="382" spans="1:1">
      <c r="A382" s="525"/>
    </row>
    <row r="383" spans="1:1">
      <c r="A383" s="525"/>
    </row>
    <row r="384" spans="1:1">
      <c r="A384" s="525"/>
    </row>
    <row r="385" spans="1:1">
      <c r="A385" s="525"/>
    </row>
    <row r="386" spans="1:1">
      <c r="A386" s="525"/>
    </row>
    <row r="387" spans="1:1">
      <c r="A387" s="525"/>
    </row>
    <row r="388" spans="1:1">
      <c r="A388" s="525"/>
    </row>
    <row r="389" spans="1:1">
      <c r="A389" s="525"/>
    </row>
    <row r="390" spans="1:1">
      <c r="A390" s="525"/>
    </row>
    <row r="391" spans="1:1">
      <c r="A391" s="525"/>
    </row>
    <row r="392" spans="1:1">
      <c r="A392" s="525"/>
    </row>
    <row r="393" spans="1:1">
      <c r="A393" s="525"/>
    </row>
    <row r="394" spans="1:1">
      <c r="A394" s="525"/>
    </row>
    <row r="395" spans="1:1">
      <c r="A395" s="525"/>
    </row>
    <row r="396" spans="1:1">
      <c r="A396" s="525"/>
    </row>
    <row r="397" spans="1:1">
      <c r="A397" s="525"/>
    </row>
    <row r="398" spans="1:1">
      <c r="A398" s="525"/>
    </row>
    <row r="399" spans="1:1">
      <c r="A399" s="525"/>
    </row>
    <row r="400" spans="1:1">
      <c r="A400" s="525"/>
    </row>
    <row r="401" spans="1:1">
      <c r="A401" s="525"/>
    </row>
    <row r="402" spans="1:1">
      <c r="A402" s="525"/>
    </row>
    <row r="403" spans="1:1">
      <c r="A403" s="525"/>
    </row>
    <row r="404" spans="1:1">
      <c r="A404" s="525"/>
    </row>
    <row r="405" spans="1:1">
      <c r="A405" s="525"/>
    </row>
    <row r="406" spans="1:1">
      <c r="A406" s="525"/>
    </row>
    <row r="407" spans="1:1">
      <c r="A407" s="525"/>
    </row>
    <row r="408" spans="1:1">
      <c r="A408" s="525"/>
    </row>
    <row r="409" spans="1:1">
      <c r="A409" s="525"/>
    </row>
    <row r="410" spans="1:1">
      <c r="A410" s="525"/>
    </row>
    <row r="411" spans="1:1">
      <c r="A411" s="525"/>
    </row>
    <row r="412" spans="1:1">
      <c r="A412" s="525"/>
    </row>
    <row r="413" spans="1:1">
      <c r="A413" s="525"/>
    </row>
    <row r="414" spans="1:1">
      <c r="A414" s="525"/>
    </row>
    <row r="415" spans="1:1">
      <c r="A415" s="525"/>
    </row>
    <row r="416" spans="1:1">
      <c r="A416" s="525"/>
    </row>
    <row r="417" spans="1:1">
      <c r="A417" s="525"/>
    </row>
    <row r="418" spans="1:1">
      <c r="A418" s="525"/>
    </row>
    <row r="419" spans="1:1">
      <c r="A419" s="525"/>
    </row>
    <row r="420" spans="1:1">
      <c r="A420" s="525"/>
    </row>
    <row r="421" spans="1:1">
      <c r="A421" s="525"/>
    </row>
    <row r="422" spans="1:1">
      <c r="A422" s="525"/>
    </row>
    <row r="423" spans="1:1">
      <c r="A423" s="525"/>
    </row>
    <row r="424" spans="1:1">
      <c r="A424" s="525"/>
    </row>
    <row r="425" spans="1:1">
      <c r="A425" s="525"/>
    </row>
    <row r="426" spans="1:1">
      <c r="A426" s="525"/>
    </row>
    <row r="427" spans="1:1">
      <c r="A427" s="525"/>
    </row>
    <row r="428" spans="1:1">
      <c r="A428" s="525"/>
    </row>
    <row r="429" spans="1:1">
      <c r="A429" s="525"/>
    </row>
    <row r="430" spans="1:1">
      <c r="A430" s="525"/>
    </row>
    <row r="431" spans="1:1">
      <c r="A431" s="525"/>
    </row>
    <row r="432" spans="1:1">
      <c r="A432" s="525"/>
    </row>
    <row r="433" spans="1:1">
      <c r="A433" s="525"/>
    </row>
    <row r="434" spans="1:1">
      <c r="A434" s="525"/>
    </row>
    <row r="435" spans="1:1">
      <c r="A435" s="525"/>
    </row>
    <row r="436" spans="1:1">
      <c r="A436" s="525"/>
    </row>
    <row r="437" spans="1:1">
      <c r="A437" s="525"/>
    </row>
    <row r="438" spans="1:1">
      <c r="A438" s="525"/>
    </row>
    <row r="439" spans="1:1">
      <c r="A439" s="525"/>
    </row>
    <row r="440" spans="1:1">
      <c r="A440" s="525"/>
    </row>
    <row r="441" spans="1:1">
      <c r="A441" s="525"/>
    </row>
    <row r="442" spans="1:1">
      <c r="A442" s="525"/>
    </row>
    <row r="443" spans="1:1">
      <c r="A443" s="525"/>
    </row>
    <row r="444" spans="1:1">
      <c r="A444" s="525"/>
    </row>
    <row r="445" spans="1:1">
      <c r="A445" s="525"/>
    </row>
    <row r="446" spans="1:1">
      <c r="A446" s="525"/>
    </row>
    <row r="447" spans="1:1">
      <c r="A447" s="525"/>
    </row>
    <row r="448" spans="1:1">
      <c r="A448" s="525"/>
    </row>
    <row r="449" spans="1:1">
      <c r="A449" s="525"/>
    </row>
    <row r="450" spans="1:1">
      <c r="A450" s="525"/>
    </row>
    <row r="451" spans="1:1">
      <c r="A451" s="525"/>
    </row>
    <row r="452" spans="1:1">
      <c r="A452" s="525"/>
    </row>
    <row r="453" spans="1:1">
      <c r="A453" s="525"/>
    </row>
    <row r="454" spans="1:1">
      <c r="A454" s="525"/>
    </row>
    <row r="455" spans="1:1">
      <c r="A455" s="525"/>
    </row>
    <row r="456" spans="1:1">
      <c r="A456" s="525"/>
    </row>
    <row r="457" spans="1:1">
      <c r="A457" s="525"/>
    </row>
    <row r="458" spans="1:1">
      <c r="A458" s="525"/>
    </row>
    <row r="459" spans="1:1">
      <c r="A459" s="525"/>
    </row>
    <row r="460" spans="1:1">
      <c r="A460" s="525"/>
    </row>
    <row r="461" spans="1:1">
      <c r="A461" s="525"/>
    </row>
    <row r="462" spans="1:1">
      <c r="A462" s="525"/>
    </row>
    <row r="463" spans="1:1">
      <c r="A463" s="525"/>
    </row>
    <row r="464" spans="1:1">
      <c r="A464" s="525"/>
    </row>
    <row r="465" spans="1:1">
      <c r="A465" s="525"/>
    </row>
    <row r="466" spans="1:1">
      <c r="A466" s="525"/>
    </row>
    <row r="467" spans="1:1">
      <c r="A467" s="525"/>
    </row>
    <row r="468" spans="1:1">
      <c r="A468" s="525"/>
    </row>
    <row r="469" spans="1:1">
      <c r="A469" s="525"/>
    </row>
    <row r="470" spans="1:1">
      <c r="A470" s="525"/>
    </row>
    <row r="471" spans="1:1">
      <c r="A471" s="525"/>
    </row>
    <row r="472" spans="1:1">
      <c r="A472" s="525"/>
    </row>
    <row r="473" spans="1:1">
      <c r="A473" s="525"/>
    </row>
    <row r="474" spans="1:1">
      <c r="A474" s="525"/>
    </row>
    <row r="475" spans="1:1">
      <c r="A475" s="525"/>
    </row>
    <row r="476" spans="1:1">
      <c r="A476" s="525"/>
    </row>
    <row r="477" spans="1:1">
      <c r="A477" s="525"/>
    </row>
    <row r="478" spans="1:1">
      <c r="A478" s="525"/>
    </row>
    <row r="479" spans="1:1">
      <c r="A479" s="525"/>
    </row>
    <row r="480" spans="1:1">
      <c r="A480" s="525"/>
    </row>
    <row r="481" spans="1:1">
      <c r="A481" s="525"/>
    </row>
    <row r="482" spans="1:1">
      <c r="A482" s="525"/>
    </row>
    <row r="483" spans="1:1">
      <c r="A483" s="525"/>
    </row>
    <row r="484" spans="1:1">
      <c r="A484" s="525"/>
    </row>
    <row r="485" spans="1:1">
      <c r="A485" s="525"/>
    </row>
    <row r="486" spans="1:1">
      <c r="A486" s="525"/>
    </row>
    <row r="487" spans="1:1">
      <c r="A487" s="525"/>
    </row>
    <row r="488" spans="1:1">
      <c r="A488" s="525"/>
    </row>
    <row r="489" spans="1:1">
      <c r="A489" s="525"/>
    </row>
    <row r="490" spans="1:1">
      <c r="A490" s="525"/>
    </row>
    <row r="491" spans="1:1">
      <c r="A491" s="525"/>
    </row>
    <row r="492" spans="1:1">
      <c r="A492" s="525"/>
    </row>
    <row r="493" spans="1:1">
      <c r="A493" s="525"/>
    </row>
    <row r="494" spans="1:1">
      <c r="A494" s="525"/>
    </row>
    <row r="495" spans="1:1">
      <c r="A495" s="525"/>
    </row>
    <row r="496" spans="1:1">
      <c r="A496" s="525"/>
    </row>
    <row r="497" spans="1:1">
      <c r="A497" s="525"/>
    </row>
    <row r="498" spans="1:1">
      <c r="A498" s="525"/>
    </row>
    <row r="499" spans="1:1">
      <c r="A499" s="525"/>
    </row>
    <row r="500" spans="1:1">
      <c r="A500" s="525"/>
    </row>
    <row r="501" spans="1:1">
      <c r="A501" s="525"/>
    </row>
    <row r="502" spans="1:1">
      <c r="A502" s="525"/>
    </row>
    <row r="503" spans="1:1">
      <c r="A503" s="525"/>
    </row>
    <row r="504" spans="1:1">
      <c r="A504" s="525"/>
    </row>
    <row r="505" spans="1:1">
      <c r="A505" s="525"/>
    </row>
    <row r="506" spans="1:1">
      <c r="A506" s="525"/>
    </row>
    <row r="507" spans="1:1">
      <c r="A507" s="525"/>
    </row>
    <row r="508" spans="1:1">
      <c r="A508" s="525"/>
    </row>
    <row r="509" spans="1:1">
      <c r="A509" s="525"/>
    </row>
    <row r="510" spans="1:1">
      <c r="A510" s="525"/>
    </row>
    <row r="511" spans="1:1">
      <c r="A511" s="525"/>
    </row>
    <row r="512" spans="1:1">
      <c r="A512" s="525"/>
    </row>
    <row r="513" spans="1:1">
      <c r="A513" s="525"/>
    </row>
    <row r="514" spans="1:1">
      <c r="A514" s="525"/>
    </row>
    <row r="515" spans="1:1">
      <c r="A515" s="525"/>
    </row>
    <row r="516" spans="1:1">
      <c r="A516" s="525"/>
    </row>
    <row r="517" spans="1:1">
      <c r="A517" s="525"/>
    </row>
    <row r="518" spans="1:1">
      <c r="A518" s="525"/>
    </row>
    <row r="519" spans="1:1">
      <c r="A519" s="525"/>
    </row>
    <row r="520" spans="1:1">
      <c r="A520" s="525"/>
    </row>
    <row r="521" spans="1:1">
      <c r="A521" s="525"/>
    </row>
    <row r="522" spans="1:1">
      <c r="A522" s="525"/>
    </row>
    <row r="523" spans="1:1">
      <c r="A523" s="525"/>
    </row>
    <row r="524" spans="1:1">
      <c r="A524" s="525"/>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W149"/>
  <sheetViews>
    <sheetView zoomScale="70" zoomScaleNormal="70" zoomScaleSheetLayoutView="80" workbookViewId="0">
      <selection activeCell="P5" sqref="P5"/>
    </sheetView>
  </sheetViews>
  <sheetFormatPr defaultColWidth="8.88671875" defaultRowHeight="13.8"/>
  <cols>
    <col min="1" max="1" width="8.5546875" style="146" bestFit="1" customWidth="1"/>
    <col min="2" max="2" width="33.5546875" style="146" customWidth="1"/>
    <col min="3" max="4" width="12.5546875" style="146" customWidth="1"/>
    <col min="5" max="5" width="15.5546875" style="146" customWidth="1"/>
    <col min="6" max="6" width="14.6640625" style="146" customWidth="1"/>
    <col min="7" max="7" width="16" style="146" customWidth="1"/>
    <col min="8" max="8" width="16.44140625" style="146" customWidth="1"/>
    <col min="9" max="9" width="12.5546875" style="928" customWidth="1"/>
    <col min="10" max="15" width="12.5546875" style="146" customWidth="1"/>
    <col min="16" max="16" width="8.88671875" style="146" customWidth="1"/>
    <col min="17" max="16384" width="8.88671875" style="146"/>
  </cols>
  <sheetData>
    <row r="2" spans="1:23" ht="15" customHeight="1">
      <c r="B2" s="899"/>
      <c r="C2" s="842" t="s">
        <v>1398</v>
      </c>
      <c r="D2" s="843"/>
      <c r="E2" s="844"/>
      <c r="F2" s="842" t="s">
        <v>145</v>
      </c>
      <c r="G2" s="843"/>
      <c r="H2" s="844"/>
      <c r="I2" s="900" t="s">
        <v>1399</v>
      </c>
      <c r="J2" s="842" t="s">
        <v>144</v>
      </c>
      <c r="K2" s="843"/>
      <c r="L2" s="842" t="s">
        <v>1411</v>
      </c>
      <c r="M2" s="843"/>
      <c r="N2" s="843"/>
      <c r="O2" s="844"/>
    </row>
    <row r="3" spans="1:23">
      <c r="A3" s="901" t="s">
        <v>181</v>
      </c>
      <c r="B3" s="902" t="s">
        <v>155</v>
      </c>
      <c r="C3" s="903" t="s">
        <v>1324</v>
      </c>
      <c r="D3" s="854" t="s">
        <v>143</v>
      </c>
      <c r="E3" s="904" t="s">
        <v>1325</v>
      </c>
      <c r="F3" s="903" t="s">
        <v>1325</v>
      </c>
      <c r="G3" s="854" t="s">
        <v>1375</v>
      </c>
      <c r="H3" s="904" t="s">
        <v>1390</v>
      </c>
      <c r="I3" s="905"/>
      <c r="J3" s="903" t="s">
        <v>140</v>
      </c>
      <c r="K3" s="854" t="s">
        <v>1400</v>
      </c>
      <c r="L3" s="903" t="s">
        <v>182</v>
      </c>
      <c r="M3" s="854" t="s">
        <v>1414</v>
      </c>
      <c r="N3" s="854" t="s">
        <v>1412</v>
      </c>
      <c r="O3" s="904" t="s">
        <v>1413</v>
      </c>
      <c r="Q3" s="317"/>
    </row>
    <row r="4" spans="1:23">
      <c r="A4" s="906" t="str">
        <f>Input!C2</f>
        <v>A</v>
      </c>
      <c r="B4" s="907" t="s">
        <v>4164</v>
      </c>
      <c r="C4" s="862">
        <v>0.1</v>
      </c>
      <c r="D4" s="862">
        <v>0.1197</v>
      </c>
      <c r="E4" s="862">
        <v>0.12</v>
      </c>
      <c r="F4" s="908">
        <v>0.85</v>
      </c>
      <c r="G4" s="909">
        <v>1.0691213607788086</v>
      </c>
      <c r="H4" s="910">
        <v>0.77</v>
      </c>
      <c r="I4" s="864">
        <v>0.9</v>
      </c>
      <c r="J4" s="909" t="s">
        <v>225</v>
      </c>
      <c r="K4" s="909" t="s">
        <v>223</v>
      </c>
      <c r="L4" s="911">
        <v>0.5887</v>
      </c>
      <c r="M4" s="911">
        <v>2.6442000000000001</v>
      </c>
      <c r="N4" s="911">
        <v>3.2648000000000001</v>
      </c>
      <c r="O4" s="912">
        <v>6.5799999999999997E-2</v>
      </c>
      <c r="Q4"/>
      <c r="S4" s="913"/>
      <c r="T4"/>
      <c r="U4" s="514"/>
      <c r="V4"/>
      <c r="W4"/>
    </row>
    <row r="5" spans="1:23">
      <c r="A5" s="914" t="str">
        <f>Input!C3</f>
        <v>ABT</v>
      </c>
      <c r="B5" s="88" t="s">
        <v>4165</v>
      </c>
      <c r="C5" s="874">
        <v>5.0999999999999997E-2</v>
      </c>
      <c r="D5" s="874">
        <v>8.3000000000000004E-2</v>
      </c>
      <c r="E5" s="874">
        <v>7.0000000000000007E-2</v>
      </c>
      <c r="F5" s="915">
        <v>0.9</v>
      </c>
      <c r="G5" s="916">
        <v>0.76022017002105713</v>
      </c>
      <c r="H5" s="604">
        <v>0.81</v>
      </c>
      <c r="I5" s="877">
        <v>2.04</v>
      </c>
      <c r="J5" s="917" t="s">
        <v>191</v>
      </c>
      <c r="K5" s="916" t="s">
        <v>1370</v>
      </c>
      <c r="L5" s="918">
        <v>0.59260000000000002</v>
      </c>
      <c r="M5" s="918">
        <v>2.7622</v>
      </c>
      <c r="N5" s="918">
        <v>3.4226000000000001</v>
      </c>
      <c r="O5" s="919">
        <v>6.88E-2</v>
      </c>
      <c r="Q5"/>
      <c r="S5" s="913"/>
      <c r="T5"/>
      <c r="U5" s="514"/>
      <c r="V5"/>
      <c r="W5"/>
    </row>
    <row r="6" spans="1:23">
      <c r="A6" s="914" t="str">
        <f>Input!C4</f>
        <v>ADI</v>
      </c>
      <c r="B6" s="88" t="s">
        <v>4518</v>
      </c>
      <c r="C6" s="874">
        <v>0.123</v>
      </c>
      <c r="D6" s="874">
        <v>0.1487</v>
      </c>
      <c r="E6" s="874">
        <v>0.115</v>
      </c>
      <c r="F6" s="915">
        <v>0.95</v>
      </c>
      <c r="G6" s="916">
        <v>1.0239076614379883</v>
      </c>
      <c r="H6" s="604">
        <v>0.87</v>
      </c>
      <c r="I6" s="877">
        <v>3.04</v>
      </c>
      <c r="J6" s="917" t="s">
        <v>219</v>
      </c>
      <c r="K6" s="916" t="s">
        <v>193</v>
      </c>
      <c r="L6" s="918">
        <v>0.60760000000000003</v>
      </c>
      <c r="M6" s="918">
        <v>2.8416999999999999</v>
      </c>
      <c r="N6" s="918">
        <v>3.5710000000000002</v>
      </c>
      <c r="O6" s="919">
        <v>7.0699999999999999E-2</v>
      </c>
      <c r="Q6"/>
      <c r="S6" s="913"/>
      <c r="T6"/>
      <c r="U6" s="514"/>
      <c r="V6"/>
      <c r="W6"/>
    </row>
    <row r="7" spans="1:23">
      <c r="A7" s="914" t="str">
        <f>Input!C5</f>
        <v>AIZ</v>
      </c>
      <c r="B7" s="88" t="s">
        <v>3020</v>
      </c>
      <c r="C7" s="874">
        <v>0.127</v>
      </c>
      <c r="D7" s="874">
        <v>0.17399999999999999</v>
      </c>
      <c r="E7" s="874">
        <v>0.155</v>
      </c>
      <c r="F7" s="915">
        <v>0.95</v>
      </c>
      <c r="G7" s="916">
        <v>0.72135257720947266</v>
      </c>
      <c r="H7" s="604">
        <v>0.85</v>
      </c>
      <c r="I7" s="877">
        <v>2.8</v>
      </c>
      <c r="J7" s="917" t="s">
        <v>225</v>
      </c>
      <c r="K7" s="916" t="s">
        <v>222</v>
      </c>
      <c r="L7" s="918">
        <v>0.61460000000000004</v>
      </c>
      <c r="M7" s="918">
        <v>2.7366000000000001</v>
      </c>
      <c r="N7" s="918">
        <v>3.4624999999999999</v>
      </c>
      <c r="O7" s="919">
        <v>6.8099999999999994E-2</v>
      </c>
      <c r="Q7"/>
      <c r="S7" s="913"/>
      <c r="T7"/>
      <c r="U7" s="514"/>
      <c r="V7"/>
      <c r="W7"/>
    </row>
    <row r="8" spans="1:23">
      <c r="A8" s="914" t="str">
        <f>Input!C6</f>
        <v>AOS</v>
      </c>
      <c r="B8" s="88" t="s">
        <v>4166</v>
      </c>
      <c r="C8" s="874">
        <v>0.09</v>
      </c>
      <c r="D8" s="874">
        <v>0.08</v>
      </c>
      <c r="E8" s="874">
        <v>0.115</v>
      </c>
      <c r="F8" s="915">
        <v>0.85</v>
      </c>
      <c r="G8" s="916">
        <v>1.0350164175033569</v>
      </c>
      <c r="H8" s="604">
        <v>0.76</v>
      </c>
      <c r="I8" s="877">
        <v>1.2</v>
      </c>
      <c r="J8" s="917" t="s">
        <v>1447</v>
      </c>
      <c r="K8" s="916" t="s">
        <v>1447</v>
      </c>
      <c r="L8" s="918">
        <v>0.57469999999999999</v>
      </c>
      <c r="M8" s="918">
        <v>2.7271999999999998</v>
      </c>
      <c r="N8" s="918">
        <v>3.3260000000000001</v>
      </c>
      <c r="O8" s="919">
        <v>6.7900000000000002E-2</v>
      </c>
      <c r="Q8"/>
      <c r="S8" s="913"/>
      <c r="T8"/>
      <c r="U8" s="514"/>
      <c r="V8"/>
      <c r="W8"/>
    </row>
    <row r="9" spans="1:23">
      <c r="A9" s="914" t="str">
        <f>Input!C7</f>
        <v>APD</v>
      </c>
      <c r="B9" s="88" t="s">
        <v>4251</v>
      </c>
      <c r="C9" s="874">
        <v>0.122</v>
      </c>
      <c r="D9" s="874">
        <v>0.1065</v>
      </c>
      <c r="E9" s="874">
        <v>0.11</v>
      </c>
      <c r="F9" s="915">
        <v>0.9</v>
      </c>
      <c r="G9" s="916">
        <v>0.80731379985809326</v>
      </c>
      <c r="H9" s="604">
        <v>0.79</v>
      </c>
      <c r="I9" s="877">
        <v>6.48</v>
      </c>
      <c r="J9" s="917" t="s">
        <v>189</v>
      </c>
      <c r="K9" s="916" t="s">
        <v>192</v>
      </c>
      <c r="L9" s="918">
        <v>0.6018</v>
      </c>
      <c r="M9" s="918">
        <v>2.6236999999999999</v>
      </c>
      <c r="N9" s="918">
        <v>3.2789000000000001</v>
      </c>
      <c r="O9" s="919">
        <v>6.5299999999999997E-2</v>
      </c>
      <c r="Q9"/>
      <c r="S9" s="913"/>
      <c r="T9"/>
      <c r="U9" s="514"/>
      <c r="V9"/>
      <c r="W9"/>
    </row>
    <row r="10" spans="1:23">
      <c r="A10" s="914" t="str">
        <f>Input!C8</f>
        <v>BFB</v>
      </c>
      <c r="B10" s="88" t="s">
        <v>4167</v>
      </c>
      <c r="C10" s="874" t="s">
        <v>1447</v>
      </c>
      <c r="D10" s="874">
        <v>8.6199999999999999E-2</v>
      </c>
      <c r="E10" s="874">
        <v>0.14499999999999999</v>
      </c>
      <c r="F10" s="915">
        <v>0.9</v>
      </c>
      <c r="G10" s="916">
        <v>0.79479449987411499</v>
      </c>
      <c r="H10" s="604">
        <v>0.8</v>
      </c>
      <c r="I10" s="877">
        <v>0.82199999999999995</v>
      </c>
      <c r="J10" s="917" t="s">
        <v>191</v>
      </c>
      <c r="K10" s="916" t="s">
        <v>193</v>
      </c>
      <c r="L10" s="918">
        <v>0.59760000000000002</v>
      </c>
      <c r="M10" s="918">
        <v>2.6915</v>
      </c>
      <c r="N10" s="918">
        <v>3.3504</v>
      </c>
      <c r="O10" s="919">
        <v>6.7000000000000004E-2</v>
      </c>
      <c r="Q10"/>
      <c r="S10" s="913"/>
      <c r="T10"/>
      <c r="U10" s="514"/>
      <c r="V10"/>
      <c r="W10"/>
    </row>
    <row r="11" spans="1:23">
      <c r="A11" s="914" t="str">
        <f>Input!C9</f>
        <v>BMY</v>
      </c>
      <c r="B11" s="88" t="s">
        <v>4252</v>
      </c>
      <c r="C11" s="874">
        <v>5.6000000000000001E-2</v>
      </c>
      <c r="D11" s="874">
        <v>4.1399999999999999E-2</v>
      </c>
      <c r="E11" s="874" t="s">
        <v>4057</v>
      </c>
      <c r="F11" s="915">
        <v>0.85</v>
      </c>
      <c r="G11" s="916">
        <v>0.49832990765571594</v>
      </c>
      <c r="H11" s="604">
        <v>0.76</v>
      </c>
      <c r="I11" s="877">
        <v>2.2799999999999998</v>
      </c>
      <c r="J11" s="917" t="s">
        <v>189</v>
      </c>
      <c r="K11" s="916" t="s">
        <v>190</v>
      </c>
      <c r="L11" s="918">
        <v>0.53239999999999998</v>
      </c>
      <c r="M11" s="918">
        <v>3.0329999999999999</v>
      </c>
      <c r="N11" s="918">
        <v>3.5758999999999999</v>
      </c>
      <c r="O11" s="919">
        <v>7.5499999999999998E-2</v>
      </c>
      <c r="Q11"/>
      <c r="S11" s="913"/>
      <c r="T11"/>
      <c r="U11" s="514"/>
      <c r="V11"/>
      <c r="W11"/>
    </row>
    <row r="12" spans="1:23">
      <c r="A12" s="914" t="str">
        <f>Input!C10</f>
        <v>BR</v>
      </c>
      <c r="B12" s="88" t="s">
        <v>4168</v>
      </c>
      <c r="C12" s="874" t="s">
        <v>1447</v>
      </c>
      <c r="D12" s="874">
        <v>0.11799999999999999</v>
      </c>
      <c r="E12" s="874">
        <v>9.5000000000000001E-2</v>
      </c>
      <c r="F12" s="915">
        <v>0.85</v>
      </c>
      <c r="G12" s="916">
        <v>0.98402196168899536</v>
      </c>
      <c r="H12" s="604">
        <v>0.7</v>
      </c>
      <c r="I12" s="877">
        <v>2.9</v>
      </c>
      <c r="J12" s="917" t="s">
        <v>224</v>
      </c>
      <c r="K12" s="916" t="s">
        <v>223</v>
      </c>
      <c r="L12" s="918">
        <v>0.53849999999999998</v>
      </c>
      <c r="M12" s="918">
        <v>2.7610000000000001</v>
      </c>
      <c r="N12" s="918">
        <v>3.2704</v>
      </c>
      <c r="O12" s="919">
        <v>6.8699999999999997E-2</v>
      </c>
      <c r="Q12"/>
      <c r="S12" s="913"/>
      <c r="T12"/>
      <c r="U12" s="514"/>
      <c r="V12"/>
      <c r="W12"/>
    </row>
    <row r="13" spans="1:23">
      <c r="A13" s="914" t="str">
        <f>Input!C11</f>
        <v>CACI</v>
      </c>
      <c r="B13" s="88" t="s">
        <v>3977</v>
      </c>
      <c r="C13" s="874">
        <v>6.7000000000000004E-2</v>
      </c>
      <c r="D13" s="874">
        <v>2.4E-2</v>
      </c>
      <c r="E13" s="874">
        <v>7.0000000000000007E-2</v>
      </c>
      <c r="F13" s="915">
        <v>0.9</v>
      </c>
      <c r="G13" s="916">
        <v>0.74475908279418945</v>
      </c>
      <c r="H13" s="604">
        <v>0.84</v>
      </c>
      <c r="I13" s="877" t="s">
        <v>1447</v>
      </c>
      <c r="J13" s="917" t="s">
        <v>1447</v>
      </c>
      <c r="K13" s="916" t="s">
        <v>1304</v>
      </c>
      <c r="L13" s="918">
        <v>0.57669999999999999</v>
      </c>
      <c r="M13" s="918">
        <v>2.9845999999999999</v>
      </c>
      <c r="N13" s="918">
        <v>3.6463000000000001</v>
      </c>
      <c r="O13" s="919">
        <v>7.4300000000000005E-2</v>
      </c>
      <c r="Q13"/>
      <c r="S13" s="913"/>
      <c r="T13"/>
      <c r="U13" s="514"/>
      <c r="V13"/>
      <c r="W13"/>
    </row>
    <row r="14" spans="1:23">
      <c r="A14" s="914" t="str">
        <f>Input!C12</f>
        <v>CHE</v>
      </c>
      <c r="B14" s="88" t="s">
        <v>4169</v>
      </c>
      <c r="C14" s="874">
        <v>6.9000000000000006E-2</v>
      </c>
      <c r="D14" s="874">
        <v>6.9500000000000006E-2</v>
      </c>
      <c r="E14" s="874">
        <v>7.0000000000000007E-2</v>
      </c>
      <c r="F14" s="915">
        <v>0.85</v>
      </c>
      <c r="G14" s="916">
        <v>0.72125041484832764</v>
      </c>
      <c r="H14" s="604">
        <v>0.7</v>
      </c>
      <c r="I14" s="877">
        <v>1.52</v>
      </c>
      <c r="J14" s="917" t="s">
        <v>3959</v>
      </c>
      <c r="K14" s="916" t="s">
        <v>2296</v>
      </c>
      <c r="L14" s="918">
        <v>0.54020000000000001</v>
      </c>
      <c r="M14" s="918">
        <v>2.7214999999999998</v>
      </c>
      <c r="N14" s="918">
        <v>3.2275999999999998</v>
      </c>
      <c r="O14" s="919">
        <v>6.7699999999999996E-2</v>
      </c>
      <c r="Q14"/>
      <c r="S14" s="913"/>
      <c r="T14"/>
      <c r="U14" s="514"/>
      <c r="V14"/>
      <c r="W14"/>
    </row>
    <row r="15" spans="1:23">
      <c r="A15" s="914" t="str">
        <f>Input!C13</f>
        <v>CSWI</v>
      </c>
      <c r="B15" s="88" t="s">
        <v>4062</v>
      </c>
      <c r="C15" s="874" t="s">
        <v>1447</v>
      </c>
      <c r="D15" s="874">
        <v>0.12</v>
      </c>
      <c r="E15" s="874">
        <v>0.115</v>
      </c>
      <c r="F15" s="915">
        <v>0.9</v>
      </c>
      <c r="G15" s="916">
        <v>0.77070599794387817</v>
      </c>
      <c r="H15" s="604">
        <v>0.8</v>
      </c>
      <c r="I15" s="877">
        <v>0.68</v>
      </c>
      <c r="J15" s="917" t="s">
        <v>1447</v>
      </c>
      <c r="K15" s="916" t="s">
        <v>1447</v>
      </c>
      <c r="L15" s="918">
        <v>0.56759999999999999</v>
      </c>
      <c r="M15" s="918">
        <v>2.9127000000000001</v>
      </c>
      <c r="N15" s="918">
        <v>3.5308999999999999</v>
      </c>
      <c r="O15" s="919">
        <v>7.2499999999999995E-2</v>
      </c>
      <c r="Q15"/>
      <c r="S15" s="913"/>
      <c r="T15"/>
      <c r="U15" s="514"/>
      <c r="V15"/>
      <c r="W15"/>
    </row>
    <row r="16" spans="1:23">
      <c r="A16" s="914" t="str">
        <f>Input!C14</f>
        <v>DGX</v>
      </c>
      <c r="B16" s="88" t="s">
        <v>4519</v>
      </c>
      <c r="C16" s="874" t="s">
        <v>1447</v>
      </c>
      <c r="D16" s="874">
        <v>-0.156</v>
      </c>
      <c r="E16" s="874">
        <v>0.04</v>
      </c>
      <c r="F16" s="915">
        <v>0.8</v>
      </c>
      <c r="G16" s="916">
        <v>0.69651615619659424</v>
      </c>
      <c r="H16" s="604">
        <v>0.69</v>
      </c>
      <c r="I16" s="877">
        <v>2.64</v>
      </c>
      <c r="J16" s="917" t="s">
        <v>225</v>
      </c>
      <c r="K16" s="916" t="s">
        <v>223</v>
      </c>
      <c r="L16" s="918">
        <v>0.49719999999999998</v>
      </c>
      <c r="M16" s="918">
        <v>3.0217999999999998</v>
      </c>
      <c r="N16" s="918">
        <v>3.476</v>
      </c>
      <c r="O16" s="919">
        <v>7.5200000000000003E-2</v>
      </c>
      <c r="Q16"/>
      <c r="S16" s="913"/>
      <c r="T16"/>
      <c r="U16" s="514"/>
      <c r="V16"/>
      <c r="W16"/>
    </row>
    <row r="17" spans="1:23">
      <c r="A17" s="914" t="str">
        <f>Input!C15</f>
        <v>EXPO</v>
      </c>
      <c r="B17" s="88" t="s">
        <v>3021</v>
      </c>
      <c r="C17" s="874" t="s">
        <v>1447</v>
      </c>
      <c r="D17" s="874">
        <v>0.15</v>
      </c>
      <c r="E17" s="874">
        <v>0.105</v>
      </c>
      <c r="F17" s="915">
        <v>0.9</v>
      </c>
      <c r="G17" s="916">
        <v>0.99756920337677002</v>
      </c>
      <c r="H17" s="604">
        <v>0.8</v>
      </c>
      <c r="I17" s="877">
        <v>0.96</v>
      </c>
      <c r="J17" s="917" t="s">
        <v>1447</v>
      </c>
      <c r="K17" s="916" t="s">
        <v>1447</v>
      </c>
      <c r="L17" s="918">
        <v>0.56989999999999996</v>
      </c>
      <c r="M17" s="918">
        <v>2.8742000000000001</v>
      </c>
      <c r="N17" s="918">
        <v>3.4910000000000001</v>
      </c>
      <c r="O17" s="919">
        <v>7.1499999999999994E-2</v>
      </c>
      <c r="Q17"/>
      <c r="S17" s="913"/>
      <c r="T17"/>
      <c r="U17" s="514"/>
      <c r="V17"/>
      <c r="W17"/>
    </row>
    <row r="18" spans="1:23">
      <c r="A18" s="914" t="str">
        <f>Input!C16</f>
        <v>INGR</v>
      </c>
      <c r="B18" s="88" t="s">
        <v>3022</v>
      </c>
      <c r="C18" s="874" t="s">
        <v>1447</v>
      </c>
      <c r="D18" s="874">
        <v>9.9000000000000005E-2</v>
      </c>
      <c r="E18" s="874">
        <v>0.08</v>
      </c>
      <c r="F18" s="915">
        <v>0.9</v>
      </c>
      <c r="G18" s="916">
        <v>0.68774235248565674</v>
      </c>
      <c r="H18" s="604">
        <v>0.85</v>
      </c>
      <c r="I18" s="877">
        <v>2.84</v>
      </c>
      <c r="J18" s="917" t="s">
        <v>224</v>
      </c>
      <c r="K18" s="916" t="s">
        <v>222</v>
      </c>
      <c r="L18" s="918">
        <v>0.5948</v>
      </c>
      <c r="M18" s="918">
        <v>2.8616999999999999</v>
      </c>
      <c r="N18" s="918">
        <v>3.5531000000000001</v>
      </c>
      <c r="O18" s="919">
        <v>7.1199999999999999E-2</v>
      </c>
      <c r="Q18"/>
      <c r="S18" s="913"/>
      <c r="T18"/>
      <c r="U18" s="514"/>
      <c r="V18"/>
      <c r="W18"/>
    </row>
    <row r="19" spans="1:23">
      <c r="A19" s="914" t="str">
        <f>Input!C17</f>
        <v>JJSF</v>
      </c>
      <c r="B19" s="88" t="s">
        <v>4520</v>
      </c>
      <c r="C19" s="874" t="s">
        <v>1447</v>
      </c>
      <c r="D19" s="874">
        <v>0.73099999999999998</v>
      </c>
      <c r="E19" s="874">
        <v>0.09</v>
      </c>
      <c r="F19" s="915">
        <v>0.95</v>
      </c>
      <c r="G19" s="916">
        <v>0.57813775539398193</v>
      </c>
      <c r="H19" s="604">
        <v>0.87</v>
      </c>
      <c r="I19" s="877">
        <v>2.8</v>
      </c>
      <c r="J19" s="917" t="s">
        <v>1447</v>
      </c>
      <c r="K19" s="916" t="s">
        <v>1447</v>
      </c>
      <c r="L19" s="918">
        <v>0.59009999999999996</v>
      </c>
      <c r="M19" s="918">
        <v>2.9765999999999999</v>
      </c>
      <c r="N19" s="918">
        <v>3.68</v>
      </c>
      <c r="O19" s="919">
        <v>7.4099999999999999E-2</v>
      </c>
      <c r="Q19"/>
      <c r="S19" s="913"/>
      <c r="T19"/>
      <c r="U19" s="514"/>
      <c r="V19"/>
      <c r="W19"/>
    </row>
    <row r="20" spans="1:23">
      <c r="A20" s="914" t="str">
        <f>Input!C18</f>
        <v>JKHY</v>
      </c>
      <c r="B20" s="88" t="s">
        <v>3938</v>
      </c>
      <c r="C20" s="874">
        <v>0.09</v>
      </c>
      <c r="D20" s="874">
        <v>0.09</v>
      </c>
      <c r="E20" s="874">
        <v>0.08</v>
      </c>
      <c r="F20" s="915">
        <v>0.85</v>
      </c>
      <c r="G20" s="916">
        <v>0.7571338415145874</v>
      </c>
      <c r="H20" s="604">
        <v>0.7</v>
      </c>
      <c r="I20" s="877">
        <v>1.96</v>
      </c>
      <c r="J20" s="917" t="s">
        <v>1447</v>
      </c>
      <c r="K20" s="916" t="s">
        <v>1447</v>
      </c>
      <c r="L20" s="918">
        <v>0.52210000000000001</v>
      </c>
      <c r="M20" s="918">
        <v>2.8820999999999999</v>
      </c>
      <c r="N20" s="918">
        <v>3.3727</v>
      </c>
      <c r="O20" s="919">
        <v>7.17E-2</v>
      </c>
      <c r="Q20"/>
      <c r="S20" s="913"/>
      <c r="T20"/>
      <c r="U20" s="514"/>
      <c r="V20"/>
      <c r="W20"/>
    </row>
    <row r="21" spans="1:23">
      <c r="A21" s="914" t="str">
        <f>Input!C19</f>
        <v>MKC</v>
      </c>
      <c r="B21" s="88" t="s">
        <v>4255</v>
      </c>
      <c r="C21" s="874">
        <v>5.2999999999999999E-2</v>
      </c>
      <c r="D21" s="874">
        <v>5.0999999999999997E-2</v>
      </c>
      <c r="E21" s="874">
        <v>0.05</v>
      </c>
      <c r="F21" s="915">
        <v>0.8</v>
      </c>
      <c r="G21" s="916">
        <v>0.72053992748260498</v>
      </c>
      <c r="H21" s="604">
        <v>0.66</v>
      </c>
      <c r="I21" s="877">
        <v>1.56</v>
      </c>
      <c r="J21" s="917" t="s">
        <v>225</v>
      </c>
      <c r="K21" s="916" t="s">
        <v>222</v>
      </c>
      <c r="L21" s="918">
        <v>0.50380000000000003</v>
      </c>
      <c r="M21" s="918">
        <v>2.8331</v>
      </c>
      <c r="N21" s="918">
        <v>3.2732999999999999</v>
      </c>
      <c r="O21" s="919">
        <v>7.0499999999999993E-2</v>
      </c>
      <c r="Q21"/>
      <c r="S21" s="913"/>
      <c r="T21"/>
      <c r="U21" s="514"/>
      <c r="V21"/>
      <c r="W21"/>
    </row>
    <row r="22" spans="1:23">
      <c r="A22" s="914" t="str">
        <f>Input!C20</f>
        <v>MRK</v>
      </c>
      <c r="B22" s="88" t="s">
        <v>4256</v>
      </c>
      <c r="C22" s="874">
        <v>0.104</v>
      </c>
      <c r="D22" s="874">
        <v>0.11890000000000001</v>
      </c>
      <c r="E22" s="874">
        <v>0.08</v>
      </c>
      <c r="F22" s="915">
        <v>0.8</v>
      </c>
      <c r="G22" s="916">
        <v>0.4687764048576355</v>
      </c>
      <c r="H22" s="604">
        <v>0.64</v>
      </c>
      <c r="I22" s="877">
        <v>2.92</v>
      </c>
      <c r="J22" s="917" t="s">
        <v>191</v>
      </c>
      <c r="K22" s="916" t="s">
        <v>190</v>
      </c>
      <c r="L22" s="918">
        <v>0.51880000000000004</v>
      </c>
      <c r="M22" s="918">
        <v>2.6539999999999999</v>
      </c>
      <c r="N22" s="918">
        <v>3.0985</v>
      </c>
      <c r="O22" s="919">
        <v>6.6100000000000006E-2</v>
      </c>
      <c r="Q22"/>
      <c r="S22" s="913"/>
      <c r="T22"/>
      <c r="U22" s="514"/>
      <c r="V22"/>
      <c r="W22"/>
    </row>
    <row r="23" spans="1:23">
      <c r="A23" s="914" t="str">
        <f>Input!C21</f>
        <v>MSCI</v>
      </c>
      <c r="B23" s="88" t="s">
        <v>4521</v>
      </c>
      <c r="C23" s="874" t="s">
        <v>1447</v>
      </c>
      <c r="D23" s="874">
        <v>0.12529999999999999</v>
      </c>
      <c r="E23" s="874">
        <v>0.14499999999999999</v>
      </c>
      <c r="F23" s="915">
        <v>0.95</v>
      </c>
      <c r="G23" s="916">
        <v>1.3656225204467773</v>
      </c>
      <c r="H23" s="604">
        <v>0.85</v>
      </c>
      <c r="I23" s="877">
        <v>5</v>
      </c>
      <c r="J23" s="917" t="s">
        <v>1305</v>
      </c>
      <c r="K23" s="916" t="s">
        <v>1304</v>
      </c>
      <c r="L23" s="918">
        <v>0.57789999999999997</v>
      </c>
      <c r="M23" s="918">
        <v>3.0171000000000001</v>
      </c>
      <c r="N23" s="918">
        <v>3.6897000000000002</v>
      </c>
      <c r="O23" s="919">
        <v>7.51E-2</v>
      </c>
      <c r="Q23"/>
      <c r="S23" s="913"/>
      <c r="T23"/>
      <c r="U23" s="514"/>
      <c r="V23"/>
      <c r="W23"/>
    </row>
    <row r="24" spans="1:23">
      <c r="A24" s="914" t="str">
        <f>Input!C22</f>
        <v>MSI</v>
      </c>
      <c r="B24" s="88" t="s">
        <v>4522</v>
      </c>
      <c r="C24" s="874">
        <v>0.09</v>
      </c>
      <c r="D24" s="874">
        <v>0.1118</v>
      </c>
      <c r="E24" s="874">
        <v>0.105</v>
      </c>
      <c r="F24" s="915">
        <v>0.9</v>
      </c>
      <c r="G24" s="916">
        <v>0.96679747104644775</v>
      </c>
      <c r="H24" s="604">
        <v>0.79</v>
      </c>
      <c r="I24" s="877">
        <v>3.52</v>
      </c>
      <c r="J24" s="917" t="s">
        <v>220</v>
      </c>
      <c r="K24" s="916" t="s">
        <v>221</v>
      </c>
      <c r="L24" s="918">
        <v>0.59630000000000005</v>
      </c>
      <c r="M24" s="918">
        <v>2.6757</v>
      </c>
      <c r="N24" s="918">
        <v>3.3267000000000002</v>
      </c>
      <c r="O24" s="919">
        <v>6.6600000000000006E-2</v>
      </c>
      <c r="Q24"/>
      <c r="S24" s="913"/>
      <c r="T24"/>
      <c r="U24" s="514"/>
      <c r="V24"/>
      <c r="W24"/>
    </row>
    <row r="25" spans="1:23">
      <c r="A25" s="914" t="str">
        <f>Input!C23</f>
        <v>NEU</v>
      </c>
      <c r="B25" s="88" t="s">
        <v>4257</v>
      </c>
      <c r="C25" s="874" t="s">
        <v>1447</v>
      </c>
      <c r="D25" s="874">
        <v>7.6999999999999999E-2</v>
      </c>
      <c r="E25" s="874">
        <v>-1.4999999999999999E-2</v>
      </c>
      <c r="F25" s="915">
        <v>0.75</v>
      </c>
      <c r="G25" s="916">
        <v>0.61711913347244263</v>
      </c>
      <c r="H25" s="604">
        <v>0.61</v>
      </c>
      <c r="I25" s="877">
        <v>8.4</v>
      </c>
      <c r="J25" s="917" t="s">
        <v>225</v>
      </c>
      <c r="K25" s="916" t="s">
        <v>223</v>
      </c>
      <c r="L25" s="918">
        <v>0.50019999999999998</v>
      </c>
      <c r="M25" s="918">
        <v>2.6488999999999998</v>
      </c>
      <c r="N25" s="918">
        <v>3.0533000000000001</v>
      </c>
      <c r="O25" s="919">
        <v>6.59E-2</v>
      </c>
      <c r="Q25"/>
      <c r="S25" s="913"/>
      <c r="T25"/>
      <c r="U25" s="514"/>
      <c r="V25"/>
      <c r="W25"/>
    </row>
    <row r="26" spans="1:23">
      <c r="A26" s="914" t="str">
        <f>Input!C24</f>
        <v>NOC</v>
      </c>
      <c r="B26" s="88" t="s">
        <v>4523</v>
      </c>
      <c r="C26" s="874">
        <v>3.3000000000000002E-2</v>
      </c>
      <c r="D26" s="874">
        <v>0.03</v>
      </c>
      <c r="E26" s="874">
        <v>6.5000000000000002E-2</v>
      </c>
      <c r="F26" s="915">
        <v>0.85</v>
      </c>
      <c r="G26" s="916">
        <v>0.65922749042510986</v>
      </c>
      <c r="H26" s="604">
        <v>0.74</v>
      </c>
      <c r="I26" s="877">
        <v>6.92</v>
      </c>
      <c r="J26" s="917" t="s">
        <v>224</v>
      </c>
      <c r="K26" s="916" t="s">
        <v>223</v>
      </c>
      <c r="L26" s="918">
        <v>0.53380000000000005</v>
      </c>
      <c r="M26" s="918">
        <v>2.9186000000000001</v>
      </c>
      <c r="N26" s="918">
        <v>3.4447000000000001</v>
      </c>
      <c r="O26" s="919">
        <v>7.2700000000000001E-2</v>
      </c>
      <c r="Q26"/>
      <c r="S26" s="913"/>
      <c r="T26"/>
      <c r="U26" s="514"/>
      <c r="V26"/>
      <c r="W26"/>
    </row>
    <row r="27" spans="1:23">
      <c r="A27" s="914" t="str">
        <f>Input!C25</f>
        <v>ODFL</v>
      </c>
      <c r="B27" s="88" t="s">
        <v>4524</v>
      </c>
      <c r="C27" s="874">
        <v>0.14099999999999999</v>
      </c>
      <c r="D27" s="874">
        <v>0.1454</v>
      </c>
      <c r="E27" s="874">
        <v>0.105</v>
      </c>
      <c r="F27" s="915">
        <v>0.95</v>
      </c>
      <c r="G27" s="916">
        <v>1.1335461139678955</v>
      </c>
      <c r="H27" s="604">
        <v>0.85</v>
      </c>
      <c r="I27" s="877">
        <v>1.2</v>
      </c>
      <c r="J27" s="917" t="s">
        <v>1447</v>
      </c>
      <c r="K27" s="916" t="s">
        <v>1447</v>
      </c>
      <c r="L27" s="918">
        <v>0.58530000000000004</v>
      </c>
      <c r="M27" s="918">
        <v>2.9676999999999998</v>
      </c>
      <c r="N27" s="918">
        <v>3.6530999999999998</v>
      </c>
      <c r="O27" s="919">
        <v>7.3899999999999993E-2</v>
      </c>
      <c r="Q27"/>
      <c r="S27" s="913"/>
      <c r="T27"/>
      <c r="U27" s="514"/>
      <c r="V27"/>
      <c r="W27"/>
    </row>
    <row r="28" spans="1:23">
      <c r="A28" s="914" t="str">
        <f>Input!C26</f>
        <v>ORCL</v>
      </c>
      <c r="B28" s="88" t="s">
        <v>4253</v>
      </c>
      <c r="C28" s="874">
        <v>0.08</v>
      </c>
      <c r="D28" s="874">
        <v>0.10249999999999999</v>
      </c>
      <c r="E28" s="874">
        <v>0.1</v>
      </c>
      <c r="F28" s="915">
        <v>0.75</v>
      </c>
      <c r="G28" s="916">
        <v>0.99250739812850952</v>
      </c>
      <c r="H28" s="604">
        <v>0.61</v>
      </c>
      <c r="I28" s="877">
        <v>1.28</v>
      </c>
      <c r="J28" s="917" t="s">
        <v>225</v>
      </c>
      <c r="K28" s="916" t="s">
        <v>222</v>
      </c>
      <c r="L28" s="918">
        <v>0.4955</v>
      </c>
      <c r="M28" s="918">
        <v>2.6634000000000002</v>
      </c>
      <c r="N28" s="918">
        <v>3.0602999999999998</v>
      </c>
      <c r="O28" s="919">
        <v>6.6299999999999998E-2</v>
      </c>
      <c r="Q28"/>
      <c r="S28" s="913"/>
      <c r="T28"/>
      <c r="U28" s="514"/>
      <c r="V28"/>
      <c r="W28"/>
    </row>
    <row r="29" spans="1:23">
      <c r="A29" s="914" t="str">
        <f>Input!C27</f>
        <v>PGR</v>
      </c>
      <c r="B29" s="88" t="s">
        <v>4258</v>
      </c>
      <c r="C29" s="874">
        <v>0.19900000000000001</v>
      </c>
      <c r="D29" s="874">
        <v>0.2712</v>
      </c>
      <c r="E29" s="874">
        <v>6.5000000000000002E-2</v>
      </c>
      <c r="F29" s="915">
        <v>0.75</v>
      </c>
      <c r="G29" s="916">
        <v>0.7506294846534729</v>
      </c>
      <c r="H29" s="604">
        <v>0.6</v>
      </c>
      <c r="I29" s="877">
        <v>0.4</v>
      </c>
      <c r="J29" s="917" t="s">
        <v>189</v>
      </c>
      <c r="K29" s="916" t="s">
        <v>192</v>
      </c>
      <c r="L29" s="918">
        <v>0.46729999999999999</v>
      </c>
      <c r="M29" s="918">
        <v>2.8616999999999999</v>
      </c>
      <c r="N29" s="918">
        <v>3.2305000000000001</v>
      </c>
      <c r="O29" s="919">
        <v>7.1199999999999999E-2</v>
      </c>
      <c r="Q29"/>
      <c r="S29" s="913"/>
      <c r="T29"/>
      <c r="U29" s="514"/>
      <c r="V29"/>
      <c r="W29"/>
    </row>
    <row r="30" spans="1:23">
      <c r="A30" s="914" t="str">
        <f>Input!C28</f>
        <v>POST</v>
      </c>
      <c r="B30" s="88" t="s">
        <v>4525</v>
      </c>
      <c r="C30" s="874" t="s">
        <v>1447</v>
      </c>
      <c r="D30" s="874">
        <v>0.32400000000000001</v>
      </c>
      <c r="E30" s="874">
        <v>0.05</v>
      </c>
      <c r="F30" s="915">
        <v>0.95</v>
      </c>
      <c r="G30" s="916">
        <v>0.65590405464172363</v>
      </c>
      <c r="H30" s="604">
        <v>0.86</v>
      </c>
      <c r="I30" s="877" t="s">
        <v>1447</v>
      </c>
      <c r="J30" s="917" t="s">
        <v>1366</v>
      </c>
      <c r="K30" s="916" t="s">
        <v>1372</v>
      </c>
      <c r="L30" s="918">
        <v>0.59289999999999998</v>
      </c>
      <c r="M30" s="918">
        <v>2.9243999999999999</v>
      </c>
      <c r="N30" s="918">
        <v>3.6246</v>
      </c>
      <c r="O30" s="919">
        <v>7.2800000000000004E-2</v>
      </c>
      <c r="Q30"/>
      <c r="S30" s="913"/>
      <c r="T30"/>
      <c r="U30" s="514"/>
      <c r="V30"/>
      <c r="W30"/>
    </row>
    <row r="31" spans="1:23">
      <c r="A31" s="914" t="str">
        <f>Input!C29</f>
        <v>RLI</v>
      </c>
      <c r="B31" s="88" t="s">
        <v>3978</v>
      </c>
      <c r="C31" s="874" t="s">
        <v>1447</v>
      </c>
      <c r="D31" s="874">
        <v>9.8000000000000004E-2</v>
      </c>
      <c r="E31" s="874">
        <v>0.12</v>
      </c>
      <c r="F31" s="915">
        <v>0.8</v>
      </c>
      <c r="G31" s="916">
        <v>0.77834731340408325</v>
      </c>
      <c r="H31" s="604">
        <v>0.66</v>
      </c>
      <c r="I31" s="877">
        <v>1.04</v>
      </c>
      <c r="J31" s="917" t="s">
        <v>225</v>
      </c>
      <c r="K31" s="916" t="s">
        <v>222</v>
      </c>
      <c r="L31" s="918">
        <v>0.4985</v>
      </c>
      <c r="M31" s="918">
        <v>2.8574999999999999</v>
      </c>
      <c r="N31" s="918">
        <v>3.2898000000000001</v>
      </c>
      <c r="O31" s="919">
        <v>7.1099999999999997E-2</v>
      </c>
      <c r="Q31"/>
      <c r="S31" s="913"/>
      <c r="T31"/>
      <c r="U31" s="514"/>
      <c r="V31"/>
      <c r="W31"/>
    </row>
    <row r="32" spans="1:23">
      <c r="A32" s="914" t="str">
        <f>Input!C30</f>
        <v>ROL</v>
      </c>
      <c r="B32" s="88" t="s">
        <v>4526</v>
      </c>
      <c r="C32" s="874" t="s">
        <v>1447</v>
      </c>
      <c r="D32" s="874">
        <v>8.2000000000000003E-2</v>
      </c>
      <c r="E32" s="874">
        <v>0.105</v>
      </c>
      <c r="F32" s="915">
        <v>0.85</v>
      </c>
      <c r="G32" s="916">
        <v>0.87550854682922363</v>
      </c>
      <c r="H32" s="604">
        <v>0.72</v>
      </c>
      <c r="I32" s="877">
        <v>0.52</v>
      </c>
      <c r="J32" s="917" t="s">
        <v>1447</v>
      </c>
      <c r="K32" s="916" t="s">
        <v>1447</v>
      </c>
      <c r="L32" s="918">
        <v>0.51649999999999996</v>
      </c>
      <c r="M32" s="918">
        <v>2.9830999999999999</v>
      </c>
      <c r="N32" s="918">
        <v>3.4771000000000001</v>
      </c>
      <c r="O32" s="919">
        <v>7.4300000000000005E-2</v>
      </c>
      <c r="Q32"/>
      <c r="S32" s="913"/>
      <c r="T32"/>
      <c r="U32" s="514"/>
      <c r="V32"/>
      <c r="W32"/>
    </row>
    <row r="33" spans="1:23">
      <c r="A33" s="914" t="str">
        <f>Input!C31</f>
        <v>SHW</v>
      </c>
      <c r="B33" s="88" t="s">
        <v>4170</v>
      </c>
      <c r="C33" s="874">
        <v>0.128</v>
      </c>
      <c r="D33" s="874">
        <v>0.11464000000000001</v>
      </c>
      <c r="E33" s="874">
        <v>0.115</v>
      </c>
      <c r="F33" s="915">
        <v>0.9</v>
      </c>
      <c r="G33" s="916">
        <v>1.0015096664428711</v>
      </c>
      <c r="H33" s="604">
        <v>0.84</v>
      </c>
      <c r="I33" s="877">
        <v>2.4</v>
      </c>
      <c r="J33" s="917" t="s">
        <v>225</v>
      </c>
      <c r="K33" s="916" t="s">
        <v>222</v>
      </c>
      <c r="L33" s="918">
        <v>0.6341</v>
      </c>
      <c r="M33" s="918">
        <v>2.5642999999999998</v>
      </c>
      <c r="N33" s="918">
        <v>3.3098999999999998</v>
      </c>
      <c r="O33" s="919">
        <v>6.3799999999999996E-2</v>
      </c>
      <c r="Q33"/>
      <c r="S33" s="913"/>
      <c r="T33"/>
      <c r="U33" s="514"/>
      <c r="V33"/>
      <c r="W33"/>
    </row>
    <row r="34" spans="1:23">
      <c r="A34" s="914" t="str">
        <f>Input!C32</f>
        <v>SIGI</v>
      </c>
      <c r="B34" s="88" t="s">
        <v>3023</v>
      </c>
      <c r="C34" s="874">
        <v>6.6000000000000003E-2</v>
      </c>
      <c r="D34" s="874">
        <v>0.13400000000000001</v>
      </c>
      <c r="E34" s="874">
        <v>9.5000000000000001E-2</v>
      </c>
      <c r="F34" s="915">
        <v>0.9</v>
      </c>
      <c r="G34" s="916">
        <v>0.69410860538482666</v>
      </c>
      <c r="H34" s="604">
        <v>0.81</v>
      </c>
      <c r="I34" s="877">
        <v>1.2</v>
      </c>
      <c r="J34" s="917" t="s">
        <v>225</v>
      </c>
      <c r="K34" s="916" t="s">
        <v>222</v>
      </c>
      <c r="L34" s="918">
        <v>0.56910000000000005</v>
      </c>
      <c r="M34" s="918">
        <v>2.9464000000000001</v>
      </c>
      <c r="N34" s="918">
        <v>3.5762999999999998</v>
      </c>
      <c r="O34" s="919">
        <v>7.3300000000000004E-2</v>
      </c>
      <c r="Q34"/>
      <c r="S34" s="913"/>
      <c r="T34"/>
      <c r="U34" s="514"/>
      <c r="V34"/>
      <c r="W34"/>
    </row>
    <row r="35" spans="1:23">
      <c r="A35" s="914" t="str">
        <f>Input!C33</f>
        <v>SIRI</v>
      </c>
      <c r="B35" s="88" t="s">
        <v>3979</v>
      </c>
      <c r="C35" s="874">
        <v>7.0000000000000007E-2</v>
      </c>
      <c r="D35" s="874">
        <v>3.5400000000000001E-2</v>
      </c>
      <c r="E35" s="874">
        <v>0.32500000000000001</v>
      </c>
      <c r="F35" s="915">
        <v>0.95</v>
      </c>
      <c r="G35" s="916">
        <v>0.71677941083908081</v>
      </c>
      <c r="H35" s="604">
        <v>0.86</v>
      </c>
      <c r="I35" s="877">
        <v>9.6799999999999997E-2</v>
      </c>
      <c r="J35" s="917" t="s">
        <v>1447</v>
      </c>
      <c r="K35" s="916" t="s">
        <v>1447</v>
      </c>
      <c r="L35" s="918">
        <v>0.59079999999999999</v>
      </c>
      <c r="M35" s="918">
        <v>2.9588999999999999</v>
      </c>
      <c r="N35" s="918">
        <v>3.6600999999999999</v>
      </c>
      <c r="O35" s="919">
        <v>7.3700000000000002E-2</v>
      </c>
      <c r="Q35"/>
      <c r="S35" s="913"/>
      <c r="T35"/>
      <c r="U35" s="514"/>
      <c r="V35"/>
      <c r="W35"/>
    </row>
    <row r="36" spans="1:23">
      <c r="A36" s="914" t="str">
        <f>Input!C34</f>
        <v>SXT</v>
      </c>
      <c r="B36" s="88" t="s">
        <v>4527</v>
      </c>
      <c r="C36" s="874" t="s">
        <v>1447</v>
      </c>
      <c r="D36" s="874">
        <v>3.7999999999999999E-2</v>
      </c>
      <c r="E36" s="874">
        <v>2.5000000000000001E-2</v>
      </c>
      <c r="F36" s="915">
        <v>0.9</v>
      </c>
      <c r="G36" s="916">
        <v>0.96372032165527344</v>
      </c>
      <c r="H36" s="604">
        <v>0.82</v>
      </c>
      <c r="I36" s="877">
        <v>1.64</v>
      </c>
      <c r="J36" s="917" t="s">
        <v>3959</v>
      </c>
      <c r="K36" s="916" t="s">
        <v>2296</v>
      </c>
      <c r="L36" s="918">
        <v>0.6129</v>
      </c>
      <c r="M36" s="918">
        <v>2.6393</v>
      </c>
      <c r="N36" s="918">
        <v>3.3336000000000001</v>
      </c>
      <c r="O36" s="919">
        <v>6.5699999999999995E-2</v>
      </c>
      <c r="Q36"/>
      <c r="S36" s="913"/>
      <c r="T36"/>
      <c r="U36" s="514"/>
      <c r="V36"/>
      <c r="W36"/>
    </row>
    <row r="37" spans="1:23">
      <c r="A37" s="914" t="str">
        <f>Input!C35</f>
        <v>TMO</v>
      </c>
      <c r="B37" s="88" t="s">
        <v>4528</v>
      </c>
      <c r="C37" s="874">
        <v>0.125</v>
      </c>
      <c r="D37" s="874">
        <v>3.5099999999999999E-2</v>
      </c>
      <c r="E37" s="874">
        <v>0.105</v>
      </c>
      <c r="F37" s="915">
        <v>0.85</v>
      </c>
      <c r="G37" s="916">
        <v>0.92452317476272583</v>
      </c>
      <c r="H37" s="604">
        <v>0.7</v>
      </c>
      <c r="I37" s="877">
        <v>1.2</v>
      </c>
      <c r="J37" s="917" t="s">
        <v>219</v>
      </c>
      <c r="K37" s="916" t="s">
        <v>193</v>
      </c>
      <c r="L37" s="918">
        <v>0.55600000000000005</v>
      </c>
      <c r="M37" s="918">
        <v>2.6278999999999999</v>
      </c>
      <c r="N37" s="918">
        <v>3.1556000000000002</v>
      </c>
      <c r="O37" s="919">
        <v>6.54E-2</v>
      </c>
      <c r="Q37"/>
      <c r="S37" s="913"/>
      <c r="T37"/>
      <c r="U37" s="514"/>
      <c r="V37"/>
      <c r="W37"/>
    </row>
    <row r="38" spans="1:23">
      <c r="A38" s="914" t="str">
        <f>Input!C36</f>
        <v>TXN</v>
      </c>
      <c r="B38" s="88" t="s">
        <v>4171</v>
      </c>
      <c r="C38" s="874">
        <v>9.2999999999999999E-2</v>
      </c>
      <c r="D38" s="874">
        <v>0.1</v>
      </c>
      <c r="E38" s="874">
        <v>7.4999999999999997E-2</v>
      </c>
      <c r="F38" s="915">
        <v>0.85</v>
      </c>
      <c r="G38" s="916">
        <v>0.97030335664749146</v>
      </c>
      <c r="H38" s="604">
        <v>0.75</v>
      </c>
      <c r="I38" s="877">
        <v>4.96</v>
      </c>
      <c r="J38" s="917" t="s">
        <v>1364</v>
      </c>
      <c r="K38" s="916" t="s">
        <v>190</v>
      </c>
      <c r="L38" s="918">
        <v>0.57909999999999995</v>
      </c>
      <c r="M38" s="918">
        <v>2.6589999999999998</v>
      </c>
      <c r="N38" s="918">
        <v>3.2553000000000001</v>
      </c>
      <c r="O38" s="919">
        <v>6.6199999999999995E-2</v>
      </c>
      <c r="Q38"/>
      <c r="S38" s="913"/>
      <c r="T38"/>
      <c r="U38" s="514"/>
      <c r="V38"/>
      <c r="W38"/>
    </row>
    <row r="39" spans="1:23">
      <c r="A39" s="914" t="str">
        <f>Input!C37</f>
        <v>VRSN</v>
      </c>
      <c r="B39" s="88" t="s">
        <v>4172</v>
      </c>
      <c r="C39" s="874" t="s">
        <v>1447</v>
      </c>
      <c r="D39" s="874">
        <v>0.08</v>
      </c>
      <c r="E39" s="874">
        <v>0.11</v>
      </c>
      <c r="F39" s="915">
        <v>0.9</v>
      </c>
      <c r="G39" s="916">
        <v>1.0538966655731201</v>
      </c>
      <c r="H39" s="604">
        <v>0.78</v>
      </c>
      <c r="I39" s="877" t="s">
        <v>1447</v>
      </c>
      <c r="J39" s="917" t="s">
        <v>220</v>
      </c>
      <c r="K39" s="916" t="s">
        <v>222</v>
      </c>
      <c r="L39" s="918">
        <v>0.60350000000000004</v>
      </c>
      <c r="M39" s="918">
        <v>2.5863</v>
      </c>
      <c r="N39" s="918">
        <v>3.2374000000000001</v>
      </c>
      <c r="O39" s="919">
        <v>6.4399999999999999E-2</v>
      </c>
      <c r="Q39"/>
      <c r="S39" s="913"/>
      <c r="T39"/>
      <c r="U39" s="514"/>
      <c r="V39"/>
      <c r="W39"/>
    </row>
    <row r="40" spans="1:23">
      <c r="A40" s="914" t="str">
        <f>Input!C38</f>
        <v>WAT</v>
      </c>
      <c r="B40" s="88" t="s">
        <v>4063</v>
      </c>
      <c r="C40" s="874">
        <v>7.1999999999999995E-2</v>
      </c>
      <c r="D40" s="874">
        <v>8.3400000000000002E-2</v>
      </c>
      <c r="E40" s="874">
        <v>0.06</v>
      </c>
      <c r="F40" s="915">
        <v>0.95</v>
      </c>
      <c r="G40" s="916">
        <v>0.97911584377288818</v>
      </c>
      <c r="H40" s="604">
        <v>0.87</v>
      </c>
      <c r="I40" s="877" t="s">
        <v>1447</v>
      </c>
      <c r="J40" s="917" t="s">
        <v>1447</v>
      </c>
      <c r="K40" s="916" t="s">
        <v>1447</v>
      </c>
      <c r="L40" s="918">
        <v>0.6129</v>
      </c>
      <c r="M40" s="918">
        <v>2.8031999999999999</v>
      </c>
      <c r="N40" s="918">
        <v>3.5407999999999999</v>
      </c>
      <c r="O40" s="919">
        <v>6.9800000000000001E-2</v>
      </c>
      <c r="Q40"/>
      <c r="S40" s="913"/>
      <c r="T40"/>
      <c r="U40" s="514"/>
      <c r="V40"/>
      <c r="W40"/>
    </row>
    <row r="41" spans="1:23">
      <c r="A41" s="914" t="str">
        <f>Input!C39</f>
        <v>WSO</v>
      </c>
      <c r="B41" s="88" t="s">
        <v>4173</v>
      </c>
      <c r="C41" s="874" t="s">
        <v>1447</v>
      </c>
      <c r="D41" s="874">
        <v>0.15</v>
      </c>
      <c r="E41" s="874">
        <v>0.115</v>
      </c>
      <c r="F41" s="915">
        <v>0.85</v>
      </c>
      <c r="G41" s="916">
        <v>1.0211198329925537</v>
      </c>
      <c r="H41" s="604">
        <v>0.75</v>
      </c>
      <c r="I41" s="877">
        <v>8.8000000000000007</v>
      </c>
      <c r="J41" s="917" t="s">
        <v>1447</v>
      </c>
      <c r="K41" s="916" t="s">
        <v>1447</v>
      </c>
      <c r="L41" s="918">
        <v>0.57069999999999999</v>
      </c>
      <c r="M41" s="918">
        <v>2.6936</v>
      </c>
      <c r="N41" s="918">
        <v>3.2738999999999998</v>
      </c>
      <c r="O41" s="919">
        <v>6.7100000000000007E-2</v>
      </c>
      <c r="Q41"/>
      <c r="S41" s="913"/>
      <c r="T41"/>
      <c r="U41" s="514"/>
      <c r="V41"/>
      <c r="W41"/>
    </row>
    <row r="42" spans="1:23">
      <c r="A42" s="920" t="str">
        <f>Input!C40</f>
        <v>WU</v>
      </c>
      <c r="B42" s="921" t="s">
        <v>4254</v>
      </c>
      <c r="C42" s="885" t="s">
        <v>1447</v>
      </c>
      <c r="D42" s="885">
        <v>-0.1105</v>
      </c>
      <c r="E42" s="922">
        <v>0.08</v>
      </c>
      <c r="F42" s="923">
        <v>0.8</v>
      </c>
      <c r="G42" s="924">
        <v>0.81399881839752197</v>
      </c>
      <c r="H42" s="925">
        <v>0.65</v>
      </c>
      <c r="I42" s="888">
        <v>0.94</v>
      </c>
      <c r="J42" s="924" t="s">
        <v>225</v>
      </c>
      <c r="K42" s="924" t="s">
        <v>222</v>
      </c>
      <c r="L42" s="926">
        <v>0.51619999999999999</v>
      </c>
      <c r="M42" s="926">
        <v>2.7094</v>
      </c>
      <c r="N42" s="926">
        <v>3.1574</v>
      </c>
      <c r="O42" s="927">
        <v>6.7400000000000002E-2</v>
      </c>
      <c r="Q42"/>
      <c r="S42" s="913"/>
      <c r="T42"/>
      <c r="U42" s="514"/>
      <c r="V42"/>
      <c r="W42"/>
    </row>
    <row r="43" spans="1:23">
      <c r="S43"/>
    </row>
    <row r="44" spans="1:23">
      <c r="C44" s="223"/>
      <c r="I44" s="929"/>
    </row>
    <row r="45" spans="1:23">
      <c r="C45" s="223"/>
      <c r="I45" s="929"/>
    </row>
    <row r="46" spans="1:23">
      <c r="C46" s="223"/>
      <c r="I46" s="929"/>
    </row>
    <row r="47" spans="1:23">
      <c r="C47" s="223"/>
      <c r="I47" s="929"/>
    </row>
    <row r="48" spans="1:23">
      <c r="C48" s="223"/>
      <c r="I48" s="929"/>
    </row>
    <row r="49" spans="3:9">
      <c r="C49" s="223"/>
      <c r="I49" s="929"/>
    </row>
    <row r="50" spans="3:9">
      <c r="C50" s="223"/>
      <c r="I50" s="929"/>
    </row>
    <row r="51" spans="3:9">
      <c r="C51" s="223"/>
      <c r="I51" s="929"/>
    </row>
    <row r="52" spans="3:9">
      <c r="C52" s="223"/>
      <c r="I52" s="929"/>
    </row>
    <row r="53" spans="3:9">
      <c r="C53" s="223"/>
      <c r="I53" s="929"/>
    </row>
    <row r="54" spans="3:9">
      <c r="C54" s="223"/>
      <c r="D54" s="317"/>
      <c r="I54" s="929"/>
    </row>
    <row r="55" spans="3:9">
      <c r="C55" s="223"/>
      <c r="D55" s="317"/>
      <c r="I55" s="929"/>
    </row>
    <row r="56" spans="3:9">
      <c r="C56" s="223"/>
      <c r="D56" s="317"/>
    </row>
    <row r="57" spans="3:9">
      <c r="C57" s="223"/>
      <c r="D57" s="317"/>
    </row>
    <row r="58" spans="3:9">
      <c r="C58" s="223"/>
      <c r="D58" s="317"/>
    </row>
    <row r="59" spans="3:9">
      <c r="D59" s="317"/>
    </row>
    <row r="60" spans="3:9">
      <c r="D60" s="317"/>
    </row>
    <row r="61" spans="3:9">
      <c r="D61" s="317"/>
    </row>
    <row r="62" spans="3:9">
      <c r="D62" s="317"/>
    </row>
    <row r="63" spans="3:9">
      <c r="D63" s="317"/>
    </row>
    <row r="64" spans="3:9">
      <c r="D64" s="317"/>
    </row>
    <row r="65" spans="4:4">
      <c r="D65" s="317"/>
    </row>
    <row r="66" spans="4:4">
      <c r="D66" s="317"/>
    </row>
    <row r="67" spans="4:4">
      <c r="D67" s="317"/>
    </row>
    <row r="68" spans="4:4">
      <c r="D68" s="317"/>
    </row>
    <row r="69" spans="4:4">
      <c r="D69" s="317"/>
    </row>
    <row r="70" spans="4:4">
      <c r="D70" s="317"/>
    </row>
    <row r="71" spans="4:4">
      <c r="D71" s="317"/>
    </row>
    <row r="72" spans="4:4">
      <c r="D72" s="317"/>
    </row>
    <row r="73" spans="4:4">
      <c r="D73" s="317"/>
    </row>
    <row r="74" spans="4:4">
      <c r="D74" s="317"/>
    </row>
    <row r="75" spans="4:4">
      <c r="D75" s="317"/>
    </row>
    <row r="76" spans="4:4">
      <c r="D76" s="317"/>
    </row>
    <row r="77" spans="4:4">
      <c r="D77" s="317"/>
    </row>
    <row r="78" spans="4:4">
      <c r="D78" s="317"/>
    </row>
    <row r="79" spans="4:4">
      <c r="D79" s="317"/>
    </row>
    <row r="80" spans="4:4">
      <c r="D80" s="317"/>
    </row>
    <row r="81" spans="4:4">
      <c r="D81" s="317"/>
    </row>
    <row r="82" spans="4:4">
      <c r="D82" s="317"/>
    </row>
    <row r="83" spans="4:4">
      <c r="D83" s="317"/>
    </row>
    <row r="84" spans="4:4">
      <c r="D84" s="317"/>
    </row>
    <row r="85" spans="4:4">
      <c r="D85" s="317"/>
    </row>
    <row r="86" spans="4:4">
      <c r="D86" s="317"/>
    </row>
    <row r="87" spans="4:4">
      <c r="D87" s="317"/>
    </row>
    <row r="88" spans="4:4">
      <c r="D88" s="317"/>
    </row>
    <row r="89" spans="4:4">
      <c r="D89" s="317"/>
    </row>
    <row r="90" spans="4:4">
      <c r="D90" s="317"/>
    </row>
    <row r="91" spans="4:4">
      <c r="D91" s="317"/>
    </row>
    <row r="92" spans="4:4">
      <c r="D92" s="317"/>
    </row>
    <row r="93" spans="4:4">
      <c r="D93" s="317"/>
    </row>
    <row r="94" spans="4:4">
      <c r="D94" s="317"/>
    </row>
    <row r="95" spans="4:4">
      <c r="D95" s="317"/>
    </row>
    <row r="96" spans="4:4">
      <c r="D96" s="317"/>
    </row>
    <row r="97" spans="4:4">
      <c r="D97" s="317"/>
    </row>
    <row r="98" spans="4:4">
      <c r="D98" s="317"/>
    </row>
    <row r="99" spans="4:4">
      <c r="D99" s="317"/>
    </row>
    <row r="100" spans="4:4">
      <c r="D100" s="317"/>
    </row>
    <row r="101" spans="4:4">
      <c r="D101" s="317"/>
    </row>
    <row r="102" spans="4:4">
      <c r="D102" s="317"/>
    </row>
    <row r="103" spans="4:4">
      <c r="D103" s="317"/>
    </row>
    <row r="104" spans="4:4">
      <c r="D104" s="317"/>
    </row>
    <row r="105" spans="4:4">
      <c r="D105" s="317"/>
    </row>
    <row r="106" spans="4:4">
      <c r="D106" s="317"/>
    </row>
    <row r="107" spans="4:4">
      <c r="D107" s="317"/>
    </row>
    <row r="108" spans="4:4">
      <c r="D108" s="317"/>
    </row>
    <row r="109" spans="4:4">
      <c r="D109" s="317"/>
    </row>
    <row r="110" spans="4:4">
      <c r="D110" s="317"/>
    </row>
    <row r="111" spans="4:4">
      <c r="D111" s="317"/>
    </row>
    <row r="112" spans="4:4">
      <c r="D112" s="317"/>
    </row>
    <row r="113" spans="4:4">
      <c r="D113" s="317"/>
    </row>
    <row r="114" spans="4:4">
      <c r="D114" s="317"/>
    </row>
    <row r="115" spans="4:4">
      <c r="D115" s="317"/>
    </row>
    <row r="116" spans="4:4">
      <c r="D116" s="317"/>
    </row>
    <row r="117" spans="4:4">
      <c r="D117" s="317"/>
    </row>
    <row r="118" spans="4:4">
      <c r="D118" s="317"/>
    </row>
    <row r="119" spans="4:4">
      <c r="D119" s="317"/>
    </row>
    <row r="120" spans="4:4">
      <c r="D120" s="317"/>
    </row>
    <row r="121" spans="4:4">
      <c r="D121" s="317"/>
    </row>
    <row r="122" spans="4:4">
      <c r="D122" s="317"/>
    </row>
    <row r="123" spans="4:4">
      <c r="D123" s="317"/>
    </row>
    <row r="124" spans="4:4">
      <c r="D124" s="317"/>
    </row>
    <row r="125" spans="4:4">
      <c r="D125" s="317"/>
    </row>
    <row r="126" spans="4:4">
      <c r="D126" s="317"/>
    </row>
    <row r="127" spans="4:4">
      <c r="D127" s="317"/>
    </row>
    <row r="128" spans="4:4">
      <c r="D128" s="317"/>
    </row>
    <row r="129" spans="4:4">
      <c r="D129" s="317"/>
    </row>
    <row r="130" spans="4:4">
      <c r="D130" s="317"/>
    </row>
    <row r="131" spans="4:4">
      <c r="D131" s="317"/>
    </row>
    <row r="132" spans="4:4">
      <c r="D132" s="317"/>
    </row>
    <row r="133" spans="4:4">
      <c r="D133" s="317"/>
    </row>
    <row r="134" spans="4:4">
      <c r="D134" s="317"/>
    </row>
    <row r="135" spans="4:4">
      <c r="D135" s="317"/>
    </row>
    <row r="136" spans="4:4">
      <c r="D136" s="317"/>
    </row>
    <row r="137" spans="4:4">
      <c r="D137" s="317"/>
    </row>
    <row r="138" spans="4:4">
      <c r="D138" s="317"/>
    </row>
    <row r="139" spans="4:4">
      <c r="D139" s="317"/>
    </row>
    <row r="140" spans="4:4">
      <c r="D140" s="317"/>
    </row>
    <row r="141" spans="4:4">
      <c r="D141" s="317"/>
    </row>
    <row r="142" spans="4:4">
      <c r="D142" s="317"/>
    </row>
    <row r="143" spans="4:4">
      <c r="D143" s="317"/>
    </row>
    <row r="144" spans="4:4">
      <c r="D144" s="317"/>
    </row>
    <row r="145" spans="4:4">
      <c r="D145" s="317"/>
    </row>
    <row r="146" spans="4:4">
      <c r="D146" s="317"/>
    </row>
    <row r="147" spans="4:4">
      <c r="D147" s="317"/>
    </row>
    <row r="148" spans="4:4">
      <c r="D148" s="317"/>
    </row>
    <row r="149" spans="4:4">
      <c r="D149" s="317"/>
    </row>
  </sheetData>
  <pageMargins left="0.7" right="0.7" top="0.75" bottom="0.75" header="0.3" footer="0.3"/>
  <pageSetup scale="81" orientation="portrait" r:id="rId1"/>
  <colBreaks count="2" manualBreakCount="2">
    <brk id="5" max="50" man="1"/>
    <brk id="14" max="5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9"/>
  <sheetViews>
    <sheetView view="pageBreakPreview" zoomScale="90" zoomScaleNormal="100" zoomScaleSheetLayoutView="90" workbookViewId="0"/>
  </sheetViews>
  <sheetFormatPr defaultColWidth="8.6640625" defaultRowHeight="15"/>
  <cols>
    <col min="1" max="1" width="42.5546875" style="477" bestFit="1" customWidth="1"/>
    <col min="2" max="2" width="4.6640625" style="477" customWidth="1"/>
    <col min="3" max="3" width="10.5546875" style="478" customWidth="1"/>
    <col min="4" max="4" width="2.88671875" style="477" customWidth="1"/>
    <col min="5" max="5" width="10.33203125" style="478" customWidth="1"/>
    <col min="6" max="6" width="2.5546875" style="478" customWidth="1"/>
    <col min="7" max="7" width="11" style="478" customWidth="1"/>
    <col min="8" max="8" width="2" style="478" customWidth="1"/>
    <col min="9" max="9" width="10.5546875" style="478" bestFit="1" customWidth="1"/>
    <col min="10" max="10" width="8.6640625" style="477"/>
    <col min="11" max="11" width="9.5546875" style="477" bestFit="1" customWidth="1"/>
    <col min="12" max="16384" width="8.6640625" style="477"/>
  </cols>
  <sheetData>
    <row r="1" spans="1:12">
      <c r="A1" s="489" t="str">
        <f>Input!G28</f>
        <v>Peoples Gas System</v>
      </c>
      <c r="B1" s="489"/>
      <c r="C1" s="489"/>
      <c r="D1" s="489"/>
      <c r="E1" s="489"/>
      <c r="F1" s="489"/>
      <c r="G1" s="489"/>
      <c r="H1" s="489"/>
      <c r="I1" s="489"/>
    </row>
    <row r="2" spans="1:12">
      <c r="A2" s="498" t="s">
        <v>4117</v>
      </c>
      <c r="B2" s="498"/>
      <c r="C2" s="498"/>
      <c r="D2" s="498"/>
      <c r="E2" s="498"/>
      <c r="F2" s="498"/>
      <c r="G2" s="498"/>
      <c r="H2" s="498"/>
      <c r="I2" s="498"/>
    </row>
    <row r="3" spans="1:12">
      <c r="A3" s="499" t="s">
        <v>4184</v>
      </c>
      <c r="B3" s="499"/>
      <c r="C3" s="499"/>
      <c r="D3" s="499"/>
      <c r="E3" s="499"/>
      <c r="F3" s="499"/>
      <c r="G3" s="499"/>
      <c r="H3" s="499"/>
      <c r="I3" s="499"/>
    </row>
    <row r="5" spans="1:12">
      <c r="E5" s="1002">
        <v>2020</v>
      </c>
      <c r="F5" s="1002"/>
      <c r="G5" s="1002"/>
      <c r="H5" s="1002"/>
      <c r="I5" s="1002"/>
    </row>
    <row r="6" spans="1:12" ht="45">
      <c r="A6" s="479" t="s">
        <v>155</v>
      </c>
      <c r="B6" s="479"/>
      <c r="C6" s="480" t="s">
        <v>4118</v>
      </c>
      <c r="D6" s="479"/>
      <c r="E6" s="480" t="s">
        <v>10</v>
      </c>
      <c r="F6" s="480"/>
      <c r="G6" s="480" t="s">
        <v>4056</v>
      </c>
      <c r="H6" s="480"/>
      <c r="I6" s="480" t="s">
        <v>31</v>
      </c>
    </row>
    <row r="7" spans="1:12">
      <c r="A7" s="481" t="s">
        <v>4160</v>
      </c>
      <c r="B7" s="481"/>
      <c r="C7" s="478" t="s">
        <v>205</v>
      </c>
      <c r="E7" s="482" t="e">
        <f>#REF!</f>
        <v>#REF!</v>
      </c>
      <c r="F7" s="482"/>
      <c r="G7" s="482" t="e">
        <f>#REF!</f>
        <v>#REF!</v>
      </c>
      <c r="H7" s="482"/>
      <c r="I7" s="483" t="str">
        <f>IFERROR(E7+G7,"NA")</f>
        <v>NA</v>
      </c>
      <c r="K7" s="484" t="e">
        <f>MAX(E7:E43)</f>
        <v>#REF!</v>
      </c>
      <c r="L7" s="477" t="s">
        <v>4119</v>
      </c>
    </row>
    <row r="8" spans="1:12">
      <c r="A8" s="481" t="s">
        <v>4188</v>
      </c>
      <c r="B8" s="481"/>
      <c r="C8" s="478" t="s">
        <v>205</v>
      </c>
      <c r="E8" s="482" t="e">
        <f>#REF!</f>
        <v>#REF!</v>
      </c>
      <c r="F8" s="482"/>
      <c r="G8" s="482" t="e">
        <f>#REF!</f>
        <v>#REF!</v>
      </c>
      <c r="H8" s="482"/>
      <c r="I8" s="483" t="str">
        <f t="shared" ref="I8:I43" si="0">IFERROR(E8+G8,"NA")</f>
        <v>NA</v>
      </c>
      <c r="K8" s="484" t="e">
        <f>MIN(E7:E43)</f>
        <v>#REF!</v>
      </c>
      <c r="L8" s="477" t="s">
        <v>4120</v>
      </c>
    </row>
    <row r="9" spans="1:12">
      <c r="A9" s="481" t="s">
        <v>4161</v>
      </c>
      <c r="B9" s="481"/>
      <c r="C9" s="478" t="s">
        <v>205</v>
      </c>
      <c r="E9" s="482" t="e">
        <f>#REF!</f>
        <v>#REF!</v>
      </c>
      <c r="F9" s="482"/>
      <c r="G9" s="482" t="e">
        <f>#REF!</f>
        <v>#REF!</v>
      </c>
      <c r="H9" s="482"/>
      <c r="I9" s="483" t="str">
        <f t="shared" si="0"/>
        <v>NA</v>
      </c>
    </row>
    <row r="10" spans="1:12">
      <c r="A10" s="481" t="s">
        <v>4162</v>
      </c>
      <c r="B10" s="481"/>
      <c r="C10" s="478" t="s">
        <v>205</v>
      </c>
      <c r="E10" s="482" t="e">
        <f>#REF!</f>
        <v>#REF!</v>
      </c>
      <c r="F10" s="482"/>
      <c r="G10" s="482" t="e">
        <f>#REF!</f>
        <v>#REF!</v>
      </c>
      <c r="H10" s="482"/>
      <c r="I10" s="483" t="str">
        <f t="shared" si="0"/>
        <v>NA</v>
      </c>
    </row>
    <row r="11" spans="1:12">
      <c r="A11" s="481" t="s">
        <v>4189</v>
      </c>
      <c r="B11" s="481"/>
      <c r="C11" s="478" t="s">
        <v>211</v>
      </c>
      <c r="E11" s="482" t="e">
        <f>#REF!</f>
        <v>#REF!</v>
      </c>
      <c r="F11" s="482"/>
      <c r="G11" s="482" t="e">
        <f>#REF!</f>
        <v>#REF!</v>
      </c>
      <c r="H11" s="482"/>
      <c r="I11" s="483" t="str">
        <f t="shared" si="0"/>
        <v>NA</v>
      </c>
    </row>
    <row r="12" spans="1:12">
      <c r="A12" s="481" t="s">
        <v>4190</v>
      </c>
      <c r="B12" s="481"/>
      <c r="C12" s="478" t="s">
        <v>211</v>
      </c>
      <c r="E12" s="482" t="e">
        <f>#REF!</f>
        <v>#REF!</v>
      </c>
      <c r="F12" s="482"/>
      <c r="G12" s="482" t="e">
        <f>#REF!</f>
        <v>#REF!</v>
      </c>
      <c r="H12" s="482"/>
      <c r="I12" s="483" t="str">
        <f t="shared" si="0"/>
        <v>NA</v>
      </c>
    </row>
    <row r="13" spans="1:12">
      <c r="A13" s="481" t="s">
        <v>4186</v>
      </c>
      <c r="B13" s="481"/>
      <c r="C13" s="478" t="s">
        <v>211</v>
      </c>
      <c r="E13" s="482" t="e">
        <f>#REF!</f>
        <v>#REF!</v>
      </c>
      <c r="F13" s="482"/>
      <c r="G13" s="482" t="e">
        <f>#REF!</f>
        <v>#REF!</v>
      </c>
      <c r="H13" s="482"/>
      <c r="I13" s="483" t="str">
        <f t="shared" si="0"/>
        <v>NA</v>
      </c>
    </row>
    <row r="14" spans="1:12">
      <c r="A14" s="481" t="s">
        <v>4191</v>
      </c>
      <c r="B14" s="481"/>
      <c r="C14" s="478" t="s">
        <v>211</v>
      </c>
      <c r="E14" s="482" t="e">
        <f>#REF!</f>
        <v>#REF!</v>
      </c>
      <c r="F14" s="482"/>
      <c r="G14" s="482" t="e">
        <f>#REF!</f>
        <v>#REF!</v>
      </c>
      <c r="H14" s="482"/>
      <c r="I14" s="483" t="str">
        <f t="shared" si="0"/>
        <v>NA</v>
      </c>
    </row>
    <row r="15" spans="1:12">
      <c r="A15" s="481" t="s">
        <v>4192</v>
      </c>
      <c r="B15" s="481"/>
      <c r="C15" s="478" t="s">
        <v>211</v>
      </c>
      <c r="E15" s="482" t="e">
        <f>#REF!</f>
        <v>#REF!</v>
      </c>
      <c r="F15" s="482"/>
      <c r="G15" s="482" t="e">
        <f>#REF!</f>
        <v>#REF!</v>
      </c>
      <c r="H15" s="482"/>
      <c r="I15" s="483" t="str">
        <f t="shared" si="0"/>
        <v>NA</v>
      </c>
    </row>
    <row r="16" spans="1:12">
      <c r="A16" s="481" t="s">
        <v>4193</v>
      </c>
      <c r="B16" s="481"/>
      <c r="C16" s="478" t="s">
        <v>211</v>
      </c>
      <c r="E16" s="482" t="e">
        <f>#REF!</f>
        <v>#REF!</v>
      </c>
      <c r="F16" s="482"/>
      <c r="G16" s="482" t="e">
        <f>#REF!</f>
        <v>#REF!</v>
      </c>
      <c r="H16" s="482"/>
      <c r="I16" s="483" t="str">
        <f t="shared" si="0"/>
        <v>NA</v>
      </c>
    </row>
    <row r="17" spans="1:9">
      <c r="A17" s="481" t="s">
        <v>4194</v>
      </c>
      <c r="B17" s="481"/>
      <c r="C17" s="478" t="s">
        <v>211</v>
      </c>
      <c r="E17" s="482" t="e">
        <f>#REF!</f>
        <v>#REF!</v>
      </c>
      <c r="F17" s="482"/>
      <c r="G17" s="482" t="e">
        <f>#REF!</f>
        <v>#REF!</v>
      </c>
      <c r="H17" s="482"/>
      <c r="I17" s="483" t="str">
        <f t="shared" si="0"/>
        <v>NA</v>
      </c>
    </row>
    <row r="18" spans="1:9">
      <c r="A18" s="481" t="s">
        <v>4195</v>
      </c>
      <c r="B18" s="481"/>
      <c r="C18" s="478" t="s">
        <v>211</v>
      </c>
      <c r="E18" s="482" t="e">
        <f>#REF!</f>
        <v>#REF!</v>
      </c>
      <c r="F18" s="482"/>
      <c r="G18" s="482" t="e">
        <f>#REF!</f>
        <v>#REF!</v>
      </c>
      <c r="H18" s="482"/>
      <c r="I18" s="483" t="str">
        <f t="shared" si="0"/>
        <v>NA</v>
      </c>
    </row>
    <row r="19" spans="1:9">
      <c r="A19" s="481" t="s">
        <v>4163</v>
      </c>
      <c r="B19" s="481"/>
      <c r="C19" s="478" t="s">
        <v>211</v>
      </c>
      <c r="E19" s="482" t="e">
        <f>#REF!</f>
        <v>#REF!</v>
      </c>
      <c r="F19" s="482"/>
      <c r="G19" s="482" t="e">
        <f>#REF!</f>
        <v>#REF!</v>
      </c>
      <c r="H19" s="482"/>
      <c r="I19" s="483" t="str">
        <f t="shared" si="0"/>
        <v>NA</v>
      </c>
    </row>
    <row r="20" spans="1:9">
      <c r="A20" s="481" t="s">
        <v>4196</v>
      </c>
      <c r="B20" s="481"/>
      <c r="C20" s="478" t="s">
        <v>199</v>
      </c>
      <c r="E20" s="482" t="e">
        <f>#REF!</f>
        <v>#REF!</v>
      </c>
      <c r="F20" s="482"/>
      <c r="G20" s="482" t="e">
        <f>#REF!</f>
        <v>#REF!</v>
      </c>
      <c r="H20" s="482"/>
      <c r="I20" s="483" t="str">
        <f t="shared" si="0"/>
        <v>NA</v>
      </c>
    </row>
    <row r="21" spans="1:9">
      <c r="A21" s="481" t="s">
        <v>4197</v>
      </c>
      <c r="B21" s="481"/>
      <c r="C21" s="478" t="s">
        <v>212</v>
      </c>
      <c r="E21" s="482" t="e">
        <f>#REF!</f>
        <v>#REF!</v>
      </c>
      <c r="F21" s="482"/>
      <c r="G21" s="482" t="e">
        <f>#REF!</f>
        <v>#REF!</v>
      </c>
      <c r="H21" s="482"/>
      <c r="I21" s="483" t="str">
        <f t="shared" si="0"/>
        <v>NA</v>
      </c>
    </row>
    <row r="22" spans="1:9">
      <c r="A22" s="481" t="s">
        <v>4198</v>
      </c>
      <c r="B22" s="481"/>
      <c r="C22" s="478" t="s">
        <v>212</v>
      </c>
      <c r="E22" s="482" t="e">
        <f>#REF!</f>
        <v>#REF!</v>
      </c>
      <c r="F22" s="482"/>
      <c r="G22" s="482" t="e">
        <f>#REF!</f>
        <v>#REF!</v>
      </c>
      <c r="H22" s="482"/>
      <c r="I22" s="483" t="str">
        <f t="shared" si="0"/>
        <v>NA</v>
      </c>
    </row>
    <row r="23" spans="1:9">
      <c r="A23" s="481" t="s">
        <v>4199</v>
      </c>
      <c r="B23" s="481"/>
      <c r="C23" s="478" t="s">
        <v>212</v>
      </c>
      <c r="E23" s="482" t="e">
        <f>#REF!</f>
        <v>#REF!</v>
      </c>
      <c r="F23" s="482"/>
      <c r="G23" s="482" t="e">
        <f>#REF!</f>
        <v>#REF!</v>
      </c>
      <c r="H23" s="482"/>
      <c r="I23" s="483" t="str">
        <f t="shared" si="0"/>
        <v>NA</v>
      </c>
    </row>
    <row r="24" spans="1:9">
      <c r="A24" s="481" t="s">
        <v>4200</v>
      </c>
      <c r="B24" s="481"/>
      <c r="C24" s="478" t="s">
        <v>212</v>
      </c>
      <c r="E24" s="482" t="e">
        <f>#REF!</f>
        <v>#REF!</v>
      </c>
      <c r="F24" s="482"/>
      <c r="G24" s="482" t="e">
        <f>#REF!</f>
        <v>#REF!</v>
      </c>
      <c r="H24" s="482"/>
      <c r="I24" s="483" t="str">
        <f t="shared" si="0"/>
        <v>NA</v>
      </c>
    </row>
    <row r="25" spans="1:9">
      <c r="A25" s="481" t="s">
        <v>4201</v>
      </c>
      <c r="B25" s="481"/>
      <c r="C25" s="478" t="s">
        <v>212</v>
      </c>
      <c r="E25" s="482" t="e">
        <f>#REF!</f>
        <v>#REF!</v>
      </c>
      <c r="F25" s="482"/>
      <c r="G25" s="482" t="e">
        <f>#REF!</f>
        <v>#REF!</v>
      </c>
      <c r="H25" s="482"/>
      <c r="I25" s="483" t="str">
        <f t="shared" si="0"/>
        <v>NA</v>
      </c>
    </row>
    <row r="26" spans="1:9">
      <c r="A26" s="481" t="s">
        <v>4202</v>
      </c>
      <c r="B26" s="481"/>
      <c r="C26" s="478" t="s">
        <v>212</v>
      </c>
      <c r="E26" s="482" t="e">
        <f>#REF!</f>
        <v>#REF!</v>
      </c>
      <c r="F26" s="482"/>
      <c r="G26" s="482" t="e">
        <f>#REF!</f>
        <v>#REF!</v>
      </c>
      <c r="H26" s="482"/>
      <c r="I26" s="483" t="str">
        <f t="shared" si="0"/>
        <v>NA</v>
      </c>
    </row>
    <row r="27" spans="1:9">
      <c r="A27" s="481" t="s">
        <v>4203</v>
      </c>
      <c r="B27" s="481"/>
      <c r="C27" s="478" t="s">
        <v>2334</v>
      </c>
      <c r="E27" s="482" t="e">
        <f>#REF!</f>
        <v>#REF!</v>
      </c>
      <c r="F27" s="482"/>
      <c r="G27" s="482" t="e">
        <f>#REF!</f>
        <v>#REF!</v>
      </c>
      <c r="H27" s="482"/>
      <c r="I27" s="483" t="str">
        <f t="shared" si="0"/>
        <v>NA</v>
      </c>
    </row>
    <row r="28" spans="1:9">
      <c r="A28" s="481" t="s">
        <v>4204</v>
      </c>
      <c r="B28" s="481"/>
      <c r="C28" s="478" t="s">
        <v>2334</v>
      </c>
      <c r="E28" s="482" t="e">
        <f>#REF!</f>
        <v>#REF!</v>
      </c>
      <c r="F28" s="482"/>
      <c r="G28" s="482" t="e">
        <f>#REF!</f>
        <v>#REF!</v>
      </c>
      <c r="H28" s="482"/>
      <c r="I28" s="483" t="str">
        <f t="shared" si="0"/>
        <v>NA</v>
      </c>
    </row>
    <row r="29" spans="1:9">
      <c r="A29" s="481" t="s">
        <v>4205</v>
      </c>
      <c r="B29" s="481"/>
      <c r="C29" s="478" t="s">
        <v>2334</v>
      </c>
      <c r="E29" s="482" t="e">
        <f>#REF!</f>
        <v>#REF!</v>
      </c>
      <c r="F29" s="482"/>
      <c r="G29" s="482" t="e">
        <f>#REF!</f>
        <v>#REF!</v>
      </c>
      <c r="H29" s="482"/>
      <c r="I29" s="483" t="str">
        <f t="shared" si="0"/>
        <v>NA</v>
      </c>
    </row>
    <row r="30" spans="1:9">
      <c r="A30" s="481" t="s">
        <v>4206</v>
      </c>
      <c r="B30" s="481"/>
      <c r="C30" s="478" t="s">
        <v>2334</v>
      </c>
      <c r="E30" s="482" t="e">
        <f>#REF!</f>
        <v>#REF!</v>
      </c>
      <c r="F30" s="482"/>
      <c r="G30" s="482" t="e">
        <f>#REF!</f>
        <v>#REF!</v>
      </c>
      <c r="H30" s="482"/>
      <c r="I30" s="483" t="str">
        <f t="shared" si="0"/>
        <v>NA</v>
      </c>
    </row>
    <row r="31" spans="1:9">
      <c r="A31" s="481" t="s">
        <v>4207</v>
      </c>
      <c r="B31" s="481"/>
      <c r="C31" s="478" t="s">
        <v>1359</v>
      </c>
      <c r="E31" s="482" t="e">
        <f>#REF!</f>
        <v>#REF!</v>
      </c>
      <c r="F31" s="482"/>
      <c r="G31" s="482" t="e">
        <f>#REF!</f>
        <v>#REF!</v>
      </c>
      <c r="H31" s="482"/>
      <c r="I31" s="483" t="str">
        <f t="shared" si="0"/>
        <v>NA</v>
      </c>
    </row>
    <row r="32" spans="1:9">
      <c r="A32" s="481" t="s">
        <v>4208</v>
      </c>
      <c r="B32" s="481"/>
      <c r="C32" s="478" t="s">
        <v>1359</v>
      </c>
      <c r="E32" s="482" t="e">
        <f>#REF!</f>
        <v>#REF!</v>
      </c>
      <c r="F32" s="482"/>
      <c r="G32" s="482" t="e">
        <f>#REF!</f>
        <v>#REF!</v>
      </c>
      <c r="H32" s="482"/>
      <c r="I32" s="483" t="str">
        <f t="shared" si="0"/>
        <v>NA</v>
      </c>
    </row>
    <row r="33" spans="1:9">
      <c r="A33" s="481" t="s">
        <v>4209</v>
      </c>
      <c r="B33" s="481"/>
      <c r="C33" s="478" t="s">
        <v>4149</v>
      </c>
      <c r="E33" s="482" t="e">
        <f>#REF!</f>
        <v>#REF!</v>
      </c>
      <c r="F33" s="482"/>
      <c r="G33" s="482" t="e">
        <f>#REF!</f>
        <v>#REF!</v>
      </c>
      <c r="H33" s="482"/>
      <c r="I33" s="483" t="str">
        <f t="shared" si="0"/>
        <v>NA</v>
      </c>
    </row>
    <row r="34" spans="1:9">
      <c r="A34" s="481" t="s">
        <v>4210</v>
      </c>
      <c r="B34" s="481"/>
      <c r="C34" s="478" t="s">
        <v>1355</v>
      </c>
      <c r="E34" s="482" t="e">
        <f>#REF!</f>
        <v>#REF!</v>
      </c>
      <c r="F34" s="482"/>
      <c r="G34" s="482" t="e">
        <f>#REF!</f>
        <v>#REF!</v>
      </c>
      <c r="H34" s="482"/>
      <c r="I34" s="483" t="str">
        <f t="shared" si="0"/>
        <v>NA</v>
      </c>
    </row>
    <row r="35" spans="1:9">
      <c r="A35" s="481" t="s">
        <v>4211</v>
      </c>
      <c r="B35" s="481"/>
      <c r="C35" s="478" t="s">
        <v>1355</v>
      </c>
      <c r="E35" s="482" t="e">
        <f>#REF!</f>
        <v>#REF!</v>
      </c>
      <c r="F35" s="482"/>
      <c r="G35" s="482" t="e">
        <f>#REF!</f>
        <v>#REF!</v>
      </c>
      <c r="H35" s="482"/>
      <c r="I35" s="483" t="str">
        <f t="shared" si="0"/>
        <v>NA</v>
      </c>
    </row>
    <row r="36" spans="1:9">
      <c r="A36" s="481" t="s">
        <v>4158</v>
      </c>
      <c r="B36" s="481"/>
      <c r="C36" s="478" t="s">
        <v>4150</v>
      </c>
      <c r="E36" s="482" t="e">
        <f>#REF!</f>
        <v>#REF!</v>
      </c>
      <c r="F36" s="482"/>
      <c r="G36" s="482" t="e">
        <f>#REF!</f>
        <v>#REF!</v>
      </c>
      <c r="H36" s="482"/>
      <c r="I36" s="483" t="str">
        <f t="shared" si="0"/>
        <v>NA</v>
      </c>
    </row>
    <row r="37" spans="1:9">
      <c r="A37" s="481" t="s">
        <v>4212</v>
      </c>
      <c r="B37" s="481"/>
      <c r="C37" s="478" t="s">
        <v>4151</v>
      </c>
      <c r="E37" s="482" t="e">
        <f>#REF!</f>
        <v>#REF!</v>
      </c>
      <c r="F37" s="482"/>
      <c r="G37" s="482" t="e">
        <f>#REF!</f>
        <v>#REF!</v>
      </c>
      <c r="H37" s="482"/>
      <c r="I37" s="483" t="str">
        <f t="shared" si="0"/>
        <v>NA</v>
      </c>
    </row>
    <row r="38" spans="1:9">
      <c r="A38" s="481" t="s">
        <v>4213</v>
      </c>
      <c r="B38" s="481"/>
      <c r="C38" s="478" t="s">
        <v>4152</v>
      </c>
      <c r="E38" s="482" t="e">
        <f>#REF!</f>
        <v>#REF!</v>
      </c>
      <c r="F38" s="482"/>
      <c r="G38" s="482" t="e">
        <f>#REF!</f>
        <v>#REF!</v>
      </c>
      <c r="H38" s="482"/>
      <c r="I38" s="483" t="str">
        <f t="shared" si="0"/>
        <v>NA</v>
      </c>
    </row>
    <row r="39" spans="1:9">
      <c r="A39" s="481" t="s">
        <v>4159</v>
      </c>
      <c r="B39" s="481"/>
      <c r="C39" s="478" t="s">
        <v>4153</v>
      </c>
      <c r="E39" s="482" t="e">
        <f>#REF!</f>
        <v>#REF!</v>
      </c>
      <c r="F39" s="482"/>
      <c r="G39" s="482" t="e">
        <f>#REF!</f>
        <v>#REF!</v>
      </c>
      <c r="H39" s="482"/>
      <c r="I39" s="483" t="str">
        <f t="shared" si="0"/>
        <v>NA</v>
      </c>
    </row>
    <row r="40" spans="1:9">
      <c r="A40" s="481" t="s">
        <v>4214</v>
      </c>
      <c r="B40" s="481"/>
      <c r="C40" s="478" t="s">
        <v>218</v>
      </c>
      <c r="E40" s="482" t="e">
        <f>#REF!</f>
        <v>#REF!</v>
      </c>
      <c r="F40" s="482"/>
      <c r="G40" s="482" t="e">
        <f>#REF!</f>
        <v>#REF!</v>
      </c>
      <c r="H40" s="482"/>
      <c r="I40" s="483" t="str">
        <f t="shared" si="0"/>
        <v>NA</v>
      </c>
    </row>
    <row r="41" spans="1:9">
      <c r="A41" s="481" t="s">
        <v>4214</v>
      </c>
      <c r="B41" s="481"/>
      <c r="C41" s="478" t="s">
        <v>218</v>
      </c>
      <c r="E41" s="482" t="e">
        <f>#REF!</f>
        <v>#REF!</v>
      </c>
      <c r="F41" s="482"/>
      <c r="G41" s="482" t="e">
        <f>#REF!</f>
        <v>#REF!</v>
      </c>
      <c r="H41" s="482"/>
      <c r="I41" s="483" t="str">
        <f t="shared" si="0"/>
        <v>NA</v>
      </c>
    </row>
    <row r="42" spans="1:9">
      <c r="A42" s="481" t="s">
        <v>4215</v>
      </c>
      <c r="B42" s="481"/>
      <c r="C42" s="478" t="s">
        <v>218</v>
      </c>
      <c r="E42" s="482" t="e">
        <f>#REF!</f>
        <v>#REF!</v>
      </c>
      <c r="F42" s="482"/>
      <c r="G42" s="482" t="e">
        <f>#REF!</f>
        <v>#REF!</v>
      </c>
      <c r="H42" s="482"/>
      <c r="I42" s="483" t="str">
        <f t="shared" si="0"/>
        <v>NA</v>
      </c>
    </row>
    <row r="43" spans="1:9">
      <c r="A43" s="481" t="s">
        <v>4216</v>
      </c>
      <c r="B43" s="481"/>
      <c r="C43" s="478" t="s">
        <v>218</v>
      </c>
      <c r="E43" s="482" t="e">
        <f>#REF!</f>
        <v>#REF!</v>
      </c>
      <c r="F43" s="482"/>
      <c r="G43" s="482" t="e">
        <f>#REF!</f>
        <v>#REF!</v>
      </c>
      <c r="H43" s="482"/>
      <c r="I43" s="483" t="str">
        <f t="shared" si="0"/>
        <v>NA</v>
      </c>
    </row>
    <row r="44" spans="1:9">
      <c r="I44" s="483"/>
    </row>
    <row r="45" spans="1:9" ht="15.6" thickBot="1">
      <c r="C45" s="485" t="s">
        <v>1377</v>
      </c>
      <c r="E45" s="486" t="e">
        <f>AVERAGE(E7:E19)</f>
        <v>#REF!</v>
      </c>
      <c r="F45" s="483"/>
      <c r="G45" s="486" t="e">
        <f>AVERAGE(G7:G19)</f>
        <v>#REF!</v>
      </c>
      <c r="H45" s="483"/>
      <c r="I45" s="486" t="e">
        <f>E45+G45</f>
        <v>#REF!</v>
      </c>
    </row>
    <row r="46" spans="1:9" ht="15.6" thickTop="1">
      <c r="C46" s="485"/>
      <c r="E46" s="483"/>
      <c r="F46" s="483"/>
      <c r="G46" s="483"/>
      <c r="H46" s="483"/>
      <c r="I46" s="483"/>
    </row>
    <row r="47" spans="1:9">
      <c r="A47" s="477" t="s">
        <v>4228</v>
      </c>
    </row>
    <row r="49" spans="5:9">
      <c r="E49" s="483" t="e">
        <f>MEDIAN(E7:E43)</f>
        <v>#REF!</v>
      </c>
      <c r="G49" s="483" t="e">
        <f>MEDIAN(G7:G43)</f>
        <v>#REF!</v>
      </c>
      <c r="I49" s="483" t="e">
        <f>SUM(E49:H49)</f>
        <v>#REF!</v>
      </c>
    </row>
  </sheetData>
  <mergeCells count="1">
    <mergeCell ref="E5:I5"/>
  </mergeCells>
  <printOptions horizontalCentered="1"/>
  <pageMargins left="0.7" right="0.7" top="0.75" bottom="0.75" header="0.3" footer="0.3"/>
  <pageSetup scale="71"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O195"/>
  <sheetViews>
    <sheetView zoomScale="80" zoomScaleNormal="80" workbookViewId="0">
      <pane ySplit="2" topLeftCell="A3" activePane="bottomLeft" state="frozen"/>
      <selection pane="bottomLeft" activeCell="I3" sqref="I3"/>
    </sheetView>
  </sheetViews>
  <sheetFormatPr defaultColWidth="13.33203125" defaultRowHeight="13.8"/>
  <cols>
    <col min="1" max="1" width="13.33203125" style="146"/>
    <col min="2" max="2" width="13.33203125" style="150"/>
    <col min="3" max="3" width="15" style="146" bestFit="1" customWidth="1"/>
    <col min="4" max="16384" width="13.33203125" style="146"/>
  </cols>
  <sheetData>
    <row r="1" spans="1:41">
      <c r="A1" s="1061" t="s">
        <v>1408</v>
      </c>
      <c r="B1" s="518" t="s">
        <v>1409</v>
      </c>
      <c r="C1" s="146" t="s">
        <v>192</v>
      </c>
      <c r="D1" s="146" t="s">
        <v>1495</v>
      </c>
      <c r="E1" s="146" t="s">
        <v>1501</v>
      </c>
      <c r="F1" s="146" t="s">
        <v>1516</v>
      </c>
      <c r="G1" s="146" t="s">
        <v>2275</v>
      </c>
      <c r="H1" s="146" t="s">
        <v>1545</v>
      </c>
      <c r="I1" s="146" t="s">
        <v>4154</v>
      </c>
      <c r="J1" s="146" t="s">
        <v>1582</v>
      </c>
      <c r="K1" s="146" t="s">
        <v>2399</v>
      </c>
      <c r="L1" s="146" t="s">
        <v>3974</v>
      </c>
      <c r="M1" s="146" t="s">
        <v>4155</v>
      </c>
      <c r="N1" s="146" t="s">
        <v>4061</v>
      </c>
      <c r="O1" s="146" t="s">
        <v>1670</v>
      </c>
      <c r="P1" s="146" t="s">
        <v>3016</v>
      </c>
      <c r="Q1" s="146" t="s">
        <v>3017</v>
      </c>
      <c r="R1" s="146" t="s">
        <v>4514</v>
      </c>
      <c r="S1" s="146" t="s">
        <v>2563</v>
      </c>
      <c r="T1" s="146" t="s">
        <v>1897</v>
      </c>
      <c r="U1" s="146" t="s">
        <v>1308</v>
      </c>
      <c r="V1" s="146" t="s">
        <v>2324</v>
      </c>
      <c r="W1" s="146" t="s">
        <v>1920</v>
      </c>
      <c r="X1" s="146" t="s">
        <v>4238</v>
      </c>
      <c r="Y1" s="146" t="s">
        <v>1938</v>
      </c>
      <c r="Z1" s="146" t="s">
        <v>2968</v>
      </c>
      <c r="AA1" s="146" t="s">
        <v>1958</v>
      </c>
      <c r="AB1" s="146" t="s">
        <v>1975</v>
      </c>
      <c r="AC1" s="146" t="s">
        <v>4515</v>
      </c>
      <c r="AD1" s="146" t="s">
        <v>3975</v>
      </c>
      <c r="AE1" s="146" t="s">
        <v>2688</v>
      </c>
      <c r="AF1" s="146" t="s">
        <v>186</v>
      </c>
      <c r="AG1" s="146" t="s">
        <v>3018</v>
      </c>
      <c r="AH1" s="146" t="s">
        <v>3976</v>
      </c>
      <c r="AI1" s="146" t="s">
        <v>4516</v>
      </c>
      <c r="AJ1" s="146" t="s">
        <v>2074</v>
      </c>
      <c r="AK1" s="146" t="s">
        <v>2084</v>
      </c>
      <c r="AL1" s="146" t="s">
        <v>2116</v>
      </c>
      <c r="AM1" s="146" t="s">
        <v>2124</v>
      </c>
      <c r="AN1" s="146" t="s">
        <v>4157</v>
      </c>
      <c r="AO1" s="146" t="s">
        <v>2142</v>
      </c>
    </row>
    <row r="2" spans="1:41">
      <c r="A2" s="1061"/>
      <c r="B2" s="519" t="s">
        <v>1302</v>
      </c>
      <c r="C2" s="538" t="s">
        <v>4174</v>
      </c>
      <c r="D2" s="520" t="s">
        <v>4175</v>
      </c>
      <c r="E2" s="520" t="s">
        <v>4529</v>
      </c>
      <c r="F2" s="520" t="s">
        <v>4064</v>
      </c>
      <c r="G2" s="520" t="s">
        <v>4176</v>
      </c>
      <c r="H2" s="520" t="s">
        <v>4259</v>
      </c>
      <c r="I2" s="520" t="s">
        <v>4540</v>
      </c>
      <c r="J2" s="520" t="s">
        <v>4260</v>
      </c>
      <c r="K2" s="520" t="s">
        <v>4177</v>
      </c>
      <c r="L2" s="520" t="s">
        <v>4065</v>
      </c>
      <c r="M2" s="520" t="s">
        <v>4178</v>
      </c>
      <c r="N2" s="520" t="s">
        <v>4066</v>
      </c>
      <c r="O2" s="520" t="s">
        <v>4530</v>
      </c>
      <c r="P2" s="520" t="s">
        <v>4067</v>
      </c>
      <c r="Q2" s="520" t="s">
        <v>4068</v>
      </c>
      <c r="R2" s="520" t="s">
        <v>4531</v>
      </c>
      <c r="S2" s="520" t="s">
        <v>4069</v>
      </c>
      <c r="T2" s="520" t="s">
        <v>4263</v>
      </c>
      <c r="U2" s="520" t="s">
        <v>4264</v>
      </c>
      <c r="V2" s="520" t="s">
        <v>4532</v>
      </c>
      <c r="W2" s="520" t="s">
        <v>4533</v>
      </c>
      <c r="X2" s="520" t="s">
        <v>4265</v>
      </c>
      <c r="Y2" s="520" t="s">
        <v>4534</v>
      </c>
      <c r="Z2" s="520" t="s">
        <v>4535</v>
      </c>
      <c r="AA2" s="520" t="s">
        <v>4261</v>
      </c>
      <c r="AB2" s="520" t="s">
        <v>4266</v>
      </c>
      <c r="AC2" s="520" t="s">
        <v>4536</v>
      </c>
      <c r="AD2" s="520" t="s">
        <v>4070</v>
      </c>
      <c r="AE2" s="520" t="s">
        <v>4537</v>
      </c>
      <c r="AF2" s="520" t="s">
        <v>4179</v>
      </c>
      <c r="AG2" s="520" t="s">
        <v>4071</v>
      </c>
      <c r="AH2" s="520" t="s">
        <v>4072</v>
      </c>
      <c r="AI2" s="520" t="s">
        <v>4538</v>
      </c>
      <c r="AJ2" s="520" t="s">
        <v>4539</v>
      </c>
      <c r="AK2" s="520" t="s">
        <v>4180</v>
      </c>
      <c r="AL2" s="520" t="s">
        <v>4181</v>
      </c>
      <c r="AM2" s="520" t="s">
        <v>4073</v>
      </c>
      <c r="AN2" s="520" t="s">
        <v>4182</v>
      </c>
      <c r="AO2" s="520" t="s">
        <v>4262</v>
      </c>
    </row>
    <row r="3" spans="1:41">
      <c r="A3" s="147">
        <v>1</v>
      </c>
      <c r="B3" s="521">
        <v>44925</v>
      </c>
      <c r="C3" s="522">
        <v>149.65</v>
      </c>
      <c r="D3" s="522">
        <v>109.79</v>
      </c>
      <c r="E3" s="522">
        <v>164.03</v>
      </c>
      <c r="F3" s="522">
        <v>125.06</v>
      </c>
      <c r="G3" s="522">
        <v>57.24</v>
      </c>
      <c r="H3" s="522">
        <v>308.26</v>
      </c>
      <c r="I3" s="522">
        <v>65.680000000000007</v>
      </c>
      <c r="J3" s="522">
        <v>71.95</v>
      </c>
      <c r="K3" s="522">
        <v>134.13</v>
      </c>
      <c r="L3" s="522">
        <v>300.58999999999997</v>
      </c>
      <c r="M3" s="522">
        <v>510.43</v>
      </c>
      <c r="N3" s="522">
        <v>115.93</v>
      </c>
      <c r="O3" s="522">
        <v>156.44</v>
      </c>
      <c r="P3" s="522">
        <v>99.09</v>
      </c>
      <c r="Q3" s="522">
        <v>97.93</v>
      </c>
      <c r="R3" s="522">
        <v>149.71</v>
      </c>
      <c r="S3" s="522">
        <v>175.56</v>
      </c>
      <c r="T3" s="522">
        <v>82.89</v>
      </c>
      <c r="U3" s="522">
        <v>110.95</v>
      </c>
      <c r="V3" s="522">
        <v>465.17</v>
      </c>
      <c r="W3" s="522">
        <v>257.70999999999998</v>
      </c>
      <c r="X3" s="522">
        <v>311.11</v>
      </c>
      <c r="Y3" s="522">
        <v>545.61</v>
      </c>
      <c r="Z3" s="522">
        <v>283.77999999999997</v>
      </c>
      <c r="AA3" s="522">
        <v>81.739999999999995</v>
      </c>
      <c r="AB3" s="522">
        <v>129.71</v>
      </c>
      <c r="AC3" s="522">
        <v>90.26</v>
      </c>
      <c r="AD3" s="522">
        <v>131.27000000000001</v>
      </c>
      <c r="AE3" s="522">
        <v>36.54</v>
      </c>
      <c r="AF3" s="522">
        <v>237.33</v>
      </c>
      <c r="AG3" s="522">
        <v>88.61</v>
      </c>
      <c r="AH3" s="522">
        <v>5.84</v>
      </c>
      <c r="AI3" s="522">
        <v>72.92</v>
      </c>
      <c r="AJ3" s="522">
        <v>550.69000000000005</v>
      </c>
      <c r="AK3" s="522">
        <v>165.22</v>
      </c>
      <c r="AL3" s="522">
        <v>205.44</v>
      </c>
      <c r="AM3" s="522">
        <v>342.58</v>
      </c>
      <c r="AN3" s="522">
        <v>249.4</v>
      </c>
      <c r="AO3" s="522">
        <v>13.77</v>
      </c>
    </row>
    <row r="4" spans="1:41">
      <c r="A4" s="147">
        <v>2</v>
      </c>
      <c r="B4" s="521">
        <v>44924</v>
      </c>
      <c r="C4" s="522">
        <v>151.09</v>
      </c>
      <c r="D4" s="522">
        <v>110.31</v>
      </c>
      <c r="E4" s="522">
        <v>163.98</v>
      </c>
      <c r="F4" s="522">
        <v>126.63</v>
      </c>
      <c r="G4" s="522">
        <v>57.66</v>
      </c>
      <c r="H4" s="522">
        <v>311.41000000000003</v>
      </c>
      <c r="I4" s="522">
        <v>66.150000000000006</v>
      </c>
      <c r="J4" s="522">
        <v>72.099999999999994</v>
      </c>
      <c r="K4" s="522">
        <v>136.66</v>
      </c>
      <c r="L4" s="522">
        <v>300.58999999999997</v>
      </c>
      <c r="M4" s="522">
        <v>517.15</v>
      </c>
      <c r="N4" s="522">
        <v>117.02</v>
      </c>
      <c r="O4" s="522">
        <v>156.79</v>
      </c>
      <c r="P4" s="522">
        <v>100.56</v>
      </c>
      <c r="Q4" s="522">
        <v>98.18</v>
      </c>
      <c r="R4" s="522">
        <v>151.94</v>
      </c>
      <c r="S4" s="522">
        <v>177.49</v>
      </c>
      <c r="T4" s="522">
        <v>84.14</v>
      </c>
      <c r="U4" s="522">
        <v>110.82</v>
      </c>
      <c r="V4" s="522">
        <v>471.92</v>
      </c>
      <c r="W4" s="522">
        <v>258.81</v>
      </c>
      <c r="X4" s="522">
        <v>309.04000000000002</v>
      </c>
      <c r="Y4" s="522">
        <v>542</v>
      </c>
      <c r="Z4" s="522">
        <v>286.58</v>
      </c>
      <c r="AA4" s="522">
        <v>81.400000000000006</v>
      </c>
      <c r="AB4" s="522">
        <v>130.56</v>
      </c>
      <c r="AC4" s="522">
        <v>90.23</v>
      </c>
      <c r="AD4" s="522">
        <v>133.72</v>
      </c>
      <c r="AE4" s="522">
        <v>36.659999999999997</v>
      </c>
      <c r="AF4" s="522">
        <v>241.32</v>
      </c>
      <c r="AG4" s="522">
        <v>90.34</v>
      </c>
      <c r="AH4" s="522">
        <v>5.82</v>
      </c>
      <c r="AI4" s="522">
        <v>73.89</v>
      </c>
      <c r="AJ4" s="522">
        <v>557.01</v>
      </c>
      <c r="AK4" s="522">
        <v>165.02</v>
      </c>
      <c r="AL4" s="522">
        <v>205.38</v>
      </c>
      <c r="AM4" s="522">
        <v>345.88</v>
      </c>
      <c r="AN4" s="522">
        <v>252.55</v>
      </c>
      <c r="AO4" s="522">
        <v>13.88</v>
      </c>
    </row>
    <row r="5" spans="1:41">
      <c r="A5" s="147">
        <v>3</v>
      </c>
      <c r="B5" s="521">
        <v>44923</v>
      </c>
      <c r="C5" s="522">
        <v>148.09</v>
      </c>
      <c r="D5" s="522">
        <v>107.83</v>
      </c>
      <c r="E5" s="522">
        <v>160.28</v>
      </c>
      <c r="F5" s="522">
        <v>123.96</v>
      </c>
      <c r="G5" s="522">
        <v>56.77</v>
      </c>
      <c r="H5" s="522">
        <v>309.64</v>
      </c>
      <c r="I5" s="522">
        <v>65.569999999999993</v>
      </c>
      <c r="J5" s="522">
        <v>71.989999999999995</v>
      </c>
      <c r="K5" s="522">
        <v>133.37</v>
      </c>
      <c r="L5" s="522">
        <v>297.97000000000003</v>
      </c>
      <c r="M5" s="522">
        <v>511</v>
      </c>
      <c r="N5" s="522">
        <v>113.64</v>
      </c>
      <c r="O5" s="522">
        <v>156.51</v>
      </c>
      <c r="P5" s="522">
        <v>98.53</v>
      </c>
      <c r="Q5" s="522">
        <v>98.09</v>
      </c>
      <c r="R5" s="522">
        <v>150.78</v>
      </c>
      <c r="S5" s="522">
        <v>176.64</v>
      </c>
      <c r="T5" s="522">
        <v>83.24</v>
      </c>
      <c r="U5" s="522">
        <v>111.08</v>
      </c>
      <c r="V5" s="522">
        <v>454.44</v>
      </c>
      <c r="W5" s="522">
        <v>253.8</v>
      </c>
      <c r="X5" s="522">
        <v>305.07</v>
      </c>
      <c r="Y5" s="522">
        <v>540.41</v>
      </c>
      <c r="Z5" s="522">
        <v>282.25</v>
      </c>
      <c r="AA5" s="522">
        <v>80.33</v>
      </c>
      <c r="AB5" s="522">
        <v>129.72</v>
      </c>
      <c r="AC5" s="522">
        <v>90.34</v>
      </c>
      <c r="AD5" s="522">
        <v>131.72</v>
      </c>
      <c r="AE5" s="522">
        <v>36.54</v>
      </c>
      <c r="AF5" s="522">
        <v>237.48</v>
      </c>
      <c r="AG5" s="522">
        <v>89.13</v>
      </c>
      <c r="AH5" s="522">
        <v>5.73</v>
      </c>
      <c r="AI5" s="522">
        <v>72.31</v>
      </c>
      <c r="AJ5" s="522">
        <v>543.41</v>
      </c>
      <c r="AK5" s="522">
        <v>161.19</v>
      </c>
      <c r="AL5" s="522">
        <v>201.13</v>
      </c>
      <c r="AM5" s="522">
        <v>340.71</v>
      </c>
      <c r="AN5" s="522">
        <v>247</v>
      </c>
      <c r="AO5" s="522">
        <v>13.65</v>
      </c>
    </row>
    <row r="6" spans="1:41">
      <c r="A6" s="147">
        <v>4</v>
      </c>
      <c r="B6" s="521">
        <v>44922</v>
      </c>
      <c r="C6" s="522">
        <v>149.55000000000001</v>
      </c>
      <c r="D6" s="522">
        <v>108.57</v>
      </c>
      <c r="E6" s="522">
        <v>162.19999999999999</v>
      </c>
      <c r="F6" s="522">
        <v>124.57</v>
      </c>
      <c r="G6" s="522">
        <v>57.67</v>
      </c>
      <c r="H6" s="522">
        <v>312.2</v>
      </c>
      <c r="I6" s="522">
        <v>66.58</v>
      </c>
      <c r="J6" s="522">
        <v>72.61</v>
      </c>
      <c r="K6" s="522">
        <v>135.47</v>
      </c>
      <c r="L6" s="522">
        <v>302.92</v>
      </c>
      <c r="M6" s="522">
        <v>513.19000000000005</v>
      </c>
      <c r="N6" s="522">
        <v>115.95</v>
      </c>
      <c r="O6" s="522">
        <v>157.28</v>
      </c>
      <c r="P6" s="522">
        <v>100.38</v>
      </c>
      <c r="Q6" s="522">
        <v>99.45</v>
      </c>
      <c r="R6" s="522">
        <v>152.09</v>
      </c>
      <c r="S6" s="522">
        <v>178.9</v>
      </c>
      <c r="T6" s="522">
        <v>84.83</v>
      </c>
      <c r="U6" s="522">
        <v>112.12</v>
      </c>
      <c r="V6" s="522">
        <v>460.43</v>
      </c>
      <c r="W6" s="522">
        <v>256.63</v>
      </c>
      <c r="X6" s="522">
        <v>311.86</v>
      </c>
      <c r="Y6" s="522">
        <v>541.19000000000005</v>
      </c>
      <c r="Z6" s="522">
        <v>286.77</v>
      </c>
      <c r="AA6" s="522">
        <v>80.98</v>
      </c>
      <c r="AB6" s="522">
        <v>130.16999999999999</v>
      </c>
      <c r="AC6" s="522">
        <v>91.53</v>
      </c>
      <c r="AD6" s="522">
        <v>133.68</v>
      </c>
      <c r="AE6" s="522">
        <v>37.020000000000003</v>
      </c>
      <c r="AF6" s="522">
        <v>239.42</v>
      </c>
      <c r="AG6" s="522">
        <v>90.84</v>
      </c>
      <c r="AH6" s="522">
        <v>5.78</v>
      </c>
      <c r="AI6" s="522">
        <v>73.180000000000007</v>
      </c>
      <c r="AJ6" s="522">
        <v>545.44000000000005</v>
      </c>
      <c r="AK6" s="522">
        <v>163.78</v>
      </c>
      <c r="AL6" s="522">
        <v>204.07</v>
      </c>
      <c r="AM6" s="522">
        <v>346.53</v>
      </c>
      <c r="AN6" s="522">
        <v>252.67</v>
      </c>
      <c r="AO6" s="522">
        <v>13.84</v>
      </c>
    </row>
    <row r="7" spans="1:41">
      <c r="A7" s="147">
        <v>5</v>
      </c>
      <c r="B7" s="521">
        <v>44918</v>
      </c>
      <c r="C7" s="522">
        <v>149.22999999999999</v>
      </c>
      <c r="D7" s="522">
        <v>108.18</v>
      </c>
      <c r="E7" s="522">
        <v>163.84</v>
      </c>
      <c r="F7" s="522">
        <v>125.03</v>
      </c>
      <c r="G7" s="522">
        <v>56.9</v>
      </c>
      <c r="H7" s="522">
        <v>312.04000000000002</v>
      </c>
      <c r="I7" s="522">
        <v>66.349999999999994</v>
      </c>
      <c r="J7" s="522">
        <v>72.89</v>
      </c>
      <c r="K7" s="522">
        <v>134.47999999999999</v>
      </c>
      <c r="L7" s="522">
        <v>299.27999999999997</v>
      </c>
      <c r="M7" s="522">
        <v>516.16999999999996</v>
      </c>
      <c r="N7" s="522">
        <v>117.17</v>
      </c>
      <c r="O7" s="522">
        <v>156.31</v>
      </c>
      <c r="P7" s="522">
        <v>100.55</v>
      </c>
      <c r="Q7" s="522">
        <v>98.87</v>
      </c>
      <c r="R7" s="522">
        <v>153.4</v>
      </c>
      <c r="S7" s="522">
        <v>177.34</v>
      </c>
      <c r="T7" s="522">
        <v>84.22</v>
      </c>
      <c r="U7" s="522">
        <v>111.86</v>
      </c>
      <c r="V7" s="522">
        <v>463.82</v>
      </c>
      <c r="W7" s="522">
        <v>256.63</v>
      </c>
      <c r="X7" s="522">
        <v>310.06</v>
      </c>
      <c r="Y7" s="522">
        <v>534.77</v>
      </c>
      <c r="Z7" s="522">
        <v>286.10000000000002</v>
      </c>
      <c r="AA7" s="522">
        <v>80.849999999999994</v>
      </c>
      <c r="AB7" s="522">
        <v>129.44</v>
      </c>
      <c r="AC7" s="522">
        <v>91.11</v>
      </c>
      <c r="AD7" s="522">
        <v>133.69</v>
      </c>
      <c r="AE7" s="522">
        <v>37.119999999999997</v>
      </c>
      <c r="AF7" s="522">
        <v>242.67</v>
      </c>
      <c r="AG7" s="522">
        <v>90.85</v>
      </c>
      <c r="AH7" s="522">
        <v>5.84</v>
      </c>
      <c r="AI7" s="522">
        <v>72.930000000000007</v>
      </c>
      <c r="AJ7" s="522">
        <v>540.67999999999995</v>
      </c>
      <c r="AK7" s="522">
        <v>164.38</v>
      </c>
      <c r="AL7" s="522">
        <v>203.72</v>
      </c>
      <c r="AM7" s="522">
        <v>346.66</v>
      </c>
      <c r="AN7" s="522">
        <v>252.17</v>
      </c>
      <c r="AO7" s="522">
        <v>13.83</v>
      </c>
    </row>
    <row r="8" spans="1:41">
      <c r="A8" s="147">
        <v>6</v>
      </c>
      <c r="B8" s="521">
        <v>44917</v>
      </c>
      <c r="C8" s="522">
        <v>149.01</v>
      </c>
      <c r="D8" s="522">
        <v>108.03</v>
      </c>
      <c r="E8" s="522">
        <v>163.75</v>
      </c>
      <c r="F8" s="522">
        <v>122.97</v>
      </c>
      <c r="G8" s="522">
        <v>56.23</v>
      </c>
      <c r="H8" s="522">
        <v>312.60000000000002</v>
      </c>
      <c r="I8" s="522">
        <v>66.52</v>
      </c>
      <c r="J8" s="522">
        <v>73.83</v>
      </c>
      <c r="K8" s="522">
        <v>134.4</v>
      </c>
      <c r="L8" s="522">
        <v>299.58999999999997</v>
      </c>
      <c r="M8" s="522">
        <v>513.45000000000005</v>
      </c>
      <c r="N8" s="522">
        <v>114.9</v>
      </c>
      <c r="O8" s="522">
        <v>155.63</v>
      </c>
      <c r="P8" s="522">
        <v>100.2</v>
      </c>
      <c r="Q8" s="522">
        <v>98.43</v>
      </c>
      <c r="R8" s="522">
        <v>153.19999999999999</v>
      </c>
      <c r="S8" s="522">
        <v>176.67</v>
      </c>
      <c r="T8" s="522">
        <v>84.18</v>
      </c>
      <c r="U8" s="522">
        <v>111.24</v>
      </c>
      <c r="V8" s="522">
        <v>462.32</v>
      </c>
      <c r="W8" s="522">
        <v>255.42</v>
      </c>
      <c r="X8" s="522">
        <v>306.98</v>
      </c>
      <c r="Y8" s="522">
        <v>531.37</v>
      </c>
      <c r="Z8" s="522">
        <v>281.97000000000003</v>
      </c>
      <c r="AA8" s="522">
        <v>80.489999999999995</v>
      </c>
      <c r="AB8" s="522">
        <v>128.6</v>
      </c>
      <c r="AC8" s="522">
        <v>90.5</v>
      </c>
      <c r="AD8" s="522">
        <v>131.76</v>
      </c>
      <c r="AE8" s="522">
        <v>36.97</v>
      </c>
      <c r="AF8" s="522">
        <v>241.3</v>
      </c>
      <c r="AG8" s="522">
        <v>90.25</v>
      </c>
      <c r="AH8" s="522">
        <v>5.81</v>
      </c>
      <c r="AI8" s="522">
        <v>72.3</v>
      </c>
      <c r="AJ8" s="522">
        <v>539.14</v>
      </c>
      <c r="AK8" s="522">
        <v>164.7</v>
      </c>
      <c r="AL8" s="522">
        <v>203.43</v>
      </c>
      <c r="AM8" s="522">
        <v>344.3</v>
      </c>
      <c r="AN8" s="522">
        <v>249.03</v>
      </c>
      <c r="AO8" s="522">
        <v>13.61</v>
      </c>
    </row>
    <row r="9" spans="1:41">
      <c r="A9" s="147">
        <v>7</v>
      </c>
      <c r="B9" s="521">
        <v>44916</v>
      </c>
      <c r="C9" s="522">
        <v>150.09</v>
      </c>
      <c r="D9" s="522">
        <v>108.14</v>
      </c>
      <c r="E9" s="522">
        <v>167.41</v>
      </c>
      <c r="F9" s="522">
        <v>123.53</v>
      </c>
      <c r="G9" s="522">
        <v>57.24</v>
      </c>
      <c r="H9" s="522">
        <v>314.49</v>
      </c>
      <c r="I9" s="522">
        <v>66.819999999999993</v>
      </c>
      <c r="J9" s="522">
        <v>73.33</v>
      </c>
      <c r="K9" s="522">
        <v>136.33000000000001</v>
      </c>
      <c r="L9" s="522">
        <v>303.64</v>
      </c>
      <c r="M9" s="522">
        <v>514.48</v>
      </c>
      <c r="N9" s="522">
        <v>120.18</v>
      </c>
      <c r="O9" s="522">
        <v>155.30000000000001</v>
      </c>
      <c r="P9" s="522">
        <v>100.86</v>
      </c>
      <c r="Q9" s="522">
        <v>99.05</v>
      </c>
      <c r="R9" s="522">
        <v>154.34</v>
      </c>
      <c r="S9" s="522">
        <v>178.29</v>
      </c>
      <c r="T9" s="522">
        <v>84.25</v>
      </c>
      <c r="U9" s="522">
        <v>111.11</v>
      </c>
      <c r="V9" s="522">
        <v>472.36</v>
      </c>
      <c r="W9" s="522">
        <v>257.5</v>
      </c>
      <c r="X9" s="522">
        <v>308.86</v>
      </c>
      <c r="Y9" s="522">
        <v>538.79</v>
      </c>
      <c r="Z9" s="522">
        <v>287.31</v>
      </c>
      <c r="AA9" s="522">
        <v>81.5</v>
      </c>
      <c r="AB9" s="522">
        <v>129.12</v>
      </c>
      <c r="AC9" s="522">
        <v>90.85</v>
      </c>
      <c r="AD9" s="522">
        <v>132.75</v>
      </c>
      <c r="AE9" s="522">
        <v>37.39</v>
      </c>
      <c r="AF9" s="522">
        <v>242.21</v>
      </c>
      <c r="AG9" s="522">
        <v>91.8</v>
      </c>
      <c r="AH9" s="522">
        <v>5.9</v>
      </c>
      <c r="AI9" s="522">
        <v>72.97</v>
      </c>
      <c r="AJ9" s="522">
        <v>539.89</v>
      </c>
      <c r="AK9" s="522">
        <v>168.73</v>
      </c>
      <c r="AL9" s="522">
        <v>204.81</v>
      </c>
      <c r="AM9" s="522">
        <v>346.78</v>
      </c>
      <c r="AN9" s="522">
        <v>254.68</v>
      </c>
      <c r="AO9" s="522">
        <v>13.72</v>
      </c>
    </row>
    <row r="10" spans="1:41">
      <c r="A10" s="147">
        <v>8</v>
      </c>
      <c r="B10" s="521">
        <v>44915</v>
      </c>
      <c r="C10" s="522">
        <v>147.93</v>
      </c>
      <c r="D10" s="522">
        <v>106.49</v>
      </c>
      <c r="E10" s="522">
        <v>164.33</v>
      </c>
      <c r="F10" s="522">
        <v>122.05</v>
      </c>
      <c r="G10" s="522">
        <v>56.34</v>
      </c>
      <c r="H10" s="522">
        <v>312.54000000000002</v>
      </c>
      <c r="I10" s="522">
        <v>65.099999999999994</v>
      </c>
      <c r="J10" s="522">
        <v>72.650000000000006</v>
      </c>
      <c r="K10" s="522">
        <v>133.41</v>
      </c>
      <c r="L10" s="522">
        <v>298.14999999999998</v>
      </c>
      <c r="M10" s="522">
        <v>505.17</v>
      </c>
      <c r="N10" s="522">
        <v>118.5</v>
      </c>
      <c r="O10" s="522">
        <v>150.19999999999999</v>
      </c>
      <c r="P10" s="522">
        <v>99.06</v>
      </c>
      <c r="Q10" s="522">
        <v>97.48</v>
      </c>
      <c r="R10" s="522">
        <v>151.78</v>
      </c>
      <c r="S10" s="522">
        <v>176.47</v>
      </c>
      <c r="T10" s="522">
        <v>82.99</v>
      </c>
      <c r="U10" s="522">
        <v>109.71</v>
      </c>
      <c r="V10" s="522">
        <v>458</v>
      </c>
      <c r="W10" s="522">
        <v>255.82</v>
      </c>
      <c r="X10" s="522">
        <v>305.64</v>
      </c>
      <c r="Y10" s="522">
        <v>529.57000000000005</v>
      </c>
      <c r="Z10" s="522">
        <v>284.20999999999998</v>
      </c>
      <c r="AA10" s="522">
        <v>80.94</v>
      </c>
      <c r="AB10" s="522">
        <v>127.19</v>
      </c>
      <c r="AC10" s="522">
        <v>90.12</v>
      </c>
      <c r="AD10" s="522">
        <v>129.80000000000001</v>
      </c>
      <c r="AE10" s="522">
        <v>37.119999999999997</v>
      </c>
      <c r="AF10" s="522">
        <v>238.58</v>
      </c>
      <c r="AG10" s="522">
        <v>89.74</v>
      </c>
      <c r="AH10" s="522">
        <v>5.87</v>
      </c>
      <c r="AI10" s="522">
        <v>71.930000000000007</v>
      </c>
      <c r="AJ10" s="522">
        <v>528.5</v>
      </c>
      <c r="AK10" s="522">
        <v>166.09</v>
      </c>
      <c r="AL10" s="522">
        <v>202.74</v>
      </c>
      <c r="AM10" s="522">
        <v>339.14</v>
      </c>
      <c r="AN10" s="522">
        <v>251.49</v>
      </c>
      <c r="AO10" s="522">
        <v>13.51</v>
      </c>
    </row>
    <row r="11" spans="1:41">
      <c r="A11" s="147">
        <v>9</v>
      </c>
      <c r="B11" s="521">
        <v>44914</v>
      </c>
      <c r="C11" s="522">
        <v>146.94999999999999</v>
      </c>
      <c r="D11" s="522">
        <v>106.59</v>
      </c>
      <c r="E11" s="522">
        <v>165.14</v>
      </c>
      <c r="F11" s="522">
        <v>122.95</v>
      </c>
      <c r="G11" s="522">
        <v>56.06</v>
      </c>
      <c r="H11" s="522">
        <v>313.72000000000003</v>
      </c>
      <c r="I11" s="522">
        <v>65.459999999999994</v>
      </c>
      <c r="J11" s="522">
        <v>73.16</v>
      </c>
      <c r="K11" s="522">
        <v>133.21</v>
      </c>
      <c r="L11" s="522">
        <v>297.10000000000002</v>
      </c>
      <c r="M11" s="522">
        <v>501.02</v>
      </c>
      <c r="N11" s="522">
        <v>118.73</v>
      </c>
      <c r="O11" s="522">
        <v>151.44999999999999</v>
      </c>
      <c r="P11" s="522">
        <v>97.05</v>
      </c>
      <c r="Q11" s="522">
        <v>97.13</v>
      </c>
      <c r="R11" s="522">
        <v>153.32</v>
      </c>
      <c r="S11" s="522">
        <v>175.37</v>
      </c>
      <c r="T11" s="522">
        <v>82.84</v>
      </c>
      <c r="U11" s="522">
        <v>109.44</v>
      </c>
      <c r="V11" s="522">
        <v>461.94</v>
      </c>
      <c r="W11" s="522">
        <v>254.59</v>
      </c>
      <c r="X11" s="522">
        <v>299.83999999999997</v>
      </c>
      <c r="Y11" s="522">
        <v>532.52</v>
      </c>
      <c r="Z11" s="522">
        <v>290.19</v>
      </c>
      <c r="AA11" s="522">
        <v>80.5</v>
      </c>
      <c r="AB11" s="522">
        <v>127.07</v>
      </c>
      <c r="AC11" s="522">
        <v>90.18</v>
      </c>
      <c r="AD11" s="522">
        <v>125.39</v>
      </c>
      <c r="AE11" s="522">
        <v>36.94</v>
      </c>
      <c r="AF11" s="522">
        <v>238.11</v>
      </c>
      <c r="AG11" s="522">
        <v>87.93</v>
      </c>
      <c r="AH11" s="522">
        <v>5.9</v>
      </c>
      <c r="AI11" s="522">
        <v>71.62</v>
      </c>
      <c r="AJ11" s="522">
        <v>530.16999999999996</v>
      </c>
      <c r="AK11" s="522">
        <v>167.61</v>
      </c>
      <c r="AL11" s="522">
        <v>200.49</v>
      </c>
      <c r="AM11" s="522">
        <v>337.3</v>
      </c>
      <c r="AN11" s="522">
        <v>251.32</v>
      </c>
      <c r="AO11" s="522">
        <v>13.49</v>
      </c>
    </row>
    <row r="12" spans="1:41">
      <c r="A12" s="147">
        <v>10</v>
      </c>
      <c r="B12" s="521">
        <v>44911</v>
      </c>
      <c r="C12" s="522">
        <v>149.30000000000001</v>
      </c>
      <c r="D12" s="522">
        <v>106.91</v>
      </c>
      <c r="E12" s="522">
        <v>166.82</v>
      </c>
      <c r="F12" s="522">
        <v>123.62</v>
      </c>
      <c r="G12" s="522">
        <v>56.05</v>
      </c>
      <c r="H12" s="522">
        <v>316.42</v>
      </c>
      <c r="I12" s="522">
        <v>65.86</v>
      </c>
      <c r="J12" s="522">
        <v>73.489999999999995</v>
      </c>
      <c r="K12" s="522">
        <v>133.35</v>
      </c>
      <c r="L12" s="522">
        <v>301.98</v>
      </c>
      <c r="M12" s="522">
        <v>502.89</v>
      </c>
      <c r="N12" s="522">
        <v>116.42</v>
      </c>
      <c r="O12" s="522">
        <v>149.24</v>
      </c>
      <c r="P12" s="522">
        <v>100.12</v>
      </c>
      <c r="Q12" s="522">
        <v>97.97</v>
      </c>
      <c r="R12" s="522">
        <v>151.79</v>
      </c>
      <c r="S12" s="522">
        <v>177.55</v>
      </c>
      <c r="T12" s="522">
        <v>83.41</v>
      </c>
      <c r="U12" s="522">
        <v>109.2</v>
      </c>
      <c r="V12" s="522">
        <v>471.59</v>
      </c>
      <c r="W12" s="522">
        <v>252.44</v>
      </c>
      <c r="X12" s="522">
        <v>303.49</v>
      </c>
      <c r="Y12" s="522">
        <v>529.87</v>
      </c>
      <c r="Z12" s="522">
        <v>294.88</v>
      </c>
      <c r="AA12" s="522">
        <v>79.58</v>
      </c>
      <c r="AB12" s="522">
        <v>126.45</v>
      </c>
      <c r="AC12" s="522">
        <v>90.81</v>
      </c>
      <c r="AD12" s="522">
        <v>126.71</v>
      </c>
      <c r="AE12" s="522">
        <v>36.76</v>
      </c>
      <c r="AF12" s="522">
        <v>240.47</v>
      </c>
      <c r="AG12" s="522">
        <v>86.5</v>
      </c>
      <c r="AH12" s="522">
        <v>5.96</v>
      </c>
      <c r="AI12" s="522">
        <v>72.63</v>
      </c>
      <c r="AJ12" s="522">
        <v>536.44000000000005</v>
      </c>
      <c r="AK12" s="522">
        <v>169.55</v>
      </c>
      <c r="AL12" s="522">
        <v>200.65</v>
      </c>
      <c r="AM12" s="522">
        <v>338.48</v>
      </c>
      <c r="AN12" s="522">
        <v>255.35</v>
      </c>
      <c r="AO12" s="522">
        <v>13.28</v>
      </c>
    </row>
    <row r="13" spans="1:41">
      <c r="A13" s="147">
        <v>11</v>
      </c>
      <c r="B13" s="521">
        <v>44910</v>
      </c>
      <c r="C13" s="522">
        <v>150.86000000000001</v>
      </c>
      <c r="D13" s="522">
        <v>108.52</v>
      </c>
      <c r="E13" s="522">
        <v>166.09</v>
      </c>
      <c r="F13" s="522">
        <v>125.03</v>
      </c>
      <c r="G13" s="522">
        <v>56.8</v>
      </c>
      <c r="H13" s="522">
        <v>316.24</v>
      </c>
      <c r="I13" s="522">
        <v>66.86</v>
      </c>
      <c r="J13" s="522">
        <v>75</v>
      </c>
      <c r="K13" s="522">
        <v>134.96</v>
      </c>
      <c r="L13" s="522">
        <v>300.45</v>
      </c>
      <c r="M13" s="522">
        <v>503.79</v>
      </c>
      <c r="N13" s="522">
        <v>114.37</v>
      </c>
      <c r="O13" s="522">
        <v>149.22</v>
      </c>
      <c r="P13" s="522">
        <v>100.54</v>
      </c>
      <c r="Q13" s="522">
        <v>98.41</v>
      </c>
      <c r="R13" s="522">
        <v>153.19</v>
      </c>
      <c r="S13" s="522">
        <v>177.93</v>
      </c>
      <c r="T13" s="522">
        <v>84.46</v>
      </c>
      <c r="U13" s="522">
        <v>109.63</v>
      </c>
      <c r="V13" s="522">
        <v>476.68</v>
      </c>
      <c r="W13" s="522">
        <v>257.14</v>
      </c>
      <c r="X13" s="522">
        <v>300.35000000000002</v>
      </c>
      <c r="Y13" s="522">
        <v>528.49</v>
      </c>
      <c r="Z13" s="522">
        <v>299.14</v>
      </c>
      <c r="AA13" s="522">
        <v>80.069999999999993</v>
      </c>
      <c r="AB13" s="522">
        <v>127.66</v>
      </c>
      <c r="AC13" s="522">
        <v>91.46</v>
      </c>
      <c r="AD13" s="522">
        <v>125.65</v>
      </c>
      <c r="AE13" s="522">
        <v>37.19</v>
      </c>
      <c r="AF13" s="522">
        <v>244.19</v>
      </c>
      <c r="AG13" s="522">
        <v>86.08</v>
      </c>
      <c r="AH13" s="522">
        <v>5.97</v>
      </c>
      <c r="AI13" s="522">
        <v>72.44</v>
      </c>
      <c r="AJ13" s="522">
        <v>553.79</v>
      </c>
      <c r="AK13" s="522">
        <v>170.01</v>
      </c>
      <c r="AL13" s="522">
        <v>199.67</v>
      </c>
      <c r="AM13" s="522">
        <v>342.43</v>
      </c>
      <c r="AN13" s="522">
        <v>258.19</v>
      </c>
      <c r="AO13" s="522">
        <v>13.76</v>
      </c>
    </row>
    <row r="14" spans="1:41">
      <c r="A14" s="147">
        <v>12</v>
      </c>
      <c r="B14" s="521">
        <v>44909</v>
      </c>
      <c r="C14" s="522">
        <v>154.81</v>
      </c>
      <c r="D14" s="522">
        <v>111.26</v>
      </c>
      <c r="E14" s="522">
        <v>171.68</v>
      </c>
      <c r="F14" s="522">
        <v>125.64</v>
      </c>
      <c r="G14" s="522">
        <v>58.88</v>
      </c>
      <c r="H14" s="522">
        <v>325.12</v>
      </c>
      <c r="I14" s="522">
        <v>68.94</v>
      </c>
      <c r="J14" s="522">
        <v>77.14</v>
      </c>
      <c r="K14" s="522">
        <v>140.85</v>
      </c>
      <c r="L14" s="522">
        <v>304.7</v>
      </c>
      <c r="M14" s="522">
        <v>518.35</v>
      </c>
      <c r="N14" s="522">
        <v>116.06</v>
      </c>
      <c r="O14" s="522">
        <v>151.11000000000001</v>
      </c>
      <c r="P14" s="522">
        <v>104.71</v>
      </c>
      <c r="Q14" s="522">
        <v>99.99</v>
      </c>
      <c r="R14" s="522">
        <v>156.04</v>
      </c>
      <c r="S14" s="522">
        <v>180.59</v>
      </c>
      <c r="T14" s="522">
        <v>86.27</v>
      </c>
      <c r="U14" s="522">
        <v>111.55</v>
      </c>
      <c r="V14" s="522">
        <v>498.48</v>
      </c>
      <c r="W14" s="522">
        <v>265.83</v>
      </c>
      <c r="X14" s="522">
        <v>310.64999999999998</v>
      </c>
      <c r="Y14" s="522">
        <v>531.78</v>
      </c>
      <c r="Z14" s="522">
        <v>309.39999999999998</v>
      </c>
      <c r="AA14" s="522">
        <v>81.819999999999993</v>
      </c>
      <c r="AB14" s="522">
        <v>126.58</v>
      </c>
      <c r="AC14" s="522">
        <v>92.52</v>
      </c>
      <c r="AD14" s="522">
        <v>127.95</v>
      </c>
      <c r="AE14" s="522">
        <v>38.130000000000003</v>
      </c>
      <c r="AF14" s="522">
        <v>248.68</v>
      </c>
      <c r="AG14" s="522">
        <v>88.77</v>
      </c>
      <c r="AH14" s="522">
        <v>6.12</v>
      </c>
      <c r="AI14" s="522">
        <v>74</v>
      </c>
      <c r="AJ14" s="522">
        <v>567.23</v>
      </c>
      <c r="AK14" s="522">
        <v>175.82</v>
      </c>
      <c r="AL14" s="522">
        <v>200.86</v>
      </c>
      <c r="AM14" s="522">
        <v>343.97</v>
      </c>
      <c r="AN14" s="522">
        <v>266.23</v>
      </c>
      <c r="AO14" s="522">
        <v>14.11</v>
      </c>
    </row>
    <row r="15" spans="1:41">
      <c r="A15" s="147">
        <v>13</v>
      </c>
      <c r="B15" s="521">
        <v>44908</v>
      </c>
      <c r="C15" s="522">
        <v>157.66</v>
      </c>
      <c r="D15" s="522">
        <v>111.53</v>
      </c>
      <c r="E15" s="522">
        <v>175.49</v>
      </c>
      <c r="F15" s="522">
        <v>130.38</v>
      </c>
      <c r="G15" s="522">
        <v>59.37</v>
      </c>
      <c r="H15" s="522">
        <v>325.25</v>
      </c>
      <c r="I15" s="522">
        <v>69.19</v>
      </c>
      <c r="J15" s="522">
        <v>77.349999999999994</v>
      </c>
      <c r="K15" s="522">
        <v>145.19999999999999</v>
      </c>
      <c r="L15" s="522">
        <v>298.72000000000003</v>
      </c>
      <c r="M15" s="522">
        <v>515.5</v>
      </c>
      <c r="N15" s="522">
        <v>118.13</v>
      </c>
      <c r="O15" s="522">
        <v>149.75</v>
      </c>
      <c r="P15" s="522">
        <v>103.19</v>
      </c>
      <c r="Q15" s="522">
        <v>99.77</v>
      </c>
      <c r="R15" s="522">
        <v>157.12</v>
      </c>
      <c r="S15" s="522">
        <v>183.08</v>
      </c>
      <c r="T15" s="522">
        <v>86.6</v>
      </c>
      <c r="U15" s="522">
        <v>110.91</v>
      </c>
      <c r="V15" s="522">
        <v>512.02</v>
      </c>
      <c r="W15" s="522">
        <v>267.14999999999998</v>
      </c>
      <c r="X15" s="522">
        <v>315.23</v>
      </c>
      <c r="Y15" s="522">
        <v>525.59</v>
      </c>
      <c r="Z15" s="522">
        <v>304.64999999999998</v>
      </c>
      <c r="AA15" s="522">
        <v>80.56</v>
      </c>
      <c r="AB15" s="522">
        <v>128.28</v>
      </c>
      <c r="AC15" s="522">
        <v>90.87</v>
      </c>
      <c r="AD15" s="522">
        <v>128.97</v>
      </c>
      <c r="AE15" s="522">
        <v>38.299999999999997</v>
      </c>
      <c r="AF15" s="522">
        <v>258.86</v>
      </c>
      <c r="AG15" s="522">
        <v>89.03</v>
      </c>
      <c r="AH15" s="522">
        <v>6.16</v>
      </c>
      <c r="AI15" s="522">
        <v>74.77</v>
      </c>
      <c r="AJ15" s="522">
        <v>571.38</v>
      </c>
      <c r="AK15" s="522">
        <v>177.5</v>
      </c>
      <c r="AL15" s="522">
        <v>202.35</v>
      </c>
      <c r="AM15" s="522">
        <v>344.62</v>
      </c>
      <c r="AN15" s="522">
        <v>268.67</v>
      </c>
      <c r="AO15" s="522">
        <v>14.14</v>
      </c>
    </row>
    <row r="16" spans="1:41">
      <c r="A16" s="147">
        <v>14</v>
      </c>
      <c r="B16" s="521">
        <v>44907</v>
      </c>
      <c r="C16" s="522">
        <v>155.33000000000001</v>
      </c>
      <c r="D16" s="522">
        <v>109.49</v>
      </c>
      <c r="E16" s="522">
        <v>172.26</v>
      </c>
      <c r="F16" s="522">
        <v>132.1</v>
      </c>
      <c r="G16" s="522">
        <v>58.51</v>
      </c>
      <c r="H16" s="522">
        <v>319.51</v>
      </c>
      <c r="I16" s="522">
        <v>68.84</v>
      </c>
      <c r="J16" s="522">
        <v>78.89</v>
      </c>
      <c r="K16" s="522">
        <v>145.13</v>
      </c>
      <c r="L16" s="522">
        <v>298.63</v>
      </c>
      <c r="M16" s="522">
        <v>515.02</v>
      </c>
      <c r="N16" s="522">
        <v>115.91</v>
      </c>
      <c r="O16" s="522">
        <v>149</v>
      </c>
      <c r="P16" s="522">
        <v>103.05</v>
      </c>
      <c r="Q16" s="522">
        <v>98.99</v>
      </c>
      <c r="R16" s="522">
        <v>155.87</v>
      </c>
      <c r="S16" s="522">
        <v>182.89</v>
      </c>
      <c r="T16" s="522">
        <v>85.98</v>
      </c>
      <c r="U16" s="522">
        <v>108.97</v>
      </c>
      <c r="V16" s="522">
        <v>497.27</v>
      </c>
      <c r="W16" s="522">
        <v>270.83999999999997</v>
      </c>
      <c r="X16" s="522">
        <v>314.24</v>
      </c>
      <c r="Y16" s="522">
        <v>535.17999999999995</v>
      </c>
      <c r="Z16" s="522">
        <v>301.8</v>
      </c>
      <c r="AA16" s="522">
        <v>81.28</v>
      </c>
      <c r="AB16" s="522">
        <v>129.94</v>
      </c>
      <c r="AC16" s="522">
        <v>91.42</v>
      </c>
      <c r="AD16" s="522">
        <v>128.53</v>
      </c>
      <c r="AE16" s="522">
        <v>38.340000000000003</v>
      </c>
      <c r="AF16" s="522">
        <v>253.88</v>
      </c>
      <c r="AG16" s="522">
        <v>90.18</v>
      </c>
      <c r="AH16" s="522">
        <v>6.15</v>
      </c>
      <c r="AI16" s="522">
        <v>74.19</v>
      </c>
      <c r="AJ16" s="522">
        <v>567.6</v>
      </c>
      <c r="AK16" s="522">
        <v>177.48</v>
      </c>
      <c r="AL16" s="522">
        <v>199.69</v>
      </c>
      <c r="AM16" s="522">
        <v>340.86</v>
      </c>
      <c r="AN16" s="522">
        <v>266.33</v>
      </c>
      <c r="AO16" s="522">
        <v>14.12</v>
      </c>
    </row>
    <row r="17" spans="1:41">
      <c r="A17" s="147">
        <v>15</v>
      </c>
      <c r="B17" s="521">
        <v>44904</v>
      </c>
      <c r="C17" s="522">
        <v>152.94999999999999</v>
      </c>
      <c r="D17" s="522">
        <v>107.51</v>
      </c>
      <c r="E17" s="522">
        <v>168.68</v>
      </c>
      <c r="F17" s="522">
        <v>130.36000000000001</v>
      </c>
      <c r="G17" s="522">
        <v>58.3</v>
      </c>
      <c r="H17" s="522">
        <v>314.41000000000003</v>
      </c>
      <c r="I17" s="522">
        <v>67.92</v>
      </c>
      <c r="J17" s="522">
        <v>78.83</v>
      </c>
      <c r="K17" s="522">
        <v>142.11000000000001</v>
      </c>
      <c r="L17" s="522">
        <v>300.52999999999997</v>
      </c>
      <c r="M17" s="522">
        <v>516.82000000000005</v>
      </c>
      <c r="N17" s="522">
        <v>116.05</v>
      </c>
      <c r="O17" s="522">
        <v>148.85</v>
      </c>
      <c r="P17" s="522">
        <v>102.78</v>
      </c>
      <c r="Q17" s="522">
        <v>98.26</v>
      </c>
      <c r="R17" s="522">
        <v>156.27000000000001</v>
      </c>
      <c r="S17" s="522">
        <v>181.54</v>
      </c>
      <c r="T17" s="522">
        <v>85.28</v>
      </c>
      <c r="U17" s="522">
        <v>108.78</v>
      </c>
      <c r="V17" s="522">
        <v>492.55</v>
      </c>
      <c r="W17" s="522">
        <v>265.57</v>
      </c>
      <c r="X17" s="522">
        <v>315.49</v>
      </c>
      <c r="Y17" s="522">
        <v>528.94000000000005</v>
      </c>
      <c r="Z17" s="522">
        <v>292.23</v>
      </c>
      <c r="AA17" s="522">
        <v>79.86</v>
      </c>
      <c r="AB17" s="522">
        <v>129.38</v>
      </c>
      <c r="AC17" s="522">
        <v>90.97</v>
      </c>
      <c r="AD17" s="522">
        <v>127.28</v>
      </c>
      <c r="AE17" s="522">
        <v>38.51</v>
      </c>
      <c r="AF17" s="522">
        <v>252.88</v>
      </c>
      <c r="AG17" s="522">
        <v>90.11</v>
      </c>
      <c r="AH17" s="522">
        <v>6.11</v>
      </c>
      <c r="AI17" s="522">
        <v>73.25</v>
      </c>
      <c r="AJ17" s="522">
        <v>560.23</v>
      </c>
      <c r="AK17" s="522">
        <v>174.26</v>
      </c>
      <c r="AL17" s="522">
        <v>197.67</v>
      </c>
      <c r="AM17" s="522">
        <v>336.53</v>
      </c>
      <c r="AN17" s="522">
        <v>262.95999999999998</v>
      </c>
      <c r="AO17" s="522">
        <v>13.98</v>
      </c>
    </row>
    <row r="18" spans="1:41">
      <c r="A18" s="147">
        <v>16</v>
      </c>
      <c r="B18" s="521">
        <v>44903</v>
      </c>
      <c r="C18" s="522">
        <v>156.28</v>
      </c>
      <c r="D18" s="522">
        <v>106.92</v>
      </c>
      <c r="E18" s="522">
        <v>169.65</v>
      </c>
      <c r="F18" s="522">
        <v>130.03</v>
      </c>
      <c r="G18" s="522">
        <v>58.42</v>
      </c>
      <c r="H18" s="522">
        <v>319.86</v>
      </c>
      <c r="I18" s="522">
        <v>68.13</v>
      </c>
      <c r="J18" s="522">
        <v>79.88</v>
      </c>
      <c r="K18" s="522">
        <v>144.82</v>
      </c>
      <c r="L18" s="522">
        <v>304.83999999999997</v>
      </c>
      <c r="M18" s="522">
        <v>522.04999999999995</v>
      </c>
      <c r="N18" s="522">
        <v>115.17</v>
      </c>
      <c r="O18" s="522">
        <v>150.5</v>
      </c>
      <c r="P18" s="522">
        <v>103.5</v>
      </c>
      <c r="Q18" s="522">
        <v>99.01</v>
      </c>
      <c r="R18" s="522">
        <v>160.13999999999999</v>
      </c>
      <c r="S18" s="522">
        <v>184.92</v>
      </c>
      <c r="T18" s="522">
        <v>85.65</v>
      </c>
      <c r="U18" s="522">
        <v>110.85</v>
      </c>
      <c r="V18" s="522">
        <v>499.98</v>
      </c>
      <c r="W18" s="522">
        <v>269.79000000000002</v>
      </c>
      <c r="X18" s="522">
        <v>316.99</v>
      </c>
      <c r="Y18" s="522">
        <v>540.54999999999995</v>
      </c>
      <c r="Z18" s="522">
        <v>287.27</v>
      </c>
      <c r="AA18" s="522">
        <v>80.069999999999993</v>
      </c>
      <c r="AB18" s="522">
        <v>131.18</v>
      </c>
      <c r="AC18" s="522">
        <v>92.03</v>
      </c>
      <c r="AD18" s="522">
        <v>128.79</v>
      </c>
      <c r="AE18" s="522">
        <v>39.24</v>
      </c>
      <c r="AF18" s="522">
        <v>254.45</v>
      </c>
      <c r="AG18" s="522">
        <v>91</v>
      </c>
      <c r="AH18" s="522">
        <v>6.16</v>
      </c>
      <c r="AI18" s="522">
        <v>73.8</v>
      </c>
      <c r="AJ18" s="522">
        <v>567.95000000000005</v>
      </c>
      <c r="AK18" s="522">
        <v>176.36</v>
      </c>
      <c r="AL18" s="522">
        <v>197.4</v>
      </c>
      <c r="AM18" s="522">
        <v>343.04</v>
      </c>
      <c r="AN18" s="522">
        <v>263.8</v>
      </c>
      <c r="AO18" s="522">
        <v>13.91</v>
      </c>
    </row>
    <row r="19" spans="1:41">
      <c r="A19" s="147">
        <v>17</v>
      </c>
      <c r="B19" s="521">
        <v>44902</v>
      </c>
      <c r="C19" s="522">
        <v>153.72999999999999</v>
      </c>
      <c r="D19" s="522">
        <v>104.81</v>
      </c>
      <c r="E19" s="522">
        <v>166.01</v>
      </c>
      <c r="F19" s="522">
        <v>129.05000000000001</v>
      </c>
      <c r="G19" s="522">
        <v>59.27</v>
      </c>
      <c r="H19" s="522">
        <v>315.58</v>
      </c>
      <c r="I19" s="522">
        <v>68.27</v>
      </c>
      <c r="J19" s="522">
        <v>79.930000000000007</v>
      </c>
      <c r="K19" s="522">
        <v>142.38999999999999</v>
      </c>
      <c r="L19" s="522">
        <v>304.82</v>
      </c>
      <c r="M19" s="522">
        <v>518.64</v>
      </c>
      <c r="N19" s="522">
        <v>113.09</v>
      </c>
      <c r="O19" s="522">
        <v>149</v>
      </c>
      <c r="P19" s="522">
        <v>101.58</v>
      </c>
      <c r="Q19" s="522">
        <v>99.1</v>
      </c>
      <c r="R19" s="522">
        <v>157.13</v>
      </c>
      <c r="S19" s="522">
        <v>184.78</v>
      </c>
      <c r="T19" s="522">
        <v>85.35</v>
      </c>
      <c r="U19" s="522">
        <v>110.09</v>
      </c>
      <c r="V19" s="522">
        <v>500.4</v>
      </c>
      <c r="W19" s="522">
        <v>266.79000000000002</v>
      </c>
      <c r="X19" s="522">
        <v>316.92</v>
      </c>
      <c r="Y19" s="522">
        <v>540.21</v>
      </c>
      <c r="Z19" s="522">
        <v>286.64999999999998</v>
      </c>
      <c r="AA19" s="522">
        <v>78.78</v>
      </c>
      <c r="AB19" s="522">
        <v>130.47999999999999</v>
      </c>
      <c r="AC19" s="522">
        <v>92.39</v>
      </c>
      <c r="AD19" s="522">
        <v>127.86</v>
      </c>
      <c r="AE19" s="522">
        <v>39.479999999999997</v>
      </c>
      <c r="AF19" s="522">
        <v>251.12</v>
      </c>
      <c r="AG19" s="522">
        <v>90.56</v>
      </c>
      <c r="AH19" s="522">
        <v>6.2</v>
      </c>
      <c r="AI19" s="522">
        <v>73.38</v>
      </c>
      <c r="AJ19" s="522">
        <v>558.14</v>
      </c>
      <c r="AK19" s="522">
        <v>173.75</v>
      </c>
      <c r="AL19" s="522">
        <v>195.99</v>
      </c>
      <c r="AM19" s="522">
        <v>340.64</v>
      </c>
      <c r="AN19" s="522">
        <v>256.66000000000003</v>
      </c>
      <c r="AO19" s="522">
        <v>13.77</v>
      </c>
    </row>
    <row r="20" spans="1:41">
      <c r="A20" s="147">
        <v>18</v>
      </c>
      <c r="B20" s="521">
        <v>44901</v>
      </c>
      <c r="C20" s="522">
        <v>151.35</v>
      </c>
      <c r="D20" s="522">
        <v>103.86</v>
      </c>
      <c r="E20" s="522">
        <v>166.51</v>
      </c>
      <c r="F20" s="522">
        <v>129.31</v>
      </c>
      <c r="G20" s="522">
        <v>59.37</v>
      </c>
      <c r="H20" s="522">
        <v>312.10000000000002</v>
      </c>
      <c r="I20" s="522">
        <v>73.650000000000006</v>
      </c>
      <c r="J20" s="522">
        <v>79.92</v>
      </c>
      <c r="K20" s="522">
        <v>143.33000000000001</v>
      </c>
      <c r="L20" s="522">
        <v>311.02</v>
      </c>
      <c r="M20" s="522">
        <v>519.75</v>
      </c>
      <c r="N20" s="522">
        <v>113.77</v>
      </c>
      <c r="O20" s="522">
        <v>148.97</v>
      </c>
      <c r="P20" s="522">
        <v>101.23</v>
      </c>
      <c r="Q20" s="522">
        <v>97.95</v>
      </c>
      <c r="R20" s="522">
        <v>158.08000000000001</v>
      </c>
      <c r="S20" s="522">
        <v>183.49</v>
      </c>
      <c r="T20" s="522">
        <v>84.38</v>
      </c>
      <c r="U20" s="522">
        <v>108.93</v>
      </c>
      <c r="V20" s="522">
        <v>499.9</v>
      </c>
      <c r="W20" s="522">
        <v>266.17</v>
      </c>
      <c r="X20" s="522">
        <v>316.88</v>
      </c>
      <c r="Y20" s="522">
        <v>531.80999999999995</v>
      </c>
      <c r="Z20" s="522">
        <v>287.12</v>
      </c>
      <c r="AA20" s="522">
        <v>78.91</v>
      </c>
      <c r="AB20" s="522">
        <v>130.97</v>
      </c>
      <c r="AC20" s="522">
        <v>93.35</v>
      </c>
      <c r="AD20" s="522">
        <v>128.25</v>
      </c>
      <c r="AE20" s="522">
        <v>39.21</v>
      </c>
      <c r="AF20" s="522">
        <v>253.46</v>
      </c>
      <c r="AG20" s="522">
        <v>92.02</v>
      </c>
      <c r="AH20" s="522">
        <v>6.15</v>
      </c>
      <c r="AI20" s="522">
        <v>73.510000000000005</v>
      </c>
      <c r="AJ20" s="522">
        <v>550.53</v>
      </c>
      <c r="AK20" s="522">
        <v>174.34</v>
      </c>
      <c r="AL20" s="522">
        <v>197.45</v>
      </c>
      <c r="AM20" s="522">
        <v>337.59</v>
      </c>
      <c r="AN20" s="522">
        <v>253.91</v>
      </c>
      <c r="AO20" s="522">
        <v>13.84</v>
      </c>
    </row>
    <row r="21" spans="1:41">
      <c r="A21" s="147">
        <v>19</v>
      </c>
      <c r="B21" s="521">
        <v>44900</v>
      </c>
      <c r="C21" s="522">
        <v>152.69999999999999</v>
      </c>
      <c r="D21" s="522">
        <v>105.41</v>
      </c>
      <c r="E21" s="522">
        <v>167.84</v>
      </c>
      <c r="F21" s="522">
        <v>129.55000000000001</v>
      </c>
      <c r="G21" s="522">
        <v>59.82</v>
      </c>
      <c r="H21" s="522">
        <v>314.97000000000003</v>
      </c>
      <c r="I21" s="522">
        <v>74.02</v>
      </c>
      <c r="J21" s="522">
        <v>80.7</v>
      </c>
      <c r="K21" s="522">
        <v>144.97999999999999</v>
      </c>
      <c r="L21" s="522">
        <v>312.95</v>
      </c>
      <c r="M21" s="522">
        <v>522.24</v>
      </c>
      <c r="N21" s="522">
        <v>118.88</v>
      </c>
      <c r="O21" s="522">
        <v>148.91999999999999</v>
      </c>
      <c r="P21" s="522">
        <v>104.11</v>
      </c>
      <c r="Q21" s="522">
        <v>99.51</v>
      </c>
      <c r="R21" s="522">
        <v>159.4</v>
      </c>
      <c r="S21" s="522">
        <v>188.93</v>
      </c>
      <c r="T21" s="522">
        <v>84.05</v>
      </c>
      <c r="U21" s="522">
        <v>110.01</v>
      </c>
      <c r="V21" s="522">
        <v>504.49</v>
      </c>
      <c r="W21" s="522">
        <v>268.23</v>
      </c>
      <c r="X21" s="522">
        <v>319.38</v>
      </c>
      <c r="Y21" s="522">
        <v>541.42999999999995</v>
      </c>
      <c r="Z21" s="522">
        <v>289.76</v>
      </c>
      <c r="AA21" s="522">
        <v>79.430000000000007</v>
      </c>
      <c r="AB21" s="522">
        <v>131.26</v>
      </c>
      <c r="AC21" s="522">
        <v>94.75</v>
      </c>
      <c r="AD21" s="522">
        <v>129.33000000000001</v>
      </c>
      <c r="AE21" s="522">
        <v>39.6</v>
      </c>
      <c r="AF21" s="522">
        <v>253.59</v>
      </c>
      <c r="AG21" s="522">
        <v>92.61</v>
      </c>
      <c r="AH21" s="522">
        <v>6.18</v>
      </c>
      <c r="AI21" s="522">
        <v>74.66</v>
      </c>
      <c r="AJ21" s="522">
        <v>557.21</v>
      </c>
      <c r="AK21" s="522">
        <v>177.39</v>
      </c>
      <c r="AL21" s="522">
        <v>197.29</v>
      </c>
      <c r="AM21" s="522">
        <v>340.29</v>
      </c>
      <c r="AN21" s="522">
        <v>257.06</v>
      </c>
      <c r="AO21" s="522">
        <v>14.15</v>
      </c>
    </row>
    <row r="22" spans="1:41">
      <c r="A22" s="147">
        <v>20</v>
      </c>
      <c r="B22" s="521">
        <v>44897</v>
      </c>
      <c r="C22" s="522">
        <v>155.66999999999999</v>
      </c>
      <c r="D22" s="522">
        <v>108.09</v>
      </c>
      <c r="E22" s="522">
        <v>168.63</v>
      </c>
      <c r="F22" s="522">
        <v>128.47999999999999</v>
      </c>
      <c r="G22" s="522">
        <v>60.38</v>
      </c>
      <c r="H22" s="522">
        <v>318.44</v>
      </c>
      <c r="I22" s="522">
        <v>74.510000000000005</v>
      </c>
      <c r="J22" s="522">
        <v>81.13</v>
      </c>
      <c r="K22" s="522">
        <v>148.99</v>
      </c>
      <c r="L22" s="522">
        <v>315.57</v>
      </c>
      <c r="M22" s="522">
        <v>524.1</v>
      </c>
      <c r="N22" s="522">
        <v>122.04</v>
      </c>
      <c r="O22" s="522">
        <v>150.46</v>
      </c>
      <c r="P22" s="522">
        <v>103.74</v>
      </c>
      <c r="Q22" s="522">
        <v>100.45</v>
      </c>
      <c r="R22" s="522">
        <v>163.82</v>
      </c>
      <c r="S22" s="522">
        <v>191.6</v>
      </c>
      <c r="T22" s="522">
        <v>86.38</v>
      </c>
      <c r="U22" s="522">
        <v>110.04</v>
      </c>
      <c r="V22" s="522">
        <v>518.83000000000004</v>
      </c>
      <c r="W22" s="522">
        <v>272.7</v>
      </c>
      <c r="X22" s="522">
        <v>322.75</v>
      </c>
      <c r="Y22" s="522">
        <v>545.6</v>
      </c>
      <c r="Z22" s="522">
        <v>302.85000000000002</v>
      </c>
      <c r="AA22" s="522">
        <v>83.35</v>
      </c>
      <c r="AB22" s="522">
        <v>132.51</v>
      </c>
      <c r="AC22" s="522">
        <v>95.75</v>
      </c>
      <c r="AD22" s="522">
        <v>131.85</v>
      </c>
      <c r="AE22" s="522">
        <v>40.479999999999997</v>
      </c>
      <c r="AF22" s="522">
        <v>257.75</v>
      </c>
      <c r="AG22" s="522">
        <v>95.08</v>
      </c>
      <c r="AH22" s="522">
        <v>6.24</v>
      </c>
      <c r="AI22" s="522">
        <v>75.650000000000006</v>
      </c>
      <c r="AJ22" s="522">
        <v>563</v>
      </c>
      <c r="AK22" s="522">
        <v>177.66</v>
      </c>
      <c r="AL22" s="522">
        <v>202.1</v>
      </c>
      <c r="AM22" s="522">
        <v>347.37</v>
      </c>
      <c r="AN22" s="522">
        <v>266.39999999999998</v>
      </c>
      <c r="AO22" s="522">
        <v>14.44</v>
      </c>
    </row>
    <row r="23" spans="1:41">
      <c r="A23" s="147">
        <v>21</v>
      </c>
      <c r="B23" s="521">
        <v>44896</v>
      </c>
      <c r="C23" s="522">
        <v>156.12</v>
      </c>
      <c r="D23" s="522">
        <v>107.93</v>
      </c>
      <c r="E23" s="522">
        <v>171.48</v>
      </c>
      <c r="F23" s="522">
        <v>128.01</v>
      </c>
      <c r="G23" s="522">
        <v>60.48</v>
      </c>
      <c r="H23" s="522">
        <v>312.04000000000002</v>
      </c>
      <c r="I23" s="522">
        <v>74.05</v>
      </c>
      <c r="J23" s="522">
        <v>80.88</v>
      </c>
      <c r="K23" s="522">
        <v>149.86000000000001</v>
      </c>
      <c r="L23" s="522">
        <v>313.70999999999998</v>
      </c>
      <c r="M23" s="522">
        <v>519.02</v>
      </c>
      <c r="N23" s="522">
        <v>122.09</v>
      </c>
      <c r="O23" s="522">
        <v>152.61000000000001</v>
      </c>
      <c r="P23" s="522">
        <v>102.93</v>
      </c>
      <c r="Q23" s="522">
        <v>98.05</v>
      </c>
      <c r="R23" s="522">
        <v>163.62</v>
      </c>
      <c r="S23" s="522">
        <v>190.73</v>
      </c>
      <c r="T23" s="522">
        <v>85.73</v>
      </c>
      <c r="U23" s="522">
        <v>109.8</v>
      </c>
      <c r="V23" s="522">
        <v>521.39</v>
      </c>
      <c r="W23" s="522">
        <v>271.77999999999997</v>
      </c>
      <c r="X23" s="522">
        <v>318.87</v>
      </c>
      <c r="Y23" s="522">
        <v>530.29999999999995</v>
      </c>
      <c r="Z23" s="522">
        <v>300.89</v>
      </c>
      <c r="AA23" s="522">
        <v>84.11</v>
      </c>
      <c r="AB23" s="522">
        <v>131.26</v>
      </c>
      <c r="AC23" s="522">
        <v>94.09</v>
      </c>
      <c r="AD23" s="522">
        <v>129.78</v>
      </c>
      <c r="AE23" s="522">
        <v>40.39</v>
      </c>
      <c r="AF23" s="522">
        <v>251.61</v>
      </c>
      <c r="AG23" s="522">
        <v>94.42</v>
      </c>
      <c r="AH23" s="522">
        <v>6.41</v>
      </c>
      <c r="AI23" s="522">
        <v>74.489999999999995</v>
      </c>
      <c r="AJ23" s="522">
        <v>564.55999999999995</v>
      </c>
      <c r="AK23" s="522">
        <v>177.5</v>
      </c>
      <c r="AL23" s="522">
        <v>204.57</v>
      </c>
      <c r="AM23" s="522">
        <v>346.93</v>
      </c>
      <c r="AN23" s="522">
        <v>269.94</v>
      </c>
      <c r="AO23" s="522">
        <v>14.47</v>
      </c>
    </row>
    <row r="24" spans="1:41">
      <c r="A24" s="147">
        <v>22</v>
      </c>
      <c r="B24" s="521">
        <v>44895</v>
      </c>
      <c r="C24" s="522">
        <v>154.97999999999999</v>
      </c>
      <c r="D24" s="522">
        <v>107.58</v>
      </c>
      <c r="E24" s="522">
        <v>171.91</v>
      </c>
      <c r="F24" s="522">
        <v>128.22</v>
      </c>
      <c r="G24" s="522">
        <v>60.74</v>
      </c>
      <c r="H24" s="522">
        <v>310.16000000000003</v>
      </c>
      <c r="I24" s="522">
        <v>73.02</v>
      </c>
      <c r="J24" s="522">
        <v>80.28</v>
      </c>
      <c r="K24" s="522">
        <v>149.11000000000001</v>
      </c>
      <c r="L24" s="522">
        <v>312.3</v>
      </c>
      <c r="M24" s="522">
        <v>520</v>
      </c>
      <c r="N24" s="522">
        <v>120.95</v>
      </c>
      <c r="O24" s="522">
        <v>151.83000000000001</v>
      </c>
      <c r="P24" s="522">
        <v>103.41</v>
      </c>
      <c r="Q24" s="522">
        <v>97.97</v>
      </c>
      <c r="R24" s="522">
        <v>164.02</v>
      </c>
      <c r="S24" s="522">
        <v>189.35</v>
      </c>
      <c r="T24" s="522">
        <v>85.18</v>
      </c>
      <c r="U24" s="522">
        <v>110.12</v>
      </c>
      <c r="V24" s="522">
        <v>507.83</v>
      </c>
      <c r="W24" s="522">
        <v>272.2</v>
      </c>
      <c r="X24" s="522">
        <v>316.02</v>
      </c>
      <c r="Y24" s="522">
        <v>533.29</v>
      </c>
      <c r="Z24" s="522">
        <v>302.61</v>
      </c>
      <c r="AA24" s="522">
        <v>83.03</v>
      </c>
      <c r="AB24" s="522">
        <v>132.15</v>
      </c>
      <c r="AC24" s="522">
        <v>93.61</v>
      </c>
      <c r="AD24" s="522">
        <v>130.07</v>
      </c>
      <c r="AE24" s="522">
        <v>40.44</v>
      </c>
      <c r="AF24" s="522">
        <v>249.18</v>
      </c>
      <c r="AG24" s="522">
        <v>96.12</v>
      </c>
      <c r="AH24" s="522">
        <v>6.49</v>
      </c>
      <c r="AI24" s="522">
        <v>74.709999999999994</v>
      </c>
      <c r="AJ24" s="522">
        <v>560.22</v>
      </c>
      <c r="AK24" s="522">
        <v>180.46</v>
      </c>
      <c r="AL24" s="522">
        <v>199.81</v>
      </c>
      <c r="AM24" s="522">
        <v>346.6</v>
      </c>
      <c r="AN24" s="522">
        <v>268.98</v>
      </c>
      <c r="AO24" s="522">
        <v>14.66</v>
      </c>
    </row>
    <row r="25" spans="1:41">
      <c r="A25" s="147">
        <v>23</v>
      </c>
      <c r="B25" s="521">
        <v>44894</v>
      </c>
      <c r="C25" s="522">
        <v>150.94</v>
      </c>
      <c r="D25" s="522">
        <v>105</v>
      </c>
      <c r="E25" s="522">
        <v>163.89</v>
      </c>
      <c r="F25" s="522">
        <v>126.39</v>
      </c>
      <c r="G25" s="522">
        <v>60.49</v>
      </c>
      <c r="H25" s="522">
        <v>302.18</v>
      </c>
      <c r="I25" s="522">
        <v>71.12</v>
      </c>
      <c r="J25" s="522">
        <v>79.03</v>
      </c>
      <c r="K25" s="522">
        <v>142.82</v>
      </c>
      <c r="L25" s="522">
        <v>307.11</v>
      </c>
      <c r="M25" s="522">
        <v>511.71</v>
      </c>
      <c r="N25" s="522">
        <v>118.83</v>
      </c>
      <c r="O25" s="522">
        <v>149.01</v>
      </c>
      <c r="P25" s="522">
        <v>100.28</v>
      </c>
      <c r="Q25" s="522">
        <v>96.71</v>
      </c>
      <c r="R25" s="522">
        <v>159.63999999999999</v>
      </c>
      <c r="S25" s="522">
        <v>185.9</v>
      </c>
      <c r="T25" s="522">
        <v>83.75</v>
      </c>
      <c r="U25" s="522">
        <v>108.84</v>
      </c>
      <c r="V25" s="522">
        <v>486.32</v>
      </c>
      <c r="W25" s="522">
        <v>264.45999999999998</v>
      </c>
      <c r="X25" s="522">
        <v>309.2</v>
      </c>
      <c r="Y25" s="522">
        <v>528.35</v>
      </c>
      <c r="Z25" s="522">
        <v>292.07</v>
      </c>
      <c r="AA25" s="522">
        <v>80.849999999999994</v>
      </c>
      <c r="AB25" s="522">
        <v>131.12</v>
      </c>
      <c r="AC25" s="522">
        <v>92.77</v>
      </c>
      <c r="AD25" s="522">
        <v>127.49</v>
      </c>
      <c r="AE25" s="522">
        <v>39.83</v>
      </c>
      <c r="AF25" s="522">
        <v>241.57</v>
      </c>
      <c r="AG25" s="522">
        <v>94.71</v>
      </c>
      <c r="AH25" s="522">
        <v>6.41</v>
      </c>
      <c r="AI25" s="522">
        <v>73.510000000000005</v>
      </c>
      <c r="AJ25" s="522">
        <v>539.75</v>
      </c>
      <c r="AK25" s="522">
        <v>172.98</v>
      </c>
      <c r="AL25" s="522">
        <v>194.96</v>
      </c>
      <c r="AM25" s="522">
        <v>330.16</v>
      </c>
      <c r="AN25" s="522">
        <v>269.3</v>
      </c>
      <c r="AO25" s="522">
        <v>14.47</v>
      </c>
    </row>
    <row r="26" spans="1:41">
      <c r="A26" s="147">
        <v>24</v>
      </c>
      <c r="B26" s="521">
        <v>44893</v>
      </c>
      <c r="C26" s="522">
        <v>152.30000000000001</v>
      </c>
      <c r="D26" s="522">
        <v>105.39</v>
      </c>
      <c r="E26" s="522">
        <v>164.01</v>
      </c>
      <c r="F26" s="522">
        <v>125.22</v>
      </c>
      <c r="G26" s="522">
        <v>59.76</v>
      </c>
      <c r="H26" s="522">
        <v>304.45999999999998</v>
      </c>
      <c r="I26" s="522">
        <v>71.930000000000007</v>
      </c>
      <c r="J26" s="522">
        <v>79.14</v>
      </c>
      <c r="K26" s="522">
        <v>146.5</v>
      </c>
      <c r="L26" s="522">
        <v>308.43</v>
      </c>
      <c r="M26" s="522">
        <v>510.72</v>
      </c>
      <c r="N26" s="522">
        <v>118.15</v>
      </c>
      <c r="O26" s="522">
        <v>149.07</v>
      </c>
      <c r="P26" s="522">
        <v>100.88</v>
      </c>
      <c r="Q26" s="522">
        <v>97.61</v>
      </c>
      <c r="R26" s="522">
        <v>162.96</v>
      </c>
      <c r="S26" s="522">
        <v>188.8</v>
      </c>
      <c r="T26" s="522">
        <v>83.75</v>
      </c>
      <c r="U26" s="522">
        <v>108.45</v>
      </c>
      <c r="V26" s="522">
        <v>495.96</v>
      </c>
      <c r="W26" s="522">
        <v>265.98</v>
      </c>
      <c r="X26" s="522">
        <v>312.68</v>
      </c>
      <c r="Y26" s="522">
        <v>524.88</v>
      </c>
      <c r="Z26" s="522">
        <v>288.32</v>
      </c>
      <c r="AA26" s="522">
        <v>81.39</v>
      </c>
      <c r="AB26" s="522">
        <v>130.02000000000001</v>
      </c>
      <c r="AC26" s="522">
        <v>92.66</v>
      </c>
      <c r="AD26" s="522">
        <v>131.84</v>
      </c>
      <c r="AE26" s="522">
        <v>39.78</v>
      </c>
      <c r="AF26" s="522">
        <v>245.56</v>
      </c>
      <c r="AG26" s="522">
        <v>95.63</v>
      </c>
      <c r="AH26" s="522">
        <v>6.38</v>
      </c>
      <c r="AI26" s="522">
        <v>73.760000000000005</v>
      </c>
      <c r="AJ26" s="522">
        <v>540.03</v>
      </c>
      <c r="AK26" s="522">
        <v>173</v>
      </c>
      <c r="AL26" s="522">
        <v>197.75</v>
      </c>
      <c r="AM26" s="522">
        <v>331.6</v>
      </c>
      <c r="AN26" s="522">
        <v>269.95999999999998</v>
      </c>
      <c r="AO26" s="522">
        <v>14.26</v>
      </c>
    </row>
    <row r="27" spans="1:41">
      <c r="A27" s="147">
        <v>25</v>
      </c>
      <c r="B27" s="521">
        <v>44890</v>
      </c>
      <c r="C27" s="522">
        <v>156.96</v>
      </c>
      <c r="D27" s="522">
        <v>106.96</v>
      </c>
      <c r="E27" s="522">
        <v>167.09</v>
      </c>
      <c r="F27" s="522">
        <v>128.49</v>
      </c>
      <c r="G27" s="522">
        <v>61.86</v>
      </c>
      <c r="H27" s="522">
        <v>309.91000000000003</v>
      </c>
      <c r="I27" s="522">
        <v>72.73</v>
      </c>
      <c r="J27" s="522">
        <v>79.239999999999995</v>
      </c>
      <c r="K27" s="522">
        <v>148.52000000000001</v>
      </c>
      <c r="L27" s="522">
        <v>311.08</v>
      </c>
      <c r="M27" s="522">
        <v>516.91999999999996</v>
      </c>
      <c r="N27" s="522">
        <v>118.47</v>
      </c>
      <c r="O27" s="522">
        <v>149.06</v>
      </c>
      <c r="P27" s="522">
        <v>102.59</v>
      </c>
      <c r="Q27" s="522">
        <v>98.69</v>
      </c>
      <c r="R27" s="522">
        <v>161.91</v>
      </c>
      <c r="S27" s="522">
        <v>191.42</v>
      </c>
      <c r="T27" s="522">
        <v>84.91</v>
      </c>
      <c r="U27" s="522">
        <v>107.5</v>
      </c>
      <c r="V27" s="522">
        <v>512.26</v>
      </c>
      <c r="W27" s="522">
        <v>268.43</v>
      </c>
      <c r="X27" s="522">
        <v>317.77</v>
      </c>
      <c r="Y27" s="522">
        <v>527.83000000000004</v>
      </c>
      <c r="Z27" s="522">
        <v>293.99</v>
      </c>
      <c r="AA27" s="522">
        <v>82.72</v>
      </c>
      <c r="AB27" s="522">
        <v>131.57</v>
      </c>
      <c r="AC27" s="522">
        <v>92.92</v>
      </c>
      <c r="AD27" s="522">
        <v>133.72</v>
      </c>
      <c r="AE27" s="522">
        <v>39.99</v>
      </c>
      <c r="AF27" s="522">
        <v>249.52</v>
      </c>
      <c r="AG27" s="522">
        <v>95.38</v>
      </c>
      <c r="AH27" s="522">
        <v>6.49</v>
      </c>
      <c r="AI27" s="522">
        <v>74.239999999999995</v>
      </c>
      <c r="AJ27" s="522">
        <v>551.25</v>
      </c>
      <c r="AK27" s="522">
        <v>177.07</v>
      </c>
      <c r="AL27" s="522">
        <v>198.87</v>
      </c>
      <c r="AM27" s="522">
        <v>338.03</v>
      </c>
      <c r="AN27" s="522">
        <v>278.74</v>
      </c>
      <c r="AO27" s="522">
        <v>14.29</v>
      </c>
    </row>
    <row r="28" spans="1:41">
      <c r="A28" s="147">
        <v>26</v>
      </c>
      <c r="B28" s="521">
        <v>44888</v>
      </c>
      <c r="C28" s="522">
        <v>155.35</v>
      </c>
      <c r="D28" s="522">
        <v>106.02</v>
      </c>
      <c r="E28" s="522">
        <v>169.2</v>
      </c>
      <c r="F28" s="522">
        <v>127.04</v>
      </c>
      <c r="G28" s="522">
        <v>61.53</v>
      </c>
      <c r="H28" s="522">
        <v>308.14999999999998</v>
      </c>
      <c r="I28" s="522">
        <v>72.569999999999993</v>
      </c>
      <c r="J28" s="522">
        <v>79.14</v>
      </c>
      <c r="K28" s="522">
        <v>148.43</v>
      </c>
      <c r="L28" s="522">
        <v>305.63</v>
      </c>
      <c r="M28" s="522">
        <v>513.1</v>
      </c>
      <c r="N28" s="522">
        <v>118.31</v>
      </c>
      <c r="O28" s="522">
        <v>148.46</v>
      </c>
      <c r="P28" s="522">
        <v>101.26</v>
      </c>
      <c r="Q28" s="522">
        <v>97.99</v>
      </c>
      <c r="R28" s="522">
        <v>160.41</v>
      </c>
      <c r="S28" s="522">
        <v>190.06</v>
      </c>
      <c r="T28" s="522">
        <v>86.11</v>
      </c>
      <c r="U28" s="522">
        <v>106.82</v>
      </c>
      <c r="V28" s="522">
        <v>508.75</v>
      </c>
      <c r="W28" s="522">
        <v>266</v>
      </c>
      <c r="X28" s="522">
        <v>314.7</v>
      </c>
      <c r="Y28" s="522">
        <v>522.34</v>
      </c>
      <c r="Z28" s="522">
        <v>297.02999999999997</v>
      </c>
      <c r="AA28" s="522">
        <v>82.56</v>
      </c>
      <c r="AB28" s="522">
        <v>131.09</v>
      </c>
      <c r="AC28" s="522">
        <v>93.86</v>
      </c>
      <c r="AD28" s="522">
        <v>131.9</v>
      </c>
      <c r="AE28" s="522">
        <v>39.72</v>
      </c>
      <c r="AF28" s="522">
        <v>250</v>
      </c>
      <c r="AG28" s="522">
        <v>94.49</v>
      </c>
      <c r="AH28" s="522">
        <v>6.5</v>
      </c>
      <c r="AI28" s="522">
        <v>74.23</v>
      </c>
      <c r="AJ28" s="522">
        <v>547.29</v>
      </c>
      <c r="AK28" s="522">
        <v>178.98</v>
      </c>
      <c r="AL28" s="522">
        <v>199.31</v>
      </c>
      <c r="AM28" s="522">
        <v>334.57</v>
      </c>
      <c r="AN28" s="522">
        <v>279.01</v>
      </c>
      <c r="AO28" s="522">
        <v>14.18</v>
      </c>
    </row>
    <row r="29" spans="1:41">
      <c r="A29" s="147">
        <v>27</v>
      </c>
      <c r="B29" s="521">
        <v>44887</v>
      </c>
      <c r="C29" s="522">
        <v>156.86000000000001</v>
      </c>
      <c r="D29" s="522">
        <v>104.87</v>
      </c>
      <c r="E29" s="522">
        <v>168.43</v>
      </c>
      <c r="F29" s="522">
        <v>127.18</v>
      </c>
      <c r="G29" s="522">
        <v>61.9</v>
      </c>
      <c r="H29" s="522">
        <v>309.16000000000003</v>
      </c>
      <c r="I29" s="522">
        <v>72.239999999999995</v>
      </c>
      <c r="J29" s="522">
        <v>78.86</v>
      </c>
      <c r="K29" s="522">
        <v>148.36000000000001</v>
      </c>
      <c r="L29" s="522">
        <v>307.38</v>
      </c>
      <c r="M29" s="522">
        <v>508.13</v>
      </c>
      <c r="N29" s="522">
        <v>117.61</v>
      </c>
      <c r="O29" s="522">
        <v>146.69999999999999</v>
      </c>
      <c r="P29" s="522">
        <v>100.68</v>
      </c>
      <c r="Q29" s="522">
        <v>97.94</v>
      </c>
      <c r="R29" s="522">
        <v>161.38</v>
      </c>
      <c r="S29" s="522">
        <v>188.94</v>
      </c>
      <c r="T29" s="522">
        <v>86.12</v>
      </c>
      <c r="U29" s="522">
        <v>106.9</v>
      </c>
      <c r="V29" s="522">
        <v>502.67</v>
      </c>
      <c r="W29" s="522">
        <v>265.06</v>
      </c>
      <c r="X29" s="522">
        <v>313.39</v>
      </c>
      <c r="Y29" s="522">
        <v>524.65</v>
      </c>
      <c r="Z29" s="522">
        <v>295.89999999999998</v>
      </c>
      <c r="AA29" s="522">
        <v>82.12</v>
      </c>
      <c r="AB29" s="522">
        <v>130.09</v>
      </c>
      <c r="AC29" s="522">
        <v>93.83</v>
      </c>
      <c r="AD29" s="522">
        <v>132.74</v>
      </c>
      <c r="AE29" s="522">
        <v>39.54</v>
      </c>
      <c r="AF29" s="522">
        <v>243.45</v>
      </c>
      <c r="AG29" s="522">
        <v>93.99</v>
      </c>
      <c r="AH29" s="522">
        <v>6.49</v>
      </c>
      <c r="AI29" s="522">
        <v>73.58</v>
      </c>
      <c r="AJ29" s="522">
        <v>544.75</v>
      </c>
      <c r="AK29" s="522">
        <v>177.22</v>
      </c>
      <c r="AL29" s="522">
        <v>197.66</v>
      </c>
      <c r="AM29" s="522">
        <v>336.97</v>
      </c>
      <c r="AN29" s="522">
        <v>279.33999999999997</v>
      </c>
      <c r="AO29" s="522">
        <v>14.12</v>
      </c>
    </row>
    <row r="30" spans="1:41">
      <c r="A30" s="147">
        <v>28</v>
      </c>
      <c r="B30" s="521">
        <v>44886</v>
      </c>
      <c r="C30" s="522">
        <v>145.13999999999999</v>
      </c>
      <c r="D30" s="522">
        <v>103.88</v>
      </c>
      <c r="E30" s="522">
        <v>159.24</v>
      </c>
      <c r="F30" s="522">
        <v>126.5</v>
      </c>
      <c r="G30" s="522">
        <v>61.4</v>
      </c>
      <c r="H30" s="522">
        <v>296.41000000000003</v>
      </c>
      <c r="I30" s="522">
        <v>70.47</v>
      </c>
      <c r="J30" s="522">
        <v>78.959999999999994</v>
      </c>
      <c r="K30" s="522">
        <v>147.1</v>
      </c>
      <c r="L30" s="522">
        <v>306.87</v>
      </c>
      <c r="M30" s="522">
        <v>505.2</v>
      </c>
      <c r="N30" s="522">
        <v>118.39</v>
      </c>
      <c r="O30" s="522">
        <v>146.5</v>
      </c>
      <c r="P30" s="522">
        <v>101.59</v>
      </c>
      <c r="Q30" s="522">
        <v>95.87</v>
      </c>
      <c r="R30" s="522">
        <v>159.59</v>
      </c>
      <c r="S30" s="522">
        <v>188.81</v>
      </c>
      <c r="T30" s="522">
        <v>85.15</v>
      </c>
      <c r="U30" s="522">
        <v>105.61</v>
      </c>
      <c r="V30" s="522">
        <v>493.37</v>
      </c>
      <c r="W30" s="522">
        <v>262.38</v>
      </c>
      <c r="X30" s="522">
        <v>313.24</v>
      </c>
      <c r="Y30" s="522">
        <v>527.87</v>
      </c>
      <c r="Z30" s="522">
        <v>298.60000000000002</v>
      </c>
      <c r="AA30" s="522">
        <v>79.819999999999993</v>
      </c>
      <c r="AB30" s="522">
        <v>129.81</v>
      </c>
      <c r="AC30" s="522">
        <v>92.47</v>
      </c>
      <c r="AD30" s="522">
        <v>130.59</v>
      </c>
      <c r="AE30" s="522">
        <v>42.12</v>
      </c>
      <c r="AF30" s="522">
        <v>239.26</v>
      </c>
      <c r="AG30" s="522">
        <v>92.47</v>
      </c>
      <c r="AH30" s="522">
        <v>6.43</v>
      </c>
      <c r="AI30" s="522">
        <v>72.819999999999993</v>
      </c>
      <c r="AJ30" s="522">
        <v>536.28</v>
      </c>
      <c r="AK30" s="522">
        <v>172.4</v>
      </c>
      <c r="AL30" s="522">
        <v>195.51</v>
      </c>
      <c r="AM30" s="522">
        <v>322.89</v>
      </c>
      <c r="AN30" s="522">
        <v>276.36</v>
      </c>
      <c r="AO30" s="522">
        <v>13.95</v>
      </c>
    </row>
    <row r="31" spans="1:41">
      <c r="A31" s="147">
        <v>29</v>
      </c>
      <c r="B31" s="521">
        <v>44883</v>
      </c>
      <c r="C31" s="522">
        <v>146.19</v>
      </c>
      <c r="D31" s="522">
        <v>103.87</v>
      </c>
      <c r="E31" s="522">
        <v>161.85</v>
      </c>
      <c r="F31" s="522">
        <v>124.95</v>
      </c>
      <c r="G31" s="522">
        <v>61.28</v>
      </c>
      <c r="H31" s="522">
        <v>296.48</v>
      </c>
      <c r="I31" s="522">
        <v>69.790000000000006</v>
      </c>
      <c r="J31" s="522">
        <v>77.45</v>
      </c>
      <c r="K31" s="522">
        <v>144.6</v>
      </c>
      <c r="L31" s="522">
        <v>303.76</v>
      </c>
      <c r="M31" s="522">
        <v>503.65</v>
      </c>
      <c r="N31" s="522">
        <v>122.6</v>
      </c>
      <c r="O31" s="522">
        <v>146.41999999999999</v>
      </c>
      <c r="P31" s="522">
        <v>102.08</v>
      </c>
      <c r="Q31" s="522">
        <v>95.34</v>
      </c>
      <c r="R31" s="522">
        <v>156.32</v>
      </c>
      <c r="S31" s="522">
        <v>186.96</v>
      </c>
      <c r="T31" s="522">
        <v>83.76</v>
      </c>
      <c r="U31" s="522">
        <v>104.23</v>
      </c>
      <c r="V31" s="522">
        <v>490.31</v>
      </c>
      <c r="W31" s="522">
        <v>262.94</v>
      </c>
      <c r="X31" s="522">
        <v>308.54000000000002</v>
      </c>
      <c r="Y31" s="522">
        <v>520.41999999999996</v>
      </c>
      <c r="Z31" s="522">
        <v>298.33999999999997</v>
      </c>
      <c r="AA31" s="522">
        <v>79.73</v>
      </c>
      <c r="AB31" s="522">
        <v>128.36000000000001</v>
      </c>
      <c r="AC31" s="522">
        <v>88.95</v>
      </c>
      <c r="AD31" s="522">
        <v>130.25</v>
      </c>
      <c r="AE31" s="522">
        <v>42.46</v>
      </c>
      <c r="AF31" s="522">
        <v>240.04</v>
      </c>
      <c r="AG31" s="522">
        <v>93.01</v>
      </c>
      <c r="AH31" s="522">
        <v>6.39</v>
      </c>
      <c r="AI31" s="522">
        <v>72.73</v>
      </c>
      <c r="AJ31" s="522">
        <v>535.24</v>
      </c>
      <c r="AK31" s="522">
        <v>175.18</v>
      </c>
      <c r="AL31" s="522">
        <v>194.25</v>
      </c>
      <c r="AM31" s="522">
        <v>321.16000000000003</v>
      </c>
      <c r="AN31" s="522">
        <v>275.3</v>
      </c>
      <c r="AO31" s="522">
        <v>13.89</v>
      </c>
    </row>
    <row r="32" spans="1:41">
      <c r="A32" s="147">
        <v>30</v>
      </c>
      <c r="B32" s="521">
        <v>44882</v>
      </c>
      <c r="C32" s="522">
        <v>144.44</v>
      </c>
      <c r="D32" s="522">
        <v>102.56</v>
      </c>
      <c r="E32" s="522">
        <v>161.47</v>
      </c>
      <c r="F32" s="522">
        <v>123.46</v>
      </c>
      <c r="G32" s="522">
        <v>60.1</v>
      </c>
      <c r="H32" s="522">
        <v>293.3</v>
      </c>
      <c r="I32" s="522">
        <v>68.89</v>
      </c>
      <c r="J32" s="522">
        <v>77.16</v>
      </c>
      <c r="K32" s="522">
        <v>142.57</v>
      </c>
      <c r="L32" s="522">
        <v>305.16000000000003</v>
      </c>
      <c r="M32" s="522">
        <v>495.33</v>
      </c>
      <c r="N32" s="522">
        <v>120.07</v>
      </c>
      <c r="O32" s="522">
        <v>145.96</v>
      </c>
      <c r="P32" s="522">
        <v>101.16</v>
      </c>
      <c r="Q32" s="522">
        <v>94</v>
      </c>
      <c r="R32" s="522">
        <v>156.59</v>
      </c>
      <c r="S32" s="522">
        <v>183.1</v>
      </c>
      <c r="T32" s="522">
        <v>83.12</v>
      </c>
      <c r="U32" s="522">
        <v>102.31</v>
      </c>
      <c r="V32" s="522">
        <v>491.09</v>
      </c>
      <c r="W32" s="522">
        <v>255.51</v>
      </c>
      <c r="X32" s="522">
        <v>308.55</v>
      </c>
      <c r="Y32" s="522">
        <v>518.85</v>
      </c>
      <c r="Z32" s="522">
        <v>298.77</v>
      </c>
      <c r="AA32" s="522">
        <v>79.2</v>
      </c>
      <c r="AB32" s="522">
        <v>128.02000000000001</v>
      </c>
      <c r="AC32" s="522">
        <v>89.61</v>
      </c>
      <c r="AD32" s="522">
        <v>130.19999999999999</v>
      </c>
      <c r="AE32" s="522">
        <v>41.84</v>
      </c>
      <c r="AF32" s="522">
        <v>237.11</v>
      </c>
      <c r="AG32" s="522">
        <v>92.15</v>
      </c>
      <c r="AH32" s="522">
        <v>6.36</v>
      </c>
      <c r="AI32" s="522">
        <v>72.209999999999994</v>
      </c>
      <c r="AJ32" s="522">
        <v>529.89</v>
      </c>
      <c r="AK32" s="522">
        <v>175.36</v>
      </c>
      <c r="AL32" s="522">
        <v>195.55</v>
      </c>
      <c r="AM32" s="522">
        <v>319.81</v>
      </c>
      <c r="AN32" s="522">
        <v>274.17</v>
      </c>
      <c r="AO32" s="522">
        <v>13.93</v>
      </c>
    </row>
    <row r="33" spans="1:41">
      <c r="A33" s="147">
        <v>31</v>
      </c>
      <c r="B33" s="521">
        <v>44881</v>
      </c>
      <c r="C33" s="522">
        <v>147.12</v>
      </c>
      <c r="D33" s="522">
        <v>103.61</v>
      </c>
      <c r="E33" s="522">
        <v>161.27000000000001</v>
      </c>
      <c r="F33" s="522">
        <v>125.76</v>
      </c>
      <c r="G33" s="522">
        <v>59.8</v>
      </c>
      <c r="H33" s="522">
        <v>295.12</v>
      </c>
      <c r="I33" s="522">
        <v>69.56</v>
      </c>
      <c r="J33" s="522">
        <v>76.150000000000006</v>
      </c>
      <c r="K33" s="522">
        <v>142.96</v>
      </c>
      <c r="L33" s="522">
        <v>299.68</v>
      </c>
      <c r="M33" s="522">
        <v>497.96</v>
      </c>
      <c r="N33" s="522">
        <v>118.71</v>
      </c>
      <c r="O33" s="522">
        <v>149.27000000000001</v>
      </c>
      <c r="P33" s="522">
        <v>101.48</v>
      </c>
      <c r="Q33" s="522">
        <v>93.99</v>
      </c>
      <c r="R33" s="522">
        <v>156.08000000000001</v>
      </c>
      <c r="S33" s="522">
        <v>180.64</v>
      </c>
      <c r="T33" s="522">
        <v>83.65</v>
      </c>
      <c r="U33" s="522">
        <v>99.93</v>
      </c>
      <c r="V33" s="522">
        <v>507.21</v>
      </c>
      <c r="W33" s="522">
        <v>255.76</v>
      </c>
      <c r="X33" s="522">
        <v>304.58</v>
      </c>
      <c r="Y33" s="522">
        <v>505.13</v>
      </c>
      <c r="Z33" s="522">
        <v>307.17</v>
      </c>
      <c r="AA33" s="522">
        <v>79.89</v>
      </c>
      <c r="AB33" s="522">
        <v>125.91</v>
      </c>
      <c r="AC33" s="522">
        <v>89.57</v>
      </c>
      <c r="AD33" s="522">
        <v>129.35</v>
      </c>
      <c r="AE33" s="522">
        <v>42.03</v>
      </c>
      <c r="AF33" s="522">
        <v>240.81</v>
      </c>
      <c r="AG33" s="522">
        <v>91.62</v>
      </c>
      <c r="AH33" s="522">
        <v>6.48</v>
      </c>
      <c r="AI33" s="522">
        <v>71.510000000000005</v>
      </c>
      <c r="AJ33" s="522">
        <v>536.01</v>
      </c>
      <c r="AK33" s="522">
        <v>173.46</v>
      </c>
      <c r="AL33" s="522">
        <v>197.55</v>
      </c>
      <c r="AM33" s="522">
        <v>329.53</v>
      </c>
      <c r="AN33" s="522">
        <v>276.24</v>
      </c>
      <c r="AO33" s="522">
        <v>13.84</v>
      </c>
    </row>
    <row r="34" spans="1:41">
      <c r="A34" s="147">
        <v>32</v>
      </c>
      <c r="B34" s="521">
        <v>44880</v>
      </c>
      <c r="C34" s="522">
        <v>148</v>
      </c>
      <c r="D34" s="522">
        <v>103.14</v>
      </c>
      <c r="E34" s="522">
        <v>165.17</v>
      </c>
      <c r="F34" s="522">
        <v>124.62</v>
      </c>
      <c r="G34" s="522">
        <v>60.39</v>
      </c>
      <c r="H34" s="522">
        <v>294.54000000000002</v>
      </c>
      <c r="I34" s="522">
        <v>69.25</v>
      </c>
      <c r="J34" s="522">
        <v>76.28</v>
      </c>
      <c r="K34" s="522">
        <v>142.6</v>
      </c>
      <c r="L34" s="522">
        <v>289.73</v>
      </c>
      <c r="M34" s="522">
        <v>496.68</v>
      </c>
      <c r="N34" s="522">
        <v>117.59</v>
      </c>
      <c r="O34" s="522">
        <v>147.94</v>
      </c>
      <c r="P34" s="522">
        <v>101.2</v>
      </c>
      <c r="Q34" s="522">
        <v>94.42</v>
      </c>
      <c r="R34" s="522">
        <v>151.55000000000001</v>
      </c>
      <c r="S34" s="522">
        <v>181.2</v>
      </c>
      <c r="T34" s="522">
        <v>83.65</v>
      </c>
      <c r="U34" s="522">
        <v>99.6</v>
      </c>
      <c r="V34" s="522">
        <v>503.02</v>
      </c>
      <c r="W34" s="522">
        <v>250.41</v>
      </c>
      <c r="X34" s="522">
        <v>303.93</v>
      </c>
      <c r="Y34" s="522">
        <v>500.72</v>
      </c>
      <c r="Z34" s="522">
        <v>318.08999999999997</v>
      </c>
      <c r="AA34" s="522">
        <v>79.180000000000007</v>
      </c>
      <c r="AB34" s="522">
        <v>123.06</v>
      </c>
      <c r="AC34" s="522">
        <v>86.89</v>
      </c>
      <c r="AD34" s="522">
        <v>128.22999999999999</v>
      </c>
      <c r="AE34" s="522">
        <v>41.47</v>
      </c>
      <c r="AF34" s="522">
        <v>240.59</v>
      </c>
      <c r="AG34" s="522">
        <v>91.66</v>
      </c>
      <c r="AH34" s="522">
        <v>6.47</v>
      </c>
      <c r="AI34" s="522">
        <v>72.17</v>
      </c>
      <c r="AJ34" s="522">
        <v>546.09</v>
      </c>
      <c r="AK34" s="522">
        <v>177.57</v>
      </c>
      <c r="AL34" s="522">
        <v>195.53</v>
      </c>
      <c r="AM34" s="522">
        <v>329.79</v>
      </c>
      <c r="AN34" s="522">
        <v>283.23</v>
      </c>
      <c r="AO34" s="522">
        <v>14.07</v>
      </c>
    </row>
    <row r="35" spans="1:41">
      <c r="A35" s="147">
        <v>33</v>
      </c>
      <c r="B35" s="521">
        <v>44879</v>
      </c>
      <c r="C35" s="522">
        <v>146.38</v>
      </c>
      <c r="D35" s="522">
        <v>102.01</v>
      </c>
      <c r="E35" s="522">
        <v>161.26</v>
      </c>
      <c r="F35" s="522">
        <v>124.76</v>
      </c>
      <c r="G35" s="522">
        <v>59.51</v>
      </c>
      <c r="H35" s="522">
        <v>294.89</v>
      </c>
      <c r="I35" s="522">
        <v>68.88</v>
      </c>
      <c r="J35" s="522">
        <v>76.39</v>
      </c>
      <c r="K35" s="522">
        <v>141.32</v>
      </c>
      <c r="L35" s="522">
        <v>289.23</v>
      </c>
      <c r="M35" s="522">
        <v>490.36</v>
      </c>
      <c r="N35" s="522">
        <v>115.37</v>
      </c>
      <c r="O35" s="522">
        <v>150.38</v>
      </c>
      <c r="P35" s="522">
        <v>100.92</v>
      </c>
      <c r="Q35" s="522">
        <v>92.84</v>
      </c>
      <c r="R35" s="522">
        <v>137.97</v>
      </c>
      <c r="S35" s="522">
        <v>177.43</v>
      </c>
      <c r="T35" s="522">
        <v>82.75</v>
      </c>
      <c r="U35" s="522">
        <v>100.35</v>
      </c>
      <c r="V35" s="522">
        <v>492.24</v>
      </c>
      <c r="W35" s="522">
        <v>250.95</v>
      </c>
      <c r="X35" s="522">
        <v>304.83</v>
      </c>
      <c r="Y35" s="522">
        <v>481.74</v>
      </c>
      <c r="Z35" s="522">
        <v>314.27</v>
      </c>
      <c r="AA35" s="522">
        <v>78.53</v>
      </c>
      <c r="AB35" s="522">
        <v>122.98</v>
      </c>
      <c r="AC35" s="522">
        <v>85.95</v>
      </c>
      <c r="AD35" s="522">
        <v>127.14</v>
      </c>
      <c r="AE35" s="522">
        <v>41.88</v>
      </c>
      <c r="AF35" s="522">
        <v>234.08</v>
      </c>
      <c r="AG35" s="522">
        <v>93.11</v>
      </c>
      <c r="AH35" s="522">
        <v>6.42</v>
      </c>
      <c r="AI35" s="522">
        <v>71.430000000000007</v>
      </c>
      <c r="AJ35" s="522">
        <v>534.77</v>
      </c>
      <c r="AK35" s="522">
        <v>177.44</v>
      </c>
      <c r="AL35" s="522">
        <v>190.45</v>
      </c>
      <c r="AM35" s="522">
        <v>325.88</v>
      </c>
      <c r="AN35" s="522">
        <v>280.08999999999997</v>
      </c>
      <c r="AO35" s="522">
        <v>13.76</v>
      </c>
    </row>
    <row r="36" spans="1:41">
      <c r="A36" s="147">
        <v>34</v>
      </c>
      <c r="B36" s="521">
        <v>44876</v>
      </c>
      <c r="C36" s="522">
        <v>148.31</v>
      </c>
      <c r="D36" s="522">
        <v>104.09</v>
      </c>
      <c r="E36" s="522">
        <v>164.06</v>
      </c>
      <c r="F36" s="522">
        <v>128.15</v>
      </c>
      <c r="G36" s="522">
        <v>60</v>
      </c>
      <c r="H36" s="522">
        <v>288.45999999999998</v>
      </c>
      <c r="I36" s="522">
        <v>69.64</v>
      </c>
      <c r="J36" s="522">
        <v>75.959999999999994</v>
      </c>
      <c r="K36" s="522">
        <v>139.99</v>
      </c>
      <c r="L36" s="522">
        <v>289.12</v>
      </c>
      <c r="M36" s="522">
        <v>490.03</v>
      </c>
      <c r="N36" s="522">
        <v>115.16</v>
      </c>
      <c r="O36" s="522">
        <v>151.03</v>
      </c>
      <c r="P36" s="522">
        <v>101.24</v>
      </c>
      <c r="Q36" s="522">
        <v>92.56</v>
      </c>
      <c r="R36" s="522">
        <v>140.63</v>
      </c>
      <c r="S36" s="522">
        <v>174.49</v>
      </c>
      <c r="T36" s="522">
        <v>83.77</v>
      </c>
      <c r="U36" s="522">
        <v>97.96</v>
      </c>
      <c r="V36" s="522">
        <v>512.37</v>
      </c>
      <c r="W36" s="522">
        <v>249.53</v>
      </c>
      <c r="X36" s="522">
        <v>304.68</v>
      </c>
      <c r="Y36" s="522">
        <v>492.7</v>
      </c>
      <c r="Z36" s="522">
        <v>314.11</v>
      </c>
      <c r="AA36" s="522">
        <v>77.739999999999995</v>
      </c>
      <c r="AB36" s="522">
        <v>126.23</v>
      </c>
      <c r="AC36" s="522">
        <v>86.19</v>
      </c>
      <c r="AD36" s="522">
        <v>126.18</v>
      </c>
      <c r="AE36" s="522">
        <v>41.59</v>
      </c>
      <c r="AF36" s="522">
        <v>237.24</v>
      </c>
      <c r="AG36" s="522">
        <v>91.33</v>
      </c>
      <c r="AH36" s="522">
        <v>6.44</v>
      </c>
      <c r="AI36" s="522">
        <v>72.430000000000007</v>
      </c>
      <c r="AJ36" s="522">
        <v>538.67999999999995</v>
      </c>
      <c r="AK36" s="522">
        <v>179.49</v>
      </c>
      <c r="AL36" s="522">
        <v>192.39</v>
      </c>
      <c r="AM36" s="522">
        <v>331.85</v>
      </c>
      <c r="AN36" s="522">
        <v>277.88</v>
      </c>
      <c r="AO36" s="522">
        <v>13.85</v>
      </c>
    </row>
    <row r="37" spans="1:41">
      <c r="A37" s="147">
        <v>35</v>
      </c>
      <c r="B37" s="521">
        <v>44875</v>
      </c>
      <c r="C37" s="522">
        <v>146.30000000000001</v>
      </c>
      <c r="D37" s="522">
        <v>104.23</v>
      </c>
      <c r="E37" s="522">
        <v>160.37</v>
      </c>
      <c r="F37" s="522">
        <v>126.66</v>
      </c>
      <c r="G37" s="522">
        <v>59.28</v>
      </c>
      <c r="H37" s="522">
        <v>289.58999999999997</v>
      </c>
      <c r="I37" s="522">
        <v>69.84</v>
      </c>
      <c r="J37" s="522">
        <v>79.38</v>
      </c>
      <c r="K37" s="522">
        <v>141.24</v>
      </c>
      <c r="L37" s="522">
        <v>301.2</v>
      </c>
      <c r="M37" s="522">
        <v>500.3</v>
      </c>
      <c r="N37" s="522">
        <v>118.36</v>
      </c>
      <c r="O37" s="522">
        <v>152.47999999999999</v>
      </c>
      <c r="P37" s="522">
        <v>103.34</v>
      </c>
      <c r="Q37" s="522">
        <v>94.37</v>
      </c>
      <c r="R37" s="522">
        <v>143.71</v>
      </c>
      <c r="S37" s="522">
        <v>175.75</v>
      </c>
      <c r="T37" s="522">
        <v>81.86</v>
      </c>
      <c r="U37" s="522">
        <v>101.89</v>
      </c>
      <c r="V37" s="522">
        <v>509.7</v>
      </c>
      <c r="W37" s="522">
        <v>259.61</v>
      </c>
      <c r="X37" s="522">
        <v>308.10000000000002</v>
      </c>
      <c r="Y37" s="522">
        <v>531.59</v>
      </c>
      <c r="Z37" s="522">
        <v>305.63</v>
      </c>
      <c r="AA37" s="522">
        <v>77.17</v>
      </c>
      <c r="AB37" s="522">
        <v>129.74</v>
      </c>
      <c r="AC37" s="522">
        <v>89.13</v>
      </c>
      <c r="AD37" s="522">
        <v>131.13999999999999</v>
      </c>
      <c r="AE37" s="522">
        <v>42.02</v>
      </c>
      <c r="AF37" s="522">
        <v>239</v>
      </c>
      <c r="AG37" s="522">
        <v>93.6</v>
      </c>
      <c r="AH37" s="522">
        <v>6.41</v>
      </c>
      <c r="AI37" s="522">
        <v>72.459999999999994</v>
      </c>
      <c r="AJ37" s="522">
        <v>520.58000000000004</v>
      </c>
      <c r="AK37" s="522">
        <v>174.69</v>
      </c>
      <c r="AL37" s="522">
        <v>191.12</v>
      </c>
      <c r="AM37" s="522">
        <v>331.85</v>
      </c>
      <c r="AN37" s="522">
        <v>281.51</v>
      </c>
      <c r="AO37" s="522">
        <v>13.45</v>
      </c>
    </row>
    <row r="38" spans="1:41">
      <c r="A38" s="147">
        <v>36</v>
      </c>
      <c r="B38" s="521">
        <v>44874</v>
      </c>
      <c r="C38" s="522">
        <v>137</v>
      </c>
      <c r="D38" s="522">
        <v>99.46</v>
      </c>
      <c r="E38" s="522">
        <v>148.22999999999999</v>
      </c>
      <c r="F38" s="522">
        <v>122.62</v>
      </c>
      <c r="G38" s="522">
        <v>55.05</v>
      </c>
      <c r="H38" s="522">
        <v>280.13</v>
      </c>
      <c r="I38" s="522">
        <v>66.44</v>
      </c>
      <c r="J38" s="522">
        <v>79.78</v>
      </c>
      <c r="K38" s="522">
        <v>133.74</v>
      </c>
      <c r="L38" s="522">
        <v>298.38</v>
      </c>
      <c r="M38" s="522">
        <v>488.62</v>
      </c>
      <c r="N38" s="522">
        <v>116.23</v>
      </c>
      <c r="O38" s="522">
        <v>145.41999999999999</v>
      </c>
      <c r="P38" s="522">
        <v>96.71</v>
      </c>
      <c r="Q38" s="522">
        <v>92.03</v>
      </c>
      <c r="R38" s="522">
        <v>142.5</v>
      </c>
      <c r="S38" s="522">
        <v>172.52</v>
      </c>
      <c r="T38" s="522">
        <v>79.209999999999994</v>
      </c>
      <c r="U38" s="522">
        <v>101.59</v>
      </c>
      <c r="V38" s="522">
        <v>465.13</v>
      </c>
      <c r="W38" s="522">
        <v>253.62</v>
      </c>
      <c r="X38" s="522">
        <v>297.18</v>
      </c>
      <c r="Y38" s="522">
        <v>533.14</v>
      </c>
      <c r="Z38" s="522">
        <v>281.86</v>
      </c>
      <c r="AA38" s="522">
        <v>75.66</v>
      </c>
      <c r="AB38" s="522">
        <v>127.7</v>
      </c>
      <c r="AC38" s="522">
        <v>88.88</v>
      </c>
      <c r="AD38" s="522">
        <v>129.69</v>
      </c>
      <c r="AE38" s="522">
        <v>41.55</v>
      </c>
      <c r="AF38" s="522">
        <v>222</v>
      </c>
      <c r="AG38" s="522">
        <v>91.56</v>
      </c>
      <c r="AH38" s="522">
        <v>6.32</v>
      </c>
      <c r="AI38" s="522">
        <v>67.75</v>
      </c>
      <c r="AJ38" s="522">
        <v>484.71</v>
      </c>
      <c r="AK38" s="522">
        <v>164.99</v>
      </c>
      <c r="AL38" s="522">
        <v>178.32</v>
      </c>
      <c r="AM38" s="522">
        <v>309.52</v>
      </c>
      <c r="AN38" s="522">
        <v>254.01</v>
      </c>
      <c r="AO38" s="522">
        <v>12.68</v>
      </c>
    </row>
    <row r="39" spans="1:41">
      <c r="A39" s="147">
        <v>37</v>
      </c>
      <c r="B39" s="521">
        <v>44873</v>
      </c>
      <c r="C39" s="522">
        <v>138.75</v>
      </c>
      <c r="D39" s="522">
        <v>99.64</v>
      </c>
      <c r="E39" s="522">
        <v>151.04</v>
      </c>
      <c r="F39" s="522">
        <v>123</v>
      </c>
      <c r="G39" s="522">
        <v>55.97</v>
      </c>
      <c r="H39" s="522">
        <v>283</v>
      </c>
      <c r="I39" s="522">
        <v>66.989999999999995</v>
      </c>
      <c r="J39" s="522">
        <v>79.98</v>
      </c>
      <c r="K39" s="522">
        <v>136.49</v>
      </c>
      <c r="L39" s="522">
        <v>302.45</v>
      </c>
      <c r="M39" s="522">
        <v>489.62</v>
      </c>
      <c r="N39" s="522">
        <v>120.31</v>
      </c>
      <c r="O39" s="522">
        <v>145.83000000000001</v>
      </c>
      <c r="P39" s="522">
        <v>98.94</v>
      </c>
      <c r="Q39" s="522">
        <v>93.07</v>
      </c>
      <c r="R39" s="522">
        <v>145.88</v>
      </c>
      <c r="S39" s="522">
        <v>180.94</v>
      </c>
      <c r="T39" s="522">
        <v>80.7</v>
      </c>
      <c r="U39" s="522">
        <v>101.5</v>
      </c>
      <c r="V39" s="522">
        <v>467.9</v>
      </c>
      <c r="W39" s="522">
        <v>256.8</v>
      </c>
      <c r="X39" s="522">
        <v>305.06</v>
      </c>
      <c r="Y39" s="522">
        <v>540.92999999999995</v>
      </c>
      <c r="Z39" s="522">
        <v>290.06</v>
      </c>
      <c r="AA39" s="522">
        <v>75.64</v>
      </c>
      <c r="AB39" s="522">
        <v>129.1</v>
      </c>
      <c r="AC39" s="522">
        <v>89.3</v>
      </c>
      <c r="AD39" s="522">
        <v>130.96</v>
      </c>
      <c r="AE39" s="522">
        <v>42</v>
      </c>
      <c r="AF39" s="522">
        <v>225.42</v>
      </c>
      <c r="AG39" s="522">
        <v>92.97</v>
      </c>
      <c r="AH39" s="522">
        <v>6.36</v>
      </c>
      <c r="AI39" s="522">
        <v>69.180000000000007</v>
      </c>
      <c r="AJ39" s="522">
        <v>492.17</v>
      </c>
      <c r="AK39" s="522">
        <v>168.11</v>
      </c>
      <c r="AL39" s="522">
        <v>180.73</v>
      </c>
      <c r="AM39" s="522">
        <v>312.56</v>
      </c>
      <c r="AN39" s="522">
        <v>262.56</v>
      </c>
      <c r="AO39" s="522">
        <v>12.93</v>
      </c>
    </row>
    <row r="40" spans="1:41">
      <c r="A40" s="147">
        <v>38</v>
      </c>
      <c r="B40" s="521">
        <v>44872</v>
      </c>
      <c r="C40" s="522">
        <v>138.03</v>
      </c>
      <c r="D40" s="522">
        <v>99.5</v>
      </c>
      <c r="E40" s="522">
        <v>148.93</v>
      </c>
      <c r="F40" s="522">
        <v>120.73</v>
      </c>
      <c r="G40" s="522">
        <v>56.91</v>
      </c>
      <c r="H40" s="522">
        <v>277.63</v>
      </c>
      <c r="I40" s="522">
        <v>67.09</v>
      </c>
      <c r="J40" s="522">
        <v>79.19</v>
      </c>
      <c r="K40" s="522">
        <v>135.5</v>
      </c>
      <c r="L40" s="522">
        <v>302.14</v>
      </c>
      <c r="M40" s="522">
        <v>484.24</v>
      </c>
      <c r="N40" s="522">
        <v>122.67</v>
      </c>
      <c r="O40" s="522">
        <v>146.13999999999999</v>
      </c>
      <c r="P40" s="522">
        <v>98.33</v>
      </c>
      <c r="Q40" s="522">
        <v>93.16</v>
      </c>
      <c r="R40" s="522">
        <v>149.85</v>
      </c>
      <c r="S40" s="522">
        <v>181.85</v>
      </c>
      <c r="T40" s="522">
        <v>79.94</v>
      </c>
      <c r="U40" s="522">
        <v>100.07</v>
      </c>
      <c r="V40" s="522">
        <v>462.19</v>
      </c>
      <c r="W40" s="522">
        <v>255.53</v>
      </c>
      <c r="X40" s="522">
        <v>303.01</v>
      </c>
      <c r="Y40" s="522">
        <v>534.77</v>
      </c>
      <c r="Z40" s="522">
        <v>281.98</v>
      </c>
      <c r="AA40" s="522">
        <v>76.739999999999995</v>
      </c>
      <c r="AB40" s="522">
        <v>127.3</v>
      </c>
      <c r="AC40" s="522">
        <v>88.03</v>
      </c>
      <c r="AD40" s="522">
        <v>130.16</v>
      </c>
      <c r="AE40" s="522">
        <v>41.75</v>
      </c>
      <c r="AF40" s="522">
        <v>221.37</v>
      </c>
      <c r="AG40" s="522">
        <v>92.43</v>
      </c>
      <c r="AH40" s="522">
        <v>6.28</v>
      </c>
      <c r="AI40" s="522">
        <v>69.239999999999995</v>
      </c>
      <c r="AJ40" s="522">
        <v>492.1</v>
      </c>
      <c r="AK40" s="522">
        <v>165.69</v>
      </c>
      <c r="AL40" s="522">
        <v>177.88</v>
      </c>
      <c r="AM40" s="522">
        <v>306.47000000000003</v>
      </c>
      <c r="AN40" s="522">
        <v>262.87</v>
      </c>
      <c r="AO40" s="522">
        <v>12.9</v>
      </c>
    </row>
    <row r="41" spans="1:41">
      <c r="A41" s="147">
        <v>39</v>
      </c>
      <c r="B41" s="521">
        <v>44869</v>
      </c>
      <c r="C41" s="522">
        <v>136.08000000000001</v>
      </c>
      <c r="D41" s="522">
        <v>98.07</v>
      </c>
      <c r="E41" s="522">
        <v>144.29</v>
      </c>
      <c r="F41" s="522">
        <v>121.22</v>
      </c>
      <c r="G41" s="522">
        <v>55.98</v>
      </c>
      <c r="H41" s="522">
        <v>276.06</v>
      </c>
      <c r="I41" s="522">
        <v>67.150000000000006</v>
      </c>
      <c r="J41" s="522">
        <v>78.78</v>
      </c>
      <c r="K41" s="522">
        <v>133.44</v>
      </c>
      <c r="L41" s="522">
        <v>295.76</v>
      </c>
      <c r="M41" s="522">
        <v>481.1</v>
      </c>
      <c r="N41" s="522">
        <v>124.83</v>
      </c>
      <c r="O41" s="522">
        <v>143.62</v>
      </c>
      <c r="P41" s="522">
        <v>97.65</v>
      </c>
      <c r="Q41" s="522">
        <v>93.19</v>
      </c>
      <c r="R41" s="522">
        <v>146.96</v>
      </c>
      <c r="S41" s="522">
        <v>180.46</v>
      </c>
      <c r="T41" s="522">
        <v>79.02</v>
      </c>
      <c r="U41" s="522">
        <v>99.2</v>
      </c>
      <c r="V41" s="522">
        <v>460.91</v>
      </c>
      <c r="W41" s="522">
        <v>254.87</v>
      </c>
      <c r="X41" s="522">
        <v>300.04000000000002</v>
      </c>
      <c r="Y41" s="522">
        <v>522.77</v>
      </c>
      <c r="Z41" s="522">
        <v>271.91000000000003</v>
      </c>
      <c r="AA41" s="522">
        <v>76</v>
      </c>
      <c r="AB41" s="522">
        <v>126.62</v>
      </c>
      <c r="AC41" s="522">
        <v>86.44</v>
      </c>
      <c r="AD41" s="522">
        <v>127.55</v>
      </c>
      <c r="AE41" s="522">
        <v>41.91</v>
      </c>
      <c r="AF41" s="522">
        <v>216.23</v>
      </c>
      <c r="AG41" s="522">
        <v>93.17</v>
      </c>
      <c r="AH41" s="522">
        <v>6.16</v>
      </c>
      <c r="AI41" s="522">
        <v>68.36</v>
      </c>
      <c r="AJ41" s="522">
        <v>495.55</v>
      </c>
      <c r="AK41" s="522">
        <v>162.65</v>
      </c>
      <c r="AL41" s="522">
        <v>176.69</v>
      </c>
      <c r="AM41" s="522">
        <v>305.07</v>
      </c>
      <c r="AN41" s="522">
        <v>261.95999999999998</v>
      </c>
      <c r="AO41" s="522">
        <v>12.81</v>
      </c>
    </row>
    <row r="42" spans="1:41">
      <c r="A42" s="147">
        <v>40</v>
      </c>
      <c r="B42" s="521">
        <v>44868</v>
      </c>
      <c r="C42" s="522">
        <v>134.46</v>
      </c>
      <c r="D42" s="522">
        <v>96.45</v>
      </c>
      <c r="E42" s="522">
        <v>138.02000000000001</v>
      </c>
      <c r="F42" s="522">
        <v>123.41</v>
      </c>
      <c r="G42" s="522">
        <v>54.37</v>
      </c>
      <c r="H42" s="522">
        <v>264.02</v>
      </c>
      <c r="I42" s="522">
        <v>66.16</v>
      </c>
      <c r="J42" s="522">
        <v>78.48</v>
      </c>
      <c r="K42" s="522">
        <v>133.91</v>
      </c>
      <c r="L42" s="522">
        <v>301.87</v>
      </c>
      <c r="M42" s="522">
        <v>480.98</v>
      </c>
      <c r="N42" s="522">
        <v>124.28</v>
      </c>
      <c r="O42" s="522">
        <v>142.97999999999999</v>
      </c>
      <c r="P42" s="522">
        <v>96.06</v>
      </c>
      <c r="Q42" s="522">
        <v>91.48</v>
      </c>
      <c r="R42" s="522">
        <v>145.59</v>
      </c>
      <c r="S42" s="522">
        <v>179.62</v>
      </c>
      <c r="T42" s="522">
        <v>76.760000000000005</v>
      </c>
      <c r="U42" s="522">
        <v>98.75</v>
      </c>
      <c r="V42" s="522">
        <v>451.15</v>
      </c>
      <c r="W42" s="522">
        <v>238.18</v>
      </c>
      <c r="X42" s="522">
        <v>289.18</v>
      </c>
      <c r="Y42" s="522">
        <v>525.51</v>
      </c>
      <c r="Z42" s="522">
        <v>263.02999999999997</v>
      </c>
      <c r="AA42" s="522">
        <v>75.03</v>
      </c>
      <c r="AB42" s="522">
        <v>127.32</v>
      </c>
      <c r="AC42" s="522">
        <v>85.97</v>
      </c>
      <c r="AD42" s="522">
        <v>127.97</v>
      </c>
      <c r="AE42" s="522">
        <v>42.29</v>
      </c>
      <c r="AF42" s="522">
        <v>217.19</v>
      </c>
      <c r="AG42" s="522">
        <v>93.5</v>
      </c>
      <c r="AH42" s="522">
        <v>6.09</v>
      </c>
      <c r="AI42" s="522">
        <v>67.22</v>
      </c>
      <c r="AJ42" s="522">
        <v>486.94</v>
      </c>
      <c r="AK42" s="522">
        <v>156.52000000000001</v>
      </c>
      <c r="AL42" s="522">
        <v>180.19</v>
      </c>
      <c r="AM42" s="522">
        <v>298.93</v>
      </c>
      <c r="AN42" s="522">
        <v>261.08</v>
      </c>
      <c r="AO42" s="522">
        <v>12.43</v>
      </c>
    </row>
    <row r="43" spans="1:41">
      <c r="A43" s="147">
        <v>41</v>
      </c>
      <c r="B43" s="521">
        <v>44867</v>
      </c>
      <c r="C43" s="522">
        <v>135.27000000000001</v>
      </c>
      <c r="D43" s="522">
        <v>98.04</v>
      </c>
      <c r="E43" s="522">
        <v>141.24</v>
      </c>
      <c r="F43" s="522">
        <v>131.02000000000001</v>
      </c>
      <c r="G43" s="522">
        <v>53.7</v>
      </c>
      <c r="H43" s="522">
        <v>245.17</v>
      </c>
      <c r="I43" s="522">
        <v>66.44</v>
      </c>
      <c r="J43" s="522">
        <v>77.45</v>
      </c>
      <c r="K43" s="522">
        <v>137.72999999999999</v>
      </c>
      <c r="L43" s="522">
        <v>303.02999999999997</v>
      </c>
      <c r="M43" s="522">
        <v>487.81</v>
      </c>
      <c r="N43" s="522">
        <v>126.12</v>
      </c>
      <c r="O43" s="522">
        <v>140.47999999999999</v>
      </c>
      <c r="P43" s="522">
        <v>94.71</v>
      </c>
      <c r="Q43" s="522">
        <v>87.68</v>
      </c>
      <c r="R43" s="522">
        <v>145.13</v>
      </c>
      <c r="S43" s="522">
        <v>190.64</v>
      </c>
      <c r="T43" s="522">
        <v>77.23</v>
      </c>
      <c r="U43" s="522">
        <v>99.4</v>
      </c>
      <c r="V43" s="522">
        <v>453.74</v>
      </c>
      <c r="W43" s="522">
        <v>239.9</v>
      </c>
      <c r="X43" s="522">
        <v>293.08999999999997</v>
      </c>
      <c r="Y43" s="522">
        <v>530.29999999999995</v>
      </c>
      <c r="Z43" s="522">
        <v>260.39</v>
      </c>
      <c r="AA43" s="522">
        <v>75.12</v>
      </c>
      <c r="AB43" s="522">
        <v>127.73</v>
      </c>
      <c r="AC43" s="522">
        <v>89.05</v>
      </c>
      <c r="AD43" s="522">
        <v>127.93</v>
      </c>
      <c r="AE43" s="522">
        <v>41.87</v>
      </c>
      <c r="AF43" s="522">
        <v>215.73</v>
      </c>
      <c r="AG43" s="522">
        <v>95.32</v>
      </c>
      <c r="AH43" s="522">
        <v>6.07</v>
      </c>
      <c r="AI43" s="522">
        <v>67.400000000000006</v>
      </c>
      <c r="AJ43" s="522">
        <v>490.98</v>
      </c>
      <c r="AK43" s="522">
        <v>158.49</v>
      </c>
      <c r="AL43" s="522">
        <v>186.61</v>
      </c>
      <c r="AM43" s="522">
        <v>295.74</v>
      </c>
      <c r="AN43" s="522">
        <v>266.87</v>
      </c>
      <c r="AO43" s="522">
        <v>13.04</v>
      </c>
    </row>
    <row r="44" spans="1:41">
      <c r="A44" s="147">
        <v>42</v>
      </c>
      <c r="B44" s="521">
        <v>44866</v>
      </c>
      <c r="C44" s="522">
        <v>140.88999999999999</v>
      </c>
      <c r="D44" s="522">
        <v>99.31</v>
      </c>
      <c r="E44" s="522">
        <v>144.69999999999999</v>
      </c>
      <c r="F44" s="522">
        <v>134.69999999999999</v>
      </c>
      <c r="G44" s="522">
        <v>54.6</v>
      </c>
      <c r="H44" s="522">
        <v>252.12</v>
      </c>
      <c r="I44" s="522">
        <v>67.44</v>
      </c>
      <c r="J44" s="522">
        <v>77.7</v>
      </c>
      <c r="K44" s="522">
        <v>149.6</v>
      </c>
      <c r="L44" s="522">
        <v>302.93</v>
      </c>
      <c r="M44" s="522">
        <v>476.93</v>
      </c>
      <c r="N44" s="522">
        <v>128.4</v>
      </c>
      <c r="O44" s="522">
        <v>142.78</v>
      </c>
      <c r="P44" s="522">
        <v>97.29</v>
      </c>
      <c r="Q44" s="522">
        <v>88.72</v>
      </c>
      <c r="R44" s="522">
        <v>146.44999999999999</v>
      </c>
      <c r="S44" s="522">
        <v>201.24</v>
      </c>
      <c r="T44" s="522">
        <v>78.59</v>
      </c>
      <c r="U44" s="522">
        <v>99.76</v>
      </c>
      <c r="V44" s="522">
        <v>470.08</v>
      </c>
      <c r="W44" s="522">
        <v>242.89</v>
      </c>
      <c r="X44" s="522">
        <v>300.27</v>
      </c>
      <c r="Y44" s="522">
        <v>535.88</v>
      </c>
      <c r="Z44" s="522">
        <v>272.87</v>
      </c>
      <c r="AA44" s="522">
        <v>77.11</v>
      </c>
      <c r="AB44" s="522">
        <v>129.02000000000001</v>
      </c>
      <c r="AC44" s="522">
        <v>91.26</v>
      </c>
      <c r="AD44" s="522">
        <v>132.97999999999999</v>
      </c>
      <c r="AE44" s="522">
        <v>42.2</v>
      </c>
      <c r="AF44" s="522">
        <v>224.78</v>
      </c>
      <c r="AG44" s="522">
        <v>95.52</v>
      </c>
      <c r="AH44" s="522">
        <v>6.06</v>
      </c>
      <c r="AI44" s="522">
        <v>70.430000000000007</v>
      </c>
      <c r="AJ44" s="522">
        <v>517.69000000000005</v>
      </c>
      <c r="AK44" s="522">
        <v>162.9</v>
      </c>
      <c r="AL44" s="522">
        <v>196.97</v>
      </c>
      <c r="AM44" s="522">
        <v>307.44</v>
      </c>
      <c r="AN44" s="522">
        <v>272.60000000000002</v>
      </c>
      <c r="AO44" s="522">
        <v>13.63</v>
      </c>
    </row>
    <row r="45" spans="1:41">
      <c r="A45" s="147">
        <v>43</v>
      </c>
      <c r="B45" s="521">
        <v>44865</v>
      </c>
      <c r="C45" s="522">
        <v>138.35</v>
      </c>
      <c r="D45" s="522">
        <v>98.94</v>
      </c>
      <c r="E45" s="522">
        <v>142.62</v>
      </c>
      <c r="F45" s="522">
        <v>135.86000000000001</v>
      </c>
      <c r="G45" s="522">
        <v>54.78</v>
      </c>
      <c r="H45" s="522">
        <v>250.4</v>
      </c>
      <c r="I45" s="522">
        <v>68</v>
      </c>
      <c r="J45" s="522">
        <v>77.47</v>
      </c>
      <c r="K45" s="522">
        <v>150.06</v>
      </c>
      <c r="L45" s="522">
        <v>304.02999999999997</v>
      </c>
      <c r="M45" s="522">
        <v>466.87</v>
      </c>
      <c r="N45" s="522">
        <v>128.91999999999999</v>
      </c>
      <c r="O45" s="522">
        <v>143.65</v>
      </c>
      <c r="P45" s="522">
        <v>95.26</v>
      </c>
      <c r="Q45" s="522">
        <v>89.12</v>
      </c>
      <c r="R45" s="522">
        <v>147.61000000000001</v>
      </c>
      <c r="S45" s="522">
        <v>199.06</v>
      </c>
      <c r="T45" s="522">
        <v>78.64</v>
      </c>
      <c r="U45" s="522">
        <v>101.2</v>
      </c>
      <c r="V45" s="522">
        <v>468.86</v>
      </c>
      <c r="W45" s="522">
        <v>249.71</v>
      </c>
      <c r="X45" s="522">
        <v>304.33999999999997</v>
      </c>
      <c r="Y45" s="522">
        <v>549.01</v>
      </c>
      <c r="Z45" s="522">
        <v>274.60000000000002</v>
      </c>
      <c r="AA45" s="522">
        <v>78.069999999999993</v>
      </c>
      <c r="AB45" s="522">
        <v>128.4</v>
      </c>
      <c r="AC45" s="522">
        <v>90.42</v>
      </c>
      <c r="AD45" s="522">
        <v>130.07</v>
      </c>
      <c r="AE45" s="522">
        <v>42.08</v>
      </c>
      <c r="AF45" s="522">
        <v>225.03</v>
      </c>
      <c r="AG45" s="522">
        <v>98.08</v>
      </c>
      <c r="AH45" s="522">
        <v>6.04</v>
      </c>
      <c r="AI45" s="522">
        <v>71.459999999999994</v>
      </c>
      <c r="AJ45" s="522">
        <v>513.97</v>
      </c>
      <c r="AK45" s="522">
        <v>160.63</v>
      </c>
      <c r="AL45" s="522">
        <v>200.46</v>
      </c>
      <c r="AM45" s="522">
        <v>299.17</v>
      </c>
      <c r="AN45" s="522">
        <v>270.95999999999998</v>
      </c>
      <c r="AO45" s="522">
        <v>13.51</v>
      </c>
    </row>
    <row r="46" spans="1:41">
      <c r="A46" s="147">
        <v>44</v>
      </c>
      <c r="B46" s="521">
        <v>44862</v>
      </c>
      <c r="C46" s="522">
        <v>138.77000000000001</v>
      </c>
      <c r="D46" s="522">
        <v>99.49</v>
      </c>
      <c r="E46" s="522">
        <v>144.88</v>
      </c>
      <c r="F46" s="522">
        <v>134.69</v>
      </c>
      <c r="G46" s="522">
        <v>54.38</v>
      </c>
      <c r="H46" s="522">
        <v>254.44</v>
      </c>
      <c r="I46" s="522">
        <v>68.17</v>
      </c>
      <c r="J46" s="522">
        <v>76.83</v>
      </c>
      <c r="K46" s="522">
        <v>148.9</v>
      </c>
      <c r="L46" s="522">
        <v>303.12</v>
      </c>
      <c r="M46" s="522">
        <v>461.93</v>
      </c>
      <c r="N46" s="522">
        <v>130.02000000000001</v>
      </c>
      <c r="O46" s="522">
        <v>144.59</v>
      </c>
      <c r="P46" s="522">
        <v>94.09</v>
      </c>
      <c r="Q46" s="522">
        <v>88.74</v>
      </c>
      <c r="R46" s="522">
        <v>149.58000000000001</v>
      </c>
      <c r="S46" s="522">
        <v>201.73</v>
      </c>
      <c r="T46" s="522">
        <v>79.2</v>
      </c>
      <c r="U46" s="522">
        <v>100.77</v>
      </c>
      <c r="V46" s="522">
        <v>474.27</v>
      </c>
      <c r="W46" s="522">
        <v>250.12</v>
      </c>
      <c r="X46" s="522">
        <v>303.27999999999997</v>
      </c>
      <c r="Y46" s="522">
        <v>548.11</v>
      </c>
      <c r="Z46" s="522">
        <v>270.60000000000002</v>
      </c>
      <c r="AA46" s="522">
        <v>77.36</v>
      </c>
      <c r="AB46" s="522">
        <v>129.69999999999999</v>
      </c>
      <c r="AC46" s="522">
        <v>90.7</v>
      </c>
      <c r="AD46" s="522">
        <v>128.88999999999999</v>
      </c>
      <c r="AE46" s="522">
        <v>41.87</v>
      </c>
      <c r="AF46" s="522">
        <v>226.23</v>
      </c>
      <c r="AG46" s="522">
        <v>97.06</v>
      </c>
      <c r="AH46" s="522">
        <v>6.17</v>
      </c>
      <c r="AI46" s="522">
        <v>70.77</v>
      </c>
      <c r="AJ46" s="522">
        <v>503.84</v>
      </c>
      <c r="AK46" s="522">
        <v>161.36000000000001</v>
      </c>
      <c r="AL46" s="522">
        <v>203.37</v>
      </c>
      <c r="AM46" s="522">
        <v>302.68</v>
      </c>
      <c r="AN46" s="522">
        <v>271.62</v>
      </c>
      <c r="AO46" s="522">
        <v>13.91</v>
      </c>
    </row>
    <row r="47" spans="1:41">
      <c r="A47" s="147">
        <v>45</v>
      </c>
      <c r="B47" s="521">
        <v>44861</v>
      </c>
      <c r="C47" s="522">
        <v>136.49</v>
      </c>
      <c r="D47" s="522">
        <v>96.93</v>
      </c>
      <c r="E47" s="522">
        <v>140.68</v>
      </c>
      <c r="F47" s="522">
        <v>132.19</v>
      </c>
      <c r="G47" s="522">
        <v>51.9</v>
      </c>
      <c r="H47" s="522">
        <v>249.06</v>
      </c>
      <c r="I47" s="522">
        <v>66.59</v>
      </c>
      <c r="J47" s="522">
        <v>74.599999999999994</v>
      </c>
      <c r="K47" s="522">
        <v>145</v>
      </c>
      <c r="L47" s="522">
        <v>294.89999999999998</v>
      </c>
      <c r="M47" s="522">
        <v>460.51</v>
      </c>
      <c r="N47" s="522">
        <v>127.58</v>
      </c>
      <c r="O47" s="522">
        <v>142.65</v>
      </c>
      <c r="P47" s="522">
        <v>90.8</v>
      </c>
      <c r="Q47" s="522">
        <v>87.44</v>
      </c>
      <c r="R47" s="522">
        <v>145.66</v>
      </c>
      <c r="S47" s="522">
        <v>196.34</v>
      </c>
      <c r="T47" s="522">
        <v>77.62</v>
      </c>
      <c r="U47" s="522">
        <v>99.74</v>
      </c>
      <c r="V47" s="522">
        <v>455.22</v>
      </c>
      <c r="W47" s="522">
        <v>242.18</v>
      </c>
      <c r="X47" s="522">
        <v>296.44</v>
      </c>
      <c r="Y47" s="522">
        <v>535.51</v>
      </c>
      <c r="Z47" s="522">
        <v>264.41000000000003</v>
      </c>
      <c r="AA47" s="522">
        <v>75.150000000000006</v>
      </c>
      <c r="AB47" s="522">
        <v>124.38</v>
      </c>
      <c r="AC47" s="522">
        <v>89.48</v>
      </c>
      <c r="AD47" s="522">
        <v>126.36</v>
      </c>
      <c r="AE47" s="522">
        <v>41.02</v>
      </c>
      <c r="AF47" s="522">
        <v>221.85</v>
      </c>
      <c r="AG47" s="522">
        <v>94.5</v>
      </c>
      <c r="AH47" s="522">
        <v>6.11</v>
      </c>
      <c r="AI47" s="522">
        <v>69.31</v>
      </c>
      <c r="AJ47" s="522">
        <v>498.32</v>
      </c>
      <c r="AK47" s="522">
        <v>156.76</v>
      </c>
      <c r="AL47" s="522">
        <v>185.79</v>
      </c>
      <c r="AM47" s="522">
        <v>300.95999999999998</v>
      </c>
      <c r="AN47" s="522">
        <v>262.67</v>
      </c>
      <c r="AO47" s="522">
        <v>13.86</v>
      </c>
    </row>
    <row r="48" spans="1:41">
      <c r="A48" s="147">
        <v>46</v>
      </c>
      <c r="B48" s="521">
        <v>44860</v>
      </c>
      <c r="C48" s="522">
        <v>137.69</v>
      </c>
      <c r="D48" s="522">
        <v>98.42</v>
      </c>
      <c r="E48" s="522">
        <v>141.38</v>
      </c>
      <c r="F48" s="522">
        <v>136.75</v>
      </c>
      <c r="G48" s="522">
        <v>51.95</v>
      </c>
      <c r="H48" s="522">
        <v>252.02</v>
      </c>
      <c r="I48" s="522">
        <v>66.63</v>
      </c>
      <c r="J48" s="522">
        <v>74.45</v>
      </c>
      <c r="K48" s="522">
        <v>144.33000000000001</v>
      </c>
      <c r="L48" s="522">
        <v>279.62</v>
      </c>
      <c r="M48" s="522">
        <v>467.96</v>
      </c>
      <c r="N48" s="522">
        <v>125.62</v>
      </c>
      <c r="O48" s="522">
        <v>143.51</v>
      </c>
      <c r="P48" s="522">
        <v>90.8</v>
      </c>
      <c r="Q48" s="522">
        <v>86.28</v>
      </c>
      <c r="R48" s="522">
        <v>143.63999999999999</v>
      </c>
      <c r="S48" s="522">
        <v>193.25</v>
      </c>
      <c r="T48" s="522">
        <v>76.400000000000006</v>
      </c>
      <c r="U48" s="522">
        <v>98.41</v>
      </c>
      <c r="V48" s="522">
        <v>451.6</v>
      </c>
      <c r="W48" s="522">
        <v>240.3</v>
      </c>
      <c r="X48" s="522">
        <v>295.10000000000002</v>
      </c>
      <c r="Y48" s="522">
        <v>530.99</v>
      </c>
      <c r="Z48" s="522">
        <v>274.5</v>
      </c>
      <c r="AA48" s="522">
        <v>74.819999999999993</v>
      </c>
      <c r="AB48" s="522">
        <v>122.93</v>
      </c>
      <c r="AC48" s="522">
        <v>88.16</v>
      </c>
      <c r="AD48" s="522">
        <v>123.84</v>
      </c>
      <c r="AE48" s="522">
        <v>39.549999999999997</v>
      </c>
      <c r="AF48" s="522">
        <v>220.88</v>
      </c>
      <c r="AG48" s="522">
        <v>93.26</v>
      </c>
      <c r="AH48" s="522">
        <v>6.23</v>
      </c>
      <c r="AI48" s="522">
        <v>68.58</v>
      </c>
      <c r="AJ48" s="522">
        <v>503</v>
      </c>
      <c r="AK48" s="522">
        <v>157.87</v>
      </c>
      <c r="AL48" s="522">
        <v>184.99</v>
      </c>
      <c r="AM48" s="522">
        <v>301.73</v>
      </c>
      <c r="AN48" s="522">
        <v>261.06</v>
      </c>
      <c r="AO48" s="522">
        <v>13.96</v>
      </c>
    </row>
    <row r="49" spans="1:41">
      <c r="A49" s="147">
        <v>47</v>
      </c>
      <c r="B49" s="521">
        <v>44859</v>
      </c>
      <c r="C49" s="522">
        <v>134.5</v>
      </c>
      <c r="D49" s="522">
        <v>97.95</v>
      </c>
      <c r="E49" s="522">
        <v>146.37</v>
      </c>
      <c r="F49" s="522">
        <v>152.74</v>
      </c>
      <c r="G49" s="522">
        <v>52.1</v>
      </c>
      <c r="H49" s="522">
        <v>251.56</v>
      </c>
      <c r="I49" s="522">
        <v>66.819999999999993</v>
      </c>
      <c r="J49" s="522">
        <v>72.77</v>
      </c>
      <c r="K49" s="522">
        <v>144.38999999999999</v>
      </c>
      <c r="L49" s="522">
        <v>278.37</v>
      </c>
      <c r="M49" s="522">
        <v>457.9</v>
      </c>
      <c r="N49" s="522">
        <v>124.82</v>
      </c>
      <c r="O49" s="522">
        <v>144.05000000000001</v>
      </c>
      <c r="P49" s="522">
        <v>91.74</v>
      </c>
      <c r="Q49" s="522">
        <v>85.89</v>
      </c>
      <c r="R49" s="522">
        <v>142.21</v>
      </c>
      <c r="S49" s="522">
        <v>192.67</v>
      </c>
      <c r="T49" s="522">
        <v>76.13</v>
      </c>
      <c r="U49" s="522">
        <v>97.71</v>
      </c>
      <c r="V49" s="522">
        <v>448.42</v>
      </c>
      <c r="W49" s="522">
        <v>239.68</v>
      </c>
      <c r="X49" s="522">
        <v>294.97000000000003</v>
      </c>
      <c r="Y49" s="522">
        <v>526.75</v>
      </c>
      <c r="Z49" s="522">
        <v>274.02999999999997</v>
      </c>
      <c r="AA49" s="522">
        <v>73.14</v>
      </c>
      <c r="AB49" s="522">
        <v>122.11</v>
      </c>
      <c r="AC49" s="522">
        <v>88.56</v>
      </c>
      <c r="AD49" s="522">
        <v>123.05</v>
      </c>
      <c r="AE49" s="522">
        <v>35.94</v>
      </c>
      <c r="AF49" s="522">
        <v>220.2</v>
      </c>
      <c r="AG49" s="522">
        <v>93.13</v>
      </c>
      <c r="AH49" s="522">
        <v>6.28</v>
      </c>
      <c r="AI49" s="522">
        <v>68.06</v>
      </c>
      <c r="AJ49" s="522">
        <v>514.62</v>
      </c>
      <c r="AK49" s="522">
        <v>162.16</v>
      </c>
      <c r="AL49" s="522">
        <v>187.82</v>
      </c>
      <c r="AM49" s="522">
        <v>296.81</v>
      </c>
      <c r="AN49" s="522">
        <v>260.19</v>
      </c>
      <c r="AO49" s="522">
        <v>13.92</v>
      </c>
    </row>
    <row r="50" spans="1:41">
      <c r="A50" s="147">
        <v>48</v>
      </c>
      <c r="B50" s="521">
        <v>44858</v>
      </c>
      <c r="C50" s="522">
        <v>132.30000000000001</v>
      </c>
      <c r="D50" s="522">
        <v>98.29</v>
      </c>
      <c r="E50" s="522">
        <v>144.53</v>
      </c>
      <c r="F50" s="522">
        <v>150.61000000000001</v>
      </c>
      <c r="G50" s="522">
        <v>50.8</v>
      </c>
      <c r="H50" s="522">
        <v>243.92</v>
      </c>
      <c r="I50" s="522">
        <v>64.47</v>
      </c>
      <c r="J50" s="522">
        <v>72.989999999999995</v>
      </c>
      <c r="K50" s="522">
        <v>142.4</v>
      </c>
      <c r="L50" s="522">
        <v>271.18</v>
      </c>
      <c r="M50" s="522">
        <v>450.71</v>
      </c>
      <c r="N50" s="522">
        <v>120.57</v>
      </c>
      <c r="O50" s="522">
        <v>138.96</v>
      </c>
      <c r="P50" s="522">
        <v>90.67</v>
      </c>
      <c r="Q50" s="522">
        <v>84.25</v>
      </c>
      <c r="R50" s="522">
        <v>142.69</v>
      </c>
      <c r="S50" s="522">
        <v>189.14</v>
      </c>
      <c r="T50" s="522">
        <v>74.5</v>
      </c>
      <c r="U50" s="522">
        <v>97.37</v>
      </c>
      <c r="V50" s="522">
        <v>412.15</v>
      </c>
      <c r="W50" s="522">
        <v>235.05</v>
      </c>
      <c r="X50" s="522">
        <v>311.22000000000003</v>
      </c>
      <c r="Y50" s="522">
        <v>525.96</v>
      </c>
      <c r="Z50" s="522">
        <v>269.22000000000003</v>
      </c>
      <c r="AA50" s="522">
        <v>72.92</v>
      </c>
      <c r="AB50" s="522">
        <v>123.26</v>
      </c>
      <c r="AC50" s="522">
        <v>87.02</v>
      </c>
      <c r="AD50" s="522">
        <v>121.92</v>
      </c>
      <c r="AE50" s="522">
        <v>36.28</v>
      </c>
      <c r="AF50" s="522">
        <v>212.53</v>
      </c>
      <c r="AG50" s="522">
        <v>93.45</v>
      </c>
      <c r="AH50" s="522">
        <v>6.23</v>
      </c>
      <c r="AI50" s="522">
        <v>65.19</v>
      </c>
      <c r="AJ50" s="522">
        <v>505.01</v>
      </c>
      <c r="AK50" s="522">
        <v>161.65</v>
      </c>
      <c r="AL50" s="522">
        <v>182.2</v>
      </c>
      <c r="AM50" s="522">
        <v>287.41000000000003</v>
      </c>
      <c r="AN50" s="522">
        <v>252.38</v>
      </c>
      <c r="AO50" s="522">
        <v>13.91</v>
      </c>
    </row>
    <row r="51" spans="1:41">
      <c r="A51" s="147">
        <v>49</v>
      </c>
      <c r="B51" s="521">
        <v>44855</v>
      </c>
      <c r="C51" s="522">
        <v>129.88</v>
      </c>
      <c r="D51" s="522">
        <v>95.06</v>
      </c>
      <c r="E51" s="522">
        <v>146.59</v>
      </c>
      <c r="F51" s="522">
        <v>146.91</v>
      </c>
      <c r="G51" s="522">
        <v>50.13</v>
      </c>
      <c r="H51" s="522">
        <v>241.29</v>
      </c>
      <c r="I51" s="522">
        <v>63.9</v>
      </c>
      <c r="J51" s="522">
        <v>72.209999999999994</v>
      </c>
      <c r="K51" s="522">
        <v>140.99</v>
      </c>
      <c r="L51" s="522">
        <v>273.08999999999997</v>
      </c>
      <c r="M51" s="522">
        <v>442.91</v>
      </c>
      <c r="N51" s="522">
        <v>118.46</v>
      </c>
      <c r="O51" s="522">
        <v>136.75</v>
      </c>
      <c r="P51" s="522">
        <v>89.93</v>
      </c>
      <c r="Q51" s="522">
        <v>83.96</v>
      </c>
      <c r="R51" s="522">
        <v>138.61000000000001</v>
      </c>
      <c r="S51" s="522">
        <v>187.32</v>
      </c>
      <c r="T51" s="522">
        <v>73.84</v>
      </c>
      <c r="U51" s="522">
        <v>95.67</v>
      </c>
      <c r="V51" s="522">
        <v>401.48</v>
      </c>
      <c r="W51" s="522">
        <v>226.38</v>
      </c>
      <c r="X51" s="522">
        <v>309.68</v>
      </c>
      <c r="Y51" s="522">
        <v>522.66</v>
      </c>
      <c r="Z51" s="522">
        <v>260.43</v>
      </c>
      <c r="AA51" s="522">
        <v>72.7</v>
      </c>
      <c r="AB51" s="522">
        <v>122.45</v>
      </c>
      <c r="AC51" s="522">
        <v>85.19</v>
      </c>
      <c r="AD51" s="522">
        <v>121.26</v>
      </c>
      <c r="AE51" s="522">
        <v>36.43</v>
      </c>
      <c r="AF51" s="522">
        <v>207.82</v>
      </c>
      <c r="AG51" s="522">
        <v>92</v>
      </c>
      <c r="AH51" s="522">
        <v>6.19</v>
      </c>
      <c r="AI51" s="522">
        <v>68.94</v>
      </c>
      <c r="AJ51" s="522">
        <v>496.74</v>
      </c>
      <c r="AK51" s="522">
        <v>159.72</v>
      </c>
      <c r="AL51" s="522">
        <v>179.15</v>
      </c>
      <c r="AM51" s="522">
        <v>282.12</v>
      </c>
      <c r="AN51" s="522">
        <v>248.33</v>
      </c>
      <c r="AO51" s="522">
        <v>13.63</v>
      </c>
    </row>
    <row r="52" spans="1:41">
      <c r="A52" s="147">
        <v>50</v>
      </c>
      <c r="B52" s="521">
        <v>44854</v>
      </c>
      <c r="C52" s="522">
        <v>125.94</v>
      </c>
      <c r="D52" s="522">
        <v>95.21</v>
      </c>
      <c r="E52" s="522">
        <v>142.08000000000001</v>
      </c>
      <c r="F52" s="522">
        <v>145.30000000000001</v>
      </c>
      <c r="G52" s="522">
        <v>48.76</v>
      </c>
      <c r="H52" s="522">
        <v>238.32</v>
      </c>
      <c r="I52" s="522">
        <v>63.37</v>
      </c>
      <c r="J52" s="522">
        <v>70.349999999999994</v>
      </c>
      <c r="K52" s="522">
        <v>140.4</v>
      </c>
      <c r="L52" s="522">
        <v>264.76</v>
      </c>
      <c r="M52" s="522">
        <v>450.4</v>
      </c>
      <c r="N52" s="522">
        <v>115.13</v>
      </c>
      <c r="O52" s="522">
        <v>134.66</v>
      </c>
      <c r="P52" s="522">
        <v>88.08</v>
      </c>
      <c r="Q52" s="522">
        <v>82.51</v>
      </c>
      <c r="R52" s="522">
        <v>135.97999999999999</v>
      </c>
      <c r="S52" s="522">
        <v>185.46</v>
      </c>
      <c r="T52" s="522">
        <v>72.790000000000006</v>
      </c>
      <c r="U52" s="522">
        <v>92.94</v>
      </c>
      <c r="V52" s="522">
        <v>393.66</v>
      </c>
      <c r="W52" s="522">
        <v>221.17</v>
      </c>
      <c r="X52" s="522">
        <v>304.89</v>
      </c>
      <c r="Y52" s="522">
        <v>512.44000000000005</v>
      </c>
      <c r="Z52" s="522">
        <v>257.64999999999998</v>
      </c>
      <c r="AA52" s="522">
        <v>69.25</v>
      </c>
      <c r="AB52" s="522">
        <v>118.86</v>
      </c>
      <c r="AC52" s="522">
        <v>83.78</v>
      </c>
      <c r="AD52" s="522">
        <v>112.23</v>
      </c>
      <c r="AE52" s="522">
        <v>35.99</v>
      </c>
      <c r="AF52" s="522">
        <v>201.22</v>
      </c>
      <c r="AG52" s="522">
        <v>89.24</v>
      </c>
      <c r="AH52" s="522">
        <v>6.1</v>
      </c>
      <c r="AI52" s="522">
        <v>69.819999999999993</v>
      </c>
      <c r="AJ52" s="522">
        <v>486.86</v>
      </c>
      <c r="AK52" s="522">
        <v>153.72</v>
      </c>
      <c r="AL52" s="522">
        <v>178.67</v>
      </c>
      <c r="AM52" s="522">
        <v>275.01</v>
      </c>
      <c r="AN52" s="522">
        <v>238.59</v>
      </c>
      <c r="AO52" s="522">
        <v>13.44</v>
      </c>
    </row>
    <row r="53" spans="1:41">
      <c r="A53" s="147">
        <v>51</v>
      </c>
      <c r="B53" s="521">
        <v>44853</v>
      </c>
      <c r="C53" s="522">
        <v>128.96</v>
      </c>
      <c r="D53" s="522">
        <v>98.11</v>
      </c>
      <c r="E53" s="522">
        <v>141.33000000000001</v>
      </c>
      <c r="F53" s="522">
        <v>151.99</v>
      </c>
      <c r="G53" s="522">
        <v>50.77</v>
      </c>
      <c r="H53" s="522">
        <v>241.45</v>
      </c>
      <c r="I53" s="522">
        <v>64.260000000000005</v>
      </c>
      <c r="J53" s="522">
        <v>71.14</v>
      </c>
      <c r="K53" s="522">
        <v>143.5</v>
      </c>
      <c r="L53" s="522">
        <v>261.93</v>
      </c>
      <c r="M53" s="522">
        <v>451.65</v>
      </c>
      <c r="N53" s="522">
        <v>121.21</v>
      </c>
      <c r="O53" s="522">
        <v>126.66</v>
      </c>
      <c r="P53" s="522">
        <v>89.89</v>
      </c>
      <c r="Q53" s="522">
        <v>83.92</v>
      </c>
      <c r="R53" s="522">
        <v>137.76</v>
      </c>
      <c r="S53" s="522">
        <v>187.11</v>
      </c>
      <c r="T53" s="522">
        <v>74.69</v>
      </c>
      <c r="U53" s="522">
        <v>93.26</v>
      </c>
      <c r="V53" s="522">
        <v>398.79</v>
      </c>
      <c r="W53" s="522">
        <v>223.85</v>
      </c>
      <c r="X53" s="522">
        <v>312.49</v>
      </c>
      <c r="Y53" s="522">
        <v>510.91</v>
      </c>
      <c r="Z53" s="522">
        <v>260.76</v>
      </c>
      <c r="AA53" s="522">
        <v>66.3</v>
      </c>
      <c r="AB53" s="522">
        <v>121.2</v>
      </c>
      <c r="AC53" s="522">
        <v>86.25</v>
      </c>
      <c r="AD53" s="522">
        <v>112.53</v>
      </c>
      <c r="AE53" s="522">
        <v>36.880000000000003</v>
      </c>
      <c r="AF53" s="522">
        <v>207.24</v>
      </c>
      <c r="AG53" s="522">
        <v>91.95</v>
      </c>
      <c r="AH53" s="522">
        <v>6.14</v>
      </c>
      <c r="AI53" s="522">
        <v>71.14</v>
      </c>
      <c r="AJ53" s="522">
        <v>505.61</v>
      </c>
      <c r="AK53" s="522">
        <v>152.65</v>
      </c>
      <c r="AL53" s="522">
        <v>182.1</v>
      </c>
      <c r="AM53" s="522">
        <v>277.36</v>
      </c>
      <c r="AN53" s="522">
        <v>246.38</v>
      </c>
      <c r="AO53" s="522">
        <v>14.25</v>
      </c>
    </row>
    <row r="54" spans="1:41">
      <c r="A54" s="147">
        <v>52</v>
      </c>
      <c r="B54" s="521">
        <v>44852</v>
      </c>
      <c r="C54" s="522">
        <v>132.30000000000001</v>
      </c>
      <c r="D54" s="522">
        <v>104.98</v>
      </c>
      <c r="E54" s="522">
        <v>141.1</v>
      </c>
      <c r="F54" s="522">
        <v>154.43</v>
      </c>
      <c r="G54" s="522">
        <v>51.76</v>
      </c>
      <c r="H54" s="522">
        <v>242.37</v>
      </c>
      <c r="I54" s="522">
        <v>65.739999999999995</v>
      </c>
      <c r="J54" s="522">
        <v>71.739999999999995</v>
      </c>
      <c r="K54" s="522">
        <v>145.56</v>
      </c>
      <c r="L54" s="522">
        <v>264.27999999999997</v>
      </c>
      <c r="M54" s="522">
        <v>454.95</v>
      </c>
      <c r="N54" s="522">
        <v>122.02</v>
      </c>
      <c r="O54" s="522">
        <v>129.58000000000001</v>
      </c>
      <c r="P54" s="522">
        <v>90.4</v>
      </c>
      <c r="Q54" s="522">
        <v>83.97</v>
      </c>
      <c r="R54" s="522">
        <v>139.26</v>
      </c>
      <c r="S54" s="522">
        <v>188.95</v>
      </c>
      <c r="T54" s="522">
        <v>74.61</v>
      </c>
      <c r="U54" s="522">
        <v>94.61</v>
      </c>
      <c r="V54" s="522">
        <v>408.56</v>
      </c>
      <c r="W54" s="522">
        <v>225.3</v>
      </c>
      <c r="X54" s="522">
        <v>312.72000000000003</v>
      </c>
      <c r="Y54" s="522">
        <v>506.8</v>
      </c>
      <c r="Z54" s="522">
        <v>268.63</v>
      </c>
      <c r="AA54" s="522">
        <v>67.03</v>
      </c>
      <c r="AB54" s="522">
        <v>120.26</v>
      </c>
      <c r="AC54" s="522">
        <v>87.38</v>
      </c>
      <c r="AD54" s="522">
        <v>112.79</v>
      </c>
      <c r="AE54" s="522">
        <v>36.67</v>
      </c>
      <c r="AF54" s="522">
        <v>212.63</v>
      </c>
      <c r="AG54" s="522">
        <v>90.35</v>
      </c>
      <c r="AH54" s="522">
        <v>6.23</v>
      </c>
      <c r="AI54" s="522">
        <v>72.16</v>
      </c>
      <c r="AJ54" s="522">
        <v>524.4</v>
      </c>
      <c r="AK54" s="522">
        <v>151.51</v>
      </c>
      <c r="AL54" s="522">
        <v>182.89</v>
      </c>
      <c r="AM54" s="522">
        <v>283.94</v>
      </c>
      <c r="AN54" s="522">
        <v>257.27999999999997</v>
      </c>
      <c r="AO54" s="522">
        <v>14.31</v>
      </c>
    </row>
    <row r="55" spans="1:41">
      <c r="A55" s="147">
        <v>53</v>
      </c>
      <c r="B55" s="521">
        <v>44851</v>
      </c>
      <c r="C55" s="522">
        <v>130.56</v>
      </c>
      <c r="D55" s="522">
        <v>103.52</v>
      </c>
      <c r="E55" s="522">
        <v>139.12</v>
      </c>
      <c r="F55" s="522">
        <v>151.52000000000001</v>
      </c>
      <c r="G55" s="522">
        <v>51.61</v>
      </c>
      <c r="H55" s="522">
        <v>237.36</v>
      </c>
      <c r="I55" s="522">
        <v>65.41</v>
      </c>
      <c r="J55" s="522">
        <v>71.38</v>
      </c>
      <c r="K55" s="522">
        <v>142.79</v>
      </c>
      <c r="L55" s="522">
        <v>257.06</v>
      </c>
      <c r="M55" s="522">
        <v>445.79</v>
      </c>
      <c r="N55" s="522">
        <v>121.1</v>
      </c>
      <c r="O55" s="522">
        <v>127.93</v>
      </c>
      <c r="P55" s="522">
        <v>90.38</v>
      </c>
      <c r="Q55" s="522">
        <v>83.37</v>
      </c>
      <c r="R55" s="522">
        <v>139.16</v>
      </c>
      <c r="S55" s="522">
        <v>186.8</v>
      </c>
      <c r="T55" s="522">
        <v>73.63</v>
      </c>
      <c r="U55" s="522">
        <v>94.12</v>
      </c>
      <c r="V55" s="522">
        <v>402.96</v>
      </c>
      <c r="W55" s="522">
        <v>220.74</v>
      </c>
      <c r="X55" s="522">
        <v>309.45</v>
      </c>
      <c r="Y55" s="522">
        <v>475.09</v>
      </c>
      <c r="Z55" s="522">
        <v>267.11</v>
      </c>
      <c r="AA55" s="522">
        <v>67.02</v>
      </c>
      <c r="AB55" s="522">
        <v>119.59</v>
      </c>
      <c r="AC55" s="522">
        <v>86.37</v>
      </c>
      <c r="AD55" s="522">
        <v>112.11</v>
      </c>
      <c r="AE55" s="522">
        <v>36.14</v>
      </c>
      <c r="AF55" s="522">
        <v>209.12</v>
      </c>
      <c r="AG55" s="522">
        <v>88.76</v>
      </c>
      <c r="AH55" s="522">
        <v>6.19</v>
      </c>
      <c r="AI55" s="522">
        <v>71.12</v>
      </c>
      <c r="AJ55" s="522">
        <v>517.23</v>
      </c>
      <c r="AK55" s="522">
        <v>150.99</v>
      </c>
      <c r="AL55" s="522">
        <v>179.55</v>
      </c>
      <c r="AM55" s="522">
        <v>279.60000000000002</v>
      </c>
      <c r="AN55" s="522">
        <v>250.72</v>
      </c>
      <c r="AO55" s="522">
        <v>14.1</v>
      </c>
    </row>
    <row r="56" spans="1:41">
      <c r="A56" s="147">
        <v>54</v>
      </c>
      <c r="B56" s="521">
        <v>44848</v>
      </c>
      <c r="C56" s="522">
        <v>125.7</v>
      </c>
      <c r="D56" s="522">
        <v>100.91</v>
      </c>
      <c r="E56" s="522">
        <v>136.72999999999999</v>
      </c>
      <c r="F56" s="522">
        <v>147.35</v>
      </c>
      <c r="G56" s="522">
        <v>49.04</v>
      </c>
      <c r="H56" s="522">
        <v>232.53</v>
      </c>
      <c r="I56" s="522">
        <v>63.89</v>
      </c>
      <c r="J56" s="522">
        <v>70.62</v>
      </c>
      <c r="K56" s="522">
        <v>139.1</v>
      </c>
      <c r="L56" s="522">
        <v>248.66</v>
      </c>
      <c r="M56" s="522">
        <v>432.5</v>
      </c>
      <c r="N56" s="522">
        <v>117.74</v>
      </c>
      <c r="O56" s="522">
        <v>126.11</v>
      </c>
      <c r="P56" s="522">
        <v>87.82</v>
      </c>
      <c r="Q56" s="522">
        <v>82.29</v>
      </c>
      <c r="R56" s="522">
        <v>136.04</v>
      </c>
      <c r="S56" s="522">
        <v>183.43</v>
      </c>
      <c r="T56" s="522">
        <v>73.540000000000006</v>
      </c>
      <c r="U56" s="522">
        <v>92.18</v>
      </c>
      <c r="V56" s="522">
        <v>388.72</v>
      </c>
      <c r="W56" s="522">
        <v>213.28</v>
      </c>
      <c r="X56" s="522">
        <v>307.23</v>
      </c>
      <c r="Y56" s="522">
        <v>464.19</v>
      </c>
      <c r="Z56" s="522">
        <v>259.54000000000002</v>
      </c>
      <c r="AA56" s="522">
        <v>64.31</v>
      </c>
      <c r="AB56" s="522">
        <v>115.89</v>
      </c>
      <c r="AC56" s="522">
        <v>86.25</v>
      </c>
      <c r="AD56" s="522">
        <v>109.67</v>
      </c>
      <c r="AE56" s="522">
        <v>35.020000000000003</v>
      </c>
      <c r="AF56" s="522">
        <v>201.7</v>
      </c>
      <c r="AG56" s="522">
        <v>89.46</v>
      </c>
      <c r="AH56" s="522">
        <v>6.05</v>
      </c>
      <c r="AI56" s="522">
        <v>69.02</v>
      </c>
      <c r="AJ56" s="522">
        <v>503.05</v>
      </c>
      <c r="AK56" s="522">
        <v>148.34</v>
      </c>
      <c r="AL56" s="522">
        <v>174.08</v>
      </c>
      <c r="AM56" s="522">
        <v>272.19</v>
      </c>
      <c r="AN56" s="522">
        <v>241.47</v>
      </c>
      <c r="AO56" s="522">
        <v>14</v>
      </c>
    </row>
    <row r="57" spans="1:41">
      <c r="A57" s="147">
        <v>55</v>
      </c>
      <c r="B57" s="521">
        <v>44847</v>
      </c>
      <c r="C57" s="522">
        <v>127.9</v>
      </c>
      <c r="D57" s="522">
        <v>102.47</v>
      </c>
      <c r="E57" s="522">
        <v>142.75</v>
      </c>
      <c r="F57" s="522">
        <v>151.82</v>
      </c>
      <c r="G57" s="522">
        <v>48.86</v>
      </c>
      <c r="H57" s="522">
        <v>237.99</v>
      </c>
      <c r="I57" s="522">
        <v>65.430000000000007</v>
      </c>
      <c r="J57" s="522">
        <v>70.77</v>
      </c>
      <c r="K57" s="522">
        <v>142.71</v>
      </c>
      <c r="L57" s="522">
        <v>256.92</v>
      </c>
      <c r="M57" s="522">
        <v>438.87</v>
      </c>
      <c r="N57" s="522">
        <v>119.36</v>
      </c>
      <c r="O57" s="522">
        <v>125.71</v>
      </c>
      <c r="P57" s="522">
        <v>88.71</v>
      </c>
      <c r="Q57" s="522">
        <v>83.37</v>
      </c>
      <c r="R57" s="522">
        <v>137.94</v>
      </c>
      <c r="S57" s="522">
        <v>185.23</v>
      </c>
      <c r="T57" s="522">
        <v>74.87</v>
      </c>
      <c r="U57" s="522">
        <v>92.49</v>
      </c>
      <c r="V57" s="522">
        <v>406.08</v>
      </c>
      <c r="W57" s="522">
        <v>225.37</v>
      </c>
      <c r="X57" s="522">
        <v>311.19</v>
      </c>
      <c r="Y57" s="522">
        <v>501.44</v>
      </c>
      <c r="Z57" s="522">
        <v>268.55</v>
      </c>
      <c r="AA57" s="522">
        <v>65.2</v>
      </c>
      <c r="AB57" s="522">
        <v>122.42</v>
      </c>
      <c r="AC57" s="522">
        <v>87.24</v>
      </c>
      <c r="AD57" s="522">
        <v>110</v>
      </c>
      <c r="AE57" s="522">
        <v>36.06</v>
      </c>
      <c r="AF57" s="522">
        <v>205.68</v>
      </c>
      <c r="AG57" s="522">
        <v>88.8</v>
      </c>
      <c r="AH57" s="522">
        <v>6.14</v>
      </c>
      <c r="AI57" s="522">
        <v>70.319999999999993</v>
      </c>
      <c r="AJ57" s="522">
        <v>510.54</v>
      </c>
      <c r="AK57" s="522">
        <v>154.34</v>
      </c>
      <c r="AL57" s="522">
        <v>176.85</v>
      </c>
      <c r="AM57" s="522">
        <v>276.79000000000002</v>
      </c>
      <c r="AN57" s="522">
        <v>256.73</v>
      </c>
      <c r="AO57" s="522">
        <v>14.04</v>
      </c>
    </row>
    <row r="58" spans="1:41">
      <c r="A58" s="147">
        <v>56</v>
      </c>
      <c r="B58" s="521">
        <v>44846</v>
      </c>
      <c r="C58" s="522">
        <v>125.69</v>
      </c>
      <c r="D58" s="522">
        <v>100.08</v>
      </c>
      <c r="E58" s="522">
        <v>138.59</v>
      </c>
      <c r="F58" s="522">
        <v>146.56</v>
      </c>
      <c r="G58" s="522">
        <v>49.13</v>
      </c>
      <c r="H58" s="522">
        <v>229.32</v>
      </c>
      <c r="I58" s="522">
        <v>64.459999999999994</v>
      </c>
      <c r="J58" s="522">
        <v>69.28</v>
      </c>
      <c r="K58" s="522">
        <v>139.66999999999999</v>
      </c>
      <c r="L58" s="522">
        <v>250.32</v>
      </c>
      <c r="M58" s="522">
        <v>436.11</v>
      </c>
      <c r="N58" s="522">
        <v>117.4</v>
      </c>
      <c r="O58" s="522">
        <v>124.39</v>
      </c>
      <c r="P58" s="522">
        <v>88.72</v>
      </c>
      <c r="Q58" s="522">
        <v>81.67</v>
      </c>
      <c r="R58" s="522">
        <v>134.79</v>
      </c>
      <c r="S58" s="522">
        <v>181.39</v>
      </c>
      <c r="T58" s="522">
        <v>74.48</v>
      </c>
      <c r="U58" s="522">
        <v>90.42</v>
      </c>
      <c r="V58" s="522">
        <v>401.65</v>
      </c>
      <c r="W58" s="522">
        <v>223.33</v>
      </c>
      <c r="X58" s="522">
        <v>307.04000000000002</v>
      </c>
      <c r="Y58" s="522">
        <v>492.38</v>
      </c>
      <c r="Z58" s="522">
        <v>274.64999999999998</v>
      </c>
      <c r="AA58" s="522">
        <v>63.78</v>
      </c>
      <c r="AB58" s="522">
        <v>121.4</v>
      </c>
      <c r="AC58" s="522">
        <v>84.46</v>
      </c>
      <c r="AD58" s="522">
        <v>106.14</v>
      </c>
      <c r="AE58" s="522">
        <v>36.200000000000003</v>
      </c>
      <c r="AF58" s="522">
        <v>201.51</v>
      </c>
      <c r="AG58" s="522">
        <v>86.16</v>
      </c>
      <c r="AH58" s="522">
        <v>5.96</v>
      </c>
      <c r="AI58" s="522">
        <v>69.150000000000006</v>
      </c>
      <c r="AJ58" s="522">
        <v>500.67</v>
      </c>
      <c r="AK58" s="522">
        <v>151.55000000000001</v>
      </c>
      <c r="AL58" s="522">
        <v>175.68</v>
      </c>
      <c r="AM58" s="522">
        <v>270.72000000000003</v>
      </c>
      <c r="AN58" s="522">
        <v>263.33999999999997</v>
      </c>
      <c r="AO58" s="522">
        <v>13.72</v>
      </c>
    </row>
    <row r="59" spans="1:41">
      <c r="A59" s="147">
        <v>57</v>
      </c>
      <c r="B59" s="521">
        <v>44845</v>
      </c>
      <c r="C59" s="522">
        <v>125.64</v>
      </c>
      <c r="D59" s="522">
        <v>101.75</v>
      </c>
      <c r="E59" s="522">
        <v>138.80000000000001</v>
      </c>
      <c r="F59" s="522">
        <v>150.11000000000001</v>
      </c>
      <c r="G59" s="522">
        <v>49.31</v>
      </c>
      <c r="H59" s="522">
        <v>231.21</v>
      </c>
      <c r="I59" s="522">
        <v>64.650000000000006</v>
      </c>
      <c r="J59" s="522">
        <v>69.650000000000006</v>
      </c>
      <c r="K59" s="522">
        <v>142.4</v>
      </c>
      <c r="L59" s="522">
        <v>256.95</v>
      </c>
      <c r="M59" s="522">
        <v>438.63</v>
      </c>
      <c r="N59" s="522">
        <v>118.61</v>
      </c>
      <c r="O59" s="522">
        <v>124.36</v>
      </c>
      <c r="P59" s="522">
        <v>89.28</v>
      </c>
      <c r="Q59" s="522">
        <v>81.900000000000006</v>
      </c>
      <c r="R59" s="522">
        <v>133.55000000000001</v>
      </c>
      <c r="S59" s="522">
        <v>183.99</v>
      </c>
      <c r="T59" s="522">
        <v>75.84</v>
      </c>
      <c r="U59" s="522">
        <v>91.05</v>
      </c>
      <c r="V59" s="522">
        <v>399.35</v>
      </c>
      <c r="W59" s="522">
        <v>224.25</v>
      </c>
      <c r="X59" s="522">
        <v>308.39</v>
      </c>
      <c r="Y59" s="522">
        <v>507.31</v>
      </c>
      <c r="Z59" s="522">
        <v>267.76</v>
      </c>
      <c r="AA59" s="522">
        <v>62.41</v>
      </c>
      <c r="AB59" s="522">
        <v>123.45</v>
      </c>
      <c r="AC59" s="522">
        <v>84.13</v>
      </c>
      <c r="AD59" s="522">
        <v>106.79</v>
      </c>
      <c r="AE59" s="522">
        <v>36.36</v>
      </c>
      <c r="AF59" s="522">
        <v>204.51</v>
      </c>
      <c r="AG59" s="522">
        <v>86.85</v>
      </c>
      <c r="AH59" s="522">
        <v>5.97</v>
      </c>
      <c r="AI59" s="522">
        <v>69.739999999999995</v>
      </c>
      <c r="AJ59" s="522">
        <v>500.81</v>
      </c>
      <c r="AK59" s="522">
        <v>153.44999999999999</v>
      </c>
      <c r="AL59" s="522">
        <v>174.89</v>
      </c>
      <c r="AM59" s="522">
        <v>271.99</v>
      </c>
      <c r="AN59" s="522">
        <v>264.23</v>
      </c>
      <c r="AO59" s="522">
        <v>13.48</v>
      </c>
    </row>
    <row r="60" spans="1:41">
      <c r="A60" s="147">
        <v>58</v>
      </c>
      <c r="B60" s="521">
        <v>44844</v>
      </c>
      <c r="C60" s="522">
        <v>125.95</v>
      </c>
      <c r="D60" s="522">
        <v>101.13</v>
      </c>
      <c r="E60" s="522">
        <v>140.9</v>
      </c>
      <c r="F60" s="522">
        <v>149.57</v>
      </c>
      <c r="G60" s="522">
        <v>49.58</v>
      </c>
      <c r="H60" s="522">
        <v>232.44</v>
      </c>
      <c r="I60" s="522">
        <v>65</v>
      </c>
      <c r="J60" s="522">
        <v>68.48</v>
      </c>
      <c r="K60" s="522">
        <v>143.53</v>
      </c>
      <c r="L60" s="522">
        <v>261.23</v>
      </c>
      <c r="M60" s="522">
        <v>437.41</v>
      </c>
      <c r="N60" s="522">
        <v>117.52</v>
      </c>
      <c r="O60" s="522">
        <v>124.02</v>
      </c>
      <c r="P60" s="522">
        <v>88.76</v>
      </c>
      <c r="Q60" s="522">
        <v>81.099999999999994</v>
      </c>
      <c r="R60" s="522">
        <v>133.24</v>
      </c>
      <c r="S60" s="522">
        <v>185.43</v>
      </c>
      <c r="T60" s="522">
        <v>75.86</v>
      </c>
      <c r="U60" s="522">
        <v>90.48</v>
      </c>
      <c r="V60" s="522">
        <v>406.92</v>
      </c>
      <c r="W60" s="522">
        <v>227.02</v>
      </c>
      <c r="X60" s="522">
        <v>306.51</v>
      </c>
      <c r="Y60" s="522">
        <v>503.83</v>
      </c>
      <c r="Z60" s="522">
        <v>267.85000000000002</v>
      </c>
      <c r="AA60" s="522">
        <v>62.57</v>
      </c>
      <c r="AB60" s="522">
        <v>123.73</v>
      </c>
      <c r="AC60" s="522">
        <v>82.8</v>
      </c>
      <c r="AD60" s="522">
        <v>104.79</v>
      </c>
      <c r="AE60" s="522">
        <v>36.450000000000003</v>
      </c>
      <c r="AF60" s="522">
        <v>205.8</v>
      </c>
      <c r="AG60" s="522">
        <v>86.31</v>
      </c>
      <c r="AH60" s="522">
        <v>5.93</v>
      </c>
      <c r="AI60" s="522">
        <v>70.69</v>
      </c>
      <c r="AJ60" s="522">
        <v>510.84</v>
      </c>
      <c r="AK60" s="522">
        <v>156.79</v>
      </c>
      <c r="AL60" s="522">
        <v>176.99</v>
      </c>
      <c r="AM60" s="522">
        <v>272.26</v>
      </c>
      <c r="AN60" s="522">
        <v>260.98</v>
      </c>
      <c r="AO60" s="522">
        <v>13.52</v>
      </c>
    </row>
    <row r="61" spans="1:41">
      <c r="A61" s="147">
        <v>59</v>
      </c>
      <c r="B61" s="521">
        <v>44841</v>
      </c>
      <c r="C61" s="522">
        <v>127.44</v>
      </c>
      <c r="D61" s="522">
        <v>101.79</v>
      </c>
      <c r="E61" s="522">
        <v>144.91999999999999</v>
      </c>
      <c r="F61" s="522">
        <v>147.69</v>
      </c>
      <c r="G61" s="522">
        <v>49.5</v>
      </c>
      <c r="H61" s="522">
        <v>231.75</v>
      </c>
      <c r="I61" s="522">
        <v>65.13</v>
      </c>
      <c r="J61" s="522">
        <v>69.7</v>
      </c>
      <c r="K61" s="522">
        <v>142.87</v>
      </c>
      <c r="L61" s="522">
        <v>260.76</v>
      </c>
      <c r="M61" s="522">
        <v>436.11</v>
      </c>
      <c r="N61" s="522">
        <v>116.02</v>
      </c>
      <c r="O61" s="522">
        <v>123.31</v>
      </c>
      <c r="P61" s="522">
        <v>88.36</v>
      </c>
      <c r="Q61" s="522">
        <v>80.569999999999993</v>
      </c>
      <c r="R61" s="522">
        <v>129.91999999999999</v>
      </c>
      <c r="S61" s="522">
        <v>185.66</v>
      </c>
      <c r="T61" s="522">
        <v>73.44</v>
      </c>
      <c r="U61" s="522">
        <v>87.6</v>
      </c>
      <c r="V61" s="522">
        <v>419.84</v>
      </c>
      <c r="W61" s="522">
        <v>229.85</v>
      </c>
      <c r="X61" s="522">
        <v>297.70999999999998</v>
      </c>
      <c r="Y61" s="522">
        <v>496.09</v>
      </c>
      <c r="Z61" s="522">
        <v>260.04000000000002</v>
      </c>
      <c r="AA61" s="522">
        <v>63.29</v>
      </c>
      <c r="AB61" s="522">
        <v>121.96</v>
      </c>
      <c r="AC61" s="522">
        <v>82.17</v>
      </c>
      <c r="AD61" s="522">
        <v>101.94</v>
      </c>
      <c r="AE61" s="522">
        <v>36.159999999999997</v>
      </c>
      <c r="AF61" s="522">
        <v>205.6</v>
      </c>
      <c r="AG61" s="522">
        <v>84.3</v>
      </c>
      <c r="AH61" s="522">
        <v>5.87</v>
      </c>
      <c r="AI61" s="522">
        <v>68.97</v>
      </c>
      <c r="AJ61" s="522">
        <v>523.61</v>
      </c>
      <c r="AK61" s="522">
        <v>159.28</v>
      </c>
      <c r="AL61" s="522">
        <v>177.86</v>
      </c>
      <c r="AM61" s="522">
        <v>276.5</v>
      </c>
      <c r="AN61" s="522">
        <v>258.48</v>
      </c>
      <c r="AO61" s="522">
        <v>13.47</v>
      </c>
    </row>
    <row r="62" spans="1:41">
      <c r="A62" s="147">
        <v>60</v>
      </c>
      <c r="B62" s="521">
        <v>44840</v>
      </c>
      <c r="C62" s="522">
        <v>132.18</v>
      </c>
      <c r="D62" s="522">
        <v>102.45</v>
      </c>
      <c r="E62" s="522">
        <v>150.97</v>
      </c>
      <c r="F62" s="522">
        <v>149.93</v>
      </c>
      <c r="G62" s="522">
        <v>50.78</v>
      </c>
      <c r="H62" s="522">
        <v>238.59</v>
      </c>
      <c r="I62" s="522">
        <v>66.2</v>
      </c>
      <c r="J62" s="522">
        <v>70.239999999999995</v>
      </c>
      <c r="K62" s="522">
        <v>145.44</v>
      </c>
      <c r="L62" s="522">
        <v>263.01</v>
      </c>
      <c r="M62" s="522">
        <v>440.47</v>
      </c>
      <c r="N62" s="522">
        <v>123.64</v>
      </c>
      <c r="O62" s="522">
        <v>126.06</v>
      </c>
      <c r="P62" s="522">
        <v>87.5</v>
      </c>
      <c r="Q62" s="522">
        <v>80.73</v>
      </c>
      <c r="R62" s="522">
        <v>128.72</v>
      </c>
      <c r="S62" s="522">
        <v>186.02</v>
      </c>
      <c r="T62" s="522">
        <v>72.430000000000007</v>
      </c>
      <c r="U62" s="522">
        <v>87.44</v>
      </c>
      <c r="V62" s="522">
        <v>436.65</v>
      </c>
      <c r="W62" s="522">
        <v>234.2</v>
      </c>
      <c r="X62" s="522">
        <v>303.57</v>
      </c>
      <c r="Y62" s="522">
        <v>485.23</v>
      </c>
      <c r="Z62" s="522">
        <v>277.18</v>
      </c>
      <c r="AA62" s="522">
        <v>65.3</v>
      </c>
      <c r="AB62" s="522">
        <v>121.92</v>
      </c>
      <c r="AC62" s="522">
        <v>81.150000000000006</v>
      </c>
      <c r="AD62" s="522">
        <v>103.66</v>
      </c>
      <c r="AE62" s="522">
        <v>37.130000000000003</v>
      </c>
      <c r="AF62" s="522">
        <v>216.77</v>
      </c>
      <c r="AG62" s="522">
        <v>85.31</v>
      </c>
      <c r="AH62" s="522">
        <v>5.93</v>
      </c>
      <c r="AI62" s="522">
        <v>70.8</v>
      </c>
      <c r="AJ62" s="522">
        <v>540.59</v>
      </c>
      <c r="AK62" s="522">
        <v>166.54</v>
      </c>
      <c r="AL62" s="522">
        <v>182.08</v>
      </c>
      <c r="AM62" s="522">
        <v>287.55</v>
      </c>
      <c r="AN62" s="522">
        <v>268.19</v>
      </c>
      <c r="AO62" s="522">
        <v>13.84</v>
      </c>
    </row>
    <row r="63" spans="1:41">
      <c r="A63" s="147"/>
    </row>
    <row r="64" spans="1:41">
      <c r="A64" s="147"/>
    </row>
    <row r="65" spans="1:1">
      <c r="A65" s="147"/>
    </row>
    <row r="66" spans="1:1">
      <c r="A66" s="147"/>
    </row>
    <row r="67" spans="1:1">
      <c r="A67" s="147"/>
    </row>
    <row r="68" spans="1:1">
      <c r="A68" s="147"/>
    </row>
    <row r="69" spans="1:1">
      <c r="A69" s="147"/>
    </row>
    <row r="70" spans="1:1">
      <c r="A70" s="147"/>
    </row>
    <row r="71" spans="1:1">
      <c r="A71" s="147"/>
    </row>
    <row r="72" spans="1:1">
      <c r="A72" s="147"/>
    </row>
    <row r="73" spans="1:1">
      <c r="A73" s="147"/>
    </row>
    <row r="74" spans="1:1">
      <c r="A74" s="147"/>
    </row>
    <row r="75" spans="1:1">
      <c r="A75" s="147"/>
    </row>
    <row r="76" spans="1:1">
      <c r="A76" s="147"/>
    </row>
    <row r="77" spans="1:1">
      <c r="A77" s="147"/>
    </row>
    <row r="78" spans="1:1">
      <c r="A78" s="147"/>
    </row>
    <row r="79" spans="1:1">
      <c r="A79" s="147"/>
    </row>
    <row r="80" spans="1:1">
      <c r="A80" s="147"/>
    </row>
    <row r="81" spans="1:1">
      <c r="A81" s="147"/>
    </row>
    <row r="82" spans="1:1">
      <c r="A82" s="147"/>
    </row>
    <row r="83" spans="1:1">
      <c r="A83" s="147"/>
    </row>
    <row r="84" spans="1:1">
      <c r="A84" s="147"/>
    </row>
    <row r="85" spans="1:1">
      <c r="A85" s="147"/>
    </row>
    <row r="86" spans="1:1">
      <c r="A86" s="147"/>
    </row>
    <row r="87" spans="1:1">
      <c r="A87" s="147"/>
    </row>
    <row r="88" spans="1:1">
      <c r="A88" s="147"/>
    </row>
    <row r="89" spans="1:1">
      <c r="A89" s="147"/>
    </row>
    <row r="90" spans="1:1">
      <c r="A90" s="147"/>
    </row>
    <row r="91" spans="1:1">
      <c r="A91" s="147"/>
    </row>
    <row r="92" spans="1:1">
      <c r="A92" s="147"/>
    </row>
    <row r="135" spans="3:3">
      <c r="C135" s="150"/>
    </row>
    <row r="136" spans="3:3">
      <c r="C136" s="150"/>
    </row>
    <row r="137" spans="3:3">
      <c r="C137" s="150"/>
    </row>
    <row r="138" spans="3:3">
      <c r="C138" s="150"/>
    </row>
    <row r="139" spans="3:3">
      <c r="C139" s="150"/>
    </row>
    <row r="140" spans="3:3">
      <c r="C140" s="150"/>
    </row>
    <row r="141" spans="3:3">
      <c r="C141" s="150"/>
    </row>
    <row r="142" spans="3:3">
      <c r="C142" s="150"/>
    </row>
    <row r="143" spans="3:3">
      <c r="C143" s="150"/>
    </row>
    <row r="144" spans="3:3">
      <c r="C144" s="150"/>
    </row>
    <row r="145" spans="3:3">
      <c r="C145" s="150"/>
    </row>
    <row r="146" spans="3:3">
      <c r="C146" s="150"/>
    </row>
    <row r="147" spans="3:3">
      <c r="C147" s="150"/>
    </row>
    <row r="148" spans="3:3">
      <c r="C148" s="150"/>
    </row>
    <row r="149" spans="3:3">
      <c r="C149" s="150"/>
    </row>
    <row r="150" spans="3:3">
      <c r="C150" s="150"/>
    </row>
    <row r="151" spans="3:3">
      <c r="C151" s="150"/>
    </row>
    <row r="152" spans="3:3">
      <c r="C152" s="150"/>
    </row>
    <row r="153" spans="3:3">
      <c r="C153" s="150"/>
    </row>
    <row r="154" spans="3:3">
      <c r="C154" s="150"/>
    </row>
    <row r="155" spans="3:3">
      <c r="C155" s="150"/>
    </row>
    <row r="156" spans="3:3">
      <c r="C156" s="150"/>
    </row>
    <row r="157" spans="3:3">
      <c r="C157" s="150"/>
    </row>
    <row r="158" spans="3:3">
      <c r="C158" s="150"/>
    </row>
    <row r="159" spans="3:3">
      <c r="C159" s="150"/>
    </row>
    <row r="160" spans="3:3">
      <c r="C160" s="150"/>
    </row>
    <row r="161" spans="3:3">
      <c r="C161" s="150"/>
    </row>
    <row r="162" spans="3:3">
      <c r="C162" s="150"/>
    </row>
    <row r="163" spans="3:3">
      <c r="C163" s="150"/>
    </row>
    <row r="164" spans="3:3">
      <c r="C164" s="150"/>
    </row>
    <row r="165" spans="3:3">
      <c r="C165" s="150"/>
    </row>
    <row r="166" spans="3:3">
      <c r="C166" s="150"/>
    </row>
    <row r="167" spans="3:3">
      <c r="C167" s="150"/>
    </row>
    <row r="168" spans="3:3">
      <c r="C168" s="150"/>
    </row>
    <row r="169" spans="3:3">
      <c r="C169" s="150"/>
    </row>
    <row r="170" spans="3:3">
      <c r="C170" s="150"/>
    </row>
    <row r="171" spans="3:3">
      <c r="C171" s="150"/>
    </row>
    <row r="172" spans="3:3">
      <c r="C172" s="150"/>
    </row>
    <row r="173" spans="3:3">
      <c r="C173" s="150"/>
    </row>
    <row r="174" spans="3:3">
      <c r="C174" s="150"/>
    </row>
    <row r="175" spans="3:3">
      <c r="C175" s="150"/>
    </row>
    <row r="176" spans="3:3">
      <c r="C176" s="150"/>
    </row>
    <row r="177" spans="3:3">
      <c r="C177" s="150"/>
    </row>
    <row r="178" spans="3:3">
      <c r="C178" s="150"/>
    </row>
    <row r="179" spans="3:3">
      <c r="C179" s="150"/>
    </row>
    <row r="180" spans="3:3">
      <c r="C180" s="150"/>
    </row>
    <row r="181" spans="3:3">
      <c r="C181" s="150"/>
    </row>
    <row r="182" spans="3:3">
      <c r="C182" s="150"/>
    </row>
    <row r="183" spans="3:3">
      <c r="C183" s="150"/>
    </row>
    <row r="184" spans="3:3">
      <c r="C184" s="150"/>
    </row>
    <row r="185" spans="3:3">
      <c r="C185" s="150"/>
    </row>
    <row r="186" spans="3:3">
      <c r="C186" s="150"/>
    </row>
    <row r="187" spans="3:3">
      <c r="C187" s="150"/>
    </row>
    <row r="188" spans="3:3">
      <c r="C188" s="150"/>
    </row>
    <row r="189" spans="3:3">
      <c r="C189" s="150"/>
    </row>
    <row r="190" spans="3:3">
      <c r="C190" s="150"/>
    </row>
    <row r="191" spans="3:3">
      <c r="C191" s="150"/>
    </row>
    <row r="192" spans="3:3">
      <c r="C192" s="150"/>
    </row>
    <row r="193" spans="3:3">
      <c r="C193" s="150"/>
    </row>
    <row r="194" spans="3:3">
      <c r="C194" s="150"/>
    </row>
    <row r="195" spans="3:3">
      <c r="C195" s="150"/>
    </row>
  </sheetData>
  <mergeCells count="1">
    <mergeCell ref="A1:A2"/>
  </mergeCells>
  <conditionalFormatting sqref="B135:C195">
    <cfRule type="cellIs" dxfId="18" priority="1" operator="equal">
      <formula>TRUE</formula>
    </cfRule>
  </conditionalFormatting>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AN126"/>
  <sheetViews>
    <sheetView topLeftCell="AA1" zoomScale="85" zoomScaleNormal="85" workbookViewId="0">
      <pane ySplit="3" topLeftCell="A40" activePane="bottomLeft" state="frozen"/>
      <selection activeCell="AQ1" sqref="AQ1"/>
      <selection pane="bottomLeft" activeCell="H24" sqref="H24"/>
    </sheetView>
  </sheetViews>
  <sheetFormatPr defaultColWidth="12.6640625" defaultRowHeight="13.8"/>
  <cols>
    <col min="1" max="2" width="15.6640625" style="523" customWidth="1"/>
    <col min="3" max="16384" width="12.6640625" style="523"/>
  </cols>
  <sheetData>
    <row r="1" spans="1:40">
      <c r="A1" s="528"/>
    </row>
    <row r="2" spans="1:40">
      <c r="B2" s="523" t="str">
        <f>'CEM Price Data'!C1</f>
        <v>A</v>
      </c>
      <c r="C2" s="523" t="str">
        <f>'CEM Price Data'!D1</f>
        <v>ABT</v>
      </c>
      <c r="D2" s="523" t="str">
        <f>'CEM Price Data'!E1</f>
        <v>ADI</v>
      </c>
      <c r="E2" s="523" t="str">
        <f>'CEM Price Data'!F1</f>
        <v>AIZ</v>
      </c>
      <c r="F2" s="523" t="str">
        <f>'CEM Price Data'!G1</f>
        <v>AOS</v>
      </c>
      <c r="G2" s="523" t="str">
        <f>'CEM Price Data'!H1</f>
        <v>APD</v>
      </c>
      <c r="H2" s="523" t="str">
        <f>'CEM Price Data'!I1</f>
        <v>BFB</v>
      </c>
      <c r="I2" s="523" t="str">
        <f>'CEM Price Data'!J1</f>
        <v>BMY</v>
      </c>
      <c r="J2" s="523" t="str">
        <f>'CEM Price Data'!K1</f>
        <v>BR</v>
      </c>
      <c r="K2" s="523" t="str">
        <f>'CEM Price Data'!L1</f>
        <v>CACI</v>
      </c>
      <c r="L2" s="523" t="str">
        <f>'CEM Price Data'!M1</f>
        <v>CHE</v>
      </c>
      <c r="M2" s="523" t="str">
        <f>'CEM Price Data'!N1</f>
        <v>CSWI</v>
      </c>
      <c r="N2" s="523" t="str">
        <f>'CEM Price Data'!O1</f>
        <v>DGX</v>
      </c>
      <c r="O2" s="523" t="str">
        <f>'CEM Price Data'!P1</f>
        <v>EXPO</v>
      </c>
      <c r="P2" s="523" t="str">
        <f>'CEM Price Data'!Q1</f>
        <v>INGR</v>
      </c>
      <c r="Q2" s="523" t="str">
        <f>'CEM Price Data'!R1</f>
        <v>JJSF</v>
      </c>
      <c r="R2" s="523" t="str">
        <f>'CEM Price Data'!S1</f>
        <v>JKHY</v>
      </c>
      <c r="S2" s="523" t="str">
        <f>'CEM Price Data'!T1</f>
        <v>MKC</v>
      </c>
      <c r="T2" s="523" t="str">
        <f>'CEM Price Data'!U1</f>
        <v>MRK</v>
      </c>
      <c r="U2" s="523" t="str">
        <f>'CEM Price Data'!V1</f>
        <v>MSCI</v>
      </c>
      <c r="V2" s="523" t="str">
        <f>'CEM Price Data'!W1</f>
        <v>MSI</v>
      </c>
      <c r="W2" s="523" t="str">
        <f>'CEM Price Data'!X1</f>
        <v>NEU</v>
      </c>
      <c r="X2" s="523" t="str">
        <f>'CEM Price Data'!Y1</f>
        <v>NOC</v>
      </c>
      <c r="Y2" s="523" t="str">
        <f>'CEM Price Data'!Z1</f>
        <v>ODFL</v>
      </c>
      <c r="Z2" s="523" t="str">
        <f>'CEM Price Data'!AA1</f>
        <v>ORCL</v>
      </c>
      <c r="AA2" s="523" t="str">
        <f>'CEM Price Data'!AB1</f>
        <v>PGR</v>
      </c>
      <c r="AB2" s="523" t="str">
        <f>'CEM Price Data'!AC1</f>
        <v>POST</v>
      </c>
      <c r="AC2" s="523" t="str">
        <f>'CEM Price Data'!AD1</f>
        <v>RLI</v>
      </c>
      <c r="AD2" s="523" t="str">
        <f>'CEM Price Data'!AE1</f>
        <v>ROL</v>
      </c>
      <c r="AE2" s="523" t="str">
        <f>'CEM Price Data'!AF1</f>
        <v>SHW</v>
      </c>
      <c r="AF2" s="523" t="str">
        <f>'CEM Price Data'!AG1</f>
        <v>SIGI</v>
      </c>
      <c r="AG2" s="523" t="str">
        <f>'CEM Price Data'!AH1</f>
        <v>SIRI</v>
      </c>
      <c r="AH2" s="523" t="str">
        <f>'CEM Price Data'!AI1</f>
        <v>SXT</v>
      </c>
      <c r="AI2" s="523" t="str">
        <f>'CEM Price Data'!AJ1</f>
        <v>TMO</v>
      </c>
      <c r="AJ2" s="523" t="str">
        <f>'CEM Price Data'!AK1</f>
        <v>TXN</v>
      </c>
      <c r="AK2" s="523" t="str">
        <f>'CEM Price Data'!AL1</f>
        <v>VRSN</v>
      </c>
      <c r="AL2" s="523" t="str">
        <f>'CEM Price Data'!AM1</f>
        <v>WAT</v>
      </c>
      <c r="AM2" s="523" t="str">
        <f>'CEM Price Data'!AN1</f>
        <v>WSO</v>
      </c>
      <c r="AN2" s="523" t="str">
        <f>'CEM Price Data'!AO1</f>
        <v>WU</v>
      </c>
    </row>
    <row r="3" spans="1:40">
      <c r="A3" s="523" t="str">
        <f>IF('CEM Price Data'!B2="","",'CEM Price Data'!B2)</f>
        <v>PX_LAST</v>
      </c>
      <c r="B3" s="523" t="str">
        <f>IF('CEM Price Data'!C2="","",'CEM Price Data'!C2)</f>
        <v>A US Equity</v>
      </c>
      <c r="C3" s="523" t="str">
        <f>IF('CEM Price Data'!D2="","",'CEM Price Data'!D2)</f>
        <v>ABT US Equity</v>
      </c>
      <c r="D3" s="523" t="str">
        <f>IF('CEM Price Data'!E2="","",'CEM Price Data'!E2)</f>
        <v>ADI US Equity</v>
      </c>
      <c r="E3" s="523" t="str">
        <f>IF('CEM Price Data'!F2="","",'CEM Price Data'!F2)</f>
        <v>AIZ US Equity</v>
      </c>
      <c r="F3" s="523" t="str">
        <f>IF('CEM Price Data'!G2="","",'CEM Price Data'!G2)</f>
        <v>AOS US Equity</v>
      </c>
      <c r="G3" s="523" t="str">
        <f>IF('CEM Price Data'!H2="","",'CEM Price Data'!H2)</f>
        <v>APD US Equity</v>
      </c>
      <c r="H3" s="523" t="str">
        <f>IF('CEM Price Data'!I2="","",'CEM Price Data'!I2)</f>
        <v>BFB US Equity</v>
      </c>
      <c r="I3" s="523" t="str">
        <f>IF('CEM Price Data'!J2="","",'CEM Price Data'!J2)</f>
        <v>BMY US Equity</v>
      </c>
      <c r="J3" s="523" t="str">
        <f>IF('CEM Price Data'!K2="","",'CEM Price Data'!K2)</f>
        <v>BR US Equity</v>
      </c>
      <c r="K3" s="523" t="str">
        <f>IF('CEM Price Data'!L2="","",'CEM Price Data'!L2)</f>
        <v>CACI US Equity</v>
      </c>
      <c r="L3" s="523" t="str">
        <f>IF('CEM Price Data'!M2="","",'CEM Price Data'!M2)</f>
        <v>CHE US Equity</v>
      </c>
      <c r="M3" s="523" t="str">
        <f>IF('CEM Price Data'!N2="","",'CEM Price Data'!N2)</f>
        <v>CSWI US Equity</v>
      </c>
      <c r="N3" s="523" t="str">
        <f>IF('CEM Price Data'!O2="","",'CEM Price Data'!O2)</f>
        <v>DGX US Equity</v>
      </c>
      <c r="O3" s="523" t="str">
        <f>IF('CEM Price Data'!P2="","",'CEM Price Data'!P2)</f>
        <v>EXPO US Equity</v>
      </c>
      <c r="P3" s="523" t="str">
        <f>IF('CEM Price Data'!Q2="","",'CEM Price Data'!Q2)</f>
        <v>INGR US Equity</v>
      </c>
      <c r="Q3" s="523" t="str">
        <f>IF('CEM Price Data'!R2="","",'CEM Price Data'!R2)</f>
        <v>JJSF US Equity</v>
      </c>
      <c r="R3" s="523" t="str">
        <f>IF('CEM Price Data'!S2="","",'CEM Price Data'!S2)</f>
        <v>JKHY US Equity</v>
      </c>
      <c r="S3" s="523" t="str">
        <f>IF('CEM Price Data'!T2="","",'CEM Price Data'!T2)</f>
        <v>MKC US Equity</v>
      </c>
      <c r="T3" s="523" t="str">
        <f>IF('CEM Price Data'!U2="","",'CEM Price Data'!U2)</f>
        <v>MRK US Equity</v>
      </c>
      <c r="U3" s="523" t="str">
        <f>IF('CEM Price Data'!V2="","",'CEM Price Data'!V2)</f>
        <v>MSCI US Equity</v>
      </c>
      <c r="V3" s="523" t="str">
        <f>IF('CEM Price Data'!W2="","",'CEM Price Data'!W2)</f>
        <v>MSI US Equity</v>
      </c>
      <c r="W3" s="523" t="str">
        <f>IF('CEM Price Data'!X2="","",'CEM Price Data'!X2)</f>
        <v>NEU US Equity</v>
      </c>
      <c r="X3" s="523" t="str">
        <f>IF('CEM Price Data'!Y2="","",'CEM Price Data'!Y2)</f>
        <v>NOC US Equity</v>
      </c>
      <c r="Y3" s="523" t="str">
        <f>IF('CEM Price Data'!Z2="","",'CEM Price Data'!Z2)</f>
        <v>ODFL US Equity</v>
      </c>
      <c r="Z3" s="523" t="str">
        <f>IF('CEM Price Data'!AA2="","",'CEM Price Data'!AA2)</f>
        <v>ORCL US Equity</v>
      </c>
      <c r="AA3" s="523" t="str">
        <f>IF('CEM Price Data'!AB2="","",'CEM Price Data'!AB2)</f>
        <v>PGR US Equity</v>
      </c>
      <c r="AB3" s="523" t="str">
        <f>IF('CEM Price Data'!AC2="","",'CEM Price Data'!AC2)</f>
        <v>POST US Equity</v>
      </c>
      <c r="AC3" s="523" t="str">
        <f>IF('CEM Price Data'!AD2="","",'CEM Price Data'!AD2)</f>
        <v>RLI US Equity</v>
      </c>
      <c r="AD3" s="523" t="str">
        <f>IF('CEM Price Data'!AE2="","",'CEM Price Data'!AE2)</f>
        <v>ROL US Equity</v>
      </c>
      <c r="AE3" s="523" t="str">
        <f>IF('CEM Price Data'!AF2="","",'CEM Price Data'!AF2)</f>
        <v>SHW US Equity</v>
      </c>
      <c r="AF3" s="523" t="str">
        <f>IF('CEM Price Data'!AG2="","",'CEM Price Data'!AG2)</f>
        <v>SIGI US Equity</v>
      </c>
      <c r="AG3" s="523" t="str">
        <f>IF('CEM Price Data'!AH2="","",'CEM Price Data'!AH2)</f>
        <v>SIRI US Equity</v>
      </c>
      <c r="AH3" s="523" t="str">
        <f>IF('CEM Price Data'!AI2="","",'CEM Price Data'!AI2)</f>
        <v>SXT US Equity</v>
      </c>
      <c r="AI3" s="523" t="str">
        <f>IF('CEM Price Data'!AJ2="","",'CEM Price Data'!AJ2)</f>
        <v>TMO US Equity</v>
      </c>
      <c r="AJ3" s="523" t="str">
        <f>IF('CEM Price Data'!AK2="","",'CEM Price Data'!AK2)</f>
        <v>TXN US Equity</v>
      </c>
      <c r="AK3" s="523" t="str">
        <f>IF('CEM Price Data'!AL2="","",'CEM Price Data'!AL2)</f>
        <v>VRSN US Equity</v>
      </c>
      <c r="AL3" s="523" t="str">
        <f>IF('CEM Price Data'!AM2="","",'CEM Price Data'!AM2)</f>
        <v>WAT US Equity</v>
      </c>
      <c r="AM3" s="523" t="str">
        <f>IF('CEM Price Data'!AN2="","",'CEM Price Data'!AN2)</f>
        <v>WSO US Equity</v>
      </c>
      <c r="AN3" s="523" t="str">
        <f>IF('CEM Price Data'!AO2="","",'CEM Price Data'!AO2)</f>
        <v>WU US Equity</v>
      </c>
    </row>
    <row r="4" spans="1:40">
      <c r="A4" s="525">
        <f>IF('CEM Price Data'!B3="","",'CEM Price Data'!B3)</f>
        <v>44925</v>
      </c>
      <c r="B4" s="526">
        <f>IF('CEM Price Data'!C3="","",'CEM Price Data'!C3)</f>
        <v>149.65</v>
      </c>
      <c r="C4" s="526">
        <f>IF('CEM Price Data'!D3="","",'CEM Price Data'!D3)</f>
        <v>109.79</v>
      </c>
      <c r="D4" s="526">
        <f>IF('CEM Price Data'!E3="","",'CEM Price Data'!E3)</f>
        <v>164.03</v>
      </c>
      <c r="E4" s="526">
        <f>IF('CEM Price Data'!F3="","",'CEM Price Data'!F3)</f>
        <v>125.06</v>
      </c>
      <c r="F4" s="526">
        <f>IF('CEM Price Data'!G3="","",'CEM Price Data'!G3)</f>
        <v>57.24</v>
      </c>
      <c r="G4" s="526">
        <f>IF('CEM Price Data'!H3="","",'CEM Price Data'!H3)</f>
        <v>308.26</v>
      </c>
      <c r="H4" s="526">
        <f>IF('CEM Price Data'!I3="","",'CEM Price Data'!I3)</f>
        <v>65.680000000000007</v>
      </c>
      <c r="I4" s="526">
        <f>IF('CEM Price Data'!J3="","",'CEM Price Data'!J3)</f>
        <v>71.95</v>
      </c>
      <c r="J4" s="526">
        <f>IF('CEM Price Data'!K3="","",'CEM Price Data'!K3)</f>
        <v>134.13</v>
      </c>
      <c r="K4" s="526">
        <f>IF('CEM Price Data'!L3="","",'CEM Price Data'!L3)</f>
        <v>300.58999999999997</v>
      </c>
      <c r="L4" s="526">
        <f>IF('CEM Price Data'!M3="","",'CEM Price Data'!M3)</f>
        <v>510.43</v>
      </c>
      <c r="M4" s="526">
        <f>IF('CEM Price Data'!N3="","",'CEM Price Data'!N3)</f>
        <v>115.93</v>
      </c>
      <c r="N4" s="526">
        <f>IF('CEM Price Data'!O3="","",'CEM Price Data'!O3)</f>
        <v>156.44</v>
      </c>
      <c r="O4" s="526">
        <f>IF('CEM Price Data'!P3="","",'CEM Price Data'!P3)</f>
        <v>99.09</v>
      </c>
      <c r="P4" s="526">
        <f>IF('CEM Price Data'!Q3="","",'CEM Price Data'!Q3)</f>
        <v>97.93</v>
      </c>
      <c r="Q4" s="526">
        <f>IF('CEM Price Data'!R3="","",'CEM Price Data'!R3)</f>
        <v>149.71</v>
      </c>
      <c r="R4" s="526">
        <f>IF('CEM Price Data'!S3="","",'CEM Price Data'!S3)</f>
        <v>175.56</v>
      </c>
      <c r="S4" s="526">
        <f>IF('CEM Price Data'!T3="","",'CEM Price Data'!T3)</f>
        <v>82.89</v>
      </c>
      <c r="T4" s="526">
        <f>IF('CEM Price Data'!U3="","",'CEM Price Data'!U3)</f>
        <v>110.95</v>
      </c>
      <c r="U4" s="526">
        <f>IF('CEM Price Data'!V3="","",'CEM Price Data'!V3)</f>
        <v>465.17</v>
      </c>
      <c r="V4" s="526">
        <f>IF('CEM Price Data'!W3="","",'CEM Price Data'!W3)</f>
        <v>257.70999999999998</v>
      </c>
      <c r="W4" s="526">
        <f>IF('CEM Price Data'!X3="","",'CEM Price Data'!X3)</f>
        <v>311.11</v>
      </c>
      <c r="X4" s="526">
        <f>IF('CEM Price Data'!Y3="","",'CEM Price Data'!Y3)</f>
        <v>545.61</v>
      </c>
      <c r="Y4" s="526">
        <f>IF('CEM Price Data'!Z3="","",'CEM Price Data'!Z3)</f>
        <v>283.77999999999997</v>
      </c>
      <c r="Z4" s="526">
        <f>IF('CEM Price Data'!AA3="","",'CEM Price Data'!AA3)</f>
        <v>81.739999999999995</v>
      </c>
      <c r="AA4" s="526">
        <f>IF('CEM Price Data'!AB3="","",'CEM Price Data'!AB3)</f>
        <v>129.71</v>
      </c>
      <c r="AB4" s="526">
        <f>IF('CEM Price Data'!AC3="","",'CEM Price Data'!AC3)</f>
        <v>90.26</v>
      </c>
      <c r="AC4" s="526">
        <f>IF('CEM Price Data'!AD3="","",'CEM Price Data'!AD3)</f>
        <v>131.27000000000001</v>
      </c>
      <c r="AD4" s="526">
        <f>IF('CEM Price Data'!AE3="","",'CEM Price Data'!AE3)</f>
        <v>36.54</v>
      </c>
      <c r="AE4" s="526">
        <f>IF('CEM Price Data'!AF3="","",'CEM Price Data'!AF3)</f>
        <v>237.33</v>
      </c>
      <c r="AF4" s="526">
        <f>IF('CEM Price Data'!AG3="","",'CEM Price Data'!AG3)</f>
        <v>88.61</v>
      </c>
      <c r="AG4" s="526">
        <f>IF('CEM Price Data'!AH3="","",'CEM Price Data'!AH3)</f>
        <v>5.84</v>
      </c>
      <c r="AH4" s="526">
        <f>IF('CEM Price Data'!AI3="","",'CEM Price Data'!AI3)</f>
        <v>72.92</v>
      </c>
      <c r="AI4" s="526">
        <f>IF('CEM Price Data'!AJ3="","",'CEM Price Data'!AJ3)</f>
        <v>550.69000000000005</v>
      </c>
      <c r="AJ4" s="526">
        <f>IF('CEM Price Data'!AK3="","",'CEM Price Data'!AK3)</f>
        <v>165.22</v>
      </c>
      <c r="AK4" s="526">
        <f>IF('CEM Price Data'!AL3="","",'CEM Price Data'!AL3)</f>
        <v>205.44</v>
      </c>
      <c r="AL4" s="526">
        <f>IF('CEM Price Data'!AM3="","",'CEM Price Data'!AM3)</f>
        <v>342.58</v>
      </c>
      <c r="AM4" s="526">
        <f>IF('CEM Price Data'!AN3="","",'CEM Price Data'!AN3)</f>
        <v>249.4</v>
      </c>
      <c r="AN4" s="526">
        <f>IF('CEM Price Data'!AO3="","",'CEM Price Data'!AO3)</f>
        <v>13.77</v>
      </c>
    </row>
    <row r="5" spans="1:40">
      <c r="A5" s="525">
        <f>IF('CEM Price Data'!B4="","",'CEM Price Data'!B4)</f>
        <v>44924</v>
      </c>
      <c r="B5" s="526">
        <f>IF('CEM Price Data'!C4="","",'CEM Price Data'!C4)</f>
        <v>151.09</v>
      </c>
      <c r="C5" s="526">
        <f>IF('CEM Price Data'!D4="","",'CEM Price Data'!D4)</f>
        <v>110.31</v>
      </c>
      <c r="D5" s="526">
        <f>IF('CEM Price Data'!E4="","",'CEM Price Data'!E4)</f>
        <v>163.98</v>
      </c>
      <c r="E5" s="526">
        <f>IF('CEM Price Data'!F4="","",'CEM Price Data'!F4)</f>
        <v>126.63</v>
      </c>
      <c r="F5" s="526">
        <f>IF('CEM Price Data'!G4="","",'CEM Price Data'!G4)</f>
        <v>57.66</v>
      </c>
      <c r="G5" s="526">
        <f>IF('CEM Price Data'!H4="","",'CEM Price Data'!H4)</f>
        <v>311.41000000000003</v>
      </c>
      <c r="H5" s="526">
        <f>IF('CEM Price Data'!I4="","",'CEM Price Data'!I4)</f>
        <v>66.150000000000006</v>
      </c>
      <c r="I5" s="526">
        <f>IF('CEM Price Data'!J4="","",'CEM Price Data'!J4)</f>
        <v>72.099999999999994</v>
      </c>
      <c r="J5" s="526">
        <f>IF('CEM Price Data'!K4="","",'CEM Price Data'!K4)</f>
        <v>136.66</v>
      </c>
      <c r="K5" s="526">
        <f>IF('CEM Price Data'!L4="","",'CEM Price Data'!L4)</f>
        <v>300.58999999999997</v>
      </c>
      <c r="L5" s="526">
        <f>IF('CEM Price Data'!M4="","",'CEM Price Data'!M4)</f>
        <v>517.15</v>
      </c>
      <c r="M5" s="526">
        <f>IF('CEM Price Data'!N4="","",'CEM Price Data'!N4)</f>
        <v>117.02</v>
      </c>
      <c r="N5" s="526">
        <f>IF('CEM Price Data'!O4="","",'CEM Price Data'!O4)</f>
        <v>156.79</v>
      </c>
      <c r="O5" s="526">
        <f>IF('CEM Price Data'!P4="","",'CEM Price Data'!P4)</f>
        <v>100.56</v>
      </c>
      <c r="P5" s="526">
        <f>IF('CEM Price Data'!Q4="","",'CEM Price Data'!Q4)</f>
        <v>98.18</v>
      </c>
      <c r="Q5" s="526">
        <f>IF('CEM Price Data'!R4="","",'CEM Price Data'!R4)</f>
        <v>151.94</v>
      </c>
      <c r="R5" s="526">
        <f>IF('CEM Price Data'!S4="","",'CEM Price Data'!S4)</f>
        <v>177.49</v>
      </c>
      <c r="S5" s="526">
        <f>IF('CEM Price Data'!T4="","",'CEM Price Data'!T4)</f>
        <v>84.14</v>
      </c>
      <c r="T5" s="526">
        <f>IF('CEM Price Data'!U4="","",'CEM Price Data'!U4)</f>
        <v>110.82</v>
      </c>
      <c r="U5" s="526">
        <f>IF('CEM Price Data'!V4="","",'CEM Price Data'!V4)</f>
        <v>471.92</v>
      </c>
      <c r="V5" s="526">
        <f>IF('CEM Price Data'!W4="","",'CEM Price Data'!W4)</f>
        <v>258.81</v>
      </c>
      <c r="W5" s="526">
        <f>IF('CEM Price Data'!X4="","",'CEM Price Data'!X4)</f>
        <v>309.04000000000002</v>
      </c>
      <c r="X5" s="526">
        <f>IF('CEM Price Data'!Y4="","",'CEM Price Data'!Y4)</f>
        <v>542</v>
      </c>
      <c r="Y5" s="526">
        <f>IF('CEM Price Data'!Z4="","",'CEM Price Data'!Z4)</f>
        <v>286.58</v>
      </c>
      <c r="Z5" s="526">
        <f>IF('CEM Price Data'!AA4="","",'CEM Price Data'!AA4)</f>
        <v>81.400000000000006</v>
      </c>
      <c r="AA5" s="526">
        <f>IF('CEM Price Data'!AB4="","",'CEM Price Data'!AB4)</f>
        <v>130.56</v>
      </c>
      <c r="AB5" s="526">
        <f>IF('CEM Price Data'!AC4="","",'CEM Price Data'!AC4)</f>
        <v>90.23</v>
      </c>
      <c r="AC5" s="526">
        <f>IF('CEM Price Data'!AD4="","",'CEM Price Data'!AD4)</f>
        <v>133.72</v>
      </c>
      <c r="AD5" s="526">
        <f>IF('CEM Price Data'!AE4="","",'CEM Price Data'!AE4)</f>
        <v>36.659999999999997</v>
      </c>
      <c r="AE5" s="526">
        <f>IF('CEM Price Data'!AF4="","",'CEM Price Data'!AF4)</f>
        <v>241.32</v>
      </c>
      <c r="AF5" s="526">
        <f>IF('CEM Price Data'!AG4="","",'CEM Price Data'!AG4)</f>
        <v>90.34</v>
      </c>
      <c r="AG5" s="526">
        <f>IF('CEM Price Data'!AH4="","",'CEM Price Data'!AH4)</f>
        <v>5.82</v>
      </c>
      <c r="AH5" s="526">
        <f>IF('CEM Price Data'!AI4="","",'CEM Price Data'!AI4)</f>
        <v>73.89</v>
      </c>
      <c r="AI5" s="526">
        <f>IF('CEM Price Data'!AJ4="","",'CEM Price Data'!AJ4)</f>
        <v>557.01</v>
      </c>
      <c r="AJ5" s="526">
        <f>IF('CEM Price Data'!AK4="","",'CEM Price Data'!AK4)</f>
        <v>165.02</v>
      </c>
      <c r="AK5" s="526">
        <f>IF('CEM Price Data'!AL4="","",'CEM Price Data'!AL4)</f>
        <v>205.38</v>
      </c>
      <c r="AL5" s="526">
        <f>IF('CEM Price Data'!AM4="","",'CEM Price Data'!AM4)</f>
        <v>345.88</v>
      </c>
      <c r="AM5" s="526">
        <f>IF('CEM Price Data'!AN4="","",'CEM Price Data'!AN4)</f>
        <v>252.55</v>
      </c>
      <c r="AN5" s="526">
        <f>IF('CEM Price Data'!AO4="","",'CEM Price Data'!AO4)</f>
        <v>13.88</v>
      </c>
    </row>
    <row r="6" spans="1:40">
      <c r="A6" s="525">
        <f>IF('CEM Price Data'!B5="","",'CEM Price Data'!B5)</f>
        <v>44923</v>
      </c>
      <c r="B6" s="526">
        <f>IF('CEM Price Data'!C5="","",'CEM Price Data'!C5)</f>
        <v>148.09</v>
      </c>
      <c r="C6" s="526">
        <f>IF('CEM Price Data'!D5="","",'CEM Price Data'!D5)</f>
        <v>107.83</v>
      </c>
      <c r="D6" s="526">
        <f>IF('CEM Price Data'!E5="","",'CEM Price Data'!E5)</f>
        <v>160.28</v>
      </c>
      <c r="E6" s="526">
        <f>IF('CEM Price Data'!F5="","",'CEM Price Data'!F5)</f>
        <v>123.96</v>
      </c>
      <c r="F6" s="526">
        <f>IF('CEM Price Data'!G5="","",'CEM Price Data'!G5)</f>
        <v>56.77</v>
      </c>
      <c r="G6" s="526">
        <f>IF('CEM Price Data'!H5="","",'CEM Price Data'!H5)</f>
        <v>309.64</v>
      </c>
      <c r="H6" s="526">
        <f>IF('CEM Price Data'!I5="","",'CEM Price Data'!I5)</f>
        <v>65.569999999999993</v>
      </c>
      <c r="I6" s="526">
        <f>IF('CEM Price Data'!J5="","",'CEM Price Data'!J5)</f>
        <v>71.989999999999995</v>
      </c>
      <c r="J6" s="526">
        <f>IF('CEM Price Data'!K5="","",'CEM Price Data'!K5)</f>
        <v>133.37</v>
      </c>
      <c r="K6" s="526">
        <f>IF('CEM Price Data'!L5="","",'CEM Price Data'!L5)</f>
        <v>297.97000000000003</v>
      </c>
      <c r="L6" s="526">
        <f>IF('CEM Price Data'!M5="","",'CEM Price Data'!M5)</f>
        <v>511</v>
      </c>
      <c r="M6" s="526">
        <f>IF('CEM Price Data'!N5="","",'CEM Price Data'!N5)</f>
        <v>113.64</v>
      </c>
      <c r="N6" s="526">
        <f>IF('CEM Price Data'!O5="","",'CEM Price Data'!O5)</f>
        <v>156.51</v>
      </c>
      <c r="O6" s="526">
        <f>IF('CEM Price Data'!P5="","",'CEM Price Data'!P5)</f>
        <v>98.53</v>
      </c>
      <c r="P6" s="526">
        <f>IF('CEM Price Data'!Q5="","",'CEM Price Data'!Q5)</f>
        <v>98.09</v>
      </c>
      <c r="Q6" s="526">
        <f>IF('CEM Price Data'!R5="","",'CEM Price Data'!R5)</f>
        <v>150.78</v>
      </c>
      <c r="R6" s="526">
        <f>IF('CEM Price Data'!S5="","",'CEM Price Data'!S5)</f>
        <v>176.64</v>
      </c>
      <c r="S6" s="526">
        <f>IF('CEM Price Data'!T5="","",'CEM Price Data'!T5)</f>
        <v>83.24</v>
      </c>
      <c r="T6" s="526">
        <f>IF('CEM Price Data'!U5="","",'CEM Price Data'!U5)</f>
        <v>111.08</v>
      </c>
      <c r="U6" s="526">
        <f>IF('CEM Price Data'!V5="","",'CEM Price Data'!V5)</f>
        <v>454.44</v>
      </c>
      <c r="V6" s="526">
        <f>IF('CEM Price Data'!W5="","",'CEM Price Data'!W5)</f>
        <v>253.8</v>
      </c>
      <c r="W6" s="526">
        <f>IF('CEM Price Data'!X5="","",'CEM Price Data'!X5)</f>
        <v>305.07</v>
      </c>
      <c r="X6" s="526">
        <f>IF('CEM Price Data'!Y5="","",'CEM Price Data'!Y5)</f>
        <v>540.41</v>
      </c>
      <c r="Y6" s="526">
        <f>IF('CEM Price Data'!Z5="","",'CEM Price Data'!Z5)</f>
        <v>282.25</v>
      </c>
      <c r="Z6" s="526">
        <f>IF('CEM Price Data'!AA5="","",'CEM Price Data'!AA5)</f>
        <v>80.33</v>
      </c>
      <c r="AA6" s="526">
        <f>IF('CEM Price Data'!AB5="","",'CEM Price Data'!AB5)</f>
        <v>129.72</v>
      </c>
      <c r="AB6" s="526">
        <f>IF('CEM Price Data'!AC5="","",'CEM Price Data'!AC5)</f>
        <v>90.34</v>
      </c>
      <c r="AC6" s="526">
        <f>IF('CEM Price Data'!AD5="","",'CEM Price Data'!AD5)</f>
        <v>131.72</v>
      </c>
      <c r="AD6" s="526">
        <f>IF('CEM Price Data'!AE5="","",'CEM Price Data'!AE5)</f>
        <v>36.54</v>
      </c>
      <c r="AE6" s="526">
        <f>IF('CEM Price Data'!AF5="","",'CEM Price Data'!AF5)</f>
        <v>237.48</v>
      </c>
      <c r="AF6" s="526">
        <f>IF('CEM Price Data'!AG5="","",'CEM Price Data'!AG5)</f>
        <v>89.13</v>
      </c>
      <c r="AG6" s="526">
        <f>IF('CEM Price Data'!AH5="","",'CEM Price Data'!AH5)</f>
        <v>5.73</v>
      </c>
      <c r="AH6" s="526">
        <f>IF('CEM Price Data'!AI5="","",'CEM Price Data'!AI5)</f>
        <v>72.31</v>
      </c>
      <c r="AI6" s="526">
        <f>IF('CEM Price Data'!AJ5="","",'CEM Price Data'!AJ5)</f>
        <v>543.41</v>
      </c>
      <c r="AJ6" s="526">
        <f>IF('CEM Price Data'!AK5="","",'CEM Price Data'!AK5)</f>
        <v>161.19</v>
      </c>
      <c r="AK6" s="526">
        <f>IF('CEM Price Data'!AL5="","",'CEM Price Data'!AL5)</f>
        <v>201.13</v>
      </c>
      <c r="AL6" s="526">
        <f>IF('CEM Price Data'!AM5="","",'CEM Price Data'!AM5)</f>
        <v>340.71</v>
      </c>
      <c r="AM6" s="526">
        <f>IF('CEM Price Data'!AN5="","",'CEM Price Data'!AN5)</f>
        <v>247</v>
      </c>
      <c r="AN6" s="526">
        <f>IF('CEM Price Data'!AO5="","",'CEM Price Data'!AO5)</f>
        <v>13.65</v>
      </c>
    </row>
    <row r="7" spans="1:40">
      <c r="A7" s="525">
        <f>IF('CEM Price Data'!B6="","",'CEM Price Data'!B6)</f>
        <v>44922</v>
      </c>
      <c r="B7" s="526">
        <f>IF('CEM Price Data'!C6="","",'CEM Price Data'!C6)</f>
        <v>149.55000000000001</v>
      </c>
      <c r="C7" s="526">
        <f>IF('CEM Price Data'!D6="","",'CEM Price Data'!D6)</f>
        <v>108.57</v>
      </c>
      <c r="D7" s="526">
        <f>IF('CEM Price Data'!E6="","",'CEM Price Data'!E6)</f>
        <v>162.19999999999999</v>
      </c>
      <c r="E7" s="526">
        <f>IF('CEM Price Data'!F6="","",'CEM Price Data'!F6)</f>
        <v>124.57</v>
      </c>
      <c r="F7" s="526">
        <f>IF('CEM Price Data'!G6="","",'CEM Price Data'!G6)</f>
        <v>57.67</v>
      </c>
      <c r="G7" s="526">
        <f>IF('CEM Price Data'!H6="","",'CEM Price Data'!H6)</f>
        <v>312.2</v>
      </c>
      <c r="H7" s="526">
        <f>IF('CEM Price Data'!I6="","",'CEM Price Data'!I6)</f>
        <v>66.58</v>
      </c>
      <c r="I7" s="526">
        <f>IF('CEM Price Data'!J6="","",'CEM Price Data'!J6)</f>
        <v>72.61</v>
      </c>
      <c r="J7" s="526">
        <f>IF('CEM Price Data'!K6="","",'CEM Price Data'!K6)</f>
        <v>135.47</v>
      </c>
      <c r="K7" s="526">
        <f>IF('CEM Price Data'!L6="","",'CEM Price Data'!L6)</f>
        <v>302.92</v>
      </c>
      <c r="L7" s="526">
        <f>IF('CEM Price Data'!M6="","",'CEM Price Data'!M6)</f>
        <v>513.19000000000005</v>
      </c>
      <c r="M7" s="526">
        <f>IF('CEM Price Data'!N6="","",'CEM Price Data'!N6)</f>
        <v>115.95</v>
      </c>
      <c r="N7" s="526">
        <f>IF('CEM Price Data'!O6="","",'CEM Price Data'!O6)</f>
        <v>157.28</v>
      </c>
      <c r="O7" s="526">
        <f>IF('CEM Price Data'!P6="","",'CEM Price Data'!P6)</f>
        <v>100.38</v>
      </c>
      <c r="P7" s="526">
        <f>IF('CEM Price Data'!Q6="","",'CEM Price Data'!Q6)</f>
        <v>99.45</v>
      </c>
      <c r="Q7" s="526">
        <f>IF('CEM Price Data'!R6="","",'CEM Price Data'!R6)</f>
        <v>152.09</v>
      </c>
      <c r="R7" s="526">
        <f>IF('CEM Price Data'!S6="","",'CEM Price Data'!S6)</f>
        <v>178.9</v>
      </c>
      <c r="S7" s="526">
        <f>IF('CEM Price Data'!T6="","",'CEM Price Data'!T6)</f>
        <v>84.83</v>
      </c>
      <c r="T7" s="526">
        <f>IF('CEM Price Data'!U6="","",'CEM Price Data'!U6)</f>
        <v>112.12</v>
      </c>
      <c r="U7" s="526">
        <f>IF('CEM Price Data'!V6="","",'CEM Price Data'!V6)</f>
        <v>460.43</v>
      </c>
      <c r="V7" s="526">
        <f>IF('CEM Price Data'!W6="","",'CEM Price Data'!W6)</f>
        <v>256.63</v>
      </c>
      <c r="W7" s="526">
        <f>IF('CEM Price Data'!X6="","",'CEM Price Data'!X6)</f>
        <v>311.86</v>
      </c>
      <c r="X7" s="526">
        <f>IF('CEM Price Data'!Y6="","",'CEM Price Data'!Y6)</f>
        <v>541.19000000000005</v>
      </c>
      <c r="Y7" s="526">
        <f>IF('CEM Price Data'!Z6="","",'CEM Price Data'!Z6)</f>
        <v>286.77</v>
      </c>
      <c r="Z7" s="526">
        <f>IF('CEM Price Data'!AA6="","",'CEM Price Data'!AA6)</f>
        <v>80.98</v>
      </c>
      <c r="AA7" s="526">
        <f>IF('CEM Price Data'!AB6="","",'CEM Price Data'!AB6)</f>
        <v>130.16999999999999</v>
      </c>
      <c r="AB7" s="526">
        <f>IF('CEM Price Data'!AC6="","",'CEM Price Data'!AC6)</f>
        <v>91.53</v>
      </c>
      <c r="AC7" s="526">
        <f>IF('CEM Price Data'!AD6="","",'CEM Price Data'!AD6)</f>
        <v>133.68</v>
      </c>
      <c r="AD7" s="526">
        <f>IF('CEM Price Data'!AE6="","",'CEM Price Data'!AE6)</f>
        <v>37.020000000000003</v>
      </c>
      <c r="AE7" s="526">
        <f>IF('CEM Price Data'!AF6="","",'CEM Price Data'!AF6)</f>
        <v>239.42</v>
      </c>
      <c r="AF7" s="526">
        <f>IF('CEM Price Data'!AG6="","",'CEM Price Data'!AG6)</f>
        <v>90.84</v>
      </c>
      <c r="AG7" s="526">
        <f>IF('CEM Price Data'!AH6="","",'CEM Price Data'!AH6)</f>
        <v>5.78</v>
      </c>
      <c r="AH7" s="526">
        <f>IF('CEM Price Data'!AI6="","",'CEM Price Data'!AI6)</f>
        <v>73.180000000000007</v>
      </c>
      <c r="AI7" s="526">
        <f>IF('CEM Price Data'!AJ6="","",'CEM Price Data'!AJ6)</f>
        <v>545.44000000000005</v>
      </c>
      <c r="AJ7" s="526">
        <f>IF('CEM Price Data'!AK6="","",'CEM Price Data'!AK6)</f>
        <v>163.78</v>
      </c>
      <c r="AK7" s="526">
        <f>IF('CEM Price Data'!AL6="","",'CEM Price Data'!AL6)</f>
        <v>204.07</v>
      </c>
      <c r="AL7" s="526">
        <f>IF('CEM Price Data'!AM6="","",'CEM Price Data'!AM6)</f>
        <v>346.53</v>
      </c>
      <c r="AM7" s="526">
        <f>IF('CEM Price Data'!AN6="","",'CEM Price Data'!AN6)</f>
        <v>252.67</v>
      </c>
      <c r="AN7" s="526">
        <f>IF('CEM Price Data'!AO6="","",'CEM Price Data'!AO6)</f>
        <v>13.84</v>
      </c>
    </row>
    <row r="8" spans="1:40">
      <c r="A8" s="525">
        <f>IF('CEM Price Data'!B7="","",'CEM Price Data'!B7)</f>
        <v>44918</v>
      </c>
      <c r="B8" s="526">
        <f>IF('CEM Price Data'!C7="","",'CEM Price Data'!C7)</f>
        <v>149.22999999999999</v>
      </c>
      <c r="C8" s="526">
        <f>IF('CEM Price Data'!D7="","",'CEM Price Data'!D7)</f>
        <v>108.18</v>
      </c>
      <c r="D8" s="526">
        <f>IF('CEM Price Data'!E7="","",'CEM Price Data'!E7)</f>
        <v>163.84</v>
      </c>
      <c r="E8" s="526">
        <f>IF('CEM Price Data'!F7="","",'CEM Price Data'!F7)</f>
        <v>125.03</v>
      </c>
      <c r="F8" s="526">
        <f>IF('CEM Price Data'!G7="","",'CEM Price Data'!G7)</f>
        <v>56.9</v>
      </c>
      <c r="G8" s="526">
        <f>IF('CEM Price Data'!H7="","",'CEM Price Data'!H7)</f>
        <v>312.04000000000002</v>
      </c>
      <c r="H8" s="526">
        <f>IF('CEM Price Data'!I7="","",'CEM Price Data'!I7)</f>
        <v>66.349999999999994</v>
      </c>
      <c r="I8" s="526">
        <f>IF('CEM Price Data'!J7="","",'CEM Price Data'!J7)</f>
        <v>72.89</v>
      </c>
      <c r="J8" s="526">
        <f>IF('CEM Price Data'!K7="","",'CEM Price Data'!K7)</f>
        <v>134.47999999999999</v>
      </c>
      <c r="K8" s="526">
        <f>IF('CEM Price Data'!L7="","",'CEM Price Data'!L7)</f>
        <v>299.27999999999997</v>
      </c>
      <c r="L8" s="526">
        <f>IF('CEM Price Data'!M7="","",'CEM Price Data'!M7)</f>
        <v>516.16999999999996</v>
      </c>
      <c r="M8" s="526">
        <f>IF('CEM Price Data'!N7="","",'CEM Price Data'!N7)</f>
        <v>117.17</v>
      </c>
      <c r="N8" s="526">
        <f>IF('CEM Price Data'!O7="","",'CEM Price Data'!O7)</f>
        <v>156.31</v>
      </c>
      <c r="O8" s="526">
        <f>IF('CEM Price Data'!P7="","",'CEM Price Data'!P7)</f>
        <v>100.55</v>
      </c>
      <c r="P8" s="526">
        <f>IF('CEM Price Data'!Q7="","",'CEM Price Data'!Q7)</f>
        <v>98.87</v>
      </c>
      <c r="Q8" s="526">
        <f>IF('CEM Price Data'!R7="","",'CEM Price Data'!R7)</f>
        <v>153.4</v>
      </c>
      <c r="R8" s="526">
        <f>IF('CEM Price Data'!S7="","",'CEM Price Data'!S7)</f>
        <v>177.34</v>
      </c>
      <c r="S8" s="526">
        <f>IF('CEM Price Data'!T7="","",'CEM Price Data'!T7)</f>
        <v>84.22</v>
      </c>
      <c r="T8" s="526">
        <f>IF('CEM Price Data'!U7="","",'CEM Price Data'!U7)</f>
        <v>111.86</v>
      </c>
      <c r="U8" s="526">
        <f>IF('CEM Price Data'!V7="","",'CEM Price Data'!V7)</f>
        <v>463.82</v>
      </c>
      <c r="V8" s="526">
        <f>IF('CEM Price Data'!W7="","",'CEM Price Data'!W7)</f>
        <v>256.63</v>
      </c>
      <c r="W8" s="526">
        <f>IF('CEM Price Data'!X7="","",'CEM Price Data'!X7)</f>
        <v>310.06</v>
      </c>
      <c r="X8" s="526">
        <f>IF('CEM Price Data'!Y7="","",'CEM Price Data'!Y7)</f>
        <v>534.77</v>
      </c>
      <c r="Y8" s="526">
        <f>IF('CEM Price Data'!Z7="","",'CEM Price Data'!Z7)</f>
        <v>286.10000000000002</v>
      </c>
      <c r="Z8" s="526">
        <f>IF('CEM Price Data'!AA7="","",'CEM Price Data'!AA7)</f>
        <v>80.849999999999994</v>
      </c>
      <c r="AA8" s="526">
        <f>IF('CEM Price Data'!AB7="","",'CEM Price Data'!AB7)</f>
        <v>129.44</v>
      </c>
      <c r="AB8" s="526">
        <f>IF('CEM Price Data'!AC7="","",'CEM Price Data'!AC7)</f>
        <v>91.11</v>
      </c>
      <c r="AC8" s="526">
        <f>IF('CEM Price Data'!AD7="","",'CEM Price Data'!AD7)</f>
        <v>133.69</v>
      </c>
      <c r="AD8" s="526">
        <f>IF('CEM Price Data'!AE7="","",'CEM Price Data'!AE7)</f>
        <v>37.119999999999997</v>
      </c>
      <c r="AE8" s="526">
        <f>IF('CEM Price Data'!AF7="","",'CEM Price Data'!AF7)</f>
        <v>242.67</v>
      </c>
      <c r="AF8" s="526">
        <f>IF('CEM Price Data'!AG7="","",'CEM Price Data'!AG7)</f>
        <v>90.85</v>
      </c>
      <c r="AG8" s="526">
        <f>IF('CEM Price Data'!AH7="","",'CEM Price Data'!AH7)</f>
        <v>5.84</v>
      </c>
      <c r="AH8" s="526">
        <f>IF('CEM Price Data'!AI7="","",'CEM Price Data'!AI7)</f>
        <v>72.930000000000007</v>
      </c>
      <c r="AI8" s="526">
        <f>IF('CEM Price Data'!AJ7="","",'CEM Price Data'!AJ7)</f>
        <v>540.67999999999995</v>
      </c>
      <c r="AJ8" s="526">
        <f>IF('CEM Price Data'!AK7="","",'CEM Price Data'!AK7)</f>
        <v>164.38</v>
      </c>
      <c r="AK8" s="526">
        <f>IF('CEM Price Data'!AL7="","",'CEM Price Data'!AL7)</f>
        <v>203.72</v>
      </c>
      <c r="AL8" s="526">
        <f>IF('CEM Price Data'!AM7="","",'CEM Price Data'!AM7)</f>
        <v>346.66</v>
      </c>
      <c r="AM8" s="526">
        <f>IF('CEM Price Data'!AN7="","",'CEM Price Data'!AN7)</f>
        <v>252.17</v>
      </c>
      <c r="AN8" s="526">
        <f>IF('CEM Price Data'!AO7="","",'CEM Price Data'!AO7)</f>
        <v>13.83</v>
      </c>
    </row>
    <row r="9" spans="1:40">
      <c r="A9" s="525">
        <f>IF('CEM Price Data'!B8="","",'CEM Price Data'!B8)</f>
        <v>44917</v>
      </c>
      <c r="B9" s="526">
        <f>IF('CEM Price Data'!C8="","",'CEM Price Data'!C8)</f>
        <v>149.01</v>
      </c>
      <c r="C9" s="526">
        <f>IF('CEM Price Data'!D8="","",'CEM Price Data'!D8)</f>
        <v>108.03</v>
      </c>
      <c r="D9" s="526">
        <f>IF('CEM Price Data'!E8="","",'CEM Price Data'!E8)</f>
        <v>163.75</v>
      </c>
      <c r="E9" s="526">
        <f>IF('CEM Price Data'!F8="","",'CEM Price Data'!F8)</f>
        <v>122.97</v>
      </c>
      <c r="F9" s="526">
        <f>IF('CEM Price Data'!G8="","",'CEM Price Data'!G8)</f>
        <v>56.23</v>
      </c>
      <c r="G9" s="526">
        <f>IF('CEM Price Data'!H8="","",'CEM Price Data'!H8)</f>
        <v>312.60000000000002</v>
      </c>
      <c r="H9" s="526">
        <f>IF('CEM Price Data'!I8="","",'CEM Price Data'!I8)</f>
        <v>66.52</v>
      </c>
      <c r="I9" s="526">
        <f>IF('CEM Price Data'!J8="","",'CEM Price Data'!J8)</f>
        <v>73.83</v>
      </c>
      <c r="J9" s="526">
        <f>IF('CEM Price Data'!K8="","",'CEM Price Data'!K8)</f>
        <v>134.4</v>
      </c>
      <c r="K9" s="526">
        <f>IF('CEM Price Data'!L8="","",'CEM Price Data'!L8)</f>
        <v>299.58999999999997</v>
      </c>
      <c r="L9" s="526">
        <f>IF('CEM Price Data'!M8="","",'CEM Price Data'!M8)</f>
        <v>513.45000000000005</v>
      </c>
      <c r="M9" s="526">
        <f>IF('CEM Price Data'!N8="","",'CEM Price Data'!N8)</f>
        <v>114.9</v>
      </c>
      <c r="N9" s="526">
        <f>IF('CEM Price Data'!O8="","",'CEM Price Data'!O8)</f>
        <v>155.63</v>
      </c>
      <c r="O9" s="526">
        <f>IF('CEM Price Data'!P8="","",'CEM Price Data'!P8)</f>
        <v>100.2</v>
      </c>
      <c r="P9" s="526">
        <f>IF('CEM Price Data'!Q8="","",'CEM Price Data'!Q8)</f>
        <v>98.43</v>
      </c>
      <c r="Q9" s="526">
        <f>IF('CEM Price Data'!R8="","",'CEM Price Data'!R8)</f>
        <v>153.19999999999999</v>
      </c>
      <c r="R9" s="526">
        <f>IF('CEM Price Data'!S8="","",'CEM Price Data'!S8)</f>
        <v>176.67</v>
      </c>
      <c r="S9" s="526">
        <f>IF('CEM Price Data'!T8="","",'CEM Price Data'!T8)</f>
        <v>84.18</v>
      </c>
      <c r="T9" s="526">
        <f>IF('CEM Price Data'!U8="","",'CEM Price Data'!U8)</f>
        <v>111.24</v>
      </c>
      <c r="U9" s="526">
        <f>IF('CEM Price Data'!V8="","",'CEM Price Data'!V8)</f>
        <v>462.32</v>
      </c>
      <c r="V9" s="526">
        <f>IF('CEM Price Data'!W8="","",'CEM Price Data'!W8)</f>
        <v>255.42</v>
      </c>
      <c r="W9" s="526">
        <f>IF('CEM Price Data'!X8="","",'CEM Price Data'!X8)</f>
        <v>306.98</v>
      </c>
      <c r="X9" s="526">
        <f>IF('CEM Price Data'!Y8="","",'CEM Price Data'!Y8)</f>
        <v>531.37</v>
      </c>
      <c r="Y9" s="526">
        <f>IF('CEM Price Data'!Z8="","",'CEM Price Data'!Z8)</f>
        <v>281.97000000000003</v>
      </c>
      <c r="Z9" s="526">
        <f>IF('CEM Price Data'!AA8="","",'CEM Price Data'!AA8)</f>
        <v>80.489999999999995</v>
      </c>
      <c r="AA9" s="526">
        <f>IF('CEM Price Data'!AB8="","",'CEM Price Data'!AB8)</f>
        <v>128.6</v>
      </c>
      <c r="AB9" s="526">
        <f>IF('CEM Price Data'!AC8="","",'CEM Price Data'!AC8)</f>
        <v>90.5</v>
      </c>
      <c r="AC9" s="526">
        <f>IF('CEM Price Data'!AD8="","",'CEM Price Data'!AD8)</f>
        <v>131.76</v>
      </c>
      <c r="AD9" s="526">
        <f>IF('CEM Price Data'!AE8="","",'CEM Price Data'!AE8)</f>
        <v>36.97</v>
      </c>
      <c r="AE9" s="526">
        <f>IF('CEM Price Data'!AF8="","",'CEM Price Data'!AF8)</f>
        <v>241.3</v>
      </c>
      <c r="AF9" s="526">
        <f>IF('CEM Price Data'!AG8="","",'CEM Price Data'!AG8)</f>
        <v>90.25</v>
      </c>
      <c r="AG9" s="526">
        <f>IF('CEM Price Data'!AH8="","",'CEM Price Data'!AH8)</f>
        <v>5.81</v>
      </c>
      <c r="AH9" s="526">
        <f>IF('CEM Price Data'!AI8="","",'CEM Price Data'!AI8)</f>
        <v>72.3</v>
      </c>
      <c r="AI9" s="526">
        <f>IF('CEM Price Data'!AJ8="","",'CEM Price Data'!AJ8)</f>
        <v>539.14</v>
      </c>
      <c r="AJ9" s="526">
        <f>IF('CEM Price Data'!AK8="","",'CEM Price Data'!AK8)</f>
        <v>164.7</v>
      </c>
      <c r="AK9" s="526">
        <f>IF('CEM Price Data'!AL8="","",'CEM Price Data'!AL8)</f>
        <v>203.43</v>
      </c>
      <c r="AL9" s="526">
        <f>IF('CEM Price Data'!AM8="","",'CEM Price Data'!AM8)</f>
        <v>344.3</v>
      </c>
      <c r="AM9" s="526">
        <f>IF('CEM Price Data'!AN8="","",'CEM Price Data'!AN8)</f>
        <v>249.03</v>
      </c>
      <c r="AN9" s="526">
        <f>IF('CEM Price Data'!AO8="","",'CEM Price Data'!AO8)</f>
        <v>13.61</v>
      </c>
    </row>
    <row r="10" spans="1:40">
      <c r="A10" s="525">
        <f>IF('CEM Price Data'!B9="","",'CEM Price Data'!B9)</f>
        <v>44916</v>
      </c>
      <c r="B10" s="526">
        <f>IF('CEM Price Data'!C9="","",'CEM Price Data'!C9)</f>
        <v>150.09</v>
      </c>
      <c r="C10" s="526">
        <f>IF('CEM Price Data'!D9="","",'CEM Price Data'!D9)</f>
        <v>108.14</v>
      </c>
      <c r="D10" s="526">
        <f>IF('CEM Price Data'!E9="","",'CEM Price Data'!E9)</f>
        <v>167.41</v>
      </c>
      <c r="E10" s="526">
        <f>IF('CEM Price Data'!F9="","",'CEM Price Data'!F9)</f>
        <v>123.53</v>
      </c>
      <c r="F10" s="526">
        <f>IF('CEM Price Data'!G9="","",'CEM Price Data'!G9)</f>
        <v>57.24</v>
      </c>
      <c r="G10" s="526">
        <f>IF('CEM Price Data'!H9="","",'CEM Price Data'!H9)</f>
        <v>314.49</v>
      </c>
      <c r="H10" s="526">
        <f>IF('CEM Price Data'!I9="","",'CEM Price Data'!I9)</f>
        <v>66.819999999999993</v>
      </c>
      <c r="I10" s="526">
        <f>IF('CEM Price Data'!J9="","",'CEM Price Data'!J9)</f>
        <v>73.33</v>
      </c>
      <c r="J10" s="526">
        <f>IF('CEM Price Data'!K9="","",'CEM Price Data'!K9)</f>
        <v>136.33000000000001</v>
      </c>
      <c r="K10" s="526">
        <f>IF('CEM Price Data'!L9="","",'CEM Price Data'!L9)</f>
        <v>303.64</v>
      </c>
      <c r="L10" s="526">
        <f>IF('CEM Price Data'!M9="","",'CEM Price Data'!M9)</f>
        <v>514.48</v>
      </c>
      <c r="M10" s="526">
        <f>IF('CEM Price Data'!N9="","",'CEM Price Data'!N9)</f>
        <v>120.18</v>
      </c>
      <c r="N10" s="526">
        <f>IF('CEM Price Data'!O9="","",'CEM Price Data'!O9)</f>
        <v>155.30000000000001</v>
      </c>
      <c r="O10" s="526">
        <f>IF('CEM Price Data'!P9="","",'CEM Price Data'!P9)</f>
        <v>100.86</v>
      </c>
      <c r="P10" s="526">
        <f>IF('CEM Price Data'!Q9="","",'CEM Price Data'!Q9)</f>
        <v>99.05</v>
      </c>
      <c r="Q10" s="526">
        <f>IF('CEM Price Data'!R9="","",'CEM Price Data'!R9)</f>
        <v>154.34</v>
      </c>
      <c r="R10" s="526">
        <f>IF('CEM Price Data'!S9="","",'CEM Price Data'!S9)</f>
        <v>178.29</v>
      </c>
      <c r="S10" s="526">
        <f>IF('CEM Price Data'!T9="","",'CEM Price Data'!T9)</f>
        <v>84.25</v>
      </c>
      <c r="T10" s="526">
        <f>IF('CEM Price Data'!U9="","",'CEM Price Data'!U9)</f>
        <v>111.11</v>
      </c>
      <c r="U10" s="526">
        <f>IF('CEM Price Data'!V9="","",'CEM Price Data'!V9)</f>
        <v>472.36</v>
      </c>
      <c r="V10" s="526">
        <f>IF('CEM Price Data'!W9="","",'CEM Price Data'!W9)</f>
        <v>257.5</v>
      </c>
      <c r="W10" s="526">
        <f>IF('CEM Price Data'!X9="","",'CEM Price Data'!X9)</f>
        <v>308.86</v>
      </c>
      <c r="X10" s="526">
        <f>IF('CEM Price Data'!Y9="","",'CEM Price Data'!Y9)</f>
        <v>538.79</v>
      </c>
      <c r="Y10" s="526">
        <f>IF('CEM Price Data'!Z9="","",'CEM Price Data'!Z9)</f>
        <v>287.31</v>
      </c>
      <c r="Z10" s="526">
        <f>IF('CEM Price Data'!AA9="","",'CEM Price Data'!AA9)</f>
        <v>81.5</v>
      </c>
      <c r="AA10" s="526">
        <f>IF('CEM Price Data'!AB9="","",'CEM Price Data'!AB9)</f>
        <v>129.12</v>
      </c>
      <c r="AB10" s="526">
        <f>IF('CEM Price Data'!AC9="","",'CEM Price Data'!AC9)</f>
        <v>90.85</v>
      </c>
      <c r="AC10" s="526">
        <f>IF('CEM Price Data'!AD9="","",'CEM Price Data'!AD9)</f>
        <v>132.75</v>
      </c>
      <c r="AD10" s="526">
        <f>IF('CEM Price Data'!AE9="","",'CEM Price Data'!AE9)</f>
        <v>37.39</v>
      </c>
      <c r="AE10" s="526">
        <f>IF('CEM Price Data'!AF9="","",'CEM Price Data'!AF9)</f>
        <v>242.21</v>
      </c>
      <c r="AF10" s="526">
        <f>IF('CEM Price Data'!AG9="","",'CEM Price Data'!AG9)</f>
        <v>91.8</v>
      </c>
      <c r="AG10" s="526">
        <f>IF('CEM Price Data'!AH9="","",'CEM Price Data'!AH9)</f>
        <v>5.9</v>
      </c>
      <c r="AH10" s="526">
        <f>IF('CEM Price Data'!AI9="","",'CEM Price Data'!AI9)</f>
        <v>72.97</v>
      </c>
      <c r="AI10" s="526">
        <f>IF('CEM Price Data'!AJ9="","",'CEM Price Data'!AJ9)</f>
        <v>539.89</v>
      </c>
      <c r="AJ10" s="526">
        <f>IF('CEM Price Data'!AK9="","",'CEM Price Data'!AK9)</f>
        <v>168.73</v>
      </c>
      <c r="AK10" s="526">
        <f>IF('CEM Price Data'!AL9="","",'CEM Price Data'!AL9)</f>
        <v>204.81</v>
      </c>
      <c r="AL10" s="526">
        <f>IF('CEM Price Data'!AM9="","",'CEM Price Data'!AM9)</f>
        <v>346.78</v>
      </c>
      <c r="AM10" s="526">
        <f>IF('CEM Price Data'!AN9="","",'CEM Price Data'!AN9)</f>
        <v>254.68</v>
      </c>
      <c r="AN10" s="526">
        <f>IF('CEM Price Data'!AO9="","",'CEM Price Data'!AO9)</f>
        <v>13.72</v>
      </c>
    </row>
    <row r="11" spans="1:40">
      <c r="A11" s="525">
        <f>IF('CEM Price Data'!B10="","",'CEM Price Data'!B10)</f>
        <v>44915</v>
      </c>
      <c r="B11" s="526">
        <f>IF('CEM Price Data'!C10="","",'CEM Price Data'!C10)</f>
        <v>147.93</v>
      </c>
      <c r="C11" s="526">
        <f>IF('CEM Price Data'!D10="","",'CEM Price Data'!D10)</f>
        <v>106.49</v>
      </c>
      <c r="D11" s="526">
        <f>IF('CEM Price Data'!E10="","",'CEM Price Data'!E10)</f>
        <v>164.33</v>
      </c>
      <c r="E11" s="526">
        <f>IF('CEM Price Data'!F10="","",'CEM Price Data'!F10)</f>
        <v>122.05</v>
      </c>
      <c r="F11" s="526">
        <f>IF('CEM Price Data'!G10="","",'CEM Price Data'!G10)</f>
        <v>56.34</v>
      </c>
      <c r="G11" s="526">
        <f>IF('CEM Price Data'!H10="","",'CEM Price Data'!H10)</f>
        <v>312.54000000000002</v>
      </c>
      <c r="H11" s="526">
        <f>IF('CEM Price Data'!I10="","",'CEM Price Data'!I10)</f>
        <v>65.099999999999994</v>
      </c>
      <c r="I11" s="526">
        <f>IF('CEM Price Data'!J10="","",'CEM Price Data'!J10)</f>
        <v>72.650000000000006</v>
      </c>
      <c r="J11" s="526">
        <f>IF('CEM Price Data'!K10="","",'CEM Price Data'!K10)</f>
        <v>133.41</v>
      </c>
      <c r="K11" s="526">
        <f>IF('CEM Price Data'!L10="","",'CEM Price Data'!L10)</f>
        <v>298.14999999999998</v>
      </c>
      <c r="L11" s="526">
        <f>IF('CEM Price Data'!M10="","",'CEM Price Data'!M10)</f>
        <v>505.17</v>
      </c>
      <c r="M11" s="526">
        <f>IF('CEM Price Data'!N10="","",'CEM Price Data'!N10)</f>
        <v>118.5</v>
      </c>
      <c r="N11" s="526">
        <f>IF('CEM Price Data'!O10="","",'CEM Price Data'!O10)</f>
        <v>150.19999999999999</v>
      </c>
      <c r="O11" s="526">
        <f>IF('CEM Price Data'!P10="","",'CEM Price Data'!P10)</f>
        <v>99.06</v>
      </c>
      <c r="P11" s="526">
        <f>IF('CEM Price Data'!Q10="","",'CEM Price Data'!Q10)</f>
        <v>97.48</v>
      </c>
      <c r="Q11" s="526">
        <f>IF('CEM Price Data'!R10="","",'CEM Price Data'!R10)</f>
        <v>151.78</v>
      </c>
      <c r="R11" s="526">
        <f>IF('CEM Price Data'!S10="","",'CEM Price Data'!S10)</f>
        <v>176.47</v>
      </c>
      <c r="S11" s="526">
        <f>IF('CEM Price Data'!T10="","",'CEM Price Data'!T10)</f>
        <v>82.99</v>
      </c>
      <c r="T11" s="526">
        <f>IF('CEM Price Data'!U10="","",'CEM Price Data'!U10)</f>
        <v>109.71</v>
      </c>
      <c r="U11" s="526">
        <f>IF('CEM Price Data'!V10="","",'CEM Price Data'!V10)</f>
        <v>458</v>
      </c>
      <c r="V11" s="526">
        <f>IF('CEM Price Data'!W10="","",'CEM Price Data'!W10)</f>
        <v>255.82</v>
      </c>
      <c r="W11" s="526">
        <f>IF('CEM Price Data'!X10="","",'CEM Price Data'!X10)</f>
        <v>305.64</v>
      </c>
      <c r="X11" s="526">
        <f>IF('CEM Price Data'!Y10="","",'CEM Price Data'!Y10)</f>
        <v>529.57000000000005</v>
      </c>
      <c r="Y11" s="526">
        <f>IF('CEM Price Data'!Z10="","",'CEM Price Data'!Z10)</f>
        <v>284.20999999999998</v>
      </c>
      <c r="Z11" s="526">
        <f>IF('CEM Price Data'!AA10="","",'CEM Price Data'!AA10)</f>
        <v>80.94</v>
      </c>
      <c r="AA11" s="526">
        <f>IF('CEM Price Data'!AB10="","",'CEM Price Data'!AB10)</f>
        <v>127.19</v>
      </c>
      <c r="AB11" s="526">
        <f>IF('CEM Price Data'!AC10="","",'CEM Price Data'!AC10)</f>
        <v>90.12</v>
      </c>
      <c r="AC11" s="526">
        <f>IF('CEM Price Data'!AD10="","",'CEM Price Data'!AD10)</f>
        <v>129.80000000000001</v>
      </c>
      <c r="AD11" s="526">
        <f>IF('CEM Price Data'!AE10="","",'CEM Price Data'!AE10)</f>
        <v>37.119999999999997</v>
      </c>
      <c r="AE11" s="526">
        <f>IF('CEM Price Data'!AF10="","",'CEM Price Data'!AF10)</f>
        <v>238.58</v>
      </c>
      <c r="AF11" s="526">
        <f>IF('CEM Price Data'!AG10="","",'CEM Price Data'!AG10)</f>
        <v>89.74</v>
      </c>
      <c r="AG11" s="526">
        <f>IF('CEM Price Data'!AH10="","",'CEM Price Data'!AH10)</f>
        <v>5.87</v>
      </c>
      <c r="AH11" s="526">
        <f>IF('CEM Price Data'!AI10="","",'CEM Price Data'!AI10)</f>
        <v>71.930000000000007</v>
      </c>
      <c r="AI11" s="526">
        <f>IF('CEM Price Data'!AJ10="","",'CEM Price Data'!AJ10)</f>
        <v>528.5</v>
      </c>
      <c r="AJ11" s="526">
        <f>IF('CEM Price Data'!AK10="","",'CEM Price Data'!AK10)</f>
        <v>166.09</v>
      </c>
      <c r="AK11" s="526">
        <f>IF('CEM Price Data'!AL10="","",'CEM Price Data'!AL10)</f>
        <v>202.74</v>
      </c>
      <c r="AL11" s="526">
        <f>IF('CEM Price Data'!AM10="","",'CEM Price Data'!AM10)</f>
        <v>339.14</v>
      </c>
      <c r="AM11" s="526">
        <f>IF('CEM Price Data'!AN10="","",'CEM Price Data'!AN10)</f>
        <v>251.49</v>
      </c>
      <c r="AN11" s="526">
        <f>IF('CEM Price Data'!AO10="","",'CEM Price Data'!AO10)</f>
        <v>13.51</v>
      </c>
    </row>
    <row r="12" spans="1:40">
      <c r="A12" s="525">
        <f>IF('CEM Price Data'!B11="","",'CEM Price Data'!B11)</f>
        <v>44914</v>
      </c>
      <c r="B12" s="526">
        <f>IF('CEM Price Data'!C11="","",'CEM Price Data'!C11)</f>
        <v>146.94999999999999</v>
      </c>
      <c r="C12" s="526">
        <f>IF('CEM Price Data'!D11="","",'CEM Price Data'!D11)</f>
        <v>106.59</v>
      </c>
      <c r="D12" s="526">
        <f>IF('CEM Price Data'!E11="","",'CEM Price Data'!E11)</f>
        <v>165.14</v>
      </c>
      <c r="E12" s="526">
        <f>IF('CEM Price Data'!F11="","",'CEM Price Data'!F11)</f>
        <v>122.95</v>
      </c>
      <c r="F12" s="526">
        <f>IF('CEM Price Data'!G11="","",'CEM Price Data'!G11)</f>
        <v>56.06</v>
      </c>
      <c r="G12" s="526">
        <f>IF('CEM Price Data'!H11="","",'CEM Price Data'!H11)</f>
        <v>313.72000000000003</v>
      </c>
      <c r="H12" s="526">
        <f>IF('CEM Price Data'!I11="","",'CEM Price Data'!I11)</f>
        <v>65.459999999999994</v>
      </c>
      <c r="I12" s="526">
        <f>IF('CEM Price Data'!J11="","",'CEM Price Data'!J11)</f>
        <v>73.16</v>
      </c>
      <c r="J12" s="526">
        <f>IF('CEM Price Data'!K11="","",'CEM Price Data'!K11)</f>
        <v>133.21</v>
      </c>
      <c r="K12" s="526">
        <f>IF('CEM Price Data'!L11="","",'CEM Price Data'!L11)</f>
        <v>297.10000000000002</v>
      </c>
      <c r="L12" s="526">
        <f>IF('CEM Price Data'!M11="","",'CEM Price Data'!M11)</f>
        <v>501.02</v>
      </c>
      <c r="M12" s="526">
        <f>IF('CEM Price Data'!N11="","",'CEM Price Data'!N11)</f>
        <v>118.73</v>
      </c>
      <c r="N12" s="526">
        <f>IF('CEM Price Data'!O11="","",'CEM Price Data'!O11)</f>
        <v>151.44999999999999</v>
      </c>
      <c r="O12" s="526">
        <f>IF('CEM Price Data'!P11="","",'CEM Price Data'!P11)</f>
        <v>97.05</v>
      </c>
      <c r="P12" s="526">
        <f>IF('CEM Price Data'!Q11="","",'CEM Price Data'!Q11)</f>
        <v>97.13</v>
      </c>
      <c r="Q12" s="526">
        <f>IF('CEM Price Data'!R11="","",'CEM Price Data'!R11)</f>
        <v>153.32</v>
      </c>
      <c r="R12" s="526">
        <f>IF('CEM Price Data'!S11="","",'CEM Price Data'!S11)</f>
        <v>175.37</v>
      </c>
      <c r="S12" s="526">
        <f>IF('CEM Price Data'!T11="","",'CEM Price Data'!T11)</f>
        <v>82.84</v>
      </c>
      <c r="T12" s="526">
        <f>IF('CEM Price Data'!U11="","",'CEM Price Data'!U11)</f>
        <v>109.44</v>
      </c>
      <c r="U12" s="526">
        <f>IF('CEM Price Data'!V11="","",'CEM Price Data'!V11)</f>
        <v>461.94</v>
      </c>
      <c r="V12" s="526">
        <f>IF('CEM Price Data'!W11="","",'CEM Price Data'!W11)</f>
        <v>254.59</v>
      </c>
      <c r="W12" s="526">
        <f>IF('CEM Price Data'!X11="","",'CEM Price Data'!X11)</f>
        <v>299.83999999999997</v>
      </c>
      <c r="X12" s="526">
        <f>IF('CEM Price Data'!Y11="","",'CEM Price Data'!Y11)</f>
        <v>532.52</v>
      </c>
      <c r="Y12" s="526">
        <f>IF('CEM Price Data'!Z11="","",'CEM Price Data'!Z11)</f>
        <v>290.19</v>
      </c>
      <c r="Z12" s="526">
        <f>IF('CEM Price Data'!AA11="","",'CEM Price Data'!AA11)</f>
        <v>80.5</v>
      </c>
      <c r="AA12" s="526">
        <f>IF('CEM Price Data'!AB11="","",'CEM Price Data'!AB11)</f>
        <v>127.07</v>
      </c>
      <c r="AB12" s="526">
        <f>IF('CEM Price Data'!AC11="","",'CEM Price Data'!AC11)</f>
        <v>90.18</v>
      </c>
      <c r="AC12" s="526">
        <f>IF('CEM Price Data'!AD11="","",'CEM Price Data'!AD11)</f>
        <v>125.39</v>
      </c>
      <c r="AD12" s="526">
        <f>IF('CEM Price Data'!AE11="","",'CEM Price Data'!AE11)</f>
        <v>36.94</v>
      </c>
      <c r="AE12" s="526">
        <f>IF('CEM Price Data'!AF11="","",'CEM Price Data'!AF11)</f>
        <v>238.11</v>
      </c>
      <c r="AF12" s="526">
        <f>IF('CEM Price Data'!AG11="","",'CEM Price Data'!AG11)</f>
        <v>87.93</v>
      </c>
      <c r="AG12" s="526">
        <f>IF('CEM Price Data'!AH11="","",'CEM Price Data'!AH11)</f>
        <v>5.9</v>
      </c>
      <c r="AH12" s="526">
        <f>IF('CEM Price Data'!AI11="","",'CEM Price Data'!AI11)</f>
        <v>71.62</v>
      </c>
      <c r="AI12" s="526">
        <f>IF('CEM Price Data'!AJ11="","",'CEM Price Data'!AJ11)</f>
        <v>530.16999999999996</v>
      </c>
      <c r="AJ12" s="526">
        <f>IF('CEM Price Data'!AK11="","",'CEM Price Data'!AK11)</f>
        <v>167.61</v>
      </c>
      <c r="AK12" s="526">
        <f>IF('CEM Price Data'!AL11="","",'CEM Price Data'!AL11)</f>
        <v>200.49</v>
      </c>
      <c r="AL12" s="526">
        <f>IF('CEM Price Data'!AM11="","",'CEM Price Data'!AM11)</f>
        <v>337.3</v>
      </c>
      <c r="AM12" s="526">
        <f>IF('CEM Price Data'!AN11="","",'CEM Price Data'!AN11)</f>
        <v>251.32</v>
      </c>
      <c r="AN12" s="526">
        <f>IF('CEM Price Data'!AO11="","",'CEM Price Data'!AO11)</f>
        <v>13.49</v>
      </c>
    </row>
    <row r="13" spans="1:40">
      <c r="A13" s="525">
        <f>IF('CEM Price Data'!B12="","",'CEM Price Data'!B12)</f>
        <v>44911</v>
      </c>
      <c r="B13" s="526">
        <f>IF('CEM Price Data'!C12="","",'CEM Price Data'!C12)</f>
        <v>149.30000000000001</v>
      </c>
      <c r="C13" s="526">
        <f>IF('CEM Price Data'!D12="","",'CEM Price Data'!D12)</f>
        <v>106.91</v>
      </c>
      <c r="D13" s="526">
        <f>IF('CEM Price Data'!E12="","",'CEM Price Data'!E12)</f>
        <v>166.82</v>
      </c>
      <c r="E13" s="526">
        <f>IF('CEM Price Data'!F12="","",'CEM Price Data'!F12)</f>
        <v>123.62</v>
      </c>
      <c r="F13" s="526">
        <f>IF('CEM Price Data'!G12="","",'CEM Price Data'!G12)</f>
        <v>56.05</v>
      </c>
      <c r="G13" s="526">
        <f>IF('CEM Price Data'!H12="","",'CEM Price Data'!H12)</f>
        <v>316.42</v>
      </c>
      <c r="H13" s="526">
        <f>IF('CEM Price Data'!I12="","",'CEM Price Data'!I12)</f>
        <v>65.86</v>
      </c>
      <c r="I13" s="526">
        <f>IF('CEM Price Data'!J12="","",'CEM Price Data'!J12)</f>
        <v>73.489999999999995</v>
      </c>
      <c r="J13" s="526">
        <f>IF('CEM Price Data'!K12="","",'CEM Price Data'!K12)</f>
        <v>133.35</v>
      </c>
      <c r="K13" s="526">
        <f>IF('CEM Price Data'!L12="","",'CEM Price Data'!L12)</f>
        <v>301.98</v>
      </c>
      <c r="L13" s="526">
        <f>IF('CEM Price Data'!M12="","",'CEM Price Data'!M12)</f>
        <v>502.89</v>
      </c>
      <c r="M13" s="526">
        <f>IF('CEM Price Data'!N12="","",'CEM Price Data'!N12)</f>
        <v>116.42</v>
      </c>
      <c r="N13" s="526">
        <f>IF('CEM Price Data'!O12="","",'CEM Price Data'!O12)</f>
        <v>149.24</v>
      </c>
      <c r="O13" s="526">
        <f>IF('CEM Price Data'!P12="","",'CEM Price Data'!P12)</f>
        <v>100.12</v>
      </c>
      <c r="P13" s="526">
        <f>IF('CEM Price Data'!Q12="","",'CEM Price Data'!Q12)</f>
        <v>97.97</v>
      </c>
      <c r="Q13" s="526">
        <f>IF('CEM Price Data'!R12="","",'CEM Price Data'!R12)</f>
        <v>151.79</v>
      </c>
      <c r="R13" s="526">
        <f>IF('CEM Price Data'!S12="","",'CEM Price Data'!S12)</f>
        <v>177.55</v>
      </c>
      <c r="S13" s="526">
        <f>IF('CEM Price Data'!T12="","",'CEM Price Data'!T12)</f>
        <v>83.41</v>
      </c>
      <c r="T13" s="526">
        <f>IF('CEM Price Data'!U12="","",'CEM Price Data'!U12)</f>
        <v>109.2</v>
      </c>
      <c r="U13" s="526">
        <f>IF('CEM Price Data'!V12="","",'CEM Price Data'!V12)</f>
        <v>471.59</v>
      </c>
      <c r="V13" s="526">
        <f>IF('CEM Price Data'!W12="","",'CEM Price Data'!W12)</f>
        <v>252.44</v>
      </c>
      <c r="W13" s="526">
        <f>IF('CEM Price Data'!X12="","",'CEM Price Data'!X12)</f>
        <v>303.49</v>
      </c>
      <c r="X13" s="526">
        <f>IF('CEM Price Data'!Y12="","",'CEM Price Data'!Y12)</f>
        <v>529.87</v>
      </c>
      <c r="Y13" s="526">
        <f>IF('CEM Price Data'!Z12="","",'CEM Price Data'!Z12)</f>
        <v>294.88</v>
      </c>
      <c r="Z13" s="526">
        <f>IF('CEM Price Data'!AA12="","",'CEM Price Data'!AA12)</f>
        <v>79.58</v>
      </c>
      <c r="AA13" s="526">
        <f>IF('CEM Price Data'!AB12="","",'CEM Price Data'!AB12)</f>
        <v>126.45</v>
      </c>
      <c r="AB13" s="526">
        <f>IF('CEM Price Data'!AC12="","",'CEM Price Data'!AC12)</f>
        <v>90.81</v>
      </c>
      <c r="AC13" s="526">
        <f>IF('CEM Price Data'!AD12="","",'CEM Price Data'!AD12)</f>
        <v>126.71</v>
      </c>
      <c r="AD13" s="526">
        <f>IF('CEM Price Data'!AE12="","",'CEM Price Data'!AE12)</f>
        <v>36.76</v>
      </c>
      <c r="AE13" s="526">
        <f>IF('CEM Price Data'!AF12="","",'CEM Price Data'!AF12)</f>
        <v>240.47</v>
      </c>
      <c r="AF13" s="526">
        <f>IF('CEM Price Data'!AG12="","",'CEM Price Data'!AG12)</f>
        <v>86.5</v>
      </c>
      <c r="AG13" s="526">
        <f>IF('CEM Price Data'!AH12="","",'CEM Price Data'!AH12)</f>
        <v>5.96</v>
      </c>
      <c r="AH13" s="526">
        <f>IF('CEM Price Data'!AI12="","",'CEM Price Data'!AI12)</f>
        <v>72.63</v>
      </c>
      <c r="AI13" s="526">
        <f>IF('CEM Price Data'!AJ12="","",'CEM Price Data'!AJ12)</f>
        <v>536.44000000000005</v>
      </c>
      <c r="AJ13" s="526">
        <f>IF('CEM Price Data'!AK12="","",'CEM Price Data'!AK12)</f>
        <v>169.55</v>
      </c>
      <c r="AK13" s="526">
        <f>IF('CEM Price Data'!AL12="","",'CEM Price Data'!AL12)</f>
        <v>200.65</v>
      </c>
      <c r="AL13" s="526">
        <f>IF('CEM Price Data'!AM12="","",'CEM Price Data'!AM12)</f>
        <v>338.48</v>
      </c>
      <c r="AM13" s="526">
        <f>IF('CEM Price Data'!AN12="","",'CEM Price Data'!AN12)</f>
        <v>255.35</v>
      </c>
      <c r="AN13" s="526">
        <f>IF('CEM Price Data'!AO12="","",'CEM Price Data'!AO12)</f>
        <v>13.28</v>
      </c>
    </row>
    <row r="14" spans="1:40">
      <c r="A14" s="525">
        <f>IF('CEM Price Data'!B13="","",'CEM Price Data'!B13)</f>
        <v>44910</v>
      </c>
      <c r="B14" s="526">
        <f>IF('CEM Price Data'!C13="","",'CEM Price Data'!C13)</f>
        <v>150.86000000000001</v>
      </c>
      <c r="C14" s="526">
        <f>IF('CEM Price Data'!D13="","",'CEM Price Data'!D13)</f>
        <v>108.52</v>
      </c>
      <c r="D14" s="526">
        <f>IF('CEM Price Data'!E13="","",'CEM Price Data'!E13)</f>
        <v>166.09</v>
      </c>
      <c r="E14" s="526">
        <f>IF('CEM Price Data'!F13="","",'CEM Price Data'!F13)</f>
        <v>125.03</v>
      </c>
      <c r="F14" s="526">
        <f>IF('CEM Price Data'!G13="","",'CEM Price Data'!G13)</f>
        <v>56.8</v>
      </c>
      <c r="G14" s="526">
        <f>IF('CEM Price Data'!H13="","",'CEM Price Data'!H13)</f>
        <v>316.24</v>
      </c>
      <c r="H14" s="526">
        <f>IF('CEM Price Data'!I13="","",'CEM Price Data'!I13)</f>
        <v>66.86</v>
      </c>
      <c r="I14" s="526">
        <f>IF('CEM Price Data'!J13="","",'CEM Price Data'!J13)</f>
        <v>75</v>
      </c>
      <c r="J14" s="526">
        <f>IF('CEM Price Data'!K13="","",'CEM Price Data'!K13)</f>
        <v>134.96</v>
      </c>
      <c r="K14" s="526">
        <f>IF('CEM Price Data'!L13="","",'CEM Price Data'!L13)</f>
        <v>300.45</v>
      </c>
      <c r="L14" s="526">
        <f>IF('CEM Price Data'!M13="","",'CEM Price Data'!M13)</f>
        <v>503.79</v>
      </c>
      <c r="M14" s="526">
        <f>IF('CEM Price Data'!N13="","",'CEM Price Data'!N13)</f>
        <v>114.37</v>
      </c>
      <c r="N14" s="526">
        <f>IF('CEM Price Data'!O13="","",'CEM Price Data'!O13)</f>
        <v>149.22</v>
      </c>
      <c r="O14" s="526">
        <f>IF('CEM Price Data'!P13="","",'CEM Price Data'!P13)</f>
        <v>100.54</v>
      </c>
      <c r="P14" s="526">
        <f>IF('CEM Price Data'!Q13="","",'CEM Price Data'!Q13)</f>
        <v>98.41</v>
      </c>
      <c r="Q14" s="526">
        <f>IF('CEM Price Data'!R13="","",'CEM Price Data'!R13)</f>
        <v>153.19</v>
      </c>
      <c r="R14" s="526">
        <f>IF('CEM Price Data'!S13="","",'CEM Price Data'!S13)</f>
        <v>177.93</v>
      </c>
      <c r="S14" s="526">
        <f>IF('CEM Price Data'!T13="","",'CEM Price Data'!T13)</f>
        <v>84.46</v>
      </c>
      <c r="T14" s="526">
        <f>IF('CEM Price Data'!U13="","",'CEM Price Data'!U13)</f>
        <v>109.63</v>
      </c>
      <c r="U14" s="526">
        <f>IF('CEM Price Data'!V13="","",'CEM Price Data'!V13)</f>
        <v>476.68</v>
      </c>
      <c r="V14" s="526">
        <f>IF('CEM Price Data'!W13="","",'CEM Price Data'!W13)</f>
        <v>257.14</v>
      </c>
      <c r="W14" s="526">
        <f>IF('CEM Price Data'!X13="","",'CEM Price Data'!X13)</f>
        <v>300.35000000000002</v>
      </c>
      <c r="X14" s="526">
        <f>IF('CEM Price Data'!Y13="","",'CEM Price Data'!Y13)</f>
        <v>528.49</v>
      </c>
      <c r="Y14" s="526">
        <f>IF('CEM Price Data'!Z13="","",'CEM Price Data'!Z13)</f>
        <v>299.14</v>
      </c>
      <c r="Z14" s="526">
        <f>IF('CEM Price Data'!AA13="","",'CEM Price Data'!AA13)</f>
        <v>80.069999999999993</v>
      </c>
      <c r="AA14" s="526">
        <f>IF('CEM Price Data'!AB13="","",'CEM Price Data'!AB13)</f>
        <v>127.66</v>
      </c>
      <c r="AB14" s="526">
        <f>IF('CEM Price Data'!AC13="","",'CEM Price Data'!AC13)</f>
        <v>91.46</v>
      </c>
      <c r="AC14" s="526">
        <f>IF('CEM Price Data'!AD13="","",'CEM Price Data'!AD13)</f>
        <v>125.65</v>
      </c>
      <c r="AD14" s="526">
        <f>IF('CEM Price Data'!AE13="","",'CEM Price Data'!AE13)</f>
        <v>37.19</v>
      </c>
      <c r="AE14" s="526">
        <f>IF('CEM Price Data'!AF13="","",'CEM Price Data'!AF13)</f>
        <v>244.19</v>
      </c>
      <c r="AF14" s="526">
        <f>IF('CEM Price Data'!AG13="","",'CEM Price Data'!AG13)</f>
        <v>86.08</v>
      </c>
      <c r="AG14" s="526">
        <f>IF('CEM Price Data'!AH13="","",'CEM Price Data'!AH13)</f>
        <v>5.97</v>
      </c>
      <c r="AH14" s="526">
        <f>IF('CEM Price Data'!AI13="","",'CEM Price Data'!AI13)</f>
        <v>72.44</v>
      </c>
      <c r="AI14" s="526">
        <f>IF('CEM Price Data'!AJ13="","",'CEM Price Data'!AJ13)</f>
        <v>553.79</v>
      </c>
      <c r="AJ14" s="526">
        <f>IF('CEM Price Data'!AK13="","",'CEM Price Data'!AK13)</f>
        <v>170.01</v>
      </c>
      <c r="AK14" s="526">
        <f>IF('CEM Price Data'!AL13="","",'CEM Price Data'!AL13)</f>
        <v>199.67</v>
      </c>
      <c r="AL14" s="526">
        <f>IF('CEM Price Data'!AM13="","",'CEM Price Data'!AM13)</f>
        <v>342.43</v>
      </c>
      <c r="AM14" s="526">
        <f>IF('CEM Price Data'!AN13="","",'CEM Price Data'!AN13)</f>
        <v>258.19</v>
      </c>
      <c r="AN14" s="526">
        <f>IF('CEM Price Data'!AO13="","",'CEM Price Data'!AO13)</f>
        <v>13.76</v>
      </c>
    </row>
    <row r="15" spans="1:40">
      <c r="A15" s="525">
        <f>IF('CEM Price Data'!B14="","",'CEM Price Data'!B14)</f>
        <v>44909</v>
      </c>
      <c r="B15" s="526">
        <f>IF('CEM Price Data'!C14="","",'CEM Price Data'!C14)</f>
        <v>154.81</v>
      </c>
      <c r="C15" s="526">
        <f>IF('CEM Price Data'!D14="","",'CEM Price Data'!D14)</f>
        <v>111.26</v>
      </c>
      <c r="D15" s="526">
        <f>IF('CEM Price Data'!E14="","",'CEM Price Data'!E14)</f>
        <v>171.68</v>
      </c>
      <c r="E15" s="526">
        <f>IF('CEM Price Data'!F14="","",'CEM Price Data'!F14)</f>
        <v>125.64</v>
      </c>
      <c r="F15" s="526">
        <f>IF('CEM Price Data'!G14="","",'CEM Price Data'!G14)</f>
        <v>58.88</v>
      </c>
      <c r="G15" s="526">
        <f>IF('CEM Price Data'!H14="","",'CEM Price Data'!H14)</f>
        <v>325.12</v>
      </c>
      <c r="H15" s="526">
        <f>IF('CEM Price Data'!I14="","",'CEM Price Data'!I14)</f>
        <v>68.94</v>
      </c>
      <c r="I15" s="526">
        <f>IF('CEM Price Data'!J14="","",'CEM Price Data'!J14)</f>
        <v>77.14</v>
      </c>
      <c r="J15" s="526">
        <f>IF('CEM Price Data'!K14="","",'CEM Price Data'!K14)</f>
        <v>140.85</v>
      </c>
      <c r="K15" s="526">
        <f>IF('CEM Price Data'!L14="","",'CEM Price Data'!L14)</f>
        <v>304.7</v>
      </c>
      <c r="L15" s="526">
        <f>IF('CEM Price Data'!M14="","",'CEM Price Data'!M14)</f>
        <v>518.35</v>
      </c>
      <c r="M15" s="526">
        <f>IF('CEM Price Data'!N14="","",'CEM Price Data'!N14)</f>
        <v>116.06</v>
      </c>
      <c r="N15" s="526">
        <f>IF('CEM Price Data'!O14="","",'CEM Price Data'!O14)</f>
        <v>151.11000000000001</v>
      </c>
      <c r="O15" s="526">
        <f>IF('CEM Price Data'!P14="","",'CEM Price Data'!P14)</f>
        <v>104.71</v>
      </c>
      <c r="P15" s="526">
        <f>IF('CEM Price Data'!Q14="","",'CEM Price Data'!Q14)</f>
        <v>99.99</v>
      </c>
      <c r="Q15" s="526">
        <f>IF('CEM Price Data'!R14="","",'CEM Price Data'!R14)</f>
        <v>156.04</v>
      </c>
      <c r="R15" s="526">
        <f>IF('CEM Price Data'!S14="","",'CEM Price Data'!S14)</f>
        <v>180.59</v>
      </c>
      <c r="S15" s="526">
        <f>IF('CEM Price Data'!T14="","",'CEM Price Data'!T14)</f>
        <v>86.27</v>
      </c>
      <c r="T15" s="526">
        <f>IF('CEM Price Data'!U14="","",'CEM Price Data'!U14)</f>
        <v>111.55</v>
      </c>
      <c r="U15" s="526">
        <f>IF('CEM Price Data'!V14="","",'CEM Price Data'!V14)</f>
        <v>498.48</v>
      </c>
      <c r="V15" s="526">
        <f>IF('CEM Price Data'!W14="","",'CEM Price Data'!W14)</f>
        <v>265.83</v>
      </c>
      <c r="W15" s="526">
        <f>IF('CEM Price Data'!X14="","",'CEM Price Data'!X14)</f>
        <v>310.64999999999998</v>
      </c>
      <c r="X15" s="526">
        <f>IF('CEM Price Data'!Y14="","",'CEM Price Data'!Y14)</f>
        <v>531.78</v>
      </c>
      <c r="Y15" s="526">
        <f>IF('CEM Price Data'!Z14="","",'CEM Price Data'!Z14)</f>
        <v>309.39999999999998</v>
      </c>
      <c r="Z15" s="526">
        <f>IF('CEM Price Data'!AA14="","",'CEM Price Data'!AA14)</f>
        <v>81.819999999999993</v>
      </c>
      <c r="AA15" s="526">
        <f>IF('CEM Price Data'!AB14="","",'CEM Price Data'!AB14)</f>
        <v>126.58</v>
      </c>
      <c r="AB15" s="526">
        <f>IF('CEM Price Data'!AC14="","",'CEM Price Data'!AC14)</f>
        <v>92.52</v>
      </c>
      <c r="AC15" s="526">
        <f>IF('CEM Price Data'!AD14="","",'CEM Price Data'!AD14)</f>
        <v>127.95</v>
      </c>
      <c r="AD15" s="526">
        <f>IF('CEM Price Data'!AE14="","",'CEM Price Data'!AE14)</f>
        <v>38.130000000000003</v>
      </c>
      <c r="AE15" s="526">
        <f>IF('CEM Price Data'!AF14="","",'CEM Price Data'!AF14)</f>
        <v>248.68</v>
      </c>
      <c r="AF15" s="526">
        <f>IF('CEM Price Data'!AG14="","",'CEM Price Data'!AG14)</f>
        <v>88.77</v>
      </c>
      <c r="AG15" s="526">
        <f>IF('CEM Price Data'!AH14="","",'CEM Price Data'!AH14)</f>
        <v>6.12</v>
      </c>
      <c r="AH15" s="526">
        <f>IF('CEM Price Data'!AI14="","",'CEM Price Data'!AI14)</f>
        <v>74</v>
      </c>
      <c r="AI15" s="526">
        <f>IF('CEM Price Data'!AJ14="","",'CEM Price Data'!AJ14)</f>
        <v>567.23</v>
      </c>
      <c r="AJ15" s="526">
        <f>IF('CEM Price Data'!AK14="","",'CEM Price Data'!AK14)</f>
        <v>175.82</v>
      </c>
      <c r="AK15" s="526">
        <f>IF('CEM Price Data'!AL14="","",'CEM Price Data'!AL14)</f>
        <v>200.86</v>
      </c>
      <c r="AL15" s="526">
        <f>IF('CEM Price Data'!AM14="","",'CEM Price Data'!AM14)</f>
        <v>343.97</v>
      </c>
      <c r="AM15" s="526">
        <f>IF('CEM Price Data'!AN14="","",'CEM Price Data'!AN14)</f>
        <v>266.23</v>
      </c>
      <c r="AN15" s="526">
        <f>IF('CEM Price Data'!AO14="","",'CEM Price Data'!AO14)</f>
        <v>14.11</v>
      </c>
    </row>
    <row r="16" spans="1:40">
      <c r="A16" s="525">
        <f>IF('CEM Price Data'!B15="","",'CEM Price Data'!B15)</f>
        <v>44908</v>
      </c>
      <c r="B16" s="526">
        <f>IF('CEM Price Data'!C15="","",'CEM Price Data'!C15)</f>
        <v>157.66</v>
      </c>
      <c r="C16" s="526">
        <f>IF('CEM Price Data'!D15="","",'CEM Price Data'!D15)</f>
        <v>111.53</v>
      </c>
      <c r="D16" s="526">
        <f>IF('CEM Price Data'!E15="","",'CEM Price Data'!E15)</f>
        <v>175.49</v>
      </c>
      <c r="E16" s="526">
        <f>IF('CEM Price Data'!F15="","",'CEM Price Data'!F15)</f>
        <v>130.38</v>
      </c>
      <c r="F16" s="526">
        <f>IF('CEM Price Data'!G15="","",'CEM Price Data'!G15)</f>
        <v>59.37</v>
      </c>
      <c r="G16" s="526">
        <f>IF('CEM Price Data'!H15="","",'CEM Price Data'!H15)</f>
        <v>325.25</v>
      </c>
      <c r="H16" s="526">
        <f>IF('CEM Price Data'!I15="","",'CEM Price Data'!I15)</f>
        <v>69.19</v>
      </c>
      <c r="I16" s="526">
        <f>IF('CEM Price Data'!J15="","",'CEM Price Data'!J15)</f>
        <v>77.349999999999994</v>
      </c>
      <c r="J16" s="526">
        <f>IF('CEM Price Data'!K15="","",'CEM Price Data'!K15)</f>
        <v>145.19999999999999</v>
      </c>
      <c r="K16" s="526">
        <f>IF('CEM Price Data'!L15="","",'CEM Price Data'!L15)</f>
        <v>298.72000000000003</v>
      </c>
      <c r="L16" s="526">
        <f>IF('CEM Price Data'!M15="","",'CEM Price Data'!M15)</f>
        <v>515.5</v>
      </c>
      <c r="M16" s="526">
        <f>IF('CEM Price Data'!N15="","",'CEM Price Data'!N15)</f>
        <v>118.13</v>
      </c>
      <c r="N16" s="526">
        <f>IF('CEM Price Data'!O15="","",'CEM Price Data'!O15)</f>
        <v>149.75</v>
      </c>
      <c r="O16" s="526">
        <f>IF('CEM Price Data'!P15="","",'CEM Price Data'!P15)</f>
        <v>103.19</v>
      </c>
      <c r="P16" s="526">
        <f>IF('CEM Price Data'!Q15="","",'CEM Price Data'!Q15)</f>
        <v>99.77</v>
      </c>
      <c r="Q16" s="526">
        <f>IF('CEM Price Data'!R15="","",'CEM Price Data'!R15)</f>
        <v>157.12</v>
      </c>
      <c r="R16" s="526">
        <f>IF('CEM Price Data'!S15="","",'CEM Price Data'!S15)</f>
        <v>183.08</v>
      </c>
      <c r="S16" s="526">
        <f>IF('CEM Price Data'!T15="","",'CEM Price Data'!T15)</f>
        <v>86.6</v>
      </c>
      <c r="T16" s="526">
        <f>IF('CEM Price Data'!U15="","",'CEM Price Data'!U15)</f>
        <v>110.91</v>
      </c>
      <c r="U16" s="526">
        <f>IF('CEM Price Data'!V15="","",'CEM Price Data'!V15)</f>
        <v>512.02</v>
      </c>
      <c r="V16" s="526">
        <f>IF('CEM Price Data'!W15="","",'CEM Price Data'!W15)</f>
        <v>267.14999999999998</v>
      </c>
      <c r="W16" s="526">
        <f>IF('CEM Price Data'!X15="","",'CEM Price Data'!X15)</f>
        <v>315.23</v>
      </c>
      <c r="X16" s="526">
        <f>IF('CEM Price Data'!Y15="","",'CEM Price Data'!Y15)</f>
        <v>525.59</v>
      </c>
      <c r="Y16" s="526">
        <f>IF('CEM Price Data'!Z15="","",'CEM Price Data'!Z15)</f>
        <v>304.64999999999998</v>
      </c>
      <c r="Z16" s="526">
        <f>IF('CEM Price Data'!AA15="","",'CEM Price Data'!AA15)</f>
        <v>80.56</v>
      </c>
      <c r="AA16" s="526">
        <f>IF('CEM Price Data'!AB15="","",'CEM Price Data'!AB15)</f>
        <v>128.28</v>
      </c>
      <c r="AB16" s="526">
        <f>IF('CEM Price Data'!AC15="","",'CEM Price Data'!AC15)</f>
        <v>90.87</v>
      </c>
      <c r="AC16" s="526">
        <f>IF('CEM Price Data'!AD15="","",'CEM Price Data'!AD15)</f>
        <v>128.97</v>
      </c>
      <c r="AD16" s="526">
        <f>IF('CEM Price Data'!AE15="","",'CEM Price Data'!AE15)</f>
        <v>38.299999999999997</v>
      </c>
      <c r="AE16" s="526">
        <f>IF('CEM Price Data'!AF15="","",'CEM Price Data'!AF15)</f>
        <v>258.86</v>
      </c>
      <c r="AF16" s="526">
        <f>IF('CEM Price Data'!AG15="","",'CEM Price Data'!AG15)</f>
        <v>89.03</v>
      </c>
      <c r="AG16" s="526">
        <f>IF('CEM Price Data'!AH15="","",'CEM Price Data'!AH15)</f>
        <v>6.16</v>
      </c>
      <c r="AH16" s="526">
        <f>IF('CEM Price Data'!AI15="","",'CEM Price Data'!AI15)</f>
        <v>74.77</v>
      </c>
      <c r="AI16" s="526">
        <f>IF('CEM Price Data'!AJ15="","",'CEM Price Data'!AJ15)</f>
        <v>571.38</v>
      </c>
      <c r="AJ16" s="526">
        <f>IF('CEM Price Data'!AK15="","",'CEM Price Data'!AK15)</f>
        <v>177.5</v>
      </c>
      <c r="AK16" s="526">
        <f>IF('CEM Price Data'!AL15="","",'CEM Price Data'!AL15)</f>
        <v>202.35</v>
      </c>
      <c r="AL16" s="526">
        <f>IF('CEM Price Data'!AM15="","",'CEM Price Data'!AM15)</f>
        <v>344.62</v>
      </c>
      <c r="AM16" s="526">
        <f>IF('CEM Price Data'!AN15="","",'CEM Price Data'!AN15)</f>
        <v>268.67</v>
      </c>
      <c r="AN16" s="526">
        <f>IF('CEM Price Data'!AO15="","",'CEM Price Data'!AO15)</f>
        <v>14.14</v>
      </c>
    </row>
    <row r="17" spans="1:40">
      <c r="A17" s="525">
        <f>IF('CEM Price Data'!B16="","",'CEM Price Data'!B16)</f>
        <v>44907</v>
      </c>
      <c r="B17" s="526">
        <f>IF('CEM Price Data'!C16="","",'CEM Price Data'!C16)</f>
        <v>155.33000000000001</v>
      </c>
      <c r="C17" s="526">
        <f>IF('CEM Price Data'!D16="","",'CEM Price Data'!D16)</f>
        <v>109.49</v>
      </c>
      <c r="D17" s="526">
        <f>IF('CEM Price Data'!E16="","",'CEM Price Data'!E16)</f>
        <v>172.26</v>
      </c>
      <c r="E17" s="526">
        <f>IF('CEM Price Data'!F16="","",'CEM Price Data'!F16)</f>
        <v>132.1</v>
      </c>
      <c r="F17" s="526">
        <f>IF('CEM Price Data'!G16="","",'CEM Price Data'!G16)</f>
        <v>58.51</v>
      </c>
      <c r="G17" s="526">
        <f>IF('CEM Price Data'!H16="","",'CEM Price Data'!H16)</f>
        <v>319.51</v>
      </c>
      <c r="H17" s="526">
        <f>IF('CEM Price Data'!I16="","",'CEM Price Data'!I16)</f>
        <v>68.84</v>
      </c>
      <c r="I17" s="526">
        <f>IF('CEM Price Data'!J16="","",'CEM Price Data'!J16)</f>
        <v>78.89</v>
      </c>
      <c r="J17" s="526">
        <f>IF('CEM Price Data'!K16="","",'CEM Price Data'!K16)</f>
        <v>145.13</v>
      </c>
      <c r="K17" s="526">
        <f>IF('CEM Price Data'!L16="","",'CEM Price Data'!L16)</f>
        <v>298.63</v>
      </c>
      <c r="L17" s="526">
        <f>IF('CEM Price Data'!M16="","",'CEM Price Data'!M16)</f>
        <v>515.02</v>
      </c>
      <c r="M17" s="526">
        <f>IF('CEM Price Data'!N16="","",'CEM Price Data'!N16)</f>
        <v>115.91</v>
      </c>
      <c r="N17" s="526">
        <f>IF('CEM Price Data'!O16="","",'CEM Price Data'!O16)</f>
        <v>149</v>
      </c>
      <c r="O17" s="526">
        <f>IF('CEM Price Data'!P16="","",'CEM Price Data'!P16)</f>
        <v>103.05</v>
      </c>
      <c r="P17" s="526">
        <f>IF('CEM Price Data'!Q16="","",'CEM Price Data'!Q16)</f>
        <v>98.99</v>
      </c>
      <c r="Q17" s="526">
        <f>IF('CEM Price Data'!R16="","",'CEM Price Data'!R16)</f>
        <v>155.87</v>
      </c>
      <c r="R17" s="526">
        <f>IF('CEM Price Data'!S16="","",'CEM Price Data'!S16)</f>
        <v>182.89</v>
      </c>
      <c r="S17" s="526">
        <f>IF('CEM Price Data'!T16="","",'CEM Price Data'!T16)</f>
        <v>85.98</v>
      </c>
      <c r="T17" s="526">
        <f>IF('CEM Price Data'!U16="","",'CEM Price Data'!U16)</f>
        <v>108.97</v>
      </c>
      <c r="U17" s="526">
        <f>IF('CEM Price Data'!V16="","",'CEM Price Data'!V16)</f>
        <v>497.27</v>
      </c>
      <c r="V17" s="526">
        <f>IF('CEM Price Data'!W16="","",'CEM Price Data'!W16)</f>
        <v>270.83999999999997</v>
      </c>
      <c r="W17" s="526">
        <f>IF('CEM Price Data'!X16="","",'CEM Price Data'!X16)</f>
        <v>314.24</v>
      </c>
      <c r="X17" s="526">
        <f>IF('CEM Price Data'!Y16="","",'CEM Price Data'!Y16)</f>
        <v>535.17999999999995</v>
      </c>
      <c r="Y17" s="526">
        <f>IF('CEM Price Data'!Z16="","",'CEM Price Data'!Z16)</f>
        <v>301.8</v>
      </c>
      <c r="Z17" s="526">
        <f>IF('CEM Price Data'!AA16="","",'CEM Price Data'!AA16)</f>
        <v>81.28</v>
      </c>
      <c r="AA17" s="526">
        <f>IF('CEM Price Data'!AB16="","",'CEM Price Data'!AB16)</f>
        <v>129.94</v>
      </c>
      <c r="AB17" s="526">
        <f>IF('CEM Price Data'!AC16="","",'CEM Price Data'!AC16)</f>
        <v>91.42</v>
      </c>
      <c r="AC17" s="526">
        <f>IF('CEM Price Data'!AD16="","",'CEM Price Data'!AD16)</f>
        <v>128.53</v>
      </c>
      <c r="AD17" s="526">
        <f>IF('CEM Price Data'!AE16="","",'CEM Price Data'!AE16)</f>
        <v>38.340000000000003</v>
      </c>
      <c r="AE17" s="526">
        <f>IF('CEM Price Data'!AF16="","",'CEM Price Data'!AF16)</f>
        <v>253.88</v>
      </c>
      <c r="AF17" s="526">
        <f>IF('CEM Price Data'!AG16="","",'CEM Price Data'!AG16)</f>
        <v>90.18</v>
      </c>
      <c r="AG17" s="526">
        <f>IF('CEM Price Data'!AH16="","",'CEM Price Data'!AH16)</f>
        <v>6.15</v>
      </c>
      <c r="AH17" s="526">
        <f>IF('CEM Price Data'!AI16="","",'CEM Price Data'!AI16)</f>
        <v>74.19</v>
      </c>
      <c r="AI17" s="526">
        <f>IF('CEM Price Data'!AJ16="","",'CEM Price Data'!AJ16)</f>
        <v>567.6</v>
      </c>
      <c r="AJ17" s="526">
        <f>IF('CEM Price Data'!AK16="","",'CEM Price Data'!AK16)</f>
        <v>177.48</v>
      </c>
      <c r="AK17" s="526">
        <f>IF('CEM Price Data'!AL16="","",'CEM Price Data'!AL16)</f>
        <v>199.69</v>
      </c>
      <c r="AL17" s="526">
        <f>IF('CEM Price Data'!AM16="","",'CEM Price Data'!AM16)</f>
        <v>340.86</v>
      </c>
      <c r="AM17" s="526">
        <f>IF('CEM Price Data'!AN16="","",'CEM Price Data'!AN16)</f>
        <v>266.33</v>
      </c>
      <c r="AN17" s="526">
        <f>IF('CEM Price Data'!AO16="","",'CEM Price Data'!AO16)</f>
        <v>14.12</v>
      </c>
    </row>
    <row r="18" spans="1:40">
      <c r="A18" s="525">
        <f>IF('CEM Price Data'!B17="","",'CEM Price Data'!B17)</f>
        <v>44904</v>
      </c>
      <c r="B18" s="526">
        <f>IF('CEM Price Data'!C17="","",'CEM Price Data'!C17)</f>
        <v>152.94999999999999</v>
      </c>
      <c r="C18" s="526">
        <f>IF('CEM Price Data'!D17="","",'CEM Price Data'!D17)</f>
        <v>107.51</v>
      </c>
      <c r="D18" s="526">
        <f>IF('CEM Price Data'!E17="","",'CEM Price Data'!E17)</f>
        <v>168.68</v>
      </c>
      <c r="E18" s="526">
        <f>IF('CEM Price Data'!F17="","",'CEM Price Data'!F17)</f>
        <v>130.36000000000001</v>
      </c>
      <c r="F18" s="526">
        <f>IF('CEM Price Data'!G17="","",'CEM Price Data'!G17)</f>
        <v>58.3</v>
      </c>
      <c r="G18" s="526">
        <f>IF('CEM Price Data'!H17="","",'CEM Price Data'!H17)</f>
        <v>314.41000000000003</v>
      </c>
      <c r="H18" s="526">
        <f>IF('CEM Price Data'!I17="","",'CEM Price Data'!I17)</f>
        <v>67.92</v>
      </c>
      <c r="I18" s="526">
        <f>IF('CEM Price Data'!J17="","",'CEM Price Data'!J17)</f>
        <v>78.83</v>
      </c>
      <c r="J18" s="526">
        <f>IF('CEM Price Data'!K17="","",'CEM Price Data'!K17)</f>
        <v>142.11000000000001</v>
      </c>
      <c r="K18" s="526">
        <f>IF('CEM Price Data'!L17="","",'CEM Price Data'!L17)</f>
        <v>300.52999999999997</v>
      </c>
      <c r="L18" s="526">
        <f>IF('CEM Price Data'!M17="","",'CEM Price Data'!M17)</f>
        <v>516.82000000000005</v>
      </c>
      <c r="M18" s="526">
        <f>IF('CEM Price Data'!N17="","",'CEM Price Data'!N17)</f>
        <v>116.05</v>
      </c>
      <c r="N18" s="526">
        <f>IF('CEM Price Data'!O17="","",'CEM Price Data'!O17)</f>
        <v>148.85</v>
      </c>
      <c r="O18" s="526">
        <f>IF('CEM Price Data'!P17="","",'CEM Price Data'!P17)</f>
        <v>102.78</v>
      </c>
      <c r="P18" s="526">
        <f>IF('CEM Price Data'!Q17="","",'CEM Price Data'!Q17)</f>
        <v>98.26</v>
      </c>
      <c r="Q18" s="526">
        <f>IF('CEM Price Data'!R17="","",'CEM Price Data'!R17)</f>
        <v>156.27000000000001</v>
      </c>
      <c r="R18" s="526">
        <f>IF('CEM Price Data'!S17="","",'CEM Price Data'!S17)</f>
        <v>181.54</v>
      </c>
      <c r="S18" s="526">
        <f>IF('CEM Price Data'!T17="","",'CEM Price Data'!T17)</f>
        <v>85.28</v>
      </c>
      <c r="T18" s="526">
        <f>IF('CEM Price Data'!U17="","",'CEM Price Data'!U17)</f>
        <v>108.78</v>
      </c>
      <c r="U18" s="526">
        <f>IF('CEM Price Data'!V17="","",'CEM Price Data'!V17)</f>
        <v>492.55</v>
      </c>
      <c r="V18" s="526">
        <f>IF('CEM Price Data'!W17="","",'CEM Price Data'!W17)</f>
        <v>265.57</v>
      </c>
      <c r="W18" s="526">
        <f>IF('CEM Price Data'!X17="","",'CEM Price Data'!X17)</f>
        <v>315.49</v>
      </c>
      <c r="X18" s="526">
        <f>IF('CEM Price Data'!Y17="","",'CEM Price Data'!Y17)</f>
        <v>528.94000000000005</v>
      </c>
      <c r="Y18" s="526">
        <f>IF('CEM Price Data'!Z17="","",'CEM Price Data'!Z17)</f>
        <v>292.23</v>
      </c>
      <c r="Z18" s="526">
        <f>IF('CEM Price Data'!AA17="","",'CEM Price Data'!AA17)</f>
        <v>79.86</v>
      </c>
      <c r="AA18" s="526">
        <f>IF('CEM Price Data'!AB17="","",'CEM Price Data'!AB17)</f>
        <v>129.38</v>
      </c>
      <c r="AB18" s="526">
        <f>IF('CEM Price Data'!AC17="","",'CEM Price Data'!AC17)</f>
        <v>90.97</v>
      </c>
      <c r="AC18" s="526">
        <f>IF('CEM Price Data'!AD17="","",'CEM Price Data'!AD17)</f>
        <v>127.28</v>
      </c>
      <c r="AD18" s="526">
        <f>IF('CEM Price Data'!AE17="","",'CEM Price Data'!AE17)</f>
        <v>38.51</v>
      </c>
      <c r="AE18" s="526">
        <f>IF('CEM Price Data'!AF17="","",'CEM Price Data'!AF17)</f>
        <v>252.88</v>
      </c>
      <c r="AF18" s="526">
        <f>IF('CEM Price Data'!AG17="","",'CEM Price Data'!AG17)</f>
        <v>90.11</v>
      </c>
      <c r="AG18" s="526">
        <f>IF('CEM Price Data'!AH17="","",'CEM Price Data'!AH17)</f>
        <v>6.11</v>
      </c>
      <c r="AH18" s="526">
        <f>IF('CEM Price Data'!AI17="","",'CEM Price Data'!AI17)</f>
        <v>73.25</v>
      </c>
      <c r="AI18" s="526">
        <f>IF('CEM Price Data'!AJ17="","",'CEM Price Data'!AJ17)</f>
        <v>560.23</v>
      </c>
      <c r="AJ18" s="526">
        <f>IF('CEM Price Data'!AK17="","",'CEM Price Data'!AK17)</f>
        <v>174.26</v>
      </c>
      <c r="AK18" s="526">
        <f>IF('CEM Price Data'!AL17="","",'CEM Price Data'!AL17)</f>
        <v>197.67</v>
      </c>
      <c r="AL18" s="526">
        <f>IF('CEM Price Data'!AM17="","",'CEM Price Data'!AM17)</f>
        <v>336.53</v>
      </c>
      <c r="AM18" s="526">
        <f>IF('CEM Price Data'!AN17="","",'CEM Price Data'!AN17)</f>
        <v>262.95999999999998</v>
      </c>
      <c r="AN18" s="526">
        <f>IF('CEM Price Data'!AO17="","",'CEM Price Data'!AO17)</f>
        <v>13.98</v>
      </c>
    </row>
    <row r="19" spans="1:40">
      <c r="A19" s="525">
        <f>IF('CEM Price Data'!B18="","",'CEM Price Data'!B18)</f>
        <v>44903</v>
      </c>
      <c r="B19" s="526">
        <f>IF('CEM Price Data'!C18="","",'CEM Price Data'!C18)</f>
        <v>156.28</v>
      </c>
      <c r="C19" s="526">
        <f>IF('CEM Price Data'!D18="","",'CEM Price Data'!D18)</f>
        <v>106.92</v>
      </c>
      <c r="D19" s="526">
        <f>IF('CEM Price Data'!E18="","",'CEM Price Data'!E18)</f>
        <v>169.65</v>
      </c>
      <c r="E19" s="526">
        <f>IF('CEM Price Data'!F18="","",'CEM Price Data'!F18)</f>
        <v>130.03</v>
      </c>
      <c r="F19" s="526">
        <f>IF('CEM Price Data'!G18="","",'CEM Price Data'!G18)</f>
        <v>58.42</v>
      </c>
      <c r="G19" s="526">
        <f>IF('CEM Price Data'!H18="","",'CEM Price Data'!H18)</f>
        <v>319.86</v>
      </c>
      <c r="H19" s="526">
        <f>IF('CEM Price Data'!I18="","",'CEM Price Data'!I18)</f>
        <v>68.13</v>
      </c>
      <c r="I19" s="526">
        <f>IF('CEM Price Data'!J18="","",'CEM Price Data'!J18)</f>
        <v>79.88</v>
      </c>
      <c r="J19" s="526">
        <f>IF('CEM Price Data'!K18="","",'CEM Price Data'!K18)</f>
        <v>144.82</v>
      </c>
      <c r="K19" s="526">
        <f>IF('CEM Price Data'!L18="","",'CEM Price Data'!L18)</f>
        <v>304.83999999999997</v>
      </c>
      <c r="L19" s="526">
        <f>IF('CEM Price Data'!M18="","",'CEM Price Data'!M18)</f>
        <v>522.04999999999995</v>
      </c>
      <c r="M19" s="526">
        <f>IF('CEM Price Data'!N18="","",'CEM Price Data'!N18)</f>
        <v>115.17</v>
      </c>
      <c r="N19" s="526">
        <f>IF('CEM Price Data'!O18="","",'CEM Price Data'!O18)</f>
        <v>150.5</v>
      </c>
      <c r="O19" s="526">
        <f>IF('CEM Price Data'!P18="","",'CEM Price Data'!P18)</f>
        <v>103.5</v>
      </c>
      <c r="P19" s="526">
        <f>IF('CEM Price Data'!Q18="","",'CEM Price Data'!Q18)</f>
        <v>99.01</v>
      </c>
      <c r="Q19" s="526">
        <f>IF('CEM Price Data'!R18="","",'CEM Price Data'!R18)</f>
        <v>160.13999999999999</v>
      </c>
      <c r="R19" s="526">
        <f>IF('CEM Price Data'!S18="","",'CEM Price Data'!S18)</f>
        <v>184.92</v>
      </c>
      <c r="S19" s="526">
        <f>IF('CEM Price Data'!T18="","",'CEM Price Data'!T18)</f>
        <v>85.65</v>
      </c>
      <c r="T19" s="526">
        <f>IF('CEM Price Data'!U18="","",'CEM Price Data'!U18)</f>
        <v>110.85</v>
      </c>
      <c r="U19" s="526">
        <f>IF('CEM Price Data'!V18="","",'CEM Price Data'!V18)</f>
        <v>499.98</v>
      </c>
      <c r="V19" s="526">
        <f>IF('CEM Price Data'!W18="","",'CEM Price Data'!W18)</f>
        <v>269.79000000000002</v>
      </c>
      <c r="W19" s="526">
        <f>IF('CEM Price Data'!X18="","",'CEM Price Data'!X18)</f>
        <v>316.99</v>
      </c>
      <c r="X19" s="526">
        <f>IF('CEM Price Data'!Y18="","",'CEM Price Data'!Y18)</f>
        <v>540.54999999999995</v>
      </c>
      <c r="Y19" s="526">
        <f>IF('CEM Price Data'!Z18="","",'CEM Price Data'!Z18)</f>
        <v>287.27</v>
      </c>
      <c r="Z19" s="526">
        <f>IF('CEM Price Data'!AA18="","",'CEM Price Data'!AA18)</f>
        <v>80.069999999999993</v>
      </c>
      <c r="AA19" s="526">
        <f>IF('CEM Price Data'!AB18="","",'CEM Price Data'!AB18)</f>
        <v>131.18</v>
      </c>
      <c r="AB19" s="526">
        <f>IF('CEM Price Data'!AC18="","",'CEM Price Data'!AC18)</f>
        <v>92.03</v>
      </c>
      <c r="AC19" s="526">
        <f>IF('CEM Price Data'!AD18="","",'CEM Price Data'!AD18)</f>
        <v>128.79</v>
      </c>
      <c r="AD19" s="526">
        <f>IF('CEM Price Data'!AE18="","",'CEM Price Data'!AE18)</f>
        <v>39.24</v>
      </c>
      <c r="AE19" s="526">
        <f>IF('CEM Price Data'!AF18="","",'CEM Price Data'!AF18)</f>
        <v>254.45</v>
      </c>
      <c r="AF19" s="526">
        <f>IF('CEM Price Data'!AG18="","",'CEM Price Data'!AG18)</f>
        <v>91</v>
      </c>
      <c r="AG19" s="526">
        <f>IF('CEM Price Data'!AH18="","",'CEM Price Data'!AH18)</f>
        <v>6.16</v>
      </c>
      <c r="AH19" s="526">
        <f>IF('CEM Price Data'!AI18="","",'CEM Price Data'!AI18)</f>
        <v>73.8</v>
      </c>
      <c r="AI19" s="526">
        <f>IF('CEM Price Data'!AJ18="","",'CEM Price Data'!AJ18)</f>
        <v>567.95000000000005</v>
      </c>
      <c r="AJ19" s="526">
        <f>IF('CEM Price Data'!AK18="","",'CEM Price Data'!AK18)</f>
        <v>176.36</v>
      </c>
      <c r="AK19" s="526">
        <f>IF('CEM Price Data'!AL18="","",'CEM Price Data'!AL18)</f>
        <v>197.4</v>
      </c>
      <c r="AL19" s="526">
        <f>IF('CEM Price Data'!AM18="","",'CEM Price Data'!AM18)</f>
        <v>343.04</v>
      </c>
      <c r="AM19" s="526">
        <f>IF('CEM Price Data'!AN18="","",'CEM Price Data'!AN18)</f>
        <v>263.8</v>
      </c>
      <c r="AN19" s="526">
        <f>IF('CEM Price Data'!AO18="","",'CEM Price Data'!AO18)</f>
        <v>13.91</v>
      </c>
    </row>
    <row r="20" spans="1:40">
      <c r="A20" s="525">
        <f>IF('CEM Price Data'!B19="","",'CEM Price Data'!B19)</f>
        <v>44902</v>
      </c>
      <c r="B20" s="526">
        <f>IF('CEM Price Data'!C19="","",'CEM Price Data'!C19)</f>
        <v>153.72999999999999</v>
      </c>
      <c r="C20" s="526">
        <f>IF('CEM Price Data'!D19="","",'CEM Price Data'!D19)</f>
        <v>104.81</v>
      </c>
      <c r="D20" s="526">
        <f>IF('CEM Price Data'!E19="","",'CEM Price Data'!E19)</f>
        <v>166.01</v>
      </c>
      <c r="E20" s="526">
        <f>IF('CEM Price Data'!F19="","",'CEM Price Data'!F19)</f>
        <v>129.05000000000001</v>
      </c>
      <c r="F20" s="526">
        <f>IF('CEM Price Data'!G19="","",'CEM Price Data'!G19)</f>
        <v>59.27</v>
      </c>
      <c r="G20" s="526">
        <f>IF('CEM Price Data'!H19="","",'CEM Price Data'!H19)</f>
        <v>315.58</v>
      </c>
      <c r="H20" s="526">
        <f>IF('CEM Price Data'!I19="","",'CEM Price Data'!I19)</f>
        <v>68.27</v>
      </c>
      <c r="I20" s="526">
        <f>IF('CEM Price Data'!J19="","",'CEM Price Data'!J19)</f>
        <v>79.930000000000007</v>
      </c>
      <c r="J20" s="526">
        <f>IF('CEM Price Data'!K19="","",'CEM Price Data'!K19)</f>
        <v>142.38999999999999</v>
      </c>
      <c r="K20" s="526">
        <f>IF('CEM Price Data'!L19="","",'CEM Price Data'!L19)</f>
        <v>304.82</v>
      </c>
      <c r="L20" s="526">
        <f>IF('CEM Price Data'!M19="","",'CEM Price Data'!M19)</f>
        <v>518.64</v>
      </c>
      <c r="M20" s="526">
        <f>IF('CEM Price Data'!N19="","",'CEM Price Data'!N19)</f>
        <v>113.09</v>
      </c>
      <c r="N20" s="526">
        <f>IF('CEM Price Data'!O19="","",'CEM Price Data'!O19)</f>
        <v>149</v>
      </c>
      <c r="O20" s="526">
        <f>IF('CEM Price Data'!P19="","",'CEM Price Data'!P19)</f>
        <v>101.58</v>
      </c>
      <c r="P20" s="526">
        <f>IF('CEM Price Data'!Q19="","",'CEM Price Data'!Q19)</f>
        <v>99.1</v>
      </c>
      <c r="Q20" s="526">
        <f>IF('CEM Price Data'!R19="","",'CEM Price Data'!R19)</f>
        <v>157.13</v>
      </c>
      <c r="R20" s="526">
        <f>IF('CEM Price Data'!S19="","",'CEM Price Data'!S19)</f>
        <v>184.78</v>
      </c>
      <c r="S20" s="526">
        <f>IF('CEM Price Data'!T19="","",'CEM Price Data'!T19)</f>
        <v>85.35</v>
      </c>
      <c r="T20" s="526">
        <f>IF('CEM Price Data'!U19="","",'CEM Price Data'!U19)</f>
        <v>110.09</v>
      </c>
      <c r="U20" s="526">
        <f>IF('CEM Price Data'!V19="","",'CEM Price Data'!V19)</f>
        <v>500.4</v>
      </c>
      <c r="V20" s="526">
        <f>IF('CEM Price Data'!W19="","",'CEM Price Data'!W19)</f>
        <v>266.79000000000002</v>
      </c>
      <c r="W20" s="526">
        <f>IF('CEM Price Data'!X19="","",'CEM Price Data'!X19)</f>
        <v>316.92</v>
      </c>
      <c r="X20" s="526">
        <f>IF('CEM Price Data'!Y19="","",'CEM Price Data'!Y19)</f>
        <v>540.21</v>
      </c>
      <c r="Y20" s="526">
        <f>IF('CEM Price Data'!Z19="","",'CEM Price Data'!Z19)</f>
        <v>286.64999999999998</v>
      </c>
      <c r="Z20" s="526">
        <f>IF('CEM Price Data'!AA19="","",'CEM Price Data'!AA19)</f>
        <v>78.78</v>
      </c>
      <c r="AA20" s="526">
        <f>IF('CEM Price Data'!AB19="","",'CEM Price Data'!AB19)</f>
        <v>130.47999999999999</v>
      </c>
      <c r="AB20" s="526">
        <f>IF('CEM Price Data'!AC19="","",'CEM Price Data'!AC19)</f>
        <v>92.39</v>
      </c>
      <c r="AC20" s="526">
        <f>IF('CEM Price Data'!AD19="","",'CEM Price Data'!AD19)</f>
        <v>127.86</v>
      </c>
      <c r="AD20" s="526">
        <f>IF('CEM Price Data'!AE19="","",'CEM Price Data'!AE19)</f>
        <v>39.479999999999997</v>
      </c>
      <c r="AE20" s="526">
        <f>IF('CEM Price Data'!AF19="","",'CEM Price Data'!AF19)</f>
        <v>251.12</v>
      </c>
      <c r="AF20" s="526">
        <f>IF('CEM Price Data'!AG19="","",'CEM Price Data'!AG19)</f>
        <v>90.56</v>
      </c>
      <c r="AG20" s="526">
        <f>IF('CEM Price Data'!AH19="","",'CEM Price Data'!AH19)</f>
        <v>6.2</v>
      </c>
      <c r="AH20" s="526">
        <f>IF('CEM Price Data'!AI19="","",'CEM Price Data'!AI19)</f>
        <v>73.38</v>
      </c>
      <c r="AI20" s="526">
        <f>IF('CEM Price Data'!AJ19="","",'CEM Price Data'!AJ19)</f>
        <v>558.14</v>
      </c>
      <c r="AJ20" s="526">
        <f>IF('CEM Price Data'!AK19="","",'CEM Price Data'!AK19)</f>
        <v>173.75</v>
      </c>
      <c r="AK20" s="526">
        <f>IF('CEM Price Data'!AL19="","",'CEM Price Data'!AL19)</f>
        <v>195.99</v>
      </c>
      <c r="AL20" s="526">
        <f>IF('CEM Price Data'!AM19="","",'CEM Price Data'!AM19)</f>
        <v>340.64</v>
      </c>
      <c r="AM20" s="526">
        <f>IF('CEM Price Data'!AN19="","",'CEM Price Data'!AN19)</f>
        <v>256.66000000000003</v>
      </c>
      <c r="AN20" s="526">
        <f>IF('CEM Price Data'!AO19="","",'CEM Price Data'!AO19)</f>
        <v>13.77</v>
      </c>
    </row>
    <row r="21" spans="1:40">
      <c r="A21" s="525">
        <f>IF('CEM Price Data'!B20="","",'CEM Price Data'!B20)</f>
        <v>44901</v>
      </c>
      <c r="B21" s="526">
        <f>IF('CEM Price Data'!C20="","",'CEM Price Data'!C20)</f>
        <v>151.35</v>
      </c>
      <c r="C21" s="526">
        <f>IF('CEM Price Data'!D20="","",'CEM Price Data'!D20)</f>
        <v>103.86</v>
      </c>
      <c r="D21" s="526">
        <f>IF('CEM Price Data'!E20="","",'CEM Price Data'!E20)</f>
        <v>166.51</v>
      </c>
      <c r="E21" s="526">
        <f>IF('CEM Price Data'!F20="","",'CEM Price Data'!F20)</f>
        <v>129.31</v>
      </c>
      <c r="F21" s="526">
        <f>IF('CEM Price Data'!G20="","",'CEM Price Data'!G20)</f>
        <v>59.37</v>
      </c>
      <c r="G21" s="526">
        <f>IF('CEM Price Data'!H20="","",'CEM Price Data'!H20)</f>
        <v>312.10000000000002</v>
      </c>
      <c r="H21" s="526">
        <f>IF('CEM Price Data'!I20="","",'CEM Price Data'!I20)</f>
        <v>73.650000000000006</v>
      </c>
      <c r="I21" s="526">
        <f>IF('CEM Price Data'!J20="","",'CEM Price Data'!J20)</f>
        <v>79.92</v>
      </c>
      <c r="J21" s="526">
        <f>IF('CEM Price Data'!K20="","",'CEM Price Data'!K20)</f>
        <v>143.33000000000001</v>
      </c>
      <c r="K21" s="526">
        <f>IF('CEM Price Data'!L20="","",'CEM Price Data'!L20)</f>
        <v>311.02</v>
      </c>
      <c r="L21" s="526">
        <f>IF('CEM Price Data'!M20="","",'CEM Price Data'!M20)</f>
        <v>519.75</v>
      </c>
      <c r="M21" s="526">
        <f>IF('CEM Price Data'!N20="","",'CEM Price Data'!N20)</f>
        <v>113.77</v>
      </c>
      <c r="N21" s="526">
        <f>IF('CEM Price Data'!O20="","",'CEM Price Data'!O20)</f>
        <v>148.97</v>
      </c>
      <c r="O21" s="526">
        <f>IF('CEM Price Data'!P20="","",'CEM Price Data'!P20)</f>
        <v>101.23</v>
      </c>
      <c r="P21" s="526">
        <f>IF('CEM Price Data'!Q20="","",'CEM Price Data'!Q20)</f>
        <v>97.95</v>
      </c>
      <c r="Q21" s="526">
        <f>IF('CEM Price Data'!R20="","",'CEM Price Data'!R20)</f>
        <v>158.08000000000001</v>
      </c>
      <c r="R21" s="526">
        <f>IF('CEM Price Data'!S20="","",'CEM Price Data'!S20)</f>
        <v>183.49</v>
      </c>
      <c r="S21" s="526">
        <f>IF('CEM Price Data'!T20="","",'CEM Price Data'!T20)</f>
        <v>84.38</v>
      </c>
      <c r="T21" s="526">
        <f>IF('CEM Price Data'!U20="","",'CEM Price Data'!U20)</f>
        <v>108.93</v>
      </c>
      <c r="U21" s="526">
        <f>IF('CEM Price Data'!V20="","",'CEM Price Data'!V20)</f>
        <v>499.9</v>
      </c>
      <c r="V21" s="526">
        <f>IF('CEM Price Data'!W20="","",'CEM Price Data'!W20)</f>
        <v>266.17</v>
      </c>
      <c r="W21" s="526">
        <f>IF('CEM Price Data'!X20="","",'CEM Price Data'!X20)</f>
        <v>316.88</v>
      </c>
      <c r="X21" s="526">
        <f>IF('CEM Price Data'!Y20="","",'CEM Price Data'!Y20)</f>
        <v>531.80999999999995</v>
      </c>
      <c r="Y21" s="526">
        <f>IF('CEM Price Data'!Z20="","",'CEM Price Data'!Z20)</f>
        <v>287.12</v>
      </c>
      <c r="Z21" s="526">
        <f>IF('CEM Price Data'!AA20="","",'CEM Price Data'!AA20)</f>
        <v>78.91</v>
      </c>
      <c r="AA21" s="526">
        <f>IF('CEM Price Data'!AB20="","",'CEM Price Data'!AB20)</f>
        <v>130.97</v>
      </c>
      <c r="AB21" s="526">
        <f>IF('CEM Price Data'!AC20="","",'CEM Price Data'!AC20)</f>
        <v>93.35</v>
      </c>
      <c r="AC21" s="526">
        <f>IF('CEM Price Data'!AD20="","",'CEM Price Data'!AD20)</f>
        <v>128.25</v>
      </c>
      <c r="AD21" s="526">
        <f>IF('CEM Price Data'!AE20="","",'CEM Price Data'!AE20)</f>
        <v>39.21</v>
      </c>
      <c r="AE21" s="526">
        <f>IF('CEM Price Data'!AF20="","",'CEM Price Data'!AF20)</f>
        <v>253.46</v>
      </c>
      <c r="AF21" s="526">
        <f>IF('CEM Price Data'!AG20="","",'CEM Price Data'!AG20)</f>
        <v>92.02</v>
      </c>
      <c r="AG21" s="526">
        <f>IF('CEM Price Data'!AH20="","",'CEM Price Data'!AH20)</f>
        <v>6.15</v>
      </c>
      <c r="AH21" s="526">
        <f>IF('CEM Price Data'!AI20="","",'CEM Price Data'!AI20)</f>
        <v>73.510000000000005</v>
      </c>
      <c r="AI21" s="526">
        <f>IF('CEM Price Data'!AJ20="","",'CEM Price Data'!AJ20)</f>
        <v>550.53</v>
      </c>
      <c r="AJ21" s="526">
        <f>IF('CEM Price Data'!AK20="","",'CEM Price Data'!AK20)</f>
        <v>174.34</v>
      </c>
      <c r="AK21" s="526">
        <f>IF('CEM Price Data'!AL20="","",'CEM Price Data'!AL20)</f>
        <v>197.45</v>
      </c>
      <c r="AL21" s="526">
        <f>IF('CEM Price Data'!AM20="","",'CEM Price Data'!AM20)</f>
        <v>337.59</v>
      </c>
      <c r="AM21" s="526">
        <f>IF('CEM Price Data'!AN20="","",'CEM Price Data'!AN20)</f>
        <v>253.91</v>
      </c>
      <c r="AN21" s="526">
        <f>IF('CEM Price Data'!AO20="","",'CEM Price Data'!AO20)</f>
        <v>13.84</v>
      </c>
    </row>
    <row r="22" spans="1:40">
      <c r="A22" s="525">
        <f>IF('CEM Price Data'!B21="","",'CEM Price Data'!B21)</f>
        <v>44900</v>
      </c>
      <c r="B22" s="526">
        <f>IF('CEM Price Data'!C21="","",'CEM Price Data'!C21)</f>
        <v>152.69999999999999</v>
      </c>
      <c r="C22" s="526">
        <f>IF('CEM Price Data'!D21="","",'CEM Price Data'!D21)</f>
        <v>105.41</v>
      </c>
      <c r="D22" s="526">
        <f>IF('CEM Price Data'!E21="","",'CEM Price Data'!E21)</f>
        <v>167.84</v>
      </c>
      <c r="E22" s="526">
        <f>IF('CEM Price Data'!F21="","",'CEM Price Data'!F21)</f>
        <v>129.55000000000001</v>
      </c>
      <c r="F22" s="526">
        <f>IF('CEM Price Data'!G21="","",'CEM Price Data'!G21)</f>
        <v>59.82</v>
      </c>
      <c r="G22" s="526">
        <f>IF('CEM Price Data'!H21="","",'CEM Price Data'!H21)</f>
        <v>314.97000000000003</v>
      </c>
      <c r="H22" s="526">
        <f>IF('CEM Price Data'!I21="","",'CEM Price Data'!I21)</f>
        <v>74.02</v>
      </c>
      <c r="I22" s="526">
        <f>IF('CEM Price Data'!J21="","",'CEM Price Data'!J21)</f>
        <v>80.7</v>
      </c>
      <c r="J22" s="526">
        <f>IF('CEM Price Data'!K21="","",'CEM Price Data'!K21)</f>
        <v>144.97999999999999</v>
      </c>
      <c r="K22" s="526">
        <f>IF('CEM Price Data'!L21="","",'CEM Price Data'!L21)</f>
        <v>312.95</v>
      </c>
      <c r="L22" s="526">
        <f>IF('CEM Price Data'!M21="","",'CEM Price Data'!M21)</f>
        <v>522.24</v>
      </c>
      <c r="M22" s="526">
        <f>IF('CEM Price Data'!N21="","",'CEM Price Data'!N21)</f>
        <v>118.88</v>
      </c>
      <c r="N22" s="526">
        <f>IF('CEM Price Data'!O21="","",'CEM Price Data'!O21)</f>
        <v>148.91999999999999</v>
      </c>
      <c r="O22" s="526">
        <f>IF('CEM Price Data'!P21="","",'CEM Price Data'!P21)</f>
        <v>104.11</v>
      </c>
      <c r="P22" s="526">
        <f>IF('CEM Price Data'!Q21="","",'CEM Price Data'!Q21)</f>
        <v>99.51</v>
      </c>
      <c r="Q22" s="526">
        <f>IF('CEM Price Data'!R21="","",'CEM Price Data'!R21)</f>
        <v>159.4</v>
      </c>
      <c r="R22" s="526">
        <f>IF('CEM Price Data'!S21="","",'CEM Price Data'!S21)</f>
        <v>188.93</v>
      </c>
      <c r="S22" s="526">
        <f>IF('CEM Price Data'!T21="","",'CEM Price Data'!T21)</f>
        <v>84.05</v>
      </c>
      <c r="T22" s="526">
        <f>IF('CEM Price Data'!U21="","",'CEM Price Data'!U21)</f>
        <v>110.01</v>
      </c>
      <c r="U22" s="526">
        <f>IF('CEM Price Data'!V21="","",'CEM Price Data'!V21)</f>
        <v>504.49</v>
      </c>
      <c r="V22" s="526">
        <f>IF('CEM Price Data'!W21="","",'CEM Price Data'!W21)</f>
        <v>268.23</v>
      </c>
      <c r="W22" s="526">
        <f>IF('CEM Price Data'!X21="","",'CEM Price Data'!X21)</f>
        <v>319.38</v>
      </c>
      <c r="X22" s="526">
        <f>IF('CEM Price Data'!Y21="","",'CEM Price Data'!Y21)</f>
        <v>541.42999999999995</v>
      </c>
      <c r="Y22" s="526">
        <f>IF('CEM Price Data'!Z21="","",'CEM Price Data'!Z21)</f>
        <v>289.76</v>
      </c>
      <c r="Z22" s="526">
        <f>IF('CEM Price Data'!AA21="","",'CEM Price Data'!AA21)</f>
        <v>79.430000000000007</v>
      </c>
      <c r="AA22" s="526">
        <f>IF('CEM Price Data'!AB21="","",'CEM Price Data'!AB21)</f>
        <v>131.26</v>
      </c>
      <c r="AB22" s="526">
        <f>IF('CEM Price Data'!AC21="","",'CEM Price Data'!AC21)</f>
        <v>94.75</v>
      </c>
      <c r="AC22" s="526">
        <f>IF('CEM Price Data'!AD21="","",'CEM Price Data'!AD21)</f>
        <v>129.33000000000001</v>
      </c>
      <c r="AD22" s="526">
        <f>IF('CEM Price Data'!AE21="","",'CEM Price Data'!AE21)</f>
        <v>39.6</v>
      </c>
      <c r="AE22" s="526">
        <f>IF('CEM Price Data'!AF21="","",'CEM Price Data'!AF21)</f>
        <v>253.59</v>
      </c>
      <c r="AF22" s="526">
        <f>IF('CEM Price Data'!AG21="","",'CEM Price Data'!AG21)</f>
        <v>92.61</v>
      </c>
      <c r="AG22" s="526">
        <f>IF('CEM Price Data'!AH21="","",'CEM Price Data'!AH21)</f>
        <v>6.18</v>
      </c>
      <c r="AH22" s="526">
        <f>IF('CEM Price Data'!AI21="","",'CEM Price Data'!AI21)</f>
        <v>74.66</v>
      </c>
      <c r="AI22" s="526">
        <f>IF('CEM Price Data'!AJ21="","",'CEM Price Data'!AJ21)</f>
        <v>557.21</v>
      </c>
      <c r="AJ22" s="526">
        <f>IF('CEM Price Data'!AK21="","",'CEM Price Data'!AK21)</f>
        <v>177.39</v>
      </c>
      <c r="AK22" s="526">
        <f>IF('CEM Price Data'!AL21="","",'CEM Price Data'!AL21)</f>
        <v>197.29</v>
      </c>
      <c r="AL22" s="526">
        <f>IF('CEM Price Data'!AM21="","",'CEM Price Data'!AM21)</f>
        <v>340.29</v>
      </c>
      <c r="AM22" s="526">
        <f>IF('CEM Price Data'!AN21="","",'CEM Price Data'!AN21)</f>
        <v>257.06</v>
      </c>
      <c r="AN22" s="526">
        <f>IF('CEM Price Data'!AO21="","",'CEM Price Data'!AO21)</f>
        <v>14.15</v>
      </c>
    </row>
    <row r="23" spans="1:40">
      <c r="A23" s="525">
        <f>IF('CEM Price Data'!B22="","",'CEM Price Data'!B22)</f>
        <v>44897</v>
      </c>
      <c r="B23" s="526">
        <f>IF('CEM Price Data'!C22="","",'CEM Price Data'!C22)</f>
        <v>155.66999999999999</v>
      </c>
      <c r="C23" s="526">
        <f>IF('CEM Price Data'!D22="","",'CEM Price Data'!D22)</f>
        <v>108.09</v>
      </c>
      <c r="D23" s="526">
        <f>IF('CEM Price Data'!E22="","",'CEM Price Data'!E22)</f>
        <v>168.63</v>
      </c>
      <c r="E23" s="526">
        <f>IF('CEM Price Data'!F22="","",'CEM Price Data'!F22)</f>
        <v>128.47999999999999</v>
      </c>
      <c r="F23" s="526">
        <f>IF('CEM Price Data'!G22="","",'CEM Price Data'!G22)</f>
        <v>60.38</v>
      </c>
      <c r="G23" s="526">
        <f>IF('CEM Price Data'!H22="","",'CEM Price Data'!H22)</f>
        <v>318.44</v>
      </c>
      <c r="H23" s="526">
        <f>IF('CEM Price Data'!I22="","",'CEM Price Data'!I22)</f>
        <v>74.510000000000005</v>
      </c>
      <c r="I23" s="526">
        <f>IF('CEM Price Data'!J22="","",'CEM Price Data'!J22)</f>
        <v>81.13</v>
      </c>
      <c r="J23" s="526">
        <f>IF('CEM Price Data'!K22="","",'CEM Price Data'!K22)</f>
        <v>148.99</v>
      </c>
      <c r="K23" s="526">
        <f>IF('CEM Price Data'!L22="","",'CEM Price Data'!L22)</f>
        <v>315.57</v>
      </c>
      <c r="L23" s="526">
        <f>IF('CEM Price Data'!M22="","",'CEM Price Data'!M22)</f>
        <v>524.1</v>
      </c>
      <c r="M23" s="526">
        <f>IF('CEM Price Data'!N22="","",'CEM Price Data'!N22)</f>
        <v>122.04</v>
      </c>
      <c r="N23" s="526">
        <f>IF('CEM Price Data'!O22="","",'CEM Price Data'!O22)</f>
        <v>150.46</v>
      </c>
      <c r="O23" s="526">
        <f>IF('CEM Price Data'!P22="","",'CEM Price Data'!P22)</f>
        <v>103.74</v>
      </c>
      <c r="P23" s="526">
        <f>IF('CEM Price Data'!Q22="","",'CEM Price Data'!Q22)</f>
        <v>100.45</v>
      </c>
      <c r="Q23" s="526">
        <f>IF('CEM Price Data'!R22="","",'CEM Price Data'!R22)</f>
        <v>163.82</v>
      </c>
      <c r="R23" s="526">
        <f>IF('CEM Price Data'!S22="","",'CEM Price Data'!S22)</f>
        <v>191.6</v>
      </c>
      <c r="S23" s="526">
        <f>IF('CEM Price Data'!T22="","",'CEM Price Data'!T22)</f>
        <v>86.38</v>
      </c>
      <c r="T23" s="526">
        <f>IF('CEM Price Data'!U22="","",'CEM Price Data'!U22)</f>
        <v>110.04</v>
      </c>
      <c r="U23" s="526">
        <f>IF('CEM Price Data'!V22="","",'CEM Price Data'!V22)</f>
        <v>518.83000000000004</v>
      </c>
      <c r="V23" s="526">
        <f>IF('CEM Price Data'!W22="","",'CEM Price Data'!W22)</f>
        <v>272.7</v>
      </c>
      <c r="W23" s="526">
        <f>IF('CEM Price Data'!X22="","",'CEM Price Data'!X22)</f>
        <v>322.75</v>
      </c>
      <c r="X23" s="526">
        <f>IF('CEM Price Data'!Y22="","",'CEM Price Data'!Y22)</f>
        <v>545.6</v>
      </c>
      <c r="Y23" s="526">
        <f>IF('CEM Price Data'!Z22="","",'CEM Price Data'!Z22)</f>
        <v>302.85000000000002</v>
      </c>
      <c r="Z23" s="526">
        <f>IF('CEM Price Data'!AA22="","",'CEM Price Data'!AA22)</f>
        <v>83.35</v>
      </c>
      <c r="AA23" s="526">
        <f>IF('CEM Price Data'!AB22="","",'CEM Price Data'!AB22)</f>
        <v>132.51</v>
      </c>
      <c r="AB23" s="526">
        <f>IF('CEM Price Data'!AC22="","",'CEM Price Data'!AC22)</f>
        <v>95.75</v>
      </c>
      <c r="AC23" s="526">
        <f>IF('CEM Price Data'!AD22="","",'CEM Price Data'!AD22)</f>
        <v>131.85</v>
      </c>
      <c r="AD23" s="526">
        <f>IF('CEM Price Data'!AE22="","",'CEM Price Data'!AE22)</f>
        <v>40.479999999999997</v>
      </c>
      <c r="AE23" s="526">
        <f>IF('CEM Price Data'!AF22="","",'CEM Price Data'!AF22)</f>
        <v>257.75</v>
      </c>
      <c r="AF23" s="526">
        <f>IF('CEM Price Data'!AG22="","",'CEM Price Data'!AG22)</f>
        <v>95.08</v>
      </c>
      <c r="AG23" s="526">
        <f>IF('CEM Price Data'!AH22="","",'CEM Price Data'!AH22)</f>
        <v>6.24</v>
      </c>
      <c r="AH23" s="526">
        <f>IF('CEM Price Data'!AI22="","",'CEM Price Data'!AI22)</f>
        <v>75.650000000000006</v>
      </c>
      <c r="AI23" s="526">
        <f>IF('CEM Price Data'!AJ22="","",'CEM Price Data'!AJ22)</f>
        <v>563</v>
      </c>
      <c r="AJ23" s="526">
        <f>IF('CEM Price Data'!AK22="","",'CEM Price Data'!AK22)</f>
        <v>177.66</v>
      </c>
      <c r="AK23" s="526">
        <f>IF('CEM Price Data'!AL22="","",'CEM Price Data'!AL22)</f>
        <v>202.1</v>
      </c>
      <c r="AL23" s="526">
        <f>IF('CEM Price Data'!AM22="","",'CEM Price Data'!AM22)</f>
        <v>347.37</v>
      </c>
      <c r="AM23" s="526">
        <f>IF('CEM Price Data'!AN22="","",'CEM Price Data'!AN22)</f>
        <v>266.39999999999998</v>
      </c>
      <c r="AN23" s="526">
        <f>IF('CEM Price Data'!AO22="","",'CEM Price Data'!AO22)</f>
        <v>14.44</v>
      </c>
    </row>
    <row r="24" spans="1:40">
      <c r="A24" s="525">
        <f>IF('CEM Price Data'!B23="","",'CEM Price Data'!B23)</f>
        <v>44896</v>
      </c>
      <c r="B24" s="526">
        <f>IF('CEM Price Data'!C23="","",'CEM Price Data'!C23)</f>
        <v>156.12</v>
      </c>
      <c r="C24" s="526">
        <f>IF('CEM Price Data'!D23="","",'CEM Price Data'!D23)</f>
        <v>107.93</v>
      </c>
      <c r="D24" s="526">
        <f>IF('CEM Price Data'!E23="","",'CEM Price Data'!E23)</f>
        <v>171.48</v>
      </c>
      <c r="E24" s="526">
        <f>IF('CEM Price Data'!F23="","",'CEM Price Data'!F23)</f>
        <v>128.01</v>
      </c>
      <c r="F24" s="526">
        <f>IF('CEM Price Data'!G23="","",'CEM Price Data'!G23)</f>
        <v>60.48</v>
      </c>
      <c r="G24" s="526">
        <f>IF('CEM Price Data'!H23="","",'CEM Price Data'!H23)</f>
        <v>312.04000000000002</v>
      </c>
      <c r="H24" s="526">
        <f>IF('CEM Price Data'!I23="","",'CEM Price Data'!I23)</f>
        <v>74.05</v>
      </c>
      <c r="I24" s="526">
        <f>IF('CEM Price Data'!J23="","",'CEM Price Data'!J23)</f>
        <v>80.88</v>
      </c>
      <c r="J24" s="526">
        <f>IF('CEM Price Data'!K23="","",'CEM Price Data'!K23)</f>
        <v>149.86000000000001</v>
      </c>
      <c r="K24" s="526">
        <f>IF('CEM Price Data'!L23="","",'CEM Price Data'!L23)</f>
        <v>313.70999999999998</v>
      </c>
      <c r="L24" s="526">
        <f>IF('CEM Price Data'!M23="","",'CEM Price Data'!M23)</f>
        <v>519.02</v>
      </c>
      <c r="M24" s="526">
        <f>IF('CEM Price Data'!N23="","",'CEM Price Data'!N23)</f>
        <v>122.09</v>
      </c>
      <c r="N24" s="526">
        <f>IF('CEM Price Data'!O23="","",'CEM Price Data'!O23)</f>
        <v>152.61000000000001</v>
      </c>
      <c r="O24" s="526">
        <f>IF('CEM Price Data'!P23="","",'CEM Price Data'!P23)</f>
        <v>102.93</v>
      </c>
      <c r="P24" s="526">
        <f>IF('CEM Price Data'!Q23="","",'CEM Price Data'!Q23)</f>
        <v>98.05</v>
      </c>
      <c r="Q24" s="526">
        <f>IF('CEM Price Data'!R23="","",'CEM Price Data'!R23)</f>
        <v>163.62</v>
      </c>
      <c r="R24" s="526">
        <f>IF('CEM Price Data'!S23="","",'CEM Price Data'!S23)</f>
        <v>190.73</v>
      </c>
      <c r="S24" s="526">
        <f>IF('CEM Price Data'!T23="","",'CEM Price Data'!T23)</f>
        <v>85.73</v>
      </c>
      <c r="T24" s="526">
        <f>IF('CEM Price Data'!U23="","",'CEM Price Data'!U23)</f>
        <v>109.8</v>
      </c>
      <c r="U24" s="526">
        <f>IF('CEM Price Data'!V23="","",'CEM Price Data'!V23)</f>
        <v>521.39</v>
      </c>
      <c r="V24" s="526">
        <f>IF('CEM Price Data'!W23="","",'CEM Price Data'!W23)</f>
        <v>271.77999999999997</v>
      </c>
      <c r="W24" s="526">
        <f>IF('CEM Price Data'!X23="","",'CEM Price Data'!X23)</f>
        <v>318.87</v>
      </c>
      <c r="X24" s="526">
        <f>IF('CEM Price Data'!Y23="","",'CEM Price Data'!Y23)</f>
        <v>530.29999999999995</v>
      </c>
      <c r="Y24" s="526">
        <f>IF('CEM Price Data'!Z23="","",'CEM Price Data'!Z23)</f>
        <v>300.89</v>
      </c>
      <c r="Z24" s="526">
        <f>IF('CEM Price Data'!AA23="","",'CEM Price Data'!AA23)</f>
        <v>84.11</v>
      </c>
      <c r="AA24" s="526">
        <f>IF('CEM Price Data'!AB23="","",'CEM Price Data'!AB23)</f>
        <v>131.26</v>
      </c>
      <c r="AB24" s="526">
        <f>IF('CEM Price Data'!AC23="","",'CEM Price Data'!AC23)</f>
        <v>94.09</v>
      </c>
      <c r="AC24" s="526">
        <f>IF('CEM Price Data'!AD23="","",'CEM Price Data'!AD23)</f>
        <v>129.78</v>
      </c>
      <c r="AD24" s="526">
        <f>IF('CEM Price Data'!AE23="","",'CEM Price Data'!AE23)</f>
        <v>40.39</v>
      </c>
      <c r="AE24" s="526">
        <f>IF('CEM Price Data'!AF23="","",'CEM Price Data'!AF23)</f>
        <v>251.61</v>
      </c>
      <c r="AF24" s="526">
        <f>IF('CEM Price Data'!AG23="","",'CEM Price Data'!AG23)</f>
        <v>94.42</v>
      </c>
      <c r="AG24" s="526">
        <f>IF('CEM Price Data'!AH23="","",'CEM Price Data'!AH23)</f>
        <v>6.41</v>
      </c>
      <c r="AH24" s="526">
        <f>IF('CEM Price Data'!AI23="","",'CEM Price Data'!AI23)</f>
        <v>74.489999999999995</v>
      </c>
      <c r="AI24" s="526">
        <f>IF('CEM Price Data'!AJ23="","",'CEM Price Data'!AJ23)</f>
        <v>564.55999999999995</v>
      </c>
      <c r="AJ24" s="526">
        <f>IF('CEM Price Data'!AK23="","",'CEM Price Data'!AK23)</f>
        <v>177.5</v>
      </c>
      <c r="AK24" s="526">
        <f>IF('CEM Price Data'!AL23="","",'CEM Price Data'!AL23)</f>
        <v>204.57</v>
      </c>
      <c r="AL24" s="526">
        <f>IF('CEM Price Data'!AM23="","",'CEM Price Data'!AM23)</f>
        <v>346.93</v>
      </c>
      <c r="AM24" s="526">
        <f>IF('CEM Price Data'!AN23="","",'CEM Price Data'!AN23)</f>
        <v>269.94</v>
      </c>
      <c r="AN24" s="526">
        <f>IF('CEM Price Data'!AO23="","",'CEM Price Data'!AO23)</f>
        <v>14.47</v>
      </c>
    </row>
    <row r="25" spans="1:40">
      <c r="A25" s="525">
        <f>IF('CEM Price Data'!B24="","",'CEM Price Data'!B24)</f>
        <v>44895</v>
      </c>
      <c r="B25" s="526">
        <f>IF('CEM Price Data'!C24="","",'CEM Price Data'!C24)</f>
        <v>154.97999999999999</v>
      </c>
      <c r="C25" s="526">
        <f>IF('CEM Price Data'!D24="","",'CEM Price Data'!D24)</f>
        <v>107.58</v>
      </c>
      <c r="D25" s="526">
        <f>IF('CEM Price Data'!E24="","",'CEM Price Data'!E24)</f>
        <v>171.91</v>
      </c>
      <c r="E25" s="526">
        <f>IF('CEM Price Data'!F24="","",'CEM Price Data'!F24)</f>
        <v>128.22</v>
      </c>
      <c r="F25" s="526">
        <f>IF('CEM Price Data'!G24="","",'CEM Price Data'!G24)</f>
        <v>60.74</v>
      </c>
      <c r="G25" s="526">
        <f>IF('CEM Price Data'!H24="","",'CEM Price Data'!H24)</f>
        <v>310.16000000000003</v>
      </c>
      <c r="H25" s="526">
        <f>IF('CEM Price Data'!I24="","",'CEM Price Data'!I24)</f>
        <v>73.02</v>
      </c>
      <c r="I25" s="526">
        <f>IF('CEM Price Data'!J24="","",'CEM Price Data'!J24)</f>
        <v>80.28</v>
      </c>
      <c r="J25" s="526">
        <f>IF('CEM Price Data'!K24="","",'CEM Price Data'!K24)</f>
        <v>149.11000000000001</v>
      </c>
      <c r="K25" s="526">
        <f>IF('CEM Price Data'!L24="","",'CEM Price Data'!L24)</f>
        <v>312.3</v>
      </c>
      <c r="L25" s="526">
        <f>IF('CEM Price Data'!M24="","",'CEM Price Data'!M24)</f>
        <v>520</v>
      </c>
      <c r="M25" s="526">
        <f>IF('CEM Price Data'!N24="","",'CEM Price Data'!N24)</f>
        <v>120.95</v>
      </c>
      <c r="N25" s="526">
        <f>IF('CEM Price Data'!O24="","",'CEM Price Data'!O24)</f>
        <v>151.83000000000001</v>
      </c>
      <c r="O25" s="526">
        <f>IF('CEM Price Data'!P24="","",'CEM Price Data'!P24)</f>
        <v>103.41</v>
      </c>
      <c r="P25" s="526">
        <f>IF('CEM Price Data'!Q24="","",'CEM Price Data'!Q24)</f>
        <v>97.97</v>
      </c>
      <c r="Q25" s="526">
        <f>IF('CEM Price Data'!R24="","",'CEM Price Data'!R24)</f>
        <v>164.02</v>
      </c>
      <c r="R25" s="526">
        <f>IF('CEM Price Data'!S24="","",'CEM Price Data'!S24)</f>
        <v>189.35</v>
      </c>
      <c r="S25" s="526">
        <f>IF('CEM Price Data'!T24="","",'CEM Price Data'!T24)</f>
        <v>85.18</v>
      </c>
      <c r="T25" s="526">
        <f>IF('CEM Price Data'!U24="","",'CEM Price Data'!U24)</f>
        <v>110.12</v>
      </c>
      <c r="U25" s="526">
        <f>IF('CEM Price Data'!V24="","",'CEM Price Data'!V24)</f>
        <v>507.83</v>
      </c>
      <c r="V25" s="526">
        <f>IF('CEM Price Data'!W24="","",'CEM Price Data'!W24)</f>
        <v>272.2</v>
      </c>
      <c r="W25" s="526">
        <f>IF('CEM Price Data'!X24="","",'CEM Price Data'!X24)</f>
        <v>316.02</v>
      </c>
      <c r="X25" s="526">
        <f>IF('CEM Price Data'!Y24="","",'CEM Price Data'!Y24)</f>
        <v>533.29</v>
      </c>
      <c r="Y25" s="526">
        <f>IF('CEM Price Data'!Z24="","",'CEM Price Data'!Z24)</f>
        <v>302.61</v>
      </c>
      <c r="Z25" s="526">
        <f>IF('CEM Price Data'!AA24="","",'CEM Price Data'!AA24)</f>
        <v>83.03</v>
      </c>
      <c r="AA25" s="526">
        <f>IF('CEM Price Data'!AB24="","",'CEM Price Data'!AB24)</f>
        <v>132.15</v>
      </c>
      <c r="AB25" s="526">
        <f>IF('CEM Price Data'!AC24="","",'CEM Price Data'!AC24)</f>
        <v>93.61</v>
      </c>
      <c r="AC25" s="526">
        <f>IF('CEM Price Data'!AD24="","",'CEM Price Data'!AD24)</f>
        <v>130.07</v>
      </c>
      <c r="AD25" s="526">
        <f>IF('CEM Price Data'!AE24="","",'CEM Price Data'!AE24)</f>
        <v>40.44</v>
      </c>
      <c r="AE25" s="526">
        <f>IF('CEM Price Data'!AF24="","",'CEM Price Data'!AF24)</f>
        <v>249.18</v>
      </c>
      <c r="AF25" s="526">
        <f>IF('CEM Price Data'!AG24="","",'CEM Price Data'!AG24)</f>
        <v>96.12</v>
      </c>
      <c r="AG25" s="526">
        <f>IF('CEM Price Data'!AH24="","",'CEM Price Data'!AH24)</f>
        <v>6.49</v>
      </c>
      <c r="AH25" s="526">
        <f>IF('CEM Price Data'!AI24="","",'CEM Price Data'!AI24)</f>
        <v>74.709999999999994</v>
      </c>
      <c r="AI25" s="526">
        <f>IF('CEM Price Data'!AJ24="","",'CEM Price Data'!AJ24)</f>
        <v>560.22</v>
      </c>
      <c r="AJ25" s="526">
        <f>IF('CEM Price Data'!AK24="","",'CEM Price Data'!AK24)</f>
        <v>180.46</v>
      </c>
      <c r="AK25" s="526">
        <f>IF('CEM Price Data'!AL24="","",'CEM Price Data'!AL24)</f>
        <v>199.81</v>
      </c>
      <c r="AL25" s="526">
        <f>IF('CEM Price Data'!AM24="","",'CEM Price Data'!AM24)</f>
        <v>346.6</v>
      </c>
      <c r="AM25" s="526">
        <f>IF('CEM Price Data'!AN24="","",'CEM Price Data'!AN24)</f>
        <v>268.98</v>
      </c>
      <c r="AN25" s="526">
        <f>IF('CEM Price Data'!AO24="","",'CEM Price Data'!AO24)</f>
        <v>14.66</v>
      </c>
    </row>
    <row r="26" spans="1:40">
      <c r="A26" s="525">
        <f>IF('CEM Price Data'!B25="","",'CEM Price Data'!B25)</f>
        <v>44894</v>
      </c>
      <c r="B26" s="526">
        <f>IF('CEM Price Data'!C25="","",'CEM Price Data'!C25)</f>
        <v>150.94</v>
      </c>
      <c r="C26" s="526">
        <f>IF('CEM Price Data'!D25="","",'CEM Price Data'!D25)</f>
        <v>105</v>
      </c>
      <c r="D26" s="526">
        <f>IF('CEM Price Data'!E25="","",'CEM Price Data'!E25)</f>
        <v>163.89</v>
      </c>
      <c r="E26" s="526">
        <f>IF('CEM Price Data'!F25="","",'CEM Price Data'!F25)</f>
        <v>126.39</v>
      </c>
      <c r="F26" s="526">
        <f>IF('CEM Price Data'!G25="","",'CEM Price Data'!G25)</f>
        <v>60.49</v>
      </c>
      <c r="G26" s="526">
        <f>IF('CEM Price Data'!H25="","",'CEM Price Data'!H25)</f>
        <v>302.18</v>
      </c>
      <c r="H26" s="526">
        <f>IF('CEM Price Data'!I25="","",'CEM Price Data'!I25)</f>
        <v>71.12</v>
      </c>
      <c r="I26" s="526">
        <f>IF('CEM Price Data'!J25="","",'CEM Price Data'!J25)</f>
        <v>79.03</v>
      </c>
      <c r="J26" s="526">
        <f>IF('CEM Price Data'!K25="","",'CEM Price Data'!K25)</f>
        <v>142.82</v>
      </c>
      <c r="K26" s="526">
        <f>IF('CEM Price Data'!L25="","",'CEM Price Data'!L25)</f>
        <v>307.11</v>
      </c>
      <c r="L26" s="526">
        <f>IF('CEM Price Data'!M25="","",'CEM Price Data'!M25)</f>
        <v>511.71</v>
      </c>
      <c r="M26" s="526">
        <f>IF('CEM Price Data'!N25="","",'CEM Price Data'!N25)</f>
        <v>118.83</v>
      </c>
      <c r="N26" s="526">
        <f>IF('CEM Price Data'!O25="","",'CEM Price Data'!O25)</f>
        <v>149.01</v>
      </c>
      <c r="O26" s="526">
        <f>IF('CEM Price Data'!P25="","",'CEM Price Data'!P25)</f>
        <v>100.28</v>
      </c>
      <c r="P26" s="526">
        <f>IF('CEM Price Data'!Q25="","",'CEM Price Data'!Q25)</f>
        <v>96.71</v>
      </c>
      <c r="Q26" s="526">
        <f>IF('CEM Price Data'!R25="","",'CEM Price Data'!R25)</f>
        <v>159.63999999999999</v>
      </c>
      <c r="R26" s="526">
        <f>IF('CEM Price Data'!S25="","",'CEM Price Data'!S25)</f>
        <v>185.9</v>
      </c>
      <c r="S26" s="526">
        <f>IF('CEM Price Data'!T25="","",'CEM Price Data'!T25)</f>
        <v>83.75</v>
      </c>
      <c r="T26" s="526">
        <f>IF('CEM Price Data'!U25="","",'CEM Price Data'!U25)</f>
        <v>108.84</v>
      </c>
      <c r="U26" s="526">
        <f>IF('CEM Price Data'!V25="","",'CEM Price Data'!V25)</f>
        <v>486.32</v>
      </c>
      <c r="V26" s="526">
        <f>IF('CEM Price Data'!W25="","",'CEM Price Data'!W25)</f>
        <v>264.45999999999998</v>
      </c>
      <c r="W26" s="526">
        <f>IF('CEM Price Data'!X25="","",'CEM Price Data'!X25)</f>
        <v>309.2</v>
      </c>
      <c r="X26" s="526">
        <f>IF('CEM Price Data'!Y25="","",'CEM Price Data'!Y25)</f>
        <v>528.35</v>
      </c>
      <c r="Y26" s="526">
        <f>IF('CEM Price Data'!Z25="","",'CEM Price Data'!Z25)</f>
        <v>292.07</v>
      </c>
      <c r="Z26" s="526">
        <f>IF('CEM Price Data'!AA25="","",'CEM Price Data'!AA25)</f>
        <v>80.849999999999994</v>
      </c>
      <c r="AA26" s="526">
        <f>IF('CEM Price Data'!AB25="","",'CEM Price Data'!AB25)</f>
        <v>131.12</v>
      </c>
      <c r="AB26" s="526">
        <f>IF('CEM Price Data'!AC25="","",'CEM Price Data'!AC25)</f>
        <v>92.77</v>
      </c>
      <c r="AC26" s="526">
        <f>IF('CEM Price Data'!AD25="","",'CEM Price Data'!AD25)</f>
        <v>127.49</v>
      </c>
      <c r="AD26" s="526">
        <f>IF('CEM Price Data'!AE25="","",'CEM Price Data'!AE25)</f>
        <v>39.83</v>
      </c>
      <c r="AE26" s="526">
        <f>IF('CEM Price Data'!AF25="","",'CEM Price Data'!AF25)</f>
        <v>241.57</v>
      </c>
      <c r="AF26" s="526">
        <f>IF('CEM Price Data'!AG25="","",'CEM Price Data'!AG25)</f>
        <v>94.71</v>
      </c>
      <c r="AG26" s="526">
        <f>IF('CEM Price Data'!AH25="","",'CEM Price Data'!AH25)</f>
        <v>6.41</v>
      </c>
      <c r="AH26" s="526">
        <f>IF('CEM Price Data'!AI25="","",'CEM Price Data'!AI25)</f>
        <v>73.510000000000005</v>
      </c>
      <c r="AI26" s="526">
        <f>IF('CEM Price Data'!AJ25="","",'CEM Price Data'!AJ25)</f>
        <v>539.75</v>
      </c>
      <c r="AJ26" s="526">
        <f>IF('CEM Price Data'!AK25="","",'CEM Price Data'!AK25)</f>
        <v>172.98</v>
      </c>
      <c r="AK26" s="526">
        <f>IF('CEM Price Data'!AL25="","",'CEM Price Data'!AL25)</f>
        <v>194.96</v>
      </c>
      <c r="AL26" s="526">
        <f>IF('CEM Price Data'!AM25="","",'CEM Price Data'!AM25)</f>
        <v>330.16</v>
      </c>
      <c r="AM26" s="526">
        <f>IF('CEM Price Data'!AN25="","",'CEM Price Data'!AN25)</f>
        <v>269.3</v>
      </c>
      <c r="AN26" s="526">
        <f>IF('CEM Price Data'!AO25="","",'CEM Price Data'!AO25)</f>
        <v>14.47</v>
      </c>
    </row>
    <row r="27" spans="1:40">
      <c r="A27" s="525">
        <f>IF('CEM Price Data'!B26="","",'CEM Price Data'!B26)</f>
        <v>44893</v>
      </c>
      <c r="B27" s="526">
        <f>IF('CEM Price Data'!C26="","",'CEM Price Data'!C26)</f>
        <v>152.30000000000001</v>
      </c>
      <c r="C27" s="526">
        <f>IF('CEM Price Data'!D26="","",'CEM Price Data'!D26)</f>
        <v>105.39</v>
      </c>
      <c r="D27" s="526">
        <f>IF('CEM Price Data'!E26="","",'CEM Price Data'!E26)</f>
        <v>164.01</v>
      </c>
      <c r="E27" s="526">
        <f>IF('CEM Price Data'!F26="","",'CEM Price Data'!F26)</f>
        <v>125.22</v>
      </c>
      <c r="F27" s="526">
        <f>IF('CEM Price Data'!G26="","",'CEM Price Data'!G26)</f>
        <v>59.76</v>
      </c>
      <c r="G27" s="526">
        <f>IF('CEM Price Data'!H26="","",'CEM Price Data'!H26)</f>
        <v>304.45999999999998</v>
      </c>
      <c r="H27" s="526">
        <f>IF('CEM Price Data'!I26="","",'CEM Price Data'!I26)</f>
        <v>71.930000000000007</v>
      </c>
      <c r="I27" s="526">
        <f>IF('CEM Price Data'!J26="","",'CEM Price Data'!J26)</f>
        <v>79.14</v>
      </c>
      <c r="J27" s="526">
        <f>IF('CEM Price Data'!K26="","",'CEM Price Data'!K26)</f>
        <v>146.5</v>
      </c>
      <c r="K27" s="526">
        <f>IF('CEM Price Data'!L26="","",'CEM Price Data'!L26)</f>
        <v>308.43</v>
      </c>
      <c r="L27" s="526">
        <f>IF('CEM Price Data'!M26="","",'CEM Price Data'!M26)</f>
        <v>510.72</v>
      </c>
      <c r="M27" s="526">
        <f>IF('CEM Price Data'!N26="","",'CEM Price Data'!N26)</f>
        <v>118.15</v>
      </c>
      <c r="N27" s="526">
        <f>IF('CEM Price Data'!O26="","",'CEM Price Data'!O26)</f>
        <v>149.07</v>
      </c>
      <c r="O27" s="526">
        <f>IF('CEM Price Data'!P26="","",'CEM Price Data'!P26)</f>
        <v>100.88</v>
      </c>
      <c r="P27" s="526">
        <f>IF('CEM Price Data'!Q26="","",'CEM Price Data'!Q26)</f>
        <v>97.61</v>
      </c>
      <c r="Q27" s="526">
        <f>IF('CEM Price Data'!R26="","",'CEM Price Data'!R26)</f>
        <v>162.96</v>
      </c>
      <c r="R27" s="526">
        <f>IF('CEM Price Data'!S26="","",'CEM Price Data'!S26)</f>
        <v>188.8</v>
      </c>
      <c r="S27" s="526">
        <f>IF('CEM Price Data'!T26="","",'CEM Price Data'!T26)</f>
        <v>83.75</v>
      </c>
      <c r="T27" s="526">
        <f>IF('CEM Price Data'!U26="","",'CEM Price Data'!U26)</f>
        <v>108.45</v>
      </c>
      <c r="U27" s="526">
        <f>IF('CEM Price Data'!V26="","",'CEM Price Data'!V26)</f>
        <v>495.96</v>
      </c>
      <c r="V27" s="526">
        <f>IF('CEM Price Data'!W26="","",'CEM Price Data'!W26)</f>
        <v>265.98</v>
      </c>
      <c r="W27" s="526">
        <f>IF('CEM Price Data'!X26="","",'CEM Price Data'!X26)</f>
        <v>312.68</v>
      </c>
      <c r="X27" s="526">
        <f>IF('CEM Price Data'!Y26="","",'CEM Price Data'!Y26)</f>
        <v>524.88</v>
      </c>
      <c r="Y27" s="526">
        <f>IF('CEM Price Data'!Z26="","",'CEM Price Data'!Z26)</f>
        <v>288.32</v>
      </c>
      <c r="Z27" s="526">
        <f>IF('CEM Price Data'!AA26="","",'CEM Price Data'!AA26)</f>
        <v>81.39</v>
      </c>
      <c r="AA27" s="526">
        <f>IF('CEM Price Data'!AB26="","",'CEM Price Data'!AB26)</f>
        <v>130.02000000000001</v>
      </c>
      <c r="AB27" s="526">
        <f>IF('CEM Price Data'!AC26="","",'CEM Price Data'!AC26)</f>
        <v>92.66</v>
      </c>
      <c r="AC27" s="526">
        <f>IF('CEM Price Data'!AD26="","",'CEM Price Data'!AD26)</f>
        <v>131.84</v>
      </c>
      <c r="AD27" s="526">
        <f>IF('CEM Price Data'!AE26="","",'CEM Price Data'!AE26)</f>
        <v>39.78</v>
      </c>
      <c r="AE27" s="526">
        <f>IF('CEM Price Data'!AF26="","",'CEM Price Data'!AF26)</f>
        <v>245.56</v>
      </c>
      <c r="AF27" s="526">
        <f>IF('CEM Price Data'!AG26="","",'CEM Price Data'!AG26)</f>
        <v>95.63</v>
      </c>
      <c r="AG27" s="526">
        <f>IF('CEM Price Data'!AH26="","",'CEM Price Data'!AH26)</f>
        <v>6.38</v>
      </c>
      <c r="AH27" s="526">
        <f>IF('CEM Price Data'!AI26="","",'CEM Price Data'!AI26)</f>
        <v>73.760000000000005</v>
      </c>
      <c r="AI27" s="526">
        <f>IF('CEM Price Data'!AJ26="","",'CEM Price Data'!AJ26)</f>
        <v>540.03</v>
      </c>
      <c r="AJ27" s="526">
        <f>IF('CEM Price Data'!AK26="","",'CEM Price Data'!AK26)</f>
        <v>173</v>
      </c>
      <c r="AK27" s="526">
        <f>IF('CEM Price Data'!AL26="","",'CEM Price Data'!AL26)</f>
        <v>197.75</v>
      </c>
      <c r="AL27" s="526">
        <f>IF('CEM Price Data'!AM26="","",'CEM Price Data'!AM26)</f>
        <v>331.6</v>
      </c>
      <c r="AM27" s="526">
        <f>IF('CEM Price Data'!AN26="","",'CEM Price Data'!AN26)</f>
        <v>269.95999999999998</v>
      </c>
      <c r="AN27" s="526">
        <f>IF('CEM Price Data'!AO26="","",'CEM Price Data'!AO26)</f>
        <v>14.26</v>
      </c>
    </row>
    <row r="28" spans="1:40">
      <c r="A28" s="525">
        <f>IF('CEM Price Data'!B27="","",'CEM Price Data'!B27)</f>
        <v>44890</v>
      </c>
      <c r="B28" s="526">
        <f>IF('CEM Price Data'!C27="","",'CEM Price Data'!C27)</f>
        <v>156.96</v>
      </c>
      <c r="C28" s="526">
        <f>IF('CEM Price Data'!D27="","",'CEM Price Data'!D27)</f>
        <v>106.96</v>
      </c>
      <c r="D28" s="526">
        <f>IF('CEM Price Data'!E27="","",'CEM Price Data'!E27)</f>
        <v>167.09</v>
      </c>
      <c r="E28" s="526">
        <f>IF('CEM Price Data'!F27="","",'CEM Price Data'!F27)</f>
        <v>128.49</v>
      </c>
      <c r="F28" s="526">
        <f>IF('CEM Price Data'!G27="","",'CEM Price Data'!G27)</f>
        <v>61.86</v>
      </c>
      <c r="G28" s="526">
        <f>IF('CEM Price Data'!H27="","",'CEM Price Data'!H27)</f>
        <v>309.91000000000003</v>
      </c>
      <c r="H28" s="526">
        <f>IF('CEM Price Data'!I27="","",'CEM Price Data'!I27)</f>
        <v>72.73</v>
      </c>
      <c r="I28" s="526">
        <f>IF('CEM Price Data'!J27="","",'CEM Price Data'!J27)</f>
        <v>79.239999999999995</v>
      </c>
      <c r="J28" s="526">
        <f>IF('CEM Price Data'!K27="","",'CEM Price Data'!K27)</f>
        <v>148.52000000000001</v>
      </c>
      <c r="K28" s="526">
        <f>IF('CEM Price Data'!L27="","",'CEM Price Data'!L27)</f>
        <v>311.08</v>
      </c>
      <c r="L28" s="526">
        <f>IF('CEM Price Data'!M27="","",'CEM Price Data'!M27)</f>
        <v>516.91999999999996</v>
      </c>
      <c r="M28" s="526">
        <f>IF('CEM Price Data'!N27="","",'CEM Price Data'!N27)</f>
        <v>118.47</v>
      </c>
      <c r="N28" s="526">
        <f>IF('CEM Price Data'!O27="","",'CEM Price Data'!O27)</f>
        <v>149.06</v>
      </c>
      <c r="O28" s="526">
        <f>IF('CEM Price Data'!P27="","",'CEM Price Data'!P27)</f>
        <v>102.59</v>
      </c>
      <c r="P28" s="526">
        <f>IF('CEM Price Data'!Q27="","",'CEM Price Data'!Q27)</f>
        <v>98.69</v>
      </c>
      <c r="Q28" s="526">
        <f>IF('CEM Price Data'!R27="","",'CEM Price Data'!R27)</f>
        <v>161.91</v>
      </c>
      <c r="R28" s="526">
        <f>IF('CEM Price Data'!S27="","",'CEM Price Data'!S27)</f>
        <v>191.42</v>
      </c>
      <c r="S28" s="526">
        <f>IF('CEM Price Data'!T27="","",'CEM Price Data'!T27)</f>
        <v>84.91</v>
      </c>
      <c r="T28" s="526">
        <f>IF('CEM Price Data'!U27="","",'CEM Price Data'!U27)</f>
        <v>107.5</v>
      </c>
      <c r="U28" s="526">
        <f>IF('CEM Price Data'!V27="","",'CEM Price Data'!V27)</f>
        <v>512.26</v>
      </c>
      <c r="V28" s="526">
        <f>IF('CEM Price Data'!W27="","",'CEM Price Data'!W27)</f>
        <v>268.43</v>
      </c>
      <c r="W28" s="526">
        <f>IF('CEM Price Data'!X27="","",'CEM Price Data'!X27)</f>
        <v>317.77</v>
      </c>
      <c r="X28" s="526">
        <f>IF('CEM Price Data'!Y27="","",'CEM Price Data'!Y27)</f>
        <v>527.83000000000004</v>
      </c>
      <c r="Y28" s="526">
        <f>IF('CEM Price Data'!Z27="","",'CEM Price Data'!Z27)</f>
        <v>293.99</v>
      </c>
      <c r="Z28" s="526">
        <f>IF('CEM Price Data'!AA27="","",'CEM Price Data'!AA27)</f>
        <v>82.72</v>
      </c>
      <c r="AA28" s="526">
        <f>IF('CEM Price Data'!AB27="","",'CEM Price Data'!AB27)</f>
        <v>131.57</v>
      </c>
      <c r="AB28" s="526">
        <f>IF('CEM Price Data'!AC27="","",'CEM Price Data'!AC27)</f>
        <v>92.92</v>
      </c>
      <c r="AC28" s="526">
        <f>IF('CEM Price Data'!AD27="","",'CEM Price Data'!AD27)</f>
        <v>133.72</v>
      </c>
      <c r="AD28" s="526">
        <f>IF('CEM Price Data'!AE27="","",'CEM Price Data'!AE27)</f>
        <v>39.99</v>
      </c>
      <c r="AE28" s="526">
        <f>IF('CEM Price Data'!AF27="","",'CEM Price Data'!AF27)</f>
        <v>249.52</v>
      </c>
      <c r="AF28" s="526">
        <f>IF('CEM Price Data'!AG27="","",'CEM Price Data'!AG27)</f>
        <v>95.38</v>
      </c>
      <c r="AG28" s="526">
        <f>IF('CEM Price Data'!AH27="","",'CEM Price Data'!AH27)</f>
        <v>6.49</v>
      </c>
      <c r="AH28" s="526">
        <f>IF('CEM Price Data'!AI27="","",'CEM Price Data'!AI27)</f>
        <v>74.239999999999995</v>
      </c>
      <c r="AI28" s="526">
        <f>IF('CEM Price Data'!AJ27="","",'CEM Price Data'!AJ27)</f>
        <v>551.25</v>
      </c>
      <c r="AJ28" s="526">
        <f>IF('CEM Price Data'!AK27="","",'CEM Price Data'!AK27)</f>
        <v>177.07</v>
      </c>
      <c r="AK28" s="526">
        <f>IF('CEM Price Data'!AL27="","",'CEM Price Data'!AL27)</f>
        <v>198.87</v>
      </c>
      <c r="AL28" s="526">
        <f>IF('CEM Price Data'!AM27="","",'CEM Price Data'!AM27)</f>
        <v>338.03</v>
      </c>
      <c r="AM28" s="526">
        <f>IF('CEM Price Data'!AN27="","",'CEM Price Data'!AN27)</f>
        <v>278.74</v>
      </c>
      <c r="AN28" s="526">
        <f>IF('CEM Price Data'!AO27="","",'CEM Price Data'!AO27)</f>
        <v>14.29</v>
      </c>
    </row>
    <row r="29" spans="1:40">
      <c r="A29" s="525">
        <f>IF('CEM Price Data'!B28="","",'CEM Price Data'!B28)</f>
        <v>44888</v>
      </c>
      <c r="B29" s="526">
        <f>IF('CEM Price Data'!C28="","",'CEM Price Data'!C28)</f>
        <v>155.35</v>
      </c>
      <c r="C29" s="526">
        <f>IF('CEM Price Data'!D28="","",'CEM Price Data'!D28)</f>
        <v>106.02</v>
      </c>
      <c r="D29" s="526">
        <f>IF('CEM Price Data'!E28="","",'CEM Price Data'!E28)</f>
        <v>169.2</v>
      </c>
      <c r="E29" s="526">
        <f>IF('CEM Price Data'!F28="","",'CEM Price Data'!F28)</f>
        <v>127.04</v>
      </c>
      <c r="F29" s="526">
        <f>IF('CEM Price Data'!G28="","",'CEM Price Data'!G28)</f>
        <v>61.53</v>
      </c>
      <c r="G29" s="526">
        <f>IF('CEM Price Data'!H28="","",'CEM Price Data'!H28)</f>
        <v>308.14999999999998</v>
      </c>
      <c r="H29" s="526">
        <f>IF('CEM Price Data'!I28="","",'CEM Price Data'!I28)</f>
        <v>72.569999999999993</v>
      </c>
      <c r="I29" s="526">
        <f>IF('CEM Price Data'!J28="","",'CEM Price Data'!J28)</f>
        <v>79.14</v>
      </c>
      <c r="J29" s="526">
        <f>IF('CEM Price Data'!K28="","",'CEM Price Data'!K28)</f>
        <v>148.43</v>
      </c>
      <c r="K29" s="526">
        <f>IF('CEM Price Data'!L28="","",'CEM Price Data'!L28)</f>
        <v>305.63</v>
      </c>
      <c r="L29" s="526">
        <f>IF('CEM Price Data'!M28="","",'CEM Price Data'!M28)</f>
        <v>513.1</v>
      </c>
      <c r="M29" s="526">
        <f>IF('CEM Price Data'!N28="","",'CEM Price Data'!N28)</f>
        <v>118.31</v>
      </c>
      <c r="N29" s="526">
        <f>IF('CEM Price Data'!O28="","",'CEM Price Data'!O28)</f>
        <v>148.46</v>
      </c>
      <c r="O29" s="526">
        <f>IF('CEM Price Data'!P28="","",'CEM Price Data'!P28)</f>
        <v>101.26</v>
      </c>
      <c r="P29" s="526">
        <f>IF('CEM Price Data'!Q28="","",'CEM Price Data'!Q28)</f>
        <v>97.99</v>
      </c>
      <c r="Q29" s="526">
        <f>IF('CEM Price Data'!R28="","",'CEM Price Data'!R28)</f>
        <v>160.41</v>
      </c>
      <c r="R29" s="526">
        <f>IF('CEM Price Data'!S28="","",'CEM Price Data'!S28)</f>
        <v>190.06</v>
      </c>
      <c r="S29" s="526">
        <f>IF('CEM Price Data'!T28="","",'CEM Price Data'!T28)</f>
        <v>86.11</v>
      </c>
      <c r="T29" s="526">
        <f>IF('CEM Price Data'!U28="","",'CEM Price Data'!U28)</f>
        <v>106.82</v>
      </c>
      <c r="U29" s="526">
        <f>IF('CEM Price Data'!V28="","",'CEM Price Data'!V28)</f>
        <v>508.75</v>
      </c>
      <c r="V29" s="526">
        <f>IF('CEM Price Data'!W28="","",'CEM Price Data'!W28)</f>
        <v>266</v>
      </c>
      <c r="W29" s="526">
        <f>IF('CEM Price Data'!X28="","",'CEM Price Data'!X28)</f>
        <v>314.7</v>
      </c>
      <c r="X29" s="526">
        <f>IF('CEM Price Data'!Y28="","",'CEM Price Data'!Y28)</f>
        <v>522.34</v>
      </c>
      <c r="Y29" s="526">
        <f>IF('CEM Price Data'!Z28="","",'CEM Price Data'!Z28)</f>
        <v>297.02999999999997</v>
      </c>
      <c r="Z29" s="526">
        <f>IF('CEM Price Data'!AA28="","",'CEM Price Data'!AA28)</f>
        <v>82.56</v>
      </c>
      <c r="AA29" s="526">
        <f>IF('CEM Price Data'!AB28="","",'CEM Price Data'!AB28)</f>
        <v>131.09</v>
      </c>
      <c r="AB29" s="526">
        <f>IF('CEM Price Data'!AC28="","",'CEM Price Data'!AC28)</f>
        <v>93.86</v>
      </c>
      <c r="AC29" s="526">
        <f>IF('CEM Price Data'!AD28="","",'CEM Price Data'!AD28)</f>
        <v>131.9</v>
      </c>
      <c r="AD29" s="526">
        <f>IF('CEM Price Data'!AE28="","",'CEM Price Data'!AE28)</f>
        <v>39.72</v>
      </c>
      <c r="AE29" s="526">
        <f>IF('CEM Price Data'!AF28="","",'CEM Price Data'!AF28)</f>
        <v>250</v>
      </c>
      <c r="AF29" s="526">
        <f>IF('CEM Price Data'!AG28="","",'CEM Price Data'!AG28)</f>
        <v>94.49</v>
      </c>
      <c r="AG29" s="526">
        <f>IF('CEM Price Data'!AH28="","",'CEM Price Data'!AH28)</f>
        <v>6.5</v>
      </c>
      <c r="AH29" s="526">
        <f>IF('CEM Price Data'!AI28="","",'CEM Price Data'!AI28)</f>
        <v>74.23</v>
      </c>
      <c r="AI29" s="526">
        <f>IF('CEM Price Data'!AJ28="","",'CEM Price Data'!AJ28)</f>
        <v>547.29</v>
      </c>
      <c r="AJ29" s="526">
        <f>IF('CEM Price Data'!AK28="","",'CEM Price Data'!AK28)</f>
        <v>178.98</v>
      </c>
      <c r="AK29" s="526">
        <f>IF('CEM Price Data'!AL28="","",'CEM Price Data'!AL28)</f>
        <v>199.31</v>
      </c>
      <c r="AL29" s="526">
        <f>IF('CEM Price Data'!AM28="","",'CEM Price Data'!AM28)</f>
        <v>334.57</v>
      </c>
      <c r="AM29" s="526">
        <f>IF('CEM Price Data'!AN28="","",'CEM Price Data'!AN28)</f>
        <v>279.01</v>
      </c>
      <c r="AN29" s="526">
        <f>IF('CEM Price Data'!AO28="","",'CEM Price Data'!AO28)</f>
        <v>14.18</v>
      </c>
    </row>
    <row r="30" spans="1:40">
      <c r="A30" s="525">
        <f>IF('CEM Price Data'!B29="","",'CEM Price Data'!B29)</f>
        <v>44887</v>
      </c>
      <c r="B30" s="526">
        <f>IF('CEM Price Data'!C29="","",'CEM Price Data'!C29)</f>
        <v>156.86000000000001</v>
      </c>
      <c r="C30" s="526">
        <f>IF('CEM Price Data'!D29="","",'CEM Price Data'!D29)</f>
        <v>104.87</v>
      </c>
      <c r="D30" s="526">
        <f>IF('CEM Price Data'!E29="","",'CEM Price Data'!E29)</f>
        <v>168.43</v>
      </c>
      <c r="E30" s="526">
        <f>IF('CEM Price Data'!F29="","",'CEM Price Data'!F29)</f>
        <v>127.18</v>
      </c>
      <c r="F30" s="526">
        <f>IF('CEM Price Data'!G29="","",'CEM Price Data'!G29)</f>
        <v>61.9</v>
      </c>
      <c r="G30" s="526">
        <f>IF('CEM Price Data'!H29="","",'CEM Price Data'!H29)</f>
        <v>309.16000000000003</v>
      </c>
      <c r="H30" s="526">
        <f>IF('CEM Price Data'!I29="","",'CEM Price Data'!I29)</f>
        <v>72.239999999999995</v>
      </c>
      <c r="I30" s="526">
        <f>IF('CEM Price Data'!J29="","",'CEM Price Data'!J29)</f>
        <v>78.86</v>
      </c>
      <c r="J30" s="526">
        <f>IF('CEM Price Data'!K29="","",'CEM Price Data'!K29)</f>
        <v>148.36000000000001</v>
      </c>
      <c r="K30" s="526">
        <f>IF('CEM Price Data'!L29="","",'CEM Price Data'!L29)</f>
        <v>307.38</v>
      </c>
      <c r="L30" s="526">
        <f>IF('CEM Price Data'!M29="","",'CEM Price Data'!M29)</f>
        <v>508.13</v>
      </c>
      <c r="M30" s="526">
        <f>IF('CEM Price Data'!N29="","",'CEM Price Data'!N29)</f>
        <v>117.61</v>
      </c>
      <c r="N30" s="526">
        <f>IF('CEM Price Data'!O29="","",'CEM Price Data'!O29)</f>
        <v>146.69999999999999</v>
      </c>
      <c r="O30" s="526">
        <f>IF('CEM Price Data'!P29="","",'CEM Price Data'!P29)</f>
        <v>100.68</v>
      </c>
      <c r="P30" s="526">
        <f>IF('CEM Price Data'!Q29="","",'CEM Price Data'!Q29)</f>
        <v>97.94</v>
      </c>
      <c r="Q30" s="526">
        <f>IF('CEM Price Data'!R29="","",'CEM Price Data'!R29)</f>
        <v>161.38</v>
      </c>
      <c r="R30" s="526">
        <f>IF('CEM Price Data'!S29="","",'CEM Price Data'!S29)</f>
        <v>188.94</v>
      </c>
      <c r="S30" s="526">
        <f>IF('CEM Price Data'!T29="","",'CEM Price Data'!T29)</f>
        <v>86.12</v>
      </c>
      <c r="T30" s="526">
        <f>IF('CEM Price Data'!U29="","",'CEM Price Data'!U29)</f>
        <v>106.9</v>
      </c>
      <c r="U30" s="526">
        <f>IF('CEM Price Data'!V29="","",'CEM Price Data'!V29)</f>
        <v>502.67</v>
      </c>
      <c r="V30" s="526">
        <f>IF('CEM Price Data'!W29="","",'CEM Price Data'!W29)</f>
        <v>265.06</v>
      </c>
      <c r="W30" s="526">
        <f>IF('CEM Price Data'!X29="","",'CEM Price Data'!X29)</f>
        <v>313.39</v>
      </c>
      <c r="X30" s="526">
        <f>IF('CEM Price Data'!Y29="","",'CEM Price Data'!Y29)</f>
        <v>524.65</v>
      </c>
      <c r="Y30" s="526">
        <f>IF('CEM Price Data'!Z29="","",'CEM Price Data'!Z29)</f>
        <v>295.89999999999998</v>
      </c>
      <c r="Z30" s="526">
        <f>IF('CEM Price Data'!AA29="","",'CEM Price Data'!AA29)</f>
        <v>82.12</v>
      </c>
      <c r="AA30" s="526">
        <f>IF('CEM Price Data'!AB29="","",'CEM Price Data'!AB29)</f>
        <v>130.09</v>
      </c>
      <c r="AB30" s="526">
        <f>IF('CEM Price Data'!AC29="","",'CEM Price Data'!AC29)</f>
        <v>93.83</v>
      </c>
      <c r="AC30" s="526">
        <f>IF('CEM Price Data'!AD29="","",'CEM Price Data'!AD29)</f>
        <v>132.74</v>
      </c>
      <c r="AD30" s="526">
        <f>IF('CEM Price Data'!AE29="","",'CEM Price Data'!AE29)</f>
        <v>39.54</v>
      </c>
      <c r="AE30" s="526">
        <f>IF('CEM Price Data'!AF29="","",'CEM Price Data'!AF29)</f>
        <v>243.45</v>
      </c>
      <c r="AF30" s="526">
        <f>IF('CEM Price Data'!AG29="","",'CEM Price Data'!AG29)</f>
        <v>93.99</v>
      </c>
      <c r="AG30" s="526">
        <f>IF('CEM Price Data'!AH29="","",'CEM Price Data'!AH29)</f>
        <v>6.49</v>
      </c>
      <c r="AH30" s="526">
        <f>IF('CEM Price Data'!AI29="","",'CEM Price Data'!AI29)</f>
        <v>73.58</v>
      </c>
      <c r="AI30" s="526">
        <f>IF('CEM Price Data'!AJ29="","",'CEM Price Data'!AJ29)</f>
        <v>544.75</v>
      </c>
      <c r="AJ30" s="526">
        <f>IF('CEM Price Data'!AK29="","",'CEM Price Data'!AK29)</f>
        <v>177.22</v>
      </c>
      <c r="AK30" s="526">
        <f>IF('CEM Price Data'!AL29="","",'CEM Price Data'!AL29)</f>
        <v>197.66</v>
      </c>
      <c r="AL30" s="526">
        <f>IF('CEM Price Data'!AM29="","",'CEM Price Data'!AM29)</f>
        <v>336.97</v>
      </c>
      <c r="AM30" s="526">
        <f>IF('CEM Price Data'!AN29="","",'CEM Price Data'!AN29)</f>
        <v>279.33999999999997</v>
      </c>
      <c r="AN30" s="526">
        <f>IF('CEM Price Data'!AO29="","",'CEM Price Data'!AO29)</f>
        <v>14.12</v>
      </c>
    </row>
    <row r="31" spans="1:40">
      <c r="A31" s="525">
        <f>IF('CEM Price Data'!B30="","",'CEM Price Data'!B30)</f>
        <v>44886</v>
      </c>
      <c r="B31" s="526">
        <f>IF('CEM Price Data'!C30="","",'CEM Price Data'!C30)</f>
        <v>145.13999999999999</v>
      </c>
      <c r="C31" s="526">
        <f>IF('CEM Price Data'!D30="","",'CEM Price Data'!D30)</f>
        <v>103.88</v>
      </c>
      <c r="D31" s="526">
        <f>IF('CEM Price Data'!E30="","",'CEM Price Data'!E30)</f>
        <v>159.24</v>
      </c>
      <c r="E31" s="526">
        <f>IF('CEM Price Data'!F30="","",'CEM Price Data'!F30)</f>
        <v>126.5</v>
      </c>
      <c r="F31" s="526">
        <f>IF('CEM Price Data'!G30="","",'CEM Price Data'!G30)</f>
        <v>61.4</v>
      </c>
      <c r="G31" s="526">
        <f>IF('CEM Price Data'!H30="","",'CEM Price Data'!H30)</f>
        <v>296.41000000000003</v>
      </c>
      <c r="H31" s="526">
        <f>IF('CEM Price Data'!I30="","",'CEM Price Data'!I30)</f>
        <v>70.47</v>
      </c>
      <c r="I31" s="526">
        <f>IF('CEM Price Data'!J30="","",'CEM Price Data'!J30)</f>
        <v>78.959999999999994</v>
      </c>
      <c r="J31" s="526">
        <f>IF('CEM Price Data'!K30="","",'CEM Price Data'!K30)</f>
        <v>147.1</v>
      </c>
      <c r="K31" s="526">
        <f>IF('CEM Price Data'!L30="","",'CEM Price Data'!L30)</f>
        <v>306.87</v>
      </c>
      <c r="L31" s="526">
        <f>IF('CEM Price Data'!M30="","",'CEM Price Data'!M30)</f>
        <v>505.2</v>
      </c>
      <c r="M31" s="526">
        <f>IF('CEM Price Data'!N30="","",'CEM Price Data'!N30)</f>
        <v>118.39</v>
      </c>
      <c r="N31" s="526">
        <f>IF('CEM Price Data'!O30="","",'CEM Price Data'!O30)</f>
        <v>146.5</v>
      </c>
      <c r="O31" s="526">
        <f>IF('CEM Price Data'!P30="","",'CEM Price Data'!P30)</f>
        <v>101.59</v>
      </c>
      <c r="P31" s="526">
        <f>IF('CEM Price Data'!Q30="","",'CEM Price Data'!Q30)</f>
        <v>95.87</v>
      </c>
      <c r="Q31" s="526">
        <f>IF('CEM Price Data'!R30="","",'CEM Price Data'!R30)</f>
        <v>159.59</v>
      </c>
      <c r="R31" s="526">
        <f>IF('CEM Price Data'!S30="","",'CEM Price Data'!S30)</f>
        <v>188.81</v>
      </c>
      <c r="S31" s="526">
        <f>IF('CEM Price Data'!T30="","",'CEM Price Data'!T30)</f>
        <v>85.15</v>
      </c>
      <c r="T31" s="526">
        <f>IF('CEM Price Data'!U30="","",'CEM Price Data'!U30)</f>
        <v>105.61</v>
      </c>
      <c r="U31" s="526">
        <f>IF('CEM Price Data'!V30="","",'CEM Price Data'!V30)</f>
        <v>493.37</v>
      </c>
      <c r="V31" s="526">
        <f>IF('CEM Price Data'!W30="","",'CEM Price Data'!W30)</f>
        <v>262.38</v>
      </c>
      <c r="W31" s="526">
        <f>IF('CEM Price Data'!X30="","",'CEM Price Data'!X30)</f>
        <v>313.24</v>
      </c>
      <c r="X31" s="526">
        <f>IF('CEM Price Data'!Y30="","",'CEM Price Data'!Y30)</f>
        <v>527.87</v>
      </c>
      <c r="Y31" s="526">
        <f>IF('CEM Price Data'!Z30="","",'CEM Price Data'!Z30)</f>
        <v>298.60000000000002</v>
      </c>
      <c r="Z31" s="526">
        <f>IF('CEM Price Data'!AA30="","",'CEM Price Data'!AA30)</f>
        <v>79.819999999999993</v>
      </c>
      <c r="AA31" s="526">
        <f>IF('CEM Price Data'!AB30="","",'CEM Price Data'!AB30)</f>
        <v>129.81</v>
      </c>
      <c r="AB31" s="526">
        <f>IF('CEM Price Data'!AC30="","",'CEM Price Data'!AC30)</f>
        <v>92.47</v>
      </c>
      <c r="AC31" s="526">
        <f>IF('CEM Price Data'!AD30="","",'CEM Price Data'!AD30)</f>
        <v>130.59</v>
      </c>
      <c r="AD31" s="526">
        <f>IF('CEM Price Data'!AE30="","",'CEM Price Data'!AE30)</f>
        <v>42.12</v>
      </c>
      <c r="AE31" s="526">
        <f>IF('CEM Price Data'!AF30="","",'CEM Price Data'!AF30)</f>
        <v>239.26</v>
      </c>
      <c r="AF31" s="526">
        <f>IF('CEM Price Data'!AG30="","",'CEM Price Data'!AG30)</f>
        <v>92.47</v>
      </c>
      <c r="AG31" s="526">
        <f>IF('CEM Price Data'!AH30="","",'CEM Price Data'!AH30)</f>
        <v>6.43</v>
      </c>
      <c r="AH31" s="526">
        <f>IF('CEM Price Data'!AI30="","",'CEM Price Data'!AI30)</f>
        <v>72.819999999999993</v>
      </c>
      <c r="AI31" s="526">
        <f>IF('CEM Price Data'!AJ30="","",'CEM Price Data'!AJ30)</f>
        <v>536.28</v>
      </c>
      <c r="AJ31" s="526">
        <f>IF('CEM Price Data'!AK30="","",'CEM Price Data'!AK30)</f>
        <v>172.4</v>
      </c>
      <c r="AK31" s="526">
        <f>IF('CEM Price Data'!AL30="","",'CEM Price Data'!AL30)</f>
        <v>195.51</v>
      </c>
      <c r="AL31" s="526">
        <f>IF('CEM Price Data'!AM30="","",'CEM Price Data'!AM30)</f>
        <v>322.89</v>
      </c>
      <c r="AM31" s="526">
        <f>IF('CEM Price Data'!AN30="","",'CEM Price Data'!AN30)</f>
        <v>276.36</v>
      </c>
      <c r="AN31" s="526">
        <f>IF('CEM Price Data'!AO30="","",'CEM Price Data'!AO30)</f>
        <v>13.95</v>
      </c>
    </row>
    <row r="32" spans="1:40">
      <c r="A32" s="525">
        <f>IF('CEM Price Data'!B31="","",'CEM Price Data'!B31)</f>
        <v>44883</v>
      </c>
      <c r="B32" s="526">
        <f>IF('CEM Price Data'!C31="","",'CEM Price Data'!C31)</f>
        <v>146.19</v>
      </c>
      <c r="C32" s="526">
        <f>IF('CEM Price Data'!D31="","",'CEM Price Data'!D31)</f>
        <v>103.87</v>
      </c>
      <c r="D32" s="526">
        <f>IF('CEM Price Data'!E31="","",'CEM Price Data'!E31)</f>
        <v>161.85</v>
      </c>
      <c r="E32" s="526">
        <f>IF('CEM Price Data'!F31="","",'CEM Price Data'!F31)</f>
        <v>124.95</v>
      </c>
      <c r="F32" s="526">
        <f>IF('CEM Price Data'!G31="","",'CEM Price Data'!G31)</f>
        <v>61.28</v>
      </c>
      <c r="G32" s="526">
        <f>IF('CEM Price Data'!H31="","",'CEM Price Data'!H31)</f>
        <v>296.48</v>
      </c>
      <c r="H32" s="526">
        <f>IF('CEM Price Data'!I31="","",'CEM Price Data'!I31)</f>
        <v>69.790000000000006</v>
      </c>
      <c r="I32" s="526">
        <f>IF('CEM Price Data'!J31="","",'CEM Price Data'!J31)</f>
        <v>77.45</v>
      </c>
      <c r="J32" s="526">
        <f>IF('CEM Price Data'!K31="","",'CEM Price Data'!K31)</f>
        <v>144.6</v>
      </c>
      <c r="K32" s="526">
        <f>IF('CEM Price Data'!L31="","",'CEM Price Data'!L31)</f>
        <v>303.76</v>
      </c>
      <c r="L32" s="526">
        <f>IF('CEM Price Data'!M31="","",'CEM Price Data'!M31)</f>
        <v>503.65</v>
      </c>
      <c r="M32" s="526">
        <f>IF('CEM Price Data'!N31="","",'CEM Price Data'!N31)</f>
        <v>122.6</v>
      </c>
      <c r="N32" s="526">
        <f>IF('CEM Price Data'!O31="","",'CEM Price Data'!O31)</f>
        <v>146.41999999999999</v>
      </c>
      <c r="O32" s="526">
        <f>IF('CEM Price Data'!P31="","",'CEM Price Data'!P31)</f>
        <v>102.08</v>
      </c>
      <c r="P32" s="526">
        <f>IF('CEM Price Data'!Q31="","",'CEM Price Data'!Q31)</f>
        <v>95.34</v>
      </c>
      <c r="Q32" s="526">
        <f>IF('CEM Price Data'!R31="","",'CEM Price Data'!R31)</f>
        <v>156.32</v>
      </c>
      <c r="R32" s="526">
        <f>IF('CEM Price Data'!S31="","",'CEM Price Data'!S31)</f>
        <v>186.96</v>
      </c>
      <c r="S32" s="526">
        <f>IF('CEM Price Data'!T31="","",'CEM Price Data'!T31)</f>
        <v>83.76</v>
      </c>
      <c r="T32" s="526">
        <f>IF('CEM Price Data'!U31="","",'CEM Price Data'!U31)</f>
        <v>104.23</v>
      </c>
      <c r="U32" s="526">
        <f>IF('CEM Price Data'!V31="","",'CEM Price Data'!V31)</f>
        <v>490.31</v>
      </c>
      <c r="V32" s="526">
        <f>IF('CEM Price Data'!W31="","",'CEM Price Data'!W31)</f>
        <v>262.94</v>
      </c>
      <c r="W32" s="526">
        <f>IF('CEM Price Data'!X31="","",'CEM Price Data'!X31)</f>
        <v>308.54000000000002</v>
      </c>
      <c r="X32" s="526">
        <f>IF('CEM Price Data'!Y31="","",'CEM Price Data'!Y31)</f>
        <v>520.41999999999996</v>
      </c>
      <c r="Y32" s="526">
        <f>IF('CEM Price Data'!Z31="","",'CEM Price Data'!Z31)</f>
        <v>298.33999999999997</v>
      </c>
      <c r="Z32" s="526">
        <f>IF('CEM Price Data'!AA31="","",'CEM Price Data'!AA31)</f>
        <v>79.73</v>
      </c>
      <c r="AA32" s="526">
        <f>IF('CEM Price Data'!AB31="","",'CEM Price Data'!AB31)</f>
        <v>128.36000000000001</v>
      </c>
      <c r="AB32" s="526">
        <f>IF('CEM Price Data'!AC31="","",'CEM Price Data'!AC31)</f>
        <v>88.95</v>
      </c>
      <c r="AC32" s="526">
        <f>IF('CEM Price Data'!AD31="","",'CEM Price Data'!AD31)</f>
        <v>130.25</v>
      </c>
      <c r="AD32" s="526">
        <f>IF('CEM Price Data'!AE31="","",'CEM Price Data'!AE31)</f>
        <v>42.46</v>
      </c>
      <c r="AE32" s="526">
        <f>IF('CEM Price Data'!AF31="","",'CEM Price Data'!AF31)</f>
        <v>240.04</v>
      </c>
      <c r="AF32" s="526">
        <f>IF('CEM Price Data'!AG31="","",'CEM Price Data'!AG31)</f>
        <v>93.01</v>
      </c>
      <c r="AG32" s="526">
        <f>IF('CEM Price Data'!AH31="","",'CEM Price Data'!AH31)</f>
        <v>6.39</v>
      </c>
      <c r="AH32" s="526">
        <f>IF('CEM Price Data'!AI31="","",'CEM Price Data'!AI31)</f>
        <v>72.73</v>
      </c>
      <c r="AI32" s="526">
        <f>IF('CEM Price Data'!AJ31="","",'CEM Price Data'!AJ31)</f>
        <v>535.24</v>
      </c>
      <c r="AJ32" s="526">
        <f>IF('CEM Price Data'!AK31="","",'CEM Price Data'!AK31)</f>
        <v>175.18</v>
      </c>
      <c r="AK32" s="526">
        <f>IF('CEM Price Data'!AL31="","",'CEM Price Data'!AL31)</f>
        <v>194.25</v>
      </c>
      <c r="AL32" s="526">
        <f>IF('CEM Price Data'!AM31="","",'CEM Price Data'!AM31)</f>
        <v>321.16000000000003</v>
      </c>
      <c r="AM32" s="526">
        <f>IF('CEM Price Data'!AN31="","",'CEM Price Data'!AN31)</f>
        <v>275.3</v>
      </c>
      <c r="AN32" s="526">
        <f>IF('CEM Price Data'!AO31="","",'CEM Price Data'!AO31)</f>
        <v>13.89</v>
      </c>
    </row>
    <row r="33" spans="1:40">
      <c r="A33" s="525">
        <f>IF('CEM Price Data'!B32="","",'CEM Price Data'!B32)</f>
        <v>44882</v>
      </c>
      <c r="B33" s="526">
        <f>IF('CEM Price Data'!C32="","",'CEM Price Data'!C32)</f>
        <v>144.44</v>
      </c>
      <c r="C33" s="526">
        <f>IF('CEM Price Data'!D32="","",'CEM Price Data'!D32)</f>
        <v>102.56</v>
      </c>
      <c r="D33" s="526">
        <f>IF('CEM Price Data'!E32="","",'CEM Price Data'!E32)</f>
        <v>161.47</v>
      </c>
      <c r="E33" s="526">
        <f>IF('CEM Price Data'!F32="","",'CEM Price Data'!F32)</f>
        <v>123.46</v>
      </c>
      <c r="F33" s="526">
        <f>IF('CEM Price Data'!G32="","",'CEM Price Data'!G32)</f>
        <v>60.1</v>
      </c>
      <c r="G33" s="526">
        <f>IF('CEM Price Data'!H32="","",'CEM Price Data'!H32)</f>
        <v>293.3</v>
      </c>
      <c r="H33" s="526">
        <f>IF('CEM Price Data'!I32="","",'CEM Price Data'!I32)</f>
        <v>68.89</v>
      </c>
      <c r="I33" s="526">
        <f>IF('CEM Price Data'!J32="","",'CEM Price Data'!J32)</f>
        <v>77.16</v>
      </c>
      <c r="J33" s="526">
        <f>IF('CEM Price Data'!K32="","",'CEM Price Data'!K32)</f>
        <v>142.57</v>
      </c>
      <c r="K33" s="526">
        <f>IF('CEM Price Data'!L32="","",'CEM Price Data'!L32)</f>
        <v>305.16000000000003</v>
      </c>
      <c r="L33" s="526">
        <f>IF('CEM Price Data'!M32="","",'CEM Price Data'!M32)</f>
        <v>495.33</v>
      </c>
      <c r="M33" s="526">
        <f>IF('CEM Price Data'!N32="","",'CEM Price Data'!N32)</f>
        <v>120.07</v>
      </c>
      <c r="N33" s="526">
        <f>IF('CEM Price Data'!O32="","",'CEM Price Data'!O32)</f>
        <v>145.96</v>
      </c>
      <c r="O33" s="526">
        <f>IF('CEM Price Data'!P32="","",'CEM Price Data'!P32)</f>
        <v>101.16</v>
      </c>
      <c r="P33" s="526">
        <f>IF('CEM Price Data'!Q32="","",'CEM Price Data'!Q32)</f>
        <v>94</v>
      </c>
      <c r="Q33" s="526">
        <f>IF('CEM Price Data'!R32="","",'CEM Price Data'!R32)</f>
        <v>156.59</v>
      </c>
      <c r="R33" s="526">
        <f>IF('CEM Price Data'!S32="","",'CEM Price Data'!S32)</f>
        <v>183.1</v>
      </c>
      <c r="S33" s="526">
        <f>IF('CEM Price Data'!T32="","",'CEM Price Data'!T32)</f>
        <v>83.12</v>
      </c>
      <c r="T33" s="526">
        <f>IF('CEM Price Data'!U32="","",'CEM Price Data'!U32)</f>
        <v>102.31</v>
      </c>
      <c r="U33" s="526">
        <f>IF('CEM Price Data'!V32="","",'CEM Price Data'!V32)</f>
        <v>491.09</v>
      </c>
      <c r="V33" s="526">
        <f>IF('CEM Price Data'!W32="","",'CEM Price Data'!W32)</f>
        <v>255.51</v>
      </c>
      <c r="W33" s="526">
        <f>IF('CEM Price Data'!X32="","",'CEM Price Data'!X32)</f>
        <v>308.55</v>
      </c>
      <c r="X33" s="526">
        <f>IF('CEM Price Data'!Y32="","",'CEM Price Data'!Y32)</f>
        <v>518.85</v>
      </c>
      <c r="Y33" s="526">
        <f>IF('CEM Price Data'!Z32="","",'CEM Price Data'!Z32)</f>
        <v>298.77</v>
      </c>
      <c r="Z33" s="526">
        <f>IF('CEM Price Data'!AA32="","",'CEM Price Data'!AA32)</f>
        <v>79.2</v>
      </c>
      <c r="AA33" s="526">
        <f>IF('CEM Price Data'!AB32="","",'CEM Price Data'!AB32)</f>
        <v>128.02000000000001</v>
      </c>
      <c r="AB33" s="526">
        <f>IF('CEM Price Data'!AC32="","",'CEM Price Data'!AC32)</f>
        <v>89.61</v>
      </c>
      <c r="AC33" s="526">
        <f>IF('CEM Price Data'!AD32="","",'CEM Price Data'!AD32)</f>
        <v>130.19999999999999</v>
      </c>
      <c r="AD33" s="526">
        <f>IF('CEM Price Data'!AE32="","",'CEM Price Data'!AE32)</f>
        <v>41.84</v>
      </c>
      <c r="AE33" s="526">
        <f>IF('CEM Price Data'!AF32="","",'CEM Price Data'!AF32)</f>
        <v>237.11</v>
      </c>
      <c r="AF33" s="526">
        <f>IF('CEM Price Data'!AG32="","",'CEM Price Data'!AG32)</f>
        <v>92.15</v>
      </c>
      <c r="AG33" s="526">
        <f>IF('CEM Price Data'!AH32="","",'CEM Price Data'!AH32)</f>
        <v>6.36</v>
      </c>
      <c r="AH33" s="526">
        <f>IF('CEM Price Data'!AI32="","",'CEM Price Data'!AI32)</f>
        <v>72.209999999999994</v>
      </c>
      <c r="AI33" s="526">
        <f>IF('CEM Price Data'!AJ32="","",'CEM Price Data'!AJ32)</f>
        <v>529.89</v>
      </c>
      <c r="AJ33" s="526">
        <f>IF('CEM Price Data'!AK32="","",'CEM Price Data'!AK32)</f>
        <v>175.36</v>
      </c>
      <c r="AK33" s="526">
        <f>IF('CEM Price Data'!AL32="","",'CEM Price Data'!AL32)</f>
        <v>195.55</v>
      </c>
      <c r="AL33" s="526">
        <f>IF('CEM Price Data'!AM32="","",'CEM Price Data'!AM32)</f>
        <v>319.81</v>
      </c>
      <c r="AM33" s="526">
        <f>IF('CEM Price Data'!AN32="","",'CEM Price Data'!AN32)</f>
        <v>274.17</v>
      </c>
      <c r="AN33" s="526">
        <f>IF('CEM Price Data'!AO32="","",'CEM Price Data'!AO32)</f>
        <v>13.93</v>
      </c>
    </row>
    <row r="34" spans="1:40">
      <c r="A34" s="525">
        <f>IF('CEM Price Data'!B33="","",'CEM Price Data'!B33)</f>
        <v>44881</v>
      </c>
      <c r="B34" s="526">
        <f>IF('CEM Price Data'!C33="","",'CEM Price Data'!C33)</f>
        <v>147.12</v>
      </c>
      <c r="C34" s="526">
        <f>IF('CEM Price Data'!D33="","",'CEM Price Data'!D33)</f>
        <v>103.61</v>
      </c>
      <c r="D34" s="526">
        <f>IF('CEM Price Data'!E33="","",'CEM Price Data'!E33)</f>
        <v>161.27000000000001</v>
      </c>
      <c r="E34" s="526">
        <f>IF('CEM Price Data'!F33="","",'CEM Price Data'!F33)</f>
        <v>125.76</v>
      </c>
      <c r="F34" s="526">
        <f>IF('CEM Price Data'!G33="","",'CEM Price Data'!G33)</f>
        <v>59.8</v>
      </c>
      <c r="G34" s="526">
        <f>IF('CEM Price Data'!H33="","",'CEM Price Data'!H33)</f>
        <v>295.12</v>
      </c>
      <c r="H34" s="526">
        <f>IF('CEM Price Data'!I33="","",'CEM Price Data'!I33)</f>
        <v>69.56</v>
      </c>
      <c r="I34" s="526">
        <f>IF('CEM Price Data'!J33="","",'CEM Price Data'!J33)</f>
        <v>76.150000000000006</v>
      </c>
      <c r="J34" s="526">
        <f>IF('CEM Price Data'!K33="","",'CEM Price Data'!K33)</f>
        <v>142.96</v>
      </c>
      <c r="K34" s="526">
        <f>IF('CEM Price Data'!L33="","",'CEM Price Data'!L33)</f>
        <v>299.68</v>
      </c>
      <c r="L34" s="526">
        <f>IF('CEM Price Data'!M33="","",'CEM Price Data'!M33)</f>
        <v>497.96</v>
      </c>
      <c r="M34" s="526">
        <f>IF('CEM Price Data'!N33="","",'CEM Price Data'!N33)</f>
        <v>118.71</v>
      </c>
      <c r="N34" s="526">
        <f>IF('CEM Price Data'!O33="","",'CEM Price Data'!O33)</f>
        <v>149.27000000000001</v>
      </c>
      <c r="O34" s="526">
        <f>IF('CEM Price Data'!P33="","",'CEM Price Data'!P33)</f>
        <v>101.48</v>
      </c>
      <c r="P34" s="526">
        <f>IF('CEM Price Data'!Q33="","",'CEM Price Data'!Q33)</f>
        <v>93.99</v>
      </c>
      <c r="Q34" s="526">
        <f>IF('CEM Price Data'!R33="","",'CEM Price Data'!R33)</f>
        <v>156.08000000000001</v>
      </c>
      <c r="R34" s="526">
        <f>IF('CEM Price Data'!S33="","",'CEM Price Data'!S33)</f>
        <v>180.64</v>
      </c>
      <c r="S34" s="526">
        <f>IF('CEM Price Data'!T33="","",'CEM Price Data'!T33)</f>
        <v>83.65</v>
      </c>
      <c r="T34" s="526">
        <f>IF('CEM Price Data'!U33="","",'CEM Price Data'!U33)</f>
        <v>99.93</v>
      </c>
      <c r="U34" s="526">
        <f>IF('CEM Price Data'!V33="","",'CEM Price Data'!V33)</f>
        <v>507.21</v>
      </c>
      <c r="V34" s="526">
        <f>IF('CEM Price Data'!W33="","",'CEM Price Data'!W33)</f>
        <v>255.76</v>
      </c>
      <c r="W34" s="526">
        <f>IF('CEM Price Data'!X33="","",'CEM Price Data'!X33)</f>
        <v>304.58</v>
      </c>
      <c r="X34" s="526">
        <f>IF('CEM Price Data'!Y33="","",'CEM Price Data'!Y33)</f>
        <v>505.13</v>
      </c>
      <c r="Y34" s="526">
        <f>IF('CEM Price Data'!Z33="","",'CEM Price Data'!Z33)</f>
        <v>307.17</v>
      </c>
      <c r="Z34" s="526">
        <f>IF('CEM Price Data'!AA33="","",'CEM Price Data'!AA33)</f>
        <v>79.89</v>
      </c>
      <c r="AA34" s="526">
        <f>IF('CEM Price Data'!AB33="","",'CEM Price Data'!AB33)</f>
        <v>125.91</v>
      </c>
      <c r="AB34" s="526">
        <f>IF('CEM Price Data'!AC33="","",'CEM Price Data'!AC33)</f>
        <v>89.57</v>
      </c>
      <c r="AC34" s="526">
        <f>IF('CEM Price Data'!AD33="","",'CEM Price Data'!AD33)</f>
        <v>129.35</v>
      </c>
      <c r="AD34" s="526">
        <f>IF('CEM Price Data'!AE33="","",'CEM Price Data'!AE33)</f>
        <v>42.03</v>
      </c>
      <c r="AE34" s="526">
        <f>IF('CEM Price Data'!AF33="","",'CEM Price Data'!AF33)</f>
        <v>240.81</v>
      </c>
      <c r="AF34" s="526">
        <f>IF('CEM Price Data'!AG33="","",'CEM Price Data'!AG33)</f>
        <v>91.62</v>
      </c>
      <c r="AG34" s="526">
        <f>IF('CEM Price Data'!AH33="","",'CEM Price Data'!AH33)</f>
        <v>6.48</v>
      </c>
      <c r="AH34" s="526">
        <f>IF('CEM Price Data'!AI33="","",'CEM Price Data'!AI33)</f>
        <v>71.510000000000005</v>
      </c>
      <c r="AI34" s="526">
        <f>IF('CEM Price Data'!AJ33="","",'CEM Price Data'!AJ33)</f>
        <v>536.01</v>
      </c>
      <c r="AJ34" s="526">
        <f>IF('CEM Price Data'!AK33="","",'CEM Price Data'!AK33)</f>
        <v>173.46</v>
      </c>
      <c r="AK34" s="526">
        <f>IF('CEM Price Data'!AL33="","",'CEM Price Data'!AL33)</f>
        <v>197.55</v>
      </c>
      <c r="AL34" s="526">
        <f>IF('CEM Price Data'!AM33="","",'CEM Price Data'!AM33)</f>
        <v>329.53</v>
      </c>
      <c r="AM34" s="526">
        <f>IF('CEM Price Data'!AN33="","",'CEM Price Data'!AN33)</f>
        <v>276.24</v>
      </c>
      <c r="AN34" s="526">
        <f>IF('CEM Price Data'!AO33="","",'CEM Price Data'!AO33)</f>
        <v>13.84</v>
      </c>
    </row>
    <row r="35" spans="1:40">
      <c r="A35" s="525">
        <f>IF('CEM Price Data'!B34="","",'CEM Price Data'!B34)</f>
        <v>44880</v>
      </c>
      <c r="B35" s="526">
        <f>IF('CEM Price Data'!C34="","",'CEM Price Data'!C34)</f>
        <v>148</v>
      </c>
      <c r="C35" s="526">
        <f>IF('CEM Price Data'!D34="","",'CEM Price Data'!D34)</f>
        <v>103.14</v>
      </c>
      <c r="D35" s="526">
        <f>IF('CEM Price Data'!E34="","",'CEM Price Data'!E34)</f>
        <v>165.17</v>
      </c>
      <c r="E35" s="526">
        <f>IF('CEM Price Data'!F34="","",'CEM Price Data'!F34)</f>
        <v>124.62</v>
      </c>
      <c r="F35" s="526">
        <f>IF('CEM Price Data'!G34="","",'CEM Price Data'!G34)</f>
        <v>60.39</v>
      </c>
      <c r="G35" s="526">
        <f>IF('CEM Price Data'!H34="","",'CEM Price Data'!H34)</f>
        <v>294.54000000000002</v>
      </c>
      <c r="H35" s="526">
        <f>IF('CEM Price Data'!I34="","",'CEM Price Data'!I34)</f>
        <v>69.25</v>
      </c>
      <c r="I35" s="526">
        <f>IF('CEM Price Data'!J34="","",'CEM Price Data'!J34)</f>
        <v>76.28</v>
      </c>
      <c r="J35" s="526">
        <f>IF('CEM Price Data'!K34="","",'CEM Price Data'!K34)</f>
        <v>142.6</v>
      </c>
      <c r="K35" s="526">
        <f>IF('CEM Price Data'!L34="","",'CEM Price Data'!L34)</f>
        <v>289.73</v>
      </c>
      <c r="L35" s="526">
        <f>IF('CEM Price Data'!M34="","",'CEM Price Data'!M34)</f>
        <v>496.68</v>
      </c>
      <c r="M35" s="526">
        <f>IF('CEM Price Data'!N34="","",'CEM Price Data'!N34)</f>
        <v>117.59</v>
      </c>
      <c r="N35" s="526">
        <f>IF('CEM Price Data'!O34="","",'CEM Price Data'!O34)</f>
        <v>147.94</v>
      </c>
      <c r="O35" s="526">
        <f>IF('CEM Price Data'!P34="","",'CEM Price Data'!P34)</f>
        <v>101.2</v>
      </c>
      <c r="P35" s="526">
        <f>IF('CEM Price Data'!Q34="","",'CEM Price Data'!Q34)</f>
        <v>94.42</v>
      </c>
      <c r="Q35" s="526">
        <f>IF('CEM Price Data'!R34="","",'CEM Price Data'!R34)</f>
        <v>151.55000000000001</v>
      </c>
      <c r="R35" s="526">
        <f>IF('CEM Price Data'!S34="","",'CEM Price Data'!S34)</f>
        <v>181.2</v>
      </c>
      <c r="S35" s="526">
        <f>IF('CEM Price Data'!T34="","",'CEM Price Data'!T34)</f>
        <v>83.65</v>
      </c>
      <c r="T35" s="526">
        <f>IF('CEM Price Data'!U34="","",'CEM Price Data'!U34)</f>
        <v>99.6</v>
      </c>
      <c r="U35" s="526">
        <f>IF('CEM Price Data'!V34="","",'CEM Price Data'!V34)</f>
        <v>503.02</v>
      </c>
      <c r="V35" s="526">
        <f>IF('CEM Price Data'!W34="","",'CEM Price Data'!W34)</f>
        <v>250.41</v>
      </c>
      <c r="W35" s="526">
        <f>IF('CEM Price Data'!X34="","",'CEM Price Data'!X34)</f>
        <v>303.93</v>
      </c>
      <c r="X35" s="526">
        <f>IF('CEM Price Data'!Y34="","",'CEM Price Data'!Y34)</f>
        <v>500.72</v>
      </c>
      <c r="Y35" s="526">
        <f>IF('CEM Price Data'!Z34="","",'CEM Price Data'!Z34)</f>
        <v>318.08999999999997</v>
      </c>
      <c r="Z35" s="526">
        <f>IF('CEM Price Data'!AA34="","",'CEM Price Data'!AA34)</f>
        <v>79.180000000000007</v>
      </c>
      <c r="AA35" s="526">
        <f>IF('CEM Price Data'!AB34="","",'CEM Price Data'!AB34)</f>
        <v>123.06</v>
      </c>
      <c r="AB35" s="526">
        <f>IF('CEM Price Data'!AC34="","",'CEM Price Data'!AC34)</f>
        <v>86.89</v>
      </c>
      <c r="AC35" s="526">
        <f>IF('CEM Price Data'!AD34="","",'CEM Price Data'!AD34)</f>
        <v>128.22999999999999</v>
      </c>
      <c r="AD35" s="526">
        <f>IF('CEM Price Data'!AE34="","",'CEM Price Data'!AE34)</f>
        <v>41.47</v>
      </c>
      <c r="AE35" s="526">
        <f>IF('CEM Price Data'!AF34="","",'CEM Price Data'!AF34)</f>
        <v>240.59</v>
      </c>
      <c r="AF35" s="526">
        <f>IF('CEM Price Data'!AG34="","",'CEM Price Data'!AG34)</f>
        <v>91.66</v>
      </c>
      <c r="AG35" s="526">
        <f>IF('CEM Price Data'!AH34="","",'CEM Price Data'!AH34)</f>
        <v>6.47</v>
      </c>
      <c r="AH35" s="526">
        <f>IF('CEM Price Data'!AI34="","",'CEM Price Data'!AI34)</f>
        <v>72.17</v>
      </c>
      <c r="AI35" s="526">
        <f>IF('CEM Price Data'!AJ34="","",'CEM Price Data'!AJ34)</f>
        <v>546.09</v>
      </c>
      <c r="AJ35" s="526">
        <f>IF('CEM Price Data'!AK34="","",'CEM Price Data'!AK34)</f>
        <v>177.57</v>
      </c>
      <c r="AK35" s="526">
        <f>IF('CEM Price Data'!AL34="","",'CEM Price Data'!AL34)</f>
        <v>195.53</v>
      </c>
      <c r="AL35" s="526">
        <f>IF('CEM Price Data'!AM34="","",'CEM Price Data'!AM34)</f>
        <v>329.79</v>
      </c>
      <c r="AM35" s="526">
        <f>IF('CEM Price Data'!AN34="","",'CEM Price Data'!AN34)</f>
        <v>283.23</v>
      </c>
      <c r="AN35" s="526">
        <f>IF('CEM Price Data'!AO34="","",'CEM Price Data'!AO34)</f>
        <v>14.07</v>
      </c>
    </row>
    <row r="36" spans="1:40">
      <c r="A36" s="525">
        <f>IF('CEM Price Data'!B35="","",'CEM Price Data'!B35)</f>
        <v>44879</v>
      </c>
      <c r="B36" s="526">
        <f>IF('CEM Price Data'!C35="","",'CEM Price Data'!C35)</f>
        <v>146.38</v>
      </c>
      <c r="C36" s="526">
        <f>IF('CEM Price Data'!D35="","",'CEM Price Data'!D35)</f>
        <v>102.01</v>
      </c>
      <c r="D36" s="526">
        <f>IF('CEM Price Data'!E35="","",'CEM Price Data'!E35)</f>
        <v>161.26</v>
      </c>
      <c r="E36" s="526">
        <f>IF('CEM Price Data'!F35="","",'CEM Price Data'!F35)</f>
        <v>124.76</v>
      </c>
      <c r="F36" s="526">
        <f>IF('CEM Price Data'!G35="","",'CEM Price Data'!G35)</f>
        <v>59.51</v>
      </c>
      <c r="G36" s="526">
        <f>IF('CEM Price Data'!H35="","",'CEM Price Data'!H35)</f>
        <v>294.89</v>
      </c>
      <c r="H36" s="526">
        <f>IF('CEM Price Data'!I35="","",'CEM Price Data'!I35)</f>
        <v>68.88</v>
      </c>
      <c r="I36" s="526">
        <f>IF('CEM Price Data'!J35="","",'CEM Price Data'!J35)</f>
        <v>76.39</v>
      </c>
      <c r="J36" s="526">
        <f>IF('CEM Price Data'!K35="","",'CEM Price Data'!K35)</f>
        <v>141.32</v>
      </c>
      <c r="K36" s="526">
        <f>IF('CEM Price Data'!L35="","",'CEM Price Data'!L35)</f>
        <v>289.23</v>
      </c>
      <c r="L36" s="526">
        <f>IF('CEM Price Data'!M35="","",'CEM Price Data'!M35)</f>
        <v>490.36</v>
      </c>
      <c r="M36" s="526">
        <f>IF('CEM Price Data'!N35="","",'CEM Price Data'!N35)</f>
        <v>115.37</v>
      </c>
      <c r="N36" s="526">
        <f>IF('CEM Price Data'!O35="","",'CEM Price Data'!O35)</f>
        <v>150.38</v>
      </c>
      <c r="O36" s="526">
        <f>IF('CEM Price Data'!P35="","",'CEM Price Data'!P35)</f>
        <v>100.92</v>
      </c>
      <c r="P36" s="526">
        <f>IF('CEM Price Data'!Q35="","",'CEM Price Data'!Q35)</f>
        <v>92.84</v>
      </c>
      <c r="Q36" s="526">
        <f>IF('CEM Price Data'!R35="","",'CEM Price Data'!R35)</f>
        <v>137.97</v>
      </c>
      <c r="R36" s="526">
        <f>IF('CEM Price Data'!S35="","",'CEM Price Data'!S35)</f>
        <v>177.43</v>
      </c>
      <c r="S36" s="526">
        <f>IF('CEM Price Data'!T35="","",'CEM Price Data'!T35)</f>
        <v>82.75</v>
      </c>
      <c r="T36" s="526">
        <f>IF('CEM Price Data'!U35="","",'CEM Price Data'!U35)</f>
        <v>100.35</v>
      </c>
      <c r="U36" s="526">
        <f>IF('CEM Price Data'!V35="","",'CEM Price Data'!V35)</f>
        <v>492.24</v>
      </c>
      <c r="V36" s="526">
        <f>IF('CEM Price Data'!W35="","",'CEM Price Data'!W35)</f>
        <v>250.95</v>
      </c>
      <c r="W36" s="526">
        <f>IF('CEM Price Data'!X35="","",'CEM Price Data'!X35)</f>
        <v>304.83</v>
      </c>
      <c r="X36" s="526">
        <f>IF('CEM Price Data'!Y35="","",'CEM Price Data'!Y35)</f>
        <v>481.74</v>
      </c>
      <c r="Y36" s="526">
        <f>IF('CEM Price Data'!Z35="","",'CEM Price Data'!Z35)</f>
        <v>314.27</v>
      </c>
      <c r="Z36" s="526">
        <f>IF('CEM Price Data'!AA35="","",'CEM Price Data'!AA35)</f>
        <v>78.53</v>
      </c>
      <c r="AA36" s="526">
        <f>IF('CEM Price Data'!AB35="","",'CEM Price Data'!AB35)</f>
        <v>122.98</v>
      </c>
      <c r="AB36" s="526">
        <f>IF('CEM Price Data'!AC35="","",'CEM Price Data'!AC35)</f>
        <v>85.95</v>
      </c>
      <c r="AC36" s="526">
        <f>IF('CEM Price Data'!AD35="","",'CEM Price Data'!AD35)</f>
        <v>127.14</v>
      </c>
      <c r="AD36" s="526">
        <f>IF('CEM Price Data'!AE35="","",'CEM Price Data'!AE35)</f>
        <v>41.88</v>
      </c>
      <c r="AE36" s="526">
        <f>IF('CEM Price Data'!AF35="","",'CEM Price Data'!AF35)</f>
        <v>234.08</v>
      </c>
      <c r="AF36" s="526">
        <f>IF('CEM Price Data'!AG35="","",'CEM Price Data'!AG35)</f>
        <v>93.11</v>
      </c>
      <c r="AG36" s="526">
        <f>IF('CEM Price Data'!AH35="","",'CEM Price Data'!AH35)</f>
        <v>6.42</v>
      </c>
      <c r="AH36" s="526">
        <f>IF('CEM Price Data'!AI35="","",'CEM Price Data'!AI35)</f>
        <v>71.430000000000007</v>
      </c>
      <c r="AI36" s="526">
        <f>IF('CEM Price Data'!AJ35="","",'CEM Price Data'!AJ35)</f>
        <v>534.77</v>
      </c>
      <c r="AJ36" s="526">
        <f>IF('CEM Price Data'!AK35="","",'CEM Price Data'!AK35)</f>
        <v>177.44</v>
      </c>
      <c r="AK36" s="526">
        <f>IF('CEM Price Data'!AL35="","",'CEM Price Data'!AL35)</f>
        <v>190.45</v>
      </c>
      <c r="AL36" s="526">
        <f>IF('CEM Price Data'!AM35="","",'CEM Price Data'!AM35)</f>
        <v>325.88</v>
      </c>
      <c r="AM36" s="526">
        <f>IF('CEM Price Data'!AN35="","",'CEM Price Data'!AN35)</f>
        <v>280.08999999999997</v>
      </c>
      <c r="AN36" s="526">
        <f>IF('CEM Price Data'!AO35="","",'CEM Price Data'!AO35)</f>
        <v>13.76</v>
      </c>
    </row>
    <row r="37" spans="1:40">
      <c r="A37" s="525">
        <f>IF('CEM Price Data'!B36="","",'CEM Price Data'!B36)</f>
        <v>44876</v>
      </c>
      <c r="B37" s="526">
        <f>IF('CEM Price Data'!C36="","",'CEM Price Data'!C36)</f>
        <v>148.31</v>
      </c>
      <c r="C37" s="526">
        <f>IF('CEM Price Data'!D36="","",'CEM Price Data'!D36)</f>
        <v>104.09</v>
      </c>
      <c r="D37" s="526">
        <f>IF('CEM Price Data'!E36="","",'CEM Price Data'!E36)</f>
        <v>164.06</v>
      </c>
      <c r="E37" s="526">
        <f>IF('CEM Price Data'!F36="","",'CEM Price Data'!F36)</f>
        <v>128.15</v>
      </c>
      <c r="F37" s="526">
        <f>IF('CEM Price Data'!G36="","",'CEM Price Data'!G36)</f>
        <v>60</v>
      </c>
      <c r="G37" s="526">
        <f>IF('CEM Price Data'!H36="","",'CEM Price Data'!H36)</f>
        <v>288.45999999999998</v>
      </c>
      <c r="H37" s="526">
        <f>IF('CEM Price Data'!I36="","",'CEM Price Data'!I36)</f>
        <v>69.64</v>
      </c>
      <c r="I37" s="526">
        <f>IF('CEM Price Data'!J36="","",'CEM Price Data'!J36)</f>
        <v>75.959999999999994</v>
      </c>
      <c r="J37" s="526">
        <f>IF('CEM Price Data'!K36="","",'CEM Price Data'!K36)</f>
        <v>139.99</v>
      </c>
      <c r="K37" s="526">
        <f>IF('CEM Price Data'!L36="","",'CEM Price Data'!L36)</f>
        <v>289.12</v>
      </c>
      <c r="L37" s="526">
        <f>IF('CEM Price Data'!M36="","",'CEM Price Data'!M36)</f>
        <v>490.03</v>
      </c>
      <c r="M37" s="526">
        <f>IF('CEM Price Data'!N36="","",'CEM Price Data'!N36)</f>
        <v>115.16</v>
      </c>
      <c r="N37" s="526">
        <f>IF('CEM Price Data'!O36="","",'CEM Price Data'!O36)</f>
        <v>151.03</v>
      </c>
      <c r="O37" s="526">
        <f>IF('CEM Price Data'!P36="","",'CEM Price Data'!P36)</f>
        <v>101.24</v>
      </c>
      <c r="P37" s="526">
        <f>IF('CEM Price Data'!Q36="","",'CEM Price Data'!Q36)</f>
        <v>92.56</v>
      </c>
      <c r="Q37" s="526">
        <f>IF('CEM Price Data'!R36="","",'CEM Price Data'!R36)</f>
        <v>140.63</v>
      </c>
      <c r="R37" s="526">
        <f>IF('CEM Price Data'!S36="","",'CEM Price Data'!S36)</f>
        <v>174.49</v>
      </c>
      <c r="S37" s="526">
        <f>IF('CEM Price Data'!T36="","",'CEM Price Data'!T36)</f>
        <v>83.77</v>
      </c>
      <c r="T37" s="526">
        <f>IF('CEM Price Data'!U36="","",'CEM Price Data'!U36)</f>
        <v>97.96</v>
      </c>
      <c r="U37" s="526">
        <f>IF('CEM Price Data'!V36="","",'CEM Price Data'!V36)</f>
        <v>512.37</v>
      </c>
      <c r="V37" s="526">
        <f>IF('CEM Price Data'!W36="","",'CEM Price Data'!W36)</f>
        <v>249.53</v>
      </c>
      <c r="W37" s="526">
        <f>IF('CEM Price Data'!X36="","",'CEM Price Data'!X36)</f>
        <v>304.68</v>
      </c>
      <c r="X37" s="526">
        <f>IF('CEM Price Data'!Y36="","",'CEM Price Data'!Y36)</f>
        <v>492.7</v>
      </c>
      <c r="Y37" s="526">
        <f>IF('CEM Price Data'!Z36="","",'CEM Price Data'!Z36)</f>
        <v>314.11</v>
      </c>
      <c r="Z37" s="526">
        <f>IF('CEM Price Data'!AA36="","",'CEM Price Data'!AA36)</f>
        <v>77.739999999999995</v>
      </c>
      <c r="AA37" s="526">
        <f>IF('CEM Price Data'!AB36="","",'CEM Price Data'!AB36)</f>
        <v>126.23</v>
      </c>
      <c r="AB37" s="526">
        <f>IF('CEM Price Data'!AC36="","",'CEM Price Data'!AC36)</f>
        <v>86.19</v>
      </c>
      <c r="AC37" s="526">
        <f>IF('CEM Price Data'!AD36="","",'CEM Price Data'!AD36)</f>
        <v>126.18</v>
      </c>
      <c r="AD37" s="526">
        <f>IF('CEM Price Data'!AE36="","",'CEM Price Data'!AE36)</f>
        <v>41.59</v>
      </c>
      <c r="AE37" s="526">
        <f>IF('CEM Price Data'!AF36="","",'CEM Price Data'!AF36)</f>
        <v>237.24</v>
      </c>
      <c r="AF37" s="526">
        <f>IF('CEM Price Data'!AG36="","",'CEM Price Data'!AG36)</f>
        <v>91.33</v>
      </c>
      <c r="AG37" s="526">
        <f>IF('CEM Price Data'!AH36="","",'CEM Price Data'!AH36)</f>
        <v>6.44</v>
      </c>
      <c r="AH37" s="526">
        <f>IF('CEM Price Data'!AI36="","",'CEM Price Data'!AI36)</f>
        <v>72.430000000000007</v>
      </c>
      <c r="AI37" s="526">
        <f>IF('CEM Price Data'!AJ36="","",'CEM Price Data'!AJ36)</f>
        <v>538.67999999999995</v>
      </c>
      <c r="AJ37" s="526">
        <f>IF('CEM Price Data'!AK36="","",'CEM Price Data'!AK36)</f>
        <v>179.49</v>
      </c>
      <c r="AK37" s="526">
        <f>IF('CEM Price Data'!AL36="","",'CEM Price Data'!AL36)</f>
        <v>192.39</v>
      </c>
      <c r="AL37" s="526">
        <f>IF('CEM Price Data'!AM36="","",'CEM Price Data'!AM36)</f>
        <v>331.85</v>
      </c>
      <c r="AM37" s="526">
        <f>IF('CEM Price Data'!AN36="","",'CEM Price Data'!AN36)</f>
        <v>277.88</v>
      </c>
      <c r="AN37" s="526">
        <f>IF('CEM Price Data'!AO36="","",'CEM Price Data'!AO36)</f>
        <v>13.85</v>
      </c>
    </row>
    <row r="38" spans="1:40">
      <c r="A38" s="525">
        <f>IF('CEM Price Data'!B37="","",'CEM Price Data'!B37)</f>
        <v>44875</v>
      </c>
      <c r="B38" s="526">
        <f>IF('CEM Price Data'!C37="","",'CEM Price Data'!C37)</f>
        <v>146.30000000000001</v>
      </c>
      <c r="C38" s="526">
        <f>IF('CEM Price Data'!D37="","",'CEM Price Data'!D37)</f>
        <v>104.23</v>
      </c>
      <c r="D38" s="526">
        <f>IF('CEM Price Data'!E37="","",'CEM Price Data'!E37)</f>
        <v>160.37</v>
      </c>
      <c r="E38" s="526">
        <f>IF('CEM Price Data'!F37="","",'CEM Price Data'!F37)</f>
        <v>126.66</v>
      </c>
      <c r="F38" s="526">
        <f>IF('CEM Price Data'!G37="","",'CEM Price Data'!G37)</f>
        <v>59.28</v>
      </c>
      <c r="G38" s="526">
        <f>IF('CEM Price Data'!H37="","",'CEM Price Data'!H37)</f>
        <v>289.58999999999997</v>
      </c>
      <c r="H38" s="526">
        <f>IF('CEM Price Data'!I37="","",'CEM Price Data'!I37)</f>
        <v>69.84</v>
      </c>
      <c r="I38" s="526">
        <f>IF('CEM Price Data'!J37="","",'CEM Price Data'!J37)</f>
        <v>79.38</v>
      </c>
      <c r="J38" s="526">
        <f>IF('CEM Price Data'!K37="","",'CEM Price Data'!K37)</f>
        <v>141.24</v>
      </c>
      <c r="K38" s="526">
        <f>IF('CEM Price Data'!L37="","",'CEM Price Data'!L37)</f>
        <v>301.2</v>
      </c>
      <c r="L38" s="526">
        <f>IF('CEM Price Data'!M37="","",'CEM Price Data'!M37)</f>
        <v>500.3</v>
      </c>
      <c r="M38" s="526">
        <f>IF('CEM Price Data'!N37="","",'CEM Price Data'!N37)</f>
        <v>118.36</v>
      </c>
      <c r="N38" s="526">
        <f>IF('CEM Price Data'!O37="","",'CEM Price Data'!O37)</f>
        <v>152.47999999999999</v>
      </c>
      <c r="O38" s="526">
        <f>IF('CEM Price Data'!P37="","",'CEM Price Data'!P37)</f>
        <v>103.34</v>
      </c>
      <c r="P38" s="526">
        <f>IF('CEM Price Data'!Q37="","",'CEM Price Data'!Q37)</f>
        <v>94.37</v>
      </c>
      <c r="Q38" s="526">
        <f>IF('CEM Price Data'!R37="","",'CEM Price Data'!R37)</f>
        <v>143.71</v>
      </c>
      <c r="R38" s="526">
        <f>IF('CEM Price Data'!S37="","",'CEM Price Data'!S37)</f>
        <v>175.75</v>
      </c>
      <c r="S38" s="526">
        <f>IF('CEM Price Data'!T37="","",'CEM Price Data'!T37)</f>
        <v>81.86</v>
      </c>
      <c r="T38" s="526">
        <f>IF('CEM Price Data'!U37="","",'CEM Price Data'!U37)</f>
        <v>101.89</v>
      </c>
      <c r="U38" s="526">
        <f>IF('CEM Price Data'!V37="","",'CEM Price Data'!V37)</f>
        <v>509.7</v>
      </c>
      <c r="V38" s="526">
        <f>IF('CEM Price Data'!W37="","",'CEM Price Data'!W37)</f>
        <v>259.61</v>
      </c>
      <c r="W38" s="526">
        <f>IF('CEM Price Data'!X37="","",'CEM Price Data'!X37)</f>
        <v>308.10000000000002</v>
      </c>
      <c r="X38" s="526">
        <f>IF('CEM Price Data'!Y37="","",'CEM Price Data'!Y37)</f>
        <v>531.59</v>
      </c>
      <c r="Y38" s="526">
        <f>IF('CEM Price Data'!Z37="","",'CEM Price Data'!Z37)</f>
        <v>305.63</v>
      </c>
      <c r="Z38" s="526">
        <f>IF('CEM Price Data'!AA37="","",'CEM Price Data'!AA37)</f>
        <v>77.17</v>
      </c>
      <c r="AA38" s="526">
        <f>IF('CEM Price Data'!AB37="","",'CEM Price Data'!AB37)</f>
        <v>129.74</v>
      </c>
      <c r="AB38" s="526">
        <f>IF('CEM Price Data'!AC37="","",'CEM Price Data'!AC37)</f>
        <v>89.13</v>
      </c>
      <c r="AC38" s="526">
        <f>IF('CEM Price Data'!AD37="","",'CEM Price Data'!AD37)</f>
        <v>131.13999999999999</v>
      </c>
      <c r="AD38" s="526">
        <f>IF('CEM Price Data'!AE37="","",'CEM Price Data'!AE37)</f>
        <v>42.02</v>
      </c>
      <c r="AE38" s="526">
        <f>IF('CEM Price Data'!AF37="","",'CEM Price Data'!AF37)</f>
        <v>239</v>
      </c>
      <c r="AF38" s="526">
        <f>IF('CEM Price Data'!AG37="","",'CEM Price Data'!AG37)</f>
        <v>93.6</v>
      </c>
      <c r="AG38" s="526">
        <f>IF('CEM Price Data'!AH37="","",'CEM Price Data'!AH37)</f>
        <v>6.41</v>
      </c>
      <c r="AH38" s="526">
        <f>IF('CEM Price Data'!AI37="","",'CEM Price Data'!AI37)</f>
        <v>72.459999999999994</v>
      </c>
      <c r="AI38" s="526">
        <f>IF('CEM Price Data'!AJ37="","",'CEM Price Data'!AJ37)</f>
        <v>520.58000000000004</v>
      </c>
      <c r="AJ38" s="526">
        <f>IF('CEM Price Data'!AK37="","",'CEM Price Data'!AK37)</f>
        <v>174.69</v>
      </c>
      <c r="AK38" s="526">
        <f>IF('CEM Price Data'!AL37="","",'CEM Price Data'!AL37)</f>
        <v>191.12</v>
      </c>
      <c r="AL38" s="526">
        <f>IF('CEM Price Data'!AM37="","",'CEM Price Data'!AM37)</f>
        <v>331.85</v>
      </c>
      <c r="AM38" s="526">
        <f>IF('CEM Price Data'!AN37="","",'CEM Price Data'!AN37)</f>
        <v>281.51</v>
      </c>
      <c r="AN38" s="526">
        <f>IF('CEM Price Data'!AO37="","",'CEM Price Data'!AO37)</f>
        <v>13.45</v>
      </c>
    </row>
    <row r="39" spans="1:40">
      <c r="A39" s="525">
        <f>IF('CEM Price Data'!B38="","",'CEM Price Data'!B38)</f>
        <v>44874</v>
      </c>
      <c r="B39" s="526">
        <f>IF('CEM Price Data'!C38="","",'CEM Price Data'!C38)</f>
        <v>137</v>
      </c>
      <c r="C39" s="526">
        <f>IF('CEM Price Data'!D38="","",'CEM Price Data'!D38)</f>
        <v>99.46</v>
      </c>
      <c r="D39" s="526">
        <f>IF('CEM Price Data'!E38="","",'CEM Price Data'!E38)</f>
        <v>148.22999999999999</v>
      </c>
      <c r="E39" s="526">
        <f>IF('CEM Price Data'!F38="","",'CEM Price Data'!F38)</f>
        <v>122.62</v>
      </c>
      <c r="F39" s="526">
        <f>IF('CEM Price Data'!G38="","",'CEM Price Data'!G38)</f>
        <v>55.05</v>
      </c>
      <c r="G39" s="526">
        <f>IF('CEM Price Data'!H38="","",'CEM Price Data'!H38)</f>
        <v>280.13</v>
      </c>
      <c r="H39" s="526">
        <f>IF('CEM Price Data'!I38="","",'CEM Price Data'!I38)</f>
        <v>66.44</v>
      </c>
      <c r="I39" s="526">
        <f>IF('CEM Price Data'!J38="","",'CEM Price Data'!J38)</f>
        <v>79.78</v>
      </c>
      <c r="J39" s="526">
        <f>IF('CEM Price Data'!K38="","",'CEM Price Data'!K38)</f>
        <v>133.74</v>
      </c>
      <c r="K39" s="526">
        <f>IF('CEM Price Data'!L38="","",'CEM Price Data'!L38)</f>
        <v>298.38</v>
      </c>
      <c r="L39" s="526">
        <f>IF('CEM Price Data'!M38="","",'CEM Price Data'!M38)</f>
        <v>488.62</v>
      </c>
      <c r="M39" s="526">
        <f>IF('CEM Price Data'!N38="","",'CEM Price Data'!N38)</f>
        <v>116.23</v>
      </c>
      <c r="N39" s="526">
        <f>IF('CEM Price Data'!O38="","",'CEM Price Data'!O38)</f>
        <v>145.41999999999999</v>
      </c>
      <c r="O39" s="526">
        <f>IF('CEM Price Data'!P38="","",'CEM Price Data'!P38)</f>
        <v>96.71</v>
      </c>
      <c r="P39" s="526">
        <f>IF('CEM Price Data'!Q38="","",'CEM Price Data'!Q38)</f>
        <v>92.03</v>
      </c>
      <c r="Q39" s="526">
        <f>IF('CEM Price Data'!R38="","",'CEM Price Data'!R38)</f>
        <v>142.5</v>
      </c>
      <c r="R39" s="526">
        <f>IF('CEM Price Data'!S38="","",'CEM Price Data'!S38)</f>
        <v>172.52</v>
      </c>
      <c r="S39" s="526">
        <f>IF('CEM Price Data'!T38="","",'CEM Price Data'!T38)</f>
        <v>79.209999999999994</v>
      </c>
      <c r="T39" s="526">
        <f>IF('CEM Price Data'!U38="","",'CEM Price Data'!U38)</f>
        <v>101.59</v>
      </c>
      <c r="U39" s="526">
        <f>IF('CEM Price Data'!V38="","",'CEM Price Data'!V38)</f>
        <v>465.13</v>
      </c>
      <c r="V39" s="526">
        <f>IF('CEM Price Data'!W38="","",'CEM Price Data'!W38)</f>
        <v>253.62</v>
      </c>
      <c r="W39" s="526">
        <f>IF('CEM Price Data'!X38="","",'CEM Price Data'!X38)</f>
        <v>297.18</v>
      </c>
      <c r="X39" s="526">
        <f>IF('CEM Price Data'!Y38="","",'CEM Price Data'!Y38)</f>
        <v>533.14</v>
      </c>
      <c r="Y39" s="526">
        <f>IF('CEM Price Data'!Z38="","",'CEM Price Data'!Z38)</f>
        <v>281.86</v>
      </c>
      <c r="Z39" s="526">
        <f>IF('CEM Price Data'!AA38="","",'CEM Price Data'!AA38)</f>
        <v>75.66</v>
      </c>
      <c r="AA39" s="526">
        <f>IF('CEM Price Data'!AB38="","",'CEM Price Data'!AB38)</f>
        <v>127.7</v>
      </c>
      <c r="AB39" s="526">
        <f>IF('CEM Price Data'!AC38="","",'CEM Price Data'!AC38)</f>
        <v>88.88</v>
      </c>
      <c r="AC39" s="526">
        <f>IF('CEM Price Data'!AD38="","",'CEM Price Data'!AD38)</f>
        <v>129.69</v>
      </c>
      <c r="AD39" s="526">
        <f>IF('CEM Price Data'!AE38="","",'CEM Price Data'!AE38)</f>
        <v>41.55</v>
      </c>
      <c r="AE39" s="526">
        <f>IF('CEM Price Data'!AF38="","",'CEM Price Data'!AF38)</f>
        <v>222</v>
      </c>
      <c r="AF39" s="526">
        <f>IF('CEM Price Data'!AG38="","",'CEM Price Data'!AG38)</f>
        <v>91.56</v>
      </c>
      <c r="AG39" s="526">
        <f>IF('CEM Price Data'!AH38="","",'CEM Price Data'!AH38)</f>
        <v>6.32</v>
      </c>
      <c r="AH39" s="526">
        <f>IF('CEM Price Data'!AI38="","",'CEM Price Data'!AI38)</f>
        <v>67.75</v>
      </c>
      <c r="AI39" s="526">
        <f>IF('CEM Price Data'!AJ38="","",'CEM Price Data'!AJ38)</f>
        <v>484.71</v>
      </c>
      <c r="AJ39" s="526">
        <f>IF('CEM Price Data'!AK38="","",'CEM Price Data'!AK38)</f>
        <v>164.99</v>
      </c>
      <c r="AK39" s="526">
        <f>IF('CEM Price Data'!AL38="","",'CEM Price Data'!AL38)</f>
        <v>178.32</v>
      </c>
      <c r="AL39" s="526">
        <f>IF('CEM Price Data'!AM38="","",'CEM Price Data'!AM38)</f>
        <v>309.52</v>
      </c>
      <c r="AM39" s="526">
        <f>IF('CEM Price Data'!AN38="","",'CEM Price Data'!AN38)</f>
        <v>254.01</v>
      </c>
      <c r="AN39" s="526">
        <f>IF('CEM Price Data'!AO38="","",'CEM Price Data'!AO38)</f>
        <v>12.68</v>
      </c>
    </row>
    <row r="40" spans="1:40">
      <c r="A40" s="525">
        <f>IF('CEM Price Data'!B39="","",'CEM Price Data'!B39)</f>
        <v>44873</v>
      </c>
      <c r="B40" s="526">
        <f>IF('CEM Price Data'!C39="","",'CEM Price Data'!C39)</f>
        <v>138.75</v>
      </c>
      <c r="C40" s="526">
        <f>IF('CEM Price Data'!D39="","",'CEM Price Data'!D39)</f>
        <v>99.64</v>
      </c>
      <c r="D40" s="526">
        <f>IF('CEM Price Data'!E39="","",'CEM Price Data'!E39)</f>
        <v>151.04</v>
      </c>
      <c r="E40" s="526">
        <f>IF('CEM Price Data'!F39="","",'CEM Price Data'!F39)</f>
        <v>123</v>
      </c>
      <c r="F40" s="526">
        <f>IF('CEM Price Data'!G39="","",'CEM Price Data'!G39)</f>
        <v>55.97</v>
      </c>
      <c r="G40" s="526">
        <f>IF('CEM Price Data'!H39="","",'CEM Price Data'!H39)</f>
        <v>283</v>
      </c>
      <c r="H40" s="526">
        <f>IF('CEM Price Data'!I39="","",'CEM Price Data'!I39)</f>
        <v>66.989999999999995</v>
      </c>
      <c r="I40" s="526">
        <f>IF('CEM Price Data'!J39="","",'CEM Price Data'!J39)</f>
        <v>79.98</v>
      </c>
      <c r="J40" s="526">
        <f>IF('CEM Price Data'!K39="","",'CEM Price Data'!K39)</f>
        <v>136.49</v>
      </c>
      <c r="K40" s="526">
        <f>IF('CEM Price Data'!L39="","",'CEM Price Data'!L39)</f>
        <v>302.45</v>
      </c>
      <c r="L40" s="526">
        <f>IF('CEM Price Data'!M39="","",'CEM Price Data'!M39)</f>
        <v>489.62</v>
      </c>
      <c r="M40" s="526">
        <f>IF('CEM Price Data'!N39="","",'CEM Price Data'!N39)</f>
        <v>120.31</v>
      </c>
      <c r="N40" s="526">
        <f>IF('CEM Price Data'!O39="","",'CEM Price Data'!O39)</f>
        <v>145.83000000000001</v>
      </c>
      <c r="O40" s="526">
        <f>IF('CEM Price Data'!P39="","",'CEM Price Data'!P39)</f>
        <v>98.94</v>
      </c>
      <c r="P40" s="526">
        <f>IF('CEM Price Data'!Q39="","",'CEM Price Data'!Q39)</f>
        <v>93.07</v>
      </c>
      <c r="Q40" s="526">
        <f>IF('CEM Price Data'!R39="","",'CEM Price Data'!R39)</f>
        <v>145.88</v>
      </c>
      <c r="R40" s="526">
        <f>IF('CEM Price Data'!S39="","",'CEM Price Data'!S39)</f>
        <v>180.94</v>
      </c>
      <c r="S40" s="526">
        <f>IF('CEM Price Data'!T39="","",'CEM Price Data'!T39)</f>
        <v>80.7</v>
      </c>
      <c r="T40" s="526">
        <f>IF('CEM Price Data'!U39="","",'CEM Price Data'!U39)</f>
        <v>101.5</v>
      </c>
      <c r="U40" s="526">
        <f>IF('CEM Price Data'!V39="","",'CEM Price Data'!V39)</f>
        <v>467.9</v>
      </c>
      <c r="V40" s="526">
        <f>IF('CEM Price Data'!W39="","",'CEM Price Data'!W39)</f>
        <v>256.8</v>
      </c>
      <c r="W40" s="526">
        <f>IF('CEM Price Data'!X39="","",'CEM Price Data'!X39)</f>
        <v>305.06</v>
      </c>
      <c r="X40" s="526">
        <f>IF('CEM Price Data'!Y39="","",'CEM Price Data'!Y39)</f>
        <v>540.92999999999995</v>
      </c>
      <c r="Y40" s="526">
        <f>IF('CEM Price Data'!Z39="","",'CEM Price Data'!Z39)</f>
        <v>290.06</v>
      </c>
      <c r="Z40" s="526">
        <f>IF('CEM Price Data'!AA39="","",'CEM Price Data'!AA39)</f>
        <v>75.64</v>
      </c>
      <c r="AA40" s="526">
        <f>IF('CEM Price Data'!AB39="","",'CEM Price Data'!AB39)</f>
        <v>129.1</v>
      </c>
      <c r="AB40" s="526">
        <f>IF('CEM Price Data'!AC39="","",'CEM Price Data'!AC39)</f>
        <v>89.3</v>
      </c>
      <c r="AC40" s="526">
        <f>IF('CEM Price Data'!AD39="","",'CEM Price Data'!AD39)</f>
        <v>130.96</v>
      </c>
      <c r="AD40" s="526">
        <f>IF('CEM Price Data'!AE39="","",'CEM Price Data'!AE39)</f>
        <v>42</v>
      </c>
      <c r="AE40" s="526">
        <f>IF('CEM Price Data'!AF39="","",'CEM Price Data'!AF39)</f>
        <v>225.42</v>
      </c>
      <c r="AF40" s="526">
        <f>IF('CEM Price Data'!AG39="","",'CEM Price Data'!AG39)</f>
        <v>92.97</v>
      </c>
      <c r="AG40" s="526">
        <f>IF('CEM Price Data'!AH39="","",'CEM Price Data'!AH39)</f>
        <v>6.36</v>
      </c>
      <c r="AH40" s="526">
        <f>IF('CEM Price Data'!AI39="","",'CEM Price Data'!AI39)</f>
        <v>69.180000000000007</v>
      </c>
      <c r="AI40" s="526">
        <f>IF('CEM Price Data'!AJ39="","",'CEM Price Data'!AJ39)</f>
        <v>492.17</v>
      </c>
      <c r="AJ40" s="526">
        <f>IF('CEM Price Data'!AK39="","",'CEM Price Data'!AK39)</f>
        <v>168.11</v>
      </c>
      <c r="AK40" s="526">
        <f>IF('CEM Price Data'!AL39="","",'CEM Price Data'!AL39)</f>
        <v>180.73</v>
      </c>
      <c r="AL40" s="526">
        <f>IF('CEM Price Data'!AM39="","",'CEM Price Data'!AM39)</f>
        <v>312.56</v>
      </c>
      <c r="AM40" s="526">
        <f>IF('CEM Price Data'!AN39="","",'CEM Price Data'!AN39)</f>
        <v>262.56</v>
      </c>
      <c r="AN40" s="526">
        <f>IF('CEM Price Data'!AO39="","",'CEM Price Data'!AO39)</f>
        <v>12.93</v>
      </c>
    </row>
    <row r="41" spans="1:40">
      <c r="A41" s="525">
        <f>IF('CEM Price Data'!B40="","",'CEM Price Data'!B40)</f>
        <v>44872</v>
      </c>
      <c r="B41" s="526">
        <f>IF('CEM Price Data'!C40="","",'CEM Price Data'!C40)</f>
        <v>138.03</v>
      </c>
      <c r="C41" s="526">
        <f>IF('CEM Price Data'!D40="","",'CEM Price Data'!D40)</f>
        <v>99.5</v>
      </c>
      <c r="D41" s="526">
        <f>IF('CEM Price Data'!E40="","",'CEM Price Data'!E40)</f>
        <v>148.93</v>
      </c>
      <c r="E41" s="526">
        <f>IF('CEM Price Data'!F40="","",'CEM Price Data'!F40)</f>
        <v>120.73</v>
      </c>
      <c r="F41" s="526">
        <f>IF('CEM Price Data'!G40="","",'CEM Price Data'!G40)</f>
        <v>56.91</v>
      </c>
      <c r="G41" s="526">
        <f>IF('CEM Price Data'!H40="","",'CEM Price Data'!H40)</f>
        <v>277.63</v>
      </c>
      <c r="H41" s="526">
        <f>IF('CEM Price Data'!I40="","",'CEM Price Data'!I40)</f>
        <v>67.09</v>
      </c>
      <c r="I41" s="526">
        <f>IF('CEM Price Data'!J40="","",'CEM Price Data'!J40)</f>
        <v>79.19</v>
      </c>
      <c r="J41" s="526">
        <f>IF('CEM Price Data'!K40="","",'CEM Price Data'!K40)</f>
        <v>135.5</v>
      </c>
      <c r="K41" s="526">
        <f>IF('CEM Price Data'!L40="","",'CEM Price Data'!L40)</f>
        <v>302.14</v>
      </c>
      <c r="L41" s="526">
        <f>IF('CEM Price Data'!M40="","",'CEM Price Data'!M40)</f>
        <v>484.24</v>
      </c>
      <c r="M41" s="526">
        <f>IF('CEM Price Data'!N40="","",'CEM Price Data'!N40)</f>
        <v>122.67</v>
      </c>
      <c r="N41" s="526">
        <f>IF('CEM Price Data'!O40="","",'CEM Price Data'!O40)</f>
        <v>146.13999999999999</v>
      </c>
      <c r="O41" s="526">
        <f>IF('CEM Price Data'!P40="","",'CEM Price Data'!P40)</f>
        <v>98.33</v>
      </c>
      <c r="P41" s="526">
        <f>IF('CEM Price Data'!Q40="","",'CEM Price Data'!Q40)</f>
        <v>93.16</v>
      </c>
      <c r="Q41" s="526">
        <f>IF('CEM Price Data'!R40="","",'CEM Price Data'!R40)</f>
        <v>149.85</v>
      </c>
      <c r="R41" s="526">
        <f>IF('CEM Price Data'!S40="","",'CEM Price Data'!S40)</f>
        <v>181.85</v>
      </c>
      <c r="S41" s="526">
        <f>IF('CEM Price Data'!T40="","",'CEM Price Data'!T40)</f>
        <v>79.94</v>
      </c>
      <c r="T41" s="526">
        <f>IF('CEM Price Data'!U40="","",'CEM Price Data'!U40)</f>
        <v>100.07</v>
      </c>
      <c r="U41" s="526">
        <f>IF('CEM Price Data'!V40="","",'CEM Price Data'!V40)</f>
        <v>462.19</v>
      </c>
      <c r="V41" s="526">
        <f>IF('CEM Price Data'!W40="","",'CEM Price Data'!W40)</f>
        <v>255.53</v>
      </c>
      <c r="W41" s="526">
        <f>IF('CEM Price Data'!X40="","",'CEM Price Data'!X40)</f>
        <v>303.01</v>
      </c>
      <c r="X41" s="526">
        <f>IF('CEM Price Data'!Y40="","",'CEM Price Data'!Y40)</f>
        <v>534.77</v>
      </c>
      <c r="Y41" s="526">
        <f>IF('CEM Price Data'!Z40="","",'CEM Price Data'!Z40)</f>
        <v>281.98</v>
      </c>
      <c r="Z41" s="526">
        <f>IF('CEM Price Data'!AA40="","",'CEM Price Data'!AA40)</f>
        <v>76.739999999999995</v>
      </c>
      <c r="AA41" s="526">
        <f>IF('CEM Price Data'!AB40="","",'CEM Price Data'!AB40)</f>
        <v>127.3</v>
      </c>
      <c r="AB41" s="526">
        <f>IF('CEM Price Data'!AC40="","",'CEM Price Data'!AC40)</f>
        <v>88.03</v>
      </c>
      <c r="AC41" s="526">
        <f>IF('CEM Price Data'!AD40="","",'CEM Price Data'!AD40)</f>
        <v>130.16</v>
      </c>
      <c r="AD41" s="526">
        <f>IF('CEM Price Data'!AE40="","",'CEM Price Data'!AE40)</f>
        <v>41.75</v>
      </c>
      <c r="AE41" s="526">
        <f>IF('CEM Price Data'!AF40="","",'CEM Price Data'!AF40)</f>
        <v>221.37</v>
      </c>
      <c r="AF41" s="526">
        <f>IF('CEM Price Data'!AG40="","",'CEM Price Data'!AG40)</f>
        <v>92.43</v>
      </c>
      <c r="AG41" s="526">
        <f>IF('CEM Price Data'!AH40="","",'CEM Price Data'!AH40)</f>
        <v>6.28</v>
      </c>
      <c r="AH41" s="526">
        <f>IF('CEM Price Data'!AI40="","",'CEM Price Data'!AI40)</f>
        <v>69.239999999999995</v>
      </c>
      <c r="AI41" s="526">
        <f>IF('CEM Price Data'!AJ40="","",'CEM Price Data'!AJ40)</f>
        <v>492.1</v>
      </c>
      <c r="AJ41" s="526">
        <f>IF('CEM Price Data'!AK40="","",'CEM Price Data'!AK40)</f>
        <v>165.69</v>
      </c>
      <c r="AK41" s="526">
        <f>IF('CEM Price Data'!AL40="","",'CEM Price Data'!AL40)</f>
        <v>177.88</v>
      </c>
      <c r="AL41" s="526">
        <f>IF('CEM Price Data'!AM40="","",'CEM Price Data'!AM40)</f>
        <v>306.47000000000003</v>
      </c>
      <c r="AM41" s="526">
        <f>IF('CEM Price Data'!AN40="","",'CEM Price Data'!AN40)</f>
        <v>262.87</v>
      </c>
      <c r="AN41" s="526">
        <f>IF('CEM Price Data'!AO40="","",'CEM Price Data'!AO40)</f>
        <v>12.9</v>
      </c>
    </row>
    <row r="42" spans="1:40">
      <c r="A42" s="525">
        <f>IF('CEM Price Data'!B41="","",'CEM Price Data'!B41)</f>
        <v>44869</v>
      </c>
      <c r="B42" s="526">
        <f>IF('CEM Price Data'!C41="","",'CEM Price Data'!C41)</f>
        <v>136.08000000000001</v>
      </c>
      <c r="C42" s="526">
        <f>IF('CEM Price Data'!D41="","",'CEM Price Data'!D41)</f>
        <v>98.07</v>
      </c>
      <c r="D42" s="526">
        <f>IF('CEM Price Data'!E41="","",'CEM Price Data'!E41)</f>
        <v>144.29</v>
      </c>
      <c r="E42" s="526">
        <f>IF('CEM Price Data'!F41="","",'CEM Price Data'!F41)</f>
        <v>121.22</v>
      </c>
      <c r="F42" s="526">
        <f>IF('CEM Price Data'!G41="","",'CEM Price Data'!G41)</f>
        <v>55.98</v>
      </c>
      <c r="G42" s="526">
        <f>IF('CEM Price Data'!H41="","",'CEM Price Data'!H41)</f>
        <v>276.06</v>
      </c>
      <c r="H42" s="526">
        <f>IF('CEM Price Data'!I41="","",'CEM Price Data'!I41)</f>
        <v>67.150000000000006</v>
      </c>
      <c r="I42" s="526">
        <f>IF('CEM Price Data'!J41="","",'CEM Price Data'!J41)</f>
        <v>78.78</v>
      </c>
      <c r="J42" s="526">
        <f>IF('CEM Price Data'!K41="","",'CEM Price Data'!K41)</f>
        <v>133.44</v>
      </c>
      <c r="K42" s="526">
        <f>IF('CEM Price Data'!L41="","",'CEM Price Data'!L41)</f>
        <v>295.76</v>
      </c>
      <c r="L42" s="526">
        <f>IF('CEM Price Data'!M41="","",'CEM Price Data'!M41)</f>
        <v>481.1</v>
      </c>
      <c r="M42" s="526">
        <f>IF('CEM Price Data'!N41="","",'CEM Price Data'!N41)</f>
        <v>124.83</v>
      </c>
      <c r="N42" s="526">
        <f>IF('CEM Price Data'!O41="","",'CEM Price Data'!O41)</f>
        <v>143.62</v>
      </c>
      <c r="O42" s="526">
        <f>IF('CEM Price Data'!P41="","",'CEM Price Data'!P41)</f>
        <v>97.65</v>
      </c>
      <c r="P42" s="526">
        <f>IF('CEM Price Data'!Q41="","",'CEM Price Data'!Q41)</f>
        <v>93.19</v>
      </c>
      <c r="Q42" s="526">
        <f>IF('CEM Price Data'!R41="","",'CEM Price Data'!R41)</f>
        <v>146.96</v>
      </c>
      <c r="R42" s="526">
        <f>IF('CEM Price Data'!S41="","",'CEM Price Data'!S41)</f>
        <v>180.46</v>
      </c>
      <c r="S42" s="526">
        <f>IF('CEM Price Data'!T41="","",'CEM Price Data'!T41)</f>
        <v>79.02</v>
      </c>
      <c r="T42" s="526">
        <f>IF('CEM Price Data'!U41="","",'CEM Price Data'!U41)</f>
        <v>99.2</v>
      </c>
      <c r="U42" s="526">
        <f>IF('CEM Price Data'!V41="","",'CEM Price Data'!V41)</f>
        <v>460.91</v>
      </c>
      <c r="V42" s="526">
        <f>IF('CEM Price Data'!W41="","",'CEM Price Data'!W41)</f>
        <v>254.87</v>
      </c>
      <c r="W42" s="526">
        <f>IF('CEM Price Data'!X41="","",'CEM Price Data'!X41)</f>
        <v>300.04000000000002</v>
      </c>
      <c r="X42" s="526">
        <f>IF('CEM Price Data'!Y41="","",'CEM Price Data'!Y41)</f>
        <v>522.77</v>
      </c>
      <c r="Y42" s="526">
        <f>IF('CEM Price Data'!Z41="","",'CEM Price Data'!Z41)</f>
        <v>271.91000000000003</v>
      </c>
      <c r="Z42" s="526">
        <f>IF('CEM Price Data'!AA41="","",'CEM Price Data'!AA41)</f>
        <v>76</v>
      </c>
      <c r="AA42" s="526">
        <f>IF('CEM Price Data'!AB41="","",'CEM Price Data'!AB41)</f>
        <v>126.62</v>
      </c>
      <c r="AB42" s="526">
        <f>IF('CEM Price Data'!AC41="","",'CEM Price Data'!AC41)</f>
        <v>86.44</v>
      </c>
      <c r="AC42" s="526">
        <f>IF('CEM Price Data'!AD41="","",'CEM Price Data'!AD41)</f>
        <v>127.55</v>
      </c>
      <c r="AD42" s="526">
        <f>IF('CEM Price Data'!AE41="","",'CEM Price Data'!AE41)</f>
        <v>41.91</v>
      </c>
      <c r="AE42" s="526">
        <f>IF('CEM Price Data'!AF41="","",'CEM Price Data'!AF41)</f>
        <v>216.23</v>
      </c>
      <c r="AF42" s="526">
        <f>IF('CEM Price Data'!AG41="","",'CEM Price Data'!AG41)</f>
        <v>93.17</v>
      </c>
      <c r="AG42" s="526">
        <f>IF('CEM Price Data'!AH41="","",'CEM Price Data'!AH41)</f>
        <v>6.16</v>
      </c>
      <c r="AH42" s="526">
        <f>IF('CEM Price Data'!AI41="","",'CEM Price Data'!AI41)</f>
        <v>68.36</v>
      </c>
      <c r="AI42" s="526">
        <f>IF('CEM Price Data'!AJ41="","",'CEM Price Data'!AJ41)</f>
        <v>495.55</v>
      </c>
      <c r="AJ42" s="526">
        <f>IF('CEM Price Data'!AK41="","",'CEM Price Data'!AK41)</f>
        <v>162.65</v>
      </c>
      <c r="AK42" s="526">
        <f>IF('CEM Price Data'!AL41="","",'CEM Price Data'!AL41)</f>
        <v>176.69</v>
      </c>
      <c r="AL42" s="526">
        <f>IF('CEM Price Data'!AM41="","",'CEM Price Data'!AM41)</f>
        <v>305.07</v>
      </c>
      <c r="AM42" s="526">
        <f>IF('CEM Price Data'!AN41="","",'CEM Price Data'!AN41)</f>
        <v>261.95999999999998</v>
      </c>
      <c r="AN42" s="526">
        <f>IF('CEM Price Data'!AO41="","",'CEM Price Data'!AO41)</f>
        <v>12.81</v>
      </c>
    </row>
    <row r="43" spans="1:40">
      <c r="A43" s="525">
        <f>IF('CEM Price Data'!B42="","",'CEM Price Data'!B42)</f>
        <v>44868</v>
      </c>
      <c r="B43" s="526">
        <f>IF('CEM Price Data'!C42="","",'CEM Price Data'!C42)</f>
        <v>134.46</v>
      </c>
      <c r="C43" s="526">
        <f>IF('CEM Price Data'!D42="","",'CEM Price Data'!D42)</f>
        <v>96.45</v>
      </c>
      <c r="D43" s="526">
        <f>IF('CEM Price Data'!E42="","",'CEM Price Data'!E42)</f>
        <v>138.02000000000001</v>
      </c>
      <c r="E43" s="526">
        <f>IF('CEM Price Data'!F42="","",'CEM Price Data'!F42)</f>
        <v>123.41</v>
      </c>
      <c r="F43" s="526">
        <f>IF('CEM Price Data'!G42="","",'CEM Price Data'!G42)</f>
        <v>54.37</v>
      </c>
      <c r="G43" s="526">
        <f>IF('CEM Price Data'!H42="","",'CEM Price Data'!H42)</f>
        <v>264.02</v>
      </c>
      <c r="H43" s="526">
        <f>IF('CEM Price Data'!I42="","",'CEM Price Data'!I42)</f>
        <v>66.16</v>
      </c>
      <c r="I43" s="526">
        <f>IF('CEM Price Data'!J42="","",'CEM Price Data'!J42)</f>
        <v>78.48</v>
      </c>
      <c r="J43" s="526">
        <f>IF('CEM Price Data'!K42="","",'CEM Price Data'!K42)</f>
        <v>133.91</v>
      </c>
      <c r="K43" s="526">
        <f>IF('CEM Price Data'!L42="","",'CEM Price Data'!L42)</f>
        <v>301.87</v>
      </c>
      <c r="L43" s="526">
        <f>IF('CEM Price Data'!M42="","",'CEM Price Data'!M42)</f>
        <v>480.98</v>
      </c>
      <c r="M43" s="526">
        <f>IF('CEM Price Data'!N42="","",'CEM Price Data'!N42)</f>
        <v>124.28</v>
      </c>
      <c r="N43" s="526">
        <f>IF('CEM Price Data'!O42="","",'CEM Price Data'!O42)</f>
        <v>142.97999999999999</v>
      </c>
      <c r="O43" s="526">
        <f>IF('CEM Price Data'!P42="","",'CEM Price Data'!P42)</f>
        <v>96.06</v>
      </c>
      <c r="P43" s="526">
        <f>IF('CEM Price Data'!Q42="","",'CEM Price Data'!Q42)</f>
        <v>91.48</v>
      </c>
      <c r="Q43" s="526">
        <f>IF('CEM Price Data'!R42="","",'CEM Price Data'!R42)</f>
        <v>145.59</v>
      </c>
      <c r="R43" s="526">
        <f>IF('CEM Price Data'!S42="","",'CEM Price Data'!S42)</f>
        <v>179.62</v>
      </c>
      <c r="S43" s="526">
        <f>IF('CEM Price Data'!T42="","",'CEM Price Data'!T42)</f>
        <v>76.760000000000005</v>
      </c>
      <c r="T43" s="526">
        <f>IF('CEM Price Data'!U42="","",'CEM Price Data'!U42)</f>
        <v>98.75</v>
      </c>
      <c r="U43" s="526">
        <f>IF('CEM Price Data'!V42="","",'CEM Price Data'!V42)</f>
        <v>451.15</v>
      </c>
      <c r="V43" s="526">
        <f>IF('CEM Price Data'!W42="","",'CEM Price Data'!W42)</f>
        <v>238.18</v>
      </c>
      <c r="W43" s="526">
        <f>IF('CEM Price Data'!X42="","",'CEM Price Data'!X42)</f>
        <v>289.18</v>
      </c>
      <c r="X43" s="526">
        <f>IF('CEM Price Data'!Y42="","",'CEM Price Data'!Y42)</f>
        <v>525.51</v>
      </c>
      <c r="Y43" s="526">
        <f>IF('CEM Price Data'!Z42="","",'CEM Price Data'!Z42)</f>
        <v>263.02999999999997</v>
      </c>
      <c r="Z43" s="526">
        <f>IF('CEM Price Data'!AA42="","",'CEM Price Data'!AA42)</f>
        <v>75.03</v>
      </c>
      <c r="AA43" s="526">
        <f>IF('CEM Price Data'!AB42="","",'CEM Price Data'!AB42)</f>
        <v>127.32</v>
      </c>
      <c r="AB43" s="526">
        <f>IF('CEM Price Data'!AC42="","",'CEM Price Data'!AC42)</f>
        <v>85.97</v>
      </c>
      <c r="AC43" s="526">
        <f>IF('CEM Price Data'!AD42="","",'CEM Price Data'!AD42)</f>
        <v>127.97</v>
      </c>
      <c r="AD43" s="526">
        <f>IF('CEM Price Data'!AE42="","",'CEM Price Data'!AE42)</f>
        <v>42.29</v>
      </c>
      <c r="AE43" s="526">
        <f>IF('CEM Price Data'!AF42="","",'CEM Price Data'!AF42)</f>
        <v>217.19</v>
      </c>
      <c r="AF43" s="526">
        <f>IF('CEM Price Data'!AG42="","",'CEM Price Data'!AG42)</f>
        <v>93.5</v>
      </c>
      <c r="AG43" s="526">
        <f>IF('CEM Price Data'!AH42="","",'CEM Price Data'!AH42)</f>
        <v>6.09</v>
      </c>
      <c r="AH43" s="526">
        <f>IF('CEM Price Data'!AI42="","",'CEM Price Data'!AI42)</f>
        <v>67.22</v>
      </c>
      <c r="AI43" s="526">
        <f>IF('CEM Price Data'!AJ42="","",'CEM Price Data'!AJ42)</f>
        <v>486.94</v>
      </c>
      <c r="AJ43" s="526">
        <f>IF('CEM Price Data'!AK42="","",'CEM Price Data'!AK42)</f>
        <v>156.52000000000001</v>
      </c>
      <c r="AK43" s="526">
        <f>IF('CEM Price Data'!AL42="","",'CEM Price Data'!AL42)</f>
        <v>180.19</v>
      </c>
      <c r="AL43" s="526">
        <f>IF('CEM Price Data'!AM42="","",'CEM Price Data'!AM42)</f>
        <v>298.93</v>
      </c>
      <c r="AM43" s="526">
        <f>IF('CEM Price Data'!AN42="","",'CEM Price Data'!AN42)</f>
        <v>261.08</v>
      </c>
      <c r="AN43" s="526">
        <f>IF('CEM Price Data'!AO42="","",'CEM Price Data'!AO42)</f>
        <v>12.43</v>
      </c>
    </row>
    <row r="44" spans="1:40">
      <c r="A44" s="525">
        <f>IF('CEM Price Data'!B43="","",'CEM Price Data'!B43)</f>
        <v>44867</v>
      </c>
      <c r="B44" s="526">
        <f>IF('CEM Price Data'!C43="","",'CEM Price Data'!C43)</f>
        <v>135.27000000000001</v>
      </c>
      <c r="C44" s="526">
        <f>IF('CEM Price Data'!D43="","",'CEM Price Data'!D43)</f>
        <v>98.04</v>
      </c>
      <c r="D44" s="526">
        <f>IF('CEM Price Data'!E43="","",'CEM Price Data'!E43)</f>
        <v>141.24</v>
      </c>
      <c r="E44" s="526">
        <f>IF('CEM Price Data'!F43="","",'CEM Price Data'!F43)</f>
        <v>131.02000000000001</v>
      </c>
      <c r="F44" s="526">
        <f>IF('CEM Price Data'!G43="","",'CEM Price Data'!G43)</f>
        <v>53.7</v>
      </c>
      <c r="G44" s="526">
        <f>IF('CEM Price Data'!H43="","",'CEM Price Data'!H43)</f>
        <v>245.17</v>
      </c>
      <c r="H44" s="526">
        <f>IF('CEM Price Data'!I43="","",'CEM Price Data'!I43)</f>
        <v>66.44</v>
      </c>
      <c r="I44" s="526">
        <f>IF('CEM Price Data'!J43="","",'CEM Price Data'!J43)</f>
        <v>77.45</v>
      </c>
      <c r="J44" s="526">
        <f>IF('CEM Price Data'!K43="","",'CEM Price Data'!K43)</f>
        <v>137.72999999999999</v>
      </c>
      <c r="K44" s="526">
        <f>IF('CEM Price Data'!L43="","",'CEM Price Data'!L43)</f>
        <v>303.02999999999997</v>
      </c>
      <c r="L44" s="526">
        <f>IF('CEM Price Data'!M43="","",'CEM Price Data'!M43)</f>
        <v>487.81</v>
      </c>
      <c r="M44" s="526">
        <f>IF('CEM Price Data'!N43="","",'CEM Price Data'!N43)</f>
        <v>126.12</v>
      </c>
      <c r="N44" s="526">
        <f>IF('CEM Price Data'!O43="","",'CEM Price Data'!O43)</f>
        <v>140.47999999999999</v>
      </c>
      <c r="O44" s="526">
        <f>IF('CEM Price Data'!P43="","",'CEM Price Data'!P43)</f>
        <v>94.71</v>
      </c>
      <c r="P44" s="526">
        <f>IF('CEM Price Data'!Q43="","",'CEM Price Data'!Q43)</f>
        <v>87.68</v>
      </c>
      <c r="Q44" s="526">
        <f>IF('CEM Price Data'!R43="","",'CEM Price Data'!R43)</f>
        <v>145.13</v>
      </c>
      <c r="R44" s="526">
        <f>IF('CEM Price Data'!S43="","",'CEM Price Data'!S43)</f>
        <v>190.64</v>
      </c>
      <c r="S44" s="526">
        <f>IF('CEM Price Data'!T43="","",'CEM Price Data'!T43)</f>
        <v>77.23</v>
      </c>
      <c r="T44" s="526">
        <f>IF('CEM Price Data'!U43="","",'CEM Price Data'!U43)</f>
        <v>99.4</v>
      </c>
      <c r="U44" s="526">
        <f>IF('CEM Price Data'!V43="","",'CEM Price Data'!V43)</f>
        <v>453.74</v>
      </c>
      <c r="V44" s="526">
        <f>IF('CEM Price Data'!W43="","",'CEM Price Data'!W43)</f>
        <v>239.9</v>
      </c>
      <c r="W44" s="526">
        <f>IF('CEM Price Data'!X43="","",'CEM Price Data'!X43)</f>
        <v>293.08999999999997</v>
      </c>
      <c r="X44" s="526">
        <f>IF('CEM Price Data'!Y43="","",'CEM Price Data'!Y43)</f>
        <v>530.29999999999995</v>
      </c>
      <c r="Y44" s="526">
        <f>IF('CEM Price Data'!Z43="","",'CEM Price Data'!Z43)</f>
        <v>260.39</v>
      </c>
      <c r="Z44" s="526">
        <f>IF('CEM Price Data'!AA43="","",'CEM Price Data'!AA43)</f>
        <v>75.12</v>
      </c>
      <c r="AA44" s="526">
        <f>IF('CEM Price Data'!AB43="","",'CEM Price Data'!AB43)</f>
        <v>127.73</v>
      </c>
      <c r="AB44" s="526">
        <f>IF('CEM Price Data'!AC43="","",'CEM Price Data'!AC43)</f>
        <v>89.05</v>
      </c>
      <c r="AC44" s="526">
        <f>IF('CEM Price Data'!AD43="","",'CEM Price Data'!AD43)</f>
        <v>127.93</v>
      </c>
      <c r="AD44" s="526">
        <f>IF('CEM Price Data'!AE43="","",'CEM Price Data'!AE43)</f>
        <v>41.87</v>
      </c>
      <c r="AE44" s="526">
        <f>IF('CEM Price Data'!AF43="","",'CEM Price Data'!AF43)</f>
        <v>215.73</v>
      </c>
      <c r="AF44" s="526">
        <f>IF('CEM Price Data'!AG43="","",'CEM Price Data'!AG43)</f>
        <v>95.32</v>
      </c>
      <c r="AG44" s="526">
        <f>IF('CEM Price Data'!AH43="","",'CEM Price Data'!AH43)</f>
        <v>6.07</v>
      </c>
      <c r="AH44" s="526">
        <f>IF('CEM Price Data'!AI43="","",'CEM Price Data'!AI43)</f>
        <v>67.400000000000006</v>
      </c>
      <c r="AI44" s="526">
        <f>IF('CEM Price Data'!AJ43="","",'CEM Price Data'!AJ43)</f>
        <v>490.98</v>
      </c>
      <c r="AJ44" s="526">
        <f>IF('CEM Price Data'!AK43="","",'CEM Price Data'!AK43)</f>
        <v>158.49</v>
      </c>
      <c r="AK44" s="526">
        <f>IF('CEM Price Data'!AL43="","",'CEM Price Data'!AL43)</f>
        <v>186.61</v>
      </c>
      <c r="AL44" s="526">
        <f>IF('CEM Price Data'!AM43="","",'CEM Price Data'!AM43)</f>
        <v>295.74</v>
      </c>
      <c r="AM44" s="526">
        <f>IF('CEM Price Data'!AN43="","",'CEM Price Data'!AN43)</f>
        <v>266.87</v>
      </c>
      <c r="AN44" s="526">
        <f>IF('CEM Price Data'!AO43="","",'CEM Price Data'!AO43)</f>
        <v>13.04</v>
      </c>
    </row>
    <row r="45" spans="1:40">
      <c r="A45" s="525">
        <f>IF('CEM Price Data'!B44="","",'CEM Price Data'!B44)</f>
        <v>44866</v>
      </c>
      <c r="B45" s="526">
        <f>IF('CEM Price Data'!C44="","",'CEM Price Data'!C44)</f>
        <v>140.88999999999999</v>
      </c>
      <c r="C45" s="526">
        <f>IF('CEM Price Data'!D44="","",'CEM Price Data'!D44)</f>
        <v>99.31</v>
      </c>
      <c r="D45" s="526">
        <f>IF('CEM Price Data'!E44="","",'CEM Price Data'!E44)</f>
        <v>144.69999999999999</v>
      </c>
      <c r="E45" s="526">
        <f>IF('CEM Price Data'!F44="","",'CEM Price Data'!F44)</f>
        <v>134.69999999999999</v>
      </c>
      <c r="F45" s="526">
        <f>IF('CEM Price Data'!G44="","",'CEM Price Data'!G44)</f>
        <v>54.6</v>
      </c>
      <c r="G45" s="526">
        <f>IF('CEM Price Data'!H44="","",'CEM Price Data'!H44)</f>
        <v>252.12</v>
      </c>
      <c r="H45" s="526">
        <f>IF('CEM Price Data'!I44="","",'CEM Price Data'!I44)</f>
        <v>67.44</v>
      </c>
      <c r="I45" s="526">
        <f>IF('CEM Price Data'!J44="","",'CEM Price Data'!J44)</f>
        <v>77.7</v>
      </c>
      <c r="J45" s="526">
        <f>IF('CEM Price Data'!K44="","",'CEM Price Data'!K44)</f>
        <v>149.6</v>
      </c>
      <c r="K45" s="526">
        <f>IF('CEM Price Data'!L44="","",'CEM Price Data'!L44)</f>
        <v>302.93</v>
      </c>
      <c r="L45" s="526">
        <f>IF('CEM Price Data'!M44="","",'CEM Price Data'!M44)</f>
        <v>476.93</v>
      </c>
      <c r="M45" s="526">
        <f>IF('CEM Price Data'!N44="","",'CEM Price Data'!N44)</f>
        <v>128.4</v>
      </c>
      <c r="N45" s="526">
        <f>IF('CEM Price Data'!O44="","",'CEM Price Data'!O44)</f>
        <v>142.78</v>
      </c>
      <c r="O45" s="526">
        <f>IF('CEM Price Data'!P44="","",'CEM Price Data'!P44)</f>
        <v>97.29</v>
      </c>
      <c r="P45" s="526">
        <f>IF('CEM Price Data'!Q44="","",'CEM Price Data'!Q44)</f>
        <v>88.72</v>
      </c>
      <c r="Q45" s="526">
        <f>IF('CEM Price Data'!R44="","",'CEM Price Data'!R44)</f>
        <v>146.44999999999999</v>
      </c>
      <c r="R45" s="526">
        <f>IF('CEM Price Data'!S44="","",'CEM Price Data'!S44)</f>
        <v>201.24</v>
      </c>
      <c r="S45" s="526">
        <f>IF('CEM Price Data'!T44="","",'CEM Price Data'!T44)</f>
        <v>78.59</v>
      </c>
      <c r="T45" s="526">
        <f>IF('CEM Price Data'!U44="","",'CEM Price Data'!U44)</f>
        <v>99.76</v>
      </c>
      <c r="U45" s="526">
        <f>IF('CEM Price Data'!V44="","",'CEM Price Data'!V44)</f>
        <v>470.08</v>
      </c>
      <c r="V45" s="526">
        <f>IF('CEM Price Data'!W44="","",'CEM Price Data'!W44)</f>
        <v>242.89</v>
      </c>
      <c r="W45" s="526">
        <f>IF('CEM Price Data'!X44="","",'CEM Price Data'!X44)</f>
        <v>300.27</v>
      </c>
      <c r="X45" s="526">
        <f>IF('CEM Price Data'!Y44="","",'CEM Price Data'!Y44)</f>
        <v>535.88</v>
      </c>
      <c r="Y45" s="526">
        <f>IF('CEM Price Data'!Z44="","",'CEM Price Data'!Z44)</f>
        <v>272.87</v>
      </c>
      <c r="Z45" s="526">
        <f>IF('CEM Price Data'!AA44="","",'CEM Price Data'!AA44)</f>
        <v>77.11</v>
      </c>
      <c r="AA45" s="526">
        <f>IF('CEM Price Data'!AB44="","",'CEM Price Data'!AB44)</f>
        <v>129.02000000000001</v>
      </c>
      <c r="AB45" s="526">
        <f>IF('CEM Price Data'!AC44="","",'CEM Price Data'!AC44)</f>
        <v>91.26</v>
      </c>
      <c r="AC45" s="526">
        <f>IF('CEM Price Data'!AD44="","",'CEM Price Data'!AD44)</f>
        <v>132.97999999999999</v>
      </c>
      <c r="AD45" s="526">
        <f>IF('CEM Price Data'!AE44="","",'CEM Price Data'!AE44)</f>
        <v>42.2</v>
      </c>
      <c r="AE45" s="526">
        <f>IF('CEM Price Data'!AF44="","",'CEM Price Data'!AF44)</f>
        <v>224.78</v>
      </c>
      <c r="AF45" s="526">
        <f>IF('CEM Price Data'!AG44="","",'CEM Price Data'!AG44)</f>
        <v>95.52</v>
      </c>
      <c r="AG45" s="526">
        <f>IF('CEM Price Data'!AH44="","",'CEM Price Data'!AH44)</f>
        <v>6.06</v>
      </c>
      <c r="AH45" s="526">
        <f>IF('CEM Price Data'!AI44="","",'CEM Price Data'!AI44)</f>
        <v>70.430000000000007</v>
      </c>
      <c r="AI45" s="526">
        <f>IF('CEM Price Data'!AJ44="","",'CEM Price Data'!AJ44)</f>
        <v>517.69000000000005</v>
      </c>
      <c r="AJ45" s="526">
        <f>IF('CEM Price Data'!AK44="","",'CEM Price Data'!AK44)</f>
        <v>162.9</v>
      </c>
      <c r="AK45" s="526">
        <f>IF('CEM Price Data'!AL44="","",'CEM Price Data'!AL44)</f>
        <v>196.97</v>
      </c>
      <c r="AL45" s="526">
        <f>IF('CEM Price Data'!AM44="","",'CEM Price Data'!AM44)</f>
        <v>307.44</v>
      </c>
      <c r="AM45" s="526">
        <f>IF('CEM Price Data'!AN44="","",'CEM Price Data'!AN44)</f>
        <v>272.60000000000002</v>
      </c>
      <c r="AN45" s="526">
        <f>IF('CEM Price Data'!AO44="","",'CEM Price Data'!AO44)</f>
        <v>13.63</v>
      </c>
    </row>
    <row r="46" spans="1:40">
      <c r="A46" s="525">
        <f>IF('CEM Price Data'!B45="","",'CEM Price Data'!B45)</f>
        <v>44865</v>
      </c>
      <c r="B46" s="526">
        <f>IF('CEM Price Data'!C45="","",'CEM Price Data'!C45)</f>
        <v>138.35</v>
      </c>
      <c r="C46" s="526">
        <f>IF('CEM Price Data'!D45="","",'CEM Price Data'!D45)</f>
        <v>98.94</v>
      </c>
      <c r="D46" s="526">
        <f>IF('CEM Price Data'!E45="","",'CEM Price Data'!E45)</f>
        <v>142.62</v>
      </c>
      <c r="E46" s="526">
        <f>IF('CEM Price Data'!F45="","",'CEM Price Data'!F45)</f>
        <v>135.86000000000001</v>
      </c>
      <c r="F46" s="526">
        <f>IF('CEM Price Data'!G45="","",'CEM Price Data'!G45)</f>
        <v>54.78</v>
      </c>
      <c r="G46" s="526">
        <f>IF('CEM Price Data'!H45="","",'CEM Price Data'!H45)</f>
        <v>250.4</v>
      </c>
      <c r="H46" s="526">
        <f>IF('CEM Price Data'!I45="","",'CEM Price Data'!I45)</f>
        <v>68</v>
      </c>
      <c r="I46" s="526">
        <f>IF('CEM Price Data'!J45="","",'CEM Price Data'!J45)</f>
        <v>77.47</v>
      </c>
      <c r="J46" s="526">
        <f>IF('CEM Price Data'!K45="","",'CEM Price Data'!K45)</f>
        <v>150.06</v>
      </c>
      <c r="K46" s="526">
        <f>IF('CEM Price Data'!L45="","",'CEM Price Data'!L45)</f>
        <v>304.02999999999997</v>
      </c>
      <c r="L46" s="526">
        <f>IF('CEM Price Data'!M45="","",'CEM Price Data'!M45)</f>
        <v>466.87</v>
      </c>
      <c r="M46" s="526">
        <f>IF('CEM Price Data'!N45="","",'CEM Price Data'!N45)</f>
        <v>128.91999999999999</v>
      </c>
      <c r="N46" s="526">
        <f>IF('CEM Price Data'!O45="","",'CEM Price Data'!O45)</f>
        <v>143.65</v>
      </c>
      <c r="O46" s="526">
        <f>IF('CEM Price Data'!P45="","",'CEM Price Data'!P45)</f>
        <v>95.26</v>
      </c>
      <c r="P46" s="526">
        <f>IF('CEM Price Data'!Q45="","",'CEM Price Data'!Q45)</f>
        <v>89.12</v>
      </c>
      <c r="Q46" s="526">
        <f>IF('CEM Price Data'!R45="","",'CEM Price Data'!R45)</f>
        <v>147.61000000000001</v>
      </c>
      <c r="R46" s="526">
        <f>IF('CEM Price Data'!S45="","",'CEM Price Data'!S45)</f>
        <v>199.06</v>
      </c>
      <c r="S46" s="526">
        <f>IF('CEM Price Data'!T45="","",'CEM Price Data'!T45)</f>
        <v>78.64</v>
      </c>
      <c r="T46" s="526">
        <f>IF('CEM Price Data'!U45="","",'CEM Price Data'!U45)</f>
        <v>101.2</v>
      </c>
      <c r="U46" s="526">
        <f>IF('CEM Price Data'!V45="","",'CEM Price Data'!V45)</f>
        <v>468.86</v>
      </c>
      <c r="V46" s="526">
        <f>IF('CEM Price Data'!W45="","",'CEM Price Data'!W45)</f>
        <v>249.71</v>
      </c>
      <c r="W46" s="526">
        <f>IF('CEM Price Data'!X45="","",'CEM Price Data'!X45)</f>
        <v>304.33999999999997</v>
      </c>
      <c r="X46" s="526">
        <f>IF('CEM Price Data'!Y45="","",'CEM Price Data'!Y45)</f>
        <v>549.01</v>
      </c>
      <c r="Y46" s="526">
        <f>IF('CEM Price Data'!Z45="","",'CEM Price Data'!Z45)</f>
        <v>274.60000000000002</v>
      </c>
      <c r="Z46" s="526">
        <f>IF('CEM Price Data'!AA45="","",'CEM Price Data'!AA45)</f>
        <v>78.069999999999993</v>
      </c>
      <c r="AA46" s="526">
        <f>IF('CEM Price Data'!AB45="","",'CEM Price Data'!AB45)</f>
        <v>128.4</v>
      </c>
      <c r="AB46" s="526">
        <f>IF('CEM Price Data'!AC45="","",'CEM Price Data'!AC45)</f>
        <v>90.42</v>
      </c>
      <c r="AC46" s="526">
        <f>IF('CEM Price Data'!AD45="","",'CEM Price Data'!AD45)</f>
        <v>130.07</v>
      </c>
      <c r="AD46" s="526">
        <f>IF('CEM Price Data'!AE45="","",'CEM Price Data'!AE45)</f>
        <v>42.08</v>
      </c>
      <c r="AE46" s="526">
        <f>IF('CEM Price Data'!AF45="","",'CEM Price Data'!AF45)</f>
        <v>225.03</v>
      </c>
      <c r="AF46" s="526">
        <f>IF('CEM Price Data'!AG45="","",'CEM Price Data'!AG45)</f>
        <v>98.08</v>
      </c>
      <c r="AG46" s="526">
        <f>IF('CEM Price Data'!AH45="","",'CEM Price Data'!AH45)</f>
        <v>6.04</v>
      </c>
      <c r="AH46" s="526">
        <f>IF('CEM Price Data'!AI45="","",'CEM Price Data'!AI45)</f>
        <v>71.459999999999994</v>
      </c>
      <c r="AI46" s="526">
        <f>IF('CEM Price Data'!AJ45="","",'CEM Price Data'!AJ45)</f>
        <v>513.97</v>
      </c>
      <c r="AJ46" s="526">
        <f>IF('CEM Price Data'!AK45="","",'CEM Price Data'!AK45)</f>
        <v>160.63</v>
      </c>
      <c r="AK46" s="526">
        <f>IF('CEM Price Data'!AL45="","",'CEM Price Data'!AL45)</f>
        <v>200.46</v>
      </c>
      <c r="AL46" s="526">
        <f>IF('CEM Price Data'!AM45="","",'CEM Price Data'!AM45)</f>
        <v>299.17</v>
      </c>
      <c r="AM46" s="526">
        <f>IF('CEM Price Data'!AN45="","",'CEM Price Data'!AN45)</f>
        <v>270.95999999999998</v>
      </c>
      <c r="AN46" s="526">
        <f>IF('CEM Price Data'!AO45="","",'CEM Price Data'!AO45)</f>
        <v>13.51</v>
      </c>
    </row>
    <row r="47" spans="1:40">
      <c r="A47" s="525">
        <f>IF('CEM Price Data'!B46="","",'CEM Price Data'!B46)</f>
        <v>44862</v>
      </c>
      <c r="B47" s="526">
        <f>IF('CEM Price Data'!C46="","",'CEM Price Data'!C46)</f>
        <v>138.77000000000001</v>
      </c>
      <c r="C47" s="526">
        <f>IF('CEM Price Data'!D46="","",'CEM Price Data'!D46)</f>
        <v>99.49</v>
      </c>
      <c r="D47" s="526">
        <f>IF('CEM Price Data'!E46="","",'CEM Price Data'!E46)</f>
        <v>144.88</v>
      </c>
      <c r="E47" s="526">
        <f>IF('CEM Price Data'!F46="","",'CEM Price Data'!F46)</f>
        <v>134.69</v>
      </c>
      <c r="F47" s="526">
        <f>IF('CEM Price Data'!G46="","",'CEM Price Data'!G46)</f>
        <v>54.38</v>
      </c>
      <c r="G47" s="526">
        <f>IF('CEM Price Data'!H46="","",'CEM Price Data'!H46)</f>
        <v>254.44</v>
      </c>
      <c r="H47" s="526">
        <f>IF('CEM Price Data'!I46="","",'CEM Price Data'!I46)</f>
        <v>68.17</v>
      </c>
      <c r="I47" s="526">
        <f>IF('CEM Price Data'!J46="","",'CEM Price Data'!J46)</f>
        <v>76.83</v>
      </c>
      <c r="J47" s="526">
        <f>IF('CEM Price Data'!K46="","",'CEM Price Data'!K46)</f>
        <v>148.9</v>
      </c>
      <c r="K47" s="526">
        <f>IF('CEM Price Data'!L46="","",'CEM Price Data'!L46)</f>
        <v>303.12</v>
      </c>
      <c r="L47" s="526">
        <f>IF('CEM Price Data'!M46="","",'CEM Price Data'!M46)</f>
        <v>461.93</v>
      </c>
      <c r="M47" s="526">
        <f>IF('CEM Price Data'!N46="","",'CEM Price Data'!N46)</f>
        <v>130.02000000000001</v>
      </c>
      <c r="N47" s="526">
        <f>IF('CEM Price Data'!O46="","",'CEM Price Data'!O46)</f>
        <v>144.59</v>
      </c>
      <c r="O47" s="526">
        <f>IF('CEM Price Data'!P46="","",'CEM Price Data'!P46)</f>
        <v>94.09</v>
      </c>
      <c r="P47" s="526">
        <f>IF('CEM Price Data'!Q46="","",'CEM Price Data'!Q46)</f>
        <v>88.74</v>
      </c>
      <c r="Q47" s="526">
        <f>IF('CEM Price Data'!R46="","",'CEM Price Data'!R46)</f>
        <v>149.58000000000001</v>
      </c>
      <c r="R47" s="526">
        <f>IF('CEM Price Data'!S46="","",'CEM Price Data'!S46)</f>
        <v>201.73</v>
      </c>
      <c r="S47" s="526">
        <f>IF('CEM Price Data'!T46="","",'CEM Price Data'!T46)</f>
        <v>79.2</v>
      </c>
      <c r="T47" s="526">
        <f>IF('CEM Price Data'!U46="","",'CEM Price Data'!U46)</f>
        <v>100.77</v>
      </c>
      <c r="U47" s="526">
        <f>IF('CEM Price Data'!V46="","",'CEM Price Data'!V46)</f>
        <v>474.27</v>
      </c>
      <c r="V47" s="526">
        <f>IF('CEM Price Data'!W46="","",'CEM Price Data'!W46)</f>
        <v>250.12</v>
      </c>
      <c r="W47" s="526">
        <f>IF('CEM Price Data'!X46="","",'CEM Price Data'!X46)</f>
        <v>303.27999999999997</v>
      </c>
      <c r="X47" s="526">
        <f>IF('CEM Price Data'!Y46="","",'CEM Price Data'!Y46)</f>
        <v>548.11</v>
      </c>
      <c r="Y47" s="526">
        <f>IF('CEM Price Data'!Z46="","",'CEM Price Data'!Z46)</f>
        <v>270.60000000000002</v>
      </c>
      <c r="Z47" s="526">
        <f>IF('CEM Price Data'!AA46="","",'CEM Price Data'!AA46)</f>
        <v>77.36</v>
      </c>
      <c r="AA47" s="526">
        <f>IF('CEM Price Data'!AB46="","",'CEM Price Data'!AB46)</f>
        <v>129.69999999999999</v>
      </c>
      <c r="AB47" s="526">
        <f>IF('CEM Price Data'!AC46="","",'CEM Price Data'!AC46)</f>
        <v>90.7</v>
      </c>
      <c r="AC47" s="526">
        <f>IF('CEM Price Data'!AD46="","",'CEM Price Data'!AD46)</f>
        <v>128.88999999999999</v>
      </c>
      <c r="AD47" s="526">
        <f>IF('CEM Price Data'!AE46="","",'CEM Price Data'!AE46)</f>
        <v>41.87</v>
      </c>
      <c r="AE47" s="526">
        <f>IF('CEM Price Data'!AF46="","",'CEM Price Data'!AF46)</f>
        <v>226.23</v>
      </c>
      <c r="AF47" s="526">
        <f>IF('CEM Price Data'!AG46="","",'CEM Price Data'!AG46)</f>
        <v>97.06</v>
      </c>
      <c r="AG47" s="526">
        <f>IF('CEM Price Data'!AH46="","",'CEM Price Data'!AH46)</f>
        <v>6.17</v>
      </c>
      <c r="AH47" s="526">
        <f>IF('CEM Price Data'!AI46="","",'CEM Price Data'!AI46)</f>
        <v>70.77</v>
      </c>
      <c r="AI47" s="526">
        <f>IF('CEM Price Data'!AJ46="","",'CEM Price Data'!AJ46)</f>
        <v>503.84</v>
      </c>
      <c r="AJ47" s="526">
        <f>IF('CEM Price Data'!AK46="","",'CEM Price Data'!AK46)</f>
        <v>161.36000000000001</v>
      </c>
      <c r="AK47" s="526">
        <f>IF('CEM Price Data'!AL46="","",'CEM Price Data'!AL46)</f>
        <v>203.37</v>
      </c>
      <c r="AL47" s="526">
        <f>IF('CEM Price Data'!AM46="","",'CEM Price Data'!AM46)</f>
        <v>302.68</v>
      </c>
      <c r="AM47" s="526">
        <f>IF('CEM Price Data'!AN46="","",'CEM Price Data'!AN46)</f>
        <v>271.62</v>
      </c>
      <c r="AN47" s="526">
        <f>IF('CEM Price Data'!AO46="","",'CEM Price Data'!AO46)</f>
        <v>13.91</v>
      </c>
    </row>
    <row r="48" spans="1:40">
      <c r="A48" s="525">
        <f>IF('CEM Price Data'!B47="","",'CEM Price Data'!B47)</f>
        <v>44861</v>
      </c>
      <c r="B48" s="526">
        <f>IF('CEM Price Data'!C47="","",'CEM Price Data'!C47)</f>
        <v>136.49</v>
      </c>
      <c r="C48" s="526">
        <f>IF('CEM Price Data'!D47="","",'CEM Price Data'!D47)</f>
        <v>96.93</v>
      </c>
      <c r="D48" s="526">
        <f>IF('CEM Price Data'!E47="","",'CEM Price Data'!E47)</f>
        <v>140.68</v>
      </c>
      <c r="E48" s="526">
        <f>IF('CEM Price Data'!F47="","",'CEM Price Data'!F47)</f>
        <v>132.19</v>
      </c>
      <c r="F48" s="526">
        <f>IF('CEM Price Data'!G47="","",'CEM Price Data'!G47)</f>
        <v>51.9</v>
      </c>
      <c r="G48" s="526">
        <f>IF('CEM Price Data'!H47="","",'CEM Price Data'!H47)</f>
        <v>249.06</v>
      </c>
      <c r="H48" s="526">
        <f>IF('CEM Price Data'!I47="","",'CEM Price Data'!I47)</f>
        <v>66.59</v>
      </c>
      <c r="I48" s="526">
        <f>IF('CEM Price Data'!J47="","",'CEM Price Data'!J47)</f>
        <v>74.599999999999994</v>
      </c>
      <c r="J48" s="526">
        <f>IF('CEM Price Data'!K47="","",'CEM Price Data'!K47)</f>
        <v>145</v>
      </c>
      <c r="K48" s="526">
        <f>IF('CEM Price Data'!L47="","",'CEM Price Data'!L47)</f>
        <v>294.89999999999998</v>
      </c>
      <c r="L48" s="526">
        <f>IF('CEM Price Data'!M47="","",'CEM Price Data'!M47)</f>
        <v>460.51</v>
      </c>
      <c r="M48" s="526">
        <f>IF('CEM Price Data'!N47="","",'CEM Price Data'!N47)</f>
        <v>127.58</v>
      </c>
      <c r="N48" s="526">
        <f>IF('CEM Price Data'!O47="","",'CEM Price Data'!O47)</f>
        <v>142.65</v>
      </c>
      <c r="O48" s="526">
        <f>IF('CEM Price Data'!P47="","",'CEM Price Data'!P47)</f>
        <v>90.8</v>
      </c>
      <c r="P48" s="526">
        <f>IF('CEM Price Data'!Q47="","",'CEM Price Data'!Q47)</f>
        <v>87.44</v>
      </c>
      <c r="Q48" s="526">
        <f>IF('CEM Price Data'!R47="","",'CEM Price Data'!R47)</f>
        <v>145.66</v>
      </c>
      <c r="R48" s="526">
        <f>IF('CEM Price Data'!S47="","",'CEM Price Data'!S47)</f>
        <v>196.34</v>
      </c>
      <c r="S48" s="526">
        <f>IF('CEM Price Data'!T47="","",'CEM Price Data'!T47)</f>
        <v>77.62</v>
      </c>
      <c r="T48" s="526">
        <f>IF('CEM Price Data'!U47="","",'CEM Price Data'!U47)</f>
        <v>99.74</v>
      </c>
      <c r="U48" s="526">
        <f>IF('CEM Price Data'!V47="","",'CEM Price Data'!V47)</f>
        <v>455.22</v>
      </c>
      <c r="V48" s="526">
        <f>IF('CEM Price Data'!W47="","",'CEM Price Data'!W47)</f>
        <v>242.18</v>
      </c>
      <c r="W48" s="526">
        <f>IF('CEM Price Data'!X47="","",'CEM Price Data'!X47)</f>
        <v>296.44</v>
      </c>
      <c r="X48" s="526">
        <f>IF('CEM Price Data'!Y47="","",'CEM Price Data'!Y47)</f>
        <v>535.51</v>
      </c>
      <c r="Y48" s="526">
        <f>IF('CEM Price Data'!Z47="","",'CEM Price Data'!Z47)</f>
        <v>264.41000000000003</v>
      </c>
      <c r="Z48" s="526">
        <f>IF('CEM Price Data'!AA47="","",'CEM Price Data'!AA47)</f>
        <v>75.150000000000006</v>
      </c>
      <c r="AA48" s="526">
        <f>IF('CEM Price Data'!AB47="","",'CEM Price Data'!AB47)</f>
        <v>124.38</v>
      </c>
      <c r="AB48" s="526">
        <f>IF('CEM Price Data'!AC47="","",'CEM Price Data'!AC47)</f>
        <v>89.48</v>
      </c>
      <c r="AC48" s="526">
        <f>IF('CEM Price Data'!AD47="","",'CEM Price Data'!AD47)</f>
        <v>126.36</v>
      </c>
      <c r="AD48" s="526">
        <f>IF('CEM Price Data'!AE47="","",'CEM Price Data'!AE47)</f>
        <v>41.02</v>
      </c>
      <c r="AE48" s="526">
        <f>IF('CEM Price Data'!AF47="","",'CEM Price Data'!AF47)</f>
        <v>221.85</v>
      </c>
      <c r="AF48" s="526">
        <f>IF('CEM Price Data'!AG47="","",'CEM Price Data'!AG47)</f>
        <v>94.5</v>
      </c>
      <c r="AG48" s="526">
        <f>IF('CEM Price Data'!AH47="","",'CEM Price Data'!AH47)</f>
        <v>6.11</v>
      </c>
      <c r="AH48" s="526">
        <f>IF('CEM Price Data'!AI47="","",'CEM Price Data'!AI47)</f>
        <v>69.31</v>
      </c>
      <c r="AI48" s="526">
        <f>IF('CEM Price Data'!AJ47="","",'CEM Price Data'!AJ47)</f>
        <v>498.32</v>
      </c>
      <c r="AJ48" s="526">
        <f>IF('CEM Price Data'!AK47="","",'CEM Price Data'!AK47)</f>
        <v>156.76</v>
      </c>
      <c r="AK48" s="526">
        <f>IF('CEM Price Data'!AL47="","",'CEM Price Data'!AL47)</f>
        <v>185.79</v>
      </c>
      <c r="AL48" s="526">
        <f>IF('CEM Price Data'!AM47="","",'CEM Price Data'!AM47)</f>
        <v>300.95999999999998</v>
      </c>
      <c r="AM48" s="526">
        <f>IF('CEM Price Data'!AN47="","",'CEM Price Data'!AN47)</f>
        <v>262.67</v>
      </c>
      <c r="AN48" s="526">
        <f>IF('CEM Price Data'!AO47="","",'CEM Price Data'!AO47)</f>
        <v>13.86</v>
      </c>
    </row>
    <row r="49" spans="1:40">
      <c r="A49" s="525">
        <f>IF('CEM Price Data'!B48="","",'CEM Price Data'!B48)</f>
        <v>44860</v>
      </c>
      <c r="B49" s="526">
        <f>IF('CEM Price Data'!C48="","",'CEM Price Data'!C48)</f>
        <v>137.69</v>
      </c>
      <c r="C49" s="526">
        <f>IF('CEM Price Data'!D48="","",'CEM Price Data'!D48)</f>
        <v>98.42</v>
      </c>
      <c r="D49" s="526">
        <f>IF('CEM Price Data'!E48="","",'CEM Price Data'!E48)</f>
        <v>141.38</v>
      </c>
      <c r="E49" s="526">
        <f>IF('CEM Price Data'!F48="","",'CEM Price Data'!F48)</f>
        <v>136.75</v>
      </c>
      <c r="F49" s="526">
        <f>IF('CEM Price Data'!G48="","",'CEM Price Data'!G48)</f>
        <v>51.95</v>
      </c>
      <c r="G49" s="526">
        <f>IF('CEM Price Data'!H48="","",'CEM Price Data'!H48)</f>
        <v>252.02</v>
      </c>
      <c r="H49" s="526">
        <f>IF('CEM Price Data'!I48="","",'CEM Price Data'!I48)</f>
        <v>66.63</v>
      </c>
      <c r="I49" s="526">
        <f>IF('CEM Price Data'!J48="","",'CEM Price Data'!J48)</f>
        <v>74.45</v>
      </c>
      <c r="J49" s="526">
        <f>IF('CEM Price Data'!K48="","",'CEM Price Data'!K48)</f>
        <v>144.33000000000001</v>
      </c>
      <c r="K49" s="526">
        <f>IF('CEM Price Data'!L48="","",'CEM Price Data'!L48)</f>
        <v>279.62</v>
      </c>
      <c r="L49" s="526">
        <f>IF('CEM Price Data'!M48="","",'CEM Price Data'!M48)</f>
        <v>467.96</v>
      </c>
      <c r="M49" s="526">
        <f>IF('CEM Price Data'!N48="","",'CEM Price Data'!N48)</f>
        <v>125.62</v>
      </c>
      <c r="N49" s="526">
        <f>IF('CEM Price Data'!O48="","",'CEM Price Data'!O48)</f>
        <v>143.51</v>
      </c>
      <c r="O49" s="526">
        <f>IF('CEM Price Data'!P48="","",'CEM Price Data'!P48)</f>
        <v>90.8</v>
      </c>
      <c r="P49" s="526">
        <f>IF('CEM Price Data'!Q48="","",'CEM Price Data'!Q48)</f>
        <v>86.28</v>
      </c>
      <c r="Q49" s="526">
        <f>IF('CEM Price Data'!R48="","",'CEM Price Data'!R48)</f>
        <v>143.63999999999999</v>
      </c>
      <c r="R49" s="526">
        <f>IF('CEM Price Data'!S48="","",'CEM Price Data'!S48)</f>
        <v>193.25</v>
      </c>
      <c r="S49" s="526">
        <f>IF('CEM Price Data'!T48="","",'CEM Price Data'!T48)</f>
        <v>76.400000000000006</v>
      </c>
      <c r="T49" s="526">
        <f>IF('CEM Price Data'!U48="","",'CEM Price Data'!U48)</f>
        <v>98.41</v>
      </c>
      <c r="U49" s="526">
        <f>IF('CEM Price Data'!V48="","",'CEM Price Data'!V48)</f>
        <v>451.6</v>
      </c>
      <c r="V49" s="526">
        <f>IF('CEM Price Data'!W48="","",'CEM Price Data'!W48)</f>
        <v>240.3</v>
      </c>
      <c r="W49" s="526">
        <f>IF('CEM Price Data'!X48="","",'CEM Price Data'!X48)</f>
        <v>295.10000000000002</v>
      </c>
      <c r="X49" s="526">
        <f>IF('CEM Price Data'!Y48="","",'CEM Price Data'!Y48)</f>
        <v>530.99</v>
      </c>
      <c r="Y49" s="526">
        <f>IF('CEM Price Data'!Z48="","",'CEM Price Data'!Z48)</f>
        <v>274.5</v>
      </c>
      <c r="Z49" s="526">
        <f>IF('CEM Price Data'!AA48="","",'CEM Price Data'!AA48)</f>
        <v>74.819999999999993</v>
      </c>
      <c r="AA49" s="526">
        <f>IF('CEM Price Data'!AB48="","",'CEM Price Data'!AB48)</f>
        <v>122.93</v>
      </c>
      <c r="AB49" s="526">
        <f>IF('CEM Price Data'!AC48="","",'CEM Price Data'!AC48)</f>
        <v>88.16</v>
      </c>
      <c r="AC49" s="526">
        <f>IF('CEM Price Data'!AD48="","",'CEM Price Data'!AD48)</f>
        <v>123.84</v>
      </c>
      <c r="AD49" s="526">
        <f>IF('CEM Price Data'!AE48="","",'CEM Price Data'!AE48)</f>
        <v>39.549999999999997</v>
      </c>
      <c r="AE49" s="526">
        <f>IF('CEM Price Data'!AF48="","",'CEM Price Data'!AF48)</f>
        <v>220.88</v>
      </c>
      <c r="AF49" s="526">
        <f>IF('CEM Price Data'!AG48="","",'CEM Price Data'!AG48)</f>
        <v>93.26</v>
      </c>
      <c r="AG49" s="526">
        <f>IF('CEM Price Data'!AH48="","",'CEM Price Data'!AH48)</f>
        <v>6.23</v>
      </c>
      <c r="AH49" s="526">
        <f>IF('CEM Price Data'!AI48="","",'CEM Price Data'!AI48)</f>
        <v>68.58</v>
      </c>
      <c r="AI49" s="526">
        <f>IF('CEM Price Data'!AJ48="","",'CEM Price Data'!AJ48)</f>
        <v>503</v>
      </c>
      <c r="AJ49" s="526">
        <f>IF('CEM Price Data'!AK48="","",'CEM Price Data'!AK48)</f>
        <v>157.87</v>
      </c>
      <c r="AK49" s="526">
        <f>IF('CEM Price Data'!AL48="","",'CEM Price Data'!AL48)</f>
        <v>184.99</v>
      </c>
      <c r="AL49" s="526">
        <f>IF('CEM Price Data'!AM48="","",'CEM Price Data'!AM48)</f>
        <v>301.73</v>
      </c>
      <c r="AM49" s="526">
        <f>IF('CEM Price Data'!AN48="","",'CEM Price Data'!AN48)</f>
        <v>261.06</v>
      </c>
      <c r="AN49" s="526">
        <f>IF('CEM Price Data'!AO48="","",'CEM Price Data'!AO48)</f>
        <v>13.96</v>
      </c>
    </row>
    <row r="50" spans="1:40">
      <c r="A50" s="525">
        <f>IF('CEM Price Data'!B49="","",'CEM Price Data'!B49)</f>
        <v>44859</v>
      </c>
      <c r="B50" s="526">
        <f>IF('CEM Price Data'!C49="","",'CEM Price Data'!C49)</f>
        <v>134.5</v>
      </c>
      <c r="C50" s="526">
        <f>IF('CEM Price Data'!D49="","",'CEM Price Data'!D49)</f>
        <v>97.95</v>
      </c>
      <c r="D50" s="526">
        <f>IF('CEM Price Data'!E49="","",'CEM Price Data'!E49)</f>
        <v>146.37</v>
      </c>
      <c r="E50" s="526">
        <f>IF('CEM Price Data'!F49="","",'CEM Price Data'!F49)</f>
        <v>152.74</v>
      </c>
      <c r="F50" s="526">
        <f>IF('CEM Price Data'!G49="","",'CEM Price Data'!G49)</f>
        <v>52.1</v>
      </c>
      <c r="G50" s="526">
        <f>IF('CEM Price Data'!H49="","",'CEM Price Data'!H49)</f>
        <v>251.56</v>
      </c>
      <c r="H50" s="526">
        <f>IF('CEM Price Data'!I49="","",'CEM Price Data'!I49)</f>
        <v>66.819999999999993</v>
      </c>
      <c r="I50" s="526">
        <f>IF('CEM Price Data'!J49="","",'CEM Price Data'!J49)</f>
        <v>72.77</v>
      </c>
      <c r="J50" s="526">
        <f>IF('CEM Price Data'!K49="","",'CEM Price Data'!K49)</f>
        <v>144.38999999999999</v>
      </c>
      <c r="K50" s="526">
        <f>IF('CEM Price Data'!L49="","",'CEM Price Data'!L49)</f>
        <v>278.37</v>
      </c>
      <c r="L50" s="526">
        <f>IF('CEM Price Data'!M49="","",'CEM Price Data'!M49)</f>
        <v>457.9</v>
      </c>
      <c r="M50" s="526">
        <f>IF('CEM Price Data'!N49="","",'CEM Price Data'!N49)</f>
        <v>124.82</v>
      </c>
      <c r="N50" s="526">
        <f>IF('CEM Price Data'!O49="","",'CEM Price Data'!O49)</f>
        <v>144.05000000000001</v>
      </c>
      <c r="O50" s="526">
        <f>IF('CEM Price Data'!P49="","",'CEM Price Data'!P49)</f>
        <v>91.74</v>
      </c>
      <c r="P50" s="526">
        <f>IF('CEM Price Data'!Q49="","",'CEM Price Data'!Q49)</f>
        <v>85.89</v>
      </c>
      <c r="Q50" s="526">
        <f>IF('CEM Price Data'!R49="","",'CEM Price Data'!R49)</f>
        <v>142.21</v>
      </c>
      <c r="R50" s="526">
        <f>IF('CEM Price Data'!S49="","",'CEM Price Data'!S49)</f>
        <v>192.67</v>
      </c>
      <c r="S50" s="526">
        <f>IF('CEM Price Data'!T49="","",'CEM Price Data'!T49)</f>
        <v>76.13</v>
      </c>
      <c r="T50" s="526">
        <f>IF('CEM Price Data'!U49="","",'CEM Price Data'!U49)</f>
        <v>97.71</v>
      </c>
      <c r="U50" s="526">
        <f>IF('CEM Price Data'!V49="","",'CEM Price Data'!V49)</f>
        <v>448.42</v>
      </c>
      <c r="V50" s="526">
        <f>IF('CEM Price Data'!W49="","",'CEM Price Data'!W49)</f>
        <v>239.68</v>
      </c>
      <c r="W50" s="526">
        <f>IF('CEM Price Data'!X49="","",'CEM Price Data'!X49)</f>
        <v>294.97000000000003</v>
      </c>
      <c r="X50" s="526">
        <f>IF('CEM Price Data'!Y49="","",'CEM Price Data'!Y49)</f>
        <v>526.75</v>
      </c>
      <c r="Y50" s="526">
        <f>IF('CEM Price Data'!Z49="","",'CEM Price Data'!Z49)</f>
        <v>274.02999999999997</v>
      </c>
      <c r="Z50" s="526">
        <f>IF('CEM Price Data'!AA49="","",'CEM Price Data'!AA49)</f>
        <v>73.14</v>
      </c>
      <c r="AA50" s="526">
        <f>IF('CEM Price Data'!AB49="","",'CEM Price Data'!AB49)</f>
        <v>122.11</v>
      </c>
      <c r="AB50" s="526">
        <f>IF('CEM Price Data'!AC49="","",'CEM Price Data'!AC49)</f>
        <v>88.56</v>
      </c>
      <c r="AC50" s="526">
        <f>IF('CEM Price Data'!AD49="","",'CEM Price Data'!AD49)</f>
        <v>123.05</v>
      </c>
      <c r="AD50" s="526">
        <f>IF('CEM Price Data'!AE49="","",'CEM Price Data'!AE49)</f>
        <v>35.94</v>
      </c>
      <c r="AE50" s="526">
        <f>IF('CEM Price Data'!AF49="","",'CEM Price Data'!AF49)</f>
        <v>220.2</v>
      </c>
      <c r="AF50" s="526">
        <f>IF('CEM Price Data'!AG49="","",'CEM Price Data'!AG49)</f>
        <v>93.13</v>
      </c>
      <c r="AG50" s="526">
        <f>IF('CEM Price Data'!AH49="","",'CEM Price Data'!AH49)</f>
        <v>6.28</v>
      </c>
      <c r="AH50" s="526">
        <f>IF('CEM Price Data'!AI49="","",'CEM Price Data'!AI49)</f>
        <v>68.06</v>
      </c>
      <c r="AI50" s="526">
        <f>IF('CEM Price Data'!AJ49="","",'CEM Price Data'!AJ49)</f>
        <v>514.62</v>
      </c>
      <c r="AJ50" s="526">
        <f>IF('CEM Price Data'!AK49="","",'CEM Price Data'!AK49)</f>
        <v>162.16</v>
      </c>
      <c r="AK50" s="526">
        <f>IF('CEM Price Data'!AL49="","",'CEM Price Data'!AL49)</f>
        <v>187.82</v>
      </c>
      <c r="AL50" s="526">
        <f>IF('CEM Price Data'!AM49="","",'CEM Price Data'!AM49)</f>
        <v>296.81</v>
      </c>
      <c r="AM50" s="526">
        <f>IF('CEM Price Data'!AN49="","",'CEM Price Data'!AN49)</f>
        <v>260.19</v>
      </c>
      <c r="AN50" s="526">
        <f>IF('CEM Price Data'!AO49="","",'CEM Price Data'!AO49)</f>
        <v>13.92</v>
      </c>
    </row>
    <row r="51" spans="1:40">
      <c r="A51" s="525">
        <f>IF('CEM Price Data'!B50="","",'CEM Price Data'!B50)</f>
        <v>44858</v>
      </c>
      <c r="B51" s="526">
        <f>IF('CEM Price Data'!C50="","",'CEM Price Data'!C50)</f>
        <v>132.30000000000001</v>
      </c>
      <c r="C51" s="526">
        <f>IF('CEM Price Data'!D50="","",'CEM Price Data'!D50)</f>
        <v>98.29</v>
      </c>
      <c r="D51" s="526">
        <f>IF('CEM Price Data'!E50="","",'CEM Price Data'!E50)</f>
        <v>144.53</v>
      </c>
      <c r="E51" s="526">
        <f>IF('CEM Price Data'!F50="","",'CEM Price Data'!F50)</f>
        <v>150.61000000000001</v>
      </c>
      <c r="F51" s="526">
        <f>IF('CEM Price Data'!G50="","",'CEM Price Data'!G50)</f>
        <v>50.8</v>
      </c>
      <c r="G51" s="526">
        <f>IF('CEM Price Data'!H50="","",'CEM Price Data'!H50)</f>
        <v>243.92</v>
      </c>
      <c r="H51" s="526">
        <f>IF('CEM Price Data'!I50="","",'CEM Price Data'!I50)</f>
        <v>64.47</v>
      </c>
      <c r="I51" s="526">
        <f>IF('CEM Price Data'!J50="","",'CEM Price Data'!J50)</f>
        <v>72.989999999999995</v>
      </c>
      <c r="J51" s="526">
        <f>IF('CEM Price Data'!K50="","",'CEM Price Data'!K50)</f>
        <v>142.4</v>
      </c>
      <c r="K51" s="526">
        <f>IF('CEM Price Data'!L50="","",'CEM Price Data'!L50)</f>
        <v>271.18</v>
      </c>
      <c r="L51" s="526">
        <f>IF('CEM Price Data'!M50="","",'CEM Price Data'!M50)</f>
        <v>450.71</v>
      </c>
      <c r="M51" s="526">
        <f>IF('CEM Price Data'!N50="","",'CEM Price Data'!N50)</f>
        <v>120.57</v>
      </c>
      <c r="N51" s="526">
        <f>IF('CEM Price Data'!O50="","",'CEM Price Data'!O50)</f>
        <v>138.96</v>
      </c>
      <c r="O51" s="526">
        <f>IF('CEM Price Data'!P50="","",'CEM Price Data'!P50)</f>
        <v>90.67</v>
      </c>
      <c r="P51" s="526">
        <f>IF('CEM Price Data'!Q50="","",'CEM Price Data'!Q50)</f>
        <v>84.25</v>
      </c>
      <c r="Q51" s="526">
        <f>IF('CEM Price Data'!R50="","",'CEM Price Data'!R50)</f>
        <v>142.69</v>
      </c>
      <c r="R51" s="526">
        <f>IF('CEM Price Data'!S50="","",'CEM Price Data'!S50)</f>
        <v>189.14</v>
      </c>
      <c r="S51" s="526">
        <f>IF('CEM Price Data'!T50="","",'CEM Price Data'!T50)</f>
        <v>74.5</v>
      </c>
      <c r="T51" s="526">
        <f>IF('CEM Price Data'!U50="","",'CEM Price Data'!U50)</f>
        <v>97.37</v>
      </c>
      <c r="U51" s="526">
        <f>IF('CEM Price Data'!V50="","",'CEM Price Data'!V50)</f>
        <v>412.15</v>
      </c>
      <c r="V51" s="526">
        <f>IF('CEM Price Data'!W50="","",'CEM Price Data'!W50)</f>
        <v>235.05</v>
      </c>
      <c r="W51" s="526">
        <f>IF('CEM Price Data'!X50="","",'CEM Price Data'!X50)</f>
        <v>311.22000000000003</v>
      </c>
      <c r="X51" s="526">
        <f>IF('CEM Price Data'!Y50="","",'CEM Price Data'!Y50)</f>
        <v>525.96</v>
      </c>
      <c r="Y51" s="526">
        <f>IF('CEM Price Data'!Z50="","",'CEM Price Data'!Z50)</f>
        <v>269.22000000000003</v>
      </c>
      <c r="Z51" s="526">
        <f>IF('CEM Price Data'!AA50="","",'CEM Price Data'!AA50)</f>
        <v>72.92</v>
      </c>
      <c r="AA51" s="526">
        <f>IF('CEM Price Data'!AB50="","",'CEM Price Data'!AB50)</f>
        <v>123.26</v>
      </c>
      <c r="AB51" s="526">
        <f>IF('CEM Price Data'!AC50="","",'CEM Price Data'!AC50)</f>
        <v>87.02</v>
      </c>
      <c r="AC51" s="526">
        <f>IF('CEM Price Data'!AD50="","",'CEM Price Data'!AD50)</f>
        <v>121.92</v>
      </c>
      <c r="AD51" s="526">
        <f>IF('CEM Price Data'!AE50="","",'CEM Price Data'!AE50)</f>
        <v>36.28</v>
      </c>
      <c r="AE51" s="526">
        <f>IF('CEM Price Data'!AF50="","",'CEM Price Data'!AF50)</f>
        <v>212.53</v>
      </c>
      <c r="AF51" s="526">
        <f>IF('CEM Price Data'!AG50="","",'CEM Price Data'!AG50)</f>
        <v>93.45</v>
      </c>
      <c r="AG51" s="526">
        <f>IF('CEM Price Data'!AH50="","",'CEM Price Data'!AH50)</f>
        <v>6.23</v>
      </c>
      <c r="AH51" s="526">
        <f>IF('CEM Price Data'!AI50="","",'CEM Price Data'!AI50)</f>
        <v>65.19</v>
      </c>
      <c r="AI51" s="526">
        <f>IF('CEM Price Data'!AJ50="","",'CEM Price Data'!AJ50)</f>
        <v>505.01</v>
      </c>
      <c r="AJ51" s="526">
        <f>IF('CEM Price Data'!AK50="","",'CEM Price Data'!AK50)</f>
        <v>161.65</v>
      </c>
      <c r="AK51" s="526">
        <f>IF('CEM Price Data'!AL50="","",'CEM Price Data'!AL50)</f>
        <v>182.2</v>
      </c>
      <c r="AL51" s="526">
        <f>IF('CEM Price Data'!AM50="","",'CEM Price Data'!AM50)</f>
        <v>287.41000000000003</v>
      </c>
      <c r="AM51" s="526">
        <f>IF('CEM Price Data'!AN50="","",'CEM Price Data'!AN50)</f>
        <v>252.38</v>
      </c>
      <c r="AN51" s="526">
        <f>IF('CEM Price Data'!AO50="","",'CEM Price Data'!AO50)</f>
        <v>13.91</v>
      </c>
    </row>
    <row r="52" spans="1:40">
      <c r="A52" s="525">
        <f>IF('CEM Price Data'!B51="","",'CEM Price Data'!B51)</f>
        <v>44855</v>
      </c>
      <c r="B52" s="526">
        <f>IF('CEM Price Data'!C51="","",'CEM Price Data'!C51)</f>
        <v>129.88</v>
      </c>
      <c r="C52" s="526">
        <f>IF('CEM Price Data'!D51="","",'CEM Price Data'!D51)</f>
        <v>95.06</v>
      </c>
      <c r="D52" s="526">
        <f>IF('CEM Price Data'!E51="","",'CEM Price Data'!E51)</f>
        <v>146.59</v>
      </c>
      <c r="E52" s="526">
        <f>IF('CEM Price Data'!F51="","",'CEM Price Data'!F51)</f>
        <v>146.91</v>
      </c>
      <c r="F52" s="526">
        <f>IF('CEM Price Data'!G51="","",'CEM Price Data'!G51)</f>
        <v>50.13</v>
      </c>
      <c r="G52" s="526">
        <f>IF('CEM Price Data'!H51="","",'CEM Price Data'!H51)</f>
        <v>241.29</v>
      </c>
      <c r="H52" s="526">
        <f>IF('CEM Price Data'!I51="","",'CEM Price Data'!I51)</f>
        <v>63.9</v>
      </c>
      <c r="I52" s="526">
        <f>IF('CEM Price Data'!J51="","",'CEM Price Data'!J51)</f>
        <v>72.209999999999994</v>
      </c>
      <c r="J52" s="526">
        <f>IF('CEM Price Data'!K51="","",'CEM Price Data'!K51)</f>
        <v>140.99</v>
      </c>
      <c r="K52" s="526">
        <f>IF('CEM Price Data'!L51="","",'CEM Price Data'!L51)</f>
        <v>273.08999999999997</v>
      </c>
      <c r="L52" s="526">
        <f>IF('CEM Price Data'!M51="","",'CEM Price Data'!M51)</f>
        <v>442.91</v>
      </c>
      <c r="M52" s="526">
        <f>IF('CEM Price Data'!N51="","",'CEM Price Data'!N51)</f>
        <v>118.46</v>
      </c>
      <c r="N52" s="526">
        <f>IF('CEM Price Data'!O51="","",'CEM Price Data'!O51)</f>
        <v>136.75</v>
      </c>
      <c r="O52" s="526">
        <f>IF('CEM Price Data'!P51="","",'CEM Price Data'!P51)</f>
        <v>89.93</v>
      </c>
      <c r="P52" s="526">
        <f>IF('CEM Price Data'!Q51="","",'CEM Price Data'!Q51)</f>
        <v>83.96</v>
      </c>
      <c r="Q52" s="526">
        <f>IF('CEM Price Data'!R51="","",'CEM Price Data'!R51)</f>
        <v>138.61000000000001</v>
      </c>
      <c r="R52" s="526">
        <f>IF('CEM Price Data'!S51="","",'CEM Price Data'!S51)</f>
        <v>187.32</v>
      </c>
      <c r="S52" s="526">
        <f>IF('CEM Price Data'!T51="","",'CEM Price Data'!T51)</f>
        <v>73.84</v>
      </c>
      <c r="T52" s="526">
        <f>IF('CEM Price Data'!U51="","",'CEM Price Data'!U51)</f>
        <v>95.67</v>
      </c>
      <c r="U52" s="526">
        <f>IF('CEM Price Data'!V51="","",'CEM Price Data'!V51)</f>
        <v>401.48</v>
      </c>
      <c r="V52" s="526">
        <f>IF('CEM Price Data'!W51="","",'CEM Price Data'!W51)</f>
        <v>226.38</v>
      </c>
      <c r="W52" s="526">
        <f>IF('CEM Price Data'!X51="","",'CEM Price Data'!X51)</f>
        <v>309.68</v>
      </c>
      <c r="X52" s="526">
        <f>IF('CEM Price Data'!Y51="","",'CEM Price Data'!Y51)</f>
        <v>522.66</v>
      </c>
      <c r="Y52" s="526">
        <f>IF('CEM Price Data'!Z51="","",'CEM Price Data'!Z51)</f>
        <v>260.43</v>
      </c>
      <c r="Z52" s="526">
        <f>IF('CEM Price Data'!AA51="","",'CEM Price Data'!AA51)</f>
        <v>72.7</v>
      </c>
      <c r="AA52" s="526">
        <f>IF('CEM Price Data'!AB51="","",'CEM Price Data'!AB51)</f>
        <v>122.45</v>
      </c>
      <c r="AB52" s="526">
        <f>IF('CEM Price Data'!AC51="","",'CEM Price Data'!AC51)</f>
        <v>85.19</v>
      </c>
      <c r="AC52" s="526">
        <f>IF('CEM Price Data'!AD51="","",'CEM Price Data'!AD51)</f>
        <v>121.26</v>
      </c>
      <c r="AD52" s="526">
        <f>IF('CEM Price Data'!AE51="","",'CEM Price Data'!AE51)</f>
        <v>36.43</v>
      </c>
      <c r="AE52" s="526">
        <f>IF('CEM Price Data'!AF51="","",'CEM Price Data'!AF51)</f>
        <v>207.82</v>
      </c>
      <c r="AF52" s="526">
        <f>IF('CEM Price Data'!AG51="","",'CEM Price Data'!AG51)</f>
        <v>92</v>
      </c>
      <c r="AG52" s="526">
        <f>IF('CEM Price Data'!AH51="","",'CEM Price Data'!AH51)</f>
        <v>6.19</v>
      </c>
      <c r="AH52" s="526">
        <f>IF('CEM Price Data'!AI51="","",'CEM Price Data'!AI51)</f>
        <v>68.94</v>
      </c>
      <c r="AI52" s="526">
        <f>IF('CEM Price Data'!AJ51="","",'CEM Price Data'!AJ51)</f>
        <v>496.74</v>
      </c>
      <c r="AJ52" s="526">
        <f>IF('CEM Price Data'!AK51="","",'CEM Price Data'!AK51)</f>
        <v>159.72</v>
      </c>
      <c r="AK52" s="526">
        <f>IF('CEM Price Data'!AL51="","",'CEM Price Data'!AL51)</f>
        <v>179.15</v>
      </c>
      <c r="AL52" s="526">
        <f>IF('CEM Price Data'!AM51="","",'CEM Price Data'!AM51)</f>
        <v>282.12</v>
      </c>
      <c r="AM52" s="526">
        <f>IF('CEM Price Data'!AN51="","",'CEM Price Data'!AN51)</f>
        <v>248.33</v>
      </c>
      <c r="AN52" s="526">
        <f>IF('CEM Price Data'!AO51="","",'CEM Price Data'!AO51)</f>
        <v>13.63</v>
      </c>
    </row>
    <row r="53" spans="1:40">
      <c r="A53" s="525">
        <f>IF('CEM Price Data'!B52="","",'CEM Price Data'!B52)</f>
        <v>44854</v>
      </c>
      <c r="B53" s="526">
        <f>IF('CEM Price Data'!C52="","",'CEM Price Data'!C52)</f>
        <v>125.94</v>
      </c>
      <c r="C53" s="526">
        <f>IF('CEM Price Data'!D52="","",'CEM Price Data'!D52)</f>
        <v>95.21</v>
      </c>
      <c r="D53" s="526">
        <f>IF('CEM Price Data'!E52="","",'CEM Price Data'!E52)</f>
        <v>142.08000000000001</v>
      </c>
      <c r="E53" s="526">
        <f>IF('CEM Price Data'!F52="","",'CEM Price Data'!F52)</f>
        <v>145.30000000000001</v>
      </c>
      <c r="F53" s="526">
        <f>IF('CEM Price Data'!G52="","",'CEM Price Data'!G52)</f>
        <v>48.76</v>
      </c>
      <c r="G53" s="526">
        <f>IF('CEM Price Data'!H52="","",'CEM Price Data'!H52)</f>
        <v>238.32</v>
      </c>
      <c r="H53" s="526">
        <f>IF('CEM Price Data'!I52="","",'CEM Price Data'!I52)</f>
        <v>63.37</v>
      </c>
      <c r="I53" s="526">
        <f>IF('CEM Price Data'!J52="","",'CEM Price Data'!J52)</f>
        <v>70.349999999999994</v>
      </c>
      <c r="J53" s="526">
        <f>IF('CEM Price Data'!K52="","",'CEM Price Data'!K52)</f>
        <v>140.4</v>
      </c>
      <c r="K53" s="526">
        <f>IF('CEM Price Data'!L52="","",'CEM Price Data'!L52)</f>
        <v>264.76</v>
      </c>
      <c r="L53" s="526">
        <f>IF('CEM Price Data'!M52="","",'CEM Price Data'!M52)</f>
        <v>450.4</v>
      </c>
      <c r="M53" s="526">
        <f>IF('CEM Price Data'!N52="","",'CEM Price Data'!N52)</f>
        <v>115.13</v>
      </c>
      <c r="N53" s="526">
        <f>IF('CEM Price Data'!O52="","",'CEM Price Data'!O52)</f>
        <v>134.66</v>
      </c>
      <c r="O53" s="526">
        <f>IF('CEM Price Data'!P52="","",'CEM Price Data'!P52)</f>
        <v>88.08</v>
      </c>
      <c r="P53" s="526">
        <f>IF('CEM Price Data'!Q52="","",'CEM Price Data'!Q52)</f>
        <v>82.51</v>
      </c>
      <c r="Q53" s="526">
        <f>IF('CEM Price Data'!R52="","",'CEM Price Data'!R52)</f>
        <v>135.97999999999999</v>
      </c>
      <c r="R53" s="526">
        <f>IF('CEM Price Data'!S52="","",'CEM Price Data'!S52)</f>
        <v>185.46</v>
      </c>
      <c r="S53" s="526">
        <f>IF('CEM Price Data'!T52="","",'CEM Price Data'!T52)</f>
        <v>72.790000000000006</v>
      </c>
      <c r="T53" s="526">
        <f>IF('CEM Price Data'!U52="","",'CEM Price Data'!U52)</f>
        <v>92.94</v>
      </c>
      <c r="U53" s="526">
        <f>IF('CEM Price Data'!V52="","",'CEM Price Data'!V52)</f>
        <v>393.66</v>
      </c>
      <c r="V53" s="526">
        <f>IF('CEM Price Data'!W52="","",'CEM Price Data'!W52)</f>
        <v>221.17</v>
      </c>
      <c r="W53" s="526">
        <f>IF('CEM Price Data'!X52="","",'CEM Price Data'!X52)</f>
        <v>304.89</v>
      </c>
      <c r="X53" s="526">
        <f>IF('CEM Price Data'!Y52="","",'CEM Price Data'!Y52)</f>
        <v>512.44000000000005</v>
      </c>
      <c r="Y53" s="526">
        <f>IF('CEM Price Data'!Z52="","",'CEM Price Data'!Z52)</f>
        <v>257.64999999999998</v>
      </c>
      <c r="Z53" s="526">
        <f>IF('CEM Price Data'!AA52="","",'CEM Price Data'!AA52)</f>
        <v>69.25</v>
      </c>
      <c r="AA53" s="526">
        <f>IF('CEM Price Data'!AB52="","",'CEM Price Data'!AB52)</f>
        <v>118.86</v>
      </c>
      <c r="AB53" s="526">
        <f>IF('CEM Price Data'!AC52="","",'CEM Price Data'!AC52)</f>
        <v>83.78</v>
      </c>
      <c r="AC53" s="526">
        <f>IF('CEM Price Data'!AD52="","",'CEM Price Data'!AD52)</f>
        <v>112.23</v>
      </c>
      <c r="AD53" s="526">
        <f>IF('CEM Price Data'!AE52="","",'CEM Price Data'!AE52)</f>
        <v>35.99</v>
      </c>
      <c r="AE53" s="526">
        <f>IF('CEM Price Data'!AF52="","",'CEM Price Data'!AF52)</f>
        <v>201.22</v>
      </c>
      <c r="AF53" s="526">
        <f>IF('CEM Price Data'!AG52="","",'CEM Price Data'!AG52)</f>
        <v>89.24</v>
      </c>
      <c r="AG53" s="526">
        <f>IF('CEM Price Data'!AH52="","",'CEM Price Data'!AH52)</f>
        <v>6.1</v>
      </c>
      <c r="AH53" s="526">
        <f>IF('CEM Price Data'!AI52="","",'CEM Price Data'!AI52)</f>
        <v>69.819999999999993</v>
      </c>
      <c r="AI53" s="526">
        <f>IF('CEM Price Data'!AJ52="","",'CEM Price Data'!AJ52)</f>
        <v>486.86</v>
      </c>
      <c r="AJ53" s="526">
        <f>IF('CEM Price Data'!AK52="","",'CEM Price Data'!AK52)</f>
        <v>153.72</v>
      </c>
      <c r="AK53" s="526">
        <f>IF('CEM Price Data'!AL52="","",'CEM Price Data'!AL52)</f>
        <v>178.67</v>
      </c>
      <c r="AL53" s="526">
        <f>IF('CEM Price Data'!AM52="","",'CEM Price Data'!AM52)</f>
        <v>275.01</v>
      </c>
      <c r="AM53" s="526">
        <f>IF('CEM Price Data'!AN52="","",'CEM Price Data'!AN52)</f>
        <v>238.59</v>
      </c>
      <c r="AN53" s="526">
        <f>IF('CEM Price Data'!AO52="","",'CEM Price Data'!AO52)</f>
        <v>13.44</v>
      </c>
    </row>
    <row r="54" spans="1:40">
      <c r="A54" s="525">
        <f>IF('CEM Price Data'!B53="","",'CEM Price Data'!B53)</f>
        <v>44853</v>
      </c>
      <c r="B54" s="526">
        <f>IF('CEM Price Data'!C53="","",'CEM Price Data'!C53)</f>
        <v>128.96</v>
      </c>
      <c r="C54" s="526">
        <f>IF('CEM Price Data'!D53="","",'CEM Price Data'!D53)</f>
        <v>98.11</v>
      </c>
      <c r="D54" s="526">
        <f>IF('CEM Price Data'!E53="","",'CEM Price Data'!E53)</f>
        <v>141.33000000000001</v>
      </c>
      <c r="E54" s="526">
        <f>IF('CEM Price Data'!F53="","",'CEM Price Data'!F53)</f>
        <v>151.99</v>
      </c>
      <c r="F54" s="526">
        <f>IF('CEM Price Data'!G53="","",'CEM Price Data'!G53)</f>
        <v>50.77</v>
      </c>
      <c r="G54" s="526">
        <f>IF('CEM Price Data'!H53="","",'CEM Price Data'!H53)</f>
        <v>241.45</v>
      </c>
      <c r="H54" s="526">
        <f>IF('CEM Price Data'!I53="","",'CEM Price Data'!I53)</f>
        <v>64.260000000000005</v>
      </c>
      <c r="I54" s="526">
        <f>IF('CEM Price Data'!J53="","",'CEM Price Data'!J53)</f>
        <v>71.14</v>
      </c>
      <c r="J54" s="526">
        <f>IF('CEM Price Data'!K53="","",'CEM Price Data'!K53)</f>
        <v>143.5</v>
      </c>
      <c r="K54" s="526">
        <f>IF('CEM Price Data'!L53="","",'CEM Price Data'!L53)</f>
        <v>261.93</v>
      </c>
      <c r="L54" s="526">
        <f>IF('CEM Price Data'!M53="","",'CEM Price Data'!M53)</f>
        <v>451.65</v>
      </c>
      <c r="M54" s="526">
        <f>IF('CEM Price Data'!N53="","",'CEM Price Data'!N53)</f>
        <v>121.21</v>
      </c>
      <c r="N54" s="526">
        <f>IF('CEM Price Data'!O53="","",'CEM Price Data'!O53)</f>
        <v>126.66</v>
      </c>
      <c r="O54" s="526">
        <f>IF('CEM Price Data'!P53="","",'CEM Price Data'!P53)</f>
        <v>89.89</v>
      </c>
      <c r="P54" s="526">
        <f>IF('CEM Price Data'!Q53="","",'CEM Price Data'!Q53)</f>
        <v>83.92</v>
      </c>
      <c r="Q54" s="526">
        <f>IF('CEM Price Data'!R53="","",'CEM Price Data'!R53)</f>
        <v>137.76</v>
      </c>
      <c r="R54" s="526">
        <f>IF('CEM Price Data'!S53="","",'CEM Price Data'!S53)</f>
        <v>187.11</v>
      </c>
      <c r="S54" s="526">
        <f>IF('CEM Price Data'!T53="","",'CEM Price Data'!T53)</f>
        <v>74.69</v>
      </c>
      <c r="T54" s="526">
        <f>IF('CEM Price Data'!U53="","",'CEM Price Data'!U53)</f>
        <v>93.26</v>
      </c>
      <c r="U54" s="526">
        <f>IF('CEM Price Data'!V53="","",'CEM Price Data'!V53)</f>
        <v>398.79</v>
      </c>
      <c r="V54" s="526">
        <f>IF('CEM Price Data'!W53="","",'CEM Price Data'!W53)</f>
        <v>223.85</v>
      </c>
      <c r="W54" s="526">
        <f>IF('CEM Price Data'!X53="","",'CEM Price Data'!X53)</f>
        <v>312.49</v>
      </c>
      <c r="X54" s="526">
        <f>IF('CEM Price Data'!Y53="","",'CEM Price Data'!Y53)</f>
        <v>510.91</v>
      </c>
      <c r="Y54" s="526">
        <f>IF('CEM Price Data'!Z53="","",'CEM Price Data'!Z53)</f>
        <v>260.76</v>
      </c>
      <c r="Z54" s="526">
        <f>IF('CEM Price Data'!AA53="","",'CEM Price Data'!AA53)</f>
        <v>66.3</v>
      </c>
      <c r="AA54" s="526">
        <f>IF('CEM Price Data'!AB53="","",'CEM Price Data'!AB53)</f>
        <v>121.2</v>
      </c>
      <c r="AB54" s="526">
        <f>IF('CEM Price Data'!AC53="","",'CEM Price Data'!AC53)</f>
        <v>86.25</v>
      </c>
      <c r="AC54" s="526">
        <f>IF('CEM Price Data'!AD53="","",'CEM Price Data'!AD53)</f>
        <v>112.53</v>
      </c>
      <c r="AD54" s="526">
        <f>IF('CEM Price Data'!AE53="","",'CEM Price Data'!AE53)</f>
        <v>36.880000000000003</v>
      </c>
      <c r="AE54" s="526">
        <f>IF('CEM Price Data'!AF53="","",'CEM Price Data'!AF53)</f>
        <v>207.24</v>
      </c>
      <c r="AF54" s="526">
        <f>IF('CEM Price Data'!AG53="","",'CEM Price Data'!AG53)</f>
        <v>91.95</v>
      </c>
      <c r="AG54" s="526">
        <f>IF('CEM Price Data'!AH53="","",'CEM Price Data'!AH53)</f>
        <v>6.14</v>
      </c>
      <c r="AH54" s="526">
        <f>IF('CEM Price Data'!AI53="","",'CEM Price Data'!AI53)</f>
        <v>71.14</v>
      </c>
      <c r="AI54" s="526">
        <f>IF('CEM Price Data'!AJ53="","",'CEM Price Data'!AJ53)</f>
        <v>505.61</v>
      </c>
      <c r="AJ54" s="526">
        <f>IF('CEM Price Data'!AK53="","",'CEM Price Data'!AK53)</f>
        <v>152.65</v>
      </c>
      <c r="AK54" s="526">
        <f>IF('CEM Price Data'!AL53="","",'CEM Price Data'!AL53)</f>
        <v>182.1</v>
      </c>
      <c r="AL54" s="526">
        <f>IF('CEM Price Data'!AM53="","",'CEM Price Data'!AM53)</f>
        <v>277.36</v>
      </c>
      <c r="AM54" s="526">
        <f>IF('CEM Price Data'!AN53="","",'CEM Price Data'!AN53)</f>
        <v>246.38</v>
      </c>
      <c r="AN54" s="526">
        <f>IF('CEM Price Data'!AO53="","",'CEM Price Data'!AO53)</f>
        <v>14.25</v>
      </c>
    </row>
    <row r="55" spans="1:40">
      <c r="A55" s="525">
        <f>IF('CEM Price Data'!B54="","",'CEM Price Data'!B54)</f>
        <v>44852</v>
      </c>
      <c r="B55" s="526">
        <f>IF('CEM Price Data'!C54="","",'CEM Price Data'!C54)</f>
        <v>132.30000000000001</v>
      </c>
      <c r="C55" s="526">
        <f>IF('CEM Price Data'!D54="","",'CEM Price Data'!D54)</f>
        <v>104.98</v>
      </c>
      <c r="D55" s="526">
        <f>IF('CEM Price Data'!E54="","",'CEM Price Data'!E54)</f>
        <v>141.1</v>
      </c>
      <c r="E55" s="526">
        <f>IF('CEM Price Data'!F54="","",'CEM Price Data'!F54)</f>
        <v>154.43</v>
      </c>
      <c r="F55" s="526">
        <f>IF('CEM Price Data'!G54="","",'CEM Price Data'!G54)</f>
        <v>51.76</v>
      </c>
      <c r="G55" s="526">
        <f>IF('CEM Price Data'!H54="","",'CEM Price Data'!H54)</f>
        <v>242.37</v>
      </c>
      <c r="H55" s="526">
        <f>IF('CEM Price Data'!I54="","",'CEM Price Data'!I54)</f>
        <v>65.739999999999995</v>
      </c>
      <c r="I55" s="526">
        <f>IF('CEM Price Data'!J54="","",'CEM Price Data'!J54)</f>
        <v>71.739999999999995</v>
      </c>
      <c r="J55" s="526">
        <f>IF('CEM Price Data'!K54="","",'CEM Price Data'!K54)</f>
        <v>145.56</v>
      </c>
      <c r="K55" s="526">
        <f>IF('CEM Price Data'!L54="","",'CEM Price Data'!L54)</f>
        <v>264.27999999999997</v>
      </c>
      <c r="L55" s="526">
        <f>IF('CEM Price Data'!M54="","",'CEM Price Data'!M54)</f>
        <v>454.95</v>
      </c>
      <c r="M55" s="526">
        <f>IF('CEM Price Data'!N54="","",'CEM Price Data'!N54)</f>
        <v>122.02</v>
      </c>
      <c r="N55" s="526">
        <f>IF('CEM Price Data'!O54="","",'CEM Price Data'!O54)</f>
        <v>129.58000000000001</v>
      </c>
      <c r="O55" s="526">
        <f>IF('CEM Price Data'!P54="","",'CEM Price Data'!P54)</f>
        <v>90.4</v>
      </c>
      <c r="P55" s="526">
        <f>IF('CEM Price Data'!Q54="","",'CEM Price Data'!Q54)</f>
        <v>83.97</v>
      </c>
      <c r="Q55" s="526">
        <f>IF('CEM Price Data'!R54="","",'CEM Price Data'!R54)</f>
        <v>139.26</v>
      </c>
      <c r="R55" s="526">
        <f>IF('CEM Price Data'!S54="","",'CEM Price Data'!S54)</f>
        <v>188.95</v>
      </c>
      <c r="S55" s="526">
        <f>IF('CEM Price Data'!T54="","",'CEM Price Data'!T54)</f>
        <v>74.61</v>
      </c>
      <c r="T55" s="526">
        <f>IF('CEM Price Data'!U54="","",'CEM Price Data'!U54)</f>
        <v>94.61</v>
      </c>
      <c r="U55" s="526">
        <f>IF('CEM Price Data'!V54="","",'CEM Price Data'!V54)</f>
        <v>408.56</v>
      </c>
      <c r="V55" s="526">
        <f>IF('CEM Price Data'!W54="","",'CEM Price Data'!W54)</f>
        <v>225.3</v>
      </c>
      <c r="W55" s="526">
        <f>IF('CEM Price Data'!X54="","",'CEM Price Data'!X54)</f>
        <v>312.72000000000003</v>
      </c>
      <c r="X55" s="526">
        <f>IF('CEM Price Data'!Y54="","",'CEM Price Data'!Y54)</f>
        <v>506.8</v>
      </c>
      <c r="Y55" s="526">
        <f>IF('CEM Price Data'!Z54="","",'CEM Price Data'!Z54)</f>
        <v>268.63</v>
      </c>
      <c r="Z55" s="526">
        <f>IF('CEM Price Data'!AA54="","",'CEM Price Data'!AA54)</f>
        <v>67.03</v>
      </c>
      <c r="AA55" s="526">
        <f>IF('CEM Price Data'!AB54="","",'CEM Price Data'!AB54)</f>
        <v>120.26</v>
      </c>
      <c r="AB55" s="526">
        <f>IF('CEM Price Data'!AC54="","",'CEM Price Data'!AC54)</f>
        <v>87.38</v>
      </c>
      <c r="AC55" s="526">
        <f>IF('CEM Price Data'!AD54="","",'CEM Price Data'!AD54)</f>
        <v>112.79</v>
      </c>
      <c r="AD55" s="526">
        <f>IF('CEM Price Data'!AE54="","",'CEM Price Data'!AE54)</f>
        <v>36.67</v>
      </c>
      <c r="AE55" s="526">
        <f>IF('CEM Price Data'!AF54="","",'CEM Price Data'!AF54)</f>
        <v>212.63</v>
      </c>
      <c r="AF55" s="526">
        <f>IF('CEM Price Data'!AG54="","",'CEM Price Data'!AG54)</f>
        <v>90.35</v>
      </c>
      <c r="AG55" s="526">
        <f>IF('CEM Price Data'!AH54="","",'CEM Price Data'!AH54)</f>
        <v>6.23</v>
      </c>
      <c r="AH55" s="526">
        <f>IF('CEM Price Data'!AI54="","",'CEM Price Data'!AI54)</f>
        <v>72.16</v>
      </c>
      <c r="AI55" s="526">
        <f>IF('CEM Price Data'!AJ54="","",'CEM Price Data'!AJ54)</f>
        <v>524.4</v>
      </c>
      <c r="AJ55" s="526">
        <f>IF('CEM Price Data'!AK54="","",'CEM Price Data'!AK54)</f>
        <v>151.51</v>
      </c>
      <c r="AK55" s="526">
        <f>IF('CEM Price Data'!AL54="","",'CEM Price Data'!AL54)</f>
        <v>182.89</v>
      </c>
      <c r="AL55" s="526">
        <f>IF('CEM Price Data'!AM54="","",'CEM Price Data'!AM54)</f>
        <v>283.94</v>
      </c>
      <c r="AM55" s="526">
        <f>IF('CEM Price Data'!AN54="","",'CEM Price Data'!AN54)</f>
        <v>257.27999999999997</v>
      </c>
      <c r="AN55" s="526">
        <f>IF('CEM Price Data'!AO54="","",'CEM Price Data'!AO54)</f>
        <v>14.31</v>
      </c>
    </row>
    <row r="56" spans="1:40">
      <c r="A56" s="525">
        <f>IF('CEM Price Data'!B55="","",'CEM Price Data'!B55)</f>
        <v>44851</v>
      </c>
      <c r="B56" s="526">
        <f>IF('CEM Price Data'!C55="","",'CEM Price Data'!C55)</f>
        <v>130.56</v>
      </c>
      <c r="C56" s="526">
        <f>IF('CEM Price Data'!D55="","",'CEM Price Data'!D55)</f>
        <v>103.52</v>
      </c>
      <c r="D56" s="526">
        <f>IF('CEM Price Data'!E55="","",'CEM Price Data'!E55)</f>
        <v>139.12</v>
      </c>
      <c r="E56" s="526">
        <f>IF('CEM Price Data'!F55="","",'CEM Price Data'!F55)</f>
        <v>151.52000000000001</v>
      </c>
      <c r="F56" s="526">
        <f>IF('CEM Price Data'!G55="","",'CEM Price Data'!G55)</f>
        <v>51.61</v>
      </c>
      <c r="G56" s="526">
        <f>IF('CEM Price Data'!H55="","",'CEM Price Data'!H55)</f>
        <v>237.36</v>
      </c>
      <c r="H56" s="526">
        <f>IF('CEM Price Data'!I55="","",'CEM Price Data'!I55)</f>
        <v>65.41</v>
      </c>
      <c r="I56" s="526">
        <f>IF('CEM Price Data'!J55="","",'CEM Price Data'!J55)</f>
        <v>71.38</v>
      </c>
      <c r="J56" s="526">
        <f>IF('CEM Price Data'!K55="","",'CEM Price Data'!K55)</f>
        <v>142.79</v>
      </c>
      <c r="K56" s="526">
        <f>IF('CEM Price Data'!L55="","",'CEM Price Data'!L55)</f>
        <v>257.06</v>
      </c>
      <c r="L56" s="526">
        <f>IF('CEM Price Data'!M55="","",'CEM Price Data'!M55)</f>
        <v>445.79</v>
      </c>
      <c r="M56" s="526">
        <f>IF('CEM Price Data'!N55="","",'CEM Price Data'!N55)</f>
        <v>121.1</v>
      </c>
      <c r="N56" s="526">
        <f>IF('CEM Price Data'!O55="","",'CEM Price Data'!O55)</f>
        <v>127.93</v>
      </c>
      <c r="O56" s="526">
        <f>IF('CEM Price Data'!P55="","",'CEM Price Data'!P55)</f>
        <v>90.38</v>
      </c>
      <c r="P56" s="526">
        <f>IF('CEM Price Data'!Q55="","",'CEM Price Data'!Q55)</f>
        <v>83.37</v>
      </c>
      <c r="Q56" s="526">
        <f>IF('CEM Price Data'!R55="","",'CEM Price Data'!R55)</f>
        <v>139.16</v>
      </c>
      <c r="R56" s="526">
        <f>IF('CEM Price Data'!S55="","",'CEM Price Data'!S55)</f>
        <v>186.8</v>
      </c>
      <c r="S56" s="526">
        <f>IF('CEM Price Data'!T55="","",'CEM Price Data'!T55)</f>
        <v>73.63</v>
      </c>
      <c r="T56" s="526">
        <f>IF('CEM Price Data'!U55="","",'CEM Price Data'!U55)</f>
        <v>94.12</v>
      </c>
      <c r="U56" s="526">
        <f>IF('CEM Price Data'!V55="","",'CEM Price Data'!V55)</f>
        <v>402.96</v>
      </c>
      <c r="V56" s="526">
        <f>IF('CEM Price Data'!W55="","",'CEM Price Data'!W55)</f>
        <v>220.74</v>
      </c>
      <c r="W56" s="526">
        <f>IF('CEM Price Data'!X55="","",'CEM Price Data'!X55)</f>
        <v>309.45</v>
      </c>
      <c r="X56" s="526">
        <f>IF('CEM Price Data'!Y55="","",'CEM Price Data'!Y55)</f>
        <v>475.09</v>
      </c>
      <c r="Y56" s="526">
        <f>IF('CEM Price Data'!Z55="","",'CEM Price Data'!Z55)</f>
        <v>267.11</v>
      </c>
      <c r="Z56" s="526">
        <f>IF('CEM Price Data'!AA55="","",'CEM Price Data'!AA55)</f>
        <v>67.02</v>
      </c>
      <c r="AA56" s="526">
        <f>IF('CEM Price Data'!AB55="","",'CEM Price Data'!AB55)</f>
        <v>119.59</v>
      </c>
      <c r="AB56" s="526">
        <f>IF('CEM Price Data'!AC55="","",'CEM Price Data'!AC55)</f>
        <v>86.37</v>
      </c>
      <c r="AC56" s="526">
        <f>IF('CEM Price Data'!AD55="","",'CEM Price Data'!AD55)</f>
        <v>112.11</v>
      </c>
      <c r="AD56" s="526">
        <f>IF('CEM Price Data'!AE55="","",'CEM Price Data'!AE55)</f>
        <v>36.14</v>
      </c>
      <c r="AE56" s="526">
        <f>IF('CEM Price Data'!AF55="","",'CEM Price Data'!AF55)</f>
        <v>209.12</v>
      </c>
      <c r="AF56" s="526">
        <f>IF('CEM Price Data'!AG55="","",'CEM Price Data'!AG55)</f>
        <v>88.76</v>
      </c>
      <c r="AG56" s="526">
        <f>IF('CEM Price Data'!AH55="","",'CEM Price Data'!AH55)</f>
        <v>6.19</v>
      </c>
      <c r="AH56" s="526">
        <f>IF('CEM Price Data'!AI55="","",'CEM Price Data'!AI55)</f>
        <v>71.12</v>
      </c>
      <c r="AI56" s="526">
        <f>IF('CEM Price Data'!AJ55="","",'CEM Price Data'!AJ55)</f>
        <v>517.23</v>
      </c>
      <c r="AJ56" s="526">
        <f>IF('CEM Price Data'!AK55="","",'CEM Price Data'!AK55)</f>
        <v>150.99</v>
      </c>
      <c r="AK56" s="526">
        <f>IF('CEM Price Data'!AL55="","",'CEM Price Data'!AL55)</f>
        <v>179.55</v>
      </c>
      <c r="AL56" s="526">
        <f>IF('CEM Price Data'!AM55="","",'CEM Price Data'!AM55)</f>
        <v>279.60000000000002</v>
      </c>
      <c r="AM56" s="526">
        <f>IF('CEM Price Data'!AN55="","",'CEM Price Data'!AN55)</f>
        <v>250.72</v>
      </c>
      <c r="AN56" s="526">
        <f>IF('CEM Price Data'!AO55="","",'CEM Price Data'!AO55)</f>
        <v>14.1</v>
      </c>
    </row>
    <row r="57" spans="1:40">
      <c r="A57" s="525">
        <f>IF('CEM Price Data'!B56="","",'CEM Price Data'!B56)</f>
        <v>44848</v>
      </c>
      <c r="B57" s="526">
        <f>IF('CEM Price Data'!C56="","",'CEM Price Data'!C56)</f>
        <v>125.7</v>
      </c>
      <c r="C57" s="526">
        <f>IF('CEM Price Data'!D56="","",'CEM Price Data'!D56)</f>
        <v>100.91</v>
      </c>
      <c r="D57" s="526">
        <f>IF('CEM Price Data'!E56="","",'CEM Price Data'!E56)</f>
        <v>136.72999999999999</v>
      </c>
      <c r="E57" s="526">
        <f>IF('CEM Price Data'!F56="","",'CEM Price Data'!F56)</f>
        <v>147.35</v>
      </c>
      <c r="F57" s="526">
        <f>IF('CEM Price Data'!G56="","",'CEM Price Data'!G56)</f>
        <v>49.04</v>
      </c>
      <c r="G57" s="526">
        <f>IF('CEM Price Data'!H56="","",'CEM Price Data'!H56)</f>
        <v>232.53</v>
      </c>
      <c r="H57" s="526">
        <f>IF('CEM Price Data'!I56="","",'CEM Price Data'!I56)</f>
        <v>63.89</v>
      </c>
      <c r="I57" s="526">
        <f>IF('CEM Price Data'!J56="","",'CEM Price Data'!J56)</f>
        <v>70.62</v>
      </c>
      <c r="J57" s="526">
        <f>IF('CEM Price Data'!K56="","",'CEM Price Data'!K56)</f>
        <v>139.1</v>
      </c>
      <c r="K57" s="526">
        <f>IF('CEM Price Data'!L56="","",'CEM Price Data'!L56)</f>
        <v>248.66</v>
      </c>
      <c r="L57" s="526">
        <f>IF('CEM Price Data'!M56="","",'CEM Price Data'!M56)</f>
        <v>432.5</v>
      </c>
      <c r="M57" s="526">
        <f>IF('CEM Price Data'!N56="","",'CEM Price Data'!N56)</f>
        <v>117.74</v>
      </c>
      <c r="N57" s="526">
        <f>IF('CEM Price Data'!O56="","",'CEM Price Data'!O56)</f>
        <v>126.11</v>
      </c>
      <c r="O57" s="526">
        <f>IF('CEM Price Data'!P56="","",'CEM Price Data'!P56)</f>
        <v>87.82</v>
      </c>
      <c r="P57" s="526">
        <f>IF('CEM Price Data'!Q56="","",'CEM Price Data'!Q56)</f>
        <v>82.29</v>
      </c>
      <c r="Q57" s="526">
        <f>IF('CEM Price Data'!R56="","",'CEM Price Data'!R56)</f>
        <v>136.04</v>
      </c>
      <c r="R57" s="526">
        <f>IF('CEM Price Data'!S56="","",'CEM Price Data'!S56)</f>
        <v>183.43</v>
      </c>
      <c r="S57" s="526">
        <f>IF('CEM Price Data'!T56="","",'CEM Price Data'!T56)</f>
        <v>73.540000000000006</v>
      </c>
      <c r="T57" s="526">
        <f>IF('CEM Price Data'!U56="","",'CEM Price Data'!U56)</f>
        <v>92.18</v>
      </c>
      <c r="U57" s="526">
        <f>IF('CEM Price Data'!V56="","",'CEM Price Data'!V56)</f>
        <v>388.72</v>
      </c>
      <c r="V57" s="526">
        <f>IF('CEM Price Data'!W56="","",'CEM Price Data'!W56)</f>
        <v>213.28</v>
      </c>
      <c r="W57" s="526">
        <f>IF('CEM Price Data'!X56="","",'CEM Price Data'!X56)</f>
        <v>307.23</v>
      </c>
      <c r="X57" s="526">
        <f>IF('CEM Price Data'!Y56="","",'CEM Price Data'!Y56)</f>
        <v>464.19</v>
      </c>
      <c r="Y57" s="526">
        <f>IF('CEM Price Data'!Z56="","",'CEM Price Data'!Z56)</f>
        <v>259.54000000000002</v>
      </c>
      <c r="Z57" s="526">
        <f>IF('CEM Price Data'!AA56="","",'CEM Price Data'!AA56)</f>
        <v>64.31</v>
      </c>
      <c r="AA57" s="526">
        <f>IF('CEM Price Data'!AB56="","",'CEM Price Data'!AB56)</f>
        <v>115.89</v>
      </c>
      <c r="AB57" s="526">
        <f>IF('CEM Price Data'!AC56="","",'CEM Price Data'!AC56)</f>
        <v>86.25</v>
      </c>
      <c r="AC57" s="526">
        <f>IF('CEM Price Data'!AD56="","",'CEM Price Data'!AD56)</f>
        <v>109.67</v>
      </c>
      <c r="AD57" s="526">
        <f>IF('CEM Price Data'!AE56="","",'CEM Price Data'!AE56)</f>
        <v>35.020000000000003</v>
      </c>
      <c r="AE57" s="526">
        <f>IF('CEM Price Data'!AF56="","",'CEM Price Data'!AF56)</f>
        <v>201.7</v>
      </c>
      <c r="AF57" s="526">
        <f>IF('CEM Price Data'!AG56="","",'CEM Price Data'!AG56)</f>
        <v>89.46</v>
      </c>
      <c r="AG57" s="526">
        <f>IF('CEM Price Data'!AH56="","",'CEM Price Data'!AH56)</f>
        <v>6.05</v>
      </c>
      <c r="AH57" s="526">
        <f>IF('CEM Price Data'!AI56="","",'CEM Price Data'!AI56)</f>
        <v>69.02</v>
      </c>
      <c r="AI57" s="526">
        <f>IF('CEM Price Data'!AJ56="","",'CEM Price Data'!AJ56)</f>
        <v>503.05</v>
      </c>
      <c r="AJ57" s="526">
        <f>IF('CEM Price Data'!AK56="","",'CEM Price Data'!AK56)</f>
        <v>148.34</v>
      </c>
      <c r="AK57" s="526">
        <f>IF('CEM Price Data'!AL56="","",'CEM Price Data'!AL56)</f>
        <v>174.08</v>
      </c>
      <c r="AL57" s="526">
        <f>IF('CEM Price Data'!AM56="","",'CEM Price Data'!AM56)</f>
        <v>272.19</v>
      </c>
      <c r="AM57" s="526">
        <f>IF('CEM Price Data'!AN56="","",'CEM Price Data'!AN56)</f>
        <v>241.47</v>
      </c>
      <c r="AN57" s="526">
        <f>IF('CEM Price Data'!AO56="","",'CEM Price Data'!AO56)</f>
        <v>14</v>
      </c>
    </row>
    <row r="58" spans="1:40">
      <c r="A58" s="525">
        <f>IF('CEM Price Data'!B57="","",'CEM Price Data'!B57)</f>
        <v>44847</v>
      </c>
      <c r="B58" s="526">
        <f>IF('CEM Price Data'!C57="","",'CEM Price Data'!C57)</f>
        <v>127.9</v>
      </c>
      <c r="C58" s="526">
        <f>IF('CEM Price Data'!D57="","",'CEM Price Data'!D57)</f>
        <v>102.47</v>
      </c>
      <c r="D58" s="526">
        <f>IF('CEM Price Data'!E57="","",'CEM Price Data'!E57)</f>
        <v>142.75</v>
      </c>
      <c r="E58" s="526">
        <f>IF('CEM Price Data'!F57="","",'CEM Price Data'!F57)</f>
        <v>151.82</v>
      </c>
      <c r="F58" s="526">
        <f>IF('CEM Price Data'!G57="","",'CEM Price Data'!G57)</f>
        <v>48.86</v>
      </c>
      <c r="G58" s="526">
        <f>IF('CEM Price Data'!H57="","",'CEM Price Data'!H57)</f>
        <v>237.99</v>
      </c>
      <c r="H58" s="526">
        <f>IF('CEM Price Data'!I57="","",'CEM Price Data'!I57)</f>
        <v>65.430000000000007</v>
      </c>
      <c r="I58" s="526">
        <f>IF('CEM Price Data'!J57="","",'CEM Price Data'!J57)</f>
        <v>70.77</v>
      </c>
      <c r="J58" s="526">
        <f>IF('CEM Price Data'!K57="","",'CEM Price Data'!K57)</f>
        <v>142.71</v>
      </c>
      <c r="K58" s="526">
        <f>IF('CEM Price Data'!L57="","",'CEM Price Data'!L57)</f>
        <v>256.92</v>
      </c>
      <c r="L58" s="526">
        <f>IF('CEM Price Data'!M57="","",'CEM Price Data'!M57)</f>
        <v>438.87</v>
      </c>
      <c r="M58" s="526">
        <f>IF('CEM Price Data'!N57="","",'CEM Price Data'!N57)</f>
        <v>119.36</v>
      </c>
      <c r="N58" s="526">
        <f>IF('CEM Price Data'!O57="","",'CEM Price Data'!O57)</f>
        <v>125.71</v>
      </c>
      <c r="O58" s="526">
        <f>IF('CEM Price Data'!P57="","",'CEM Price Data'!P57)</f>
        <v>88.71</v>
      </c>
      <c r="P58" s="526">
        <f>IF('CEM Price Data'!Q57="","",'CEM Price Data'!Q57)</f>
        <v>83.37</v>
      </c>
      <c r="Q58" s="526">
        <f>IF('CEM Price Data'!R57="","",'CEM Price Data'!R57)</f>
        <v>137.94</v>
      </c>
      <c r="R58" s="526">
        <f>IF('CEM Price Data'!S57="","",'CEM Price Data'!S57)</f>
        <v>185.23</v>
      </c>
      <c r="S58" s="526">
        <f>IF('CEM Price Data'!T57="","",'CEM Price Data'!T57)</f>
        <v>74.87</v>
      </c>
      <c r="T58" s="526">
        <f>IF('CEM Price Data'!U57="","",'CEM Price Data'!U57)</f>
        <v>92.49</v>
      </c>
      <c r="U58" s="526">
        <f>IF('CEM Price Data'!V57="","",'CEM Price Data'!V57)</f>
        <v>406.08</v>
      </c>
      <c r="V58" s="526">
        <f>IF('CEM Price Data'!W57="","",'CEM Price Data'!W57)</f>
        <v>225.37</v>
      </c>
      <c r="W58" s="526">
        <f>IF('CEM Price Data'!X57="","",'CEM Price Data'!X57)</f>
        <v>311.19</v>
      </c>
      <c r="X58" s="526">
        <f>IF('CEM Price Data'!Y57="","",'CEM Price Data'!Y57)</f>
        <v>501.44</v>
      </c>
      <c r="Y58" s="526">
        <f>IF('CEM Price Data'!Z57="","",'CEM Price Data'!Z57)</f>
        <v>268.55</v>
      </c>
      <c r="Z58" s="526">
        <f>IF('CEM Price Data'!AA57="","",'CEM Price Data'!AA57)</f>
        <v>65.2</v>
      </c>
      <c r="AA58" s="526">
        <f>IF('CEM Price Data'!AB57="","",'CEM Price Data'!AB57)</f>
        <v>122.42</v>
      </c>
      <c r="AB58" s="526">
        <f>IF('CEM Price Data'!AC57="","",'CEM Price Data'!AC57)</f>
        <v>87.24</v>
      </c>
      <c r="AC58" s="526">
        <f>IF('CEM Price Data'!AD57="","",'CEM Price Data'!AD57)</f>
        <v>110</v>
      </c>
      <c r="AD58" s="526">
        <f>IF('CEM Price Data'!AE57="","",'CEM Price Data'!AE57)</f>
        <v>36.06</v>
      </c>
      <c r="AE58" s="526">
        <f>IF('CEM Price Data'!AF57="","",'CEM Price Data'!AF57)</f>
        <v>205.68</v>
      </c>
      <c r="AF58" s="526">
        <f>IF('CEM Price Data'!AG57="","",'CEM Price Data'!AG57)</f>
        <v>88.8</v>
      </c>
      <c r="AG58" s="526">
        <f>IF('CEM Price Data'!AH57="","",'CEM Price Data'!AH57)</f>
        <v>6.14</v>
      </c>
      <c r="AH58" s="526">
        <f>IF('CEM Price Data'!AI57="","",'CEM Price Data'!AI57)</f>
        <v>70.319999999999993</v>
      </c>
      <c r="AI58" s="526">
        <f>IF('CEM Price Data'!AJ57="","",'CEM Price Data'!AJ57)</f>
        <v>510.54</v>
      </c>
      <c r="AJ58" s="526">
        <f>IF('CEM Price Data'!AK57="","",'CEM Price Data'!AK57)</f>
        <v>154.34</v>
      </c>
      <c r="AK58" s="526">
        <f>IF('CEM Price Data'!AL57="","",'CEM Price Data'!AL57)</f>
        <v>176.85</v>
      </c>
      <c r="AL58" s="526">
        <f>IF('CEM Price Data'!AM57="","",'CEM Price Data'!AM57)</f>
        <v>276.79000000000002</v>
      </c>
      <c r="AM58" s="526">
        <f>IF('CEM Price Data'!AN57="","",'CEM Price Data'!AN57)</f>
        <v>256.73</v>
      </c>
      <c r="AN58" s="526">
        <f>IF('CEM Price Data'!AO57="","",'CEM Price Data'!AO57)</f>
        <v>14.04</v>
      </c>
    </row>
    <row r="59" spans="1:40">
      <c r="A59" s="525">
        <f>IF('CEM Price Data'!B58="","",'CEM Price Data'!B58)</f>
        <v>44846</v>
      </c>
      <c r="B59" s="526">
        <f>IF('CEM Price Data'!C58="","",'CEM Price Data'!C58)</f>
        <v>125.69</v>
      </c>
      <c r="C59" s="526">
        <f>IF('CEM Price Data'!D58="","",'CEM Price Data'!D58)</f>
        <v>100.08</v>
      </c>
      <c r="D59" s="526">
        <f>IF('CEM Price Data'!E58="","",'CEM Price Data'!E58)</f>
        <v>138.59</v>
      </c>
      <c r="E59" s="526">
        <f>IF('CEM Price Data'!F58="","",'CEM Price Data'!F58)</f>
        <v>146.56</v>
      </c>
      <c r="F59" s="526">
        <f>IF('CEM Price Data'!G58="","",'CEM Price Data'!G58)</f>
        <v>49.13</v>
      </c>
      <c r="G59" s="526">
        <f>IF('CEM Price Data'!H58="","",'CEM Price Data'!H58)</f>
        <v>229.32</v>
      </c>
      <c r="H59" s="526">
        <f>IF('CEM Price Data'!I58="","",'CEM Price Data'!I58)</f>
        <v>64.459999999999994</v>
      </c>
      <c r="I59" s="526">
        <f>IF('CEM Price Data'!J58="","",'CEM Price Data'!J58)</f>
        <v>69.28</v>
      </c>
      <c r="J59" s="526">
        <f>IF('CEM Price Data'!K58="","",'CEM Price Data'!K58)</f>
        <v>139.66999999999999</v>
      </c>
      <c r="K59" s="526">
        <f>IF('CEM Price Data'!L58="","",'CEM Price Data'!L58)</f>
        <v>250.32</v>
      </c>
      <c r="L59" s="526">
        <f>IF('CEM Price Data'!M58="","",'CEM Price Data'!M58)</f>
        <v>436.11</v>
      </c>
      <c r="M59" s="526">
        <f>IF('CEM Price Data'!N58="","",'CEM Price Data'!N58)</f>
        <v>117.4</v>
      </c>
      <c r="N59" s="526">
        <f>IF('CEM Price Data'!O58="","",'CEM Price Data'!O58)</f>
        <v>124.39</v>
      </c>
      <c r="O59" s="526">
        <f>IF('CEM Price Data'!P58="","",'CEM Price Data'!P58)</f>
        <v>88.72</v>
      </c>
      <c r="P59" s="526">
        <f>IF('CEM Price Data'!Q58="","",'CEM Price Data'!Q58)</f>
        <v>81.67</v>
      </c>
      <c r="Q59" s="526">
        <f>IF('CEM Price Data'!R58="","",'CEM Price Data'!R58)</f>
        <v>134.79</v>
      </c>
      <c r="R59" s="526">
        <f>IF('CEM Price Data'!S58="","",'CEM Price Data'!S58)</f>
        <v>181.39</v>
      </c>
      <c r="S59" s="526">
        <f>IF('CEM Price Data'!T58="","",'CEM Price Data'!T58)</f>
        <v>74.48</v>
      </c>
      <c r="T59" s="526">
        <f>IF('CEM Price Data'!U58="","",'CEM Price Data'!U58)</f>
        <v>90.42</v>
      </c>
      <c r="U59" s="526">
        <f>IF('CEM Price Data'!V58="","",'CEM Price Data'!V58)</f>
        <v>401.65</v>
      </c>
      <c r="V59" s="526">
        <f>IF('CEM Price Data'!W58="","",'CEM Price Data'!W58)</f>
        <v>223.33</v>
      </c>
      <c r="W59" s="526">
        <f>IF('CEM Price Data'!X58="","",'CEM Price Data'!X58)</f>
        <v>307.04000000000002</v>
      </c>
      <c r="X59" s="526">
        <f>IF('CEM Price Data'!Y58="","",'CEM Price Data'!Y58)</f>
        <v>492.38</v>
      </c>
      <c r="Y59" s="526">
        <f>IF('CEM Price Data'!Z58="","",'CEM Price Data'!Z58)</f>
        <v>274.64999999999998</v>
      </c>
      <c r="Z59" s="526">
        <f>IF('CEM Price Data'!AA58="","",'CEM Price Data'!AA58)</f>
        <v>63.78</v>
      </c>
      <c r="AA59" s="526">
        <f>IF('CEM Price Data'!AB58="","",'CEM Price Data'!AB58)</f>
        <v>121.4</v>
      </c>
      <c r="AB59" s="526">
        <f>IF('CEM Price Data'!AC58="","",'CEM Price Data'!AC58)</f>
        <v>84.46</v>
      </c>
      <c r="AC59" s="526">
        <f>IF('CEM Price Data'!AD58="","",'CEM Price Data'!AD58)</f>
        <v>106.14</v>
      </c>
      <c r="AD59" s="526">
        <f>IF('CEM Price Data'!AE58="","",'CEM Price Data'!AE58)</f>
        <v>36.200000000000003</v>
      </c>
      <c r="AE59" s="526">
        <f>IF('CEM Price Data'!AF58="","",'CEM Price Data'!AF58)</f>
        <v>201.51</v>
      </c>
      <c r="AF59" s="526">
        <f>IF('CEM Price Data'!AG58="","",'CEM Price Data'!AG58)</f>
        <v>86.16</v>
      </c>
      <c r="AG59" s="526">
        <f>IF('CEM Price Data'!AH58="","",'CEM Price Data'!AH58)</f>
        <v>5.96</v>
      </c>
      <c r="AH59" s="526">
        <f>IF('CEM Price Data'!AI58="","",'CEM Price Data'!AI58)</f>
        <v>69.150000000000006</v>
      </c>
      <c r="AI59" s="526">
        <f>IF('CEM Price Data'!AJ58="","",'CEM Price Data'!AJ58)</f>
        <v>500.67</v>
      </c>
      <c r="AJ59" s="526">
        <f>IF('CEM Price Data'!AK58="","",'CEM Price Data'!AK58)</f>
        <v>151.55000000000001</v>
      </c>
      <c r="AK59" s="526">
        <f>IF('CEM Price Data'!AL58="","",'CEM Price Data'!AL58)</f>
        <v>175.68</v>
      </c>
      <c r="AL59" s="526">
        <f>IF('CEM Price Data'!AM58="","",'CEM Price Data'!AM58)</f>
        <v>270.72000000000003</v>
      </c>
      <c r="AM59" s="526">
        <f>IF('CEM Price Data'!AN58="","",'CEM Price Data'!AN58)</f>
        <v>263.33999999999997</v>
      </c>
      <c r="AN59" s="526">
        <f>IF('CEM Price Data'!AO58="","",'CEM Price Data'!AO58)</f>
        <v>13.72</v>
      </c>
    </row>
    <row r="60" spans="1:40">
      <c r="A60" s="525">
        <f>IF('CEM Price Data'!B59="","",'CEM Price Data'!B59)</f>
        <v>44845</v>
      </c>
      <c r="B60" s="526">
        <f>IF('CEM Price Data'!C59="","",'CEM Price Data'!C59)</f>
        <v>125.64</v>
      </c>
      <c r="C60" s="526">
        <f>IF('CEM Price Data'!D59="","",'CEM Price Data'!D59)</f>
        <v>101.75</v>
      </c>
      <c r="D60" s="526">
        <f>IF('CEM Price Data'!E59="","",'CEM Price Data'!E59)</f>
        <v>138.80000000000001</v>
      </c>
      <c r="E60" s="526">
        <f>IF('CEM Price Data'!F59="","",'CEM Price Data'!F59)</f>
        <v>150.11000000000001</v>
      </c>
      <c r="F60" s="526">
        <f>IF('CEM Price Data'!G59="","",'CEM Price Data'!G59)</f>
        <v>49.31</v>
      </c>
      <c r="G60" s="526">
        <f>IF('CEM Price Data'!H59="","",'CEM Price Data'!H59)</f>
        <v>231.21</v>
      </c>
      <c r="H60" s="526">
        <f>IF('CEM Price Data'!I59="","",'CEM Price Data'!I59)</f>
        <v>64.650000000000006</v>
      </c>
      <c r="I60" s="526">
        <f>IF('CEM Price Data'!J59="","",'CEM Price Data'!J59)</f>
        <v>69.650000000000006</v>
      </c>
      <c r="J60" s="526">
        <f>IF('CEM Price Data'!K59="","",'CEM Price Data'!K59)</f>
        <v>142.4</v>
      </c>
      <c r="K60" s="526">
        <f>IF('CEM Price Data'!L59="","",'CEM Price Data'!L59)</f>
        <v>256.95</v>
      </c>
      <c r="L60" s="526">
        <f>IF('CEM Price Data'!M59="","",'CEM Price Data'!M59)</f>
        <v>438.63</v>
      </c>
      <c r="M60" s="526">
        <f>IF('CEM Price Data'!N59="","",'CEM Price Data'!N59)</f>
        <v>118.61</v>
      </c>
      <c r="N60" s="526">
        <f>IF('CEM Price Data'!O59="","",'CEM Price Data'!O59)</f>
        <v>124.36</v>
      </c>
      <c r="O60" s="526">
        <f>IF('CEM Price Data'!P59="","",'CEM Price Data'!P59)</f>
        <v>89.28</v>
      </c>
      <c r="P60" s="526">
        <f>IF('CEM Price Data'!Q59="","",'CEM Price Data'!Q59)</f>
        <v>81.900000000000006</v>
      </c>
      <c r="Q60" s="526">
        <f>IF('CEM Price Data'!R59="","",'CEM Price Data'!R59)</f>
        <v>133.55000000000001</v>
      </c>
      <c r="R60" s="526">
        <f>IF('CEM Price Data'!S59="","",'CEM Price Data'!S59)</f>
        <v>183.99</v>
      </c>
      <c r="S60" s="526">
        <f>IF('CEM Price Data'!T59="","",'CEM Price Data'!T59)</f>
        <v>75.84</v>
      </c>
      <c r="T60" s="526">
        <f>IF('CEM Price Data'!U59="","",'CEM Price Data'!U59)</f>
        <v>91.05</v>
      </c>
      <c r="U60" s="526">
        <f>IF('CEM Price Data'!V59="","",'CEM Price Data'!V59)</f>
        <v>399.35</v>
      </c>
      <c r="V60" s="526">
        <f>IF('CEM Price Data'!W59="","",'CEM Price Data'!W59)</f>
        <v>224.25</v>
      </c>
      <c r="W60" s="526">
        <f>IF('CEM Price Data'!X59="","",'CEM Price Data'!X59)</f>
        <v>308.39</v>
      </c>
      <c r="X60" s="526">
        <f>IF('CEM Price Data'!Y59="","",'CEM Price Data'!Y59)</f>
        <v>507.31</v>
      </c>
      <c r="Y60" s="526">
        <f>IF('CEM Price Data'!Z59="","",'CEM Price Data'!Z59)</f>
        <v>267.76</v>
      </c>
      <c r="Z60" s="526">
        <f>IF('CEM Price Data'!AA59="","",'CEM Price Data'!AA59)</f>
        <v>62.41</v>
      </c>
      <c r="AA60" s="526">
        <f>IF('CEM Price Data'!AB59="","",'CEM Price Data'!AB59)</f>
        <v>123.45</v>
      </c>
      <c r="AB60" s="526">
        <f>IF('CEM Price Data'!AC59="","",'CEM Price Data'!AC59)</f>
        <v>84.13</v>
      </c>
      <c r="AC60" s="526">
        <f>IF('CEM Price Data'!AD59="","",'CEM Price Data'!AD59)</f>
        <v>106.79</v>
      </c>
      <c r="AD60" s="526">
        <f>IF('CEM Price Data'!AE59="","",'CEM Price Data'!AE59)</f>
        <v>36.36</v>
      </c>
      <c r="AE60" s="526">
        <f>IF('CEM Price Data'!AF59="","",'CEM Price Data'!AF59)</f>
        <v>204.51</v>
      </c>
      <c r="AF60" s="526">
        <f>IF('CEM Price Data'!AG59="","",'CEM Price Data'!AG59)</f>
        <v>86.85</v>
      </c>
      <c r="AG60" s="526">
        <f>IF('CEM Price Data'!AH59="","",'CEM Price Data'!AH59)</f>
        <v>5.97</v>
      </c>
      <c r="AH60" s="526">
        <f>IF('CEM Price Data'!AI59="","",'CEM Price Data'!AI59)</f>
        <v>69.739999999999995</v>
      </c>
      <c r="AI60" s="526">
        <f>IF('CEM Price Data'!AJ59="","",'CEM Price Data'!AJ59)</f>
        <v>500.81</v>
      </c>
      <c r="AJ60" s="526">
        <f>IF('CEM Price Data'!AK59="","",'CEM Price Data'!AK59)</f>
        <v>153.44999999999999</v>
      </c>
      <c r="AK60" s="526">
        <f>IF('CEM Price Data'!AL59="","",'CEM Price Data'!AL59)</f>
        <v>174.89</v>
      </c>
      <c r="AL60" s="526">
        <f>IF('CEM Price Data'!AM59="","",'CEM Price Data'!AM59)</f>
        <v>271.99</v>
      </c>
      <c r="AM60" s="526">
        <f>IF('CEM Price Data'!AN59="","",'CEM Price Data'!AN59)</f>
        <v>264.23</v>
      </c>
      <c r="AN60" s="526">
        <f>IF('CEM Price Data'!AO59="","",'CEM Price Data'!AO59)</f>
        <v>13.48</v>
      </c>
    </row>
    <row r="61" spans="1:40">
      <c r="A61" s="525">
        <f>IF('CEM Price Data'!B60="","",'CEM Price Data'!B60)</f>
        <v>44844</v>
      </c>
      <c r="B61" s="526">
        <f>IF('CEM Price Data'!C60="","",'CEM Price Data'!C60)</f>
        <v>125.95</v>
      </c>
      <c r="C61" s="526">
        <f>IF('CEM Price Data'!D60="","",'CEM Price Data'!D60)</f>
        <v>101.13</v>
      </c>
      <c r="D61" s="526">
        <f>IF('CEM Price Data'!E60="","",'CEM Price Data'!E60)</f>
        <v>140.9</v>
      </c>
      <c r="E61" s="526">
        <f>IF('CEM Price Data'!F60="","",'CEM Price Data'!F60)</f>
        <v>149.57</v>
      </c>
      <c r="F61" s="526">
        <f>IF('CEM Price Data'!G60="","",'CEM Price Data'!G60)</f>
        <v>49.58</v>
      </c>
      <c r="G61" s="526">
        <f>IF('CEM Price Data'!H60="","",'CEM Price Data'!H60)</f>
        <v>232.44</v>
      </c>
      <c r="H61" s="526">
        <f>IF('CEM Price Data'!I60="","",'CEM Price Data'!I60)</f>
        <v>65</v>
      </c>
      <c r="I61" s="526">
        <f>IF('CEM Price Data'!J60="","",'CEM Price Data'!J60)</f>
        <v>68.48</v>
      </c>
      <c r="J61" s="526">
        <f>IF('CEM Price Data'!K60="","",'CEM Price Data'!K60)</f>
        <v>143.53</v>
      </c>
      <c r="K61" s="526">
        <f>IF('CEM Price Data'!L60="","",'CEM Price Data'!L60)</f>
        <v>261.23</v>
      </c>
      <c r="L61" s="526">
        <f>IF('CEM Price Data'!M60="","",'CEM Price Data'!M60)</f>
        <v>437.41</v>
      </c>
      <c r="M61" s="526">
        <f>IF('CEM Price Data'!N60="","",'CEM Price Data'!N60)</f>
        <v>117.52</v>
      </c>
      <c r="N61" s="526">
        <f>IF('CEM Price Data'!O60="","",'CEM Price Data'!O60)</f>
        <v>124.02</v>
      </c>
      <c r="O61" s="526">
        <f>IF('CEM Price Data'!P60="","",'CEM Price Data'!P60)</f>
        <v>88.76</v>
      </c>
      <c r="P61" s="526">
        <f>IF('CEM Price Data'!Q60="","",'CEM Price Data'!Q60)</f>
        <v>81.099999999999994</v>
      </c>
      <c r="Q61" s="526">
        <f>IF('CEM Price Data'!R60="","",'CEM Price Data'!R60)</f>
        <v>133.24</v>
      </c>
      <c r="R61" s="526">
        <f>IF('CEM Price Data'!S60="","",'CEM Price Data'!S60)</f>
        <v>185.43</v>
      </c>
      <c r="S61" s="526">
        <f>IF('CEM Price Data'!T60="","",'CEM Price Data'!T60)</f>
        <v>75.86</v>
      </c>
      <c r="T61" s="526">
        <f>IF('CEM Price Data'!U60="","",'CEM Price Data'!U60)</f>
        <v>90.48</v>
      </c>
      <c r="U61" s="526">
        <f>IF('CEM Price Data'!V60="","",'CEM Price Data'!V60)</f>
        <v>406.92</v>
      </c>
      <c r="V61" s="526">
        <f>IF('CEM Price Data'!W60="","",'CEM Price Data'!W60)</f>
        <v>227.02</v>
      </c>
      <c r="W61" s="526">
        <f>IF('CEM Price Data'!X60="","",'CEM Price Data'!X60)</f>
        <v>306.51</v>
      </c>
      <c r="X61" s="526">
        <f>IF('CEM Price Data'!Y60="","",'CEM Price Data'!Y60)</f>
        <v>503.83</v>
      </c>
      <c r="Y61" s="526">
        <f>IF('CEM Price Data'!Z60="","",'CEM Price Data'!Z60)</f>
        <v>267.85000000000002</v>
      </c>
      <c r="Z61" s="526">
        <f>IF('CEM Price Data'!AA60="","",'CEM Price Data'!AA60)</f>
        <v>62.57</v>
      </c>
      <c r="AA61" s="526">
        <f>IF('CEM Price Data'!AB60="","",'CEM Price Data'!AB60)</f>
        <v>123.73</v>
      </c>
      <c r="AB61" s="526">
        <f>IF('CEM Price Data'!AC60="","",'CEM Price Data'!AC60)</f>
        <v>82.8</v>
      </c>
      <c r="AC61" s="526">
        <f>IF('CEM Price Data'!AD60="","",'CEM Price Data'!AD60)</f>
        <v>104.79</v>
      </c>
      <c r="AD61" s="526">
        <f>IF('CEM Price Data'!AE60="","",'CEM Price Data'!AE60)</f>
        <v>36.450000000000003</v>
      </c>
      <c r="AE61" s="526">
        <f>IF('CEM Price Data'!AF60="","",'CEM Price Data'!AF60)</f>
        <v>205.8</v>
      </c>
      <c r="AF61" s="526">
        <f>IF('CEM Price Data'!AG60="","",'CEM Price Data'!AG60)</f>
        <v>86.31</v>
      </c>
      <c r="AG61" s="526">
        <f>IF('CEM Price Data'!AH60="","",'CEM Price Data'!AH60)</f>
        <v>5.93</v>
      </c>
      <c r="AH61" s="526">
        <f>IF('CEM Price Data'!AI60="","",'CEM Price Data'!AI60)</f>
        <v>70.69</v>
      </c>
      <c r="AI61" s="526">
        <f>IF('CEM Price Data'!AJ60="","",'CEM Price Data'!AJ60)</f>
        <v>510.84</v>
      </c>
      <c r="AJ61" s="526">
        <f>IF('CEM Price Data'!AK60="","",'CEM Price Data'!AK60)</f>
        <v>156.79</v>
      </c>
      <c r="AK61" s="526">
        <f>IF('CEM Price Data'!AL60="","",'CEM Price Data'!AL60)</f>
        <v>176.99</v>
      </c>
      <c r="AL61" s="526">
        <f>IF('CEM Price Data'!AM60="","",'CEM Price Data'!AM60)</f>
        <v>272.26</v>
      </c>
      <c r="AM61" s="526">
        <f>IF('CEM Price Data'!AN60="","",'CEM Price Data'!AN60)</f>
        <v>260.98</v>
      </c>
      <c r="AN61" s="526">
        <f>IF('CEM Price Data'!AO60="","",'CEM Price Data'!AO60)</f>
        <v>13.52</v>
      </c>
    </row>
    <row r="62" spans="1:40">
      <c r="A62" s="525">
        <f>IF('CEM Price Data'!B61="","",'CEM Price Data'!B61)</f>
        <v>44841</v>
      </c>
      <c r="B62" s="526">
        <f>IF('CEM Price Data'!C61="","",'CEM Price Data'!C61)</f>
        <v>127.44</v>
      </c>
      <c r="C62" s="526">
        <f>IF('CEM Price Data'!D61="","",'CEM Price Data'!D61)</f>
        <v>101.79</v>
      </c>
      <c r="D62" s="526">
        <f>IF('CEM Price Data'!E61="","",'CEM Price Data'!E61)</f>
        <v>144.91999999999999</v>
      </c>
      <c r="E62" s="526">
        <f>IF('CEM Price Data'!F61="","",'CEM Price Data'!F61)</f>
        <v>147.69</v>
      </c>
      <c r="F62" s="526">
        <f>IF('CEM Price Data'!G61="","",'CEM Price Data'!G61)</f>
        <v>49.5</v>
      </c>
      <c r="G62" s="526">
        <f>IF('CEM Price Data'!H61="","",'CEM Price Data'!H61)</f>
        <v>231.75</v>
      </c>
      <c r="H62" s="526">
        <f>IF('CEM Price Data'!I61="","",'CEM Price Data'!I61)</f>
        <v>65.13</v>
      </c>
      <c r="I62" s="526">
        <f>IF('CEM Price Data'!J61="","",'CEM Price Data'!J61)</f>
        <v>69.7</v>
      </c>
      <c r="J62" s="526">
        <f>IF('CEM Price Data'!K61="","",'CEM Price Data'!K61)</f>
        <v>142.87</v>
      </c>
      <c r="K62" s="526">
        <f>IF('CEM Price Data'!L61="","",'CEM Price Data'!L61)</f>
        <v>260.76</v>
      </c>
      <c r="L62" s="526">
        <f>IF('CEM Price Data'!M61="","",'CEM Price Data'!M61)</f>
        <v>436.11</v>
      </c>
      <c r="M62" s="526">
        <f>IF('CEM Price Data'!N61="","",'CEM Price Data'!N61)</f>
        <v>116.02</v>
      </c>
      <c r="N62" s="526">
        <f>IF('CEM Price Data'!O61="","",'CEM Price Data'!O61)</f>
        <v>123.31</v>
      </c>
      <c r="O62" s="526">
        <f>IF('CEM Price Data'!P61="","",'CEM Price Data'!P61)</f>
        <v>88.36</v>
      </c>
      <c r="P62" s="526">
        <f>IF('CEM Price Data'!Q61="","",'CEM Price Data'!Q61)</f>
        <v>80.569999999999993</v>
      </c>
      <c r="Q62" s="526">
        <f>IF('CEM Price Data'!R61="","",'CEM Price Data'!R61)</f>
        <v>129.91999999999999</v>
      </c>
      <c r="R62" s="526">
        <f>IF('CEM Price Data'!S61="","",'CEM Price Data'!S61)</f>
        <v>185.66</v>
      </c>
      <c r="S62" s="526">
        <f>IF('CEM Price Data'!T61="","",'CEM Price Data'!T61)</f>
        <v>73.44</v>
      </c>
      <c r="T62" s="526">
        <f>IF('CEM Price Data'!U61="","",'CEM Price Data'!U61)</f>
        <v>87.6</v>
      </c>
      <c r="U62" s="526">
        <f>IF('CEM Price Data'!V61="","",'CEM Price Data'!V61)</f>
        <v>419.84</v>
      </c>
      <c r="V62" s="526">
        <f>IF('CEM Price Data'!W61="","",'CEM Price Data'!W61)</f>
        <v>229.85</v>
      </c>
      <c r="W62" s="526">
        <f>IF('CEM Price Data'!X61="","",'CEM Price Data'!X61)</f>
        <v>297.70999999999998</v>
      </c>
      <c r="X62" s="526">
        <f>IF('CEM Price Data'!Y61="","",'CEM Price Data'!Y61)</f>
        <v>496.09</v>
      </c>
      <c r="Y62" s="526">
        <f>IF('CEM Price Data'!Z61="","",'CEM Price Data'!Z61)</f>
        <v>260.04000000000002</v>
      </c>
      <c r="Z62" s="526">
        <f>IF('CEM Price Data'!AA61="","",'CEM Price Data'!AA61)</f>
        <v>63.29</v>
      </c>
      <c r="AA62" s="526">
        <f>IF('CEM Price Data'!AB61="","",'CEM Price Data'!AB61)</f>
        <v>121.96</v>
      </c>
      <c r="AB62" s="526">
        <f>IF('CEM Price Data'!AC61="","",'CEM Price Data'!AC61)</f>
        <v>82.17</v>
      </c>
      <c r="AC62" s="526">
        <f>IF('CEM Price Data'!AD61="","",'CEM Price Data'!AD61)</f>
        <v>101.94</v>
      </c>
      <c r="AD62" s="526">
        <f>IF('CEM Price Data'!AE61="","",'CEM Price Data'!AE61)</f>
        <v>36.159999999999997</v>
      </c>
      <c r="AE62" s="526">
        <f>IF('CEM Price Data'!AF61="","",'CEM Price Data'!AF61)</f>
        <v>205.6</v>
      </c>
      <c r="AF62" s="526">
        <f>IF('CEM Price Data'!AG61="","",'CEM Price Data'!AG61)</f>
        <v>84.3</v>
      </c>
      <c r="AG62" s="526">
        <f>IF('CEM Price Data'!AH61="","",'CEM Price Data'!AH61)</f>
        <v>5.87</v>
      </c>
      <c r="AH62" s="526">
        <f>IF('CEM Price Data'!AI61="","",'CEM Price Data'!AI61)</f>
        <v>68.97</v>
      </c>
      <c r="AI62" s="526">
        <f>IF('CEM Price Data'!AJ61="","",'CEM Price Data'!AJ61)</f>
        <v>523.61</v>
      </c>
      <c r="AJ62" s="526">
        <f>IF('CEM Price Data'!AK61="","",'CEM Price Data'!AK61)</f>
        <v>159.28</v>
      </c>
      <c r="AK62" s="526">
        <f>IF('CEM Price Data'!AL61="","",'CEM Price Data'!AL61)</f>
        <v>177.86</v>
      </c>
      <c r="AL62" s="526">
        <f>IF('CEM Price Data'!AM61="","",'CEM Price Data'!AM61)</f>
        <v>276.5</v>
      </c>
      <c r="AM62" s="526">
        <f>IF('CEM Price Data'!AN61="","",'CEM Price Data'!AN61)</f>
        <v>258.48</v>
      </c>
      <c r="AN62" s="526">
        <f>IF('CEM Price Data'!AO61="","",'CEM Price Data'!AO61)</f>
        <v>13.47</v>
      </c>
    </row>
    <row r="63" spans="1:40">
      <c r="A63" s="525">
        <f>IF('CEM Price Data'!B62="","",'CEM Price Data'!B62)</f>
        <v>44840</v>
      </c>
      <c r="B63" s="526">
        <f>IF('CEM Price Data'!C62="","",'CEM Price Data'!C62)</f>
        <v>132.18</v>
      </c>
      <c r="C63" s="526">
        <f>IF('CEM Price Data'!D62="","",'CEM Price Data'!D62)</f>
        <v>102.45</v>
      </c>
      <c r="D63" s="526">
        <f>IF('CEM Price Data'!E62="","",'CEM Price Data'!E62)</f>
        <v>150.97</v>
      </c>
      <c r="E63" s="526">
        <f>IF('CEM Price Data'!F62="","",'CEM Price Data'!F62)</f>
        <v>149.93</v>
      </c>
      <c r="F63" s="526">
        <f>IF('CEM Price Data'!G62="","",'CEM Price Data'!G62)</f>
        <v>50.78</v>
      </c>
      <c r="G63" s="526">
        <f>IF('CEM Price Data'!H62="","",'CEM Price Data'!H62)</f>
        <v>238.59</v>
      </c>
      <c r="H63" s="526">
        <f>IF('CEM Price Data'!I62="","",'CEM Price Data'!I62)</f>
        <v>66.2</v>
      </c>
      <c r="I63" s="526">
        <f>IF('CEM Price Data'!J62="","",'CEM Price Data'!J62)</f>
        <v>70.239999999999995</v>
      </c>
      <c r="J63" s="526">
        <f>IF('CEM Price Data'!K62="","",'CEM Price Data'!K62)</f>
        <v>145.44</v>
      </c>
      <c r="K63" s="526">
        <f>IF('CEM Price Data'!L62="","",'CEM Price Data'!L62)</f>
        <v>263.01</v>
      </c>
      <c r="L63" s="526">
        <f>IF('CEM Price Data'!M62="","",'CEM Price Data'!M62)</f>
        <v>440.47</v>
      </c>
      <c r="M63" s="526">
        <f>IF('CEM Price Data'!N62="","",'CEM Price Data'!N62)</f>
        <v>123.64</v>
      </c>
      <c r="N63" s="526">
        <f>IF('CEM Price Data'!O62="","",'CEM Price Data'!O62)</f>
        <v>126.06</v>
      </c>
      <c r="O63" s="526">
        <f>IF('CEM Price Data'!P62="","",'CEM Price Data'!P62)</f>
        <v>87.5</v>
      </c>
      <c r="P63" s="526">
        <f>IF('CEM Price Data'!Q62="","",'CEM Price Data'!Q62)</f>
        <v>80.73</v>
      </c>
      <c r="Q63" s="526">
        <f>IF('CEM Price Data'!R62="","",'CEM Price Data'!R62)</f>
        <v>128.72</v>
      </c>
      <c r="R63" s="526">
        <f>IF('CEM Price Data'!S62="","",'CEM Price Data'!S62)</f>
        <v>186.02</v>
      </c>
      <c r="S63" s="526">
        <f>IF('CEM Price Data'!T62="","",'CEM Price Data'!T62)</f>
        <v>72.430000000000007</v>
      </c>
      <c r="T63" s="526">
        <f>IF('CEM Price Data'!U62="","",'CEM Price Data'!U62)</f>
        <v>87.44</v>
      </c>
      <c r="U63" s="526">
        <f>IF('CEM Price Data'!V62="","",'CEM Price Data'!V62)</f>
        <v>436.65</v>
      </c>
      <c r="V63" s="526">
        <f>IF('CEM Price Data'!W62="","",'CEM Price Data'!W62)</f>
        <v>234.2</v>
      </c>
      <c r="W63" s="526">
        <f>IF('CEM Price Data'!X62="","",'CEM Price Data'!X62)</f>
        <v>303.57</v>
      </c>
      <c r="X63" s="526">
        <f>IF('CEM Price Data'!Y62="","",'CEM Price Data'!Y62)</f>
        <v>485.23</v>
      </c>
      <c r="Y63" s="526">
        <f>IF('CEM Price Data'!Z62="","",'CEM Price Data'!Z62)</f>
        <v>277.18</v>
      </c>
      <c r="Z63" s="526">
        <f>IF('CEM Price Data'!AA62="","",'CEM Price Data'!AA62)</f>
        <v>65.3</v>
      </c>
      <c r="AA63" s="526">
        <f>IF('CEM Price Data'!AB62="","",'CEM Price Data'!AB62)</f>
        <v>121.92</v>
      </c>
      <c r="AB63" s="526">
        <f>IF('CEM Price Data'!AC62="","",'CEM Price Data'!AC62)</f>
        <v>81.150000000000006</v>
      </c>
      <c r="AC63" s="526">
        <f>IF('CEM Price Data'!AD62="","",'CEM Price Data'!AD62)</f>
        <v>103.66</v>
      </c>
      <c r="AD63" s="526">
        <f>IF('CEM Price Data'!AE62="","",'CEM Price Data'!AE62)</f>
        <v>37.130000000000003</v>
      </c>
      <c r="AE63" s="526">
        <f>IF('CEM Price Data'!AF62="","",'CEM Price Data'!AF62)</f>
        <v>216.77</v>
      </c>
      <c r="AF63" s="526">
        <f>IF('CEM Price Data'!AG62="","",'CEM Price Data'!AG62)</f>
        <v>85.31</v>
      </c>
      <c r="AG63" s="526">
        <f>IF('CEM Price Data'!AH62="","",'CEM Price Data'!AH62)</f>
        <v>5.93</v>
      </c>
      <c r="AH63" s="526">
        <f>IF('CEM Price Data'!AI62="","",'CEM Price Data'!AI62)</f>
        <v>70.8</v>
      </c>
      <c r="AI63" s="526">
        <f>IF('CEM Price Data'!AJ62="","",'CEM Price Data'!AJ62)</f>
        <v>540.59</v>
      </c>
      <c r="AJ63" s="526">
        <f>IF('CEM Price Data'!AK62="","",'CEM Price Data'!AK62)</f>
        <v>166.54</v>
      </c>
      <c r="AK63" s="526">
        <f>IF('CEM Price Data'!AL62="","",'CEM Price Data'!AL62)</f>
        <v>182.08</v>
      </c>
      <c r="AL63" s="526">
        <f>IF('CEM Price Data'!AM62="","",'CEM Price Data'!AM62)</f>
        <v>287.55</v>
      </c>
      <c r="AM63" s="526">
        <f>IF('CEM Price Data'!AN62="","",'CEM Price Data'!AN62)</f>
        <v>268.19</v>
      </c>
      <c r="AN63" s="526">
        <f>IF('CEM Price Data'!AO62="","",'CEM Price Data'!AO62)</f>
        <v>13.84</v>
      </c>
    </row>
    <row r="65" spans="1:40">
      <c r="A65" s="523" t="s">
        <v>23</v>
      </c>
      <c r="B65" s="316">
        <f t="shared" ref="B65:AN65" si="0">IFERROR(ROUND(AVERAGE(B4:B63),2),0)</f>
        <v>143.41</v>
      </c>
      <c r="C65" s="316">
        <f t="shared" si="0"/>
        <v>103.62</v>
      </c>
      <c r="D65" s="316">
        <f t="shared" si="0"/>
        <v>156.44</v>
      </c>
      <c r="E65" s="316">
        <f t="shared" si="0"/>
        <v>132.31</v>
      </c>
      <c r="F65" s="316">
        <f t="shared" si="0"/>
        <v>56.13</v>
      </c>
      <c r="G65" s="316">
        <f t="shared" si="0"/>
        <v>283.73</v>
      </c>
      <c r="H65" s="316">
        <f t="shared" si="0"/>
        <v>67.84</v>
      </c>
      <c r="I65" s="316">
        <f t="shared" si="0"/>
        <v>75.62</v>
      </c>
      <c r="J65" s="316">
        <f t="shared" si="0"/>
        <v>141.63</v>
      </c>
      <c r="K65" s="316">
        <f t="shared" si="0"/>
        <v>292.69</v>
      </c>
      <c r="L65" s="316">
        <f t="shared" si="0"/>
        <v>488.69</v>
      </c>
      <c r="M65" s="316">
        <f t="shared" si="0"/>
        <v>119.35</v>
      </c>
      <c r="N65" s="316">
        <f t="shared" si="0"/>
        <v>144.53</v>
      </c>
      <c r="O65" s="316">
        <f t="shared" si="0"/>
        <v>97.51</v>
      </c>
      <c r="P65" s="316">
        <f t="shared" si="0"/>
        <v>92.71</v>
      </c>
      <c r="Q65" s="316">
        <f t="shared" si="0"/>
        <v>149.24</v>
      </c>
      <c r="R65" s="316">
        <f t="shared" si="0"/>
        <v>184.5</v>
      </c>
      <c r="S65" s="316">
        <f t="shared" si="0"/>
        <v>80.98</v>
      </c>
      <c r="T65" s="316">
        <f t="shared" si="0"/>
        <v>102.92</v>
      </c>
      <c r="U65" s="316">
        <f t="shared" si="0"/>
        <v>466.39</v>
      </c>
      <c r="V65" s="316">
        <f t="shared" si="0"/>
        <v>250.74</v>
      </c>
      <c r="W65" s="316">
        <f t="shared" si="0"/>
        <v>307.73</v>
      </c>
      <c r="X65" s="316">
        <f t="shared" si="0"/>
        <v>523.41</v>
      </c>
      <c r="Y65" s="316">
        <f t="shared" si="0"/>
        <v>284.83999999999997</v>
      </c>
      <c r="Z65" s="316">
        <f t="shared" si="0"/>
        <v>76.540000000000006</v>
      </c>
      <c r="AA65" s="316">
        <f t="shared" si="0"/>
        <v>126.94</v>
      </c>
      <c r="AB65" s="316">
        <f t="shared" si="0"/>
        <v>89.41</v>
      </c>
      <c r="AC65" s="316">
        <f t="shared" si="0"/>
        <v>125.35</v>
      </c>
      <c r="AD65" s="316">
        <f t="shared" si="0"/>
        <v>38.97</v>
      </c>
      <c r="AE65" s="316">
        <f t="shared" si="0"/>
        <v>231.93</v>
      </c>
      <c r="AF65" s="316">
        <f t="shared" si="0"/>
        <v>91.48</v>
      </c>
      <c r="AG65" s="316">
        <f t="shared" si="0"/>
        <v>6.16</v>
      </c>
      <c r="AH65" s="316">
        <f t="shared" si="0"/>
        <v>71.62</v>
      </c>
      <c r="AI65" s="316">
        <f t="shared" si="0"/>
        <v>529.55999999999995</v>
      </c>
      <c r="AJ65" s="316">
        <f t="shared" si="0"/>
        <v>166.87</v>
      </c>
      <c r="AK65" s="316">
        <f t="shared" si="0"/>
        <v>192.17</v>
      </c>
      <c r="AL65" s="316">
        <f t="shared" si="0"/>
        <v>317.89999999999998</v>
      </c>
      <c r="AM65" s="316">
        <f t="shared" si="0"/>
        <v>262.52</v>
      </c>
      <c r="AN65" s="316">
        <f t="shared" si="0"/>
        <v>13.79</v>
      </c>
    </row>
    <row r="66" spans="1:40">
      <c r="B66" s="316"/>
      <c r="C66" s="316"/>
      <c r="D66" s="316"/>
      <c r="E66" s="316"/>
      <c r="F66" s="316"/>
      <c r="G66" s="655"/>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row>
    <row r="67" spans="1:40" s="527" customFormat="1">
      <c r="A67" s="527" t="s">
        <v>157</v>
      </c>
      <c r="B67" s="164">
        <f>VLOOKUP(B2,'CEM Data Lookup'!$A$3:$I$60,9,FALSE)</f>
        <v>0.9</v>
      </c>
      <c r="C67" s="164">
        <f>VLOOKUP(C2,'CEM Data Lookup'!$A$3:$I$60,9,FALSE)</f>
        <v>2.04</v>
      </c>
      <c r="D67" s="164">
        <f>VLOOKUP(D2,'CEM Data Lookup'!$A$3:$I$60,9,FALSE)</f>
        <v>3.04</v>
      </c>
      <c r="E67" s="164">
        <f>VLOOKUP(E2,'CEM Data Lookup'!$A$3:$I$60,9,FALSE)</f>
        <v>2.8</v>
      </c>
      <c r="F67" s="164">
        <f>VLOOKUP(F2,'CEM Data Lookup'!$A$3:$I$60,9,FALSE)</f>
        <v>1.2</v>
      </c>
      <c r="G67" s="164">
        <f>VLOOKUP(G2,'CEM Data Lookup'!$A$3:$I$60,9,FALSE)</f>
        <v>6.48</v>
      </c>
      <c r="H67" s="164">
        <f>VLOOKUP(H2,'CEM Data Lookup'!$A$3:$I$60,9,FALSE)</f>
        <v>0.82199999999999995</v>
      </c>
      <c r="I67" s="164">
        <f>VLOOKUP(I2,'CEM Data Lookup'!$A$3:$I$60,9,FALSE)</f>
        <v>2.2799999999999998</v>
      </c>
      <c r="J67" s="164">
        <f>VLOOKUP(J2,'CEM Data Lookup'!$A$3:$I$60,9,FALSE)</f>
        <v>2.9</v>
      </c>
      <c r="K67" s="164" t="str">
        <f>VLOOKUP(K2,'CEM Data Lookup'!$A$3:$I$60,9,FALSE)</f>
        <v>NA</v>
      </c>
      <c r="L67" s="164">
        <f>VLOOKUP(L2,'CEM Data Lookup'!$A$3:$I$60,9,FALSE)</f>
        <v>1.52</v>
      </c>
      <c r="M67" s="164">
        <f>VLOOKUP(M2,'CEM Data Lookup'!$A$3:$I$60,9,FALSE)</f>
        <v>0.68</v>
      </c>
      <c r="N67" s="164">
        <f>VLOOKUP(N2,'CEM Data Lookup'!$A$3:$I$60,9,FALSE)</f>
        <v>2.64</v>
      </c>
      <c r="O67" s="164">
        <f>VLOOKUP(O2,'CEM Data Lookup'!$A$3:$I$60,9,FALSE)</f>
        <v>0.96</v>
      </c>
      <c r="P67" s="164">
        <f>VLOOKUP(P2,'CEM Data Lookup'!$A$3:$I$60,9,FALSE)</f>
        <v>2.84</v>
      </c>
      <c r="Q67" s="164">
        <f>VLOOKUP(Q2,'CEM Data Lookup'!$A$3:$I$60,9,FALSE)</f>
        <v>2.8</v>
      </c>
      <c r="R67" s="164">
        <f>VLOOKUP(R2,'CEM Data Lookup'!$A$3:$I$60,9,FALSE)</f>
        <v>1.96</v>
      </c>
      <c r="S67" s="164">
        <f>VLOOKUP(S2,'CEM Data Lookup'!$A$3:$I$60,9,FALSE)</f>
        <v>1.56</v>
      </c>
      <c r="T67" s="164">
        <f>VLOOKUP(T2,'CEM Data Lookup'!$A$3:$I$60,9,FALSE)</f>
        <v>2.92</v>
      </c>
      <c r="U67" s="164">
        <f>VLOOKUP(U2,'CEM Data Lookup'!$A$3:$I$60,9,FALSE)</f>
        <v>5</v>
      </c>
      <c r="V67" s="164">
        <f>VLOOKUP(V2,'CEM Data Lookup'!$A$3:$I$60,9,FALSE)</f>
        <v>3.52</v>
      </c>
      <c r="W67" s="164">
        <f>VLOOKUP(W2,'CEM Data Lookup'!$A$3:$I$60,9,FALSE)</f>
        <v>8.4</v>
      </c>
      <c r="X67" s="164">
        <f>VLOOKUP(X2,'CEM Data Lookup'!$A$3:$I$60,9,FALSE)</f>
        <v>6.92</v>
      </c>
      <c r="Y67" s="164">
        <f>VLOOKUP(Y2,'CEM Data Lookup'!$A$3:$I$60,9,FALSE)</f>
        <v>1.2</v>
      </c>
      <c r="Z67" s="164">
        <f>VLOOKUP(Z2,'CEM Data Lookup'!$A$3:$I$60,9,FALSE)</f>
        <v>1.28</v>
      </c>
      <c r="AA67" s="164">
        <f>VLOOKUP(AA2,'CEM Data Lookup'!$A$3:$I$60,9,FALSE)</f>
        <v>0.4</v>
      </c>
      <c r="AB67" s="164" t="str">
        <f>VLOOKUP(AB2,'CEM Data Lookup'!$A$3:$I$60,9,FALSE)</f>
        <v>NA</v>
      </c>
      <c r="AC67" s="164">
        <f>VLOOKUP(AC2,'CEM Data Lookup'!$A$3:$I$60,9,FALSE)</f>
        <v>1.04</v>
      </c>
      <c r="AD67" s="164">
        <f>VLOOKUP(AD2,'CEM Data Lookup'!$A$3:$I$60,9,FALSE)</f>
        <v>0.52</v>
      </c>
      <c r="AE67" s="164">
        <f>VLOOKUP(AE2,'CEM Data Lookup'!$A$3:$I$60,9,FALSE)</f>
        <v>2.4</v>
      </c>
      <c r="AF67" s="164">
        <f>VLOOKUP(AF2,'CEM Data Lookup'!$A$3:$I$60,9,FALSE)</f>
        <v>1.2</v>
      </c>
      <c r="AG67" s="164">
        <f>VLOOKUP(AG2,'CEM Data Lookup'!$A$3:$I$60,9,FALSE)</f>
        <v>9.6799999999999997E-2</v>
      </c>
      <c r="AH67" s="164">
        <f>VLOOKUP(AH2,'CEM Data Lookup'!$A$3:$I$60,9,FALSE)</f>
        <v>1.64</v>
      </c>
      <c r="AI67" s="164">
        <f>VLOOKUP(AI2,'CEM Data Lookup'!$A$3:$I$60,9,FALSE)</f>
        <v>1.2</v>
      </c>
      <c r="AJ67" s="164">
        <f>VLOOKUP(AJ2,'CEM Data Lookup'!$A$3:$I$60,9,FALSE)</f>
        <v>4.96</v>
      </c>
      <c r="AK67" s="164" t="str">
        <f>VLOOKUP(AK2,'CEM Data Lookup'!$A$3:$I$60,9,FALSE)</f>
        <v>NA</v>
      </c>
      <c r="AL67" s="164" t="str">
        <f>VLOOKUP(AL2,'CEM Data Lookup'!$A$3:$I$60,9,FALSE)</f>
        <v>NA</v>
      </c>
      <c r="AM67" s="164">
        <f>VLOOKUP(AM2,'CEM Data Lookup'!$A$3:$I$60,9,FALSE)</f>
        <v>8.8000000000000007</v>
      </c>
      <c r="AN67" s="164">
        <f>VLOOKUP(AN2,'CEM Data Lookup'!$A$3:$I$60,9,FALSE)</f>
        <v>0.94</v>
      </c>
    </row>
    <row r="68" spans="1:40">
      <c r="B68" s="316"/>
      <c r="C68" s="316"/>
      <c r="D68" s="316"/>
      <c r="E68" s="316"/>
      <c r="F68" s="316"/>
      <c r="G68" s="655"/>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row>
    <row r="69" spans="1:40">
      <c r="A69" s="523" t="s">
        <v>1320</v>
      </c>
      <c r="B69" s="316">
        <f t="shared" ref="B69:AN69" si="1">IFERROR(ROUND(100 * B67/B65,2),0)</f>
        <v>0.63</v>
      </c>
      <c r="C69" s="316">
        <f t="shared" si="1"/>
        <v>1.97</v>
      </c>
      <c r="D69" s="316">
        <f t="shared" si="1"/>
        <v>1.94</v>
      </c>
      <c r="E69" s="316">
        <f t="shared" si="1"/>
        <v>2.12</v>
      </c>
      <c r="F69" s="316">
        <f t="shared" si="1"/>
        <v>2.14</v>
      </c>
      <c r="G69" s="316">
        <f t="shared" si="1"/>
        <v>2.2799999999999998</v>
      </c>
      <c r="H69" s="316">
        <f t="shared" si="1"/>
        <v>1.21</v>
      </c>
      <c r="I69" s="316">
        <f t="shared" si="1"/>
        <v>3.02</v>
      </c>
      <c r="J69" s="316">
        <f t="shared" si="1"/>
        <v>2.0499999999999998</v>
      </c>
      <c r="K69" s="316">
        <f t="shared" si="1"/>
        <v>0</v>
      </c>
      <c r="L69" s="316">
        <f t="shared" si="1"/>
        <v>0.31</v>
      </c>
      <c r="M69" s="316">
        <f t="shared" si="1"/>
        <v>0.56999999999999995</v>
      </c>
      <c r="N69" s="316">
        <f t="shared" si="1"/>
        <v>1.83</v>
      </c>
      <c r="O69" s="316">
        <f t="shared" si="1"/>
        <v>0.98</v>
      </c>
      <c r="P69" s="316">
        <f t="shared" si="1"/>
        <v>3.06</v>
      </c>
      <c r="Q69" s="316">
        <f t="shared" si="1"/>
        <v>1.88</v>
      </c>
      <c r="R69" s="316">
        <f t="shared" si="1"/>
        <v>1.06</v>
      </c>
      <c r="S69" s="316">
        <f t="shared" si="1"/>
        <v>1.93</v>
      </c>
      <c r="T69" s="316">
        <f t="shared" si="1"/>
        <v>2.84</v>
      </c>
      <c r="U69" s="316">
        <f t="shared" si="1"/>
        <v>1.07</v>
      </c>
      <c r="V69" s="316">
        <f t="shared" si="1"/>
        <v>1.4</v>
      </c>
      <c r="W69" s="316">
        <f t="shared" si="1"/>
        <v>2.73</v>
      </c>
      <c r="X69" s="316">
        <f t="shared" si="1"/>
        <v>1.32</v>
      </c>
      <c r="Y69" s="316">
        <f t="shared" si="1"/>
        <v>0.42</v>
      </c>
      <c r="Z69" s="316">
        <f t="shared" si="1"/>
        <v>1.67</v>
      </c>
      <c r="AA69" s="316">
        <f t="shared" si="1"/>
        <v>0.32</v>
      </c>
      <c r="AB69" s="316">
        <f t="shared" si="1"/>
        <v>0</v>
      </c>
      <c r="AC69" s="316">
        <f t="shared" si="1"/>
        <v>0.83</v>
      </c>
      <c r="AD69" s="316">
        <f t="shared" si="1"/>
        <v>1.33</v>
      </c>
      <c r="AE69" s="316">
        <f t="shared" si="1"/>
        <v>1.03</v>
      </c>
      <c r="AF69" s="316">
        <f t="shared" si="1"/>
        <v>1.31</v>
      </c>
      <c r="AG69" s="316">
        <f t="shared" si="1"/>
        <v>1.57</v>
      </c>
      <c r="AH69" s="316">
        <f t="shared" si="1"/>
        <v>2.29</v>
      </c>
      <c r="AI69" s="316">
        <f t="shared" si="1"/>
        <v>0.23</v>
      </c>
      <c r="AJ69" s="316">
        <f t="shared" si="1"/>
        <v>2.97</v>
      </c>
      <c r="AK69" s="316">
        <f t="shared" si="1"/>
        <v>0</v>
      </c>
      <c r="AL69" s="316">
        <f t="shared" si="1"/>
        <v>0</v>
      </c>
      <c r="AM69" s="316">
        <f t="shared" si="1"/>
        <v>3.35</v>
      </c>
      <c r="AN69" s="316">
        <f t="shared" si="1"/>
        <v>6.82</v>
      </c>
    </row>
    <row r="75" spans="1:40">
      <c r="G75" s="317"/>
    </row>
    <row r="76" spans="1:40">
      <c r="G76" s="317"/>
    </row>
    <row r="77" spans="1:40">
      <c r="G77" s="317"/>
    </row>
    <row r="78" spans="1:40">
      <c r="G78" s="317"/>
    </row>
    <row r="79" spans="1:40">
      <c r="G79" s="317"/>
    </row>
    <row r="80" spans="1:40">
      <c r="G80" s="317"/>
    </row>
    <row r="81" spans="7:7">
      <c r="G81" s="317"/>
    </row>
    <row r="82" spans="7:7">
      <c r="G82" s="317"/>
    </row>
    <row r="83" spans="7:7">
      <c r="G83" s="317"/>
    </row>
    <row r="84" spans="7:7">
      <c r="G84" s="317"/>
    </row>
    <row r="85" spans="7:7">
      <c r="G85" s="317"/>
    </row>
    <row r="86" spans="7:7">
      <c r="G86" s="317"/>
    </row>
    <row r="87" spans="7:7">
      <c r="G87" s="317"/>
    </row>
    <row r="88" spans="7:7">
      <c r="G88" s="317"/>
    </row>
    <row r="89" spans="7:7">
      <c r="G89" s="317"/>
    </row>
    <row r="90" spans="7:7">
      <c r="G90" s="317"/>
    </row>
    <row r="91" spans="7:7">
      <c r="G91" s="317"/>
    </row>
    <row r="92" spans="7:7">
      <c r="G92" s="317"/>
    </row>
    <row r="93" spans="7:7">
      <c r="G93" s="317"/>
    </row>
    <row r="94" spans="7:7">
      <c r="G94" s="317"/>
    </row>
    <row r="95" spans="7:7">
      <c r="G95" s="317"/>
    </row>
    <row r="96" spans="7:7">
      <c r="G96" s="317"/>
    </row>
    <row r="97" spans="7:7">
      <c r="G97" s="317"/>
    </row>
    <row r="98" spans="7:7">
      <c r="G98" s="317"/>
    </row>
    <row r="99" spans="7:7">
      <c r="G99" s="317"/>
    </row>
    <row r="100" spans="7:7">
      <c r="G100" s="317"/>
    </row>
    <row r="101" spans="7:7">
      <c r="G101" s="317"/>
    </row>
    <row r="102" spans="7:7">
      <c r="G102" s="317"/>
    </row>
    <row r="103" spans="7:7">
      <c r="G103" s="317"/>
    </row>
    <row r="104" spans="7:7">
      <c r="G104" s="317"/>
    </row>
    <row r="105" spans="7:7">
      <c r="G105" s="317"/>
    </row>
    <row r="106" spans="7:7">
      <c r="G106" s="317"/>
    </row>
    <row r="107" spans="7:7">
      <c r="G107" s="317"/>
    </row>
    <row r="108" spans="7:7">
      <c r="G108" s="317"/>
    </row>
    <row r="109" spans="7:7">
      <c r="G109" s="317"/>
    </row>
    <row r="110" spans="7:7">
      <c r="G110" s="317"/>
    </row>
    <row r="111" spans="7:7">
      <c r="G111" s="317"/>
    </row>
    <row r="112" spans="7:7">
      <c r="G112" s="317"/>
    </row>
    <row r="113" spans="7:7">
      <c r="G113" s="317"/>
    </row>
    <row r="114" spans="7:7">
      <c r="G114" s="317"/>
    </row>
    <row r="115" spans="7:7">
      <c r="G115" s="317"/>
    </row>
    <row r="116" spans="7:7">
      <c r="G116" s="317"/>
    </row>
    <row r="117" spans="7:7">
      <c r="G117" s="317"/>
    </row>
    <row r="118" spans="7:7">
      <c r="G118" s="317"/>
    </row>
    <row r="119" spans="7:7">
      <c r="G119" s="317"/>
    </row>
    <row r="120" spans="7:7">
      <c r="G120" s="317"/>
    </row>
    <row r="121" spans="7:7">
      <c r="G121" s="317"/>
    </row>
    <row r="122" spans="7:7">
      <c r="G122" s="317"/>
    </row>
    <row r="123" spans="7:7">
      <c r="G123" s="317"/>
    </row>
    <row r="124" spans="7:7">
      <c r="G124" s="317"/>
    </row>
    <row r="125" spans="7:7">
      <c r="G125" s="317"/>
    </row>
    <row r="126" spans="7:7">
      <c r="G126" s="317"/>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S160"/>
  <sheetViews>
    <sheetView topLeftCell="A24" zoomScale="70" zoomScaleNormal="70" workbookViewId="0">
      <selection activeCell="C68" sqref="C68"/>
    </sheetView>
  </sheetViews>
  <sheetFormatPr defaultColWidth="9" defaultRowHeight="15"/>
  <cols>
    <col min="1" max="1" width="12.33203125" style="53" customWidth="1"/>
    <col min="2" max="2" width="22.88671875" style="53" bestFit="1" customWidth="1"/>
    <col min="3" max="3" width="9" style="53" customWidth="1"/>
    <col min="4" max="4" width="16" style="53" bestFit="1" customWidth="1"/>
    <col min="5" max="5" width="7.33203125" style="53" bestFit="1" customWidth="1"/>
    <col min="6" max="6" width="14" style="53" bestFit="1" customWidth="1"/>
    <col min="7" max="7" width="9.5546875" style="53" bestFit="1" customWidth="1"/>
    <col min="8" max="8" width="15.33203125" style="53" bestFit="1" customWidth="1"/>
    <col min="9" max="9" width="5.88671875" style="53" customWidth="1"/>
    <col min="10" max="10" width="13.33203125" style="53" bestFit="1" customWidth="1"/>
    <col min="11" max="11" width="9.33203125" style="53" bestFit="1" customWidth="1"/>
    <col min="12" max="12" width="19.33203125" style="53" customWidth="1"/>
    <col min="13" max="13" width="10.88671875" style="53" bestFit="1" customWidth="1"/>
    <col min="14" max="14" width="9.33203125" style="53" bestFit="1" customWidth="1"/>
    <col min="15" max="16384" width="9" style="53"/>
  </cols>
  <sheetData>
    <row r="1" spans="1:19">
      <c r="A1" s="930"/>
      <c r="B1" s="52"/>
      <c r="C1" s="52"/>
      <c r="D1" s="52"/>
      <c r="E1" s="52"/>
      <c r="F1" s="52"/>
      <c r="G1" s="52"/>
      <c r="H1" s="52"/>
      <c r="I1" s="52"/>
      <c r="J1" s="52"/>
      <c r="K1" s="52"/>
      <c r="L1" s="52"/>
      <c r="M1" s="52"/>
      <c r="N1" s="52"/>
      <c r="O1" s="52"/>
      <c r="P1" s="52"/>
      <c r="Q1" s="52"/>
      <c r="R1" s="52"/>
      <c r="S1" s="52"/>
    </row>
    <row r="3" spans="1:19" s="167" customFormat="1">
      <c r="B3" s="931"/>
      <c r="C3" s="931"/>
      <c r="D3" s="1064" t="s">
        <v>91</v>
      </c>
      <c r="E3" s="1065"/>
      <c r="F3" s="931"/>
      <c r="G3" s="1064" t="s">
        <v>90</v>
      </c>
      <c r="H3" s="1065"/>
      <c r="I3" s="931"/>
      <c r="J3" s="931"/>
      <c r="K3" s="931"/>
      <c r="L3" s="931"/>
      <c r="M3" s="931"/>
      <c r="N3" s="931"/>
    </row>
    <row r="4" spans="1:19" s="167" customFormat="1">
      <c r="B4" s="1064" t="s">
        <v>89</v>
      </c>
      <c r="C4" s="931"/>
      <c r="D4" s="1065"/>
      <c r="E4" s="1065"/>
      <c r="F4" s="931"/>
      <c r="G4" s="1065"/>
      <c r="H4" s="1065"/>
      <c r="I4" s="931"/>
      <c r="J4" s="1064" t="s">
        <v>88</v>
      </c>
      <c r="K4" s="1065"/>
      <c r="L4" s="931"/>
      <c r="M4" s="1064" t="s">
        <v>87</v>
      </c>
      <c r="N4" s="1065"/>
    </row>
    <row r="5" spans="1:19" s="167" customFormat="1">
      <c r="B5" s="1066"/>
      <c r="C5" s="931"/>
      <c r="D5" s="1066"/>
      <c r="E5" s="1066"/>
      <c r="F5" s="931"/>
      <c r="G5" s="1066"/>
      <c r="H5" s="1066"/>
      <c r="I5" s="931"/>
      <c r="J5" s="1066"/>
      <c r="K5" s="1066"/>
      <c r="L5" s="931"/>
      <c r="M5" s="1066"/>
      <c r="N5" s="1066"/>
    </row>
    <row r="6" spans="1:19" s="167" customFormat="1" ht="15.6" thickBot="1">
      <c r="B6" s="932"/>
      <c r="C6" s="932"/>
      <c r="D6" s="932"/>
      <c r="E6" s="932"/>
      <c r="F6" s="932"/>
      <c r="G6" s="932"/>
      <c r="H6" s="932"/>
      <c r="I6" s="932"/>
      <c r="J6" s="932"/>
      <c r="K6" s="932"/>
      <c r="L6" s="932"/>
      <c r="M6" s="932"/>
      <c r="N6" s="932"/>
    </row>
    <row r="7" spans="1:19">
      <c r="A7" s="933"/>
      <c r="B7" s="934">
        <v>44925</v>
      </c>
      <c r="C7" s="167"/>
      <c r="D7" s="935">
        <v>0.7</v>
      </c>
      <c r="E7" s="932"/>
      <c r="F7" s="932"/>
      <c r="G7" s="700">
        <f t="shared" ref="G7:G19" si="0">ROUND(((1+D7)^0.25)-1,4)</f>
        <v>0.1419</v>
      </c>
      <c r="H7" s="932"/>
      <c r="I7" s="932"/>
      <c r="J7" s="936">
        <v>2.3E-2</v>
      </c>
      <c r="K7" s="337"/>
      <c r="L7" s="337"/>
      <c r="M7" s="937">
        <f>J7+G7</f>
        <v>0.16489999999999999</v>
      </c>
      <c r="N7" s="938"/>
      <c r="O7" s="52"/>
      <c r="P7" s="52"/>
      <c r="Q7" s="52"/>
      <c r="R7" s="52"/>
      <c r="S7" s="52"/>
    </row>
    <row r="8" spans="1:19">
      <c r="A8" s="939"/>
      <c r="B8" s="934">
        <v>44918</v>
      </c>
      <c r="C8" s="932"/>
      <c r="D8" s="940">
        <v>0.6</v>
      </c>
      <c r="E8" s="932"/>
      <c r="F8" s="932"/>
      <c r="G8" s="701">
        <f t="shared" si="0"/>
        <v>0.12470000000000001</v>
      </c>
      <c r="H8" s="932"/>
      <c r="I8" s="932"/>
      <c r="J8" s="941">
        <v>2.1999999999999999E-2</v>
      </c>
      <c r="K8" s="932"/>
      <c r="L8" s="932"/>
      <c r="M8" s="937">
        <f t="shared" ref="M8:M19" si="1">J8+G8</f>
        <v>0.1467</v>
      </c>
      <c r="N8" s="938"/>
      <c r="O8" s="311"/>
      <c r="P8" s="52"/>
      <c r="Q8" s="311"/>
      <c r="R8" s="52"/>
      <c r="S8" s="77"/>
    </row>
    <row r="9" spans="1:19">
      <c r="A9" s="939"/>
      <c r="B9" s="934">
        <v>44911</v>
      </c>
      <c r="C9" s="932"/>
      <c r="D9" s="942">
        <v>0.6</v>
      </c>
      <c r="E9" s="932"/>
      <c r="F9" s="932"/>
      <c r="G9" s="701">
        <f t="shared" si="0"/>
        <v>0.12470000000000001</v>
      </c>
      <c r="H9" s="932"/>
      <c r="I9" s="932"/>
      <c r="J9" s="941">
        <v>2.1000000000000001E-2</v>
      </c>
      <c r="K9" s="932"/>
      <c r="L9" s="932"/>
      <c r="M9" s="937">
        <f t="shared" si="1"/>
        <v>0.1457</v>
      </c>
      <c r="N9" s="938"/>
      <c r="O9" s="311"/>
      <c r="P9" s="52"/>
      <c r="Q9" s="311"/>
      <c r="R9" s="52"/>
      <c r="S9" s="77"/>
    </row>
    <row r="10" spans="1:19">
      <c r="A10" s="939"/>
      <c r="B10" s="943">
        <v>44904</v>
      </c>
      <c r="C10" s="932"/>
      <c r="D10" s="942">
        <v>0.65</v>
      </c>
      <c r="G10" s="701">
        <f t="shared" si="0"/>
        <v>0.13339999999999999</v>
      </c>
      <c r="J10" s="941">
        <v>2.1000000000000001E-2</v>
      </c>
      <c r="K10" s="932"/>
      <c r="L10" s="932"/>
      <c r="M10" s="937">
        <f t="shared" si="1"/>
        <v>0.15439999999999998</v>
      </c>
      <c r="N10" s="938"/>
      <c r="O10" s="311"/>
      <c r="P10" s="52"/>
      <c r="Q10" s="311"/>
      <c r="R10" s="52"/>
      <c r="S10" s="77"/>
    </row>
    <row r="11" spans="1:19">
      <c r="A11" s="939"/>
      <c r="B11" s="943">
        <v>44897</v>
      </c>
      <c r="C11" s="167"/>
      <c r="D11" s="944">
        <v>0.65</v>
      </c>
      <c r="E11" s="932"/>
      <c r="F11" s="932"/>
      <c r="G11" s="702">
        <f t="shared" si="0"/>
        <v>0.13339999999999999</v>
      </c>
      <c r="H11" s="932"/>
      <c r="I11" s="932"/>
      <c r="J11" s="945">
        <v>2.1000000000000001E-2</v>
      </c>
      <c r="K11" s="932"/>
      <c r="L11" s="932"/>
      <c r="M11" s="937">
        <f t="shared" si="1"/>
        <v>0.15439999999999998</v>
      </c>
      <c r="N11" s="937"/>
      <c r="O11" s="52"/>
      <c r="P11" s="52"/>
      <c r="Q11" s="52"/>
      <c r="R11" s="52"/>
      <c r="S11" s="52"/>
    </row>
    <row r="12" spans="1:19">
      <c r="A12" s="939"/>
      <c r="B12" s="934">
        <v>44890</v>
      </c>
      <c r="C12" s="932"/>
      <c r="D12" s="940">
        <v>0.65</v>
      </c>
      <c r="E12" s="932"/>
      <c r="F12" s="932"/>
      <c r="G12" s="701">
        <f t="shared" si="0"/>
        <v>0.13339999999999999</v>
      </c>
      <c r="H12" s="932"/>
      <c r="I12" s="932"/>
      <c r="J12" s="941">
        <v>2.1000000000000001E-2</v>
      </c>
      <c r="K12" s="937"/>
      <c r="L12" s="932"/>
      <c r="M12" s="937">
        <f t="shared" si="1"/>
        <v>0.15439999999999998</v>
      </c>
      <c r="N12" s="938"/>
      <c r="O12" s="52"/>
      <c r="P12" s="52"/>
      <c r="Q12" s="52"/>
      <c r="R12" s="52"/>
      <c r="S12" s="52"/>
    </row>
    <row r="13" spans="1:19">
      <c r="A13" s="939"/>
      <c r="B13" s="934">
        <v>44883</v>
      </c>
      <c r="C13" s="932"/>
      <c r="D13" s="942">
        <v>0.7</v>
      </c>
      <c r="E13" s="932"/>
      <c r="F13" s="932"/>
      <c r="G13" s="701">
        <f t="shared" si="0"/>
        <v>0.1419</v>
      </c>
      <c r="H13" s="932"/>
      <c r="I13" s="932"/>
      <c r="J13" s="941">
        <v>2.1999999999999999E-2</v>
      </c>
      <c r="K13" s="937"/>
      <c r="L13" s="932"/>
      <c r="M13" s="937">
        <f t="shared" si="1"/>
        <v>0.16389999999999999</v>
      </c>
      <c r="N13" s="938"/>
      <c r="O13" s="52"/>
      <c r="P13" s="52"/>
      <c r="Q13" s="52"/>
      <c r="R13" s="52"/>
      <c r="S13" s="52"/>
    </row>
    <row r="14" spans="1:19">
      <c r="A14" s="939"/>
      <c r="B14" s="934">
        <v>44876</v>
      </c>
      <c r="C14" s="932"/>
      <c r="D14" s="942">
        <v>0.7</v>
      </c>
      <c r="G14" s="701">
        <f t="shared" si="0"/>
        <v>0.1419</v>
      </c>
      <c r="J14" s="941">
        <v>2.1999999999999999E-2</v>
      </c>
      <c r="K14" s="937"/>
      <c r="L14" s="932"/>
      <c r="M14" s="937">
        <f t="shared" si="1"/>
        <v>0.16389999999999999</v>
      </c>
      <c r="N14" s="938"/>
      <c r="O14" s="52"/>
      <c r="P14" s="52"/>
      <c r="Q14" s="52"/>
      <c r="R14" s="52"/>
      <c r="S14" s="52"/>
    </row>
    <row r="15" spans="1:19">
      <c r="A15" s="939"/>
      <c r="B15" s="934">
        <v>44869</v>
      </c>
      <c r="D15" s="942">
        <v>0.75</v>
      </c>
      <c r="G15" s="701">
        <f t="shared" si="0"/>
        <v>0.1502</v>
      </c>
      <c r="J15" s="941">
        <v>2.3E-2</v>
      </c>
      <c r="K15" s="937"/>
      <c r="L15" s="932"/>
      <c r="M15" s="937">
        <f t="shared" si="1"/>
        <v>0.17319999999999999</v>
      </c>
      <c r="N15" s="938"/>
    </row>
    <row r="16" spans="1:19">
      <c r="A16" s="939"/>
      <c r="B16" s="934">
        <v>44862</v>
      </c>
      <c r="D16" s="942">
        <v>0.8</v>
      </c>
      <c r="G16" s="701">
        <f t="shared" si="0"/>
        <v>0.1583</v>
      </c>
      <c r="J16" s="941">
        <v>2.3E-2</v>
      </c>
      <c r="K16" s="937"/>
      <c r="L16" s="932"/>
      <c r="M16" s="937">
        <f t="shared" si="1"/>
        <v>0.18129999999999999</v>
      </c>
      <c r="N16" s="938"/>
    </row>
    <row r="17" spans="1:15">
      <c r="A17" s="939"/>
      <c r="B17" s="934">
        <v>44855</v>
      </c>
      <c r="D17" s="942">
        <v>0.8</v>
      </c>
      <c r="G17" s="701">
        <f t="shared" si="0"/>
        <v>0.1583</v>
      </c>
      <c r="H17" s="336"/>
      <c r="I17" s="336"/>
      <c r="J17" s="941">
        <v>2.4E-2</v>
      </c>
      <c r="K17" s="937"/>
      <c r="L17" s="932"/>
      <c r="M17" s="937">
        <f t="shared" si="1"/>
        <v>0.18229999999999999</v>
      </c>
      <c r="N17" s="938"/>
    </row>
    <row r="18" spans="1:15">
      <c r="A18" s="939"/>
      <c r="B18" s="934">
        <v>44848</v>
      </c>
      <c r="D18" s="942">
        <v>0.8</v>
      </c>
      <c r="G18" s="701">
        <f t="shared" si="0"/>
        <v>0.1583</v>
      </c>
      <c r="H18" s="336"/>
      <c r="I18" s="336"/>
      <c r="J18" s="941">
        <v>2.3E-2</v>
      </c>
      <c r="K18" s="937"/>
      <c r="L18" s="932"/>
      <c r="M18" s="937">
        <f t="shared" si="1"/>
        <v>0.18129999999999999</v>
      </c>
      <c r="N18" s="938"/>
    </row>
    <row r="19" spans="1:15">
      <c r="A19" s="939"/>
      <c r="B19" s="934">
        <v>44841</v>
      </c>
      <c r="D19" s="942">
        <v>0.85</v>
      </c>
      <c r="G19" s="701">
        <f t="shared" si="0"/>
        <v>0.1663</v>
      </c>
      <c r="H19" s="336"/>
      <c r="I19" s="336"/>
      <c r="J19" s="941">
        <v>2.4E-2</v>
      </c>
      <c r="K19" s="937"/>
      <c r="L19" s="932"/>
      <c r="M19" s="937">
        <f t="shared" si="1"/>
        <v>0.1903</v>
      </c>
      <c r="N19" s="938"/>
    </row>
    <row r="20" spans="1:15">
      <c r="B20" s="946"/>
      <c r="C20" s="932"/>
      <c r="D20" s="307"/>
      <c r="E20" s="932"/>
      <c r="F20" s="932"/>
      <c r="G20" s="308"/>
      <c r="H20" s="932"/>
      <c r="I20" s="932"/>
      <c r="J20" s="308"/>
      <c r="K20" s="937"/>
      <c r="L20" s="932"/>
      <c r="M20" s="937"/>
      <c r="N20" s="947"/>
    </row>
    <row r="21" spans="1:15">
      <c r="B21" s="948"/>
      <c r="C21" s="932"/>
      <c r="D21" s="307"/>
      <c r="E21" s="932"/>
      <c r="F21" s="932"/>
      <c r="G21" s="932"/>
      <c r="H21" s="932"/>
      <c r="I21" s="932"/>
      <c r="J21" s="308"/>
      <c r="K21" s="932"/>
      <c r="L21" s="932"/>
      <c r="M21" s="308"/>
      <c r="N21" s="932"/>
    </row>
    <row r="22" spans="1:15">
      <c r="B22" s="948" t="s">
        <v>80</v>
      </c>
      <c r="C22" s="932"/>
      <c r="D22" s="307">
        <f>ROUND(AVERAGE(D7:D19),2)</f>
        <v>0.71</v>
      </c>
      <c r="E22" s="932"/>
      <c r="F22" s="932"/>
      <c r="G22" s="361">
        <f>ROUND(((1+D22)^0.25)-1,4)</f>
        <v>0.14349999999999999</v>
      </c>
      <c r="H22" s="937"/>
      <c r="I22" s="937"/>
      <c r="J22" s="949">
        <f>ROUND(AVERAGE(J7:J19),4)</f>
        <v>2.23E-2</v>
      </c>
      <c r="K22" s="937"/>
      <c r="L22" s="937"/>
      <c r="M22" s="937">
        <f>J22+G22</f>
        <v>0.1658</v>
      </c>
    </row>
    <row r="25" spans="1:15">
      <c r="B25" s="1055" t="s">
        <v>85</v>
      </c>
      <c r="C25" s="1055"/>
      <c r="D25" s="1055"/>
      <c r="E25" s="1055"/>
      <c r="F25" s="1055"/>
      <c r="G25" s="1055"/>
      <c r="H25" s="1055"/>
      <c r="I25" s="1055"/>
      <c r="J25" s="1055"/>
      <c r="K25" s="52"/>
      <c r="L25" s="52"/>
      <c r="M25" s="52"/>
      <c r="N25" s="52"/>
    </row>
    <row r="26" spans="1:15">
      <c r="B26" s="1067" t="s">
        <v>84</v>
      </c>
      <c r="C26" s="1067"/>
      <c r="D26" s="1067"/>
      <c r="E26" s="1067"/>
      <c r="F26" s="1067"/>
      <c r="G26" s="1067"/>
      <c r="H26" s="1067"/>
      <c r="I26" s="1067"/>
      <c r="J26" s="1067"/>
      <c r="K26" s="52"/>
      <c r="L26" s="52"/>
      <c r="M26" s="52"/>
      <c r="N26" s="52"/>
    </row>
    <row r="27" spans="1:15" ht="15.6" thickBot="1">
      <c r="B27" s="950"/>
      <c r="M27" s="53" t="s">
        <v>152</v>
      </c>
      <c r="O27" s="53" t="s">
        <v>1389</v>
      </c>
    </row>
    <row r="28" spans="1:15">
      <c r="B28" s="951" t="s">
        <v>4074</v>
      </c>
      <c r="C28" s="52"/>
      <c r="D28" s="309"/>
      <c r="E28" s="52"/>
      <c r="F28" s="952">
        <v>4</v>
      </c>
      <c r="G28" s="171" t="s">
        <v>18</v>
      </c>
      <c r="H28" s="52"/>
      <c r="I28" s="52"/>
      <c r="J28" s="52"/>
      <c r="K28" s="52" t="s">
        <v>4074</v>
      </c>
      <c r="L28" s="52"/>
      <c r="M28" s="953">
        <v>5.0999999999999996</v>
      </c>
      <c r="N28" s="83"/>
      <c r="O28" s="954">
        <v>6.1</v>
      </c>
    </row>
    <row r="29" spans="1:15">
      <c r="B29" s="951" t="s">
        <v>4267</v>
      </c>
      <c r="C29" s="52"/>
      <c r="D29" s="309"/>
      <c r="E29" s="52"/>
      <c r="F29" s="955">
        <v>4</v>
      </c>
      <c r="G29" s="171"/>
      <c r="H29" s="52"/>
      <c r="I29" s="52"/>
      <c r="J29" s="52"/>
      <c r="K29" s="52" t="s">
        <v>4267</v>
      </c>
      <c r="L29" s="52"/>
      <c r="M29" s="956">
        <v>5.2</v>
      </c>
      <c r="N29" s="83"/>
      <c r="O29" s="957">
        <v>6.3</v>
      </c>
    </row>
    <row r="30" spans="1:15">
      <c r="B30" s="951" t="s">
        <v>4268</v>
      </c>
      <c r="C30" s="52"/>
      <c r="D30" s="309"/>
      <c r="E30" s="52"/>
      <c r="F30" s="955">
        <v>3.9</v>
      </c>
      <c r="G30" s="171"/>
      <c r="H30" s="52"/>
      <c r="I30" s="52"/>
      <c r="J30" s="52"/>
      <c r="K30" s="52" t="s">
        <v>4268</v>
      </c>
      <c r="L30" s="52"/>
      <c r="M30" s="956">
        <v>5.2</v>
      </c>
      <c r="N30" s="7"/>
      <c r="O30" s="957">
        <v>6.2</v>
      </c>
    </row>
    <row r="31" spans="1:15">
      <c r="B31" s="951" t="s">
        <v>4269</v>
      </c>
      <c r="C31" s="52"/>
      <c r="D31" s="309"/>
      <c r="E31" s="52"/>
      <c r="F31" s="955">
        <v>3.9</v>
      </c>
      <c r="G31" s="171"/>
      <c r="I31" s="52"/>
      <c r="J31" s="52"/>
      <c r="K31" s="52" t="s">
        <v>4269</v>
      </c>
      <c r="L31" s="52"/>
      <c r="M31" s="956">
        <v>5.0999999999999996</v>
      </c>
      <c r="N31" s="83"/>
      <c r="O31" s="957">
        <v>6.1</v>
      </c>
    </row>
    <row r="32" spans="1:15">
      <c r="B32" s="951" t="s">
        <v>4270</v>
      </c>
      <c r="C32" s="52"/>
      <c r="D32" s="309"/>
      <c r="E32" s="52"/>
      <c r="F32" s="955">
        <v>3.8</v>
      </c>
      <c r="G32" s="171"/>
      <c r="H32" s="167"/>
      <c r="I32" s="52"/>
      <c r="J32" s="52"/>
      <c r="K32" s="52" t="s">
        <v>4270</v>
      </c>
      <c r="L32" s="52"/>
      <c r="M32" s="956">
        <v>4.9000000000000004</v>
      </c>
      <c r="N32" s="83"/>
      <c r="O32" s="957">
        <v>5.9</v>
      </c>
    </row>
    <row r="33" spans="2:15">
      <c r="B33" s="951" t="s">
        <v>4593</v>
      </c>
      <c r="C33" s="52"/>
      <c r="D33" s="309"/>
      <c r="E33" s="52"/>
      <c r="F33" s="955">
        <v>3.8</v>
      </c>
      <c r="G33" s="171"/>
      <c r="H33" s="167" t="s">
        <v>83</v>
      </c>
      <c r="I33" s="52"/>
      <c r="J33" s="52"/>
      <c r="K33" s="52" t="s">
        <v>4593</v>
      </c>
      <c r="L33" s="52"/>
      <c r="M33" s="956">
        <v>4.8</v>
      </c>
      <c r="N33" s="83"/>
      <c r="O33" s="957">
        <v>5.8</v>
      </c>
    </row>
    <row r="34" spans="2:15">
      <c r="B34" s="951" t="s">
        <v>4271</v>
      </c>
      <c r="C34" s="52"/>
      <c r="D34" s="309"/>
      <c r="E34" s="52"/>
      <c r="F34" s="955">
        <v>3.9</v>
      </c>
      <c r="G34" s="171"/>
      <c r="H34" s="167" t="s">
        <v>82</v>
      </c>
      <c r="I34" s="52"/>
      <c r="J34" s="52"/>
      <c r="K34" s="52" t="s">
        <v>4271</v>
      </c>
      <c r="L34" s="52"/>
      <c r="M34" s="956">
        <v>5</v>
      </c>
      <c r="N34" s="83"/>
      <c r="O34" s="957">
        <v>6</v>
      </c>
    </row>
    <row r="35" spans="2:15" ht="15.6" thickBot="1">
      <c r="B35" s="958" t="s">
        <v>4272</v>
      </c>
      <c r="C35" s="52"/>
      <c r="D35" s="309"/>
      <c r="E35" s="52"/>
      <c r="F35" s="959">
        <v>4</v>
      </c>
      <c r="G35" s="171"/>
      <c r="H35" s="960" t="s">
        <v>81</v>
      </c>
      <c r="I35" s="52"/>
      <c r="K35" s="52" t="s">
        <v>4272</v>
      </c>
      <c r="M35" s="961">
        <v>5.0999999999999996</v>
      </c>
      <c r="N35" s="83"/>
      <c r="O35" s="961">
        <v>6</v>
      </c>
    </row>
    <row r="36" spans="2:15">
      <c r="B36" s="52"/>
      <c r="C36" s="52"/>
      <c r="D36" s="309"/>
      <c r="E36" s="52"/>
      <c r="F36" s="312"/>
      <c r="G36" s="171"/>
      <c r="H36" s="52"/>
      <c r="I36" s="52"/>
    </row>
    <row r="37" spans="2:15" ht="15.6" thickBot="1">
      <c r="B37" s="181" t="s">
        <v>80</v>
      </c>
      <c r="C37" s="52"/>
      <c r="D37" s="309"/>
      <c r="E37" s="52"/>
      <c r="F37" s="362">
        <f>ROUND(AVERAGE(F28:F35),2)</f>
        <v>3.91</v>
      </c>
      <c r="G37" s="171" t="s">
        <v>18</v>
      </c>
      <c r="H37" s="59">
        <f>($M$22*100)-$F$37</f>
        <v>12.670000000000002</v>
      </c>
      <c r="I37" s="171" t="s">
        <v>18</v>
      </c>
      <c r="M37" s="7">
        <f>ROUND(AVERAGE(M28:M35),2)</f>
        <v>5.05</v>
      </c>
      <c r="N37" s="7"/>
      <c r="O37" s="7">
        <f>ROUND(AVERAGE(O28:O35),2)</f>
        <v>6.05</v>
      </c>
    </row>
    <row r="38" spans="2:15" ht="15.6" thickTop="1">
      <c r="B38" s="181"/>
      <c r="C38" s="52"/>
      <c r="D38" s="309"/>
      <c r="E38" s="52"/>
      <c r="F38" s="310"/>
      <c r="G38" s="171"/>
      <c r="H38" s="59"/>
      <c r="I38" s="171"/>
    </row>
    <row r="39" spans="2:15">
      <c r="B39" s="181"/>
      <c r="C39" s="52"/>
      <c r="D39" s="309"/>
      <c r="E39" s="52"/>
      <c r="F39" s="310"/>
      <c r="G39" s="171"/>
      <c r="H39" s="59"/>
      <c r="I39" s="171"/>
    </row>
    <row r="40" spans="2:15">
      <c r="B40" s="53" t="s">
        <v>1326</v>
      </c>
      <c r="C40" s="52"/>
      <c r="D40" s="309"/>
      <c r="E40" s="52"/>
      <c r="F40" s="310"/>
      <c r="G40" s="171"/>
      <c r="H40" s="59"/>
      <c r="I40" s="171"/>
    </row>
    <row r="41" spans="2:15">
      <c r="B41" s="53" t="s">
        <v>2235</v>
      </c>
      <c r="C41" s="52"/>
      <c r="D41" s="309"/>
      <c r="E41" s="52"/>
      <c r="F41" s="310"/>
      <c r="G41" s="171"/>
      <c r="H41" s="363">
        <f>('MRP WP3'!$H$504*100)-'MRP WP1'!F37</f>
        <v>11.761050750081154</v>
      </c>
      <c r="I41" s="171"/>
    </row>
    <row r="42" spans="2:15">
      <c r="C42" s="52"/>
      <c r="D42" s="309"/>
      <c r="E42" s="52"/>
      <c r="F42" s="310"/>
      <c r="G42" s="171"/>
      <c r="H42" s="59"/>
      <c r="I42" s="171"/>
    </row>
    <row r="43" spans="2:15" ht="15.6" thickBot="1">
      <c r="B43" s="962" t="s">
        <v>2241</v>
      </c>
      <c r="C43" s="52"/>
      <c r="D43" s="309"/>
      <c r="E43" s="52"/>
      <c r="F43" s="310"/>
      <c r="G43" s="171"/>
      <c r="H43" s="364">
        <f>AVERAGE(H37,H41)</f>
        <v>12.215525375040578</v>
      </c>
      <c r="I43" s="171" t="s">
        <v>18</v>
      </c>
    </row>
    <row r="44" spans="2:15" ht="15.6" thickTop="1">
      <c r="B44" s="52"/>
      <c r="C44" s="52"/>
      <c r="D44" s="52"/>
      <c r="E44" s="52"/>
      <c r="F44" s="52"/>
      <c r="G44" s="171"/>
      <c r="H44" s="190"/>
      <c r="I44" s="171"/>
    </row>
    <row r="45" spans="2:15">
      <c r="B45" s="52" t="s">
        <v>4570</v>
      </c>
      <c r="C45" s="52"/>
      <c r="D45" s="52"/>
      <c r="E45" s="52"/>
      <c r="F45" s="52"/>
      <c r="G45" s="171"/>
      <c r="H45" s="190"/>
      <c r="I45" s="171"/>
    </row>
    <row r="46" spans="2:15">
      <c r="B46" s="52"/>
      <c r="C46" s="52"/>
      <c r="D46" s="52"/>
      <c r="E46" s="52"/>
      <c r="F46" s="52"/>
      <c r="G46" s="171"/>
      <c r="H46" s="190"/>
      <c r="I46" s="171"/>
    </row>
    <row r="47" spans="2:15">
      <c r="B47" s="52" t="s">
        <v>153</v>
      </c>
      <c r="C47" s="52"/>
      <c r="D47" s="52"/>
      <c r="E47" s="52"/>
      <c r="F47" s="52"/>
      <c r="G47" s="171"/>
      <c r="H47" s="310">
        <f>'PRPM WP1'!H1177*100</f>
        <v>10.862499418503081</v>
      </c>
      <c r="I47" s="171" t="s">
        <v>18</v>
      </c>
    </row>
    <row r="48" spans="2:15">
      <c r="B48" s="52"/>
      <c r="C48" s="52"/>
      <c r="D48" s="52"/>
      <c r="E48" s="52"/>
      <c r="F48" s="52"/>
      <c r="G48" s="171"/>
      <c r="H48" s="190"/>
      <c r="I48" s="171"/>
    </row>
    <row r="49" spans="2:11">
      <c r="B49" s="53" t="s">
        <v>79</v>
      </c>
      <c r="C49" s="52"/>
      <c r="D49" s="52"/>
      <c r="E49" s="52"/>
      <c r="F49" s="52"/>
      <c r="G49" s="171"/>
      <c r="H49" s="190"/>
      <c r="I49" s="171"/>
    </row>
    <row r="50" spans="2:11">
      <c r="B50" s="171" t="s">
        <v>4249</v>
      </c>
      <c r="C50" s="52"/>
      <c r="D50" s="52"/>
      <c r="E50" s="52"/>
      <c r="F50" s="52"/>
      <c r="G50" s="171"/>
      <c r="H50" s="190">
        <f>Input!F21</f>
        <v>12.37</v>
      </c>
      <c r="I50" s="171" t="s">
        <v>18</v>
      </c>
      <c r="K50" s="190"/>
    </row>
    <row r="51" spans="2:11">
      <c r="B51" s="53" t="s">
        <v>78</v>
      </c>
      <c r="C51" s="52"/>
      <c r="D51" s="52"/>
      <c r="E51" s="52"/>
      <c r="F51" s="52"/>
      <c r="G51" s="171"/>
      <c r="H51" s="190"/>
      <c r="I51" s="171"/>
    </row>
    <row r="52" spans="2:11">
      <c r="B52" s="171" t="s">
        <v>4248</v>
      </c>
      <c r="C52" s="52"/>
      <c r="D52" s="52"/>
      <c r="E52" s="52"/>
      <c r="F52" s="52"/>
      <c r="G52" s="171"/>
      <c r="H52" s="963">
        <f>Input!F22</f>
        <v>5.0199999999999996</v>
      </c>
      <c r="I52" s="171"/>
      <c r="K52" s="190"/>
    </row>
    <row r="53" spans="2:11">
      <c r="B53" s="52"/>
      <c r="C53" s="52"/>
      <c r="D53" s="52"/>
      <c r="E53" s="52"/>
      <c r="F53" s="52"/>
      <c r="G53" s="171"/>
      <c r="H53" s="190"/>
      <c r="I53" s="171"/>
    </row>
    <row r="54" spans="2:11" ht="15.6" thickBot="1">
      <c r="B54" s="53" t="s">
        <v>77</v>
      </c>
      <c r="C54" s="52"/>
      <c r="D54" s="52"/>
      <c r="E54" s="52"/>
      <c r="F54" s="52"/>
      <c r="G54" s="52"/>
      <c r="H54" s="964">
        <f>H50-H52</f>
        <v>7.35</v>
      </c>
      <c r="I54" s="171" t="s">
        <v>18</v>
      </c>
      <c r="K54" s="190"/>
    </row>
    <row r="55" spans="2:11" ht="15.6" thickTop="1">
      <c r="C55" s="52"/>
      <c r="D55" s="52"/>
      <c r="E55" s="52"/>
      <c r="F55" s="52"/>
      <c r="G55" s="52"/>
      <c r="H55" s="190"/>
      <c r="I55" s="171"/>
    </row>
    <row r="56" spans="2:11">
      <c r="B56" s="53" t="s">
        <v>4247</v>
      </c>
      <c r="C56" s="52"/>
      <c r="D56" s="52"/>
      <c r="E56" s="52"/>
      <c r="F56" s="52"/>
      <c r="G56" s="52"/>
      <c r="H56" s="190">
        <f>'MRP ERP WP'!AA42*100</f>
        <v>8.7068916532172782</v>
      </c>
      <c r="I56" s="171"/>
    </row>
    <row r="57" spans="2:11">
      <c r="C57" s="52"/>
      <c r="D57" s="52"/>
      <c r="E57" s="52"/>
      <c r="F57" s="52"/>
      <c r="G57" s="52"/>
      <c r="H57" s="190"/>
      <c r="I57" s="171"/>
    </row>
    <row r="58" spans="2:11" ht="15.6" thickBot="1">
      <c r="B58" s="53" t="s">
        <v>4571</v>
      </c>
      <c r="C58" s="52"/>
      <c r="D58" s="52"/>
      <c r="E58" s="52"/>
      <c r="F58" s="52" t="s">
        <v>5</v>
      </c>
      <c r="G58" s="52"/>
      <c r="H58" s="964">
        <f>AVERAGE(H56,H54,H47)</f>
        <v>8.9731303572401195</v>
      </c>
      <c r="I58" s="171"/>
    </row>
    <row r="59" spans="2:11" ht="15.6" thickTop="1">
      <c r="C59" s="52"/>
      <c r="D59" s="52"/>
      <c r="E59" s="52"/>
      <c r="F59" s="52"/>
      <c r="G59" s="52"/>
      <c r="H59" s="190"/>
      <c r="I59" s="171"/>
      <c r="K59" s="190"/>
    </row>
    <row r="60" spans="2:11">
      <c r="B60" s="53" t="s">
        <v>1326</v>
      </c>
      <c r="C60" s="52"/>
      <c r="D60" s="52"/>
      <c r="E60" s="52"/>
      <c r="F60" s="52"/>
      <c r="G60" s="52"/>
      <c r="H60" s="190"/>
      <c r="I60" s="171"/>
    </row>
    <row r="61" spans="2:11" ht="15.6" thickBot="1">
      <c r="B61" s="53" t="s">
        <v>1327</v>
      </c>
      <c r="C61" s="52"/>
      <c r="D61" s="52"/>
      <c r="E61" s="52"/>
      <c r="F61" s="52"/>
      <c r="G61" s="52"/>
      <c r="H61" s="964">
        <f>'MRP WP2'!$Q$504*100-F37</f>
        <v>7.1484012397640146</v>
      </c>
      <c r="I61" s="171"/>
    </row>
    <row r="62" spans="2:11" ht="15.6" thickTop="1">
      <c r="C62" s="52"/>
      <c r="D62" s="52"/>
      <c r="E62" s="52"/>
      <c r="F62" s="52"/>
      <c r="G62" s="52"/>
      <c r="H62" s="190"/>
      <c r="I62" s="171"/>
    </row>
    <row r="63" spans="2:11">
      <c r="C63" s="52"/>
      <c r="D63" s="52"/>
      <c r="E63" s="52"/>
      <c r="F63" s="52"/>
      <c r="G63" s="52"/>
      <c r="H63" s="190"/>
      <c r="I63" s="171"/>
    </row>
    <row r="64" spans="2:11">
      <c r="B64" s="53" t="s">
        <v>76</v>
      </c>
      <c r="C64" s="52"/>
      <c r="D64" s="52"/>
      <c r="E64" s="52"/>
      <c r="F64" s="52"/>
      <c r="G64" s="52"/>
      <c r="H64" s="190"/>
      <c r="I64" s="171"/>
    </row>
    <row r="65" spans="1:10" ht="15.6" thickBot="1">
      <c r="B65" s="53" t="s">
        <v>75</v>
      </c>
      <c r="C65" s="52"/>
      <c r="D65" s="52"/>
      <c r="E65" s="52"/>
      <c r="F65" s="52"/>
      <c r="G65" s="52"/>
      <c r="H65" s="364">
        <f>AVERAGE(H37,H41,H47,H54,H56,H61)</f>
        <v>9.7498071769275878</v>
      </c>
      <c r="I65" s="171" t="s">
        <v>18</v>
      </c>
    </row>
    <row r="66" spans="1:10" ht="15.6" thickTop="1">
      <c r="B66" s="52"/>
      <c r="C66" s="52"/>
      <c r="D66" s="52"/>
      <c r="E66" s="52"/>
      <c r="F66" s="52"/>
      <c r="G66" s="52"/>
      <c r="H66" s="52" t="s">
        <v>5</v>
      </c>
      <c r="I66" s="52"/>
    </row>
    <row r="67" spans="1:10">
      <c r="B67" s="181" t="s">
        <v>74</v>
      </c>
      <c r="C67" s="53" t="s">
        <v>73</v>
      </c>
      <c r="D67" s="52"/>
      <c r="E67" s="52"/>
      <c r="F67" s="52"/>
      <c r="G67" s="52"/>
      <c r="H67" s="52"/>
      <c r="I67" s="52"/>
      <c r="J67" s="52"/>
    </row>
    <row r="68" spans="1:10">
      <c r="B68" s="52"/>
      <c r="C68" s="53" t="s">
        <v>4614</v>
      </c>
      <c r="H68" s="52"/>
      <c r="I68" s="52"/>
      <c r="J68" s="52"/>
    </row>
    <row r="69" spans="1:10">
      <c r="C69" s="53" t="s">
        <v>4503</v>
      </c>
    </row>
    <row r="70" spans="1:10">
      <c r="B70" s="181"/>
      <c r="C70" s="53" t="s">
        <v>1354</v>
      </c>
    </row>
    <row r="71" spans="1:10">
      <c r="B71" s="181"/>
    </row>
    <row r="72" spans="1:10">
      <c r="B72" s="181"/>
    </row>
    <row r="73" spans="1:10" ht="15.6" thickBot="1">
      <c r="A73" s="950"/>
      <c r="B73" s="965" t="s">
        <v>1441</v>
      </c>
      <c r="C73" s="965" t="s">
        <v>1442</v>
      </c>
      <c r="D73" s="965" t="s">
        <v>1443</v>
      </c>
      <c r="E73" s="965" t="s">
        <v>1442</v>
      </c>
    </row>
    <row r="74" spans="1:10" ht="15" customHeight="1">
      <c r="A74" s="1062" t="s">
        <v>4183</v>
      </c>
      <c r="B74" s="966" t="s">
        <v>2333</v>
      </c>
      <c r="C74" s="967">
        <v>0.8</v>
      </c>
      <c r="D74" s="968" t="s">
        <v>192</v>
      </c>
      <c r="E74" s="967">
        <v>0.85</v>
      </c>
      <c r="F74" s="179"/>
      <c r="H74" s="604"/>
      <c r="I74" s="179"/>
      <c r="J74" s="179"/>
    </row>
    <row r="75" spans="1:10" ht="15" customHeight="1">
      <c r="A75" s="1062"/>
      <c r="B75" s="53" t="s">
        <v>3051</v>
      </c>
      <c r="C75" s="969">
        <v>0.95</v>
      </c>
      <c r="D75" s="970" t="s">
        <v>1495</v>
      </c>
      <c r="E75" s="969">
        <v>0.9</v>
      </c>
      <c r="F75" s="179"/>
      <c r="H75" s="604"/>
      <c r="I75" s="179"/>
      <c r="J75" s="179"/>
    </row>
    <row r="76" spans="1:10">
      <c r="A76" s="1062"/>
      <c r="B76" s="53" t="s">
        <v>214</v>
      </c>
      <c r="C76" s="969">
        <v>0.85</v>
      </c>
      <c r="D76" s="970" t="s">
        <v>1501</v>
      </c>
      <c r="E76" s="971">
        <v>1</v>
      </c>
      <c r="F76" s="179"/>
      <c r="H76" s="604"/>
      <c r="J76" s="179"/>
    </row>
    <row r="77" spans="1:10">
      <c r="A77" s="1062"/>
      <c r="B77" s="53" t="s">
        <v>3052</v>
      </c>
      <c r="C77" s="969">
        <v>0.8</v>
      </c>
      <c r="D77" s="970" t="s">
        <v>1516</v>
      </c>
      <c r="E77" s="971">
        <v>0.9</v>
      </c>
      <c r="F77" s="179"/>
      <c r="H77" s="604"/>
      <c r="J77" s="179"/>
    </row>
    <row r="78" spans="1:10">
      <c r="A78" s="1062"/>
      <c r="B78" s="53" t="s">
        <v>3053</v>
      </c>
      <c r="C78" s="971">
        <v>0.8</v>
      </c>
      <c r="D78" s="972" t="s">
        <v>2275</v>
      </c>
      <c r="E78" s="971">
        <v>0.9</v>
      </c>
      <c r="F78" s="179"/>
      <c r="H78" s="604"/>
      <c r="J78" s="179"/>
    </row>
    <row r="79" spans="1:10">
      <c r="A79" s="1062"/>
      <c r="B79" s="53" t="s">
        <v>3055</v>
      </c>
      <c r="C79" s="971">
        <v>0.85</v>
      </c>
      <c r="D79" s="972" t="s">
        <v>1545</v>
      </c>
      <c r="E79" s="971">
        <v>0.9</v>
      </c>
      <c r="F79" s="179"/>
      <c r="H79" s="604"/>
      <c r="J79" s="179"/>
    </row>
    <row r="80" spans="1:10">
      <c r="A80" s="1062"/>
      <c r="C80" s="971"/>
      <c r="D80" s="972" t="s">
        <v>4154</v>
      </c>
      <c r="E80" s="971">
        <v>0.85</v>
      </c>
      <c r="F80" s="179"/>
      <c r="H80" s="604"/>
      <c r="J80" s="179"/>
    </row>
    <row r="81" spans="1:10">
      <c r="A81" s="1062"/>
      <c r="C81" s="971"/>
      <c r="D81" s="972" t="s">
        <v>1582</v>
      </c>
      <c r="E81" s="971">
        <v>0.8</v>
      </c>
      <c r="F81" s="179"/>
      <c r="H81" s="604"/>
      <c r="J81" s="179"/>
    </row>
    <row r="82" spans="1:10">
      <c r="A82" s="1062"/>
      <c r="C82" s="971"/>
      <c r="D82" s="972" t="s">
        <v>2399</v>
      </c>
      <c r="E82" s="971">
        <v>0.9</v>
      </c>
      <c r="F82" s="179"/>
      <c r="H82" s="604"/>
      <c r="J82" s="179"/>
    </row>
    <row r="83" spans="1:10">
      <c r="A83" s="1062"/>
      <c r="C83" s="971"/>
      <c r="D83" s="972" t="s">
        <v>3974</v>
      </c>
      <c r="E83" s="971">
        <v>0.9</v>
      </c>
      <c r="F83" s="179"/>
      <c r="H83" s="604"/>
      <c r="J83" s="179"/>
    </row>
    <row r="84" spans="1:10">
      <c r="A84" s="1062"/>
      <c r="C84" s="971"/>
      <c r="D84" s="972" t="s">
        <v>4155</v>
      </c>
      <c r="E84" s="971">
        <v>0.8</v>
      </c>
      <c r="F84" s="179"/>
      <c r="H84" s="604"/>
      <c r="J84" s="179"/>
    </row>
    <row r="85" spans="1:10">
      <c r="A85" s="1062"/>
      <c r="C85" s="971"/>
      <c r="D85" s="972" t="s">
        <v>4061</v>
      </c>
      <c r="E85" s="971">
        <v>0.85</v>
      </c>
      <c r="F85" s="179"/>
      <c r="H85" s="604"/>
      <c r="J85" s="179"/>
    </row>
    <row r="86" spans="1:10" ht="15.6" thickBot="1">
      <c r="A86" s="1063"/>
      <c r="B86" s="950"/>
      <c r="C86" s="973"/>
      <c r="D86" s="972" t="s">
        <v>1670</v>
      </c>
      <c r="E86" s="971">
        <v>0.8</v>
      </c>
      <c r="F86" s="179"/>
      <c r="H86" s="604"/>
      <c r="J86" s="179"/>
    </row>
    <row r="87" spans="1:10">
      <c r="D87" s="972" t="s">
        <v>3016</v>
      </c>
      <c r="E87" s="971">
        <v>0.9</v>
      </c>
      <c r="F87" s="179"/>
      <c r="H87" s="604"/>
      <c r="J87" s="179"/>
    </row>
    <row r="88" spans="1:10">
      <c r="D88" s="972" t="s">
        <v>3017</v>
      </c>
      <c r="E88" s="971">
        <v>0.9</v>
      </c>
      <c r="F88" s="179"/>
      <c r="H88" s="604"/>
      <c r="J88" s="179"/>
    </row>
    <row r="89" spans="1:10">
      <c r="D89" s="972" t="s">
        <v>4514</v>
      </c>
      <c r="E89" s="971">
        <v>0.9</v>
      </c>
      <c r="F89" s="179"/>
      <c r="H89" s="604"/>
      <c r="J89" s="179"/>
    </row>
    <row r="90" spans="1:10">
      <c r="D90" s="972" t="s">
        <v>2563</v>
      </c>
      <c r="E90" s="971">
        <v>0.85</v>
      </c>
      <c r="F90" s="179"/>
      <c r="H90" s="604"/>
      <c r="J90" s="179"/>
    </row>
    <row r="91" spans="1:10">
      <c r="D91" s="972" t="s">
        <v>1897</v>
      </c>
      <c r="E91" s="971">
        <v>0.75</v>
      </c>
      <c r="F91" s="179"/>
      <c r="H91" s="604"/>
      <c r="J91" s="179"/>
    </row>
    <row r="92" spans="1:10">
      <c r="D92" s="972" t="s">
        <v>1308</v>
      </c>
      <c r="E92" s="971">
        <v>0.75</v>
      </c>
      <c r="F92" s="179"/>
      <c r="H92" s="604"/>
      <c r="J92" s="179"/>
    </row>
    <row r="93" spans="1:10">
      <c r="D93" s="972" t="s">
        <v>2324</v>
      </c>
      <c r="E93" s="971">
        <v>1.05</v>
      </c>
      <c r="F93" s="179"/>
      <c r="G93" s="974"/>
      <c r="H93" s="604"/>
      <c r="J93" s="179"/>
    </row>
    <row r="94" spans="1:10">
      <c r="D94" s="972" t="s">
        <v>1920</v>
      </c>
      <c r="E94" s="971">
        <v>0.9</v>
      </c>
      <c r="F94" s="179"/>
      <c r="G94" s="974"/>
      <c r="H94" s="604"/>
      <c r="J94" s="179"/>
    </row>
    <row r="95" spans="1:10">
      <c r="D95" s="972" t="s">
        <v>4238</v>
      </c>
      <c r="E95" s="971">
        <v>0.75</v>
      </c>
      <c r="F95" s="179"/>
      <c r="G95" s="974"/>
      <c r="H95" s="604"/>
      <c r="J95" s="179"/>
    </row>
    <row r="96" spans="1:10">
      <c r="D96" s="972" t="s">
        <v>1938</v>
      </c>
      <c r="E96" s="971">
        <v>0.8</v>
      </c>
      <c r="F96" s="179"/>
      <c r="G96" s="974"/>
      <c r="H96" s="604"/>
      <c r="J96" s="179"/>
    </row>
    <row r="97" spans="4:10">
      <c r="D97" s="972" t="s">
        <v>2968</v>
      </c>
      <c r="E97" s="971">
        <v>0.95</v>
      </c>
      <c r="F97" s="179"/>
      <c r="G97" s="974"/>
      <c r="H97" s="604"/>
      <c r="J97" s="179"/>
    </row>
    <row r="98" spans="4:10">
      <c r="D98" s="972" t="s">
        <v>1958</v>
      </c>
      <c r="E98" s="971">
        <v>0.8</v>
      </c>
      <c r="F98" s="179"/>
      <c r="G98" s="974"/>
      <c r="H98" s="604"/>
      <c r="J98" s="179"/>
    </row>
    <row r="99" spans="4:10">
      <c r="D99" s="972" t="s">
        <v>1975</v>
      </c>
      <c r="E99" s="971">
        <v>0.75</v>
      </c>
      <c r="F99" s="179"/>
      <c r="G99" s="974"/>
      <c r="H99" s="604"/>
      <c r="J99" s="179"/>
    </row>
    <row r="100" spans="4:10">
      <c r="D100" s="972" t="s">
        <v>4515</v>
      </c>
      <c r="E100" s="975" t="s">
        <v>4057</v>
      </c>
      <c r="F100" s="179"/>
      <c r="G100" s="974"/>
      <c r="H100" s="604"/>
      <c r="J100" s="179"/>
    </row>
    <row r="101" spans="4:10">
      <c r="D101" s="972" t="s">
        <v>3975</v>
      </c>
      <c r="E101" s="971">
        <v>0.8</v>
      </c>
      <c r="F101" s="179"/>
      <c r="G101" s="974"/>
      <c r="H101" s="604"/>
      <c r="J101" s="179"/>
    </row>
    <row r="102" spans="4:10">
      <c r="D102" s="972" t="s">
        <v>2688</v>
      </c>
      <c r="E102" s="971">
        <v>0.85</v>
      </c>
      <c r="F102" s="179"/>
      <c r="G102" s="974"/>
      <c r="H102" s="604"/>
      <c r="J102" s="179"/>
    </row>
    <row r="103" spans="4:10">
      <c r="D103" s="972" t="s">
        <v>186</v>
      </c>
      <c r="E103" s="971">
        <v>0.95</v>
      </c>
      <c r="F103" s="179"/>
      <c r="G103" s="974"/>
      <c r="H103" s="604"/>
      <c r="J103" s="179"/>
    </row>
    <row r="104" spans="4:10">
      <c r="D104" s="972" t="s">
        <v>3018</v>
      </c>
      <c r="E104" s="971">
        <v>0.85</v>
      </c>
      <c r="F104" s="179"/>
      <c r="G104" s="974"/>
      <c r="H104" s="604"/>
      <c r="J104" s="179"/>
    </row>
    <row r="105" spans="4:10">
      <c r="D105" s="972" t="s">
        <v>3976</v>
      </c>
      <c r="E105" s="971">
        <v>0.9</v>
      </c>
      <c r="F105" s="179"/>
      <c r="G105" s="974"/>
      <c r="H105" s="604"/>
      <c r="J105" s="179"/>
    </row>
    <row r="106" spans="4:10">
      <c r="D106" s="972" t="s">
        <v>4516</v>
      </c>
      <c r="E106" s="971">
        <v>0.95</v>
      </c>
      <c r="F106" s="179"/>
      <c r="G106" s="974"/>
      <c r="H106" s="604"/>
      <c r="J106" s="179"/>
    </row>
    <row r="107" spans="4:10">
      <c r="D107" s="972" t="s">
        <v>2074</v>
      </c>
      <c r="E107" s="971">
        <v>0.85</v>
      </c>
      <c r="F107" s="179"/>
      <c r="G107" s="974"/>
      <c r="H107" s="604"/>
      <c r="J107" s="179"/>
    </row>
    <row r="108" spans="4:10">
      <c r="D108" s="972" t="s">
        <v>2084</v>
      </c>
      <c r="E108" s="971">
        <v>0.9</v>
      </c>
      <c r="F108" s="179"/>
      <c r="G108" s="974"/>
      <c r="H108" s="604"/>
      <c r="J108" s="179"/>
    </row>
    <row r="109" spans="4:10">
      <c r="D109" s="972" t="s">
        <v>2116</v>
      </c>
      <c r="E109" s="971">
        <v>0.95</v>
      </c>
      <c r="F109" s="179"/>
      <c r="G109" s="974"/>
      <c r="H109" s="604"/>
      <c r="J109" s="179"/>
    </row>
    <row r="110" spans="4:10">
      <c r="D110" s="972" t="s">
        <v>2124</v>
      </c>
      <c r="E110" s="971">
        <v>0.95</v>
      </c>
      <c r="F110" s="179"/>
      <c r="G110" s="974"/>
      <c r="H110" s="604"/>
      <c r="J110" s="179"/>
    </row>
    <row r="111" spans="4:10">
      <c r="D111" s="972" t="s">
        <v>4157</v>
      </c>
      <c r="E111" s="971">
        <v>0.85</v>
      </c>
      <c r="F111" s="179"/>
      <c r="G111" s="974"/>
      <c r="H111" s="604"/>
      <c r="J111" s="179"/>
    </row>
    <row r="112" spans="4:10" ht="15.6" thickBot="1">
      <c r="D112" s="976" t="s">
        <v>2142</v>
      </c>
      <c r="E112" s="973">
        <v>0.8</v>
      </c>
      <c r="F112" s="179"/>
      <c r="G112" s="974"/>
      <c r="H112" s="604"/>
      <c r="J112" s="179"/>
    </row>
    <row r="113" spans="6:10">
      <c r="F113" s="179"/>
      <c r="G113" s="974"/>
      <c r="H113" s="604"/>
      <c r="J113" s="179"/>
    </row>
    <row r="114" spans="6:10">
      <c r="F114" s="179"/>
      <c r="G114" s="974"/>
      <c r="J114" s="179"/>
    </row>
    <row r="115" spans="6:10">
      <c r="F115" s="179"/>
      <c r="G115" s="974"/>
      <c r="J115" s="179"/>
    </row>
    <row r="116" spans="6:10">
      <c r="F116" s="179"/>
      <c r="G116" s="974"/>
      <c r="J116" s="179"/>
    </row>
    <row r="117" spans="6:10">
      <c r="F117" s="179"/>
      <c r="G117" s="974"/>
      <c r="J117" s="179"/>
    </row>
    <row r="118" spans="6:10">
      <c r="F118" s="179"/>
      <c r="G118" s="974"/>
      <c r="J118" s="179"/>
    </row>
    <row r="119" spans="6:10">
      <c r="F119" s="179"/>
      <c r="G119" s="974"/>
      <c r="J119" s="179"/>
    </row>
    <row r="120" spans="6:10">
      <c r="F120" s="179"/>
      <c r="G120" s="974"/>
      <c r="J120" s="179"/>
    </row>
    <row r="121" spans="6:10">
      <c r="F121" s="179"/>
      <c r="G121" s="974"/>
    </row>
    <row r="122" spans="6:10">
      <c r="F122" s="179"/>
      <c r="G122" s="146"/>
      <c r="H122" s="604"/>
    </row>
    <row r="123" spans="6:10">
      <c r="F123" s="179"/>
      <c r="G123" s="146"/>
      <c r="H123" s="604"/>
    </row>
    <row r="124" spans="6:10">
      <c r="F124" s="179"/>
      <c r="G124" s="146"/>
      <c r="H124" s="604"/>
    </row>
    <row r="125" spans="6:10">
      <c r="F125" s="179"/>
      <c r="G125" s="146"/>
      <c r="H125" s="604"/>
    </row>
    <row r="126" spans="6:10">
      <c r="F126" s="179"/>
      <c r="G126" s="146"/>
      <c r="H126" s="604"/>
    </row>
    <row r="127" spans="6:10">
      <c r="F127" s="179"/>
      <c r="G127" s="146"/>
      <c r="H127" s="604"/>
    </row>
    <row r="128" spans="6:10">
      <c r="F128" s="179"/>
      <c r="G128" s="146"/>
      <c r="H128" s="604"/>
    </row>
    <row r="129" spans="6:8">
      <c r="F129" s="179"/>
      <c r="G129" s="146"/>
      <c r="H129" s="604"/>
    </row>
    <row r="130" spans="6:8">
      <c r="F130" s="179"/>
      <c r="G130" s="146"/>
      <c r="H130" s="604"/>
    </row>
    <row r="131" spans="6:8">
      <c r="F131" s="179"/>
      <c r="G131" s="146"/>
      <c r="H131" s="604"/>
    </row>
    <row r="132" spans="6:8">
      <c r="F132" s="179"/>
      <c r="G132" s="146"/>
      <c r="H132" s="604"/>
    </row>
    <row r="133" spans="6:8">
      <c r="F133" s="179"/>
      <c r="G133" s="146"/>
      <c r="H133" s="604"/>
    </row>
    <row r="134" spans="6:8">
      <c r="F134" s="179"/>
      <c r="G134" s="146"/>
      <c r="H134" s="604"/>
    </row>
    <row r="135" spans="6:8">
      <c r="F135" s="179"/>
      <c r="G135" s="146"/>
      <c r="H135" s="604"/>
    </row>
    <row r="136" spans="6:8">
      <c r="F136" s="179"/>
      <c r="G136" s="146"/>
      <c r="H136" s="604"/>
    </row>
    <row r="137" spans="6:8">
      <c r="F137" s="179"/>
      <c r="G137" s="146"/>
      <c r="H137" s="604"/>
    </row>
    <row r="138" spans="6:8">
      <c r="F138" s="179"/>
      <c r="G138" s="146"/>
      <c r="H138" s="604"/>
    </row>
    <row r="139" spans="6:8">
      <c r="F139" s="179"/>
      <c r="G139" s="146"/>
      <c r="H139" s="604"/>
    </row>
    <row r="140" spans="6:8">
      <c r="F140" s="179"/>
      <c r="G140" s="146"/>
      <c r="H140" s="604"/>
    </row>
    <row r="141" spans="6:8">
      <c r="F141" s="179"/>
      <c r="G141" s="146"/>
      <c r="H141" s="604"/>
    </row>
    <row r="142" spans="6:8">
      <c r="F142" s="179"/>
      <c r="G142" s="146"/>
      <c r="H142" s="604"/>
    </row>
    <row r="143" spans="6:8">
      <c r="F143" s="179"/>
      <c r="G143" s="146"/>
      <c r="H143" s="604"/>
    </row>
    <row r="144" spans="6:8">
      <c r="F144" s="179"/>
      <c r="G144" s="146"/>
      <c r="H144" s="604"/>
    </row>
    <row r="145" spans="6:8">
      <c r="F145" s="179"/>
      <c r="G145" s="146"/>
      <c r="H145" s="604"/>
    </row>
    <row r="146" spans="6:8">
      <c r="F146" s="179"/>
      <c r="G146" s="146"/>
      <c r="H146" s="604"/>
    </row>
    <row r="147" spans="6:8">
      <c r="F147" s="179"/>
      <c r="G147" s="146"/>
      <c r="H147" s="604"/>
    </row>
    <row r="148" spans="6:8">
      <c r="F148" s="179"/>
      <c r="G148" s="146"/>
      <c r="H148" s="604"/>
    </row>
    <row r="149" spans="6:8">
      <c r="F149" s="179"/>
      <c r="G149" s="146"/>
      <c r="H149" s="604"/>
    </row>
    <row r="150" spans="6:8">
      <c r="F150" s="179"/>
      <c r="G150" s="146"/>
      <c r="H150" s="604"/>
    </row>
    <row r="151" spans="6:8">
      <c r="F151" s="179"/>
      <c r="G151" s="146"/>
      <c r="H151" s="604"/>
    </row>
    <row r="152" spans="6:8">
      <c r="F152" s="179"/>
      <c r="G152" s="146"/>
      <c r="H152" s="604"/>
    </row>
    <row r="153" spans="6:8">
      <c r="F153" s="179"/>
      <c r="G153" s="146"/>
      <c r="H153" s="604"/>
    </row>
    <row r="154" spans="6:8">
      <c r="F154" s="179"/>
      <c r="G154" s="146"/>
      <c r="H154" s="604"/>
    </row>
    <row r="155" spans="6:8">
      <c r="F155" s="179"/>
      <c r="G155" s="146"/>
      <c r="H155" s="604"/>
    </row>
    <row r="156" spans="6:8">
      <c r="F156" s="179"/>
      <c r="G156" s="146"/>
      <c r="H156" s="604"/>
    </row>
    <row r="157" spans="6:8">
      <c r="F157" s="179"/>
      <c r="G157" s="146"/>
      <c r="H157" s="604"/>
    </row>
    <row r="158" spans="6:8">
      <c r="F158" s="179"/>
      <c r="G158" s="146"/>
      <c r="H158" s="604"/>
    </row>
    <row r="159" spans="6:8">
      <c r="F159" s="179"/>
      <c r="G159" s="146"/>
      <c r="H159" s="604"/>
    </row>
    <row r="160" spans="6:8">
      <c r="F160" s="179"/>
      <c r="G160" s="146"/>
      <c r="H160" s="604"/>
    </row>
  </sheetData>
  <mergeCells count="8">
    <mergeCell ref="A74:A86"/>
    <mergeCell ref="M4:N5"/>
    <mergeCell ref="B25:J25"/>
    <mergeCell ref="B26:J26"/>
    <mergeCell ref="D3:E5"/>
    <mergeCell ref="G3:H5"/>
    <mergeCell ref="B4:B5"/>
    <mergeCell ref="J4:K5"/>
  </mergeCells>
  <phoneticPr fontId="0" type="noConversion"/>
  <pageMargins left="0.7" right="0.7" top="0.75" bottom="0.75" header="0.3" footer="0.3"/>
  <pageSetup scale="39" orientation="portrait" horizontalDpi="4294967293"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Q505"/>
  <sheetViews>
    <sheetView zoomScale="85" zoomScaleNormal="85" workbookViewId="0"/>
  </sheetViews>
  <sheetFormatPr defaultColWidth="8.88671875" defaultRowHeight="15"/>
  <cols>
    <col min="1" max="1" width="17" style="3" bestFit="1" customWidth="1"/>
    <col min="2" max="2" width="33.44140625" style="3" bestFit="1" customWidth="1"/>
    <col min="3" max="3" width="12.44140625" style="3" bestFit="1" customWidth="1"/>
    <col min="4" max="4" width="24.5546875" style="3" customWidth="1"/>
    <col min="5" max="5" width="17.88671875" style="3" bestFit="1" customWidth="1"/>
    <col min="6" max="6" width="30.88671875" style="3" bestFit="1" customWidth="1"/>
    <col min="7" max="7" width="12.5546875" style="3" bestFit="1" customWidth="1"/>
    <col min="8" max="8" width="9.6640625" style="3" bestFit="1" customWidth="1"/>
    <col min="9" max="9" width="7.6640625" style="3" customWidth="1"/>
    <col min="10" max="10" width="45.44140625" style="3" bestFit="1" customWidth="1"/>
    <col min="11" max="11" width="17.6640625" style="3" customWidth="1"/>
    <col min="12" max="12" width="21.109375" style="3" customWidth="1"/>
    <col min="13" max="15" width="15" style="3" customWidth="1"/>
    <col min="16" max="16" width="12.5546875" style="3" customWidth="1"/>
    <col min="17" max="17" width="15" style="3" customWidth="1"/>
    <col min="18" max="16384" width="8.88671875" style="3"/>
  </cols>
  <sheetData>
    <row r="1" spans="1:17">
      <c r="A1" s="703" t="s">
        <v>4541</v>
      </c>
      <c r="B1" s="704">
        <v>44925</v>
      </c>
    </row>
    <row r="2" spans="1:17" ht="30">
      <c r="B2" s="3" t="s">
        <v>1318</v>
      </c>
      <c r="C2" s="3" t="s">
        <v>173</v>
      </c>
      <c r="D2" s="3" t="s">
        <v>1317</v>
      </c>
      <c r="E2" s="3" t="s">
        <v>1316</v>
      </c>
      <c r="F2" s="3" t="s">
        <v>1315</v>
      </c>
      <c r="G2" s="3" t="s">
        <v>1314</v>
      </c>
      <c r="H2" s="3" t="s">
        <v>1302</v>
      </c>
      <c r="I2" s="12"/>
      <c r="J2" s="705" t="s">
        <v>158</v>
      </c>
      <c r="K2" s="705" t="s">
        <v>181</v>
      </c>
      <c r="L2" s="705" t="s">
        <v>2199</v>
      </c>
      <c r="M2" s="705" t="s">
        <v>2201</v>
      </c>
      <c r="N2" s="705" t="s">
        <v>2202</v>
      </c>
      <c r="O2" s="705" t="s">
        <v>2203</v>
      </c>
      <c r="P2" s="705" t="s">
        <v>2200</v>
      </c>
      <c r="Q2" s="705" t="s">
        <v>2204</v>
      </c>
    </row>
    <row r="3" spans="1:17">
      <c r="A3" s="3" t="s">
        <v>1484</v>
      </c>
      <c r="B3" s="3" t="s">
        <v>2335</v>
      </c>
      <c r="C3" s="3" t="s">
        <v>192</v>
      </c>
      <c r="D3" s="3">
        <v>44307180786.000008</v>
      </c>
      <c r="E3" s="3">
        <v>0.59405278984296694</v>
      </c>
      <c r="F3" s="3">
        <v>10</v>
      </c>
      <c r="G3" s="3">
        <v>296.072</v>
      </c>
      <c r="H3" s="3">
        <v>149.65</v>
      </c>
      <c r="I3" s="706"/>
      <c r="J3" s="707" t="str">
        <f>B3</f>
        <v>Agilent Technologies Inc</v>
      </c>
      <c r="K3" s="708" t="str">
        <f t="shared" ref="K3:K66" si="0">C3</f>
        <v>A</v>
      </c>
      <c r="L3" s="709">
        <f t="shared" ref="L3:L66" si="1">D3/1000000</f>
        <v>44307.180786000004</v>
      </c>
      <c r="M3" s="710">
        <f t="shared" ref="M3:M66" si="2">IFERROR(E3/100,"0.00%")</f>
        <v>5.9405278984296693E-3</v>
      </c>
      <c r="N3" s="710">
        <f t="shared" ref="N3:N66" si="3">IFERROR(F3/100,"N/A")</f>
        <v>0.1</v>
      </c>
      <c r="O3" s="711">
        <f t="shared" ref="O3:O66" si="4">IFERROR(M3*(1+0.5*N3)+N3,"N/A")</f>
        <v>0.10623755429335116</v>
      </c>
      <c r="P3" s="712">
        <f t="shared" ref="P3:P66" si="5">IF(N3="N/A","N/A",L3/$L$504)</f>
        <v>1.3835946975148455E-3</v>
      </c>
      <c r="Q3" s="713">
        <f t="shared" ref="Q3:Q66" si="6">IF(AND(ISNUMBER(L3),ISNUMBER(O3)),O3*P3,"N/A")</f>
        <v>1.4698971679722619E-4</v>
      </c>
    </row>
    <row r="4" spans="1:17">
      <c r="A4" s="3" t="s">
        <v>1485</v>
      </c>
      <c r="B4" s="3" t="s">
        <v>2336</v>
      </c>
      <c r="C4" s="3" t="s">
        <v>1486</v>
      </c>
      <c r="D4" s="3">
        <v>8266739282.6400013</v>
      </c>
      <c r="E4" s="3">
        <v>0</v>
      </c>
      <c r="F4" s="3" t="s">
        <v>1483</v>
      </c>
      <c r="G4" s="3">
        <v>649.90089999999998</v>
      </c>
      <c r="H4" s="3">
        <v>12.72</v>
      </c>
      <c r="I4" s="706"/>
      <c r="J4" s="707" t="str">
        <f t="shared" ref="J4:K67" si="7">B4</f>
        <v>American Airlines Group Inc</v>
      </c>
      <c r="K4" s="708" t="str">
        <f t="shared" si="0"/>
        <v>AAL</v>
      </c>
      <c r="L4" s="709">
        <f t="shared" si="1"/>
        <v>8266.739282640001</v>
      </c>
      <c r="M4" s="710">
        <f t="shared" si="2"/>
        <v>0</v>
      </c>
      <c r="N4" s="710" t="str">
        <f t="shared" si="3"/>
        <v>N/A</v>
      </c>
      <c r="O4" s="711" t="str">
        <f t="shared" si="4"/>
        <v>N/A</v>
      </c>
      <c r="P4" s="712" t="str">
        <f t="shared" si="5"/>
        <v>N/A</v>
      </c>
      <c r="Q4" s="713" t="str">
        <f t="shared" si="6"/>
        <v>N/A</v>
      </c>
    </row>
    <row r="5" spans="1:17">
      <c r="A5" s="3" t="s">
        <v>1487</v>
      </c>
      <c r="B5" s="3" t="s">
        <v>2337</v>
      </c>
      <c r="C5" s="3" t="s">
        <v>1488</v>
      </c>
      <c r="D5" s="3">
        <v>8712073863.4799995</v>
      </c>
      <c r="E5" s="3">
        <v>3.8121471808474459</v>
      </c>
      <c r="F5" s="3">
        <v>12.525</v>
      </c>
      <c r="G5" s="3">
        <v>59.253719999999994</v>
      </c>
      <c r="H5" s="3">
        <v>147.03</v>
      </c>
      <c r="I5" s="706"/>
      <c r="J5" s="707" t="str">
        <f t="shared" si="7"/>
        <v>Advance Auto Parts Inc</v>
      </c>
      <c r="K5" s="708" t="str">
        <f t="shared" si="0"/>
        <v>AAP</v>
      </c>
      <c r="L5" s="709">
        <f t="shared" si="1"/>
        <v>8712.07386348</v>
      </c>
      <c r="M5" s="710">
        <f t="shared" si="2"/>
        <v>3.8121471808474458E-2</v>
      </c>
      <c r="N5" s="710">
        <f t="shared" si="3"/>
        <v>0.12525</v>
      </c>
      <c r="O5" s="711">
        <f t="shared" si="4"/>
        <v>0.16575882898048017</v>
      </c>
      <c r="P5" s="712">
        <f t="shared" si="5"/>
        <v>2.7205475473802586E-4</v>
      </c>
      <c r="Q5" s="713">
        <f t="shared" si="6"/>
        <v>4.5095477563946905E-5</v>
      </c>
    </row>
    <row r="6" spans="1:17">
      <c r="A6" s="3" t="s">
        <v>1489</v>
      </c>
      <c r="B6" s="3" t="s">
        <v>2338</v>
      </c>
      <c r="C6" s="3" t="s">
        <v>1490</v>
      </c>
      <c r="D6" s="3">
        <v>2066941771740.0002</v>
      </c>
      <c r="E6" s="3">
        <v>0.75579158008158243</v>
      </c>
      <c r="F6" s="3">
        <v>13</v>
      </c>
      <c r="G6" s="3">
        <v>15908.119999999999</v>
      </c>
      <c r="H6" s="3">
        <v>129.93</v>
      </c>
      <c r="I6" s="706"/>
      <c r="J6" s="707" t="str">
        <f t="shared" si="7"/>
        <v>Apple Inc</v>
      </c>
      <c r="K6" s="708" t="str">
        <f t="shared" si="0"/>
        <v>AAPL</v>
      </c>
      <c r="L6" s="709">
        <f t="shared" si="1"/>
        <v>2066941.7717400002</v>
      </c>
      <c r="M6" s="710">
        <f t="shared" si="2"/>
        <v>7.5579158008158244E-3</v>
      </c>
      <c r="N6" s="710">
        <f t="shared" si="3"/>
        <v>0.13</v>
      </c>
      <c r="O6" s="711">
        <f t="shared" si="4"/>
        <v>0.13804918032786886</v>
      </c>
      <c r="P6" s="712">
        <f t="shared" si="5"/>
        <v>6.4545060749047589E-2</v>
      </c>
      <c r="Q6" s="713">
        <f t="shared" si="6"/>
        <v>8.9103927306185219E-3</v>
      </c>
    </row>
    <row r="7" spans="1:17">
      <c r="A7" s="3" t="s">
        <v>1491</v>
      </c>
      <c r="B7" s="3" t="s">
        <v>2339</v>
      </c>
      <c r="C7" s="3" t="s">
        <v>1492</v>
      </c>
      <c r="D7" s="3">
        <v>285804134897.88</v>
      </c>
      <c r="E7" s="3">
        <v>3.502258523606212</v>
      </c>
      <c r="F7" s="3">
        <v>-1.97</v>
      </c>
      <c r="G7" s="3">
        <v>1768.481</v>
      </c>
      <c r="H7" s="3">
        <v>161.61000000000001</v>
      </c>
      <c r="I7" s="706"/>
      <c r="J7" s="707" t="str">
        <f t="shared" si="7"/>
        <v>AbbVie Inc</v>
      </c>
      <c r="K7" s="708" t="str">
        <f t="shared" si="0"/>
        <v>ABBV</v>
      </c>
      <c r="L7" s="709">
        <f t="shared" si="1"/>
        <v>285804.13489788002</v>
      </c>
      <c r="M7" s="710">
        <f t="shared" si="2"/>
        <v>3.5022585236062123E-2</v>
      </c>
      <c r="N7" s="710">
        <f t="shared" si="3"/>
        <v>-1.9699999999999999E-2</v>
      </c>
      <c r="O7" s="711">
        <f t="shared" si="4"/>
        <v>1.4977612771486914E-2</v>
      </c>
      <c r="P7" s="712">
        <f t="shared" si="5"/>
        <v>8.9248983699155363E-3</v>
      </c>
      <c r="Q7" s="713">
        <f t="shared" si="6"/>
        <v>1.3367367180946969E-4</v>
      </c>
    </row>
    <row r="8" spans="1:17">
      <c r="A8" s="3" t="s">
        <v>1493</v>
      </c>
      <c r="B8" s="3" t="s">
        <v>2340</v>
      </c>
      <c r="C8" s="3" t="s">
        <v>1312</v>
      </c>
      <c r="D8" s="3">
        <v>33687180928.700008</v>
      </c>
      <c r="E8" s="3">
        <v>1.1767545712389114</v>
      </c>
      <c r="F8" s="3">
        <v>8.19</v>
      </c>
      <c r="G8" s="3">
        <v>203.29</v>
      </c>
      <c r="H8" s="3">
        <v>165.71</v>
      </c>
      <c r="I8" s="706"/>
      <c r="J8" s="707" t="str">
        <f t="shared" si="7"/>
        <v>AmerisourceBergen Corp</v>
      </c>
      <c r="K8" s="708" t="str">
        <f t="shared" si="0"/>
        <v>ABC</v>
      </c>
      <c r="L8" s="709">
        <f t="shared" si="1"/>
        <v>33687.180928700007</v>
      </c>
      <c r="M8" s="710">
        <f t="shared" si="2"/>
        <v>1.1767545712389114E-2</v>
      </c>
      <c r="N8" s="710">
        <f t="shared" si="3"/>
        <v>8.1900000000000001E-2</v>
      </c>
      <c r="O8" s="711">
        <f t="shared" si="4"/>
        <v>9.4149426709311451E-2</v>
      </c>
      <c r="P8" s="712">
        <f t="shared" si="5"/>
        <v>1.0519605192732102E-3</v>
      </c>
      <c r="Q8" s="713">
        <f t="shared" si="6"/>
        <v>9.9041479810402323E-5</v>
      </c>
    </row>
    <row r="9" spans="1:17">
      <c r="A9" s="3" t="s">
        <v>1494</v>
      </c>
      <c r="B9" s="3" t="s">
        <v>2341</v>
      </c>
      <c r="C9" s="3" t="s">
        <v>1495</v>
      </c>
      <c r="D9" s="3">
        <v>191426964976.83002</v>
      </c>
      <c r="E9" s="3">
        <v>1.7041624920302394</v>
      </c>
      <c r="F9" s="3">
        <v>3.59</v>
      </c>
      <c r="G9" s="3">
        <v>1743.5739999999998</v>
      </c>
      <c r="H9" s="3">
        <v>109.79</v>
      </c>
      <c r="I9" s="706"/>
      <c r="J9" s="707" t="str">
        <f t="shared" si="7"/>
        <v>Abbott Laboratories</v>
      </c>
      <c r="K9" s="708" t="str">
        <f t="shared" si="0"/>
        <v>ABT</v>
      </c>
      <c r="L9" s="709">
        <f t="shared" si="1"/>
        <v>191426.96497683003</v>
      </c>
      <c r="M9" s="710">
        <f t="shared" si="2"/>
        <v>1.7041624920302395E-2</v>
      </c>
      <c r="N9" s="710">
        <f t="shared" si="3"/>
        <v>3.5900000000000001E-2</v>
      </c>
      <c r="O9" s="711">
        <f t="shared" si="4"/>
        <v>5.3247522087621818E-2</v>
      </c>
      <c r="P9" s="712">
        <f t="shared" si="5"/>
        <v>5.9777518904337639E-3</v>
      </c>
      <c r="Q9" s="713">
        <f t="shared" si="6"/>
        <v>3.1830047582019492E-4</v>
      </c>
    </row>
    <row r="10" spans="1:17">
      <c r="A10" s="3" t="s">
        <v>4542</v>
      </c>
      <c r="B10" s="3" t="s">
        <v>4543</v>
      </c>
      <c r="C10" s="3" t="s">
        <v>4544</v>
      </c>
      <c r="D10" s="3">
        <v>23220628635.059998</v>
      </c>
      <c r="E10" s="3" t="s">
        <v>1483</v>
      </c>
      <c r="F10" s="3">
        <v>15.5</v>
      </c>
      <c r="G10" s="3">
        <v>369.87299999999999</v>
      </c>
      <c r="H10" s="3">
        <v>62.78</v>
      </c>
      <c r="I10" s="706"/>
      <c r="J10" s="707" t="str">
        <f t="shared" si="7"/>
        <v>Arch Capital Group Ltd</v>
      </c>
      <c r="K10" s="708" t="str">
        <f t="shared" si="0"/>
        <v>ACGL</v>
      </c>
      <c r="L10" s="709">
        <f t="shared" si="1"/>
        <v>23220.628635059998</v>
      </c>
      <c r="M10" s="710" t="str">
        <f t="shared" si="2"/>
        <v>0.00%</v>
      </c>
      <c r="N10" s="710">
        <f t="shared" si="3"/>
        <v>0.155</v>
      </c>
      <c r="O10" s="711">
        <f t="shared" si="4"/>
        <v>0.155</v>
      </c>
      <c r="P10" s="712">
        <f t="shared" si="5"/>
        <v>7.2511809784526061E-4</v>
      </c>
      <c r="Q10" s="713">
        <f t="shared" si="6"/>
        <v>1.1239330516601539E-4</v>
      </c>
    </row>
    <row r="11" spans="1:17">
      <c r="A11" s="3" t="s">
        <v>1496</v>
      </c>
      <c r="B11" s="3" t="s">
        <v>2342</v>
      </c>
      <c r="C11" s="3" t="s">
        <v>1497</v>
      </c>
      <c r="D11" s="3">
        <v>175940456610.23996</v>
      </c>
      <c r="E11" s="3">
        <v>1.6107030430220359</v>
      </c>
      <c r="F11" s="3">
        <v>9.2000000000000011</v>
      </c>
      <c r="G11" s="3">
        <v>658.38850000000002</v>
      </c>
      <c r="H11" s="3">
        <v>266.83999999999997</v>
      </c>
      <c r="I11" s="706"/>
      <c r="J11" s="707" t="str">
        <f t="shared" si="7"/>
        <v>Accenture PLC</v>
      </c>
      <c r="K11" s="708" t="str">
        <f t="shared" si="0"/>
        <v>ACN</v>
      </c>
      <c r="L11" s="709">
        <f t="shared" si="1"/>
        <v>175940.45661023995</v>
      </c>
      <c r="M11" s="710">
        <f t="shared" si="2"/>
        <v>1.6107030430220361E-2</v>
      </c>
      <c r="N11" s="710">
        <f t="shared" si="3"/>
        <v>9.2000000000000012E-2</v>
      </c>
      <c r="O11" s="711">
        <f t="shared" si="4"/>
        <v>0.1088479538300105</v>
      </c>
      <c r="P11" s="712">
        <f t="shared" si="5"/>
        <v>5.4941496733907939E-3</v>
      </c>
      <c r="Q11" s="713">
        <f t="shared" si="6"/>
        <v>5.980269499844084E-4</v>
      </c>
    </row>
    <row r="12" spans="1:17">
      <c r="A12" s="3" t="s">
        <v>1498</v>
      </c>
      <c r="B12" s="3" t="s">
        <v>2343</v>
      </c>
      <c r="C12" s="3" t="s">
        <v>1499</v>
      </c>
      <c r="D12" s="3">
        <v>156452797000</v>
      </c>
      <c r="E12" s="3">
        <v>0</v>
      </c>
      <c r="F12" s="3">
        <v>15.25</v>
      </c>
      <c r="G12" s="3">
        <v>464.9</v>
      </c>
      <c r="H12" s="3">
        <v>336.53</v>
      </c>
      <c r="I12" s="706"/>
      <c r="J12" s="707" t="str">
        <f t="shared" si="7"/>
        <v>Adobe Inc</v>
      </c>
      <c r="K12" s="708" t="str">
        <f t="shared" si="0"/>
        <v>ADBE</v>
      </c>
      <c r="L12" s="709">
        <f t="shared" si="1"/>
        <v>156452.79699999999</v>
      </c>
      <c r="M12" s="710">
        <f t="shared" si="2"/>
        <v>0</v>
      </c>
      <c r="N12" s="710">
        <f t="shared" si="3"/>
        <v>0.1525</v>
      </c>
      <c r="O12" s="711">
        <f t="shared" si="4"/>
        <v>0.1525</v>
      </c>
      <c r="P12" s="712">
        <f t="shared" si="5"/>
        <v>4.8856022094045069E-3</v>
      </c>
      <c r="Q12" s="713">
        <f t="shared" si="6"/>
        <v>7.4505433693418724E-4</v>
      </c>
    </row>
    <row r="13" spans="1:17">
      <c r="A13" s="3" t="s">
        <v>1500</v>
      </c>
      <c r="B13" s="3" t="s">
        <v>2344</v>
      </c>
      <c r="C13" s="3" t="s">
        <v>1501</v>
      </c>
      <c r="D13" s="3">
        <v>83539813202.229996</v>
      </c>
      <c r="E13" s="3">
        <v>2.0179235505700177</v>
      </c>
      <c r="F13" s="3">
        <v>9.4500000000000011</v>
      </c>
      <c r="G13" s="3">
        <v>509.29589999999996</v>
      </c>
      <c r="H13" s="3">
        <v>164.03</v>
      </c>
      <c r="I13" s="706"/>
      <c r="J13" s="707" t="str">
        <f t="shared" si="7"/>
        <v>Analog Devices Inc</v>
      </c>
      <c r="K13" s="708" t="str">
        <f t="shared" si="0"/>
        <v>ADI</v>
      </c>
      <c r="L13" s="709">
        <f t="shared" si="1"/>
        <v>83539.813202229998</v>
      </c>
      <c r="M13" s="710">
        <f t="shared" si="2"/>
        <v>2.0179235505700176E-2</v>
      </c>
      <c r="N13" s="710">
        <f t="shared" si="3"/>
        <v>9.4500000000000015E-2</v>
      </c>
      <c r="O13" s="711">
        <f t="shared" si="4"/>
        <v>0.11563270438334453</v>
      </c>
      <c r="P13" s="712">
        <f t="shared" si="5"/>
        <v>2.6087248280646249E-3</v>
      </c>
      <c r="Q13" s="713">
        <f t="shared" si="6"/>
        <v>3.0165390686108805E-4</v>
      </c>
    </row>
    <row r="14" spans="1:17">
      <c r="A14" s="3" t="s">
        <v>1502</v>
      </c>
      <c r="B14" s="3" t="s">
        <v>2345</v>
      </c>
      <c r="C14" s="3" t="s">
        <v>1503</v>
      </c>
      <c r="D14" s="3">
        <v>51005682976.950005</v>
      </c>
      <c r="E14" s="3">
        <v>1.7145934302638668</v>
      </c>
      <c r="F14" s="3">
        <v>7.24</v>
      </c>
      <c r="G14" s="3">
        <v>549.33420000000001</v>
      </c>
      <c r="H14" s="3">
        <v>92.85</v>
      </c>
      <c r="I14" s="706"/>
      <c r="J14" s="707" t="str">
        <f t="shared" si="7"/>
        <v>Archer-Daniels-Midland Co</v>
      </c>
      <c r="K14" s="708" t="str">
        <f t="shared" si="0"/>
        <v>ADM</v>
      </c>
      <c r="L14" s="709">
        <f t="shared" si="1"/>
        <v>51005.682976950004</v>
      </c>
      <c r="M14" s="710">
        <f t="shared" si="2"/>
        <v>1.7145934302638669E-2</v>
      </c>
      <c r="N14" s="710">
        <f t="shared" si="3"/>
        <v>7.2400000000000006E-2</v>
      </c>
      <c r="O14" s="711">
        <f t="shared" si="4"/>
        <v>9.0166617124394194E-2</v>
      </c>
      <c r="P14" s="712">
        <f t="shared" si="5"/>
        <v>1.5927709968929019E-3</v>
      </c>
      <c r="Q14" s="713">
        <f t="shared" si="6"/>
        <v>1.4361477264368194E-4</v>
      </c>
    </row>
    <row r="15" spans="1:17">
      <c r="A15" s="3" t="s">
        <v>1504</v>
      </c>
      <c r="B15" s="3" t="s">
        <v>2346</v>
      </c>
      <c r="C15" s="3" t="s">
        <v>1505</v>
      </c>
      <c r="D15" s="3">
        <v>99085760903.340012</v>
      </c>
      <c r="E15" s="3">
        <v>1.7801222473415388</v>
      </c>
      <c r="F15" s="3">
        <v>13.4</v>
      </c>
      <c r="G15" s="3">
        <v>414.82779999999997</v>
      </c>
      <c r="H15" s="3">
        <v>238.86</v>
      </c>
      <c r="I15" s="706"/>
      <c r="J15" s="707" t="str">
        <f t="shared" si="7"/>
        <v>Automatic Data Processing Inc</v>
      </c>
      <c r="K15" s="708" t="str">
        <f t="shared" si="0"/>
        <v>ADP</v>
      </c>
      <c r="L15" s="709">
        <f t="shared" si="1"/>
        <v>99085.760903340008</v>
      </c>
      <c r="M15" s="710">
        <f t="shared" si="2"/>
        <v>1.7801222473415389E-2</v>
      </c>
      <c r="N15" s="710">
        <f t="shared" si="3"/>
        <v>0.13400000000000001</v>
      </c>
      <c r="O15" s="711">
        <f t="shared" si="4"/>
        <v>0.15299390437913424</v>
      </c>
      <c r="P15" s="712">
        <f t="shared" si="5"/>
        <v>3.0941831764751682E-3</v>
      </c>
      <c r="Q15" s="713">
        <f t="shared" si="6"/>
        <v>4.7339116503316772E-4</v>
      </c>
    </row>
    <row r="16" spans="1:17">
      <c r="A16" s="3" t="s">
        <v>1506</v>
      </c>
      <c r="B16" s="3" t="s">
        <v>2347</v>
      </c>
      <c r="C16" s="3" t="s">
        <v>1507</v>
      </c>
      <c r="D16" s="3">
        <v>40320471603.780006</v>
      </c>
      <c r="E16" s="3">
        <v>0</v>
      </c>
      <c r="F16" s="3">
        <v>19.100000000000001</v>
      </c>
      <c r="G16" s="3">
        <v>215.76749999999998</v>
      </c>
      <c r="H16" s="3">
        <v>186.87</v>
      </c>
      <c r="I16" s="706"/>
      <c r="J16" s="707" t="str">
        <f t="shared" si="7"/>
        <v>Autodesk Inc</v>
      </c>
      <c r="K16" s="708" t="str">
        <f t="shared" si="0"/>
        <v>ADSK</v>
      </c>
      <c r="L16" s="709">
        <f t="shared" si="1"/>
        <v>40320.47160378001</v>
      </c>
      <c r="M16" s="710">
        <f t="shared" si="2"/>
        <v>0</v>
      </c>
      <c r="N16" s="710">
        <f t="shared" si="3"/>
        <v>0.191</v>
      </c>
      <c r="O16" s="711">
        <f t="shared" si="4"/>
        <v>0.191</v>
      </c>
      <c r="P16" s="712">
        <f t="shared" si="5"/>
        <v>1.2591004375055008E-3</v>
      </c>
      <c r="Q16" s="713">
        <f t="shared" si="6"/>
        <v>2.4048818356355066E-4</v>
      </c>
    </row>
    <row r="17" spans="1:17">
      <c r="A17" s="3" t="s">
        <v>1508</v>
      </c>
      <c r="B17" s="3" t="s">
        <v>2348</v>
      </c>
      <c r="C17" s="3" t="s">
        <v>205</v>
      </c>
      <c r="D17" s="3">
        <v>22974314196.599998</v>
      </c>
      <c r="E17" s="3">
        <v>2.6461988304093569</v>
      </c>
      <c r="F17" s="3">
        <v>7.3550000000000004</v>
      </c>
      <c r="G17" s="3">
        <v>258.37059999999997</v>
      </c>
      <c r="H17" s="3">
        <v>88.92</v>
      </c>
      <c r="I17" s="706"/>
      <c r="J17" s="707" t="str">
        <f t="shared" si="7"/>
        <v>Ameren Corp</v>
      </c>
      <c r="K17" s="708" t="str">
        <f t="shared" si="0"/>
        <v>AEE</v>
      </c>
      <c r="L17" s="709">
        <f t="shared" si="1"/>
        <v>22974.3141966</v>
      </c>
      <c r="M17" s="710">
        <f t="shared" si="2"/>
        <v>2.6461988304093569E-2</v>
      </c>
      <c r="N17" s="710">
        <f t="shared" si="3"/>
        <v>7.3550000000000004E-2</v>
      </c>
      <c r="O17" s="711">
        <f t="shared" si="4"/>
        <v>0.10098512792397661</v>
      </c>
      <c r="P17" s="712">
        <f t="shared" si="5"/>
        <v>7.1742635702743167E-4</v>
      </c>
      <c r="Q17" s="713">
        <f t="shared" si="6"/>
        <v>7.2449392440447703E-5</v>
      </c>
    </row>
    <row r="18" spans="1:17">
      <c r="A18" s="3" t="s">
        <v>3939</v>
      </c>
      <c r="B18" s="3" t="s">
        <v>2349</v>
      </c>
      <c r="C18" s="3" t="s">
        <v>198</v>
      </c>
      <c r="D18" s="3">
        <v>48791356226.100006</v>
      </c>
      <c r="E18" s="3">
        <v>3.3301737756714056</v>
      </c>
      <c r="F18" s="3">
        <v>6.13</v>
      </c>
      <c r="G18" s="3">
        <v>513.86369999999999</v>
      </c>
      <c r="H18" s="3">
        <v>94.95</v>
      </c>
      <c r="I18" s="706"/>
      <c r="J18" s="707" t="str">
        <f t="shared" si="7"/>
        <v>American Electric Power Co Inc</v>
      </c>
      <c r="K18" s="708" t="str">
        <f t="shared" si="0"/>
        <v>AEP</v>
      </c>
      <c r="L18" s="709">
        <f t="shared" si="1"/>
        <v>48791.356226100004</v>
      </c>
      <c r="M18" s="710">
        <f t="shared" si="2"/>
        <v>3.3301737756714057E-2</v>
      </c>
      <c r="N18" s="710">
        <f t="shared" si="3"/>
        <v>6.13E-2</v>
      </c>
      <c r="O18" s="711">
        <f t="shared" si="4"/>
        <v>9.5622436018957341E-2</v>
      </c>
      <c r="P18" s="712">
        <f t="shared" si="5"/>
        <v>1.5236234976232258E-3</v>
      </c>
      <c r="Q18" s="713">
        <f t="shared" si="6"/>
        <v>1.4569259041845691E-4</v>
      </c>
    </row>
    <row r="19" spans="1:17">
      <c r="A19" s="3" t="s">
        <v>1510</v>
      </c>
      <c r="B19" s="3" t="s">
        <v>2990</v>
      </c>
      <c r="C19" s="3" t="s">
        <v>1448</v>
      </c>
      <c r="D19" s="3">
        <v>19210235615.280003</v>
      </c>
      <c r="E19" s="3">
        <v>2.2009735744089012</v>
      </c>
      <c r="F19" s="3" t="s">
        <v>1483</v>
      </c>
      <c r="G19" s="3">
        <v>667.94979999999998</v>
      </c>
      <c r="H19" s="3">
        <v>28.76</v>
      </c>
      <c r="I19" s="706"/>
      <c r="J19" s="707" t="str">
        <f t="shared" si="7"/>
        <v>AES Corp/The</v>
      </c>
      <c r="K19" s="708" t="str">
        <f t="shared" si="0"/>
        <v>AES</v>
      </c>
      <c r="L19" s="709">
        <f t="shared" si="1"/>
        <v>19210.235615280002</v>
      </c>
      <c r="M19" s="710">
        <f t="shared" si="2"/>
        <v>2.2009735744089012E-2</v>
      </c>
      <c r="N19" s="710" t="str">
        <f t="shared" si="3"/>
        <v>N/A</v>
      </c>
      <c r="O19" s="711" t="str">
        <f t="shared" si="4"/>
        <v>N/A</v>
      </c>
      <c r="P19" s="712" t="str">
        <f t="shared" si="5"/>
        <v>N/A</v>
      </c>
      <c r="Q19" s="713" t="str">
        <f t="shared" si="6"/>
        <v>N/A</v>
      </c>
    </row>
    <row r="20" spans="1:17">
      <c r="A20" s="3" t="s">
        <v>1511</v>
      </c>
      <c r="B20" s="3" t="s">
        <v>2350</v>
      </c>
      <c r="C20" s="3" t="s">
        <v>1512</v>
      </c>
      <c r="D20" s="3">
        <v>44731469006.399994</v>
      </c>
      <c r="E20" s="3">
        <v>2.2338059494022797</v>
      </c>
      <c r="F20" s="3" t="s">
        <v>1483</v>
      </c>
      <c r="G20" s="3">
        <v>621.78859999999997</v>
      </c>
      <c r="H20" s="3">
        <v>71.94</v>
      </c>
      <c r="I20" s="706"/>
      <c r="J20" s="707" t="str">
        <f t="shared" si="7"/>
        <v>Aflac Inc</v>
      </c>
      <c r="K20" s="708" t="str">
        <f t="shared" si="0"/>
        <v>AFL</v>
      </c>
      <c r="L20" s="709">
        <f t="shared" si="1"/>
        <v>44731.469006399995</v>
      </c>
      <c r="M20" s="710">
        <f t="shared" si="2"/>
        <v>2.2338059494022799E-2</v>
      </c>
      <c r="N20" s="710" t="str">
        <f t="shared" si="3"/>
        <v>N/A</v>
      </c>
      <c r="O20" s="711" t="str">
        <f t="shared" si="4"/>
        <v>N/A</v>
      </c>
      <c r="P20" s="712" t="str">
        <f t="shared" si="5"/>
        <v>N/A</v>
      </c>
      <c r="Q20" s="713" t="str">
        <f t="shared" si="6"/>
        <v>N/A</v>
      </c>
    </row>
    <row r="21" spans="1:17">
      <c r="A21" s="3" t="s">
        <v>1513</v>
      </c>
      <c r="B21" s="3" t="s">
        <v>2351</v>
      </c>
      <c r="C21" s="3" t="s">
        <v>1514</v>
      </c>
      <c r="D21" s="3">
        <v>46986055832.400002</v>
      </c>
      <c r="E21" s="3">
        <v>2.0287792536369382</v>
      </c>
      <c r="F21" s="3">
        <v>10</v>
      </c>
      <c r="G21" s="3">
        <v>742.98</v>
      </c>
      <c r="H21" s="3">
        <v>63.24</v>
      </c>
      <c r="I21" s="706"/>
      <c r="J21" s="707" t="str">
        <f t="shared" si="7"/>
        <v>American International Group Inc</v>
      </c>
      <c r="K21" s="708" t="str">
        <f t="shared" si="0"/>
        <v>AIG</v>
      </c>
      <c r="L21" s="709">
        <f t="shared" si="1"/>
        <v>46986.055832400001</v>
      </c>
      <c r="M21" s="710">
        <f t="shared" si="2"/>
        <v>2.0287792536369382E-2</v>
      </c>
      <c r="N21" s="710">
        <f t="shared" si="3"/>
        <v>0.1</v>
      </c>
      <c r="O21" s="711">
        <f t="shared" si="4"/>
        <v>0.12130218216318786</v>
      </c>
      <c r="P21" s="712">
        <f t="shared" si="5"/>
        <v>1.4672487970028235E-3</v>
      </c>
      <c r="Q21" s="713">
        <f t="shared" si="6"/>
        <v>1.7798048085275475E-4</v>
      </c>
    </row>
    <row r="22" spans="1:17">
      <c r="A22" s="3" t="s">
        <v>1515</v>
      </c>
      <c r="B22" s="3" t="s">
        <v>2352</v>
      </c>
      <c r="C22" s="3" t="s">
        <v>1516</v>
      </c>
      <c r="D22" s="3">
        <v>6607098510.7399998</v>
      </c>
      <c r="E22" s="3">
        <v>2.1925475771629617</v>
      </c>
      <c r="F22" s="3">
        <v>12.67</v>
      </c>
      <c r="G22" s="3">
        <v>52.831429999999997</v>
      </c>
      <c r="H22" s="3">
        <v>125.06</v>
      </c>
      <c r="I22" s="706"/>
      <c r="J22" s="707" t="str">
        <f t="shared" si="7"/>
        <v>Assurant Inc</v>
      </c>
      <c r="K22" s="708" t="str">
        <f t="shared" si="0"/>
        <v>AIZ</v>
      </c>
      <c r="L22" s="709">
        <f t="shared" si="1"/>
        <v>6607.0985107400002</v>
      </c>
      <c r="M22" s="710">
        <f t="shared" si="2"/>
        <v>2.1925475771629618E-2</v>
      </c>
      <c r="N22" s="710">
        <f t="shared" si="3"/>
        <v>0.12670000000000001</v>
      </c>
      <c r="O22" s="711">
        <f t="shared" si="4"/>
        <v>0.15001445466176236</v>
      </c>
      <c r="P22" s="712">
        <f t="shared" si="5"/>
        <v>2.0632200702570101E-4</v>
      </c>
      <c r="Q22" s="713">
        <f t="shared" si="6"/>
        <v>3.0951283368680838E-5</v>
      </c>
    </row>
    <row r="23" spans="1:17">
      <c r="A23" s="3" t="s">
        <v>1517</v>
      </c>
      <c r="B23" s="3" t="s">
        <v>2353</v>
      </c>
      <c r="C23" s="3" t="s">
        <v>1518</v>
      </c>
      <c r="D23" s="3">
        <v>39751773600</v>
      </c>
      <c r="E23" s="3">
        <v>1.0804073406173755</v>
      </c>
      <c r="F23" s="3">
        <v>12.08</v>
      </c>
      <c r="G23" s="3">
        <v>210.84</v>
      </c>
      <c r="H23" s="3">
        <v>188.54</v>
      </c>
      <c r="I23" s="706"/>
      <c r="J23" s="707" t="str">
        <f t="shared" si="7"/>
        <v>Arthur J Gallagher &amp; Co</v>
      </c>
      <c r="K23" s="708" t="str">
        <f t="shared" si="0"/>
        <v>AJG</v>
      </c>
      <c r="L23" s="709">
        <f t="shared" si="1"/>
        <v>39751.7736</v>
      </c>
      <c r="M23" s="710">
        <f t="shared" si="2"/>
        <v>1.0804073406173755E-2</v>
      </c>
      <c r="N23" s="710">
        <f t="shared" si="3"/>
        <v>0.1208</v>
      </c>
      <c r="O23" s="711">
        <f t="shared" si="4"/>
        <v>0.13225663943990665</v>
      </c>
      <c r="P23" s="712">
        <f t="shared" si="5"/>
        <v>1.241341520585968E-3</v>
      </c>
      <c r="Q23" s="713">
        <f t="shared" si="6"/>
        <v>1.6417565790992383E-4</v>
      </c>
    </row>
    <row r="24" spans="1:17">
      <c r="A24" s="3" t="s">
        <v>1519</v>
      </c>
      <c r="B24" s="3" t="s">
        <v>2354</v>
      </c>
      <c r="C24" s="3" t="s">
        <v>1520</v>
      </c>
      <c r="D24" s="3">
        <v>13255525215.599998</v>
      </c>
      <c r="E24" s="3">
        <v>0</v>
      </c>
      <c r="F24" s="3">
        <v>12</v>
      </c>
      <c r="G24" s="3">
        <v>157.2423</v>
      </c>
      <c r="H24" s="3">
        <v>84.3</v>
      </c>
      <c r="I24" s="706"/>
      <c r="J24" s="707" t="str">
        <f t="shared" si="7"/>
        <v>Akamai Technologies Inc</v>
      </c>
      <c r="K24" s="708" t="str">
        <f t="shared" si="0"/>
        <v>AKAM</v>
      </c>
      <c r="L24" s="709">
        <f t="shared" si="1"/>
        <v>13255.525215599999</v>
      </c>
      <c r="M24" s="710">
        <f t="shared" si="2"/>
        <v>0</v>
      </c>
      <c r="N24" s="710">
        <f t="shared" si="3"/>
        <v>0.12</v>
      </c>
      <c r="O24" s="711">
        <f t="shared" si="4"/>
        <v>0.12</v>
      </c>
      <c r="P24" s="712">
        <f t="shared" si="5"/>
        <v>4.1393458296659603E-4</v>
      </c>
      <c r="Q24" s="713">
        <f t="shared" si="6"/>
        <v>4.9672149955991521E-5</v>
      </c>
    </row>
    <row r="25" spans="1:17">
      <c r="A25" s="3" t="s">
        <v>1521</v>
      </c>
      <c r="B25" s="3" t="s">
        <v>2355</v>
      </c>
      <c r="C25" s="3" t="s">
        <v>1522</v>
      </c>
      <c r="D25" s="3">
        <v>25405754906.84</v>
      </c>
      <c r="E25" s="3">
        <v>0.72673614313381896</v>
      </c>
      <c r="F25" s="3">
        <v>59.734999999999999</v>
      </c>
      <c r="G25" s="3">
        <v>117.1528</v>
      </c>
      <c r="H25" s="3">
        <v>216.86</v>
      </c>
      <c r="I25" s="706"/>
      <c r="J25" s="707" t="str">
        <f t="shared" si="7"/>
        <v>Albemarle Corp</v>
      </c>
      <c r="K25" s="708" t="str">
        <f t="shared" si="0"/>
        <v>ALB</v>
      </c>
      <c r="L25" s="709">
        <f t="shared" si="1"/>
        <v>25405.75490684</v>
      </c>
      <c r="M25" s="710">
        <f t="shared" si="2"/>
        <v>7.26736143133819E-3</v>
      </c>
      <c r="N25" s="710">
        <f t="shared" si="3"/>
        <v>0.59735000000000005</v>
      </c>
      <c r="O25" s="711">
        <f t="shared" si="4"/>
        <v>0.60678794060684316</v>
      </c>
      <c r="P25" s="712">
        <f t="shared" si="5"/>
        <v>7.9335374428906441E-4</v>
      </c>
      <c r="Q25" s="713">
        <f t="shared" si="6"/>
        <v>4.8139748466988945E-4</v>
      </c>
    </row>
    <row r="26" spans="1:17">
      <c r="A26" s="3" t="s">
        <v>2278</v>
      </c>
      <c r="B26" s="3" t="s">
        <v>2356</v>
      </c>
      <c r="C26" s="3" t="s">
        <v>2279</v>
      </c>
      <c r="D26" s="3">
        <v>16473894825.900003</v>
      </c>
      <c r="E26" s="3" t="s">
        <v>1483</v>
      </c>
      <c r="F26" s="3">
        <v>3.24</v>
      </c>
      <c r="G26" s="3">
        <v>78.112349999999992</v>
      </c>
      <c r="H26" s="3">
        <v>210.9</v>
      </c>
      <c r="I26" s="706"/>
      <c r="J26" s="707" t="str">
        <f t="shared" si="7"/>
        <v>Align Technology Inc</v>
      </c>
      <c r="K26" s="708" t="str">
        <f t="shared" si="0"/>
        <v>ALGN</v>
      </c>
      <c r="L26" s="709">
        <f t="shared" si="1"/>
        <v>16473.894825900003</v>
      </c>
      <c r="M26" s="710" t="str">
        <f t="shared" si="2"/>
        <v>0.00%</v>
      </c>
      <c r="N26" s="710">
        <f t="shared" si="3"/>
        <v>3.2400000000000005E-2</v>
      </c>
      <c r="O26" s="711">
        <f t="shared" si="4"/>
        <v>3.2400000000000005E-2</v>
      </c>
      <c r="P26" s="712">
        <f t="shared" si="5"/>
        <v>5.1443565409006102E-4</v>
      </c>
      <c r="Q26" s="713">
        <f t="shared" si="6"/>
        <v>1.6667715192517979E-5</v>
      </c>
    </row>
    <row r="27" spans="1:17">
      <c r="A27" s="3" t="s">
        <v>1523</v>
      </c>
      <c r="B27" s="3" t="s">
        <v>2357</v>
      </c>
      <c r="C27" s="3" t="s">
        <v>1524</v>
      </c>
      <c r="D27" s="3">
        <v>5446416463.1400003</v>
      </c>
      <c r="E27" s="3">
        <v>0.22123893805309736</v>
      </c>
      <c r="F27" s="3">
        <v>74.180000000000007</v>
      </c>
      <c r="G27" s="3">
        <v>126.83779999999999</v>
      </c>
      <c r="H27" s="3">
        <v>42.94</v>
      </c>
      <c r="I27" s="706"/>
      <c r="J27" s="707" t="str">
        <f t="shared" si="7"/>
        <v>Alaska Air Group Inc</v>
      </c>
      <c r="K27" s="708" t="str">
        <f t="shared" si="0"/>
        <v>ALK</v>
      </c>
      <c r="L27" s="709">
        <f t="shared" si="1"/>
        <v>5446.4164631399999</v>
      </c>
      <c r="M27" s="710">
        <f t="shared" si="2"/>
        <v>2.2123893805309734E-3</v>
      </c>
      <c r="N27" s="710">
        <f t="shared" si="3"/>
        <v>0.74180000000000001</v>
      </c>
      <c r="O27" s="711">
        <f t="shared" si="4"/>
        <v>0.74483296460176995</v>
      </c>
      <c r="P27" s="712">
        <f t="shared" si="5"/>
        <v>1.7007701246564397E-4</v>
      </c>
      <c r="Q27" s="713">
        <f t="shared" si="6"/>
        <v>1.2667896540539779E-4</v>
      </c>
    </row>
    <row r="28" spans="1:17">
      <c r="A28" s="3" t="s">
        <v>1525</v>
      </c>
      <c r="B28" s="3" t="s">
        <v>2358</v>
      </c>
      <c r="C28" s="3" t="s">
        <v>1526</v>
      </c>
      <c r="D28" s="3">
        <v>35962418234.399994</v>
      </c>
      <c r="E28" s="3">
        <v>2.4756637168141595</v>
      </c>
      <c r="F28" s="3">
        <v>1.9950000000000001</v>
      </c>
      <c r="G28" s="3">
        <v>265.20959999999997</v>
      </c>
      <c r="H28" s="3">
        <v>135.6</v>
      </c>
      <c r="I28" s="706"/>
      <c r="J28" s="707" t="str">
        <f t="shared" si="7"/>
        <v>Allstate Corp/The</v>
      </c>
      <c r="K28" s="708" t="str">
        <f t="shared" si="0"/>
        <v>ALL</v>
      </c>
      <c r="L28" s="709">
        <f t="shared" si="1"/>
        <v>35962.418234399993</v>
      </c>
      <c r="M28" s="710">
        <f t="shared" si="2"/>
        <v>2.4756637168141596E-2</v>
      </c>
      <c r="N28" s="710">
        <f t="shared" si="3"/>
        <v>1.9950000000000002E-2</v>
      </c>
      <c r="O28" s="711">
        <f t="shared" si="4"/>
        <v>4.4953584623893816E-2</v>
      </c>
      <c r="P28" s="712">
        <f t="shared" si="5"/>
        <v>1.1230100921846321E-3</v>
      </c>
      <c r="Q28" s="713">
        <f t="shared" si="6"/>
        <v>5.0483329212508658E-5</v>
      </c>
    </row>
    <row r="29" spans="1:17">
      <c r="A29" s="3" t="s">
        <v>1527</v>
      </c>
      <c r="B29" s="3" t="s">
        <v>2991</v>
      </c>
      <c r="C29" s="3" t="s">
        <v>1528</v>
      </c>
      <c r="D29" s="3">
        <v>9246545963.7199993</v>
      </c>
      <c r="E29" s="3">
        <v>1.5380961428842865</v>
      </c>
      <c r="F29" s="3">
        <v>8.65</v>
      </c>
      <c r="G29" s="3">
        <v>87.844819999999999</v>
      </c>
      <c r="H29" s="3">
        <v>105.26</v>
      </c>
      <c r="I29" s="706"/>
      <c r="J29" s="707" t="str">
        <f t="shared" si="7"/>
        <v>Allegion plc</v>
      </c>
      <c r="K29" s="708" t="str">
        <f t="shared" si="0"/>
        <v>ALLE</v>
      </c>
      <c r="L29" s="709">
        <f t="shared" si="1"/>
        <v>9246.5459637200001</v>
      </c>
      <c r="M29" s="710">
        <f t="shared" si="2"/>
        <v>1.5380961428842866E-2</v>
      </c>
      <c r="N29" s="710">
        <f t="shared" si="3"/>
        <v>8.6500000000000007E-2</v>
      </c>
      <c r="O29" s="711">
        <f t="shared" si="4"/>
        <v>0.10254618801064033</v>
      </c>
      <c r="P29" s="712">
        <f t="shared" si="5"/>
        <v>2.8874488827266388E-4</v>
      </c>
      <c r="Q29" s="713">
        <f t="shared" si="6"/>
        <v>2.9609687599919928E-5</v>
      </c>
    </row>
    <row r="30" spans="1:17">
      <c r="A30" s="3" t="s">
        <v>1529</v>
      </c>
      <c r="B30" s="3" t="s">
        <v>2359</v>
      </c>
      <c r="C30" s="3" t="s">
        <v>1530</v>
      </c>
      <c r="D30" s="3">
        <v>82202326128.360001</v>
      </c>
      <c r="E30" s="3">
        <v>1.1121380160197165</v>
      </c>
      <c r="F30" s="3">
        <v>2.3650000000000002</v>
      </c>
      <c r="G30" s="3">
        <v>844.13969999999995</v>
      </c>
      <c r="H30" s="3">
        <v>97.38</v>
      </c>
      <c r="I30" s="706"/>
      <c r="J30" s="707" t="str">
        <f t="shared" si="7"/>
        <v>Applied Materials Inc</v>
      </c>
      <c r="K30" s="708" t="str">
        <f t="shared" si="0"/>
        <v>AMAT</v>
      </c>
      <c r="L30" s="709">
        <f t="shared" si="1"/>
        <v>82202.32612836</v>
      </c>
      <c r="M30" s="710">
        <f t="shared" si="2"/>
        <v>1.1121380160197165E-2</v>
      </c>
      <c r="N30" s="710">
        <f t="shared" si="3"/>
        <v>2.3650000000000001E-2</v>
      </c>
      <c r="O30" s="711">
        <f t="shared" si="4"/>
        <v>3.4902890480591496E-2</v>
      </c>
      <c r="P30" s="712">
        <f t="shared" si="5"/>
        <v>2.5669586856341435E-3</v>
      </c>
      <c r="Q30" s="713">
        <f t="shared" si="6"/>
        <v>8.9594277872891604E-5</v>
      </c>
    </row>
    <row r="31" spans="1:17">
      <c r="A31" s="3" t="s">
        <v>2887</v>
      </c>
      <c r="B31" s="3" t="s">
        <v>2888</v>
      </c>
      <c r="C31" s="3" t="s">
        <v>2889</v>
      </c>
      <c r="D31" s="3">
        <v>17734222911.960003</v>
      </c>
      <c r="E31" s="3">
        <v>4.1057934508816123</v>
      </c>
      <c r="F31" s="3">
        <v>3.58</v>
      </c>
      <c r="G31" s="3">
        <v>1489.02</v>
      </c>
      <c r="H31" s="3">
        <v>11.91</v>
      </c>
      <c r="I31" s="706"/>
      <c r="J31" s="707" t="str">
        <f t="shared" si="7"/>
        <v>Amcor PLC</v>
      </c>
      <c r="K31" s="708" t="str">
        <f t="shared" si="0"/>
        <v>AMCR</v>
      </c>
      <c r="L31" s="709">
        <f t="shared" si="1"/>
        <v>17734.222911960002</v>
      </c>
      <c r="M31" s="710">
        <f t="shared" si="2"/>
        <v>4.1057934508816125E-2</v>
      </c>
      <c r="N31" s="710">
        <f t="shared" si="3"/>
        <v>3.5799999999999998E-2</v>
      </c>
      <c r="O31" s="711">
        <f t="shared" si="4"/>
        <v>7.7592871536523944E-2</v>
      </c>
      <c r="P31" s="712">
        <f t="shared" si="5"/>
        <v>5.5379232779548075E-4</v>
      </c>
      <c r="Q31" s="713">
        <f t="shared" si="6"/>
        <v>4.2970336948547294E-5</v>
      </c>
    </row>
    <row r="32" spans="1:17">
      <c r="A32" s="3" t="s">
        <v>2360</v>
      </c>
      <c r="B32" s="3" t="s">
        <v>2361</v>
      </c>
      <c r="C32" s="3" t="s">
        <v>2222</v>
      </c>
      <c r="D32" s="3">
        <v>104432308612.74001</v>
      </c>
      <c r="E32" s="3">
        <v>0</v>
      </c>
      <c r="F32" s="3">
        <v>29.653000000000002</v>
      </c>
      <c r="G32" s="3">
        <v>1612.356</v>
      </c>
      <c r="H32" s="3">
        <v>64.77</v>
      </c>
      <c r="I32" s="706"/>
      <c r="J32" s="707" t="str">
        <f t="shared" si="7"/>
        <v>Advanced Micro Devices Inc</v>
      </c>
      <c r="K32" s="708" t="str">
        <f t="shared" si="0"/>
        <v>AMD</v>
      </c>
      <c r="L32" s="709">
        <f t="shared" si="1"/>
        <v>104432.30861274</v>
      </c>
      <c r="M32" s="710">
        <f t="shared" si="2"/>
        <v>0</v>
      </c>
      <c r="N32" s="710">
        <f t="shared" si="3"/>
        <v>0.29653000000000002</v>
      </c>
      <c r="O32" s="711">
        <f t="shared" si="4"/>
        <v>0.29653000000000002</v>
      </c>
      <c r="P32" s="712">
        <f t="shared" si="5"/>
        <v>3.2611415549932028E-3</v>
      </c>
      <c r="Q32" s="713">
        <f t="shared" si="6"/>
        <v>9.6702630530213444E-4</v>
      </c>
    </row>
    <row r="33" spans="1:17">
      <c r="A33" s="3" t="s">
        <v>1531</v>
      </c>
      <c r="B33" s="3" t="s">
        <v>2362</v>
      </c>
      <c r="C33" s="3" t="s">
        <v>1532</v>
      </c>
      <c r="D33" s="3">
        <v>32087312348.839996</v>
      </c>
      <c r="E33" s="3">
        <v>0.63126252505010028</v>
      </c>
      <c r="F33" s="3">
        <v>9.91</v>
      </c>
      <c r="G33" s="3">
        <v>229.65439999999998</v>
      </c>
      <c r="H33" s="3">
        <v>139.72</v>
      </c>
      <c r="I33" s="706"/>
      <c r="J33" s="707" t="str">
        <f t="shared" si="7"/>
        <v>AMETEK Inc</v>
      </c>
      <c r="K33" s="708" t="str">
        <f t="shared" si="0"/>
        <v>AME</v>
      </c>
      <c r="L33" s="709">
        <f t="shared" si="1"/>
        <v>32087.312348839998</v>
      </c>
      <c r="M33" s="710">
        <f t="shared" si="2"/>
        <v>6.3126252505010024E-3</v>
      </c>
      <c r="N33" s="710">
        <f t="shared" si="3"/>
        <v>9.9100000000000008E-2</v>
      </c>
      <c r="O33" s="711">
        <f t="shared" si="4"/>
        <v>0.10572541583166334</v>
      </c>
      <c r="P33" s="712">
        <f t="shared" si="5"/>
        <v>1.0020009044986599E-3</v>
      </c>
      <c r="Q33" s="713">
        <f t="shared" si="6"/>
        <v>1.059369622918236E-4</v>
      </c>
    </row>
    <row r="34" spans="1:17">
      <c r="A34" s="3" t="s">
        <v>1533</v>
      </c>
      <c r="B34" s="3" t="s">
        <v>2363</v>
      </c>
      <c r="C34" s="3" t="s">
        <v>1534</v>
      </c>
      <c r="D34" s="3">
        <v>140139242663.84</v>
      </c>
      <c r="E34" s="3">
        <v>2.9523301858056659</v>
      </c>
      <c r="F34" s="3">
        <v>7</v>
      </c>
      <c r="G34" s="3">
        <v>533.57920000000001</v>
      </c>
      <c r="H34" s="3">
        <v>262.64</v>
      </c>
      <c r="I34" s="706"/>
      <c r="J34" s="707" t="str">
        <f t="shared" si="7"/>
        <v>Amgen Inc</v>
      </c>
      <c r="K34" s="708" t="str">
        <f t="shared" si="0"/>
        <v>AMGN</v>
      </c>
      <c r="L34" s="709">
        <f t="shared" si="1"/>
        <v>140139.24266384001</v>
      </c>
      <c r="M34" s="710">
        <f t="shared" si="2"/>
        <v>2.9523301858056659E-2</v>
      </c>
      <c r="N34" s="710">
        <f t="shared" si="3"/>
        <v>7.0000000000000007E-2</v>
      </c>
      <c r="O34" s="711">
        <f t="shared" si="4"/>
        <v>0.10055661742308865</v>
      </c>
      <c r="P34" s="712">
        <f t="shared" si="5"/>
        <v>4.3761735597653206E-3</v>
      </c>
      <c r="Q34" s="713">
        <f t="shared" si="6"/>
        <v>4.4005321042635731E-4</v>
      </c>
    </row>
    <row r="35" spans="1:17">
      <c r="A35" s="3" t="s">
        <v>1535</v>
      </c>
      <c r="B35" s="3" t="s">
        <v>2364</v>
      </c>
      <c r="C35" s="3" t="s">
        <v>1536</v>
      </c>
      <c r="D35" s="3">
        <v>33135123252.630001</v>
      </c>
      <c r="E35" s="3">
        <v>1.5746539486784215</v>
      </c>
      <c r="F35" s="3">
        <v>12.9</v>
      </c>
      <c r="G35" s="3">
        <v>106.41719999999999</v>
      </c>
      <c r="H35" s="3">
        <v>311.37</v>
      </c>
      <c r="I35" s="706"/>
      <c r="J35" s="707" t="str">
        <f t="shared" si="7"/>
        <v>Ameriprise Financial Inc</v>
      </c>
      <c r="K35" s="708" t="str">
        <f t="shared" si="0"/>
        <v>AMP</v>
      </c>
      <c r="L35" s="709">
        <f t="shared" si="1"/>
        <v>33135.123252630001</v>
      </c>
      <c r="M35" s="710">
        <f t="shared" si="2"/>
        <v>1.5746539486784214E-2</v>
      </c>
      <c r="N35" s="710">
        <f t="shared" si="3"/>
        <v>0.129</v>
      </c>
      <c r="O35" s="711">
        <f t="shared" si="4"/>
        <v>0.14576219128368179</v>
      </c>
      <c r="P35" s="712">
        <f t="shared" si="5"/>
        <v>1.0347212352613919E-3</v>
      </c>
      <c r="Q35" s="713">
        <f t="shared" si="6"/>
        <v>1.5082323461945851E-4</v>
      </c>
    </row>
    <row r="36" spans="1:17">
      <c r="A36" s="3" t="s">
        <v>1537</v>
      </c>
      <c r="B36" s="3" t="s">
        <v>2365</v>
      </c>
      <c r="C36" s="3" t="s">
        <v>1538</v>
      </c>
      <c r="D36" s="3">
        <v>98643203051.580002</v>
      </c>
      <c r="E36" s="3">
        <v>2.7570093457943923</v>
      </c>
      <c r="F36" s="3">
        <v>11.41</v>
      </c>
      <c r="G36" s="3">
        <v>465.60559999999998</v>
      </c>
      <c r="H36" s="3">
        <v>211.86</v>
      </c>
      <c r="I36" s="706"/>
      <c r="J36" s="707" t="str">
        <f t="shared" si="7"/>
        <v>American Tower Corp</v>
      </c>
      <c r="K36" s="708" t="str">
        <f t="shared" si="0"/>
        <v>AMT</v>
      </c>
      <c r="L36" s="709">
        <f t="shared" si="1"/>
        <v>98643.20305158</v>
      </c>
      <c r="M36" s="710">
        <f t="shared" si="2"/>
        <v>2.7570093457943923E-2</v>
      </c>
      <c r="N36" s="710">
        <f t="shared" si="3"/>
        <v>0.11410000000000001</v>
      </c>
      <c r="O36" s="711">
        <f t="shared" si="4"/>
        <v>0.14324296728971964</v>
      </c>
      <c r="P36" s="712">
        <f t="shared" si="5"/>
        <v>3.0803632789737638E-3</v>
      </c>
      <c r="Q36" s="713">
        <f t="shared" si="6"/>
        <v>4.4124037641049237E-4</v>
      </c>
    </row>
    <row r="37" spans="1:17">
      <c r="A37" s="3" t="s">
        <v>1539</v>
      </c>
      <c r="B37" s="3" t="s">
        <v>2366</v>
      </c>
      <c r="C37" s="3" t="s">
        <v>1540</v>
      </c>
      <c r="D37" s="3">
        <v>856938950784</v>
      </c>
      <c r="E37" s="3">
        <v>0</v>
      </c>
      <c r="F37" s="3">
        <v>-2.68</v>
      </c>
      <c r="G37" s="3">
        <v>10201.65</v>
      </c>
      <c r="H37" s="3">
        <v>84</v>
      </c>
      <c r="I37" s="706"/>
      <c r="J37" s="707" t="str">
        <f t="shared" si="7"/>
        <v>Amazon.com Inc</v>
      </c>
      <c r="K37" s="708" t="str">
        <f t="shared" si="0"/>
        <v>AMZN</v>
      </c>
      <c r="L37" s="709">
        <f t="shared" si="1"/>
        <v>856938.95078399999</v>
      </c>
      <c r="M37" s="710">
        <f t="shared" si="2"/>
        <v>0</v>
      </c>
      <c r="N37" s="710">
        <f t="shared" si="3"/>
        <v>-2.6800000000000001E-2</v>
      </c>
      <c r="O37" s="711">
        <f t="shared" si="4"/>
        <v>-2.6800000000000001E-2</v>
      </c>
      <c r="P37" s="712">
        <f t="shared" si="5"/>
        <v>2.6759910411030173E-2</v>
      </c>
      <c r="Q37" s="713">
        <f t="shared" si="6"/>
        <v>-7.1716559901560868E-4</v>
      </c>
    </row>
    <row r="38" spans="1:17">
      <c r="A38" s="3" t="s">
        <v>2367</v>
      </c>
      <c r="B38" s="3" t="s">
        <v>2368</v>
      </c>
      <c r="C38" s="3" t="s">
        <v>2369</v>
      </c>
      <c r="D38" s="3">
        <v>37081236951.599998</v>
      </c>
      <c r="E38" s="3">
        <v>0</v>
      </c>
      <c r="F38" s="3">
        <v>29.234999999999999</v>
      </c>
      <c r="G38" s="3">
        <v>305.57259999999997</v>
      </c>
      <c r="H38" s="3">
        <v>121.35</v>
      </c>
      <c r="I38" s="706"/>
      <c r="J38" s="707" t="str">
        <f t="shared" si="7"/>
        <v>Arista Networks Inc</v>
      </c>
      <c r="K38" s="708" t="str">
        <f t="shared" si="0"/>
        <v>ANET</v>
      </c>
      <c r="L38" s="709">
        <f t="shared" si="1"/>
        <v>37081.236951599996</v>
      </c>
      <c r="M38" s="710">
        <f t="shared" si="2"/>
        <v>0</v>
      </c>
      <c r="N38" s="710">
        <f t="shared" si="3"/>
        <v>0.29235</v>
      </c>
      <c r="O38" s="711">
        <f t="shared" si="4"/>
        <v>0.29235</v>
      </c>
      <c r="P38" s="712">
        <f t="shared" si="5"/>
        <v>1.1579478069554039E-3</v>
      </c>
      <c r="Q38" s="713">
        <f t="shared" si="6"/>
        <v>3.3852604136341233E-4</v>
      </c>
    </row>
    <row r="39" spans="1:17">
      <c r="A39" s="3" t="s">
        <v>2270</v>
      </c>
      <c r="B39" s="3" t="s">
        <v>2370</v>
      </c>
      <c r="C39" s="3" t="s">
        <v>2271</v>
      </c>
      <c r="D39" s="3">
        <v>21045444853.649998</v>
      </c>
      <c r="E39" s="3">
        <v>0</v>
      </c>
      <c r="F39" s="3">
        <v>7.94</v>
      </c>
      <c r="G39" s="3">
        <v>87.11224</v>
      </c>
      <c r="H39" s="3">
        <v>241.59</v>
      </c>
      <c r="I39" s="706"/>
      <c r="J39" s="707" t="str">
        <f t="shared" si="7"/>
        <v>ANSYS Inc</v>
      </c>
      <c r="K39" s="708" t="str">
        <f t="shared" si="0"/>
        <v>ANSS</v>
      </c>
      <c r="L39" s="709">
        <f t="shared" si="1"/>
        <v>21045.444853649999</v>
      </c>
      <c r="M39" s="710">
        <f t="shared" si="2"/>
        <v>0</v>
      </c>
      <c r="N39" s="710">
        <f t="shared" si="3"/>
        <v>7.9399999999999998E-2</v>
      </c>
      <c r="O39" s="711">
        <f t="shared" si="4"/>
        <v>7.9399999999999998E-2</v>
      </c>
      <c r="P39" s="712">
        <f t="shared" si="5"/>
        <v>6.5719292877130945E-4</v>
      </c>
      <c r="Q39" s="713">
        <f t="shared" si="6"/>
        <v>5.218111854444197E-5</v>
      </c>
    </row>
    <row r="40" spans="1:17">
      <c r="A40" s="3" t="s">
        <v>1541</v>
      </c>
      <c r="B40" s="3" t="s">
        <v>2371</v>
      </c>
      <c r="C40" s="3" t="s">
        <v>1542</v>
      </c>
      <c r="D40" s="3">
        <v>62084840211.040001</v>
      </c>
      <c r="E40" s="3">
        <v>0.72566135803291798</v>
      </c>
      <c r="F40" s="3">
        <v>11.44</v>
      </c>
      <c r="G40" s="3">
        <v>206.85289999999998</v>
      </c>
      <c r="H40" s="3">
        <v>300.14</v>
      </c>
      <c r="I40" s="706"/>
      <c r="J40" s="707" t="str">
        <f t="shared" si="7"/>
        <v>Aon PLC</v>
      </c>
      <c r="K40" s="708" t="str">
        <f t="shared" si="0"/>
        <v>AON</v>
      </c>
      <c r="L40" s="709">
        <f t="shared" si="1"/>
        <v>62084.840211039998</v>
      </c>
      <c r="M40" s="710">
        <f t="shared" si="2"/>
        <v>7.25661358032918E-3</v>
      </c>
      <c r="N40" s="710">
        <f t="shared" si="3"/>
        <v>0.1144</v>
      </c>
      <c r="O40" s="711">
        <f t="shared" si="4"/>
        <v>0.12207169187712401</v>
      </c>
      <c r="P40" s="712">
        <f t="shared" si="5"/>
        <v>1.9387434313851404E-3</v>
      </c>
      <c r="Q40" s="713">
        <f t="shared" si="6"/>
        <v>2.3666569078484499E-4</v>
      </c>
    </row>
    <row r="41" spans="1:17">
      <c r="A41" s="3" t="s">
        <v>2274</v>
      </c>
      <c r="B41" s="3" t="s">
        <v>3024</v>
      </c>
      <c r="C41" s="3" t="s">
        <v>2275</v>
      </c>
      <c r="D41" s="3">
        <v>8744871165.4800014</v>
      </c>
      <c r="E41" s="3">
        <v>1.9916142557651992</v>
      </c>
      <c r="F41" s="3" t="s">
        <v>1483</v>
      </c>
      <c r="G41" s="3">
        <v>126.86969999999999</v>
      </c>
      <c r="H41" s="3">
        <v>57.24</v>
      </c>
      <c r="I41" s="706"/>
      <c r="J41" s="707" t="str">
        <f t="shared" si="7"/>
        <v>A O Smith Corp</v>
      </c>
      <c r="K41" s="708" t="str">
        <f t="shared" si="0"/>
        <v>AOS</v>
      </c>
      <c r="L41" s="709">
        <f t="shared" si="1"/>
        <v>8744.8711654800009</v>
      </c>
      <c r="M41" s="710">
        <f t="shared" si="2"/>
        <v>1.9916142557651992E-2</v>
      </c>
      <c r="N41" s="710" t="str">
        <f t="shared" si="3"/>
        <v>N/A</v>
      </c>
      <c r="O41" s="711" t="str">
        <f t="shared" si="4"/>
        <v>N/A</v>
      </c>
      <c r="P41" s="712" t="str">
        <f t="shared" si="5"/>
        <v>N/A</v>
      </c>
      <c r="Q41" s="713" t="str">
        <f t="shared" si="6"/>
        <v>N/A</v>
      </c>
    </row>
    <row r="42" spans="1:17">
      <c r="A42" s="3" t="s">
        <v>3025</v>
      </c>
      <c r="B42" s="3" t="s">
        <v>3980</v>
      </c>
      <c r="C42" s="3" t="s">
        <v>1543</v>
      </c>
      <c r="D42" s="3">
        <v>15008170870.68</v>
      </c>
      <c r="E42" s="3">
        <v>1.3410454155955442</v>
      </c>
      <c r="F42" s="3">
        <v>22.900000000000002</v>
      </c>
      <c r="G42" s="3">
        <v>321.51179999999999</v>
      </c>
      <c r="H42" s="3">
        <v>46.68</v>
      </c>
      <c r="I42" s="706"/>
      <c r="J42" s="707" t="str">
        <f t="shared" si="7"/>
        <v>APA Corp</v>
      </c>
      <c r="K42" s="708" t="str">
        <f t="shared" si="0"/>
        <v>APA</v>
      </c>
      <c r="L42" s="709">
        <f t="shared" si="1"/>
        <v>15008.17087068</v>
      </c>
      <c r="M42" s="710">
        <f t="shared" si="2"/>
        <v>1.3410454155955442E-2</v>
      </c>
      <c r="N42" s="710">
        <f t="shared" si="3"/>
        <v>0.22900000000000001</v>
      </c>
      <c r="O42" s="711">
        <f t="shared" si="4"/>
        <v>0.24394595115681234</v>
      </c>
      <c r="P42" s="712">
        <f t="shared" si="5"/>
        <v>4.6866501699496349E-4</v>
      </c>
      <c r="Q42" s="713">
        <f t="shared" si="6"/>
        <v>1.1432893334475998E-4</v>
      </c>
    </row>
    <row r="43" spans="1:17">
      <c r="A43" s="3" t="s">
        <v>1544</v>
      </c>
      <c r="B43" s="3" t="s">
        <v>2992</v>
      </c>
      <c r="C43" s="3" t="s">
        <v>1545</v>
      </c>
      <c r="D43" s="3">
        <v>68429930559.82</v>
      </c>
      <c r="E43" s="3">
        <v>2.216635307857004</v>
      </c>
      <c r="F43" s="3">
        <v>13.280000000000001</v>
      </c>
      <c r="G43" s="3">
        <v>221.98769999999999</v>
      </c>
      <c r="H43" s="3">
        <v>308.26</v>
      </c>
      <c r="I43" s="706"/>
      <c r="J43" s="707" t="str">
        <f t="shared" si="7"/>
        <v>Air Products and Chemicals Inc</v>
      </c>
      <c r="K43" s="708" t="str">
        <f t="shared" si="0"/>
        <v>APD</v>
      </c>
      <c r="L43" s="709">
        <f t="shared" si="1"/>
        <v>68429.930559820001</v>
      </c>
      <c r="M43" s="710">
        <f t="shared" si="2"/>
        <v>2.2166353078570039E-2</v>
      </c>
      <c r="N43" s="710">
        <f t="shared" si="3"/>
        <v>0.1328</v>
      </c>
      <c r="O43" s="711">
        <f t="shared" si="4"/>
        <v>0.1564381989229871</v>
      </c>
      <c r="P43" s="712">
        <f t="shared" si="5"/>
        <v>2.1368836246018256E-3</v>
      </c>
      <c r="Q43" s="713">
        <f t="shared" si="6"/>
        <v>3.3429022554073409E-4</v>
      </c>
    </row>
    <row r="44" spans="1:17">
      <c r="A44" s="3" t="s">
        <v>1546</v>
      </c>
      <c r="B44" s="3" t="s">
        <v>2372</v>
      </c>
      <c r="C44" s="3" t="s">
        <v>1547</v>
      </c>
      <c r="D44" s="3">
        <v>45310498275.600006</v>
      </c>
      <c r="E44" s="3">
        <v>1.0625164171263464</v>
      </c>
      <c r="F44" s="3">
        <v>9.9</v>
      </c>
      <c r="G44" s="3">
        <v>595.09449999999993</v>
      </c>
      <c r="H44" s="3">
        <v>76.14</v>
      </c>
      <c r="I44" s="706"/>
      <c r="J44" s="707" t="str">
        <f t="shared" si="7"/>
        <v>Amphenol Corp</v>
      </c>
      <c r="K44" s="708" t="str">
        <f t="shared" si="0"/>
        <v>APH</v>
      </c>
      <c r="L44" s="709">
        <f t="shared" si="1"/>
        <v>45310.498275600003</v>
      </c>
      <c r="M44" s="710">
        <f t="shared" si="2"/>
        <v>1.0625164171263463E-2</v>
      </c>
      <c r="N44" s="710">
        <f t="shared" si="3"/>
        <v>9.9000000000000005E-2</v>
      </c>
      <c r="O44" s="711">
        <f t="shared" si="4"/>
        <v>0.11015110979774101</v>
      </c>
      <c r="P44" s="712">
        <f t="shared" si="5"/>
        <v>1.4149256180091844E-3</v>
      </c>
      <c r="Q44" s="713">
        <f t="shared" si="6"/>
        <v>1.5585562710496623E-4</v>
      </c>
    </row>
    <row r="45" spans="1:17">
      <c r="A45" s="3" t="s">
        <v>2301</v>
      </c>
      <c r="B45" s="3" t="s">
        <v>2373</v>
      </c>
      <c r="C45" s="3" t="s">
        <v>2297</v>
      </c>
      <c r="D45" s="3">
        <v>25233534292.27</v>
      </c>
      <c r="E45" s="3">
        <v>9.4491570922366583E-2</v>
      </c>
      <c r="F45" s="3">
        <v>11.293000000000001</v>
      </c>
      <c r="G45" s="3">
        <v>270.94959999999998</v>
      </c>
      <c r="H45" s="3">
        <v>93.13</v>
      </c>
      <c r="I45" s="706"/>
      <c r="J45" s="707" t="str">
        <f t="shared" si="7"/>
        <v>Aptiv PLC</v>
      </c>
      <c r="K45" s="708" t="str">
        <f t="shared" si="0"/>
        <v>APTV</v>
      </c>
      <c r="L45" s="709">
        <f t="shared" si="1"/>
        <v>25233.53429227</v>
      </c>
      <c r="M45" s="710">
        <f t="shared" si="2"/>
        <v>9.4491570922366585E-4</v>
      </c>
      <c r="N45" s="710">
        <f t="shared" si="3"/>
        <v>0.11293000000000002</v>
      </c>
      <c r="O45" s="711">
        <f t="shared" si="4"/>
        <v>0.113928270374745</v>
      </c>
      <c r="P45" s="712">
        <f t="shared" si="5"/>
        <v>7.8797575532892972E-4</v>
      </c>
      <c r="Q45" s="713">
        <f t="shared" si="6"/>
        <v>8.9772714901858219E-5</v>
      </c>
    </row>
    <row r="46" spans="1:17">
      <c r="A46" s="3" t="s">
        <v>2223</v>
      </c>
      <c r="B46" s="3" t="s">
        <v>2374</v>
      </c>
      <c r="C46" s="3" t="s">
        <v>2224</v>
      </c>
      <c r="D46" s="3">
        <v>23902593494.919998</v>
      </c>
      <c r="E46" s="3">
        <v>3.2360815541978449</v>
      </c>
      <c r="F46" s="3">
        <v>-6.04</v>
      </c>
      <c r="G46" s="3">
        <v>164.0873</v>
      </c>
      <c r="H46" s="3">
        <v>145.66999999999999</v>
      </c>
      <c r="I46" s="706"/>
      <c r="J46" s="707" t="str">
        <f t="shared" si="7"/>
        <v>Alexandria Real Estate Equities Inc</v>
      </c>
      <c r="K46" s="708" t="str">
        <f t="shared" si="0"/>
        <v>ARE</v>
      </c>
      <c r="L46" s="709">
        <f t="shared" si="1"/>
        <v>23902.593494919998</v>
      </c>
      <c r="M46" s="710">
        <f t="shared" si="2"/>
        <v>3.2360815541978449E-2</v>
      </c>
      <c r="N46" s="710">
        <f t="shared" si="3"/>
        <v>-6.0400000000000002E-2</v>
      </c>
      <c r="O46" s="711">
        <f t="shared" si="4"/>
        <v>-2.9016481087389301E-2</v>
      </c>
      <c r="P46" s="712">
        <f t="shared" si="5"/>
        <v>7.46414035597452E-4</v>
      </c>
      <c r="Q46" s="713">
        <f t="shared" si="6"/>
        <v>-2.1658308747275391E-5</v>
      </c>
    </row>
    <row r="47" spans="1:17">
      <c r="A47" s="3" t="s">
        <v>2375</v>
      </c>
      <c r="B47" s="3" t="s">
        <v>2376</v>
      </c>
      <c r="C47" s="3" t="s">
        <v>2333</v>
      </c>
      <c r="D47" s="3">
        <v>15803660206.179998</v>
      </c>
      <c r="E47" s="3">
        <v>2.6081913090033018</v>
      </c>
      <c r="F47" s="3" t="s">
        <v>1483</v>
      </c>
      <c r="G47" s="3">
        <v>141.01599999999999</v>
      </c>
      <c r="H47" s="3">
        <v>112.07</v>
      </c>
      <c r="I47" s="706"/>
      <c r="J47" s="707" t="str">
        <f t="shared" si="7"/>
        <v>Atmos Energy Corp</v>
      </c>
      <c r="K47" s="708" t="str">
        <f t="shared" si="0"/>
        <v>ATO</v>
      </c>
      <c r="L47" s="709">
        <f t="shared" si="1"/>
        <v>15803.660206179999</v>
      </c>
      <c r="M47" s="710">
        <f t="shared" si="2"/>
        <v>2.6081913090033017E-2</v>
      </c>
      <c r="N47" s="710" t="str">
        <f t="shared" si="3"/>
        <v>N/A</v>
      </c>
      <c r="O47" s="711" t="str">
        <f t="shared" si="4"/>
        <v>N/A</v>
      </c>
      <c r="P47" s="712" t="str">
        <f t="shared" si="5"/>
        <v>N/A</v>
      </c>
      <c r="Q47" s="713" t="str">
        <f t="shared" si="6"/>
        <v>N/A</v>
      </c>
    </row>
    <row r="48" spans="1:17">
      <c r="A48" s="3" t="s">
        <v>1548</v>
      </c>
      <c r="B48" s="3" t="s">
        <v>2377</v>
      </c>
      <c r="C48" s="3" t="s">
        <v>1549</v>
      </c>
      <c r="D48" s="3">
        <v>59909968169.449997</v>
      </c>
      <c r="E48" s="3">
        <v>0.62050947093403008</v>
      </c>
      <c r="F48" s="3">
        <v>3.6</v>
      </c>
      <c r="G48" s="3">
        <v>782.62529999999992</v>
      </c>
      <c r="H48" s="3">
        <v>76.55</v>
      </c>
      <c r="I48" s="706"/>
      <c r="J48" s="707" t="str">
        <f t="shared" si="7"/>
        <v>Activision Blizzard Inc</v>
      </c>
      <c r="K48" s="708" t="str">
        <f t="shared" si="0"/>
        <v>ATVI</v>
      </c>
      <c r="L48" s="709">
        <f t="shared" si="1"/>
        <v>59909.968169449996</v>
      </c>
      <c r="M48" s="710">
        <f t="shared" si="2"/>
        <v>6.2050947093403004E-3</v>
      </c>
      <c r="N48" s="710">
        <f t="shared" si="3"/>
        <v>3.6000000000000004E-2</v>
      </c>
      <c r="O48" s="711">
        <f t="shared" si="4"/>
        <v>4.231678641410843E-2</v>
      </c>
      <c r="P48" s="712">
        <f t="shared" si="5"/>
        <v>1.8708279971116053E-3</v>
      </c>
      <c r="Q48" s="713">
        <f t="shared" si="6"/>
        <v>7.9167428771306067E-5</v>
      </c>
    </row>
    <row r="49" spans="1:17">
      <c r="A49" s="3" t="s">
        <v>1550</v>
      </c>
      <c r="B49" s="3" t="s">
        <v>2378</v>
      </c>
      <c r="C49" s="3" t="s">
        <v>1551</v>
      </c>
      <c r="D49" s="3">
        <v>22596220133.52</v>
      </c>
      <c r="E49" s="3">
        <v>3.9468796433878155</v>
      </c>
      <c r="F49" s="3">
        <v>13.385</v>
      </c>
      <c r="G49" s="3">
        <v>139.8974</v>
      </c>
      <c r="H49" s="3">
        <v>161.52000000000001</v>
      </c>
      <c r="I49" s="706"/>
      <c r="J49" s="707" t="str">
        <f t="shared" si="7"/>
        <v>AvalonBay Communities Inc</v>
      </c>
      <c r="K49" s="708" t="str">
        <f t="shared" si="0"/>
        <v>AVB</v>
      </c>
      <c r="L49" s="709">
        <f t="shared" si="1"/>
        <v>22596.220133520001</v>
      </c>
      <c r="M49" s="710">
        <f t="shared" si="2"/>
        <v>3.9468796433878156E-2</v>
      </c>
      <c r="N49" s="710">
        <f t="shared" si="3"/>
        <v>0.13385</v>
      </c>
      <c r="O49" s="711">
        <f t="shared" si="4"/>
        <v>0.17596024563521545</v>
      </c>
      <c r="P49" s="712">
        <f t="shared" si="5"/>
        <v>7.0561949115243957E-4</v>
      </c>
      <c r="Q49" s="713">
        <f t="shared" si="6"/>
        <v>1.2416097898817899E-4</v>
      </c>
    </row>
    <row r="50" spans="1:17">
      <c r="A50" s="3" t="s">
        <v>1552</v>
      </c>
      <c r="B50" s="3" t="s">
        <v>2379</v>
      </c>
      <c r="C50" s="3" t="s">
        <v>1553</v>
      </c>
      <c r="D50" s="3">
        <v>233652677458.19998</v>
      </c>
      <c r="E50" s="3">
        <v>3.289932573820042</v>
      </c>
      <c r="F50" s="3">
        <v>12.943</v>
      </c>
      <c r="G50" s="3">
        <v>417.8861</v>
      </c>
      <c r="H50" s="3">
        <v>559.13</v>
      </c>
      <c r="I50" s="706"/>
      <c r="J50" s="707" t="str">
        <f t="shared" si="7"/>
        <v>Broadcom Inc</v>
      </c>
      <c r="K50" s="708" t="str">
        <f t="shared" si="0"/>
        <v>AVGO</v>
      </c>
      <c r="L50" s="709">
        <f t="shared" si="1"/>
        <v>233652.67745819999</v>
      </c>
      <c r="M50" s="710">
        <f t="shared" si="2"/>
        <v>3.2899325738200418E-2</v>
      </c>
      <c r="N50" s="710">
        <f t="shared" si="3"/>
        <v>0.12942999999999999</v>
      </c>
      <c r="O50" s="711">
        <f t="shared" si="4"/>
        <v>0.16445840560334804</v>
      </c>
      <c r="P50" s="712">
        <f t="shared" si="5"/>
        <v>7.2963479024479218E-3</v>
      </c>
      <c r="Q50" s="713">
        <f t="shared" si="6"/>
        <v>1.1999457427639181E-3</v>
      </c>
    </row>
    <row r="51" spans="1:17">
      <c r="A51" s="3" t="s">
        <v>1554</v>
      </c>
      <c r="B51" s="3" t="s">
        <v>2380</v>
      </c>
      <c r="C51" s="3" t="s">
        <v>1555</v>
      </c>
      <c r="D51" s="3">
        <v>14655391534</v>
      </c>
      <c r="E51" s="3">
        <v>1.5845303867403315</v>
      </c>
      <c r="F51" s="3">
        <v>7</v>
      </c>
      <c r="G51" s="3">
        <v>80.969009999999997</v>
      </c>
      <c r="H51" s="3">
        <v>181</v>
      </c>
      <c r="I51" s="706"/>
      <c r="J51" s="707" t="str">
        <f t="shared" si="7"/>
        <v>Avery Dennison Corp</v>
      </c>
      <c r="K51" s="708" t="str">
        <f t="shared" si="0"/>
        <v>AVY</v>
      </c>
      <c r="L51" s="709">
        <f t="shared" si="1"/>
        <v>14655.391534</v>
      </c>
      <c r="M51" s="710">
        <f t="shared" si="2"/>
        <v>1.5845303867403314E-2</v>
      </c>
      <c r="N51" s="710">
        <f t="shared" si="3"/>
        <v>7.0000000000000007E-2</v>
      </c>
      <c r="O51" s="711">
        <f t="shared" si="4"/>
        <v>8.6399889502762436E-2</v>
      </c>
      <c r="P51" s="712">
        <f t="shared" si="5"/>
        <v>4.5764866228756849E-4</v>
      </c>
      <c r="Q51" s="713">
        <f t="shared" si="6"/>
        <v>3.9540793852732957E-5</v>
      </c>
    </row>
    <row r="52" spans="1:17">
      <c r="A52" s="3" t="s">
        <v>1556</v>
      </c>
      <c r="B52" s="3" t="s">
        <v>2381</v>
      </c>
      <c r="C52" s="3" t="s">
        <v>156</v>
      </c>
      <c r="D52" s="3">
        <v>27714204555.079998</v>
      </c>
      <c r="E52" s="3">
        <v>1.6874425928355858</v>
      </c>
      <c r="F52" s="3">
        <v>7</v>
      </c>
      <c r="G52" s="3">
        <v>181.8279</v>
      </c>
      <c r="H52" s="3">
        <v>152.41999999999999</v>
      </c>
      <c r="I52" s="706"/>
      <c r="J52" s="707" t="str">
        <f t="shared" si="7"/>
        <v>American Water Works Co Inc</v>
      </c>
      <c r="K52" s="708" t="str">
        <f t="shared" si="0"/>
        <v>AWK</v>
      </c>
      <c r="L52" s="709">
        <f t="shared" si="1"/>
        <v>27714.204555079999</v>
      </c>
      <c r="M52" s="710">
        <f t="shared" si="2"/>
        <v>1.6874425928355859E-2</v>
      </c>
      <c r="N52" s="710">
        <f t="shared" si="3"/>
        <v>7.0000000000000007E-2</v>
      </c>
      <c r="O52" s="711">
        <f t="shared" si="4"/>
        <v>8.746503083584832E-2</v>
      </c>
      <c r="P52" s="712">
        <f t="shared" si="5"/>
        <v>8.6544044978746724E-4</v>
      </c>
      <c r="Q52" s="713">
        <f t="shared" si="6"/>
        <v>7.5695775627251268E-5</v>
      </c>
    </row>
    <row r="53" spans="1:17">
      <c r="A53" s="3" t="s">
        <v>1557</v>
      </c>
      <c r="B53" s="3" t="s">
        <v>2382</v>
      </c>
      <c r="C53" s="3" t="s">
        <v>1558</v>
      </c>
      <c r="D53" s="3">
        <v>110403630834.00002</v>
      </c>
      <c r="E53" s="3">
        <v>1.3888324873096447</v>
      </c>
      <c r="F53" s="3">
        <v>10.573</v>
      </c>
      <c r="G53" s="3">
        <v>747.23270000000002</v>
      </c>
      <c r="H53" s="3">
        <v>147.75</v>
      </c>
      <c r="I53" s="706"/>
      <c r="J53" s="707" t="str">
        <f t="shared" si="7"/>
        <v>American Express Co</v>
      </c>
      <c r="K53" s="708" t="str">
        <f t="shared" si="0"/>
        <v>AXP</v>
      </c>
      <c r="L53" s="709">
        <f t="shared" si="1"/>
        <v>110403.63083400001</v>
      </c>
      <c r="M53" s="710">
        <f t="shared" si="2"/>
        <v>1.3888324873096446E-2</v>
      </c>
      <c r="N53" s="710">
        <f t="shared" si="3"/>
        <v>0.10573</v>
      </c>
      <c r="O53" s="711">
        <f t="shared" si="4"/>
        <v>0.1203525311675127</v>
      </c>
      <c r="P53" s="712">
        <f t="shared" si="5"/>
        <v>3.4476099697269714E-3</v>
      </c>
      <c r="Q53" s="713">
        <f t="shared" si="6"/>
        <v>4.1492858633499283E-4</v>
      </c>
    </row>
    <row r="54" spans="1:17">
      <c r="A54" s="3" t="s">
        <v>1559</v>
      </c>
      <c r="B54" s="3" t="s">
        <v>2383</v>
      </c>
      <c r="C54" s="3" t="s">
        <v>1560</v>
      </c>
      <c r="D54" s="3">
        <v>46279522506.779999</v>
      </c>
      <c r="E54" s="3">
        <v>0</v>
      </c>
      <c r="F54" s="3">
        <v>12.503</v>
      </c>
      <c r="G54" s="3">
        <v>18.76567</v>
      </c>
      <c r="H54" s="3">
        <v>2466.1799999999998</v>
      </c>
      <c r="I54" s="706"/>
      <c r="J54" s="707" t="str">
        <f t="shared" si="7"/>
        <v>AutoZone Inc</v>
      </c>
      <c r="K54" s="708" t="str">
        <f t="shared" si="0"/>
        <v>AZO</v>
      </c>
      <c r="L54" s="709">
        <f t="shared" si="1"/>
        <v>46279.522506779998</v>
      </c>
      <c r="M54" s="710">
        <f t="shared" si="2"/>
        <v>0</v>
      </c>
      <c r="N54" s="710">
        <f t="shared" si="3"/>
        <v>0.12503</v>
      </c>
      <c r="O54" s="711">
        <f t="shared" si="4"/>
        <v>0.12503</v>
      </c>
      <c r="P54" s="712">
        <f t="shared" si="5"/>
        <v>1.4451856518059563E-3</v>
      </c>
      <c r="Q54" s="713">
        <f t="shared" si="6"/>
        <v>1.8069156204529872E-4</v>
      </c>
    </row>
    <row r="55" spans="1:17">
      <c r="A55" s="3" t="s">
        <v>1561</v>
      </c>
      <c r="B55" s="3" t="s">
        <v>2384</v>
      </c>
      <c r="C55" s="3" t="s">
        <v>1562</v>
      </c>
      <c r="D55" s="3">
        <v>113528838244.08</v>
      </c>
      <c r="E55" s="3">
        <v>0</v>
      </c>
      <c r="F55" s="3">
        <v>-52</v>
      </c>
      <c r="G55" s="3">
        <v>595.98320000000001</v>
      </c>
      <c r="H55" s="3">
        <v>190.49</v>
      </c>
      <c r="I55" s="706"/>
      <c r="J55" s="707" t="str">
        <f t="shared" si="7"/>
        <v>Boeing Co/The</v>
      </c>
      <c r="K55" s="708" t="str">
        <f t="shared" si="0"/>
        <v>BA</v>
      </c>
      <c r="L55" s="709">
        <f t="shared" si="1"/>
        <v>113528.83824408001</v>
      </c>
      <c r="M55" s="710">
        <f t="shared" si="2"/>
        <v>0</v>
      </c>
      <c r="N55" s="710">
        <f t="shared" si="3"/>
        <v>-0.52</v>
      </c>
      <c r="O55" s="711">
        <f t="shared" si="4"/>
        <v>-0.52</v>
      </c>
      <c r="P55" s="712">
        <f t="shared" si="5"/>
        <v>3.545201834623667E-3</v>
      </c>
      <c r="Q55" s="713">
        <f t="shared" si="6"/>
        <v>-1.8435049540043069E-3</v>
      </c>
    </row>
    <row r="56" spans="1:17">
      <c r="A56" s="3" t="s">
        <v>1563</v>
      </c>
      <c r="B56" s="3" t="s">
        <v>2385</v>
      </c>
      <c r="C56" s="3" t="s">
        <v>1564</v>
      </c>
      <c r="D56" s="3">
        <v>265702955755.67999</v>
      </c>
      <c r="E56" s="3">
        <v>2.6630434782608701</v>
      </c>
      <c r="F56" s="3">
        <v>4</v>
      </c>
      <c r="G56" s="3">
        <v>8022.4319999999998</v>
      </c>
      <c r="H56" s="3">
        <v>33.119999999999997</v>
      </c>
      <c r="I56" s="706"/>
      <c r="J56" s="707" t="str">
        <f t="shared" si="7"/>
        <v>Bank of America Corp</v>
      </c>
      <c r="K56" s="708" t="str">
        <f t="shared" si="0"/>
        <v>BAC</v>
      </c>
      <c r="L56" s="709">
        <f t="shared" si="1"/>
        <v>265702.95575567998</v>
      </c>
      <c r="M56" s="710">
        <f t="shared" si="2"/>
        <v>2.6630434782608702E-2</v>
      </c>
      <c r="N56" s="710">
        <f t="shared" si="3"/>
        <v>0.04</v>
      </c>
      <c r="O56" s="711">
        <f t="shared" si="4"/>
        <v>6.7163043478260881E-2</v>
      </c>
      <c r="P56" s="712">
        <f t="shared" si="5"/>
        <v>8.2971923326193905E-3</v>
      </c>
      <c r="Q56" s="713">
        <f t="shared" si="6"/>
        <v>5.5726468938320896E-4</v>
      </c>
    </row>
    <row r="57" spans="1:17">
      <c r="A57" s="3" t="s">
        <v>4273</v>
      </c>
      <c r="B57" s="3" t="s">
        <v>2395</v>
      </c>
      <c r="C57" s="3" t="s">
        <v>4274</v>
      </c>
      <c r="D57" s="3">
        <v>16053946839.639999</v>
      </c>
      <c r="E57" s="3">
        <v>1.589753617520532</v>
      </c>
      <c r="F57" s="3">
        <v>9.3000000000000007</v>
      </c>
      <c r="G57" s="3">
        <v>313.92009999999999</v>
      </c>
      <c r="H57" s="3">
        <v>51.14</v>
      </c>
      <c r="I57" s="706"/>
      <c r="J57" s="707" t="str">
        <f t="shared" si="7"/>
        <v>Ball Corp</v>
      </c>
      <c r="K57" s="708" t="str">
        <f t="shared" si="0"/>
        <v>BALL</v>
      </c>
      <c r="L57" s="709">
        <f t="shared" si="1"/>
        <v>16053.946839639999</v>
      </c>
      <c r="M57" s="710">
        <f t="shared" si="2"/>
        <v>1.5897536175205319E-2</v>
      </c>
      <c r="N57" s="710">
        <f t="shared" si="3"/>
        <v>9.3000000000000013E-2</v>
      </c>
      <c r="O57" s="711">
        <f t="shared" si="4"/>
        <v>0.10963677160735238</v>
      </c>
      <c r="P57" s="712">
        <f t="shared" si="5"/>
        <v>5.0132180218809177E-4</v>
      </c>
      <c r="Q57" s="713">
        <f t="shared" si="6"/>
        <v>5.4963303928282107E-5</v>
      </c>
    </row>
    <row r="58" spans="1:17">
      <c r="A58" s="3" t="s">
        <v>1565</v>
      </c>
      <c r="B58" s="3" t="s">
        <v>2386</v>
      </c>
      <c r="C58" s="3" t="s">
        <v>1566</v>
      </c>
      <c r="D58" s="3">
        <v>25695035086.23</v>
      </c>
      <c r="E58" s="3">
        <v>2.2150284481067297</v>
      </c>
      <c r="F58" s="3">
        <v>4.9950000000000001</v>
      </c>
      <c r="G58" s="3">
        <v>504.12079999999997</v>
      </c>
      <c r="H58" s="3">
        <v>50.97</v>
      </c>
      <c r="I58" s="706"/>
      <c r="J58" s="707" t="str">
        <f t="shared" si="7"/>
        <v>Baxter International Inc</v>
      </c>
      <c r="K58" s="708" t="str">
        <f t="shared" si="0"/>
        <v>BAX</v>
      </c>
      <c r="L58" s="709">
        <f t="shared" si="1"/>
        <v>25695.03508623</v>
      </c>
      <c r="M58" s="710">
        <f t="shared" si="2"/>
        <v>2.2150284481067296E-2</v>
      </c>
      <c r="N58" s="710">
        <f t="shared" si="3"/>
        <v>4.9950000000000001E-2</v>
      </c>
      <c r="O58" s="711">
        <f t="shared" si="4"/>
        <v>7.2653487835981953E-2</v>
      </c>
      <c r="P58" s="712">
        <f t="shared" si="5"/>
        <v>8.0238719022716876E-4</v>
      </c>
      <c r="Q58" s="713">
        <f t="shared" si="6"/>
        <v>5.8296227964917341E-5</v>
      </c>
    </row>
    <row r="59" spans="1:17">
      <c r="A59" s="3" t="s">
        <v>4044</v>
      </c>
      <c r="B59" s="3" t="s">
        <v>4045</v>
      </c>
      <c r="C59" s="3" t="s">
        <v>4046</v>
      </c>
      <c r="D59" s="3">
        <v>9625391876.1000004</v>
      </c>
      <c r="E59" s="3">
        <v>1.9008068343616518</v>
      </c>
      <c r="F59" s="3">
        <v>-3.06</v>
      </c>
      <c r="G59" s="3">
        <v>228.41459999999998</v>
      </c>
      <c r="H59" s="3">
        <v>42.14</v>
      </c>
      <c r="I59" s="706"/>
      <c r="J59" s="707" t="str">
        <f t="shared" si="7"/>
        <v>Bath &amp; Body Works Inc</v>
      </c>
      <c r="K59" s="708" t="str">
        <f t="shared" si="0"/>
        <v>BBWI</v>
      </c>
      <c r="L59" s="709">
        <f t="shared" si="1"/>
        <v>9625.3918761000004</v>
      </c>
      <c r="M59" s="710">
        <f t="shared" si="2"/>
        <v>1.9008068343616517E-2</v>
      </c>
      <c r="N59" s="710">
        <f t="shared" si="3"/>
        <v>-3.0600000000000002E-2</v>
      </c>
      <c r="O59" s="711">
        <f t="shared" si="4"/>
        <v>-1.1882755102040819E-2</v>
      </c>
      <c r="P59" s="712">
        <f t="shared" si="5"/>
        <v>3.0057523238947499E-4</v>
      </c>
      <c r="Q59" s="713">
        <f t="shared" si="6"/>
        <v>-3.5716618762231388E-6</v>
      </c>
    </row>
    <row r="60" spans="1:17">
      <c r="A60" s="3" t="s">
        <v>1567</v>
      </c>
      <c r="B60" s="3" t="s">
        <v>2387</v>
      </c>
      <c r="C60" s="3" t="s">
        <v>1568</v>
      </c>
      <c r="D60" s="3">
        <v>17747621855.34</v>
      </c>
      <c r="E60" s="3">
        <v>4.3236504176536599</v>
      </c>
      <c r="F60" s="3">
        <v>-0.03</v>
      </c>
      <c r="G60" s="3">
        <v>221.2645</v>
      </c>
      <c r="H60" s="3">
        <v>80.209999999999994</v>
      </c>
      <c r="I60" s="706"/>
      <c r="J60" s="707" t="str">
        <f t="shared" si="7"/>
        <v>Best Buy Co Inc</v>
      </c>
      <c r="K60" s="708" t="str">
        <f t="shared" si="0"/>
        <v>BBY</v>
      </c>
      <c r="L60" s="709">
        <f t="shared" si="1"/>
        <v>17747.621855339999</v>
      </c>
      <c r="M60" s="710">
        <f t="shared" si="2"/>
        <v>4.32365041765366E-2</v>
      </c>
      <c r="N60" s="710">
        <f t="shared" si="3"/>
        <v>-2.9999999999999997E-4</v>
      </c>
      <c r="O60" s="711">
        <f t="shared" si="4"/>
        <v>4.2930018700910115E-2</v>
      </c>
      <c r="P60" s="712">
        <f t="shared" si="5"/>
        <v>5.5421074094395904E-4</v>
      </c>
      <c r="Q60" s="713">
        <f t="shared" si="6"/>
        <v>2.3792277472969414E-5</v>
      </c>
    </row>
    <row r="61" spans="1:17">
      <c r="A61" s="3" t="s">
        <v>1569</v>
      </c>
      <c r="B61" s="3" t="s">
        <v>2388</v>
      </c>
      <c r="C61" s="3" t="s">
        <v>1570</v>
      </c>
      <c r="D61" s="3">
        <v>72289345788.199997</v>
      </c>
      <c r="E61" s="3">
        <v>1.5678332677939439</v>
      </c>
      <c r="F61" s="3">
        <v>6.5970000000000004</v>
      </c>
      <c r="G61" s="3">
        <v>284.26799999999997</v>
      </c>
      <c r="H61" s="3">
        <v>254.3</v>
      </c>
      <c r="I61" s="706"/>
      <c r="J61" s="707" t="str">
        <f t="shared" si="7"/>
        <v>Becton Dickinson and Co</v>
      </c>
      <c r="K61" s="708" t="str">
        <f t="shared" si="0"/>
        <v>BDX</v>
      </c>
      <c r="L61" s="709">
        <f t="shared" si="1"/>
        <v>72289.345788199993</v>
      </c>
      <c r="M61" s="710">
        <f t="shared" si="2"/>
        <v>1.567833267793944E-2</v>
      </c>
      <c r="N61" s="710">
        <f t="shared" si="3"/>
        <v>6.5970000000000001E-2</v>
      </c>
      <c r="O61" s="711">
        <f t="shared" si="4"/>
        <v>8.2165482481321273E-2</v>
      </c>
      <c r="P61" s="712">
        <f t="shared" si="5"/>
        <v>2.2574028350495789E-3</v>
      </c>
      <c r="Q61" s="713">
        <f t="shared" si="6"/>
        <v>1.8548059309655114E-4</v>
      </c>
    </row>
    <row r="62" spans="1:17">
      <c r="A62" s="3" t="s">
        <v>1571</v>
      </c>
      <c r="B62" s="3" t="s">
        <v>2389</v>
      </c>
      <c r="C62" s="3" t="s">
        <v>1572</v>
      </c>
      <c r="D62" s="3">
        <v>13196807411.76</v>
      </c>
      <c r="E62" s="3">
        <v>4.6133434420015167</v>
      </c>
      <c r="F62" s="3">
        <v>-9</v>
      </c>
      <c r="G62" s="3">
        <v>500.25809999999996</v>
      </c>
      <c r="H62" s="3">
        <v>26.38</v>
      </c>
      <c r="I62" s="706"/>
      <c r="J62" s="707" t="str">
        <f t="shared" si="7"/>
        <v>Franklin Resources Inc</v>
      </c>
      <c r="K62" s="708" t="str">
        <f t="shared" si="0"/>
        <v>BEN</v>
      </c>
      <c r="L62" s="709">
        <f t="shared" si="1"/>
        <v>13196.807411760001</v>
      </c>
      <c r="M62" s="710">
        <f t="shared" si="2"/>
        <v>4.6133434420015169E-2</v>
      </c>
      <c r="N62" s="710">
        <f t="shared" si="3"/>
        <v>-0.09</v>
      </c>
      <c r="O62" s="711">
        <f t="shared" si="4"/>
        <v>-4.5942570128885508E-2</v>
      </c>
      <c r="P62" s="712">
        <f t="shared" si="5"/>
        <v>4.1210098307146553E-4</v>
      </c>
      <c r="Q62" s="713">
        <f t="shared" si="6"/>
        <v>-1.8932978314943465E-5</v>
      </c>
    </row>
    <row r="63" spans="1:17">
      <c r="A63" s="3" t="s">
        <v>1573</v>
      </c>
      <c r="B63" s="3" t="s">
        <v>2390</v>
      </c>
      <c r="C63" s="3" t="s">
        <v>1574</v>
      </c>
      <c r="D63" s="3">
        <v>31484117578.000004</v>
      </c>
      <c r="E63" s="3">
        <v>1.1799634591961021</v>
      </c>
      <c r="F63" s="3">
        <v>8.51</v>
      </c>
      <c r="G63" s="3">
        <v>309.95189999999997</v>
      </c>
      <c r="H63" s="3">
        <v>65.680000000000007</v>
      </c>
      <c r="I63" s="706"/>
      <c r="J63" s="707" t="str">
        <f t="shared" si="7"/>
        <v>Brown-Forman Corp</v>
      </c>
      <c r="K63" s="708" t="str">
        <f t="shared" si="0"/>
        <v>BF/B</v>
      </c>
      <c r="L63" s="709">
        <f t="shared" si="1"/>
        <v>31484.117578000005</v>
      </c>
      <c r="M63" s="710">
        <f t="shared" si="2"/>
        <v>1.1799634591961022E-2</v>
      </c>
      <c r="N63" s="710">
        <f t="shared" si="3"/>
        <v>8.5099999999999995E-2</v>
      </c>
      <c r="O63" s="711">
        <f t="shared" si="4"/>
        <v>9.7401709043848955E-2</v>
      </c>
      <c r="P63" s="712">
        <f t="shared" si="5"/>
        <v>9.8316474585128776E-4</v>
      </c>
      <c r="Q63" s="713">
        <f t="shared" si="6"/>
        <v>9.5761926517576833E-5</v>
      </c>
    </row>
    <row r="64" spans="1:17">
      <c r="A64" s="3" t="s">
        <v>1575</v>
      </c>
      <c r="B64" s="3" t="s">
        <v>2391</v>
      </c>
      <c r="C64" s="3" t="s">
        <v>1576</v>
      </c>
      <c r="D64" s="3">
        <v>39876868795.680008</v>
      </c>
      <c r="E64" s="3">
        <v>0</v>
      </c>
      <c r="F64" s="3">
        <v>3.637</v>
      </c>
      <c r="G64" s="3">
        <v>144.00139999999999</v>
      </c>
      <c r="H64" s="3">
        <v>276.92</v>
      </c>
      <c r="I64" s="706"/>
      <c r="J64" s="707" t="str">
        <f t="shared" si="7"/>
        <v>Biogen Inc</v>
      </c>
      <c r="K64" s="708" t="str">
        <f t="shared" si="0"/>
        <v>BIIB</v>
      </c>
      <c r="L64" s="709">
        <f t="shared" si="1"/>
        <v>39876.868795680006</v>
      </c>
      <c r="M64" s="710">
        <f t="shared" si="2"/>
        <v>0</v>
      </c>
      <c r="N64" s="710">
        <f t="shared" si="3"/>
        <v>3.637E-2</v>
      </c>
      <c r="O64" s="711">
        <f t="shared" si="4"/>
        <v>3.637E-2</v>
      </c>
      <c r="P64" s="712">
        <f t="shared" si="5"/>
        <v>1.2452479088137227E-3</v>
      </c>
      <c r="Q64" s="713">
        <f t="shared" si="6"/>
        <v>4.5289666443555093E-5</v>
      </c>
    </row>
    <row r="65" spans="1:17">
      <c r="A65" s="3" t="s">
        <v>3026</v>
      </c>
      <c r="B65" s="3" t="s">
        <v>3027</v>
      </c>
      <c r="C65" s="3" t="s">
        <v>3015</v>
      </c>
      <c r="D65" s="3">
        <v>12460413991.440001</v>
      </c>
      <c r="E65" s="3">
        <v>0</v>
      </c>
      <c r="F65" s="3" t="s">
        <v>1483</v>
      </c>
      <c r="G65" s="3">
        <v>24.749309999999998</v>
      </c>
      <c r="H65" s="3">
        <v>420.49</v>
      </c>
      <c r="I65" s="706"/>
      <c r="J65" s="707" t="str">
        <f t="shared" si="7"/>
        <v>Bio-Rad Laboratories Inc</v>
      </c>
      <c r="K65" s="708" t="str">
        <f t="shared" si="0"/>
        <v>BIO</v>
      </c>
      <c r="L65" s="709">
        <f t="shared" si="1"/>
        <v>12460.41399144</v>
      </c>
      <c r="M65" s="710">
        <f t="shared" si="2"/>
        <v>0</v>
      </c>
      <c r="N65" s="710" t="str">
        <f t="shared" si="3"/>
        <v>N/A</v>
      </c>
      <c r="O65" s="711" t="str">
        <f t="shared" si="4"/>
        <v>N/A</v>
      </c>
      <c r="P65" s="712" t="str">
        <f t="shared" si="5"/>
        <v>N/A</v>
      </c>
      <c r="Q65" s="713" t="str">
        <f t="shared" si="6"/>
        <v>N/A</v>
      </c>
    </row>
    <row r="66" spans="1:17">
      <c r="A66" s="3" t="s">
        <v>1577</v>
      </c>
      <c r="B66" s="3" t="s">
        <v>2392</v>
      </c>
      <c r="C66" s="3" t="s">
        <v>1578</v>
      </c>
      <c r="D66" s="3">
        <v>36792903278.480003</v>
      </c>
      <c r="E66" s="3">
        <v>3.1195079086115989</v>
      </c>
      <c r="F66" s="3">
        <v>9.4500000000000011</v>
      </c>
      <c r="G66" s="3">
        <v>808.2799</v>
      </c>
      <c r="H66" s="3">
        <v>45.52</v>
      </c>
      <c r="I66" s="706"/>
      <c r="J66" s="707" t="str">
        <f t="shared" si="7"/>
        <v>Bank of New York Mellon Corp/The</v>
      </c>
      <c r="K66" s="708" t="str">
        <f t="shared" si="0"/>
        <v>BK</v>
      </c>
      <c r="L66" s="709">
        <f t="shared" si="1"/>
        <v>36792.90327848</v>
      </c>
      <c r="M66" s="710">
        <f t="shared" si="2"/>
        <v>3.119507908611599E-2</v>
      </c>
      <c r="N66" s="710">
        <f t="shared" si="3"/>
        <v>9.4500000000000015E-2</v>
      </c>
      <c r="O66" s="711">
        <f t="shared" si="4"/>
        <v>0.12716904657293499</v>
      </c>
      <c r="P66" s="712">
        <f t="shared" si="5"/>
        <v>1.1489439178754229E-3</v>
      </c>
      <c r="Q66" s="713">
        <f t="shared" si="6"/>
        <v>1.4611010260199005E-4</v>
      </c>
    </row>
    <row r="67" spans="1:17">
      <c r="A67" s="3" t="s">
        <v>2309</v>
      </c>
      <c r="B67" s="3" t="s">
        <v>2393</v>
      </c>
      <c r="C67" s="3" t="s">
        <v>2310</v>
      </c>
      <c r="D67" s="3">
        <v>78171477848.639999</v>
      </c>
      <c r="E67" s="3">
        <v>0</v>
      </c>
      <c r="F67" s="3">
        <v>20.2</v>
      </c>
      <c r="G67" s="3">
        <v>38.789389999999997</v>
      </c>
      <c r="H67" s="3">
        <v>2015.28</v>
      </c>
      <c r="I67" s="706"/>
      <c r="J67" s="707" t="str">
        <f t="shared" si="7"/>
        <v>Booking Holdings Inc</v>
      </c>
      <c r="K67" s="708" t="str">
        <f t="shared" si="7"/>
        <v>BKNG</v>
      </c>
      <c r="L67" s="709">
        <f t="shared" ref="L67:L130" si="8">D67/1000000</f>
        <v>78171.477848640003</v>
      </c>
      <c r="M67" s="710">
        <f t="shared" ref="M67:M130" si="9">IFERROR(E67/100,"0.00%")</f>
        <v>0</v>
      </c>
      <c r="N67" s="710">
        <f t="shared" ref="N67:N130" si="10">IFERROR(F67/100,"N/A")</f>
        <v>0.20199999999999999</v>
      </c>
      <c r="O67" s="711">
        <f t="shared" ref="O67:O130" si="11">IFERROR(M67*(1+0.5*N67)+N67,"N/A")</f>
        <v>0.20199999999999999</v>
      </c>
      <c r="P67" s="712">
        <f t="shared" ref="P67:P130" si="12">IF(N67="N/A","N/A",L67/$L$504)</f>
        <v>2.4410860797185433E-3</v>
      </c>
      <c r="Q67" s="713">
        <f t="shared" ref="Q67:Q130" si="13">IF(AND(ISNUMBER(L67),ISNUMBER(O67)),O67*P67,"N/A")</f>
        <v>4.9309938810314575E-4</v>
      </c>
    </row>
    <row r="68" spans="1:17">
      <c r="A68" s="3" t="s">
        <v>4275</v>
      </c>
      <c r="B68" s="3" t="s">
        <v>2890</v>
      </c>
      <c r="C68" s="3" t="s">
        <v>2891</v>
      </c>
      <c r="D68" s="3">
        <v>29780046721.970001</v>
      </c>
      <c r="E68" s="3">
        <v>2.44158482898747</v>
      </c>
      <c r="F68" s="3">
        <v>23.89</v>
      </c>
      <c r="G68" s="3">
        <v>1001.468</v>
      </c>
      <c r="H68" s="3">
        <v>29.53</v>
      </c>
      <c r="I68" s="706"/>
      <c r="J68" s="707" t="str">
        <f t="shared" ref="J68:K131" si="14">B68</f>
        <v>Baker Hughes Co</v>
      </c>
      <c r="K68" s="708" t="str">
        <f t="shared" si="14"/>
        <v>BKR</v>
      </c>
      <c r="L68" s="709">
        <f t="shared" si="8"/>
        <v>29780.04672197</v>
      </c>
      <c r="M68" s="710">
        <f t="shared" si="9"/>
        <v>2.4415848289874701E-2</v>
      </c>
      <c r="N68" s="710">
        <f t="shared" si="10"/>
        <v>0.2389</v>
      </c>
      <c r="O68" s="711">
        <f t="shared" si="11"/>
        <v>0.26623232136810021</v>
      </c>
      <c r="P68" s="712">
        <f t="shared" si="12"/>
        <v>9.2995117281940369E-4</v>
      </c>
      <c r="Q68" s="713">
        <f t="shared" si="13"/>
        <v>2.4758305949869721E-4</v>
      </c>
    </row>
    <row r="69" spans="1:17">
      <c r="A69" s="3" t="s">
        <v>1579</v>
      </c>
      <c r="B69" s="3" t="s">
        <v>2394</v>
      </c>
      <c r="C69" s="3" t="s">
        <v>1580</v>
      </c>
      <c r="D69" s="3">
        <v>107118086084.49001</v>
      </c>
      <c r="E69" s="3">
        <v>2.754611009976998</v>
      </c>
      <c r="F69" s="3">
        <v>-0.66700000000000004</v>
      </c>
      <c r="G69" s="3">
        <v>150.19559999999998</v>
      </c>
      <c r="H69" s="3">
        <v>708.63</v>
      </c>
      <c r="I69" s="706"/>
      <c r="J69" s="707" t="str">
        <f t="shared" si="14"/>
        <v>BlackRock Inc</v>
      </c>
      <c r="K69" s="708" t="str">
        <f t="shared" si="14"/>
        <v>BLK</v>
      </c>
      <c r="L69" s="709">
        <f t="shared" si="8"/>
        <v>107118.08608449</v>
      </c>
      <c r="M69" s="710">
        <f t="shared" si="9"/>
        <v>2.7546110099769979E-2</v>
      </c>
      <c r="N69" s="710">
        <f t="shared" si="10"/>
        <v>-6.6700000000000006E-3</v>
      </c>
      <c r="O69" s="711">
        <f t="shared" si="11"/>
        <v>2.0784243822587249E-2</v>
      </c>
      <c r="P69" s="712">
        <f t="shared" si="12"/>
        <v>3.3450111987551527E-3</v>
      </c>
      <c r="Q69" s="713">
        <f t="shared" si="13"/>
        <v>6.9523528344211946E-5</v>
      </c>
    </row>
    <row r="70" spans="1:17">
      <c r="A70" s="3" t="s">
        <v>1581</v>
      </c>
      <c r="B70" s="3" t="s">
        <v>2396</v>
      </c>
      <c r="C70" s="3" t="s">
        <v>1582</v>
      </c>
      <c r="D70" s="3">
        <v>152977236966.64999</v>
      </c>
      <c r="E70" s="3">
        <v>2.9687282835302296</v>
      </c>
      <c r="F70" s="3">
        <v>4.57</v>
      </c>
      <c r="G70" s="3">
        <v>2126.16</v>
      </c>
      <c r="H70" s="3">
        <v>71.95</v>
      </c>
      <c r="I70" s="706"/>
      <c r="J70" s="707" t="str">
        <f t="shared" si="14"/>
        <v>Bristol-Myers Squibb Co</v>
      </c>
      <c r="K70" s="708" t="str">
        <f t="shared" si="14"/>
        <v>BMY</v>
      </c>
      <c r="L70" s="709">
        <f t="shared" si="8"/>
        <v>152977.23696665</v>
      </c>
      <c r="M70" s="710">
        <f t="shared" si="9"/>
        <v>2.9687282835302295E-2</v>
      </c>
      <c r="N70" s="710">
        <f t="shared" si="10"/>
        <v>4.5700000000000005E-2</v>
      </c>
      <c r="O70" s="711">
        <f t="shared" si="11"/>
        <v>7.6065637248088958E-2</v>
      </c>
      <c r="P70" s="712">
        <f t="shared" si="12"/>
        <v>4.7770697695667412E-3</v>
      </c>
      <c r="Q70" s="713">
        <f t="shared" si="13"/>
        <v>3.6337085620067564E-4</v>
      </c>
    </row>
    <row r="71" spans="1:17">
      <c r="A71" s="3" t="s">
        <v>2397</v>
      </c>
      <c r="B71" s="3" t="s">
        <v>2398</v>
      </c>
      <c r="C71" s="3" t="s">
        <v>2399</v>
      </c>
      <c r="D71" s="3">
        <v>15781108473.99</v>
      </c>
      <c r="E71" s="3">
        <v>2.1658092894952659</v>
      </c>
      <c r="F71" s="3" t="s">
        <v>1483</v>
      </c>
      <c r="G71" s="3">
        <v>117.6553</v>
      </c>
      <c r="H71" s="3">
        <v>134.13</v>
      </c>
      <c r="I71" s="706"/>
      <c r="J71" s="707" t="str">
        <f t="shared" si="14"/>
        <v>Broadridge Financial Solutions Inc</v>
      </c>
      <c r="K71" s="708" t="str">
        <f t="shared" si="14"/>
        <v>BR</v>
      </c>
      <c r="L71" s="709">
        <f t="shared" si="8"/>
        <v>15781.10847399</v>
      </c>
      <c r="M71" s="710">
        <f t="shared" si="9"/>
        <v>2.1658092894952657E-2</v>
      </c>
      <c r="N71" s="710" t="str">
        <f t="shared" si="10"/>
        <v>N/A</v>
      </c>
      <c r="O71" s="711" t="str">
        <f t="shared" si="11"/>
        <v>N/A</v>
      </c>
      <c r="P71" s="712" t="str">
        <f t="shared" si="12"/>
        <v>N/A</v>
      </c>
      <c r="Q71" s="713" t="str">
        <f t="shared" si="13"/>
        <v>N/A</v>
      </c>
    </row>
    <row r="72" spans="1:17">
      <c r="A72" s="3" t="s">
        <v>1583</v>
      </c>
      <c r="B72" s="3" t="s">
        <v>2400</v>
      </c>
      <c r="C72" s="3" t="s">
        <v>1584</v>
      </c>
      <c r="D72" s="3">
        <v>681920956478.99988</v>
      </c>
      <c r="E72" s="3">
        <v>0</v>
      </c>
      <c r="F72" s="3" t="s">
        <v>1483</v>
      </c>
      <c r="G72" s="3">
        <v>1301.981</v>
      </c>
      <c r="H72" s="3">
        <v>308.89999999999998</v>
      </c>
      <c r="I72" s="706"/>
      <c r="J72" s="707" t="str">
        <f t="shared" si="14"/>
        <v>Berkshire Hathaway Inc</v>
      </c>
      <c r="K72" s="708" t="str">
        <f t="shared" si="14"/>
        <v>BRK/B</v>
      </c>
      <c r="L72" s="709">
        <f t="shared" si="8"/>
        <v>681920.95647899993</v>
      </c>
      <c r="M72" s="710">
        <f t="shared" si="9"/>
        <v>0</v>
      </c>
      <c r="N72" s="710" t="str">
        <f t="shared" si="10"/>
        <v>N/A</v>
      </c>
      <c r="O72" s="711" t="str">
        <f t="shared" si="11"/>
        <v>N/A</v>
      </c>
      <c r="P72" s="712" t="str">
        <f t="shared" si="12"/>
        <v>N/A</v>
      </c>
      <c r="Q72" s="713" t="str">
        <f t="shared" si="13"/>
        <v>N/A</v>
      </c>
    </row>
    <row r="73" spans="1:17">
      <c r="A73" s="3" t="s">
        <v>4075</v>
      </c>
      <c r="B73" s="3" t="s">
        <v>4076</v>
      </c>
      <c r="C73" s="3" t="s">
        <v>4077</v>
      </c>
      <c r="D73" s="3">
        <v>16135178247.990002</v>
      </c>
      <c r="E73" s="3">
        <v>0.73723012111637709</v>
      </c>
      <c r="F73" s="3" t="s">
        <v>1483</v>
      </c>
      <c r="G73" s="3">
        <v>283.22239999999999</v>
      </c>
      <c r="H73" s="3">
        <v>56.97</v>
      </c>
      <c r="I73" s="706"/>
      <c r="J73" s="707" t="str">
        <f t="shared" si="14"/>
        <v>Brown &amp; Brown Inc</v>
      </c>
      <c r="K73" s="708" t="str">
        <f t="shared" si="14"/>
        <v>BRO</v>
      </c>
      <c r="L73" s="709">
        <f t="shared" si="8"/>
        <v>16135.178247990001</v>
      </c>
      <c r="M73" s="710">
        <f t="shared" si="9"/>
        <v>7.3723012111637709E-3</v>
      </c>
      <c r="N73" s="710" t="str">
        <f t="shared" si="10"/>
        <v>N/A</v>
      </c>
      <c r="O73" s="711" t="str">
        <f t="shared" si="11"/>
        <v>N/A</v>
      </c>
      <c r="P73" s="712" t="str">
        <f t="shared" si="12"/>
        <v>N/A</v>
      </c>
      <c r="Q73" s="713" t="str">
        <f t="shared" si="13"/>
        <v>N/A</v>
      </c>
    </row>
    <row r="74" spans="1:17">
      <c r="A74" s="3" t="s">
        <v>1585</v>
      </c>
      <c r="B74" s="3" t="s">
        <v>2401</v>
      </c>
      <c r="C74" s="3" t="s">
        <v>1586</v>
      </c>
      <c r="D74" s="3">
        <v>66273043018.139999</v>
      </c>
      <c r="E74" s="3">
        <v>0</v>
      </c>
      <c r="F74" s="3">
        <v>10.563000000000001</v>
      </c>
      <c r="G74" s="3">
        <v>1432.3109999999999</v>
      </c>
      <c r="H74" s="3">
        <v>46.27</v>
      </c>
      <c r="I74" s="706"/>
      <c r="J74" s="707" t="str">
        <f t="shared" si="14"/>
        <v>Boston Scientific Corp</v>
      </c>
      <c r="K74" s="708" t="str">
        <f t="shared" si="14"/>
        <v>BSX</v>
      </c>
      <c r="L74" s="709">
        <f t="shared" si="8"/>
        <v>66273.043018140001</v>
      </c>
      <c r="M74" s="710">
        <f t="shared" si="9"/>
        <v>0</v>
      </c>
      <c r="N74" s="710">
        <f t="shared" si="10"/>
        <v>0.10563</v>
      </c>
      <c r="O74" s="711">
        <f t="shared" si="11"/>
        <v>0.10563</v>
      </c>
      <c r="P74" s="712">
        <f t="shared" si="12"/>
        <v>2.0695297981370361E-3</v>
      </c>
      <c r="Q74" s="713">
        <f t="shared" si="13"/>
        <v>2.1860443257721513E-4</v>
      </c>
    </row>
    <row r="75" spans="1:17">
      <c r="A75" s="3" t="s">
        <v>1587</v>
      </c>
      <c r="B75" s="3" t="s">
        <v>2402</v>
      </c>
      <c r="C75" s="3" t="s">
        <v>1588</v>
      </c>
      <c r="D75" s="3">
        <v>9424695682.5</v>
      </c>
      <c r="E75" s="3">
        <v>1.7739130434782606</v>
      </c>
      <c r="F75" s="3">
        <v>15.15</v>
      </c>
      <c r="G75" s="3">
        <v>234.15389999999999</v>
      </c>
      <c r="H75" s="3">
        <v>40.25</v>
      </c>
      <c r="I75" s="706"/>
      <c r="J75" s="707" t="str">
        <f t="shared" si="14"/>
        <v>BorgWarner Inc</v>
      </c>
      <c r="K75" s="708" t="str">
        <f t="shared" si="14"/>
        <v>BWA</v>
      </c>
      <c r="L75" s="709">
        <f t="shared" si="8"/>
        <v>9424.6956824999997</v>
      </c>
      <c r="M75" s="710">
        <f t="shared" si="9"/>
        <v>1.7739130434782605E-2</v>
      </c>
      <c r="N75" s="710">
        <f t="shared" si="10"/>
        <v>0.1515</v>
      </c>
      <c r="O75" s="711">
        <f t="shared" si="11"/>
        <v>0.17058286956521737</v>
      </c>
      <c r="P75" s="712">
        <f t="shared" si="12"/>
        <v>2.9430802729200884E-4</v>
      </c>
      <c r="Q75" s="713">
        <f t="shared" si="13"/>
        <v>5.020390783154918E-5</v>
      </c>
    </row>
    <row r="76" spans="1:17">
      <c r="A76" s="3" t="s">
        <v>1589</v>
      </c>
      <c r="B76" s="3" t="s">
        <v>2403</v>
      </c>
      <c r="C76" s="3" t="s">
        <v>1590</v>
      </c>
      <c r="D76" s="3">
        <v>10593483436.960001</v>
      </c>
      <c r="E76" s="3">
        <v>5.8094110683634215</v>
      </c>
      <c r="F76" s="3">
        <v>-12.57</v>
      </c>
      <c r="G76" s="3">
        <v>156.75469999999999</v>
      </c>
      <c r="H76" s="3">
        <v>67.58</v>
      </c>
      <c r="I76" s="706"/>
      <c r="J76" s="707" t="str">
        <f t="shared" si="14"/>
        <v>Boston Properties Inc</v>
      </c>
      <c r="K76" s="708" t="str">
        <f t="shared" si="14"/>
        <v>BXP</v>
      </c>
      <c r="L76" s="709">
        <f t="shared" si="8"/>
        <v>10593.483436960001</v>
      </c>
      <c r="M76" s="710">
        <f t="shared" si="9"/>
        <v>5.8094110683634216E-2</v>
      </c>
      <c r="N76" s="710">
        <f t="shared" si="10"/>
        <v>-0.12570000000000001</v>
      </c>
      <c r="O76" s="711">
        <f t="shared" si="11"/>
        <v>-7.1257104172832209E-2</v>
      </c>
      <c r="P76" s="712">
        <f t="shared" si="12"/>
        <v>3.3080614138781959E-4</v>
      </c>
      <c r="Q76" s="713">
        <f t="shared" si="13"/>
        <v>-2.3572287677884522E-5</v>
      </c>
    </row>
    <row r="77" spans="1:17">
      <c r="A77" s="3" t="s">
        <v>1591</v>
      </c>
      <c r="B77" s="3" t="s">
        <v>2404</v>
      </c>
      <c r="C77" s="3" t="s">
        <v>1592</v>
      </c>
      <c r="D77" s="3">
        <v>87603855038.720001</v>
      </c>
      <c r="E77" s="3">
        <v>4.5102807870882158</v>
      </c>
      <c r="F77" s="3">
        <v>-8.0830000000000002</v>
      </c>
      <c r="G77" s="3">
        <v>1936.8529999999998</v>
      </c>
      <c r="H77" s="3">
        <v>45.23</v>
      </c>
      <c r="I77" s="706"/>
      <c r="J77" s="707" t="str">
        <f t="shared" si="14"/>
        <v>Citigroup Inc</v>
      </c>
      <c r="K77" s="708" t="str">
        <f t="shared" si="14"/>
        <v>C</v>
      </c>
      <c r="L77" s="709">
        <f t="shared" si="8"/>
        <v>87603.855038720008</v>
      </c>
      <c r="M77" s="710">
        <f t="shared" si="9"/>
        <v>4.510280787088216E-2</v>
      </c>
      <c r="N77" s="710">
        <f t="shared" si="10"/>
        <v>-8.0829999999999999E-2</v>
      </c>
      <c r="O77" s="711">
        <f t="shared" si="11"/>
        <v>-3.7550022109219539E-2</v>
      </c>
      <c r="P77" s="712">
        <f t="shared" si="12"/>
        <v>2.7356339799378764E-3</v>
      </c>
      <c r="Q77" s="713">
        <f t="shared" si="13"/>
        <v>-1.027231164293995E-4</v>
      </c>
    </row>
    <row r="78" spans="1:17">
      <c r="A78" s="3" t="s">
        <v>1593</v>
      </c>
      <c r="B78" s="3" t="s">
        <v>2405</v>
      </c>
      <c r="C78" s="3" t="s">
        <v>1311</v>
      </c>
      <c r="D78" s="3">
        <v>18547168770.900002</v>
      </c>
      <c r="E78" s="3">
        <v>3.3100775193798446</v>
      </c>
      <c r="F78" s="3">
        <v>8.1999999999999993</v>
      </c>
      <c r="G78" s="3">
        <v>479.255</v>
      </c>
      <c r="H78" s="3">
        <v>38.700000000000003</v>
      </c>
      <c r="I78" s="706"/>
      <c r="J78" s="707" t="str">
        <f t="shared" si="14"/>
        <v>Conagra Brands Inc</v>
      </c>
      <c r="K78" s="708" t="str">
        <f t="shared" si="14"/>
        <v>CAG</v>
      </c>
      <c r="L78" s="709">
        <f t="shared" si="8"/>
        <v>18547.1687709</v>
      </c>
      <c r="M78" s="710">
        <f t="shared" si="9"/>
        <v>3.3100775193798448E-2</v>
      </c>
      <c r="N78" s="710">
        <f t="shared" si="10"/>
        <v>8.199999999999999E-2</v>
      </c>
      <c r="O78" s="711">
        <f t="shared" si="11"/>
        <v>0.11645790697674417</v>
      </c>
      <c r="P78" s="712">
        <f t="shared" si="12"/>
        <v>5.7917845166620646E-4</v>
      </c>
      <c r="Q78" s="713">
        <f t="shared" si="13"/>
        <v>6.7449910247077796E-5</v>
      </c>
    </row>
    <row r="79" spans="1:17">
      <c r="A79" s="3" t="s">
        <v>1594</v>
      </c>
      <c r="B79" s="3" t="s">
        <v>2406</v>
      </c>
      <c r="C79" s="3" t="s">
        <v>1595</v>
      </c>
      <c r="D79" s="3">
        <v>20150244654.110001</v>
      </c>
      <c r="E79" s="3">
        <v>2.5965916482372835</v>
      </c>
      <c r="F79" s="3">
        <v>11.18</v>
      </c>
      <c r="G79" s="3">
        <v>262.13409999999999</v>
      </c>
      <c r="H79" s="3">
        <v>76.87</v>
      </c>
      <c r="I79" s="706"/>
      <c r="J79" s="707" t="str">
        <f t="shared" si="14"/>
        <v>Cardinal Health Inc</v>
      </c>
      <c r="K79" s="708" t="str">
        <f t="shared" si="14"/>
        <v>CAH</v>
      </c>
      <c r="L79" s="709">
        <f t="shared" si="8"/>
        <v>20150.24465411</v>
      </c>
      <c r="M79" s="710">
        <f t="shared" si="9"/>
        <v>2.5965916482372835E-2</v>
      </c>
      <c r="N79" s="710">
        <f t="shared" si="10"/>
        <v>0.1118</v>
      </c>
      <c r="O79" s="711">
        <f t="shared" si="11"/>
        <v>0.13921741121373749</v>
      </c>
      <c r="P79" s="712">
        <f t="shared" si="12"/>
        <v>6.2923822194218214E-4</v>
      </c>
      <c r="Q79" s="713">
        <f t="shared" si="13"/>
        <v>8.7600916295525784E-5</v>
      </c>
    </row>
    <row r="80" spans="1:17">
      <c r="A80" s="3" t="s">
        <v>2993</v>
      </c>
      <c r="B80" s="3" t="s">
        <v>2994</v>
      </c>
      <c r="C80" s="3" t="s">
        <v>2995</v>
      </c>
      <c r="D80" s="3">
        <v>34495787493.75</v>
      </c>
      <c r="E80" s="3">
        <v>1.4860606060606061</v>
      </c>
      <c r="F80" s="3">
        <v>6.3</v>
      </c>
      <c r="G80" s="3">
        <v>836.26149999999996</v>
      </c>
      <c r="H80" s="3">
        <v>41.25</v>
      </c>
      <c r="I80" s="706"/>
      <c r="J80" s="707" t="str">
        <f t="shared" si="14"/>
        <v>Carrier Global Corp</v>
      </c>
      <c r="K80" s="708" t="str">
        <f t="shared" si="14"/>
        <v>CARR</v>
      </c>
      <c r="L80" s="709">
        <f t="shared" si="8"/>
        <v>34495.787493750002</v>
      </c>
      <c r="M80" s="710">
        <f t="shared" si="9"/>
        <v>1.486060606060606E-2</v>
      </c>
      <c r="N80" s="710">
        <f t="shared" si="10"/>
        <v>6.3E-2</v>
      </c>
      <c r="O80" s="711">
        <f t="shared" si="11"/>
        <v>7.8328715151515155E-2</v>
      </c>
      <c r="P80" s="712">
        <f t="shared" si="12"/>
        <v>1.0772111386069586E-3</v>
      </c>
      <c r="Q80" s="713">
        <f t="shared" si="13"/>
        <v>8.4376564433983771E-5</v>
      </c>
    </row>
    <row r="81" spans="1:17">
      <c r="A81" s="3" t="s">
        <v>1596</v>
      </c>
      <c r="B81" s="3" t="s">
        <v>2407</v>
      </c>
      <c r="C81" s="3" t="s">
        <v>1597</v>
      </c>
      <c r="D81" s="3">
        <v>124669265083.8</v>
      </c>
      <c r="E81" s="3">
        <v>1.9306228084822175</v>
      </c>
      <c r="F81" s="3">
        <v>13.5</v>
      </c>
      <c r="G81" s="3">
        <v>520.40940000000001</v>
      </c>
      <c r="H81" s="3">
        <v>239.56</v>
      </c>
      <c r="I81" s="706"/>
      <c r="J81" s="707" t="str">
        <f t="shared" si="14"/>
        <v>Caterpillar Inc</v>
      </c>
      <c r="K81" s="708" t="str">
        <f t="shared" si="14"/>
        <v>CAT</v>
      </c>
      <c r="L81" s="709">
        <f t="shared" si="8"/>
        <v>124669.2650838</v>
      </c>
      <c r="M81" s="710">
        <f t="shared" si="9"/>
        <v>1.9306228084822175E-2</v>
      </c>
      <c r="N81" s="710">
        <f t="shared" si="10"/>
        <v>0.13500000000000001</v>
      </c>
      <c r="O81" s="711">
        <f t="shared" si="11"/>
        <v>0.15560939848054767</v>
      </c>
      <c r="P81" s="712">
        <f t="shared" si="12"/>
        <v>3.893087554952753E-3</v>
      </c>
      <c r="Q81" s="713">
        <f t="shared" si="13"/>
        <v>6.0580101265830398E-4</v>
      </c>
    </row>
    <row r="82" spans="1:17">
      <c r="A82" s="3" t="s">
        <v>1598</v>
      </c>
      <c r="B82" s="3" t="s">
        <v>2408</v>
      </c>
      <c r="C82" s="3" t="s">
        <v>1599</v>
      </c>
      <c r="D82" s="3">
        <v>91560090444.400009</v>
      </c>
      <c r="E82" s="3">
        <v>1.4891205802357208</v>
      </c>
      <c r="F82" s="3">
        <v>14</v>
      </c>
      <c r="G82" s="3">
        <v>415.05029999999999</v>
      </c>
      <c r="H82" s="3">
        <v>220.6</v>
      </c>
      <c r="I82" s="706"/>
      <c r="J82" s="707" t="str">
        <f t="shared" si="14"/>
        <v>Chubb Ltd</v>
      </c>
      <c r="K82" s="708" t="str">
        <f t="shared" si="14"/>
        <v>CB</v>
      </c>
      <c r="L82" s="709">
        <f t="shared" si="8"/>
        <v>91560.090444400004</v>
      </c>
      <c r="M82" s="710">
        <f t="shared" si="9"/>
        <v>1.4891205802357208E-2</v>
      </c>
      <c r="N82" s="710">
        <f t="shared" si="10"/>
        <v>0.14000000000000001</v>
      </c>
      <c r="O82" s="711">
        <f t="shared" si="11"/>
        <v>0.15593359020852224</v>
      </c>
      <c r="P82" s="712">
        <f t="shared" si="12"/>
        <v>2.859176625448487E-3</v>
      </c>
      <c r="Q82" s="713">
        <f t="shared" si="13"/>
        <v>4.4584167624646984E-4</v>
      </c>
    </row>
    <row r="83" spans="1:17">
      <c r="A83" s="3" t="s">
        <v>2409</v>
      </c>
      <c r="B83" s="3" t="s">
        <v>2410</v>
      </c>
      <c r="C83" s="3" t="s">
        <v>2225</v>
      </c>
      <c r="D83" s="3">
        <v>13310130497.25</v>
      </c>
      <c r="E83" s="3">
        <v>1.563720411253686</v>
      </c>
      <c r="F83" s="3" t="s">
        <v>1483</v>
      </c>
      <c r="G83" s="3">
        <v>106.0822</v>
      </c>
      <c r="H83" s="3">
        <v>125.47</v>
      </c>
      <c r="I83" s="706"/>
      <c r="J83" s="707" t="str">
        <f t="shared" si="14"/>
        <v>Cboe Global Markets Inc</v>
      </c>
      <c r="K83" s="708" t="str">
        <f t="shared" si="14"/>
        <v>CBOE</v>
      </c>
      <c r="L83" s="709">
        <f t="shared" si="8"/>
        <v>13310.13049725</v>
      </c>
      <c r="M83" s="710">
        <f t="shared" si="9"/>
        <v>1.563720411253686E-2</v>
      </c>
      <c r="N83" s="710" t="str">
        <f t="shared" si="10"/>
        <v>N/A</v>
      </c>
      <c r="O83" s="711" t="str">
        <f t="shared" si="11"/>
        <v>N/A</v>
      </c>
      <c r="P83" s="712" t="str">
        <f t="shared" si="12"/>
        <v>N/A</v>
      </c>
      <c r="Q83" s="713" t="str">
        <f t="shared" si="13"/>
        <v>N/A</v>
      </c>
    </row>
    <row r="84" spans="1:17">
      <c r="A84" s="3" t="s">
        <v>2311</v>
      </c>
      <c r="B84" s="3" t="s">
        <v>2411</v>
      </c>
      <c r="C84" s="3" t="s">
        <v>2312</v>
      </c>
      <c r="D84" s="3">
        <v>24315399484.479996</v>
      </c>
      <c r="E84" s="3">
        <v>0</v>
      </c>
      <c r="F84" s="3" t="s">
        <v>1483</v>
      </c>
      <c r="G84" s="3">
        <v>315.94849999999997</v>
      </c>
      <c r="H84" s="3">
        <v>76.959999999999994</v>
      </c>
      <c r="I84" s="706"/>
      <c r="J84" s="707" t="str">
        <f t="shared" si="14"/>
        <v>CBRE Group Inc</v>
      </c>
      <c r="K84" s="708" t="str">
        <f t="shared" si="14"/>
        <v>CBRE</v>
      </c>
      <c r="L84" s="709">
        <f t="shared" si="8"/>
        <v>24315.399484479996</v>
      </c>
      <c r="M84" s="710">
        <f t="shared" si="9"/>
        <v>0</v>
      </c>
      <c r="N84" s="710" t="str">
        <f t="shared" si="10"/>
        <v>N/A</v>
      </c>
      <c r="O84" s="711" t="str">
        <f t="shared" si="11"/>
        <v>N/A</v>
      </c>
      <c r="P84" s="712" t="str">
        <f t="shared" si="12"/>
        <v>N/A</v>
      </c>
      <c r="Q84" s="713" t="str">
        <f t="shared" si="13"/>
        <v>N/A</v>
      </c>
    </row>
    <row r="85" spans="1:17">
      <c r="A85" s="3" t="s">
        <v>1600</v>
      </c>
      <c r="B85" s="3" t="s">
        <v>4276</v>
      </c>
      <c r="C85" s="3" t="s">
        <v>1601</v>
      </c>
      <c r="D85" s="3">
        <v>58738630855.639999</v>
      </c>
      <c r="E85" s="3">
        <v>4.4057800058979657</v>
      </c>
      <c r="F85" s="3">
        <v>10.050000000000001</v>
      </c>
      <c r="G85" s="3">
        <v>433.048</v>
      </c>
      <c r="H85" s="3">
        <v>135.63999999999999</v>
      </c>
      <c r="I85" s="706"/>
      <c r="J85" s="707" t="str">
        <f t="shared" si="14"/>
        <v>Crown Castle Inc</v>
      </c>
      <c r="K85" s="708" t="str">
        <f t="shared" si="14"/>
        <v>CCI</v>
      </c>
      <c r="L85" s="709">
        <f t="shared" si="8"/>
        <v>58738.630855639996</v>
      </c>
      <c r="M85" s="710">
        <f t="shared" si="9"/>
        <v>4.4057800058979656E-2</v>
      </c>
      <c r="N85" s="710">
        <f t="shared" si="10"/>
        <v>0.10050000000000001</v>
      </c>
      <c r="O85" s="711">
        <f t="shared" si="11"/>
        <v>0.14677170451194338</v>
      </c>
      <c r="P85" s="712">
        <f t="shared" si="12"/>
        <v>1.8342502670994788E-3</v>
      </c>
      <c r="Q85" s="713">
        <f t="shared" si="13"/>
        <v>2.6921603820367792E-4</v>
      </c>
    </row>
    <row r="86" spans="1:17">
      <c r="A86" s="3" t="s">
        <v>1602</v>
      </c>
      <c r="B86" s="3" t="s">
        <v>2412</v>
      </c>
      <c r="C86" s="3" t="s">
        <v>1603</v>
      </c>
      <c r="D86" s="3">
        <v>9988732694.3278885</v>
      </c>
      <c r="E86" s="3">
        <v>0</v>
      </c>
      <c r="F86" s="3" t="s">
        <v>1483</v>
      </c>
      <c r="G86" s="3">
        <v>1112.7069999999999</v>
      </c>
      <c r="H86" s="3">
        <v>8.06</v>
      </c>
      <c r="I86" s="706"/>
      <c r="J86" s="707" t="str">
        <f t="shared" si="14"/>
        <v>Carnival Corp</v>
      </c>
      <c r="K86" s="708" t="str">
        <f t="shared" si="14"/>
        <v>CCL</v>
      </c>
      <c r="L86" s="709">
        <f t="shared" si="8"/>
        <v>9988.7326943278877</v>
      </c>
      <c r="M86" s="710">
        <f t="shared" si="9"/>
        <v>0</v>
      </c>
      <c r="N86" s="710" t="str">
        <f t="shared" si="10"/>
        <v>N/A</v>
      </c>
      <c r="O86" s="711" t="str">
        <f t="shared" si="11"/>
        <v>N/A</v>
      </c>
      <c r="P86" s="712" t="str">
        <f t="shared" si="12"/>
        <v>N/A</v>
      </c>
      <c r="Q86" s="713" t="str">
        <f t="shared" si="13"/>
        <v>N/A</v>
      </c>
    </row>
    <row r="87" spans="1:17">
      <c r="A87" s="3" t="s">
        <v>4078</v>
      </c>
      <c r="B87" s="3" t="s">
        <v>4079</v>
      </c>
      <c r="C87" s="3" t="s">
        <v>4080</v>
      </c>
      <c r="D87" s="3">
        <v>9853110718.0500011</v>
      </c>
      <c r="E87" s="3">
        <v>0</v>
      </c>
      <c r="F87" s="3" t="s">
        <v>1483</v>
      </c>
      <c r="G87" s="3">
        <v>153.5949</v>
      </c>
      <c r="H87" s="3">
        <v>64.150000000000006</v>
      </c>
      <c r="I87" s="706"/>
      <c r="J87" s="707" t="str">
        <f t="shared" si="14"/>
        <v>Ceridian HCM Holding Inc</v>
      </c>
      <c r="K87" s="708" t="str">
        <f t="shared" si="14"/>
        <v>CDAY</v>
      </c>
      <c r="L87" s="709">
        <f t="shared" si="8"/>
        <v>9853.1107180500003</v>
      </c>
      <c r="M87" s="710">
        <f t="shared" si="9"/>
        <v>0</v>
      </c>
      <c r="N87" s="710" t="str">
        <f t="shared" si="10"/>
        <v>N/A</v>
      </c>
      <c r="O87" s="711" t="str">
        <f t="shared" si="11"/>
        <v>N/A</v>
      </c>
      <c r="P87" s="712" t="str">
        <f t="shared" si="12"/>
        <v>N/A</v>
      </c>
      <c r="Q87" s="713" t="str">
        <f t="shared" si="13"/>
        <v>N/A</v>
      </c>
    </row>
    <row r="88" spans="1:17">
      <c r="A88" s="3" t="s">
        <v>2287</v>
      </c>
      <c r="B88" s="3" t="s">
        <v>2413</v>
      </c>
      <c r="C88" s="3" t="s">
        <v>2288</v>
      </c>
      <c r="D88" s="3">
        <v>44066122239.999992</v>
      </c>
      <c r="E88" s="3">
        <v>0</v>
      </c>
      <c r="F88" s="3">
        <v>19.12</v>
      </c>
      <c r="G88" s="3">
        <v>274.31599999999997</v>
      </c>
      <c r="H88" s="3">
        <v>160.63999999999999</v>
      </c>
      <c r="I88" s="706"/>
      <c r="J88" s="707" t="str">
        <f t="shared" si="14"/>
        <v>Cadence Design Systems Inc</v>
      </c>
      <c r="K88" s="708" t="str">
        <f t="shared" si="14"/>
        <v>CDNS</v>
      </c>
      <c r="L88" s="709">
        <f t="shared" si="8"/>
        <v>44066.12223999999</v>
      </c>
      <c r="M88" s="710">
        <f t="shared" si="9"/>
        <v>0</v>
      </c>
      <c r="N88" s="710">
        <f t="shared" si="10"/>
        <v>0.19120000000000001</v>
      </c>
      <c r="O88" s="711">
        <f t="shared" si="11"/>
        <v>0.19120000000000001</v>
      </c>
      <c r="P88" s="712">
        <f t="shared" si="12"/>
        <v>1.3760670841546734E-3</v>
      </c>
      <c r="Q88" s="713">
        <f t="shared" si="13"/>
        <v>2.6310402649037354E-4</v>
      </c>
    </row>
    <row r="89" spans="1:17">
      <c r="A89" s="3" t="s">
        <v>2892</v>
      </c>
      <c r="B89" s="3" t="s">
        <v>2893</v>
      </c>
      <c r="C89" s="3" t="s">
        <v>2894</v>
      </c>
      <c r="D89" s="3">
        <v>24178121565.560001</v>
      </c>
      <c r="E89" s="3">
        <v>1.1770635009519541</v>
      </c>
      <c r="F89" s="3">
        <v>13.1</v>
      </c>
      <c r="G89" s="3">
        <v>135.39099999999999</v>
      </c>
      <c r="H89" s="3">
        <v>178.58</v>
      </c>
      <c r="I89" s="706"/>
      <c r="J89" s="707" t="str">
        <f t="shared" si="14"/>
        <v>CDW Corp/DE</v>
      </c>
      <c r="K89" s="708" t="str">
        <f t="shared" si="14"/>
        <v>CDW</v>
      </c>
      <c r="L89" s="709">
        <f t="shared" si="8"/>
        <v>24178.121565560003</v>
      </c>
      <c r="M89" s="710">
        <f t="shared" si="9"/>
        <v>1.1770635009519541E-2</v>
      </c>
      <c r="N89" s="710">
        <f t="shared" si="10"/>
        <v>0.13100000000000001</v>
      </c>
      <c r="O89" s="711">
        <f t="shared" si="11"/>
        <v>0.14354161160264309</v>
      </c>
      <c r="P89" s="712">
        <f t="shared" si="12"/>
        <v>7.5501803997758319E-4</v>
      </c>
      <c r="Q89" s="713">
        <f t="shared" si="13"/>
        <v>1.083765062474511E-4</v>
      </c>
    </row>
    <row r="90" spans="1:17">
      <c r="A90" s="3" t="s">
        <v>2414</v>
      </c>
      <c r="B90" s="3" t="s">
        <v>2415</v>
      </c>
      <c r="C90" s="3" t="s">
        <v>2416</v>
      </c>
      <c r="D90" s="3">
        <v>11085685979.039999</v>
      </c>
      <c r="E90" s="3">
        <v>2.6692097026604071</v>
      </c>
      <c r="F90" s="3">
        <v>5.38</v>
      </c>
      <c r="G90" s="3">
        <v>108.4281</v>
      </c>
      <c r="H90" s="3">
        <v>102.24</v>
      </c>
      <c r="I90" s="706"/>
      <c r="J90" s="707" t="str">
        <f t="shared" si="14"/>
        <v>Celanese Corp</v>
      </c>
      <c r="K90" s="708" t="str">
        <f t="shared" si="14"/>
        <v>CE</v>
      </c>
      <c r="L90" s="709">
        <f t="shared" si="8"/>
        <v>11085.685979039999</v>
      </c>
      <c r="M90" s="710">
        <f t="shared" si="9"/>
        <v>2.6692097026604071E-2</v>
      </c>
      <c r="N90" s="710">
        <f t="shared" si="10"/>
        <v>5.3800000000000001E-2</v>
      </c>
      <c r="O90" s="711">
        <f t="shared" si="11"/>
        <v>8.1210114436619713E-2</v>
      </c>
      <c r="P90" s="712">
        <f t="shared" si="12"/>
        <v>3.4617630972722327E-4</v>
      </c>
      <c r="Q90" s="713">
        <f t="shared" si="13"/>
        <v>2.8113017728194513E-5</v>
      </c>
    </row>
    <row r="91" spans="1:17">
      <c r="A91" s="3" t="s">
        <v>4277</v>
      </c>
      <c r="B91" s="3" t="s">
        <v>4278</v>
      </c>
      <c r="C91" s="3" t="s">
        <v>4240</v>
      </c>
      <c r="D91" s="3">
        <v>28161698008.769997</v>
      </c>
      <c r="E91" s="3">
        <v>0.64377682403433489</v>
      </c>
      <c r="F91" s="3" t="s">
        <v>1483</v>
      </c>
      <c r="G91" s="3">
        <v>326.66390000000001</v>
      </c>
      <c r="H91" s="3">
        <v>86.21</v>
      </c>
      <c r="I91" s="706"/>
      <c r="J91" s="707" t="str">
        <f t="shared" si="14"/>
        <v>Constellation Energy Corp</v>
      </c>
      <c r="K91" s="708" t="str">
        <f t="shared" si="14"/>
        <v>CEG</v>
      </c>
      <c r="L91" s="709">
        <f t="shared" si="8"/>
        <v>28161.698008769996</v>
      </c>
      <c r="M91" s="710">
        <f t="shared" si="9"/>
        <v>6.4377682403433494E-3</v>
      </c>
      <c r="N91" s="710" t="str">
        <f t="shared" si="10"/>
        <v>N/A</v>
      </c>
      <c r="O91" s="711" t="str">
        <f t="shared" si="11"/>
        <v>N/A</v>
      </c>
      <c r="P91" s="712" t="str">
        <f t="shared" si="12"/>
        <v>N/A</v>
      </c>
      <c r="Q91" s="713" t="str">
        <f t="shared" si="13"/>
        <v>N/A</v>
      </c>
    </row>
    <row r="92" spans="1:17">
      <c r="A92" s="3" t="s">
        <v>1604</v>
      </c>
      <c r="B92" s="3" t="s">
        <v>2417</v>
      </c>
      <c r="C92" s="3" t="s">
        <v>1605</v>
      </c>
      <c r="D92" s="3">
        <v>16715342247.600002</v>
      </c>
      <c r="E92" s="3">
        <v>1.7382629107981222</v>
      </c>
      <c r="F92" s="3">
        <v>7.95</v>
      </c>
      <c r="G92" s="3">
        <v>196.18949999999998</v>
      </c>
      <c r="H92" s="3">
        <v>85.2</v>
      </c>
      <c r="I92" s="706"/>
      <c r="J92" s="707" t="str">
        <f t="shared" si="14"/>
        <v>CF Industries Holdings Inc</v>
      </c>
      <c r="K92" s="708" t="str">
        <f t="shared" si="14"/>
        <v>CF</v>
      </c>
      <c r="L92" s="709">
        <f t="shared" si="8"/>
        <v>16715.342247600001</v>
      </c>
      <c r="M92" s="710">
        <f t="shared" si="9"/>
        <v>1.7382629107981221E-2</v>
      </c>
      <c r="N92" s="710">
        <f t="shared" si="10"/>
        <v>7.9500000000000001E-2</v>
      </c>
      <c r="O92" s="711">
        <f t="shared" si="11"/>
        <v>9.7573588615023479E-2</v>
      </c>
      <c r="P92" s="712">
        <f t="shared" si="12"/>
        <v>5.2197541099777882E-4</v>
      </c>
      <c r="Q92" s="713">
        <f t="shared" si="13"/>
        <v>5.0931014019855071E-5</v>
      </c>
    </row>
    <row r="93" spans="1:17">
      <c r="A93" s="3" t="s">
        <v>1606</v>
      </c>
      <c r="B93" s="3" t="s">
        <v>2418</v>
      </c>
      <c r="C93" s="3" t="s">
        <v>1607</v>
      </c>
      <c r="D93" s="3">
        <v>19389369331.419998</v>
      </c>
      <c r="E93" s="3">
        <v>4.1148082296164592</v>
      </c>
      <c r="F93" s="3">
        <v>-1.87</v>
      </c>
      <c r="G93" s="3">
        <v>492.49099999999999</v>
      </c>
      <c r="H93" s="3">
        <v>39.369999999999997</v>
      </c>
      <c r="I93" s="706"/>
      <c r="J93" s="707" t="str">
        <f t="shared" si="14"/>
        <v>Citizens Financial Group Inc</v>
      </c>
      <c r="K93" s="708" t="str">
        <f t="shared" si="14"/>
        <v>CFG</v>
      </c>
      <c r="L93" s="709">
        <f t="shared" si="8"/>
        <v>19389.369331419999</v>
      </c>
      <c r="M93" s="710">
        <f t="shared" si="9"/>
        <v>4.1148082296164595E-2</v>
      </c>
      <c r="N93" s="710">
        <f t="shared" si="10"/>
        <v>-1.8700000000000001E-2</v>
      </c>
      <c r="O93" s="711">
        <f t="shared" si="11"/>
        <v>2.2063347726695458E-2</v>
      </c>
      <c r="P93" s="712">
        <f t="shared" si="12"/>
        <v>6.0547812158670154E-4</v>
      </c>
      <c r="Q93" s="713">
        <f t="shared" si="13"/>
        <v>1.3358874337473787E-5</v>
      </c>
    </row>
    <row r="94" spans="1:17">
      <c r="A94" s="3" t="s">
        <v>1608</v>
      </c>
      <c r="B94" s="3" t="s">
        <v>2419</v>
      </c>
      <c r="C94" s="3" t="s">
        <v>1609</v>
      </c>
      <c r="D94" s="3">
        <v>19658227451.669998</v>
      </c>
      <c r="E94" s="3">
        <v>1.3025679196129512</v>
      </c>
      <c r="F94" s="3">
        <v>5.6770000000000005</v>
      </c>
      <c r="G94" s="3">
        <v>243.86829999999998</v>
      </c>
      <c r="H94" s="3">
        <v>80.61</v>
      </c>
      <c r="I94" s="706"/>
      <c r="J94" s="707" t="str">
        <f t="shared" si="14"/>
        <v>Church &amp; Dwight Co Inc</v>
      </c>
      <c r="K94" s="708" t="str">
        <f t="shared" si="14"/>
        <v>CHD</v>
      </c>
      <c r="L94" s="709">
        <f t="shared" si="8"/>
        <v>19658.227451669998</v>
      </c>
      <c r="M94" s="710">
        <f t="shared" si="9"/>
        <v>1.3025679196129512E-2</v>
      </c>
      <c r="N94" s="710">
        <f t="shared" si="10"/>
        <v>5.6770000000000008E-2</v>
      </c>
      <c r="O94" s="711">
        <f t="shared" si="11"/>
        <v>7.0165413100111651E-2</v>
      </c>
      <c r="P94" s="712">
        <f t="shared" si="12"/>
        <v>6.1387384126379845E-4</v>
      </c>
      <c r="Q94" s="713">
        <f t="shared" si="13"/>
        <v>4.3072711663626782E-5</v>
      </c>
    </row>
    <row r="95" spans="1:17">
      <c r="A95" s="3" t="s">
        <v>1610</v>
      </c>
      <c r="B95" s="3" t="s">
        <v>2420</v>
      </c>
      <c r="C95" s="3" t="s">
        <v>1611</v>
      </c>
      <c r="D95" s="3">
        <v>10777478890.08</v>
      </c>
      <c r="E95" s="3">
        <v>2.4290083005679337</v>
      </c>
      <c r="F95" s="3">
        <v>10</v>
      </c>
      <c r="G95" s="3">
        <v>117.70949999999999</v>
      </c>
      <c r="H95" s="3">
        <v>91.56</v>
      </c>
      <c r="I95" s="706"/>
      <c r="J95" s="707" t="str">
        <f t="shared" si="14"/>
        <v>CH Robinson Worldwide Inc</v>
      </c>
      <c r="K95" s="708" t="str">
        <f t="shared" si="14"/>
        <v>CHRW</v>
      </c>
      <c r="L95" s="709">
        <f t="shared" si="8"/>
        <v>10777.478890079999</v>
      </c>
      <c r="M95" s="710">
        <f t="shared" si="9"/>
        <v>2.4290083005679336E-2</v>
      </c>
      <c r="N95" s="710">
        <f t="shared" si="10"/>
        <v>0.1</v>
      </c>
      <c r="O95" s="711">
        <f t="shared" si="11"/>
        <v>0.1255045871559633</v>
      </c>
      <c r="P95" s="712">
        <f t="shared" si="12"/>
        <v>3.3655182704841818E-4</v>
      </c>
      <c r="Q95" s="713">
        <f t="shared" si="13"/>
        <v>4.2238798110296884E-5</v>
      </c>
    </row>
    <row r="96" spans="1:17">
      <c r="A96" s="3" t="s">
        <v>1612</v>
      </c>
      <c r="B96" s="3" t="s">
        <v>2421</v>
      </c>
      <c r="C96" s="3" t="s">
        <v>1613</v>
      </c>
      <c r="D96" s="3">
        <v>61137889704.299995</v>
      </c>
      <c r="E96" s="3">
        <v>0</v>
      </c>
      <c r="F96" s="3">
        <v>19.797000000000001</v>
      </c>
      <c r="G96" s="3">
        <v>155.67230000000001</v>
      </c>
      <c r="H96" s="3">
        <v>339.1</v>
      </c>
      <c r="I96" s="706"/>
      <c r="J96" s="707" t="str">
        <f t="shared" si="14"/>
        <v>Charter Communications Inc</v>
      </c>
      <c r="K96" s="708" t="str">
        <f t="shared" si="14"/>
        <v>CHTR</v>
      </c>
      <c r="L96" s="709">
        <f t="shared" si="8"/>
        <v>61137.889704299996</v>
      </c>
      <c r="M96" s="710">
        <f t="shared" si="9"/>
        <v>0</v>
      </c>
      <c r="N96" s="710">
        <f t="shared" si="10"/>
        <v>0.19797000000000001</v>
      </c>
      <c r="O96" s="711">
        <f t="shared" si="11"/>
        <v>0.19797000000000001</v>
      </c>
      <c r="P96" s="712">
        <f t="shared" si="12"/>
        <v>1.9091727009371211E-3</v>
      </c>
      <c r="Q96" s="713">
        <f t="shared" si="13"/>
        <v>3.7795891960452189E-4</v>
      </c>
    </row>
    <row r="97" spans="1:17">
      <c r="A97" s="3" t="s">
        <v>1614</v>
      </c>
      <c r="B97" s="3" t="s">
        <v>2422</v>
      </c>
      <c r="C97" s="3" t="s">
        <v>1615</v>
      </c>
      <c r="D97" s="3">
        <v>101303561585.36</v>
      </c>
      <c r="E97" s="3">
        <v>1.3457475704714192</v>
      </c>
      <c r="F97" s="3">
        <v>11.505000000000001</v>
      </c>
      <c r="G97" s="3">
        <v>305.73899999999998</v>
      </c>
      <c r="H97" s="3">
        <v>331.34</v>
      </c>
      <c r="I97" s="706"/>
      <c r="J97" s="707" t="str">
        <f t="shared" si="14"/>
        <v>Cigna Corp</v>
      </c>
      <c r="K97" s="708" t="str">
        <f t="shared" si="14"/>
        <v>CI</v>
      </c>
      <c r="L97" s="709">
        <f t="shared" si="8"/>
        <v>101303.56158536</v>
      </c>
      <c r="M97" s="710">
        <f t="shared" si="9"/>
        <v>1.3457475704714193E-2</v>
      </c>
      <c r="N97" s="710">
        <f t="shared" si="10"/>
        <v>0.11505000000000001</v>
      </c>
      <c r="O97" s="711">
        <f t="shared" si="11"/>
        <v>0.1292816169946279</v>
      </c>
      <c r="P97" s="712">
        <f t="shared" si="12"/>
        <v>3.1634391573196379E-3</v>
      </c>
      <c r="Q97" s="713">
        <f t="shared" si="13"/>
        <v>4.0897452952240584E-4</v>
      </c>
    </row>
    <row r="98" spans="1:17">
      <c r="A98" s="3" t="s">
        <v>1616</v>
      </c>
      <c r="B98" s="3" t="s">
        <v>2423</v>
      </c>
      <c r="C98" s="3" t="s">
        <v>1617</v>
      </c>
      <c r="D98" s="3">
        <v>16094101296.119999</v>
      </c>
      <c r="E98" s="3">
        <v>2.6955757398183415</v>
      </c>
      <c r="F98" s="3">
        <v>-1.8900000000000001</v>
      </c>
      <c r="G98" s="3">
        <v>157.18429999999998</v>
      </c>
      <c r="H98" s="3">
        <v>102.39</v>
      </c>
      <c r="I98" s="706"/>
      <c r="J98" s="707" t="str">
        <f t="shared" si="14"/>
        <v>Cincinnati Financial Corp</v>
      </c>
      <c r="K98" s="708" t="str">
        <f t="shared" si="14"/>
        <v>CINF</v>
      </c>
      <c r="L98" s="709">
        <f t="shared" si="8"/>
        <v>16094.101296119999</v>
      </c>
      <c r="M98" s="710">
        <f t="shared" si="9"/>
        <v>2.6955757398183414E-2</v>
      </c>
      <c r="N98" s="710">
        <f t="shared" si="10"/>
        <v>-1.89E-2</v>
      </c>
      <c r="O98" s="711">
        <f t="shared" si="11"/>
        <v>7.8010254907705801E-3</v>
      </c>
      <c r="P98" s="712">
        <f t="shared" si="12"/>
        <v>5.0257571841750973E-4</v>
      </c>
      <c r="Q98" s="713">
        <f t="shared" si="13"/>
        <v>3.9206059904173307E-6</v>
      </c>
    </row>
    <row r="99" spans="1:17">
      <c r="A99" s="3" t="s">
        <v>1618</v>
      </c>
      <c r="B99" s="3" t="s">
        <v>2424</v>
      </c>
      <c r="C99" s="3" t="s">
        <v>1619</v>
      </c>
      <c r="D99" s="3">
        <v>65806527605.900002</v>
      </c>
      <c r="E99" s="3">
        <v>2.3759360324914329</v>
      </c>
      <c r="F99" s="3">
        <v>2.5100000000000002</v>
      </c>
      <c r="G99" s="3">
        <v>835.21420000000001</v>
      </c>
      <c r="H99" s="3">
        <v>78.790000000000006</v>
      </c>
      <c r="I99" s="706"/>
      <c r="J99" s="707" t="str">
        <f t="shared" si="14"/>
        <v>Colgate-Palmolive Co</v>
      </c>
      <c r="K99" s="708" t="str">
        <f t="shared" si="14"/>
        <v>CL</v>
      </c>
      <c r="L99" s="709">
        <f t="shared" si="8"/>
        <v>65806.527605900003</v>
      </c>
      <c r="M99" s="710">
        <f t="shared" si="9"/>
        <v>2.3759360324914328E-2</v>
      </c>
      <c r="N99" s="710">
        <f t="shared" si="10"/>
        <v>2.5100000000000001E-2</v>
      </c>
      <c r="O99" s="711">
        <f t="shared" si="11"/>
        <v>4.9157540296992007E-2</v>
      </c>
      <c r="P99" s="712">
        <f t="shared" si="12"/>
        <v>2.0549617701281732E-3</v>
      </c>
      <c r="Q99" s="713">
        <f t="shared" si="13"/>
        <v>1.010168660238537E-4</v>
      </c>
    </row>
    <row r="100" spans="1:17">
      <c r="A100" s="3" t="s">
        <v>1620</v>
      </c>
      <c r="B100" s="3" t="s">
        <v>2425</v>
      </c>
      <c r="C100" s="3" t="s">
        <v>1621</v>
      </c>
      <c r="D100" s="3">
        <v>17314588563.010002</v>
      </c>
      <c r="E100" s="3">
        <v>3.3663507446732699</v>
      </c>
      <c r="F100" s="3">
        <v>3.1350000000000002</v>
      </c>
      <c r="G100" s="3">
        <v>123.3848</v>
      </c>
      <c r="H100" s="3">
        <v>140.33000000000001</v>
      </c>
      <c r="I100" s="706"/>
      <c r="J100" s="707" t="str">
        <f t="shared" si="14"/>
        <v>Clorox Co/The</v>
      </c>
      <c r="K100" s="708" t="str">
        <f t="shared" si="14"/>
        <v>CLX</v>
      </c>
      <c r="L100" s="709">
        <f t="shared" si="8"/>
        <v>17314.588563010002</v>
      </c>
      <c r="M100" s="710">
        <f t="shared" si="9"/>
        <v>3.3663507446732702E-2</v>
      </c>
      <c r="N100" s="710">
        <f t="shared" si="10"/>
        <v>3.1350000000000003E-2</v>
      </c>
      <c r="O100" s="711">
        <f t="shared" si="11"/>
        <v>6.5541182925960242E-2</v>
      </c>
      <c r="P100" s="712">
        <f t="shared" si="12"/>
        <v>5.4068826994746325E-4</v>
      </c>
      <c r="Q100" s="713">
        <f t="shared" si="13"/>
        <v>3.5437348806547664E-5</v>
      </c>
    </row>
    <row r="101" spans="1:17">
      <c r="A101" s="3" t="s">
        <v>1622</v>
      </c>
      <c r="B101" s="3" t="s">
        <v>2426</v>
      </c>
      <c r="C101" s="3" t="s">
        <v>1623</v>
      </c>
      <c r="D101" s="3">
        <v>8754169210.1499996</v>
      </c>
      <c r="E101" s="3">
        <v>4.082273747195214</v>
      </c>
      <c r="F101" s="3">
        <v>17.167000000000002</v>
      </c>
      <c r="G101" s="3">
        <v>130.95239999999998</v>
      </c>
      <c r="H101" s="3">
        <v>66.849999999999994</v>
      </c>
      <c r="I101" s="706"/>
      <c r="J101" s="707" t="str">
        <f t="shared" si="14"/>
        <v>Comerica Inc</v>
      </c>
      <c r="K101" s="708" t="str">
        <f t="shared" si="14"/>
        <v>CMA</v>
      </c>
      <c r="L101" s="709">
        <f t="shared" si="8"/>
        <v>8754.1692101499993</v>
      </c>
      <c r="M101" s="710">
        <f t="shared" si="9"/>
        <v>4.0822737471952142E-2</v>
      </c>
      <c r="N101" s="710">
        <f t="shared" si="10"/>
        <v>0.17167000000000002</v>
      </c>
      <c r="O101" s="711">
        <f t="shared" si="11"/>
        <v>0.21599675714285718</v>
      </c>
      <c r="P101" s="712">
        <f t="shared" si="12"/>
        <v>2.7336927977458748E-4</v>
      </c>
      <c r="Q101" s="713">
        <f t="shared" si="13"/>
        <v>5.9046877933789351E-5</v>
      </c>
    </row>
    <row r="102" spans="1:17">
      <c r="A102" s="3" t="s">
        <v>1624</v>
      </c>
      <c r="B102" s="3" t="s">
        <v>2427</v>
      </c>
      <c r="C102" s="3" t="s">
        <v>1625</v>
      </c>
      <c r="D102" s="3">
        <v>151189602030.51398</v>
      </c>
      <c r="E102" s="3">
        <v>3.0740634829854163</v>
      </c>
      <c r="F102" s="3">
        <v>8.0180000000000007</v>
      </c>
      <c r="G102" s="3">
        <v>4313.9639999999999</v>
      </c>
      <c r="H102" s="3">
        <v>34.97</v>
      </c>
      <c r="I102" s="706"/>
      <c r="J102" s="707" t="str">
        <f t="shared" si="14"/>
        <v>Comcast Corp</v>
      </c>
      <c r="K102" s="708" t="str">
        <f t="shared" si="14"/>
        <v>CMCSA</v>
      </c>
      <c r="L102" s="709">
        <f t="shared" si="8"/>
        <v>151189.60203051398</v>
      </c>
      <c r="M102" s="710">
        <f t="shared" si="9"/>
        <v>3.0740634829854164E-2</v>
      </c>
      <c r="N102" s="710">
        <f t="shared" si="10"/>
        <v>8.0180000000000001E-2</v>
      </c>
      <c r="O102" s="711">
        <f t="shared" si="11"/>
        <v>0.11215302688018303</v>
      </c>
      <c r="P102" s="712">
        <f t="shared" si="12"/>
        <v>4.7212467139163211E-3</v>
      </c>
      <c r="Q102" s="713">
        <f t="shared" si="13"/>
        <v>5.2950210961383293E-4</v>
      </c>
    </row>
    <row r="103" spans="1:17">
      <c r="A103" s="3" t="s">
        <v>1626</v>
      </c>
      <c r="B103" s="3" t="s">
        <v>2428</v>
      </c>
      <c r="C103" s="3" t="s">
        <v>1627</v>
      </c>
      <c r="D103" s="3">
        <v>60491880154.720009</v>
      </c>
      <c r="E103" s="3">
        <v>4.3845147478591819</v>
      </c>
      <c r="F103" s="3">
        <v>7.8</v>
      </c>
      <c r="G103" s="3">
        <v>359.72499999999997</v>
      </c>
      <c r="H103" s="3">
        <v>168.16</v>
      </c>
      <c r="I103" s="706"/>
      <c r="J103" s="707" t="str">
        <f t="shared" si="14"/>
        <v>CME Group Inc</v>
      </c>
      <c r="K103" s="708" t="str">
        <f t="shared" si="14"/>
        <v>CME</v>
      </c>
      <c r="L103" s="709">
        <f t="shared" si="8"/>
        <v>60491.880154720006</v>
      </c>
      <c r="M103" s="710">
        <f t="shared" si="9"/>
        <v>4.384514747859182E-2</v>
      </c>
      <c r="N103" s="710">
        <f t="shared" si="10"/>
        <v>7.8E-2</v>
      </c>
      <c r="O103" s="711">
        <f t="shared" si="11"/>
        <v>0.12355510823025689</v>
      </c>
      <c r="P103" s="712">
        <f t="shared" si="12"/>
        <v>1.8889995513147184E-3</v>
      </c>
      <c r="Q103" s="713">
        <f t="shared" si="13"/>
        <v>2.3339554400959674E-4</v>
      </c>
    </row>
    <row r="104" spans="1:17">
      <c r="A104" s="3" t="s">
        <v>1628</v>
      </c>
      <c r="B104" s="3" t="s">
        <v>2429</v>
      </c>
      <c r="C104" s="3" t="s">
        <v>1629</v>
      </c>
      <c r="D104" s="3">
        <v>38462765688.880005</v>
      </c>
      <c r="E104" s="3">
        <v>0</v>
      </c>
      <c r="F104" s="3">
        <v>26.830000000000002</v>
      </c>
      <c r="G104" s="3">
        <v>27.721109999999999</v>
      </c>
      <c r="H104" s="3">
        <v>1387.49</v>
      </c>
      <c r="I104" s="706"/>
      <c r="J104" s="707" t="str">
        <f t="shared" si="14"/>
        <v>Chipotle Mexican Grill Inc</v>
      </c>
      <c r="K104" s="708" t="str">
        <f t="shared" si="14"/>
        <v>CMG</v>
      </c>
      <c r="L104" s="709">
        <f t="shared" si="8"/>
        <v>38462.765688880005</v>
      </c>
      <c r="M104" s="710">
        <f t="shared" si="9"/>
        <v>0</v>
      </c>
      <c r="N104" s="710">
        <f t="shared" si="10"/>
        <v>0.26830000000000004</v>
      </c>
      <c r="O104" s="711">
        <f t="shared" si="11"/>
        <v>0.26830000000000004</v>
      </c>
      <c r="P104" s="712">
        <f t="shared" si="12"/>
        <v>1.2010892526862272E-3</v>
      </c>
      <c r="Q104" s="713">
        <f t="shared" si="13"/>
        <v>3.2225224649571482E-4</v>
      </c>
    </row>
    <row r="105" spans="1:17">
      <c r="A105" s="3" t="s">
        <v>1630</v>
      </c>
      <c r="B105" s="3" t="s">
        <v>2430</v>
      </c>
      <c r="C105" s="3" t="s">
        <v>1631</v>
      </c>
      <c r="D105" s="3">
        <v>34168332317.98</v>
      </c>
      <c r="E105" s="3">
        <v>2.4788476618927735</v>
      </c>
      <c r="F105" s="3">
        <v>9.2799999999999994</v>
      </c>
      <c r="G105" s="3">
        <v>141.02249999999998</v>
      </c>
      <c r="H105" s="3">
        <v>242.29</v>
      </c>
      <c r="I105" s="706"/>
      <c r="J105" s="707" t="str">
        <f t="shared" si="14"/>
        <v>Cummins Inc</v>
      </c>
      <c r="K105" s="708" t="str">
        <f t="shared" si="14"/>
        <v>CMI</v>
      </c>
      <c r="L105" s="709">
        <f t="shared" si="8"/>
        <v>34168.332317979999</v>
      </c>
      <c r="M105" s="710">
        <f t="shared" si="9"/>
        <v>2.4788476618927736E-2</v>
      </c>
      <c r="N105" s="710">
        <f t="shared" si="10"/>
        <v>9.2799999999999994E-2</v>
      </c>
      <c r="O105" s="711">
        <f t="shared" si="11"/>
        <v>0.11873866193404597</v>
      </c>
      <c r="P105" s="712">
        <f t="shared" si="12"/>
        <v>1.066985589681663E-3</v>
      </c>
      <c r="Q105" s="713">
        <f t="shared" si="13"/>
        <v>1.2669244122170967E-4</v>
      </c>
    </row>
    <row r="106" spans="1:17">
      <c r="A106" s="3" t="s">
        <v>1632</v>
      </c>
      <c r="B106" s="3" t="s">
        <v>2431</v>
      </c>
      <c r="C106" s="3" t="s">
        <v>207</v>
      </c>
      <c r="D106" s="3">
        <v>18381633954.66</v>
      </c>
      <c r="E106" s="3">
        <v>2.9148902573819679</v>
      </c>
      <c r="F106" s="3">
        <v>8.09</v>
      </c>
      <c r="G106" s="3">
        <v>290.2516</v>
      </c>
      <c r="H106" s="3">
        <v>63.33</v>
      </c>
      <c r="I106" s="706"/>
      <c r="J106" s="707" t="str">
        <f t="shared" si="14"/>
        <v>CMS Energy Corp</v>
      </c>
      <c r="K106" s="708" t="str">
        <f t="shared" si="14"/>
        <v>CMS</v>
      </c>
      <c r="L106" s="709">
        <f t="shared" si="8"/>
        <v>18381.633954659999</v>
      </c>
      <c r="M106" s="710">
        <f t="shared" si="9"/>
        <v>2.914890257381968E-2</v>
      </c>
      <c r="N106" s="710">
        <f t="shared" si="10"/>
        <v>8.09E-2</v>
      </c>
      <c r="O106" s="711">
        <f t="shared" si="11"/>
        <v>0.11122797568293069</v>
      </c>
      <c r="P106" s="712">
        <f t="shared" si="12"/>
        <v>5.7400924229786569E-4</v>
      </c>
      <c r="Q106" s="713">
        <f t="shared" si="13"/>
        <v>6.384588604408448E-5</v>
      </c>
    </row>
    <row r="107" spans="1:17">
      <c r="A107" s="3" t="s">
        <v>1633</v>
      </c>
      <c r="B107" s="3" t="s">
        <v>2432</v>
      </c>
      <c r="C107" s="3" t="s">
        <v>1634</v>
      </c>
      <c r="D107" s="3">
        <v>46438957422.93</v>
      </c>
      <c r="E107" s="3">
        <v>0</v>
      </c>
      <c r="F107" s="3">
        <v>13.41</v>
      </c>
      <c r="G107" s="3">
        <v>566.25969999999995</v>
      </c>
      <c r="H107" s="3">
        <v>82.01</v>
      </c>
      <c r="I107" s="706"/>
      <c r="J107" s="707" t="str">
        <f t="shared" si="14"/>
        <v>Centene Corp</v>
      </c>
      <c r="K107" s="708" t="str">
        <f t="shared" si="14"/>
        <v>CNC</v>
      </c>
      <c r="L107" s="709">
        <f t="shared" si="8"/>
        <v>46438.957422929998</v>
      </c>
      <c r="M107" s="710">
        <f t="shared" si="9"/>
        <v>0</v>
      </c>
      <c r="N107" s="710">
        <f t="shared" si="10"/>
        <v>0.1341</v>
      </c>
      <c r="O107" s="711">
        <f t="shared" si="11"/>
        <v>0.1341</v>
      </c>
      <c r="P107" s="712">
        <f t="shared" si="12"/>
        <v>1.450164377616775E-3</v>
      </c>
      <c r="Q107" s="713">
        <f t="shared" si="13"/>
        <v>1.9446704303840951E-4</v>
      </c>
    </row>
    <row r="108" spans="1:17">
      <c r="A108" s="3" t="s">
        <v>1635</v>
      </c>
      <c r="B108" s="3" t="s">
        <v>2433</v>
      </c>
      <c r="C108" s="3" t="s">
        <v>206</v>
      </c>
      <c r="D108" s="3">
        <v>18876677855.940002</v>
      </c>
      <c r="E108" s="3">
        <v>2.2674224741580526</v>
      </c>
      <c r="F108" s="3" t="s">
        <v>1483</v>
      </c>
      <c r="G108" s="3">
        <v>629.43239999999992</v>
      </c>
      <c r="H108" s="3">
        <v>29.99</v>
      </c>
      <c r="I108" s="706"/>
      <c r="J108" s="707" t="str">
        <f t="shared" si="14"/>
        <v>CenterPoint Energy Inc</v>
      </c>
      <c r="K108" s="708" t="str">
        <f t="shared" si="14"/>
        <v>CNP</v>
      </c>
      <c r="L108" s="709">
        <f t="shared" si="8"/>
        <v>18876.677855940001</v>
      </c>
      <c r="M108" s="710">
        <f t="shared" si="9"/>
        <v>2.2674224741580526E-2</v>
      </c>
      <c r="N108" s="710" t="str">
        <f t="shared" si="10"/>
        <v>N/A</v>
      </c>
      <c r="O108" s="711" t="str">
        <f t="shared" si="11"/>
        <v>N/A</v>
      </c>
      <c r="P108" s="712" t="str">
        <f t="shared" si="12"/>
        <v>N/A</v>
      </c>
      <c r="Q108" s="713" t="str">
        <f t="shared" si="13"/>
        <v>N/A</v>
      </c>
    </row>
    <row r="109" spans="1:17">
      <c r="A109" s="3" t="s">
        <v>1636</v>
      </c>
      <c r="B109" s="3" t="s">
        <v>2434</v>
      </c>
      <c r="C109" s="3" t="s">
        <v>1637</v>
      </c>
      <c r="D109" s="3">
        <v>35482699253.120003</v>
      </c>
      <c r="E109" s="3">
        <v>2.5989672977624787</v>
      </c>
      <c r="F109" s="3">
        <v>-14.540000000000001</v>
      </c>
      <c r="G109" s="3">
        <v>381.6986</v>
      </c>
      <c r="H109" s="3">
        <v>92.96</v>
      </c>
      <c r="I109" s="706"/>
      <c r="J109" s="707" t="str">
        <f t="shared" si="14"/>
        <v>Capital One Financial Corp</v>
      </c>
      <c r="K109" s="708" t="str">
        <f t="shared" si="14"/>
        <v>COF</v>
      </c>
      <c r="L109" s="709">
        <f t="shared" si="8"/>
        <v>35482.699253120001</v>
      </c>
      <c r="M109" s="710">
        <f t="shared" si="9"/>
        <v>2.5989672977624789E-2</v>
      </c>
      <c r="N109" s="710">
        <f t="shared" si="10"/>
        <v>-0.1454</v>
      </c>
      <c r="O109" s="711">
        <f t="shared" si="11"/>
        <v>-0.12129977624784853</v>
      </c>
      <c r="P109" s="712">
        <f t="shared" si="12"/>
        <v>1.1080297520451407E-3</v>
      </c>
      <c r="Q109" s="713">
        <f t="shared" si="13"/>
        <v>-1.3440376099903466E-4</v>
      </c>
    </row>
    <row r="110" spans="1:17">
      <c r="A110" s="3" t="s">
        <v>1638</v>
      </c>
      <c r="B110" s="3" t="s">
        <v>2435</v>
      </c>
      <c r="C110" s="3" t="s">
        <v>1639</v>
      </c>
      <c r="D110" s="3">
        <v>16320014157.280003</v>
      </c>
      <c r="E110" s="3">
        <v>1.8144978377234101E-2</v>
      </c>
      <c r="F110" s="3">
        <v>9.5</v>
      </c>
      <c r="G110" s="3">
        <v>49.354379999999999</v>
      </c>
      <c r="H110" s="3">
        <v>330.67</v>
      </c>
      <c r="I110" s="706"/>
      <c r="J110" s="707" t="str">
        <f t="shared" si="14"/>
        <v>Cooper Cos Inc/The</v>
      </c>
      <c r="K110" s="708" t="str">
        <f t="shared" si="14"/>
        <v>COO</v>
      </c>
      <c r="L110" s="709">
        <f t="shared" si="8"/>
        <v>16320.014157280002</v>
      </c>
      <c r="M110" s="710">
        <f t="shared" si="9"/>
        <v>1.81449783772341E-4</v>
      </c>
      <c r="N110" s="710">
        <f t="shared" si="10"/>
        <v>9.5000000000000001E-2</v>
      </c>
      <c r="O110" s="711">
        <f t="shared" si="11"/>
        <v>9.5190068648501533E-2</v>
      </c>
      <c r="P110" s="712">
        <f t="shared" si="12"/>
        <v>5.0963037256738857E-4</v>
      </c>
      <c r="Q110" s="713">
        <f t="shared" si="13"/>
        <v>4.851175015005113E-5</v>
      </c>
    </row>
    <row r="111" spans="1:17">
      <c r="A111" s="3" t="s">
        <v>1640</v>
      </c>
      <c r="B111" s="3" t="s">
        <v>2436</v>
      </c>
      <c r="C111" s="3" t="s">
        <v>1641</v>
      </c>
      <c r="D111" s="3">
        <v>147036385788</v>
      </c>
      <c r="E111" s="3">
        <v>2.0762711864406782</v>
      </c>
      <c r="F111" s="3" t="s">
        <v>1483</v>
      </c>
      <c r="G111" s="3">
        <v>1246.0709999999999</v>
      </c>
      <c r="H111" s="3">
        <v>118</v>
      </c>
      <c r="I111" s="706"/>
      <c r="J111" s="707" t="str">
        <f t="shared" si="14"/>
        <v>ConocoPhillips</v>
      </c>
      <c r="K111" s="708" t="str">
        <f t="shared" si="14"/>
        <v>COP</v>
      </c>
      <c r="L111" s="709">
        <f t="shared" si="8"/>
        <v>147036.38578800001</v>
      </c>
      <c r="M111" s="710">
        <f t="shared" si="9"/>
        <v>2.0762711864406782E-2</v>
      </c>
      <c r="N111" s="710" t="str">
        <f t="shared" si="10"/>
        <v>N/A</v>
      </c>
      <c r="O111" s="711" t="str">
        <f t="shared" si="11"/>
        <v>N/A</v>
      </c>
      <c r="P111" s="712" t="str">
        <f t="shared" si="12"/>
        <v>N/A</v>
      </c>
      <c r="Q111" s="713" t="str">
        <f t="shared" si="13"/>
        <v>N/A</v>
      </c>
    </row>
    <row r="112" spans="1:17">
      <c r="A112" s="3" t="s">
        <v>1642</v>
      </c>
      <c r="B112" s="3" t="s">
        <v>2437</v>
      </c>
      <c r="C112" s="3" t="s">
        <v>1643</v>
      </c>
      <c r="D112" s="3">
        <v>202562304934</v>
      </c>
      <c r="E112" s="3">
        <v>0.7883899233296825</v>
      </c>
      <c r="F112" s="3">
        <v>11.9</v>
      </c>
      <c r="G112" s="3">
        <v>443.72899999999998</v>
      </c>
      <c r="H112" s="3">
        <v>456.5</v>
      </c>
      <c r="I112" s="706"/>
      <c r="J112" s="707" t="str">
        <f t="shared" si="14"/>
        <v>Costco Wholesale Corp</v>
      </c>
      <c r="K112" s="708" t="str">
        <f t="shared" si="14"/>
        <v>COST</v>
      </c>
      <c r="L112" s="709">
        <f t="shared" si="8"/>
        <v>202562.30493400001</v>
      </c>
      <c r="M112" s="710">
        <f t="shared" si="9"/>
        <v>7.8838992332968243E-3</v>
      </c>
      <c r="N112" s="710">
        <f t="shared" si="10"/>
        <v>0.11900000000000001</v>
      </c>
      <c r="O112" s="711">
        <f t="shared" si="11"/>
        <v>0.12735299123767799</v>
      </c>
      <c r="P112" s="712">
        <f t="shared" si="12"/>
        <v>6.3254787610324409E-3</v>
      </c>
      <c r="Q112" s="713">
        <f t="shared" si="13"/>
        <v>8.0556864122788264E-4</v>
      </c>
    </row>
    <row r="113" spans="1:17">
      <c r="A113" s="3" t="s">
        <v>1644</v>
      </c>
      <c r="B113" s="3" t="s">
        <v>2438</v>
      </c>
      <c r="C113" s="3" t="s">
        <v>1645</v>
      </c>
      <c r="D113" s="3">
        <v>16994784257</v>
      </c>
      <c r="E113" s="3">
        <v>2.6784140969162995</v>
      </c>
      <c r="F113" s="3">
        <v>4.6450000000000005</v>
      </c>
      <c r="G113" s="3">
        <v>299.4676</v>
      </c>
      <c r="H113" s="3">
        <v>56.75</v>
      </c>
      <c r="I113" s="706"/>
      <c r="J113" s="707" t="str">
        <f t="shared" si="14"/>
        <v>Campbell Soup Co</v>
      </c>
      <c r="K113" s="708" t="str">
        <f t="shared" si="14"/>
        <v>CPB</v>
      </c>
      <c r="L113" s="709">
        <f t="shared" si="8"/>
        <v>16994.784256999999</v>
      </c>
      <c r="M113" s="710">
        <f t="shared" si="9"/>
        <v>2.6784140969162994E-2</v>
      </c>
      <c r="N113" s="710">
        <f t="shared" si="10"/>
        <v>4.6450000000000005E-2</v>
      </c>
      <c r="O113" s="711">
        <f t="shared" si="11"/>
        <v>7.3856202643171803E-2</v>
      </c>
      <c r="P113" s="712">
        <f t="shared" si="12"/>
        <v>5.3070163721235446E-4</v>
      </c>
      <c r="Q113" s="713">
        <f t="shared" si="13"/>
        <v>3.9195607661018698E-5</v>
      </c>
    </row>
    <row r="114" spans="1:17">
      <c r="A114" s="3" t="s">
        <v>2439</v>
      </c>
      <c r="B114" s="3" t="s">
        <v>2440</v>
      </c>
      <c r="C114" s="3" t="s">
        <v>2441</v>
      </c>
      <c r="D114" s="3">
        <v>29001907669.789997</v>
      </c>
      <c r="E114" s="3" t="s">
        <v>1483</v>
      </c>
      <c r="F114" s="3" t="s">
        <v>1483</v>
      </c>
      <c r="G114" s="3">
        <v>476.29999999999995</v>
      </c>
      <c r="H114" s="3">
        <v>60.89</v>
      </c>
      <c r="I114" s="706"/>
      <c r="J114" s="707" t="str">
        <f t="shared" si="14"/>
        <v>Copart Inc</v>
      </c>
      <c r="K114" s="708" t="str">
        <f t="shared" si="14"/>
        <v>CPRT</v>
      </c>
      <c r="L114" s="709">
        <f t="shared" si="8"/>
        <v>29001.907669789998</v>
      </c>
      <c r="M114" s="710" t="str">
        <f t="shared" si="9"/>
        <v>0.00%</v>
      </c>
      <c r="N114" s="710" t="str">
        <f t="shared" si="10"/>
        <v>N/A</v>
      </c>
      <c r="O114" s="711" t="str">
        <f t="shared" si="11"/>
        <v>N/A</v>
      </c>
      <c r="P114" s="712" t="str">
        <f t="shared" si="12"/>
        <v>N/A</v>
      </c>
      <c r="Q114" s="713" t="str">
        <f t="shared" si="13"/>
        <v>N/A</v>
      </c>
    </row>
    <row r="115" spans="1:17">
      <c r="A115" s="3" t="s">
        <v>4279</v>
      </c>
      <c r="B115" s="3" t="s">
        <v>4280</v>
      </c>
      <c r="C115" s="3" t="s">
        <v>4281</v>
      </c>
      <c r="D115" s="3">
        <v>11918356555.799999</v>
      </c>
      <c r="E115" s="3">
        <v>3.3089023954236683</v>
      </c>
      <c r="F115" s="3">
        <v>9.120000000000001</v>
      </c>
      <c r="G115" s="3">
        <v>106.52799999999999</v>
      </c>
      <c r="H115" s="3">
        <v>111.88</v>
      </c>
      <c r="I115" s="706"/>
      <c r="J115" s="707" t="str">
        <f t="shared" si="14"/>
        <v>Camden Property Trust</v>
      </c>
      <c r="K115" s="708" t="str">
        <f t="shared" si="14"/>
        <v>CPT</v>
      </c>
      <c r="L115" s="709">
        <f t="shared" si="8"/>
        <v>11918.356555799999</v>
      </c>
      <c r="M115" s="710">
        <f t="shared" si="9"/>
        <v>3.3089023954236685E-2</v>
      </c>
      <c r="N115" s="710">
        <f t="shared" si="10"/>
        <v>9.1200000000000003E-2</v>
      </c>
      <c r="O115" s="711">
        <f t="shared" si="11"/>
        <v>0.12579788344654988</v>
      </c>
      <c r="P115" s="712">
        <f t="shared" si="12"/>
        <v>3.7217838375549887E-4</v>
      </c>
      <c r="Q115" s="713">
        <f t="shared" si="13"/>
        <v>4.681925294099956E-5</v>
      </c>
    </row>
    <row r="116" spans="1:17">
      <c r="A116" s="3" t="s">
        <v>3981</v>
      </c>
      <c r="B116" s="3" t="s">
        <v>4282</v>
      </c>
      <c r="C116" s="3" t="s">
        <v>3982</v>
      </c>
      <c r="D116" s="3">
        <v>11086459142.400002</v>
      </c>
      <c r="E116" s="3">
        <v>0</v>
      </c>
      <c r="F116" s="3">
        <v>14</v>
      </c>
      <c r="G116" s="3">
        <v>50.878659999999996</v>
      </c>
      <c r="H116" s="3">
        <v>217.9</v>
      </c>
      <c r="I116" s="706"/>
      <c r="J116" s="707" t="str">
        <f t="shared" si="14"/>
        <v>Charles River Laboratories International Inc</v>
      </c>
      <c r="K116" s="708" t="str">
        <f t="shared" si="14"/>
        <v>CRL</v>
      </c>
      <c r="L116" s="709">
        <f t="shared" si="8"/>
        <v>11086.459142400001</v>
      </c>
      <c r="M116" s="710">
        <f t="shared" si="9"/>
        <v>0</v>
      </c>
      <c r="N116" s="710">
        <f t="shared" si="10"/>
        <v>0.14000000000000001</v>
      </c>
      <c r="O116" s="711">
        <f t="shared" si="11"/>
        <v>0.14000000000000001</v>
      </c>
      <c r="P116" s="712">
        <f t="shared" si="12"/>
        <v>3.462004535501033E-4</v>
      </c>
      <c r="Q116" s="713">
        <f t="shared" si="13"/>
        <v>4.8468063497014468E-5</v>
      </c>
    </row>
    <row r="117" spans="1:17">
      <c r="A117" s="3" t="s">
        <v>1646</v>
      </c>
      <c r="B117" s="3" t="s">
        <v>4283</v>
      </c>
      <c r="C117" s="3" t="s">
        <v>1647</v>
      </c>
      <c r="D117" s="3">
        <v>132590000000</v>
      </c>
      <c r="E117" s="3">
        <v>0</v>
      </c>
      <c r="F117" s="3">
        <v>17.150000000000002</v>
      </c>
      <c r="G117" s="3">
        <v>1000</v>
      </c>
      <c r="H117" s="3">
        <v>132.59</v>
      </c>
      <c r="I117" s="706"/>
      <c r="J117" s="707" t="str">
        <f t="shared" si="14"/>
        <v>Salesforce Inc</v>
      </c>
      <c r="K117" s="708" t="str">
        <f t="shared" si="14"/>
        <v>CRM</v>
      </c>
      <c r="L117" s="709">
        <f t="shared" si="8"/>
        <v>132590</v>
      </c>
      <c r="M117" s="710">
        <f t="shared" si="9"/>
        <v>0</v>
      </c>
      <c r="N117" s="710">
        <f t="shared" si="10"/>
        <v>0.17150000000000001</v>
      </c>
      <c r="O117" s="711">
        <f t="shared" si="11"/>
        <v>0.17150000000000001</v>
      </c>
      <c r="P117" s="712">
        <f t="shared" si="12"/>
        <v>4.1404309118547979E-3</v>
      </c>
      <c r="Q117" s="713">
        <f t="shared" si="13"/>
        <v>7.1008390138309785E-4</v>
      </c>
    </row>
    <row r="118" spans="1:17">
      <c r="A118" s="3" t="s">
        <v>1648</v>
      </c>
      <c r="B118" s="3" t="s">
        <v>4284</v>
      </c>
      <c r="C118" s="3" t="s">
        <v>1649</v>
      </c>
      <c r="D118" s="3">
        <v>195710029921.31998</v>
      </c>
      <c r="E118" s="3">
        <v>3.2388748950461794</v>
      </c>
      <c r="F118" s="3">
        <v>7.5</v>
      </c>
      <c r="G118" s="3">
        <v>4108.1030000000001</v>
      </c>
      <c r="H118" s="3">
        <v>47.64</v>
      </c>
      <c r="I118" s="706"/>
      <c r="J118" s="707" t="str">
        <f t="shared" si="14"/>
        <v>Cisco Systems Inc</v>
      </c>
      <c r="K118" s="708" t="str">
        <f t="shared" si="14"/>
        <v>CSCO</v>
      </c>
      <c r="L118" s="709">
        <f t="shared" si="8"/>
        <v>195710.02992131998</v>
      </c>
      <c r="M118" s="710">
        <f t="shared" si="9"/>
        <v>3.2388748950461795E-2</v>
      </c>
      <c r="N118" s="710">
        <f t="shared" si="10"/>
        <v>7.4999999999999997E-2</v>
      </c>
      <c r="O118" s="711">
        <f t="shared" si="11"/>
        <v>0.10860332703610412</v>
      </c>
      <c r="P118" s="712">
        <f t="shared" si="12"/>
        <v>6.111500547901506E-3</v>
      </c>
      <c r="Q118" s="713">
        <f t="shared" si="13"/>
        <v>6.6372929268507675E-4</v>
      </c>
    </row>
    <row r="119" spans="1:17">
      <c r="A119" s="3" t="s">
        <v>4285</v>
      </c>
      <c r="B119" s="3" t="s">
        <v>4286</v>
      </c>
      <c r="C119" s="3" t="s">
        <v>4287</v>
      </c>
      <c r="D119" s="3">
        <v>31429007836.800003</v>
      </c>
      <c r="E119" s="3">
        <v>0</v>
      </c>
      <c r="F119" s="3">
        <v>20</v>
      </c>
      <c r="G119" s="3">
        <v>406.69009999999997</v>
      </c>
      <c r="H119" s="3">
        <v>77.28</v>
      </c>
      <c r="I119" s="706"/>
      <c r="J119" s="707" t="str">
        <f t="shared" si="14"/>
        <v>CoStar Group Inc</v>
      </c>
      <c r="K119" s="708" t="str">
        <f t="shared" si="14"/>
        <v>CSGP</v>
      </c>
      <c r="L119" s="709">
        <f t="shared" si="8"/>
        <v>31429.007836800003</v>
      </c>
      <c r="M119" s="710">
        <f t="shared" si="9"/>
        <v>0</v>
      </c>
      <c r="N119" s="710">
        <f t="shared" si="10"/>
        <v>0.2</v>
      </c>
      <c r="O119" s="711">
        <f t="shared" si="11"/>
        <v>0.2</v>
      </c>
      <c r="P119" s="712">
        <f t="shared" si="12"/>
        <v>9.8144381609784623E-4</v>
      </c>
      <c r="Q119" s="713">
        <f t="shared" si="13"/>
        <v>1.9628876321956925E-4</v>
      </c>
    </row>
    <row r="120" spans="1:17">
      <c r="A120" s="3" t="s">
        <v>1650</v>
      </c>
      <c r="B120" s="3" t="s">
        <v>2442</v>
      </c>
      <c r="C120" s="3" t="s">
        <v>1651</v>
      </c>
      <c r="D120" s="3">
        <v>65132622424.420006</v>
      </c>
      <c r="E120" s="3">
        <v>1.3008392511297613</v>
      </c>
      <c r="F120" s="3">
        <v>10.42</v>
      </c>
      <c r="G120" s="3">
        <v>2102.4090000000001</v>
      </c>
      <c r="H120" s="3">
        <v>30.98</v>
      </c>
      <c r="I120" s="706"/>
      <c r="J120" s="707" t="str">
        <f t="shared" si="14"/>
        <v>CSX Corp</v>
      </c>
      <c r="K120" s="708" t="str">
        <f t="shared" si="14"/>
        <v>CSX</v>
      </c>
      <c r="L120" s="709">
        <f t="shared" si="8"/>
        <v>65132.622424420006</v>
      </c>
      <c r="M120" s="710">
        <f t="shared" si="9"/>
        <v>1.3008392511297612E-2</v>
      </c>
      <c r="N120" s="710">
        <f t="shared" si="10"/>
        <v>0.1042</v>
      </c>
      <c r="O120" s="711">
        <f t="shared" si="11"/>
        <v>0.11788612976113622</v>
      </c>
      <c r="P120" s="712">
        <f t="shared" si="12"/>
        <v>2.0339175145654693E-3</v>
      </c>
      <c r="Q120" s="713">
        <f t="shared" si="13"/>
        <v>2.3977066404551258E-4</v>
      </c>
    </row>
    <row r="121" spans="1:17">
      <c r="A121" s="3" t="s">
        <v>1652</v>
      </c>
      <c r="B121" s="3" t="s">
        <v>2443</v>
      </c>
      <c r="C121" s="3" t="s">
        <v>1653</v>
      </c>
      <c r="D121" s="3">
        <v>45885058071.840004</v>
      </c>
      <c r="E121" s="3">
        <v>0.98179885744652595</v>
      </c>
      <c r="F121" s="3">
        <v>11.03</v>
      </c>
      <c r="G121" s="3">
        <v>101.601</v>
      </c>
      <c r="H121" s="3">
        <v>451.62</v>
      </c>
      <c r="I121" s="706"/>
      <c r="J121" s="707" t="str">
        <f t="shared" si="14"/>
        <v>Cintas Corp</v>
      </c>
      <c r="K121" s="708" t="str">
        <f t="shared" si="14"/>
        <v>CTAS</v>
      </c>
      <c r="L121" s="709">
        <f t="shared" si="8"/>
        <v>45885.058071840002</v>
      </c>
      <c r="M121" s="710">
        <f t="shared" si="9"/>
        <v>9.8179885744652598E-3</v>
      </c>
      <c r="N121" s="710">
        <f t="shared" si="10"/>
        <v>0.1103</v>
      </c>
      <c r="O121" s="711">
        <f t="shared" si="11"/>
        <v>0.12065945064434702</v>
      </c>
      <c r="P121" s="712">
        <f t="shared" si="12"/>
        <v>1.4328675830220896E-3</v>
      </c>
      <c r="Q121" s="713">
        <f t="shared" si="13"/>
        <v>1.7288901541353863E-4</v>
      </c>
    </row>
    <row r="122" spans="1:17">
      <c r="A122" s="3" t="s">
        <v>3911</v>
      </c>
      <c r="B122" s="3" t="s">
        <v>3912</v>
      </c>
      <c r="C122" s="3" t="s">
        <v>3913</v>
      </c>
      <c r="D122" s="3">
        <v>8100161140.8899994</v>
      </c>
      <c r="E122" s="3" t="s">
        <v>1483</v>
      </c>
      <c r="F122" s="3">
        <v>7.25</v>
      </c>
      <c r="G122" s="3">
        <v>179.96359999999999</v>
      </c>
      <c r="H122" s="3">
        <v>45.01</v>
      </c>
      <c r="I122" s="706"/>
      <c r="J122" s="707" t="str">
        <f t="shared" si="14"/>
        <v>Catalent Inc</v>
      </c>
      <c r="K122" s="708" t="str">
        <f t="shared" si="14"/>
        <v>CTLT</v>
      </c>
      <c r="L122" s="709">
        <f t="shared" si="8"/>
        <v>8100.1611408899998</v>
      </c>
      <c r="M122" s="710" t="str">
        <f t="shared" si="9"/>
        <v>0.00%</v>
      </c>
      <c r="N122" s="710">
        <f t="shared" si="10"/>
        <v>7.2499999999999995E-2</v>
      </c>
      <c r="O122" s="711">
        <f t="shared" si="11"/>
        <v>7.2499999999999995E-2</v>
      </c>
      <c r="P122" s="712">
        <f t="shared" si="12"/>
        <v>2.529463577852476E-4</v>
      </c>
      <c r="Q122" s="713">
        <f t="shared" si="13"/>
        <v>1.833861093943045E-5</v>
      </c>
    </row>
    <row r="123" spans="1:17">
      <c r="A123" s="3" t="s">
        <v>4081</v>
      </c>
      <c r="B123" s="3" t="s">
        <v>4082</v>
      </c>
      <c r="C123" s="3" t="s">
        <v>4083</v>
      </c>
      <c r="D123" s="3">
        <v>19372642814.07</v>
      </c>
      <c r="E123" s="3">
        <v>4.3549043549043551</v>
      </c>
      <c r="F123" s="3">
        <v>2.48</v>
      </c>
      <c r="G123" s="3">
        <v>788.4674</v>
      </c>
      <c r="H123" s="3">
        <v>24.57</v>
      </c>
      <c r="I123" s="706"/>
      <c r="J123" s="707" t="str">
        <f t="shared" si="14"/>
        <v>Coterra Energy Inc</v>
      </c>
      <c r="K123" s="708" t="str">
        <f t="shared" si="14"/>
        <v>CTRA</v>
      </c>
      <c r="L123" s="709">
        <f t="shared" si="8"/>
        <v>19372.642814070001</v>
      </c>
      <c r="M123" s="710">
        <f t="shared" si="9"/>
        <v>4.3549043549043549E-2</v>
      </c>
      <c r="N123" s="710">
        <f t="shared" si="10"/>
        <v>2.4799999999999999E-2</v>
      </c>
      <c r="O123" s="711">
        <f t="shared" si="11"/>
        <v>6.8889051689051684E-2</v>
      </c>
      <c r="P123" s="712">
        <f t="shared" si="12"/>
        <v>6.0495579720715859E-4</v>
      </c>
      <c r="Q123" s="713">
        <f t="shared" si="13"/>
        <v>4.1674831183395414E-5</v>
      </c>
    </row>
    <row r="124" spans="1:17">
      <c r="A124" s="3" t="s">
        <v>1654</v>
      </c>
      <c r="B124" s="3" t="s">
        <v>2444</v>
      </c>
      <c r="C124" s="3" t="s">
        <v>1655</v>
      </c>
      <c r="D124" s="3">
        <v>29391166696.079998</v>
      </c>
      <c r="E124" s="3">
        <v>1.8692079034796292</v>
      </c>
      <c r="F124" s="3">
        <v>12</v>
      </c>
      <c r="G124" s="3">
        <v>513.92139999999995</v>
      </c>
      <c r="H124" s="3">
        <v>57.19</v>
      </c>
      <c r="I124" s="706"/>
      <c r="J124" s="707" t="str">
        <f t="shared" si="14"/>
        <v>Cognizant Technology Solutions Corp</v>
      </c>
      <c r="K124" s="708" t="str">
        <f t="shared" si="14"/>
        <v>CTSH</v>
      </c>
      <c r="L124" s="709">
        <f t="shared" si="8"/>
        <v>29391.166696079999</v>
      </c>
      <c r="M124" s="710">
        <f t="shared" si="9"/>
        <v>1.8692079034796291E-2</v>
      </c>
      <c r="N124" s="710">
        <f t="shared" si="10"/>
        <v>0.12</v>
      </c>
      <c r="O124" s="711">
        <f t="shared" si="11"/>
        <v>0.13981360377688407</v>
      </c>
      <c r="P124" s="712">
        <f t="shared" si="12"/>
        <v>9.1780749018724548E-4</v>
      </c>
      <c r="Q124" s="713">
        <f t="shared" si="13"/>
        <v>1.2832197277649595E-4</v>
      </c>
    </row>
    <row r="125" spans="1:17">
      <c r="A125" s="3" t="s">
        <v>2895</v>
      </c>
      <c r="B125" s="3" t="s">
        <v>2896</v>
      </c>
      <c r="C125" s="3" t="s">
        <v>2897</v>
      </c>
      <c r="D125" s="3">
        <v>42239308000.000008</v>
      </c>
      <c r="E125" s="3">
        <v>0.97141884994896233</v>
      </c>
      <c r="F125" s="3">
        <v>16.96</v>
      </c>
      <c r="G125" s="3">
        <v>718.6</v>
      </c>
      <c r="H125" s="3">
        <v>58.78</v>
      </c>
      <c r="I125" s="706"/>
      <c r="J125" s="707" t="str">
        <f t="shared" si="14"/>
        <v>Corteva Inc</v>
      </c>
      <c r="K125" s="708" t="str">
        <f t="shared" si="14"/>
        <v>CTVA</v>
      </c>
      <c r="L125" s="709">
        <f t="shared" si="8"/>
        <v>42239.308000000005</v>
      </c>
      <c r="M125" s="710">
        <f t="shared" si="9"/>
        <v>9.7141884994896236E-3</v>
      </c>
      <c r="N125" s="710">
        <f t="shared" si="10"/>
        <v>0.1696</v>
      </c>
      <c r="O125" s="711">
        <f t="shared" si="11"/>
        <v>0.18013795168424634</v>
      </c>
      <c r="P125" s="712">
        <f t="shared" si="12"/>
        <v>1.3190205636816931E-3</v>
      </c>
      <c r="Q125" s="713">
        <f t="shared" si="13"/>
        <v>2.3760566257102021E-4</v>
      </c>
    </row>
    <row r="126" spans="1:17">
      <c r="A126" s="3" t="s">
        <v>1656</v>
      </c>
      <c r="B126" s="3" t="s">
        <v>2445</v>
      </c>
      <c r="C126" s="3" t="s">
        <v>1657</v>
      </c>
      <c r="D126" s="3">
        <v>122448576529.28</v>
      </c>
      <c r="E126" s="3">
        <v>2.3435990986157313</v>
      </c>
      <c r="F126" s="3">
        <v>6.8100000000000005</v>
      </c>
      <c r="G126" s="3">
        <v>1313.9669999999999</v>
      </c>
      <c r="H126" s="3">
        <v>93.19</v>
      </c>
      <c r="I126" s="706"/>
      <c r="J126" s="707" t="str">
        <f t="shared" si="14"/>
        <v>CVS Health Corp</v>
      </c>
      <c r="K126" s="708" t="str">
        <f t="shared" si="14"/>
        <v>CVS</v>
      </c>
      <c r="L126" s="709">
        <f t="shared" si="8"/>
        <v>122448.57652927999</v>
      </c>
      <c r="M126" s="710">
        <f t="shared" si="9"/>
        <v>2.3435990986157312E-2</v>
      </c>
      <c r="N126" s="710">
        <f t="shared" si="10"/>
        <v>6.8100000000000008E-2</v>
      </c>
      <c r="O126" s="711">
        <f t="shared" si="11"/>
        <v>9.2333986479235977E-2</v>
      </c>
      <c r="P126" s="712">
        <f t="shared" si="12"/>
        <v>3.8237413935775606E-3</v>
      </c>
      <c r="Q126" s="713">
        <f t="shared" si="13"/>
        <v>3.5306128613468539E-4</v>
      </c>
    </row>
    <row r="127" spans="1:17">
      <c r="A127" s="3" t="s">
        <v>1658</v>
      </c>
      <c r="B127" s="3" t="s">
        <v>2446</v>
      </c>
      <c r="C127" s="3" t="s">
        <v>1659</v>
      </c>
      <c r="D127" s="3">
        <v>347068782621.54004</v>
      </c>
      <c r="E127" s="3">
        <v>3.1673073708841715</v>
      </c>
      <c r="F127" s="3">
        <v>22.16</v>
      </c>
      <c r="G127" s="3">
        <v>1933.6389999999999</v>
      </c>
      <c r="H127" s="3">
        <v>179.49</v>
      </c>
      <c r="I127" s="706"/>
      <c r="J127" s="707" t="str">
        <f t="shared" si="14"/>
        <v>Chevron Corp</v>
      </c>
      <c r="K127" s="708" t="str">
        <f t="shared" si="14"/>
        <v>CVX</v>
      </c>
      <c r="L127" s="709">
        <f t="shared" si="8"/>
        <v>347068.78262154001</v>
      </c>
      <c r="M127" s="710">
        <f t="shared" si="9"/>
        <v>3.1673073708841717E-2</v>
      </c>
      <c r="N127" s="710">
        <f t="shared" si="10"/>
        <v>0.22159999999999999</v>
      </c>
      <c r="O127" s="711">
        <f t="shared" si="11"/>
        <v>0.25678245027578139</v>
      </c>
      <c r="P127" s="712">
        <f t="shared" si="12"/>
        <v>1.0838029384614508E-2</v>
      </c>
      <c r="Q127" s="713">
        <f t="shared" si="13"/>
        <v>2.7830157415422324E-3</v>
      </c>
    </row>
    <row r="128" spans="1:17">
      <c r="A128" s="3" t="s">
        <v>3983</v>
      </c>
      <c r="B128" s="3" t="s">
        <v>3984</v>
      </c>
      <c r="C128" s="3" t="s">
        <v>3985</v>
      </c>
      <c r="D128" s="3">
        <v>8925949968</v>
      </c>
      <c r="E128" s="3" t="s">
        <v>1483</v>
      </c>
      <c r="F128" s="3" t="s">
        <v>1483</v>
      </c>
      <c r="G128" s="3">
        <v>214.56609999999998</v>
      </c>
      <c r="H128" s="3">
        <v>41.6</v>
      </c>
      <c r="I128" s="706"/>
      <c r="J128" s="707" t="str">
        <f t="shared" si="14"/>
        <v>Caesars Entertainment Inc</v>
      </c>
      <c r="K128" s="708" t="str">
        <f t="shared" si="14"/>
        <v>CZR</v>
      </c>
      <c r="L128" s="709">
        <f t="shared" si="8"/>
        <v>8925.9499680000008</v>
      </c>
      <c r="M128" s="710" t="str">
        <f t="shared" si="9"/>
        <v>0.00%</v>
      </c>
      <c r="N128" s="710" t="str">
        <f t="shared" si="10"/>
        <v>N/A</v>
      </c>
      <c r="O128" s="711" t="str">
        <f t="shared" si="11"/>
        <v>N/A</v>
      </c>
      <c r="P128" s="712" t="str">
        <f t="shared" si="12"/>
        <v>N/A</v>
      </c>
      <c r="Q128" s="713" t="str">
        <f t="shared" si="13"/>
        <v>N/A</v>
      </c>
    </row>
    <row r="129" spans="1:17">
      <c r="A129" s="3" t="s">
        <v>1660</v>
      </c>
      <c r="B129" s="3" t="s">
        <v>2447</v>
      </c>
      <c r="C129" s="3" t="s">
        <v>209</v>
      </c>
      <c r="D129" s="3">
        <v>51096435570.599998</v>
      </c>
      <c r="E129" s="3">
        <v>4.3770384866275283</v>
      </c>
      <c r="F129" s="3">
        <v>6.4630000000000001</v>
      </c>
      <c r="G129" s="3">
        <v>833.27519999999993</v>
      </c>
      <c r="H129" s="3">
        <v>61.32</v>
      </c>
      <c r="I129" s="706"/>
      <c r="J129" s="707" t="str">
        <f t="shared" si="14"/>
        <v>Dominion Energy Inc</v>
      </c>
      <c r="K129" s="708" t="str">
        <f t="shared" si="14"/>
        <v>D</v>
      </c>
      <c r="L129" s="709">
        <f t="shared" si="8"/>
        <v>51096.435570599999</v>
      </c>
      <c r="M129" s="710">
        <f t="shared" si="9"/>
        <v>4.3770384866275283E-2</v>
      </c>
      <c r="N129" s="710">
        <f t="shared" si="10"/>
        <v>6.4630000000000007E-2</v>
      </c>
      <c r="O129" s="711">
        <f t="shared" si="11"/>
        <v>0.10981482485322898</v>
      </c>
      <c r="P129" s="712">
        <f t="shared" si="12"/>
        <v>1.5956049575541842E-3</v>
      </c>
      <c r="Q129" s="713">
        <f t="shared" si="13"/>
        <v>1.7522107894875658E-4</v>
      </c>
    </row>
    <row r="130" spans="1:17">
      <c r="A130" s="3" t="s">
        <v>1661</v>
      </c>
      <c r="B130" s="3" t="s">
        <v>2448</v>
      </c>
      <c r="C130" s="3" t="s">
        <v>1662</v>
      </c>
      <c r="D130" s="3">
        <v>21069449575.32</v>
      </c>
      <c r="E130" s="3">
        <v>0</v>
      </c>
      <c r="F130" s="3">
        <v>126.77</v>
      </c>
      <c r="G130" s="3">
        <v>641.1884</v>
      </c>
      <c r="H130" s="3">
        <v>32.86</v>
      </c>
      <c r="I130" s="706"/>
      <c r="J130" s="707" t="str">
        <f t="shared" si="14"/>
        <v>Delta Air Lines Inc</v>
      </c>
      <c r="K130" s="708" t="str">
        <f t="shared" si="14"/>
        <v>DAL</v>
      </c>
      <c r="L130" s="709">
        <f t="shared" si="8"/>
        <v>21069.449575319999</v>
      </c>
      <c r="M130" s="710">
        <f t="shared" si="9"/>
        <v>0</v>
      </c>
      <c r="N130" s="710">
        <f t="shared" si="10"/>
        <v>1.2677</v>
      </c>
      <c r="O130" s="711">
        <f t="shared" si="11"/>
        <v>1.2677</v>
      </c>
      <c r="P130" s="712">
        <f t="shared" si="12"/>
        <v>6.5794253199653722E-4</v>
      </c>
      <c r="Q130" s="713">
        <f t="shared" si="13"/>
        <v>8.3407374781201029E-4</v>
      </c>
    </row>
    <row r="131" spans="1:17">
      <c r="A131" s="3" t="s">
        <v>2898</v>
      </c>
      <c r="B131" s="3" t="s">
        <v>2899</v>
      </c>
      <c r="C131" s="3" t="s">
        <v>2900</v>
      </c>
      <c r="D131" s="3">
        <v>34094625501.239998</v>
      </c>
      <c r="E131" s="3">
        <v>1.9248142211860704</v>
      </c>
      <c r="F131" s="3">
        <v>-0.77</v>
      </c>
      <c r="G131" s="3">
        <v>496.78889999999996</v>
      </c>
      <c r="H131" s="3">
        <v>68.63</v>
      </c>
      <c r="I131" s="706"/>
      <c r="J131" s="707" t="str">
        <f t="shared" si="14"/>
        <v>DuPont de Nemours Inc</v>
      </c>
      <c r="K131" s="708" t="str">
        <f t="shared" si="14"/>
        <v>DD</v>
      </c>
      <c r="L131" s="709">
        <f t="shared" ref="L131:L194" si="15">D131/1000000</f>
        <v>34094.62550124</v>
      </c>
      <c r="M131" s="710">
        <f t="shared" ref="M131:M194" si="16">IFERROR(E131/100,"0.00%")</f>
        <v>1.9248142211860705E-2</v>
      </c>
      <c r="N131" s="710">
        <f t="shared" ref="N131:N194" si="17">IFERROR(F131/100,"N/A")</f>
        <v>-7.7000000000000002E-3</v>
      </c>
      <c r="O131" s="711">
        <f t="shared" ref="O131:O194" si="18">IFERROR(M131*(1+0.5*N131)+N131,"N/A")</f>
        <v>1.1474036864345042E-2</v>
      </c>
      <c r="P131" s="712">
        <f t="shared" ref="P131:P194" si="19">IF(N131="N/A","N/A",L131/$L$504)</f>
        <v>1.0646839230216982E-3</v>
      </c>
      <c r="Q131" s="713">
        <f t="shared" ref="Q131:Q194" si="20">IF(AND(ISNUMBER(L131),ISNUMBER(O131)),O131*P131,"N/A")</f>
        <v>1.2216222581626464E-5</v>
      </c>
    </row>
    <row r="132" spans="1:17">
      <c r="A132" s="3" t="s">
        <v>1663</v>
      </c>
      <c r="B132" s="3" t="s">
        <v>2449</v>
      </c>
      <c r="C132" s="3" t="s">
        <v>1664</v>
      </c>
      <c r="D132" s="3">
        <v>127872206311.31999</v>
      </c>
      <c r="E132" s="3">
        <v>1.1064464968747085</v>
      </c>
      <c r="F132" s="3">
        <v>14.587</v>
      </c>
      <c r="G132" s="3">
        <v>298.2373</v>
      </c>
      <c r="H132" s="3">
        <v>428.76</v>
      </c>
      <c r="I132" s="706"/>
      <c r="J132" s="707" t="str">
        <f t="shared" ref="J132:K195" si="21">B132</f>
        <v>Deere &amp; Co</v>
      </c>
      <c r="K132" s="708" t="str">
        <f t="shared" si="21"/>
        <v>DE</v>
      </c>
      <c r="L132" s="709">
        <f t="shared" si="15"/>
        <v>127872.20631132</v>
      </c>
      <c r="M132" s="710">
        <f t="shared" si="16"/>
        <v>1.1064464968747086E-2</v>
      </c>
      <c r="N132" s="710">
        <f t="shared" si="17"/>
        <v>0.14587</v>
      </c>
      <c r="O132" s="711">
        <f t="shared" si="18"/>
        <v>0.15774145172124265</v>
      </c>
      <c r="P132" s="712">
        <f t="shared" si="19"/>
        <v>3.99310683896571E-3</v>
      </c>
      <c r="Q132" s="713">
        <f t="shared" si="20"/>
        <v>6.2987846965647338E-4</v>
      </c>
    </row>
    <row r="133" spans="1:17">
      <c r="A133" s="3" t="s">
        <v>1665</v>
      </c>
      <c r="B133" s="3" t="s">
        <v>2450</v>
      </c>
      <c r="C133" s="3" t="s">
        <v>1666</v>
      </c>
      <c r="D133" s="3">
        <v>26729676589.950001</v>
      </c>
      <c r="E133" s="3">
        <v>2.3326178063988552</v>
      </c>
      <c r="F133" s="3">
        <v>-4.2729999999999997</v>
      </c>
      <c r="G133" s="3">
        <v>273.22579999999999</v>
      </c>
      <c r="H133" s="3">
        <v>97.83</v>
      </c>
      <c r="I133" s="706"/>
      <c r="J133" s="707" t="str">
        <f t="shared" si="21"/>
        <v>Discover Financial Services</v>
      </c>
      <c r="K133" s="708" t="str">
        <f t="shared" si="21"/>
        <v>DFS</v>
      </c>
      <c r="L133" s="709">
        <f t="shared" si="15"/>
        <v>26729.676589950002</v>
      </c>
      <c r="M133" s="710">
        <f t="shared" si="16"/>
        <v>2.3326178063988554E-2</v>
      </c>
      <c r="N133" s="710">
        <f t="shared" si="17"/>
        <v>-4.2729999999999997E-2</v>
      </c>
      <c r="O133" s="711">
        <f t="shared" si="18"/>
        <v>-1.9902185730348559E-2</v>
      </c>
      <c r="P133" s="712">
        <f t="shared" si="19"/>
        <v>8.3469627586477515E-4</v>
      </c>
      <c r="Q133" s="713">
        <f t="shared" si="20"/>
        <v>-1.6612280310691013E-5</v>
      </c>
    </row>
    <row r="134" spans="1:17">
      <c r="A134" s="3" t="s">
        <v>1667</v>
      </c>
      <c r="B134" s="3" t="s">
        <v>2451</v>
      </c>
      <c r="C134" s="3" t="s">
        <v>1668</v>
      </c>
      <c r="D134" s="3">
        <v>55055294253.750008</v>
      </c>
      <c r="E134" s="3">
        <v>0.89177664974619297</v>
      </c>
      <c r="F134" s="3">
        <v>9.4</v>
      </c>
      <c r="G134" s="3">
        <v>223.57479999999998</v>
      </c>
      <c r="H134" s="3">
        <v>246.25</v>
      </c>
      <c r="I134" s="706"/>
      <c r="J134" s="707" t="str">
        <f t="shared" si="21"/>
        <v>Dollar General Corp</v>
      </c>
      <c r="K134" s="708" t="str">
        <f t="shared" si="21"/>
        <v>DG</v>
      </c>
      <c r="L134" s="709">
        <f t="shared" si="15"/>
        <v>55055.294253750006</v>
      </c>
      <c r="M134" s="710">
        <f t="shared" si="16"/>
        <v>8.9177664974619299E-3</v>
      </c>
      <c r="N134" s="710">
        <f t="shared" si="17"/>
        <v>9.4E-2</v>
      </c>
      <c r="O134" s="711">
        <f t="shared" si="18"/>
        <v>0.10333690152284264</v>
      </c>
      <c r="P134" s="712">
        <f t="shared" si="19"/>
        <v>1.7192295210007418E-3</v>
      </c>
      <c r="Q134" s="713">
        <f t="shared" si="20"/>
        <v>1.7765985170681758E-4</v>
      </c>
    </row>
    <row r="135" spans="1:17">
      <c r="A135" s="3" t="s">
        <v>1669</v>
      </c>
      <c r="B135" s="3" t="s">
        <v>2452</v>
      </c>
      <c r="C135" s="3" t="s">
        <v>1670</v>
      </c>
      <c r="D135" s="3">
        <v>17816555181.040001</v>
      </c>
      <c r="E135" s="3">
        <v>1.6511122475070314</v>
      </c>
      <c r="F135" s="3">
        <v>-8.99</v>
      </c>
      <c r="G135" s="3">
        <v>113.88749999999999</v>
      </c>
      <c r="H135" s="3">
        <v>156.44</v>
      </c>
      <c r="I135" s="706"/>
      <c r="J135" s="707" t="str">
        <f t="shared" si="21"/>
        <v>Quest Diagnostics Inc</v>
      </c>
      <c r="K135" s="708" t="str">
        <f t="shared" si="21"/>
        <v>DGX</v>
      </c>
      <c r="L135" s="709">
        <f t="shared" si="15"/>
        <v>17816.555181039999</v>
      </c>
      <c r="M135" s="710">
        <f t="shared" si="16"/>
        <v>1.6511122475070316E-2</v>
      </c>
      <c r="N135" s="710">
        <f t="shared" si="17"/>
        <v>-8.9900000000000008E-2</v>
      </c>
      <c r="O135" s="711">
        <f t="shared" si="18"/>
        <v>-7.4131052480184104E-2</v>
      </c>
      <c r="P135" s="712">
        <f t="shared" si="19"/>
        <v>5.5636334425178944E-4</v>
      </c>
      <c r="Q135" s="713">
        <f t="shared" si="20"/>
        <v>-4.1243800270780136E-5</v>
      </c>
    </row>
    <row r="136" spans="1:17">
      <c r="A136" s="3" t="s">
        <v>1671</v>
      </c>
      <c r="B136" s="3" t="s">
        <v>2453</v>
      </c>
      <c r="C136" s="3" t="s">
        <v>1672</v>
      </c>
      <c r="D136" s="3">
        <v>30713003639.019997</v>
      </c>
      <c r="E136" s="3">
        <v>1.1240744895669734</v>
      </c>
      <c r="F136" s="3">
        <v>-23.645</v>
      </c>
      <c r="G136" s="3">
        <v>344.54789999999997</v>
      </c>
      <c r="H136" s="3">
        <v>89.14</v>
      </c>
      <c r="I136" s="706"/>
      <c r="J136" s="707" t="str">
        <f t="shared" si="21"/>
        <v>DR Horton Inc</v>
      </c>
      <c r="K136" s="708" t="str">
        <f t="shared" si="21"/>
        <v>DHI</v>
      </c>
      <c r="L136" s="709">
        <f t="shared" si="15"/>
        <v>30713.003639019997</v>
      </c>
      <c r="M136" s="710">
        <f t="shared" si="16"/>
        <v>1.1240744895669735E-2</v>
      </c>
      <c r="N136" s="710">
        <f t="shared" si="17"/>
        <v>-0.23644999999999999</v>
      </c>
      <c r="O136" s="711">
        <f t="shared" si="18"/>
        <v>-0.22653819216962082</v>
      </c>
      <c r="P136" s="712">
        <f t="shared" si="19"/>
        <v>9.5908492090585485E-4</v>
      </c>
      <c r="Q136" s="713">
        <f t="shared" si="20"/>
        <v>-2.1726936411915613E-4</v>
      </c>
    </row>
    <row r="137" spans="1:17">
      <c r="A137" s="3" t="s">
        <v>1673</v>
      </c>
      <c r="B137" s="3" t="s">
        <v>2454</v>
      </c>
      <c r="C137" s="3" t="s">
        <v>1674</v>
      </c>
      <c r="D137" s="3">
        <v>193215860364.84003</v>
      </c>
      <c r="E137" s="3">
        <v>0.39032476829176399</v>
      </c>
      <c r="F137" s="3">
        <v>29.79</v>
      </c>
      <c r="G137" s="3">
        <v>727.96269999999993</v>
      </c>
      <c r="H137" s="3">
        <v>265.42</v>
      </c>
      <c r="I137" s="706"/>
      <c r="J137" s="707" t="str">
        <f t="shared" si="21"/>
        <v>Danaher Corp</v>
      </c>
      <c r="K137" s="708" t="str">
        <f t="shared" si="21"/>
        <v>DHR</v>
      </c>
      <c r="L137" s="709">
        <f t="shared" si="15"/>
        <v>193215.86036484002</v>
      </c>
      <c r="M137" s="710">
        <f t="shared" si="16"/>
        <v>3.9032476829176399E-3</v>
      </c>
      <c r="N137" s="710">
        <f t="shared" si="17"/>
        <v>0.2979</v>
      </c>
      <c r="O137" s="711">
        <f t="shared" si="18"/>
        <v>0.30238463642528823</v>
      </c>
      <c r="P137" s="712">
        <f t="shared" si="19"/>
        <v>6.0336143066234546E-3</v>
      </c>
      <c r="Q137" s="713">
        <f t="shared" si="20"/>
        <v>1.8244722684387508E-3</v>
      </c>
    </row>
    <row r="138" spans="1:17">
      <c r="A138" s="3" t="s">
        <v>1675</v>
      </c>
      <c r="B138" s="3" t="s">
        <v>2455</v>
      </c>
      <c r="C138" s="3" t="s">
        <v>1676</v>
      </c>
      <c r="D138" s="3">
        <v>158433671917.44</v>
      </c>
      <c r="E138" s="3">
        <v>1.2430939226519337</v>
      </c>
      <c r="F138" s="3">
        <v>21.57</v>
      </c>
      <c r="G138" s="3">
        <v>1823.5919999999999</v>
      </c>
      <c r="H138" s="3">
        <v>86.88</v>
      </c>
      <c r="I138" s="706"/>
      <c r="J138" s="707" t="str">
        <f t="shared" si="21"/>
        <v>Walt Disney Co/The</v>
      </c>
      <c r="K138" s="708" t="str">
        <f t="shared" si="21"/>
        <v>DIS</v>
      </c>
      <c r="L138" s="709">
        <f t="shared" si="15"/>
        <v>158433.67191743999</v>
      </c>
      <c r="M138" s="710">
        <f t="shared" si="16"/>
        <v>1.2430939226519338E-2</v>
      </c>
      <c r="N138" s="710">
        <f t="shared" si="17"/>
        <v>0.2157</v>
      </c>
      <c r="O138" s="711">
        <f t="shared" si="18"/>
        <v>0.22947161602209945</v>
      </c>
      <c r="P138" s="712">
        <f t="shared" si="19"/>
        <v>4.947459632593936E-3</v>
      </c>
      <c r="Q138" s="713">
        <f t="shared" si="20"/>
        <v>1.135301557095433E-3</v>
      </c>
    </row>
    <row r="139" spans="1:17">
      <c r="A139" s="3" t="s">
        <v>2226</v>
      </c>
      <c r="B139" s="3" t="s">
        <v>2456</v>
      </c>
      <c r="C139" s="3" t="s">
        <v>2227</v>
      </c>
      <c r="D139" s="3">
        <v>7451115005.8799992</v>
      </c>
      <c r="E139" s="3">
        <v>0</v>
      </c>
      <c r="F139" s="3">
        <v>-16.96</v>
      </c>
      <c r="G139" s="3">
        <v>292.27100000000002</v>
      </c>
      <c r="H139" s="3">
        <v>14.04</v>
      </c>
      <c r="I139" s="706"/>
      <c r="J139" s="707" t="str">
        <f t="shared" si="21"/>
        <v>DISH Network Corp</v>
      </c>
      <c r="K139" s="708" t="str">
        <f t="shared" si="21"/>
        <v>DISH</v>
      </c>
      <c r="L139" s="709">
        <f t="shared" si="15"/>
        <v>7451.1150058799994</v>
      </c>
      <c r="M139" s="710">
        <f t="shared" si="16"/>
        <v>0</v>
      </c>
      <c r="N139" s="710">
        <f t="shared" si="17"/>
        <v>-0.1696</v>
      </c>
      <c r="O139" s="711">
        <f t="shared" si="18"/>
        <v>-0.1696</v>
      </c>
      <c r="P139" s="712">
        <f t="shared" si="19"/>
        <v>2.3267838372524846E-4</v>
      </c>
      <c r="Q139" s="713">
        <f t="shared" si="20"/>
        <v>-3.9462253879802139E-5</v>
      </c>
    </row>
    <row r="140" spans="1:17">
      <c r="A140" s="3" t="s">
        <v>1677</v>
      </c>
      <c r="B140" s="3" t="s">
        <v>2457</v>
      </c>
      <c r="C140" s="3" t="s">
        <v>1678</v>
      </c>
      <c r="D140" s="3">
        <v>29461024874.609997</v>
      </c>
      <c r="E140" s="3">
        <v>4.8568864067019053</v>
      </c>
      <c r="F140" s="3">
        <v>14.530000000000001</v>
      </c>
      <c r="G140" s="3">
        <v>287.52229999999997</v>
      </c>
      <c r="H140" s="3">
        <v>100.27</v>
      </c>
      <c r="I140" s="706"/>
      <c r="J140" s="707" t="str">
        <f t="shared" si="21"/>
        <v>Digital Realty Trust Inc</v>
      </c>
      <c r="K140" s="708" t="str">
        <f t="shared" si="21"/>
        <v>DLR</v>
      </c>
      <c r="L140" s="709">
        <f t="shared" si="15"/>
        <v>29461.024874609997</v>
      </c>
      <c r="M140" s="710">
        <f t="shared" si="16"/>
        <v>4.8568864067019053E-2</v>
      </c>
      <c r="N140" s="710">
        <f t="shared" si="17"/>
        <v>0.14530000000000001</v>
      </c>
      <c r="O140" s="711">
        <f t="shared" si="18"/>
        <v>0.19739739204148801</v>
      </c>
      <c r="P140" s="712">
        <f t="shared" si="19"/>
        <v>9.199889741742088E-4</v>
      </c>
      <c r="Q140" s="713">
        <f t="shared" si="20"/>
        <v>1.816034242089127E-4</v>
      </c>
    </row>
    <row r="141" spans="1:17">
      <c r="A141" s="3" t="s">
        <v>1679</v>
      </c>
      <c r="B141" s="3" t="s">
        <v>2458</v>
      </c>
      <c r="C141" s="3" t="s">
        <v>1680</v>
      </c>
      <c r="D141" s="3">
        <v>31284332709.760002</v>
      </c>
      <c r="E141" s="3">
        <v>0</v>
      </c>
      <c r="F141" s="3">
        <v>14.973000000000001</v>
      </c>
      <c r="G141" s="3">
        <v>221.18449999999999</v>
      </c>
      <c r="H141" s="3">
        <v>141.44</v>
      </c>
      <c r="I141" s="706"/>
      <c r="J141" s="707" t="str">
        <f t="shared" si="21"/>
        <v>Dollar Tree Inc</v>
      </c>
      <c r="K141" s="708" t="str">
        <f t="shared" si="21"/>
        <v>DLTR</v>
      </c>
      <c r="L141" s="709">
        <f t="shared" si="15"/>
        <v>31284.332709760001</v>
      </c>
      <c r="M141" s="710">
        <f t="shared" si="16"/>
        <v>0</v>
      </c>
      <c r="N141" s="710">
        <f t="shared" si="17"/>
        <v>0.14973</v>
      </c>
      <c r="O141" s="711">
        <f t="shared" si="18"/>
        <v>0.14973</v>
      </c>
      <c r="P141" s="712">
        <f t="shared" si="19"/>
        <v>9.7692599900626358E-4</v>
      </c>
      <c r="Q141" s="713">
        <f t="shared" si="20"/>
        <v>1.4627512983120784E-4</v>
      </c>
    </row>
    <row r="142" spans="1:17">
      <c r="A142" s="3" t="s">
        <v>1681</v>
      </c>
      <c r="B142" s="3" t="s">
        <v>2459</v>
      </c>
      <c r="C142" s="3" t="s">
        <v>1682</v>
      </c>
      <c r="D142" s="3">
        <v>19005328369.5</v>
      </c>
      <c r="E142" s="3">
        <v>1.5006277232109888</v>
      </c>
      <c r="F142" s="3">
        <v>10.5</v>
      </c>
      <c r="G142" s="3">
        <v>140.35399999999998</v>
      </c>
      <c r="H142" s="3">
        <v>135.41</v>
      </c>
      <c r="I142" s="706"/>
      <c r="J142" s="707" t="str">
        <f t="shared" si="21"/>
        <v>Dover Corp</v>
      </c>
      <c r="K142" s="708" t="str">
        <f t="shared" si="21"/>
        <v>DOV</v>
      </c>
      <c r="L142" s="709">
        <f t="shared" si="15"/>
        <v>19005.328369499999</v>
      </c>
      <c r="M142" s="710">
        <f t="shared" si="16"/>
        <v>1.5006277232109889E-2</v>
      </c>
      <c r="N142" s="710">
        <f t="shared" si="17"/>
        <v>0.105</v>
      </c>
      <c r="O142" s="711">
        <f t="shared" si="18"/>
        <v>0.12079410678679565</v>
      </c>
      <c r="P142" s="712">
        <f t="shared" si="19"/>
        <v>5.9348554997381957E-4</v>
      </c>
      <c r="Q142" s="713">
        <f t="shared" si="20"/>
        <v>7.1689556899957706E-5</v>
      </c>
    </row>
    <row r="143" spans="1:17">
      <c r="A143" s="3" t="s">
        <v>2460</v>
      </c>
      <c r="B143" s="3" t="s">
        <v>2461</v>
      </c>
      <c r="C143" s="3" t="s">
        <v>2462</v>
      </c>
      <c r="D143" s="3">
        <v>35462429564.910004</v>
      </c>
      <c r="E143" s="3">
        <v>5.564596150029768</v>
      </c>
      <c r="F143" s="3">
        <v>0.107</v>
      </c>
      <c r="G143" s="3">
        <v>703.75929999999994</v>
      </c>
      <c r="H143" s="3">
        <v>50.39</v>
      </c>
      <c r="I143" s="706"/>
      <c r="J143" s="707" t="str">
        <f t="shared" si="21"/>
        <v>Dow Inc</v>
      </c>
      <c r="K143" s="708" t="str">
        <f t="shared" si="21"/>
        <v>DOW</v>
      </c>
      <c r="L143" s="709">
        <f t="shared" si="15"/>
        <v>35462.429564910002</v>
      </c>
      <c r="M143" s="710">
        <f t="shared" si="16"/>
        <v>5.5645961500297679E-2</v>
      </c>
      <c r="N143" s="710">
        <f t="shared" si="17"/>
        <v>1.07E-3</v>
      </c>
      <c r="O143" s="711">
        <f t="shared" si="18"/>
        <v>5.6745732089700338E-2</v>
      </c>
      <c r="P143" s="712">
        <f t="shared" si="19"/>
        <v>1.1073967839205585E-3</v>
      </c>
      <c r="Q143" s="713">
        <f t="shared" si="20"/>
        <v>6.2840041217351785E-5</v>
      </c>
    </row>
    <row r="144" spans="1:17">
      <c r="A144" s="3" t="s">
        <v>3028</v>
      </c>
      <c r="B144" s="3" t="s">
        <v>3029</v>
      </c>
      <c r="C144" s="3" t="s">
        <v>3030</v>
      </c>
      <c r="D144" s="3">
        <v>12262344885.6</v>
      </c>
      <c r="E144" s="3">
        <v>1.2612586605080831</v>
      </c>
      <c r="F144" s="3">
        <v>12.585000000000001</v>
      </c>
      <c r="G144" s="3">
        <v>35.399380000000001</v>
      </c>
      <c r="H144" s="3">
        <v>346.4</v>
      </c>
      <c r="I144" s="706"/>
      <c r="J144" s="707" t="str">
        <f t="shared" si="21"/>
        <v>Domino's Pizza Inc</v>
      </c>
      <c r="K144" s="708" t="str">
        <f t="shared" si="21"/>
        <v>DPZ</v>
      </c>
      <c r="L144" s="709">
        <f t="shared" si="15"/>
        <v>12262.3448856</v>
      </c>
      <c r="M144" s="710">
        <f t="shared" si="16"/>
        <v>1.2612586605080831E-2</v>
      </c>
      <c r="N144" s="710">
        <f t="shared" si="17"/>
        <v>0.12585000000000002</v>
      </c>
      <c r="O144" s="711">
        <f t="shared" si="18"/>
        <v>0.13925623361720557</v>
      </c>
      <c r="P144" s="712">
        <f t="shared" si="19"/>
        <v>3.8292021884126122E-4</v>
      </c>
      <c r="Q144" s="713">
        <f t="shared" si="20"/>
        <v>5.3324027451710155E-5</v>
      </c>
    </row>
    <row r="145" spans="1:17">
      <c r="A145" s="3" t="s">
        <v>1683</v>
      </c>
      <c r="B145" s="3" t="s">
        <v>2463</v>
      </c>
      <c r="C145" s="3" t="s">
        <v>1684</v>
      </c>
      <c r="D145" s="3">
        <v>16929801871.470001</v>
      </c>
      <c r="E145" s="3">
        <v>3.5169522157160409</v>
      </c>
      <c r="F145" s="3">
        <v>9.66</v>
      </c>
      <c r="G145" s="3">
        <v>122.38709999999999</v>
      </c>
      <c r="H145" s="3">
        <v>138.33000000000001</v>
      </c>
      <c r="I145" s="706"/>
      <c r="J145" s="707" t="str">
        <f t="shared" si="21"/>
        <v>Darden Restaurants Inc</v>
      </c>
      <c r="K145" s="708" t="str">
        <f t="shared" si="21"/>
        <v>DRI</v>
      </c>
      <c r="L145" s="709">
        <f t="shared" si="15"/>
        <v>16929.801871470001</v>
      </c>
      <c r="M145" s="710">
        <f t="shared" si="16"/>
        <v>3.5169522157160411E-2</v>
      </c>
      <c r="N145" s="710">
        <f t="shared" si="17"/>
        <v>9.6600000000000005E-2</v>
      </c>
      <c r="O145" s="711">
        <f t="shared" si="18"/>
        <v>0.13346821007735127</v>
      </c>
      <c r="P145" s="712">
        <f t="shared" si="19"/>
        <v>5.2867241119399356E-4</v>
      </c>
      <c r="Q145" s="713">
        <f t="shared" si="20"/>
        <v>7.0560960439339769E-5</v>
      </c>
    </row>
    <row r="146" spans="1:17">
      <c r="A146" s="3" t="s">
        <v>1685</v>
      </c>
      <c r="B146" s="3" t="s">
        <v>2464</v>
      </c>
      <c r="C146" s="3" t="s">
        <v>210</v>
      </c>
      <c r="D146" s="3">
        <v>22770481981.100002</v>
      </c>
      <c r="E146" s="3">
        <v>3.0273121756147368</v>
      </c>
      <c r="F146" s="3">
        <v>6.133</v>
      </c>
      <c r="G146" s="3">
        <v>193.74189999999999</v>
      </c>
      <c r="H146" s="3">
        <v>117.53</v>
      </c>
      <c r="I146" s="706"/>
      <c r="J146" s="707" t="str">
        <f t="shared" si="21"/>
        <v>DTE Energy Co</v>
      </c>
      <c r="K146" s="708" t="str">
        <f t="shared" si="21"/>
        <v>DTE</v>
      </c>
      <c r="L146" s="709">
        <f t="shared" si="15"/>
        <v>22770.481981100002</v>
      </c>
      <c r="M146" s="710">
        <f t="shared" si="16"/>
        <v>3.0273121756147367E-2</v>
      </c>
      <c r="N146" s="710">
        <f t="shared" si="17"/>
        <v>6.1330000000000003E-2</v>
      </c>
      <c r="O146" s="711">
        <f t="shared" si="18"/>
        <v>9.2531447034799624E-2</v>
      </c>
      <c r="P146" s="712">
        <f t="shared" si="19"/>
        <v>7.110612223574864E-4</v>
      </c>
      <c r="Q146" s="713">
        <f t="shared" si="20"/>
        <v>6.5795523835071636E-5</v>
      </c>
    </row>
    <row r="147" spans="1:17">
      <c r="A147" s="3" t="s">
        <v>1686</v>
      </c>
      <c r="B147" s="3" t="s">
        <v>2465</v>
      </c>
      <c r="C147" s="3" t="s">
        <v>211</v>
      </c>
      <c r="D147" s="3">
        <v>79302300000</v>
      </c>
      <c r="E147" s="3">
        <v>3.863481891445772</v>
      </c>
      <c r="F147" s="3">
        <v>4.92</v>
      </c>
      <c r="G147" s="3">
        <v>770</v>
      </c>
      <c r="H147" s="3">
        <v>102.99</v>
      </c>
      <c r="I147" s="706"/>
      <c r="J147" s="707" t="str">
        <f t="shared" si="21"/>
        <v>Duke Energy Corp</v>
      </c>
      <c r="K147" s="708" t="str">
        <f t="shared" si="21"/>
        <v>DUK</v>
      </c>
      <c r="L147" s="709">
        <f t="shared" si="15"/>
        <v>79302.3</v>
      </c>
      <c r="M147" s="710">
        <f t="shared" si="16"/>
        <v>3.8634818914457719E-2</v>
      </c>
      <c r="N147" s="710">
        <f t="shared" si="17"/>
        <v>4.9200000000000001E-2</v>
      </c>
      <c r="O147" s="711">
        <f t="shared" si="18"/>
        <v>8.8785235459753378E-2</v>
      </c>
      <c r="P147" s="712">
        <f t="shared" si="19"/>
        <v>2.4763986296189966E-3</v>
      </c>
      <c r="Q147" s="713">
        <f t="shared" si="20"/>
        <v>2.1986763542293321E-4</v>
      </c>
    </row>
    <row r="148" spans="1:17">
      <c r="A148" s="3" t="s">
        <v>1687</v>
      </c>
      <c r="B148" s="3" t="s">
        <v>2466</v>
      </c>
      <c r="C148" s="3" t="s">
        <v>1688</v>
      </c>
      <c r="D148" s="3">
        <v>6727767000</v>
      </c>
      <c r="E148" s="3">
        <v>2.5847060399089328</v>
      </c>
      <c r="F148" s="3">
        <v>-6.49</v>
      </c>
      <c r="G148" s="3">
        <v>90.1</v>
      </c>
      <c r="H148" s="3">
        <v>74.67</v>
      </c>
      <c r="I148" s="706"/>
      <c r="J148" s="707" t="str">
        <f t="shared" si="21"/>
        <v>DaVita Inc</v>
      </c>
      <c r="K148" s="708" t="str">
        <f t="shared" si="21"/>
        <v>DVA</v>
      </c>
      <c r="L148" s="709">
        <f t="shared" si="15"/>
        <v>6727.7669999999998</v>
      </c>
      <c r="M148" s="710">
        <f t="shared" si="16"/>
        <v>2.5847060399089329E-2</v>
      </c>
      <c r="N148" s="710">
        <f t="shared" si="17"/>
        <v>-6.4899999999999999E-2</v>
      </c>
      <c r="O148" s="711">
        <f t="shared" si="18"/>
        <v>-3.9891676710861121E-2</v>
      </c>
      <c r="P148" s="712">
        <f t="shared" si="19"/>
        <v>2.1009016105706779E-4</v>
      </c>
      <c r="Q148" s="713">
        <f t="shared" si="20"/>
        <v>-8.3808487850212933E-6</v>
      </c>
    </row>
    <row r="149" spans="1:17">
      <c r="A149" s="3" t="s">
        <v>1689</v>
      </c>
      <c r="B149" s="3" t="s">
        <v>2467</v>
      </c>
      <c r="C149" s="3" t="s">
        <v>1690</v>
      </c>
      <c r="D149" s="3">
        <v>40209087000</v>
      </c>
      <c r="E149" s="3">
        <v>1.0274752072833686</v>
      </c>
      <c r="F149" s="3">
        <v>53.53</v>
      </c>
      <c r="G149" s="3">
        <v>653.69999999999993</v>
      </c>
      <c r="H149" s="3">
        <v>61.51</v>
      </c>
      <c r="I149" s="706"/>
      <c r="J149" s="707" t="str">
        <f t="shared" si="21"/>
        <v>Devon Energy Corp</v>
      </c>
      <c r="K149" s="708" t="str">
        <f t="shared" si="21"/>
        <v>DVN</v>
      </c>
      <c r="L149" s="709">
        <f t="shared" si="15"/>
        <v>40209.087</v>
      </c>
      <c r="M149" s="710">
        <f t="shared" si="16"/>
        <v>1.0274752072833687E-2</v>
      </c>
      <c r="N149" s="710">
        <f t="shared" si="17"/>
        <v>0.5353</v>
      </c>
      <c r="O149" s="711">
        <f t="shared" si="18"/>
        <v>0.54832478946512764</v>
      </c>
      <c r="P149" s="712">
        <f t="shared" si="19"/>
        <v>1.2556221943755856E-3</v>
      </c>
      <c r="Q149" s="713">
        <f t="shared" si="20"/>
        <v>6.8848877537873454E-4</v>
      </c>
    </row>
    <row r="150" spans="1:17">
      <c r="A150" s="3" t="s">
        <v>2259</v>
      </c>
      <c r="B150" s="3" t="s">
        <v>2468</v>
      </c>
      <c r="C150" s="3" t="s">
        <v>2256</v>
      </c>
      <c r="D150" s="3">
        <v>6096728409.5</v>
      </c>
      <c r="E150" s="3">
        <v>1.0075471698113208</v>
      </c>
      <c r="F150" s="3">
        <v>12.19</v>
      </c>
      <c r="G150" s="3">
        <v>230.06519999999998</v>
      </c>
      <c r="H150" s="3">
        <v>26.5</v>
      </c>
      <c r="I150" s="706"/>
      <c r="J150" s="707" t="str">
        <f t="shared" si="21"/>
        <v>DXC Technology Co</v>
      </c>
      <c r="K150" s="708" t="str">
        <f t="shared" si="21"/>
        <v>DXC</v>
      </c>
      <c r="L150" s="709">
        <f t="shared" si="15"/>
        <v>6096.7284095000005</v>
      </c>
      <c r="M150" s="710">
        <f t="shared" si="16"/>
        <v>1.0075471698113207E-2</v>
      </c>
      <c r="N150" s="710">
        <f t="shared" si="17"/>
        <v>0.12189999999999999</v>
      </c>
      <c r="O150" s="711">
        <f t="shared" si="18"/>
        <v>0.1325895716981132</v>
      </c>
      <c r="P150" s="712">
        <f t="shared" si="19"/>
        <v>1.9038451442700911E-4</v>
      </c>
      <c r="Q150" s="713">
        <f t="shared" si="20"/>
        <v>2.524300122583039E-5</v>
      </c>
    </row>
    <row r="151" spans="1:17">
      <c r="A151" s="3" t="s">
        <v>3031</v>
      </c>
      <c r="B151" s="3" t="s">
        <v>3986</v>
      </c>
      <c r="C151" s="3" t="s">
        <v>3032</v>
      </c>
      <c r="D151" s="3">
        <v>43739870075</v>
      </c>
      <c r="E151" s="3">
        <v>0</v>
      </c>
      <c r="F151" s="3">
        <v>18.833000000000002</v>
      </c>
      <c r="G151" s="3">
        <v>386.25809999999996</v>
      </c>
      <c r="H151" s="3">
        <v>113.24</v>
      </c>
      <c r="I151" s="706"/>
      <c r="J151" s="707" t="str">
        <f t="shared" si="21"/>
        <v>Dexcom Inc</v>
      </c>
      <c r="K151" s="708" t="str">
        <f t="shared" si="21"/>
        <v>DXCM</v>
      </c>
      <c r="L151" s="709">
        <f t="shared" si="15"/>
        <v>43739.870074999999</v>
      </c>
      <c r="M151" s="710">
        <f t="shared" si="16"/>
        <v>0</v>
      </c>
      <c r="N151" s="710">
        <f t="shared" si="17"/>
        <v>0.18833000000000003</v>
      </c>
      <c r="O151" s="711">
        <f t="shared" si="18"/>
        <v>0.18833000000000003</v>
      </c>
      <c r="P151" s="712">
        <f t="shared" si="19"/>
        <v>1.3658791020366742E-3</v>
      </c>
      <c r="Q151" s="713">
        <f t="shared" si="20"/>
        <v>2.5723601128656688E-4</v>
      </c>
    </row>
    <row r="152" spans="1:17">
      <c r="A152" s="3" t="s">
        <v>1691</v>
      </c>
      <c r="B152" s="3" t="s">
        <v>2469</v>
      </c>
      <c r="C152" s="3" t="s">
        <v>1692</v>
      </c>
      <c r="D152" s="3">
        <v>33731482990.120007</v>
      </c>
      <c r="E152" s="3">
        <v>0.57947290882304792</v>
      </c>
      <c r="F152" s="3">
        <v>14.503</v>
      </c>
      <c r="G152" s="3">
        <v>276.08019999999999</v>
      </c>
      <c r="H152" s="3">
        <v>122.18</v>
      </c>
      <c r="I152" s="706"/>
      <c r="J152" s="707" t="str">
        <f t="shared" si="21"/>
        <v>Electronic Arts Inc</v>
      </c>
      <c r="K152" s="708" t="str">
        <f t="shared" si="21"/>
        <v>EA</v>
      </c>
      <c r="L152" s="709">
        <f t="shared" si="15"/>
        <v>33731.482990120006</v>
      </c>
      <c r="M152" s="710">
        <f t="shared" si="16"/>
        <v>5.7947290882304795E-3</v>
      </c>
      <c r="N152" s="710">
        <f t="shared" si="17"/>
        <v>0.14502999999999999</v>
      </c>
      <c r="O152" s="711">
        <f t="shared" si="18"/>
        <v>0.15124493386806351</v>
      </c>
      <c r="P152" s="712">
        <f t="shared" si="19"/>
        <v>1.0533439541066233E-3</v>
      </c>
      <c r="Q152" s="713">
        <f t="shared" si="20"/>
        <v>1.5931293667918077E-4</v>
      </c>
    </row>
    <row r="153" spans="1:17">
      <c r="A153" s="3" t="s">
        <v>1693</v>
      </c>
      <c r="B153" s="3" t="s">
        <v>2470</v>
      </c>
      <c r="C153" s="3" t="s">
        <v>1694</v>
      </c>
      <c r="D153" s="3">
        <v>22504072337.889999</v>
      </c>
      <c r="E153" s="3">
        <v>2.1147817699541838</v>
      </c>
      <c r="F153" s="3">
        <v>-10.585000000000001</v>
      </c>
      <c r="G153" s="3">
        <v>542.65909999999997</v>
      </c>
      <c r="H153" s="3">
        <v>41.47</v>
      </c>
      <c r="I153" s="706"/>
      <c r="J153" s="707" t="str">
        <f t="shared" si="21"/>
        <v>eBay Inc</v>
      </c>
      <c r="K153" s="708" t="str">
        <f t="shared" si="21"/>
        <v>EBAY</v>
      </c>
      <c r="L153" s="709">
        <f t="shared" si="15"/>
        <v>22504.07233789</v>
      </c>
      <c r="M153" s="710">
        <f t="shared" si="16"/>
        <v>2.1147817699541837E-2</v>
      </c>
      <c r="N153" s="710">
        <f t="shared" si="17"/>
        <v>-0.10585000000000001</v>
      </c>
      <c r="O153" s="711">
        <f t="shared" si="18"/>
        <v>-8.5821430552206424E-2</v>
      </c>
      <c r="P153" s="712">
        <f t="shared" si="19"/>
        <v>7.0274196206664326E-4</v>
      </c>
      <c r="Q153" s="713">
        <f t="shared" si="20"/>
        <v>-6.0310320493623702E-5</v>
      </c>
    </row>
    <row r="154" spans="1:17">
      <c r="A154" s="3" t="s">
        <v>1695</v>
      </c>
      <c r="B154" s="3" t="s">
        <v>2471</v>
      </c>
      <c r="C154" s="3" t="s">
        <v>1696</v>
      </c>
      <c r="D154" s="3">
        <v>41459572413.599998</v>
      </c>
      <c r="E154" s="3">
        <v>1.4145369607034899</v>
      </c>
      <c r="F154" s="3">
        <v>14</v>
      </c>
      <c r="G154" s="3">
        <v>284.82810000000001</v>
      </c>
      <c r="H154" s="3">
        <v>145.56</v>
      </c>
      <c r="I154" s="706"/>
      <c r="J154" s="707" t="str">
        <f t="shared" si="21"/>
        <v>Ecolab Inc</v>
      </c>
      <c r="K154" s="708" t="str">
        <f t="shared" si="21"/>
        <v>ECL</v>
      </c>
      <c r="L154" s="709">
        <f t="shared" si="15"/>
        <v>41459.572413599999</v>
      </c>
      <c r="M154" s="710">
        <f t="shared" si="16"/>
        <v>1.4145369607034899E-2</v>
      </c>
      <c r="N154" s="710">
        <f t="shared" si="17"/>
        <v>0.14000000000000001</v>
      </c>
      <c r="O154" s="711">
        <f t="shared" si="18"/>
        <v>0.15513554547952735</v>
      </c>
      <c r="P154" s="712">
        <f t="shared" si="19"/>
        <v>1.2946715077573863E-3</v>
      </c>
      <c r="Q154" s="713">
        <f t="shared" si="20"/>
        <v>2.0084957057274426E-4</v>
      </c>
    </row>
    <row r="155" spans="1:17">
      <c r="A155" s="3" t="s">
        <v>1697</v>
      </c>
      <c r="B155" s="3" t="s">
        <v>2472</v>
      </c>
      <c r="C155" s="3" t="s">
        <v>208</v>
      </c>
      <c r="D155" s="3">
        <v>33821978042.880001</v>
      </c>
      <c r="E155" s="3">
        <v>3.3343825411814079</v>
      </c>
      <c r="F155" s="3">
        <v>3.9</v>
      </c>
      <c r="G155" s="3">
        <v>354.86279999999999</v>
      </c>
      <c r="H155" s="3">
        <v>95.31</v>
      </c>
      <c r="I155" s="706"/>
      <c r="J155" s="707" t="str">
        <f t="shared" si="21"/>
        <v>Consolidated Edison Inc</v>
      </c>
      <c r="K155" s="708" t="str">
        <f t="shared" si="21"/>
        <v>ED</v>
      </c>
      <c r="L155" s="709">
        <f t="shared" si="15"/>
        <v>33821.97804288</v>
      </c>
      <c r="M155" s="710">
        <f t="shared" si="16"/>
        <v>3.3343825411814076E-2</v>
      </c>
      <c r="N155" s="710">
        <f t="shared" si="17"/>
        <v>3.9E-2</v>
      </c>
      <c r="O155" s="711">
        <f t="shared" si="18"/>
        <v>7.2994030007344446E-2</v>
      </c>
      <c r="P155" s="712">
        <f t="shared" si="19"/>
        <v>1.0561698724550464E-3</v>
      </c>
      <c r="Q155" s="713">
        <f t="shared" si="20"/>
        <v>7.7094095362836813E-5</v>
      </c>
    </row>
    <row r="156" spans="1:17">
      <c r="A156" s="3" t="s">
        <v>1698</v>
      </c>
      <c r="B156" s="3" t="s">
        <v>2473</v>
      </c>
      <c r="C156" s="3" t="s">
        <v>1699</v>
      </c>
      <c r="D156" s="3">
        <v>23798104860.440002</v>
      </c>
      <c r="E156" s="3">
        <v>0.80263428689030658</v>
      </c>
      <c r="F156" s="3">
        <v>13</v>
      </c>
      <c r="G156" s="3">
        <v>122.4434</v>
      </c>
      <c r="H156" s="3">
        <v>194.36</v>
      </c>
      <c r="I156" s="706"/>
      <c r="J156" s="707" t="str">
        <f t="shared" si="21"/>
        <v>Equifax Inc</v>
      </c>
      <c r="K156" s="708" t="str">
        <f t="shared" si="21"/>
        <v>EFX</v>
      </c>
      <c r="L156" s="709">
        <f t="shared" si="15"/>
        <v>23798.104860440002</v>
      </c>
      <c r="M156" s="710">
        <f t="shared" si="16"/>
        <v>8.0263428689030664E-3</v>
      </c>
      <c r="N156" s="710">
        <f t="shared" si="17"/>
        <v>0.13</v>
      </c>
      <c r="O156" s="711">
        <f t="shared" si="18"/>
        <v>0.13854805515538177</v>
      </c>
      <c r="P156" s="712">
        <f t="shared" si="19"/>
        <v>7.4315113513634282E-4</v>
      </c>
      <c r="Q156" s="713">
        <f t="shared" si="20"/>
        <v>1.0296214445965459E-4</v>
      </c>
    </row>
    <row r="157" spans="1:17">
      <c r="A157" s="3" t="s">
        <v>1700</v>
      </c>
      <c r="B157" s="3" t="s">
        <v>2474</v>
      </c>
      <c r="C157" s="3" t="s">
        <v>199</v>
      </c>
      <c r="D157" s="3">
        <v>24294866759.880001</v>
      </c>
      <c r="E157" s="3">
        <v>4.4199937126689726</v>
      </c>
      <c r="F157" s="3">
        <v>3.2850000000000001</v>
      </c>
      <c r="G157" s="3">
        <v>381.87469999999996</v>
      </c>
      <c r="H157" s="3">
        <v>63.62</v>
      </c>
      <c r="I157" s="706"/>
      <c r="J157" s="707" t="str">
        <f t="shared" si="21"/>
        <v>Edison International</v>
      </c>
      <c r="K157" s="708" t="str">
        <f t="shared" si="21"/>
        <v>EIX</v>
      </c>
      <c r="L157" s="709">
        <f t="shared" si="15"/>
        <v>24294.866759880002</v>
      </c>
      <c r="M157" s="710">
        <f t="shared" si="16"/>
        <v>4.4199937126689723E-2</v>
      </c>
      <c r="N157" s="710">
        <f t="shared" si="17"/>
        <v>3.2850000000000004E-2</v>
      </c>
      <c r="O157" s="711">
        <f t="shared" si="18"/>
        <v>7.7775921093995601E-2</v>
      </c>
      <c r="P157" s="712">
        <f t="shared" si="19"/>
        <v>7.5866368000603946E-4</v>
      </c>
      <c r="Q157" s="713">
        <f t="shared" si="20"/>
        <v>5.9005766513030052E-5</v>
      </c>
    </row>
    <row r="158" spans="1:17">
      <c r="A158" s="3" t="s">
        <v>1701</v>
      </c>
      <c r="B158" s="3" t="s">
        <v>2475</v>
      </c>
      <c r="C158" s="3" t="s">
        <v>1702</v>
      </c>
      <c r="D158" s="3">
        <v>88528706451.970001</v>
      </c>
      <c r="E158" s="3">
        <v>1.0350247873926888</v>
      </c>
      <c r="F158" s="3">
        <v>8.08</v>
      </c>
      <c r="G158" s="3">
        <v>231.27029999999999</v>
      </c>
      <c r="H158" s="3">
        <v>248.11</v>
      </c>
      <c r="I158" s="706"/>
      <c r="J158" s="707" t="str">
        <f t="shared" si="21"/>
        <v>Estee Lauder Cos Inc/The</v>
      </c>
      <c r="K158" s="708" t="str">
        <f t="shared" si="21"/>
        <v>EL</v>
      </c>
      <c r="L158" s="709">
        <f t="shared" si="15"/>
        <v>88528.706451970007</v>
      </c>
      <c r="M158" s="710">
        <f t="shared" si="16"/>
        <v>1.0350247873926887E-2</v>
      </c>
      <c r="N158" s="710">
        <f t="shared" si="17"/>
        <v>8.0799999999999997E-2</v>
      </c>
      <c r="O158" s="711">
        <f t="shared" si="18"/>
        <v>9.1568397888033531E-2</v>
      </c>
      <c r="P158" s="712">
        <f t="shared" si="19"/>
        <v>2.7645146148295944E-3</v>
      </c>
      <c r="Q158" s="713">
        <f t="shared" si="20"/>
        <v>2.5314217421800004E-4</v>
      </c>
    </row>
    <row r="159" spans="1:17">
      <c r="A159" s="3" t="s">
        <v>4288</v>
      </c>
      <c r="B159" s="3" t="s">
        <v>4289</v>
      </c>
      <c r="C159" s="3" t="s">
        <v>4290</v>
      </c>
      <c r="D159" s="3">
        <v>122511384738.54001</v>
      </c>
      <c r="E159" s="3">
        <v>0.98075910871980809</v>
      </c>
      <c r="F159" s="3">
        <v>10.353</v>
      </c>
      <c r="G159" s="3">
        <v>238.82759999999999</v>
      </c>
      <c r="H159" s="3">
        <v>512.97</v>
      </c>
      <c r="I159" s="706"/>
      <c r="J159" s="707" t="str">
        <f t="shared" si="21"/>
        <v>Elevance Health Inc</v>
      </c>
      <c r="K159" s="708" t="str">
        <f t="shared" si="21"/>
        <v>ELV</v>
      </c>
      <c r="L159" s="709">
        <f t="shared" si="15"/>
        <v>122511.38473854001</v>
      </c>
      <c r="M159" s="710">
        <f t="shared" si="16"/>
        <v>9.8075910871980813E-3</v>
      </c>
      <c r="N159" s="710">
        <f t="shared" si="17"/>
        <v>0.10353</v>
      </c>
      <c r="O159" s="711">
        <f t="shared" si="18"/>
        <v>0.11384528103982688</v>
      </c>
      <c r="P159" s="712">
        <f t="shared" si="19"/>
        <v>3.8257027258887335E-3</v>
      </c>
      <c r="Q159" s="713">
        <f t="shared" si="20"/>
        <v>4.3553820200363465E-4</v>
      </c>
    </row>
    <row r="160" spans="1:17">
      <c r="A160" s="3" t="s">
        <v>1703</v>
      </c>
      <c r="B160" s="3" t="s">
        <v>2476</v>
      </c>
      <c r="C160" s="3" t="s">
        <v>1704</v>
      </c>
      <c r="D160" s="3">
        <v>9772015244.1599998</v>
      </c>
      <c r="E160" s="3">
        <v>3.7266699410609037</v>
      </c>
      <c r="F160" s="3">
        <v>7.47</v>
      </c>
      <c r="G160" s="3">
        <v>119.99039999999999</v>
      </c>
      <c r="H160" s="3">
        <v>81.44</v>
      </c>
      <c r="I160" s="706"/>
      <c r="J160" s="707" t="str">
        <f t="shared" si="21"/>
        <v>Eastman Chemical Co</v>
      </c>
      <c r="K160" s="708" t="str">
        <f t="shared" si="21"/>
        <v>EMN</v>
      </c>
      <c r="L160" s="709">
        <f t="shared" si="15"/>
        <v>9772.0152441600003</v>
      </c>
      <c r="M160" s="710">
        <f t="shared" si="16"/>
        <v>3.7266699410609033E-2</v>
      </c>
      <c r="N160" s="710">
        <f t="shared" si="17"/>
        <v>7.4700000000000003E-2</v>
      </c>
      <c r="O160" s="711">
        <f t="shared" si="18"/>
        <v>0.11335861063359529</v>
      </c>
      <c r="P160" s="712">
        <f t="shared" si="19"/>
        <v>3.0515388783495265E-4</v>
      </c>
      <c r="Q160" s="713">
        <f t="shared" si="20"/>
        <v>3.4591820754410204E-5</v>
      </c>
    </row>
    <row r="161" spans="1:17">
      <c r="A161" s="3" t="s">
        <v>1705</v>
      </c>
      <c r="B161" s="3" t="s">
        <v>2477</v>
      </c>
      <c r="C161" s="3" t="s">
        <v>1706</v>
      </c>
      <c r="D161" s="3">
        <v>55936036170.239998</v>
      </c>
      <c r="E161" s="3">
        <v>2.1913387466166978</v>
      </c>
      <c r="F161" s="3">
        <v>7.5979999999999999</v>
      </c>
      <c r="G161" s="3">
        <v>582.30309999999997</v>
      </c>
      <c r="H161" s="3">
        <v>96.06</v>
      </c>
      <c r="I161" s="706"/>
      <c r="J161" s="707" t="str">
        <f t="shared" si="21"/>
        <v>Emerson Electric Co</v>
      </c>
      <c r="K161" s="708" t="str">
        <f t="shared" si="21"/>
        <v>EMR</v>
      </c>
      <c r="L161" s="709">
        <f t="shared" si="15"/>
        <v>55936.036170239997</v>
      </c>
      <c r="M161" s="710">
        <f t="shared" si="16"/>
        <v>2.1913387466166979E-2</v>
      </c>
      <c r="N161" s="710">
        <f t="shared" si="17"/>
        <v>7.5979999999999992E-2</v>
      </c>
      <c r="O161" s="711">
        <f t="shared" si="18"/>
        <v>9.8725877056006661E-2</v>
      </c>
      <c r="P161" s="712">
        <f t="shared" si="19"/>
        <v>1.7467327343381081E-3</v>
      </c>
      <c r="Q161" s="713">
        <f t="shared" si="20"/>
        <v>1.7244772117996641E-4</v>
      </c>
    </row>
    <row r="162" spans="1:17">
      <c r="A162" s="3" t="s">
        <v>3940</v>
      </c>
      <c r="B162" s="3" t="s">
        <v>3941</v>
      </c>
      <c r="C162" s="3" t="s">
        <v>3942</v>
      </c>
      <c r="D162" s="3">
        <v>36014309637.120003</v>
      </c>
      <c r="E162" s="3">
        <v>0</v>
      </c>
      <c r="F162" s="3">
        <v>53.675000000000004</v>
      </c>
      <c r="G162" s="3">
        <v>135.92359999999999</v>
      </c>
      <c r="H162" s="3">
        <v>264.95999999999998</v>
      </c>
      <c r="I162" s="706"/>
      <c r="J162" s="707" t="str">
        <f t="shared" si="21"/>
        <v>Enphase Energy Inc</v>
      </c>
      <c r="K162" s="708" t="str">
        <f t="shared" si="21"/>
        <v>ENPH</v>
      </c>
      <c r="L162" s="709">
        <f t="shared" si="15"/>
        <v>36014.309637120001</v>
      </c>
      <c r="M162" s="710">
        <f t="shared" si="16"/>
        <v>0</v>
      </c>
      <c r="N162" s="710">
        <f t="shared" si="17"/>
        <v>0.53675000000000006</v>
      </c>
      <c r="O162" s="711">
        <f t="shared" si="18"/>
        <v>0.53675000000000006</v>
      </c>
      <c r="P162" s="712">
        <f t="shared" si="19"/>
        <v>1.1246305218390663E-3</v>
      </c>
      <c r="Q162" s="713">
        <f t="shared" si="20"/>
        <v>6.0364543259711892E-4</v>
      </c>
    </row>
    <row r="163" spans="1:17">
      <c r="A163" s="3" t="s">
        <v>1707</v>
      </c>
      <c r="B163" s="3" t="s">
        <v>2478</v>
      </c>
      <c r="C163" s="3" t="s">
        <v>1708</v>
      </c>
      <c r="D163" s="3">
        <v>76078687521.919998</v>
      </c>
      <c r="E163" s="3">
        <v>4.894224830142063</v>
      </c>
      <c r="F163" s="3">
        <v>11.55</v>
      </c>
      <c r="G163" s="3">
        <v>587.3895</v>
      </c>
      <c r="H163" s="3">
        <v>129.52000000000001</v>
      </c>
      <c r="I163" s="706"/>
      <c r="J163" s="707" t="str">
        <f t="shared" si="21"/>
        <v>EOG Resources Inc</v>
      </c>
      <c r="K163" s="708" t="str">
        <f t="shared" si="21"/>
        <v>EOG</v>
      </c>
      <c r="L163" s="709">
        <f t="shared" si="15"/>
        <v>76078.687521920001</v>
      </c>
      <c r="M163" s="710">
        <f t="shared" si="16"/>
        <v>4.8942248301420632E-2</v>
      </c>
      <c r="N163" s="710">
        <f t="shared" si="17"/>
        <v>0.11550000000000001</v>
      </c>
      <c r="O163" s="711">
        <f t="shared" si="18"/>
        <v>0.16726866314082767</v>
      </c>
      <c r="P163" s="712">
        <f t="shared" si="19"/>
        <v>2.375733837763779E-3</v>
      </c>
      <c r="Q163" s="713">
        <f t="shared" si="20"/>
        <v>3.9738582302117529E-4</v>
      </c>
    </row>
    <row r="164" spans="1:17">
      <c r="A164" s="3" t="s">
        <v>4291</v>
      </c>
      <c r="B164" s="3" t="s">
        <v>4292</v>
      </c>
      <c r="C164" s="3" t="s">
        <v>4293</v>
      </c>
      <c r="D164" s="3">
        <v>18849470557.120003</v>
      </c>
      <c r="E164" s="3">
        <v>0</v>
      </c>
      <c r="F164" s="3">
        <v>17.920000000000002</v>
      </c>
      <c r="G164" s="3">
        <v>57.513489999999997</v>
      </c>
      <c r="H164" s="3">
        <v>327.74</v>
      </c>
      <c r="I164" s="706"/>
      <c r="J164" s="707" t="str">
        <f t="shared" si="21"/>
        <v>EPAM Systems Inc</v>
      </c>
      <c r="K164" s="708" t="str">
        <f t="shared" si="21"/>
        <v>EPAM</v>
      </c>
      <c r="L164" s="709">
        <f t="shared" si="15"/>
        <v>18849.470557120003</v>
      </c>
      <c r="M164" s="710">
        <f t="shared" si="16"/>
        <v>0</v>
      </c>
      <c r="N164" s="710">
        <f t="shared" si="17"/>
        <v>0.17920000000000003</v>
      </c>
      <c r="O164" s="711">
        <f t="shared" si="18"/>
        <v>0.17920000000000003</v>
      </c>
      <c r="P164" s="712">
        <f t="shared" si="19"/>
        <v>5.8861852754202076E-4</v>
      </c>
      <c r="Q164" s="713">
        <f t="shared" si="20"/>
        <v>1.0548044013553014E-4</v>
      </c>
    </row>
    <row r="165" spans="1:17">
      <c r="A165" s="3" t="s">
        <v>1709</v>
      </c>
      <c r="B165" s="3" t="s">
        <v>2479</v>
      </c>
      <c r="C165" s="3" t="s">
        <v>1710</v>
      </c>
      <c r="D165" s="3">
        <v>60615241468.450005</v>
      </c>
      <c r="E165" s="3">
        <v>1.8922797429125384</v>
      </c>
      <c r="F165" s="3">
        <v>10.63</v>
      </c>
      <c r="G165" s="3">
        <v>92.538119999999992</v>
      </c>
      <c r="H165" s="3">
        <v>655.03</v>
      </c>
      <c r="I165" s="706"/>
      <c r="J165" s="707" t="str">
        <f t="shared" si="21"/>
        <v>Equinix Inc</v>
      </c>
      <c r="K165" s="708" t="str">
        <f t="shared" si="21"/>
        <v>EQIX</v>
      </c>
      <c r="L165" s="709">
        <f t="shared" si="15"/>
        <v>60615.241468450004</v>
      </c>
      <c r="M165" s="710">
        <f t="shared" si="16"/>
        <v>1.8922797429125383E-2</v>
      </c>
      <c r="N165" s="710">
        <f t="shared" si="17"/>
        <v>0.10630000000000001</v>
      </c>
      <c r="O165" s="711">
        <f t="shared" si="18"/>
        <v>0.12622854411248341</v>
      </c>
      <c r="P165" s="712">
        <f t="shared" si="19"/>
        <v>1.8928517950487459E-3</v>
      </c>
      <c r="Q165" s="713">
        <f t="shared" si="20"/>
        <v>2.3893192630970402E-4</v>
      </c>
    </row>
    <row r="166" spans="1:17">
      <c r="A166" s="3" t="s">
        <v>1711</v>
      </c>
      <c r="B166" s="3" t="s">
        <v>2480</v>
      </c>
      <c r="C166" s="3" t="s">
        <v>1712</v>
      </c>
      <c r="D166" s="3">
        <v>22297216280</v>
      </c>
      <c r="E166" s="3">
        <v>4.2271186440677972</v>
      </c>
      <c r="F166" s="3">
        <v>17.015000000000001</v>
      </c>
      <c r="G166" s="3">
        <v>377.91890000000001</v>
      </c>
      <c r="H166" s="3">
        <v>59</v>
      </c>
      <c r="I166" s="706"/>
      <c r="J166" s="707" t="str">
        <f t="shared" si="21"/>
        <v>Equity Residential</v>
      </c>
      <c r="K166" s="708" t="str">
        <f t="shared" si="21"/>
        <v>EQR</v>
      </c>
      <c r="L166" s="709">
        <f t="shared" si="15"/>
        <v>22297.216280000001</v>
      </c>
      <c r="M166" s="710">
        <f t="shared" si="16"/>
        <v>4.2271186440677976E-2</v>
      </c>
      <c r="N166" s="710">
        <f t="shared" si="17"/>
        <v>0.17015</v>
      </c>
      <c r="O166" s="711">
        <f t="shared" si="18"/>
        <v>0.21601740762711866</v>
      </c>
      <c r="P166" s="712">
        <f t="shared" si="19"/>
        <v>6.9628240089014291E-4</v>
      </c>
      <c r="Q166" s="713">
        <f t="shared" si="20"/>
        <v>1.5040911921667484E-4</v>
      </c>
    </row>
    <row r="167" spans="1:17">
      <c r="A167" s="3" t="s">
        <v>4294</v>
      </c>
      <c r="B167" s="3" t="s">
        <v>4295</v>
      </c>
      <c r="C167" s="3" t="s">
        <v>4296</v>
      </c>
      <c r="D167" s="3">
        <v>12417166349.149998</v>
      </c>
      <c r="E167" s="3">
        <v>1.6316878510198052</v>
      </c>
      <c r="F167" s="3">
        <v>39.020000000000003</v>
      </c>
      <c r="G167" s="3">
        <v>367.04599999999999</v>
      </c>
      <c r="H167" s="3">
        <v>33.83</v>
      </c>
      <c r="I167" s="706"/>
      <c r="J167" s="707" t="str">
        <f t="shared" si="21"/>
        <v>EQT Corp</v>
      </c>
      <c r="K167" s="708" t="str">
        <f t="shared" si="21"/>
        <v>EQT</v>
      </c>
      <c r="L167" s="709">
        <f t="shared" si="15"/>
        <v>12417.166349149998</v>
      </c>
      <c r="M167" s="710">
        <f t="shared" si="16"/>
        <v>1.631687851019805E-2</v>
      </c>
      <c r="N167" s="710">
        <f t="shared" si="17"/>
        <v>0.39020000000000005</v>
      </c>
      <c r="O167" s="711">
        <f t="shared" si="18"/>
        <v>0.40970030150753772</v>
      </c>
      <c r="P167" s="712">
        <f t="shared" si="19"/>
        <v>3.8775487887219125E-4</v>
      </c>
      <c r="Q167" s="713">
        <f t="shared" si="20"/>
        <v>1.5886329078495552E-4</v>
      </c>
    </row>
    <row r="168" spans="1:17">
      <c r="A168" s="3" t="s">
        <v>1713</v>
      </c>
      <c r="B168" s="3" t="s">
        <v>2481</v>
      </c>
      <c r="C168" s="3" t="s">
        <v>1359</v>
      </c>
      <c r="D168" s="3">
        <v>29202093757.440002</v>
      </c>
      <c r="E168" s="3">
        <v>3.0450858778625949</v>
      </c>
      <c r="F168" s="3">
        <v>6.0600000000000005</v>
      </c>
      <c r="G168" s="3">
        <v>348.30739999999997</v>
      </c>
      <c r="H168" s="3">
        <v>83.84</v>
      </c>
      <c r="I168" s="706"/>
      <c r="J168" s="707" t="str">
        <f t="shared" si="21"/>
        <v>Eversource Energy</v>
      </c>
      <c r="K168" s="708" t="str">
        <f t="shared" si="21"/>
        <v>ES</v>
      </c>
      <c r="L168" s="709">
        <f t="shared" si="15"/>
        <v>29202.093757440001</v>
      </c>
      <c r="M168" s="710">
        <f t="shared" si="16"/>
        <v>3.0450858778625949E-2</v>
      </c>
      <c r="N168" s="710">
        <f t="shared" si="17"/>
        <v>6.0600000000000008E-2</v>
      </c>
      <c r="O168" s="711">
        <f t="shared" si="18"/>
        <v>9.197351979961832E-2</v>
      </c>
      <c r="P168" s="712">
        <f t="shared" si="19"/>
        <v>9.1190324824033946E-4</v>
      </c>
      <c r="Q168" s="713">
        <f t="shared" si="20"/>
        <v>8.3870951457369118E-5</v>
      </c>
    </row>
    <row r="169" spans="1:17">
      <c r="A169" s="3" t="s">
        <v>1714</v>
      </c>
      <c r="B169" s="3" t="s">
        <v>2482</v>
      </c>
      <c r="C169" s="3" t="s">
        <v>1715</v>
      </c>
      <c r="D169" s="3">
        <v>13722627839.039999</v>
      </c>
      <c r="E169" s="3">
        <v>4.1454322385805966</v>
      </c>
      <c r="F169" s="3">
        <v>9.0649999999999995</v>
      </c>
      <c r="G169" s="3">
        <v>64.753810000000001</v>
      </c>
      <c r="H169" s="3">
        <v>211.92</v>
      </c>
      <c r="I169" s="706"/>
      <c r="J169" s="707" t="str">
        <f t="shared" si="21"/>
        <v>Essex Property Trust Inc</v>
      </c>
      <c r="K169" s="708" t="str">
        <f t="shared" si="21"/>
        <v>ESS</v>
      </c>
      <c r="L169" s="709">
        <f t="shared" si="15"/>
        <v>13722.627839039998</v>
      </c>
      <c r="M169" s="710">
        <f t="shared" si="16"/>
        <v>4.1454322385805965E-2</v>
      </c>
      <c r="N169" s="710">
        <f t="shared" si="17"/>
        <v>9.0649999999999994E-2</v>
      </c>
      <c r="O169" s="711">
        <f t="shared" si="18"/>
        <v>0.13398323954794261</v>
      </c>
      <c r="P169" s="712">
        <f t="shared" si="19"/>
        <v>4.2852094800995862E-4</v>
      </c>
      <c r="Q169" s="713">
        <f t="shared" si="20"/>
        <v>5.7414624828529746E-5</v>
      </c>
    </row>
    <row r="170" spans="1:17">
      <c r="A170" s="3" t="s">
        <v>1716</v>
      </c>
      <c r="B170" s="3" t="s">
        <v>2483</v>
      </c>
      <c r="C170" s="3" t="s">
        <v>1717</v>
      </c>
      <c r="D170" s="3">
        <v>62419014999.999992</v>
      </c>
      <c r="E170" s="3">
        <v>2.0547945205479454</v>
      </c>
      <c r="F170" s="3">
        <v>10.85</v>
      </c>
      <c r="G170" s="3">
        <v>397.7</v>
      </c>
      <c r="H170" s="3">
        <v>156.94999999999999</v>
      </c>
      <c r="I170" s="706"/>
      <c r="J170" s="707" t="str">
        <f t="shared" si="21"/>
        <v>Eaton Corp PLC</v>
      </c>
      <c r="K170" s="708" t="str">
        <f t="shared" si="21"/>
        <v>ETN</v>
      </c>
      <c r="L170" s="709">
        <f t="shared" si="15"/>
        <v>62419.014999999992</v>
      </c>
      <c r="M170" s="710">
        <f t="shared" si="16"/>
        <v>2.0547945205479454E-2</v>
      </c>
      <c r="N170" s="710">
        <f t="shared" si="17"/>
        <v>0.1085</v>
      </c>
      <c r="O170" s="711">
        <f t="shared" si="18"/>
        <v>0.13016267123287673</v>
      </c>
      <c r="P170" s="712">
        <f t="shared" si="19"/>
        <v>1.9491788158498247E-3</v>
      </c>
      <c r="Q170" s="713">
        <f t="shared" si="20"/>
        <v>2.5371032138154869E-4</v>
      </c>
    </row>
    <row r="171" spans="1:17">
      <c r="A171" s="3" t="s">
        <v>1718</v>
      </c>
      <c r="B171" s="3" t="s">
        <v>2484</v>
      </c>
      <c r="C171" s="3" t="s">
        <v>212</v>
      </c>
      <c r="D171" s="3">
        <v>22891911750</v>
      </c>
      <c r="E171" s="3">
        <v>3.6364444444444448</v>
      </c>
      <c r="F171" s="3">
        <v>6</v>
      </c>
      <c r="G171" s="3">
        <v>203.4837</v>
      </c>
      <c r="H171" s="3">
        <v>112.5</v>
      </c>
      <c r="I171" s="706"/>
      <c r="J171" s="707" t="str">
        <f t="shared" si="21"/>
        <v>Entergy Corp</v>
      </c>
      <c r="K171" s="708" t="str">
        <f t="shared" si="21"/>
        <v>ETR</v>
      </c>
      <c r="L171" s="709">
        <f t="shared" si="15"/>
        <v>22891.911749999999</v>
      </c>
      <c r="M171" s="710">
        <f t="shared" si="16"/>
        <v>3.6364444444444449E-2</v>
      </c>
      <c r="N171" s="710">
        <f t="shared" si="17"/>
        <v>0.06</v>
      </c>
      <c r="O171" s="711">
        <f t="shared" si="18"/>
        <v>9.7455377777777782E-2</v>
      </c>
      <c r="P171" s="712">
        <f t="shared" si="19"/>
        <v>7.1485314911495627E-4</v>
      </c>
      <c r="Q171" s="713">
        <f t="shared" si="20"/>
        <v>6.9666283702632181E-5</v>
      </c>
    </row>
    <row r="172" spans="1:17">
      <c r="A172" s="3" t="s">
        <v>3914</v>
      </c>
      <c r="B172" s="3" t="s">
        <v>3915</v>
      </c>
      <c r="C172" s="3" t="s">
        <v>3916</v>
      </c>
      <c r="D172" s="3">
        <v>15054946490.480001</v>
      </c>
      <c r="E172" s="3">
        <v>0</v>
      </c>
      <c r="F172" s="3">
        <v>14.31</v>
      </c>
      <c r="G172" s="3">
        <v>125.6883</v>
      </c>
      <c r="H172" s="3">
        <v>119.78</v>
      </c>
      <c r="I172" s="706"/>
      <c r="J172" s="707" t="str">
        <f t="shared" si="21"/>
        <v>Etsy Inc</v>
      </c>
      <c r="K172" s="708" t="str">
        <f t="shared" si="21"/>
        <v>ETSY</v>
      </c>
      <c r="L172" s="709">
        <f t="shared" si="15"/>
        <v>15054.946490480001</v>
      </c>
      <c r="M172" s="710">
        <f t="shared" si="16"/>
        <v>0</v>
      </c>
      <c r="N172" s="710">
        <f t="shared" si="17"/>
        <v>0.1431</v>
      </c>
      <c r="O172" s="711">
        <f t="shared" si="18"/>
        <v>0.1431</v>
      </c>
      <c r="P172" s="712">
        <f t="shared" si="19"/>
        <v>4.7012569443776527E-4</v>
      </c>
      <c r="Q172" s="713">
        <f t="shared" si="20"/>
        <v>6.7274986874044215E-5</v>
      </c>
    </row>
    <row r="173" spans="1:17">
      <c r="A173" s="3" t="s">
        <v>4545</v>
      </c>
      <c r="B173" s="3" t="s">
        <v>2486</v>
      </c>
      <c r="C173" s="3" t="s">
        <v>2334</v>
      </c>
      <c r="D173" s="3">
        <v>14441067908.679998</v>
      </c>
      <c r="E173" s="3">
        <v>3.6945812807881779</v>
      </c>
      <c r="F173" s="3">
        <v>5.12</v>
      </c>
      <c r="G173" s="3">
        <v>229.47829999999999</v>
      </c>
      <c r="H173" s="3">
        <v>62.93</v>
      </c>
      <c r="I173" s="706"/>
      <c r="J173" s="707" t="str">
        <f t="shared" si="21"/>
        <v>Evergy Inc</v>
      </c>
      <c r="K173" s="708" t="str">
        <f t="shared" si="21"/>
        <v>EVRG</v>
      </c>
      <c r="L173" s="709">
        <f t="shared" si="15"/>
        <v>14441.067908679999</v>
      </c>
      <c r="M173" s="710">
        <f t="shared" si="16"/>
        <v>3.6945812807881777E-2</v>
      </c>
      <c r="N173" s="710">
        <f t="shared" si="17"/>
        <v>5.1200000000000002E-2</v>
      </c>
      <c r="O173" s="711">
        <f t="shared" si="18"/>
        <v>8.9091625615763559E-2</v>
      </c>
      <c r="P173" s="712">
        <f t="shared" si="19"/>
        <v>4.5095590896216146E-4</v>
      </c>
      <c r="Q173" s="713">
        <f t="shared" si="20"/>
        <v>4.0176395010473241E-5</v>
      </c>
    </row>
    <row r="174" spans="1:17">
      <c r="A174" s="3" t="s">
        <v>1719</v>
      </c>
      <c r="B174" s="3" t="s">
        <v>2487</v>
      </c>
      <c r="C174" s="3" t="s">
        <v>1720</v>
      </c>
      <c r="D174" s="3">
        <v>46128415830.389999</v>
      </c>
      <c r="E174" s="3">
        <v>0</v>
      </c>
      <c r="F174" s="3">
        <v>12.030000000000001</v>
      </c>
      <c r="G174" s="3">
        <v>618.26049999999998</v>
      </c>
      <c r="H174" s="3">
        <v>74.61</v>
      </c>
      <c r="I174" s="706"/>
      <c r="J174" s="707" t="str">
        <f t="shared" si="21"/>
        <v>Edwards Lifesciences Corp</v>
      </c>
      <c r="K174" s="708" t="str">
        <f t="shared" si="21"/>
        <v>EW</v>
      </c>
      <c r="L174" s="709">
        <f t="shared" si="15"/>
        <v>46128.415830389997</v>
      </c>
      <c r="M174" s="710">
        <f t="shared" si="16"/>
        <v>0</v>
      </c>
      <c r="N174" s="710">
        <f t="shared" si="17"/>
        <v>0.12030000000000002</v>
      </c>
      <c r="O174" s="711">
        <f t="shared" si="18"/>
        <v>0.12030000000000002</v>
      </c>
      <c r="P174" s="712">
        <f t="shared" si="19"/>
        <v>1.4404669946378984E-3</v>
      </c>
      <c r="Q174" s="713">
        <f t="shared" si="20"/>
        <v>1.732881794549392E-4</v>
      </c>
    </row>
    <row r="175" spans="1:17">
      <c r="A175" s="3" t="s">
        <v>2901</v>
      </c>
      <c r="B175" s="3" t="s">
        <v>2488</v>
      </c>
      <c r="C175" s="3" t="s">
        <v>213</v>
      </c>
      <c r="D175" s="3">
        <v>42873656406.899994</v>
      </c>
      <c r="E175" s="3">
        <v>3.2338653712699519</v>
      </c>
      <c r="F175" s="3" t="s">
        <v>1483</v>
      </c>
      <c r="G175" s="3">
        <v>991.75699999999995</v>
      </c>
      <c r="H175" s="3">
        <v>43.23</v>
      </c>
      <c r="I175" s="706"/>
      <c r="J175" s="707" t="str">
        <f t="shared" si="21"/>
        <v>Exelon Corp</v>
      </c>
      <c r="K175" s="708" t="str">
        <f t="shared" si="21"/>
        <v>EXC</v>
      </c>
      <c r="L175" s="709">
        <f t="shared" si="15"/>
        <v>42873.656406899994</v>
      </c>
      <c r="M175" s="710">
        <f t="shared" si="16"/>
        <v>3.2338653712699519E-2</v>
      </c>
      <c r="N175" s="710" t="str">
        <f t="shared" si="17"/>
        <v>N/A</v>
      </c>
      <c r="O175" s="711" t="str">
        <f t="shared" si="18"/>
        <v>N/A</v>
      </c>
      <c r="P175" s="712" t="str">
        <f t="shared" si="19"/>
        <v>N/A</v>
      </c>
      <c r="Q175" s="713" t="str">
        <f t="shared" si="20"/>
        <v>N/A</v>
      </c>
    </row>
    <row r="176" spans="1:17">
      <c r="A176" s="3" t="s">
        <v>1721</v>
      </c>
      <c r="B176" s="3" t="s">
        <v>4297</v>
      </c>
      <c r="C176" s="3" t="s">
        <v>1722</v>
      </c>
      <c r="D176" s="3">
        <v>16537453025.279999</v>
      </c>
      <c r="E176" s="3">
        <v>1.2779060816012318</v>
      </c>
      <c r="F176" s="3">
        <v>4.3</v>
      </c>
      <c r="G176" s="3">
        <v>159.13639999999998</v>
      </c>
      <c r="H176" s="3">
        <v>103.92</v>
      </c>
      <c r="I176" s="706"/>
      <c r="J176" s="707" t="str">
        <f t="shared" si="21"/>
        <v>Expeditors International of Washington Inc</v>
      </c>
      <c r="K176" s="708" t="str">
        <f t="shared" si="21"/>
        <v>EXPD</v>
      </c>
      <c r="L176" s="709">
        <f t="shared" si="15"/>
        <v>16537.45302528</v>
      </c>
      <c r="M176" s="710">
        <f t="shared" si="16"/>
        <v>1.2779060816012317E-2</v>
      </c>
      <c r="N176" s="710">
        <f t="shared" si="17"/>
        <v>4.2999999999999997E-2</v>
      </c>
      <c r="O176" s="711">
        <f t="shared" si="18"/>
        <v>5.6053810623556577E-2</v>
      </c>
      <c r="P176" s="712">
        <f t="shared" si="19"/>
        <v>5.1642040658583571E-4</v>
      </c>
      <c r="Q176" s="713">
        <f t="shared" si="20"/>
        <v>2.8947331672902524E-5</v>
      </c>
    </row>
    <row r="177" spans="1:17">
      <c r="A177" s="3" t="s">
        <v>1723</v>
      </c>
      <c r="B177" s="3" t="s">
        <v>2489</v>
      </c>
      <c r="C177" s="3" t="s">
        <v>1724</v>
      </c>
      <c r="D177" s="3">
        <v>13673560737.599998</v>
      </c>
      <c r="E177" s="3">
        <v>3.5388127853881284E-2</v>
      </c>
      <c r="F177" s="3">
        <v>10</v>
      </c>
      <c r="G177" s="3">
        <v>150.56739999999999</v>
      </c>
      <c r="H177" s="3">
        <v>87.6</v>
      </c>
      <c r="I177" s="706"/>
      <c r="J177" s="707" t="str">
        <f t="shared" si="21"/>
        <v>Expedia Group Inc</v>
      </c>
      <c r="K177" s="708" t="str">
        <f t="shared" si="21"/>
        <v>EXPE</v>
      </c>
      <c r="L177" s="709">
        <f t="shared" si="15"/>
        <v>13673.560737599999</v>
      </c>
      <c r="M177" s="710">
        <f t="shared" si="16"/>
        <v>3.5388127853881285E-4</v>
      </c>
      <c r="N177" s="710">
        <f t="shared" si="17"/>
        <v>0.1</v>
      </c>
      <c r="O177" s="711">
        <f t="shared" si="18"/>
        <v>0.10037157534246575</v>
      </c>
      <c r="P177" s="712">
        <f t="shared" si="19"/>
        <v>4.269887137271523E-4</v>
      </c>
      <c r="Q177" s="713">
        <f t="shared" si="20"/>
        <v>4.285752985024741E-5</v>
      </c>
    </row>
    <row r="178" spans="1:17">
      <c r="A178" s="3" t="s">
        <v>1725</v>
      </c>
      <c r="B178" s="3" t="s">
        <v>2490</v>
      </c>
      <c r="C178" s="3" t="s">
        <v>1726</v>
      </c>
      <c r="D178" s="3">
        <v>19710570491.040001</v>
      </c>
      <c r="E178" s="3">
        <v>4.0433482810164421</v>
      </c>
      <c r="F178" s="3">
        <v>7.085</v>
      </c>
      <c r="G178" s="3">
        <v>133.92149999999998</v>
      </c>
      <c r="H178" s="3">
        <v>147.18</v>
      </c>
      <c r="I178" s="706"/>
      <c r="J178" s="707" t="str">
        <f t="shared" si="21"/>
        <v>Extra Space Storage Inc</v>
      </c>
      <c r="K178" s="708" t="str">
        <f t="shared" si="21"/>
        <v>EXR</v>
      </c>
      <c r="L178" s="709">
        <f t="shared" si="15"/>
        <v>19710.570491040002</v>
      </c>
      <c r="M178" s="710">
        <f t="shared" si="16"/>
        <v>4.0433482810164421E-2</v>
      </c>
      <c r="N178" s="710">
        <f t="shared" si="17"/>
        <v>7.0849999999999996E-2</v>
      </c>
      <c r="O178" s="711">
        <f t="shared" si="18"/>
        <v>0.11271583893871449</v>
      </c>
      <c r="P178" s="712">
        <f t="shared" si="19"/>
        <v>6.1550837432230955E-4</v>
      </c>
      <c r="Q178" s="713">
        <f t="shared" si="20"/>
        <v>6.9377542785543437E-5</v>
      </c>
    </row>
    <row r="179" spans="1:17">
      <c r="A179" s="3" t="s">
        <v>1727</v>
      </c>
      <c r="B179" s="3" t="s">
        <v>2491</v>
      </c>
      <c r="C179" s="3" t="s">
        <v>1728</v>
      </c>
      <c r="D179" s="3">
        <v>46758346371.370003</v>
      </c>
      <c r="E179" s="3">
        <v>4.2390369733447972</v>
      </c>
      <c r="F179" s="3">
        <v>16.25</v>
      </c>
      <c r="G179" s="3">
        <v>3949.6419999999998</v>
      </c>
      <c r="H179" s="3">
        <v>11.63</v>
      </c>
      <c r="I179" s="706"/>
      <c r="J179" s="707" t="str">
        <f t="shared" si="21"/>
        <v>Ford Motor Co</v>
      </c>
      <c r="K179" s="708" t="str">
        <f t="shared" si="21"/>
        <v>F</v>
      </c>
      <c r="L179" s="709">
        <f t="shared" si="15"/>
        <v>46758.346371370004</v>
      </c>
      <c r="M179" s="710">
        <f t="shared" si="16"/>
        <v>4.2390369733447973E-2</v>
      </c>
      <c r="N179" s="710">
        <f t="shared" si="17"/>
        <v>0.16250000000000001</v>
      </c>
      <c r="O179" s="711">
        <f t="shared" si="18"/>
        <v>0.20833458727429063</v>
      </c>
      <c r="P179" s="712">
        <f t="shared" si="19"/>
        <v>1.4601380398463985E-3</v>
      </c>
      <c r="Q179" s="713">
        <f t="shared" si="20"/>
        <v>3.0419725589489113E-4</v>
      </c>
    </row>
    <row r="180" spans="1:17">
      <c r="A180" s="3" t="s">
        <v>2492</v>
      </c>
      <c r="B180" s="3" t="s">
        <v>2493</v>
      </c>
      <c r="C180" s="3" t="s">
        <v>2494</v>
      </c>
      <c r="D180" s="3">
        <v>24874616162.060001</v>
      </c>
      <c r="E180" s="3">
        <v>3.9084661500219333</v>
      </c>
      <c r="F180" s="3">
        <v>7.92</v>
      </c>
      <c r="G180" s="3">
        <v>181.8586</v>
      </c>
      <c r="H180" s="3">
        <v>136.78</v>
      </c>
      <c r="I180" s="706"/>
      <c r="J180" s="707" t="str">
        <f t="shared" si="21"/>
        <v>Diamondback Energy Inc</v>
      </c>
      <c r="K180" s="708" t="str">
        <f t="shared" si="21"/>
        <v>FANG</v>
      </c>
      <c r="L180" s="709">
        <f t="shared" si="15"/>
        <v>24874.61616206</v>
      </c>
      <c r="M180" s="710">
        <f t="shared" si="16"/>
        <v>3.9084661500219331E-2</v>
      </c>
      <c r="N180" s="710">
        <f t="shared" si="17"/>
        <v>7.9199999999999993E-2</v>
      </c>
      <c r="O180" s="711">
        <f t="shared" si="18"/>
        <v>0.119832414095628</v>
      </c>
      <c r="P180" s="712">
        <f t="shared" si="19"/>
        <v>7.7676770252595347E-4</v>
      </c>
      <c r="Q180" s="713">
        <f t="shared" si="20"/>
        <v>9.3081948985199652E-5</v>
      </c>
    </row>
    <row r="181" spans="1:17">
      <c r="A181" s="3" t="s">
        <v>1729</v>
      </c>
      <c r="B181" s="3" t="s">
        <v>2495</v>
      </c>
      <c r="C181" s="3" t="s">
        <v>1730</v>
      </c>
      <c r="D181" s="3">
        <v>27102997521.599998</v>
      </c>
      <c r="E181" s="3">
        <v>2.6373626373626373</v>
      </c>
      <c r="F181" s="3" t="s">
        <v>1483</v>
      </c>
      <c r="G181" s="3">
        <v>572.75990000000002</v>
      </c>
      <c r="H181" s="3">
        <v>47.32</v>
      </c>
      <c r="I181" s="706"/>
      <c r="J181" s="707" t="str">
        <f t="shared" si="21"/>
        <v>Fastenal Co</v>
      </c>
      <c r="K181" s="708" t="str">
        <f t="shared" si="21"/>
        <v>FAST</v>
      </c>
      <c r="L181" s="709">
        <f t="shared" si="15"/>
        <v>27102.997521599998</v>
      </c>
      <c r="M181" s="710">
        <f t="shared" si="16"/>
        <v>2.6373626373626374E-2</v>
      </c>
      <c r="N181" s="710" t="str">
        <f t="shared" si="17"/>
        <v>N/A</v>
      </c>
      <c r="O181" s="711" t="str">
        <f t="shared" si="18"/>
        <v>N/A</v>
      </c>
      <c r="P181" s="712" t="str">
        <f t="shared" si="19"/>
        <v>N/A</v>
      </c>
      <c r="Q181" s="713" t="str">
        <f t="shared" si="20"/>
        <v>N/A</v>
      </c>
    </row>
    <row r="182" spans="1:17">
      <c r="A182" s="3" t="s">
        <v>1731</v>
      </c>
      <c r="B182" s="3" t="s">
        <v>2496</v>
      </c>
      <c r="C182" s="3" t="s">
        <v>1732</v>
      </c>
      <c r="D182" s="3">
        <v>54314433258.000008</v>
      </c>
      <c r="E182" s="3">
        <v>1.5789473684210527</v>
      </c>
      <c r="F182" s="3">
        <v>-12.83</v>
      </c>
      <c r="G182" s="3">
        <v>1429.327</v>
      </c>
      <c r="H182" s="3">
        <v>38</v>
      </c>
      <c r="I182" s="706"/>
      <c r="J182" s="707" t="str">
        <f t="shared" si="21"/>
        <v>Freeport-McMoRan Inc</v>
      </c>
      <c r="K182" s="708" t="str">
        <f t="shared" si="21"/>
        <v>FCX</v>
      </c>
      <c r="L182" s="709">
        <f t="shared" si="15"/>
        <v>54314.433258000005</v>
      </c>
      <c r="M182" s="710">
        <f t="shared" si="16"/>
        <v>1.5789473684210527E-2</v>
      </c>
      <c r="N182" s="710">
        <f t="shared" si="17"/>
        <v>-0.1283</v>
      </c>
      <c r="O182" s="711">
        <f t="shared" si="18"/>
        <v>-0.11352342105263158</v>
      </c>
      <c r="P182" s="712">
        <f t="shared" si="19"/>
        <v>1.6960944145206843E-3</v>
      </c>
      <c r="Q182" s="713">
        <f t="shared" si="20"/>
        <v>-1.9254644036464827E-4</v>
      </c>
    </row>
    <row r="183" spans="1:17">
      <c r="A183" s="3" t="s">
        <v>4298</v>
      </c>
      <c r="B183" s="3" t="s">
        <v>4299</v>
      </c>
      <c r="C183" s="3" t="s">
        <v>4156</v>
      </c>
      <c r="D183" s="3">
        <v>15285386043.779999</v>
      </c>
      <c r="E183" s="3">
        <v>0.90850178210911992</v>
      </c>
      <c r="F183" s="3">
        <v>10</v>
      </c>
      <c r="G183" s="3">
        <v>38.098219999999998</v>
      </c>
      <c r="H183" s="3">
        <v>401.21</v>
      </c>
      <c r="I183" s="706"/>
      <c r="J183" s="707" t="str">
        <f t="shared" si="21"/>
        <v>FactSet Research Systems Inc</v>
      </c>
      <c r="K183" s="708" t="str">
        <f t="shared" si="21"/>
        <v>FDS</v>
      </c>
      <c r="L183" s="709">
        <f t="shared" si="15"/>
        <v>15285.386043779999</v>
      </c>
      <c r="M183" s="710">
        <f t="shared" si="16"/>
        <v>9.0850178210911993E-3</v>
      </c>
      <c r="N183" s="710">
        <f t="shared" si="17"/>
        <v>0.1</v>
      </c>
      <c r="O183" s="711">
        <f t="shared" si="18"/>
        <v>0.10953926871214577</v>
      </c>
      <c r="P183" s="712">
        <f t="shared" si="19"/>
        <v>4.7732170507052286E-4</v>
      </c>
      <c r="Q183" s="713">
        <f t="shared" si="20"/>
        <v>5.2285470513859596E-5</v>
      </c>
    </row>
    <row r="184" spans="1:17">
      <c r="A184" s="3" t="s">
        <v>1733</v>
      </c>
      <c r="B184" s="3" t="s">
        <v>2497</v>
      </c>
      <c r="C184" s="3" t="s">
        <v>1734</v>
      </c>
      <c r="D184" s="3">
        <v>43715184647.999992</v>
      </c>
      <c r="E184" s="3">
        <v>2.6558891454965363</v>
      </c>
      <c r="F184" s="3">
        <v>6.3330000000000002</v>
      </c>
      <c r="G184" s="3">
        <v>252.39709999999999</v>
      </c>
      <c r="H184" s="3">
        <v>173.2</v>
      </c>
      <c r="I184" s="706"/>
      <c r="J184" s="707" t="str">
        <f t="shared" si="21"/>
        <v>FedEx Corp</v>
      </c>
      <c r="K184" s="708" t="str">
        <f t="shared" si="21"/>
        <v>FDX</v>
      </c>
      <c r="L184" s="709">
        <f t="shared" si="15"/>
        <v>43715.184647999995</v>
      </c>
      <c r="M184" s="710">
        <f t="shared" si="16"/>
        <v>2.6558891454965362E-2</v>
      </c>
      <c r="N184" s="710">
        <f t="shared" si="17"/>
        <v>6.3329999999999997E-2</v>
      </c>
      <c r="O184" s="711">
        <f t="shared" si="18"/>
        <v>9.0729878752886836E-2</v>
      </c>
      <c r="P184" s="712">
        <f t="shared" si="19"/>
        <v>1.3651082422054413E-3</v>
      </c>
      <c r="Q184" s="713">
        <f t="shared" si="20"/>
        <v>1.2385610529986617E-4</v>
      </c>
    </row>
    <row r="185" spans="1:17">
      <c r="A185" s="3" t="s">
        <v>1735</v>
      </c>
      <c r="B185" s="3" t="s">
        <v>2498</v>
      </c>
      <c r="C185" s="3" t="s">
        <v>200</v>
      </c>
      <c r="D185" s="3">
        <v>23979328998.299999</v>
      </c>
      <c r="E185" s="3">
        <v>3.7315212207916071</v>
      </c>
      <c r="F185" s="3">
        <v>6</v>
      </c>
      <c r="G185" s="3">
        <v>571.75319999999999</v>
      </c>
      <c r="H185" s="3">
        <v>41.94</v>
      </c>
      <c r="I185" s="706"/>
      <c r="J185" s="707" t="str">
        <f t="shared" si="21"/>
        <v>FirstEnergy Corp</v>
      </c>
      <c r="K185" s="708" t="str">
        <f t="shared" si="21"/>
        <v>FE</v>
      </c>
      <c r="L185" s="709">
        <f t="shared" si="15"/>
        <v>23979.3289983</v>
      </c>
      <c r="M185" s="710">
        <f t="shared" si="16"/>
        <v>3.7315212207916074E-2</v>
      </c>
      <c r="N185" s="710">
        <f t="shared" si="17"/>
        <v>0.06</v>
      </c>
      <c r="O185" s="711">
        <f t="shared" si="18"/>
        <v>9.8434668574153561E-2</v>
      </c>
      <c r="P185" s="712">
        <f t="shared" si="19"/>
        <v>7.4881028003693693E-4</v>
      </c>
      <c r="Q185" s="713">
        <f t="shared" si="20"/>
        <v>7.3708891740354999E-5</v>
      </c>
    </row>
    <row r="186" spans="1:17">
      <c r="A186" s="3" t="s">
        <v>1736</v>
      </c>
      <c r="B186" s="3" t="s">
        <v>4094</v>
      </c>
      <c r="C186" s="3" t="s">
        <v>1737</v>
      </c>
      <c r="D186" s="3">
        <v>8663499221.0999985</v>
      </c>
      <c r="E186" s="3">
        <v>0</v>
      </c>
      <c r="F186" s="3">
        <v>6.8900000000000006</v>
      </c>
      <c r="G186" s="3">
        <v>60.368609999999997</v>
      </c>
      <c r="H186" s="3">
        <v>143.51</v>
      </c>
      <c r="I186" s="706"/>
      <c r="J186" s="707" t="str">
        <f t="shared" si="21"/>
        <v>F5 Inc</v>
      </c>
      <c r="K186" s="708" t="str">
        <f t="shared" si="21"/>
        <v>FFIV</v>
      </c>
      <c r="L186" s="709">
        <f t="shared" si="15"/>
        <v>8663.499221099999</v>
      </c>
      <c r="M186" s="710">
        <f t="shared" si="16"/>
        <v>0</v>
      </c>
      <c r="N186" s="710">
        <f t="shared" si="17"/>
        <v>6.8900000000000003E-2</v>
      </c>
      <c r="O186" s="711">
        <f t="shared" si="18"/>
        <v>6.8900000000000003E-2</v>
      </c>
      <c r="P186" s="712">
        <f t="shared" si="19"/>
        <v>2.7053789863392715E-4</v>
      </c>
      <c r="Q186" s="713">
        <f t="shared" si="20"/>
        <v>1.864006121587758E-5</v>
      </c>
    </row>
    <row r="187" spans="1:17">
      <c r="A187" s="3" t="s">
        <v>1738</v>
      </c>
      <c r="B187" s="3" t="s">
        <v>4300</v>
      </c>
      <c r="C187" s="3" t="s">
        <v>1739</v>
      </c>
      <c r="D187" s="3">
        <v>40260796089.599998</v>
      </c>
      <c r="E187" s="3">
        <v>2.6897568165070012</v>
      </c>
      <c r="F187" s="3">
        <v>5.99</v>
      </c>
      <c r="G187" s="3">
        <v>593.37950000000001</v>
      </c>
      <c r="H187" s="3">
        <v>67.849999999999994</v>
      </c>
      <c r="I187" s="706"/>
      <c r="J187" s="707" t="str">
        <f t="shared" si="21"/>
        <v>Fidelity National Information Services Inc</v>
      </c>
      <c r="K187" s="708" t="str">
        <f t="shared" si="21"/>
        <v>FIS</v>
      </c>
      <c r="L187" s="709">
        <f t="shared" si="15"/>
        <v>40260.7960896</v>
      </c>
      <c r="M187" s="710">
        <f t="shared" si="16"/>
        <v>2.689756816507001E-2</v>
      </c>
      <c r="N187" s="710">
        <f t="shared" si="17"/>
        <v>5.9900000000000002E-2</v>
      </c>
      <c r="O187" s="711">
        <f t="shared" si="18"/>
        <v>8.7603150331613852E-2</v>
      </c>
      <c r="P187" s="712">
        <f t="shared" si="19"/>
        <v>1.2572369308791206E-3</v>
      </c>
      <c r="Q187" s="713">
        <f t="shared" si="20"/>
        <v>1.1013791585826043E-4</v>
      </c>
    </row>
    <row r="188" spans="1:17">
      <c r="A188" s="3" t="s">
        <v>1740</v>
      </c>
      <c r="B188" s="3" t="s">
        <v>2499</v>
      </c>
      <c r="C188" s="3" t="s">
        <v>1741</v>
      </c>
      <c r="D188" s="3">
        <v>64182287641.32</v>
      </c>
      <c r="E188" s="3">
        <v>0</v>
      </c>
      <c r="F188" s="3">
        <v>10.85</v>
      </c>
      <c r="G188" s="3">
        <v>635.02809999999999</v>
      </c>
      <c r="H188" s="3">
        <v>101.07</v>
      </c>
      <c r="I188" s="706"/>
      <c r="J188" s="707" t="str">
        <f t="shared" si="21"/>
        <v>Fiserv Inc</v>
      </c>
      <c r="K188" s="708" t="str">
        <f t="shared" si="21"/>
        <v>FISV</v>
      </c>
      <c r="L188" s="709">
        <f t="shared" si="15"/>
        <v>64182.287641319999</v>
      </c>
      <c r="M188" s="710">
        <f t="shared" si="16"/>
        <v>0</v>
      </c>
      <c r="N188" s="710">
        <f t="shared" si="17"/>
        <v>0.1085</v>
      </c>
      <c r="O188" s="711">
        <f t="shared" si="18"/>
        <v>0.1085</v>
      </c>
      <c r="P188" s="712">
        <f t="shared" si="19"/>
        <v>2.0042411022224713E-3</v>
      </c>
      <c r="Q188" s="713">
        <f t="shared" si="20"/>
        <v>2.1746015959113812E-4</v>
      </c>
    </row>
    <row r="189" spans="1:17">
      <c r="A189" s="3" t="s">
        <v>1742</v>
      </c>
      <c r="B189" s="3" t="s">
        <v>2500</v>
      </c>
      <c r="C189" s="3" t="s">
        <v>1743</v>
      </c>
      <c r="D189" s="3">
        <v>22520658206.459999</v>
      </c>
      <c r="E189" s="3">
        <v>3.8402925937214261</v>
      </c>
      <c r="F189" s="3">
        <v>25</v>
      </c>
      <c r="G189" s="3">
        <v>686.39620000000002</v>
      </c>
      <c r="H189" s="3">
        <v>32.81</v>
      </c>
      <c r="I189" s="706"/>
      <c r="J189" s="707" t="str">
        <f t="shared" si="21"/>
        <v>Fifth Third Bancorp</v>
      </c>
      <c r="K189" s="708" t="str">
        <f t="shared" si="21"/>
        <v>FITB</v>
      </c>
      <c r="L189" s="709">
        <f t="shared" si="15"/>
        <v>22520.658206460001</v>
      </c>
      <c r="M189" s="710">
        <f t="shared" si="16"/>
        <v>3.8402925937214262E-2</v>
      </c>
      <c r="N189" s="710">
        <f t="shared" si="17"/>
        <v>0.25</v>
      </c>
      <c r="O189" s="711">
        <f t="shared" si="18"/>
        <v>0.29320329167936604</v>
      </c>
      <c r="P189" s="712">
        <f t="shared" si="19"/>
        <v>7.0325989436113899E-4</v>
      </c>
      <c r="Q189" s="713">
        <f t="shared" si="20"/>
        <v>2.0619811593276918E-4</v>
      </c>
    </row>
    <row r="190" spans="1:17">
      <c r="A190" s="3" t="s">
        <v>2501</v>
      </c>
      <c r="B190" s="3" t="s">
        <v>2502</v>
      </c>
      <c r="C190" s="3" t="s">
        <v>2503</v>
      </c>
      <c r="D190" s="3">
        <v>13546833852.160002</v>
      </c>
      <c r="E190" s="3">
        <v>0</v>
      </c>
      <c r="F190" s="3">
        <v>15.645</v>
      </c>
      <c r="G190" s="3">
        <v>73.752359999999996</v>
      </c>
      <c r="H190" s="3">
        <v>183.68</v>
      </c>
      <c r="I190" s="706"/>
      <c r="J190" s="707" t="str">
        <f t="shared" si="21"/>
        <v>FleetCor Technologies Inc</v>
      </c>
      <c r="K190" s="708" t="str">
        <f t="shared" si="21"/>
        <v>FLT</v>
      </c>
      <c r="L190" s="709">
        <f t="shared" si="15"/>
        <v>13546.833852160002</v>
      </c>
      <c r="M190" s="710">
        <f t="shared" si="16"/>
        <v>0</v>
      </c>
      <c r="N190" s="710">
        <f t="shared" si="17"/>
        <v>0.15645000000000001</v>
      </c>
      <c r="O190" s="711">
        <f t="shared" si="18"/>
        <v>0.15645000000000001</v>
      </c>
      <c r="P190" s="712">
        <f t="shared" si="19"/>
        <v>4.2303137219431539E-4</v>
      </c>
      <c r="Q190" s="713">
        <f t="shared" si="20"/>
        <v>6.6183258179800645E-5</v>
      </c>
    </row>
    <row r="191" spans="1:17">
      <c r="A191" s="3" t="s">
        <v>1744</v>
      </c>
      <c r="B191" s="3" t="s">
        <v>2504</v>
      </c>
      <c r="C191" s="3" t="s">
        <v>1745</v>
      </c>
      <c r="D191" s="3">
        <v>15720547190.4</v>
      </c>
      <c r="E191" s="3">
        <v>1.6858974358974359</v>
      </c>
      <c r="F191" s="3">
        <v>9.1330000000000009</v>
      </c>
      <c r="G191" s="3">
        <v>125.96589999999999</v>
      </c>
      <c r="H191" s="3">
        <v>124.8</v>
      </c>
      <c r="I191" s="706"/>
      <c r="J191" s="707" t="str">
        <f t="shared" si="21"/>
        <v>FMC Corp</v>
      </c>
      <c r="K191" s="708" t="str">
        <f t="shared" si="21"/>
        <v>FMC</v>
      </c>
      <c r="L191" s="709">
        <f t="shared" si="15"/>
        <v>15720.547190399999</v>
      </c>
      <c r="M191" s="710">
        <f t="shared" si="16"/>
        <v>1.6858974358974359E-2</v>
      </c>
      <c r="N191" s="710">
        <f t="shared" si="17"/>
        <v>9.1330000000000008E-2</v>
      </c>
      <c r="O191" s="711">
        <f t="shared" si="18"/>
        <v>0.10895883942307694</v>
      </c>
      <c r="P191" s="712">
        <f t="shared" si="19"/>
        <v>4.9091062326272149E-4</v>
      </c>
      <c r="Q191" s="713">
        <f t="shared" si="20"/>
        <v>5.3489051771165489E-5</v>
      </c>
    </row>
    <row r="192" spans="1:17">
      <c r="A192" s="3" t="s">
        <v>3987</v>
      </c>
      <c r="B192" s="3" t="s">
        <v>2505</v>
      </c>
      <c r="C192" s="3" t="s">
        <v>3988</v>
      </c>
      <c r="D192" s="3">
        <v>16020383676.380003</v>
      </c>
      <c r="E192" s="3">
        <v>1.685874217978268</v>
      </c>
      <c r="F192" s="3">
        <v>12.290000000000001</v>
      </c>
      <c r="G192" s="3">
        <v>302.47460000000001</v>
      </c>
      <c r="H192" s="3">
        <v>30.37</v>
      </c>
      <c r="I192" s="706"/>
      <c r="J192" s="707" t="str">
        <f t="shared" si="21"/>
        <v>Fox Corp</v>
      </c>
      <c r="K192" s="708" t="str">
        <f t="shared" si="21"/>
        <v>FOXA</v>
      </c>
      <c r="L192" s="709">
        <f t="shared" si="15"/>
        <v>16020.383676380003</v>
      </c>
      <c r="M192" s="710">
        <f t="shared" si="16"/>
        <v>1.6858742179782681E-2</v>
      </c>
      <c r="N192" s="710">
        <f t="shared" si="17"/>
        <v>0.12290000000000001</v>
      </c>
      <c r="O192" s="711">
        <f t="shared" si="18"/>
        <v>0.14079471188673034</v>
      </c>
      <c r="P192" s="712">
        <f t="shared" si="19"/>
        <v>5.0027371440876215E-4</v>
      </c>
      <c r="Q192" s="713">
        <f t="shared" si="20"/>
        <v>7.0435893484686085E-5</v>
      </c>
    </row>
    <row r="193" spans="1:17">
      <c r="A193" s="3" t="s">
        <v>2506</v>
      </c>
      <c r="B193" s="3" t="s">
        <v>2507</v>
      </c>
      <c r="C193" s="3" t="s">
        <v>2508</v>
      </c>
      <c r="D193" s="3">
        <v>22296773714.970001</v>
      </c>
      <c r="E193" s="3">
        <v>0.84912626138321423</v>
      </c>
      <c r="F193" s="3">
        <v>4.3049999999999997</v>
      </c>
      <c r="G193" s="3">
        <v>182.9254</v>
      </c>
      <c r="H193" s="3">
        <v>121.89</v>
      </c>
      <c r="I193" s="706"/>
      <c r="J193" s="707" t="str">
        <f t="shared" si="21"/>
        <v>First Republic Bank/CA</v>
      </c>
      <c r="K193" s="708" t="str">
        <f t="shared" si="21"/>
        <v>FRC</v>
      </c>
      <c r="L193" s="709">
        <f t="shared" si="15"/>
        <v>22296.773714970001</v>
      </c>
      <c r="M193" s="710">
        <f t="shared" si="16"/>
        <v>8.4912626138321425E-3</v>
      </c>
      <c r="N193" s="710">
        <f t="shared" si="17"/>
        <v>4.3049999999999998E-2</v>
      </c>
      <c r="O193" s="711">
        <f t="shared" si="18"/>
        <v>5.1724037041594881E-2</v>
      </c>
      <c r="P193" s="712">
        <f t="shared" si="19"/>
        <v>6.962685807684843E-4</v>
      </c>
      <c r="Q193" s="713">
        <f t="shared" si="20"/>
        <v>3.6013821862567777E-5</v>
      </c>
    </row>
    <row r="194" spans="1:17">
      <c r="A194" s="3" t="s">
        <v>1746</v>
      </c>
      <c r="B194" s="3" t="s">
        <v>2509</v>
      </c>
      <c r="C194" s="3" t="s">
        <v>1747</v>
      </c>
      <c r="D194" s="3">
        <v>8205405758.1600008</v>
      </c>
      <c r="E194" s="3">
        <v>4.2666270783847979</v>
      </c>
      <c r="F194" s="3">
        <v>6.58</v>
      </c>
      <c r="G194" s="3">
        <v>81.209479999999999</v>
      </c>
      <c r="H194" s="3">
        <v>101.04</v>
      </c>
      <c r="I194" s="706"/>
      <c r="J194" s="707" t="str">
        <f t="shared" si="21"/>
        <v>Federal Realty Investment Trust</v>
      </c>
      <c r="K194" s="708" t="str">
        <f t="shared" si="21"/>
        <v>FRT</v>
      </c>
      <c r="L194" s="709">
        <f t="shared" si="15"/>
        <v>8205.4057581600009</v>
      </c>
      <c r="M194" s="710">
        <f t="shared" si="16"/>
        <v>4.2666270783847979E-2</v>
      </c>
      <c r="N194" s="710">
        <f t="shared" si="17"/>
        <v>6.5799999999999997E-2</v>
      </c>
      <c r="O194" s="711">
        <f t="shared" si="18"/>
        <v>0.10986999109263657</v>
      </c>
      <c r="P194" s="712">
        <f t="shared" si="19"/>
        <v>2.5623286556600815E-4</v>
      </c>
      <c r="Q194" s="713">
        <f t="shared" si="20"/>
        <v>2.8152302657378056E-5</v>
      </c>
    </row>
    <row r="195" spans="1:17">
      <c r="A195" s="3" t="s">
        <v>4546</v>
      </c>
      <c r="B195" s="3" t="s">
        <v>4547</v>
      </c>
      <c r="C195" s="3" t="s">
        <v>4548</v>
      </c>
      <c r="D195" s="3">
        <v>15968454321.9</v>
      </c>
      <c r="E195" s="3">
        <v>0</v>
      </c>
      <c r="F195" s="3">
        <v>38.055</v>
      </c>
      <c r="G195" s="3">
        <v>106.6056</v>
      </c>
      <c r="H195" s="3">
        <v>149.79</v>
      </c>
      <c r="I195" s="706"/>
      <c r="J195" s="707" t="str">
        <f t="shared" si="21"/>
        <v>First Solar Inc</v>
      </c>
      <c r="K195" s="708" t="str">
        <f t="shared" si="21"/>
        <v>FSLR</v>
      </c>
      <c r="L195" s="709">
        <f t="shared" ref="L195:L258" si="22">D195/1000000</f>
        <v>15968.454321899999</v>
      </c>
      <c r="M195" s="710">
        <f t="shared" ref="M195:M258" si="23">IFERROR(E195/100,"0.00%")</f>
        <v>0</v>
      </c>
      <c r="N195" s="710">
        <f t="shared" ref="N195:N258" si="24">IFERROR(F195/100,"N/A")</f>
        <v>0.38055</v>
      </c>
      <c r="O195" s="711">
        <f t="shared" ref="O195:O258" si="25">IFERROR(M195*(1+0.5*N195)+N195,"N/A")</f>
        <v>0.38055</v>
      </c>
      <c r="P195" s="712">
        <f t="shared" ref="P195:P258" si="26">IF(N195="N/A","N/A",L195/$L$504)</f>
        <v>4.9865209962241571E-4</v>
      </c>
      <c r="Q195" s="713">
        <f t="shared" ref="Q195:Q258" si="27">IF(AND(ISNUMBER(L195),ISNUMBER(O195)),O195*P195,"N/A")</f>
        <v>1.8976205651131031E-4</v>
      </c>
    </row>
    <row r="196" spans="1:17">
      <c r="A196" s="3" t="s">
        <v>2510</v>
      </c>
      <c r="B196" s="3" t="s">
        <v>2511</v>
      </c>
      <c r="C196" s="3" t="s">
        <v>2512</v>
      </c>
      <c r="D196" s="3">
        <v>38194628577.790001</v>
      </c>
      <c r="E196" s="3">
        <v>0</v>
      </c>
      <c r="F196" s="3">
        <v>22.867000000000001</v>
      </c>
      <c r="G196" s="3">
        <v>781.23599999999999</v>
      </c>
      <c r="H196" s="3">
        <v>48.89</v>
      </c>
      <c r="I196" s="706"/>
      <c r="J196" s="707" t="str">
        <f t="shared" ref="J196:K259" si="28">B196</f>
        <v>Fortinet Inc</v>
      </c>
      <c r="K196" s="708" t="str">
        <f t="shared" si="28"/>
        <v>FTNT</v>
      </c>
      <c r="L196" s="709">
        <f t="shared" si="22"/>
        <v>38194.628577789998</v>
      </c>
      <c r="M196" s="710">
        <f t="shared" si="23"/>
        <v>0</v>
      </c>
      <c r="N196" s="710">
        <f t="shared" si="24"/>
        <v>0.22867000000000001</v>
      </c>
      <c r="O196" s="711">
        <f t="shared" si="25"/>
        <v>0.22867000000000001</v>
      </c>
      <c r="P196" s="712">
        <f t="shared" si="26"/>
        <v>1.1927160481958999E-3</v>
      </c>
      <c r="Q196" s="713">
        <f t="shared" si="27"/>
        <v>2.7273837874095642E-4</v>
      </c>
    </row>
    <row r="197" spans="1:17">
      <c r="A197" s="3" t="s">
        <v>1748</v>
      </c>
      <c r="B197" s="3" t="s">
        <v>2513</v>
      </c>
      <c r="C197" s="3" t="s">
        <v>1749</v>
      </c>
      <c r="D197" s="3">
        <v>22732180255.249996</v>
      </c>
      <c r="E197" s="3">
        <v>0.44046692607003896</v>
      </c>
      <c r="F197" s="3">
        <v>9.3550000000000004</v>
      </c>
      <c r="G197" s="3">
        <v>353.80829999999997</v>
      </c>
      <c r="H197" s="3">
        <v>64.25</v>
      </c>
      <c r="I197" s="706"/>
      <c r="J197" s="707" t="str">
        <f t="shared" si="28"/>
        <v>Fortive Corp</v>
      </c>
      <c r="K197" s="708" t="str">
        <f t="shared" si="28"/>
        <v>FTV</v>
      </c>
      <c r="L197" s="709">
        <f t="shared" si="22"/>
        <v>22732.180255249998</v>
      </c>
      <c r="M197" s="710">
        <f t="shared" si="23"/>
        <v>4.4046692607003892E-3</v>
      </c>
      <c r="N197" s="710">
        <f t="shared" si="24"/>
        <v>9.3550000000000008E-2</v>
      </c>
      <c r="O197" s="711">
        <f t="shared" si="25"/>
        <v>9.8160697665369653E-2</v>
      </c>
      <c r="P197" s="712">
        <f t="shared" si="26"/>
        <v>7.0986516194805323E-4</v>
      </c>
      <c r="Q197" s="713">
        <f t="shared" si="27"/>
        <v>6.9680859545161525E-5</v>
      </c>
    </row>
    <row r="198" spans="1:17">
      <c r="A198" s="3" t="s">
        <v>1750</v>
      </c>
      <c r="B198" s="3" t="s">
        <v>2514</v>
      </c>
      <c r="C198" s="3" t="s">
        <v>1751</v>
      </c>
      <c r="D198" s="3">
        <v>68118342713.710007</v>
      </c>
      <c r="E198" s="3">
        <v>2.0265204949417597</v>
      </c>
      <c r="F198" s="3">
        <v>11.275</v>
      </c>
      <c r="G198" s="3">
        <v>274.54899999999998</v>
      </c>
      <c r="H198" s="3">
        <v>248.11</v>
      </c>
      <c r="I198" s="706"/>
      <c r="J198" s="707" t="str">
        <f t="shared" si="28"/>
        <v>General Dynamics Corp</v>
      </c>
      <c r="K198" s="708" t="str">
        <f t="shared" si="28"/>
        <v>GD</v>
      </c>
      <c r="L198" s="709">
        <f t="shared" si="22"/>
        <v>68118.342713710008</v>
      </c>
      <c r="M198" s="710">
        <f t="shared" si="23"/>
        <v>2.0265204949417595E-2</v>
      </c>
      <c r="N198" s="710">
        <f t="shared" si="24"/>
        <v>0.11275</v>
      </c>
      <c r="O198" s="711">
        <f t="shared" si="25"/>
        <v>0.13415765587844103</v>
      </c>
      <c r="P198" s="712">
        <f t="shared" si="26"/>
        <v>2.1271535699235533E-3</v>
      </c>
      <c r="Q198" s="713">
        <f t="shared" si="27"/>
        <v>2.8537393663440139E-4</v>
      </c>
    </row>
    <row r="199" spans="1:17">
      <c r="A199" s="3" t="s">
        <v>1752</v>
      </c>
      <c r="B199" s="3" t="s">
        <v>2515</v>
      </c>
      <c r="C199" s="3" t="s">
        <v>1753</v>
      </c>
      <c r="D199" s="3">
        <v>91554663450.600006</v>
      </c>
      <c r="E199" s="3">
        <v>0.45709511874925401</v>
      </c>
      <c r="F199" s="3">
        <v>8.5</v>
      </c>
      <c r="G199" s="3">
        <v>1092.6679999999999</v>
      </c>
      <c r="H199" s="3">
        <v>83.79</v>
      </c>
      <c r="I199" s="706"/>
      <c r="J199" s="707" t="str">
        <f t="shared" si="28"/>
        <v>General Electric Co</v>
      </c>
      <c r="K199" s="708" t="str">
        <f t="shared" si="28"/>
        <v>GE</v>
      </c>
      <c r="L199" s="709">
        <f t="shared" si="22"/>
        <v>91554.663450600012</v>
      </c>
      <c r="M199" s="710">
        <f t="shared" si="23"/>
        <v>4.5709511874925399E-3</v>
      </c>
      <c r="N199" s="710">
        <f t="shared" si="24"/>
        <v>8.5000000000000006E-2</v>
      </c>
      <c r="O199" s="711">
        <f t="shared" si="25"/>
        <v>8.9765216612960982E-2</v>
      </c>
      <c r="P199" s="712">
        <f t="shared" si="26"/>
        <v>2.8590071549538195E-3</v>
      </c>
      <c r="Q199" s="713">
        <f t="shared" si="27"/>
        <v>2.5663939656243493E-4</v>
      </c>
    </row>
    <row r="200" spans="1:17">
      <c r="A200" s="3" t="s">
        <v>4549</v>
      </c>
      <c r="B200" s="3" t="s">
        <v>4550</v>
      </c>
      <c r="C200" s="3" t="s">
        <v>4551</v>
      </c>
      <c r="D200" s="3">
        <v>13958642249.83</v>
      </c>
      <c r="E200" s="3">
        <v>2.3565095660289312</v>
      </c>
      <c r="F200" s="3" t="s">
        <v>1483</v>
      </c>
      <c r="G200" s="3">
        <v>651.35989999999993</v>
      </c>
      <c r="H200" s="3">
        <v>21.43</v>
      </c>
      <c r="I200" s="706"/>
      <c r="J200" s="707" t="str">
        <f t="shared" si="28"/>
        <v>Gen Digital Inc</v>
      </c>
      <c r="K200" s="708" t="str">
        <f t="shared" si="28"/>
        <v>GEN</v>
      </c>
      <c r="L200" s="709">
        <f t="shared" si="22"/>
        <v>13958.64224983</v>
      </c>
      <c r="M200" s="710">
        <f t="shared" si="23"/>
        <v>2.3565095660289314E-2</v>
      </c>
      <c r="N200" s="710" t="str">
        <f t="shared" si="24"/>
        <v>N/A</v>
      </c>
      <c r="O200" s="711" t="str">
        <f t="shared" si="25"/>
        <v>N/A</v>
      </c>
      <c r="P200" s="712" t="str">
        <f t="shared" si="26"/>
        <v>N/A</v>
      </c>
      <c r="Q200" s="713" t="str">
        <f t="shared" si="27"/>
        <v>N/A</v>
      </c>
    </row>
    <row r="201" spans="1:17">
      <c r="A201" s="3" t="s">
        <v>1754</v>
      </c>
      <c r="B201" s="3" t="s">
        <v>2516</v>
      </c>
      <c r="C201" s="3" t="s">
        <v>1755</v>
      </c>
      <c r="D201" s="3">
        <v>107676834093.24998</v>
      </c>
      <c r="E201" s="3">
        <v>3.3104251601630752</v>
      </c>
      <c r="F201" s="3">
        <v>0.3</v>
      </c>
      <c r="G201" s="3">
        <v>1254.2439999999999</v>
      </c>
      <c r="H201" s="3">
        <v>85.85</v>
      </c>
      <c r="I201" s="706"/>
      <c r="J201" s="707" t="str">
        <f t="shared" si="28"/>
        <v>Gilead Sciences Inc</v>
      </c>
      <c r="K201" s="708" t="str">
        <f t="shared" si="28"/>
        <v>GILD</v>
      </c>
      <c r="L201" s="709">
        <f t="shared" si="22"/>
        <v>107676.83409324999</v>
      </c>
      <c r="M201" s="710">
        <f t="shared" si="23"/>
        <v>3.3104251601630753E-2</v>
      </c>
      <c r="N201" s="710">
        <f t="shared" si="24"/>
        <v>3.0000000000000001E-3</v>
      </c>
      <c r="O201" s="711">
        <f t="shared" si="25"/>
        <v>3.6153907979033201E-2</v>
      </c>
      <c r="P201" s="712">
        <f t="shared" si="26"/>
        <v>3.3624594039546934E-3</v>
      </c>
      <c r="Q201" s="713">
        <f t="shared" si="27"/>
        <v>1.2156604787381281E-4</v>
      </c>
    </row>
    <row r="202" spans="1:17">
      <c r="A202" s="3" t="s">
        <v>1756</v>
      </c>
      <c r="B202" s="3" t="s">
        <v>2517</v>
      </c>
      <c r="C202" s="3" t="s">
        <v>1757</v>
      </c>
      <c r="D202" s="3">
        <v>49438858620.449997</v>
      </c>
      <c r="E202" s="3">
        <v>2.5521765056648777</v>
      </c>
      <c r="F202" s="3">
        <v>7.3500000000000005</v>
      </c>
      <c r="G202" s="3">
        <v>589.61069999999995</v>
      </c>
      <c r="H202" s="3">
        <v>83.85</v>
      </c>
      <c r="I202" s="706"/>
      <c r="J202" s="707" t="str">
        <f t="shared" si="28"/>
        <v>General Mills Inc</v>
      </c>
      <c r="K202" s="708" t="str">
        <f t="shared" si="28"/>
        <v>GIS</v>
      </c>
      <c r="L202" s="709">
        <f t="shared" si="22"/>
        <v>49438.858620449995</v>
      </c>
      <c r="M202" s="710">
        <f t="shared" si="23"/>
        <v>2.5521765056648778E-2</v>
      </c>
      <c r="N202" s="710">
        <f t="shared" si="24"/>
        <v>7.350000000000001E-2</v>
      </c>
      <c r="O202" s="711">
        <f t="shared" si="25"/>
        <v>9.9959689922480638E-2</v>
      </c>
      <c r="P202" s="712">
        <f t="shared" si="26"/>
        <v>1.5438432647931987E-3</v>
      </c>
      <c r="Q202" s="713">
        <f t="shared" si="27"/>
        <v>1.543220940376383E-4</v>
      </c>
    </row>
    <row r="203" spans="1:17">
      <c r="A203" s="3" t="s">
        <v>2902</v>
      </c>
      <c r="B203" s="3" t="s">
        <v>2903</v>
      </c>
      <c r="C203" s="3" t="s">
        <v>2904</v>
      </c>
      <c r="D203" s="3">
        <v>11725926105.950001</v>
      </c>
      <c r="E203" s="3">
        <v>0.68602239734549986</v>
      </c>
      <c r="F203" s="3" t="s">
        <v>1483</v>
      </c>
      <c r="G203" s="3">
        <v>97.270229999999998</v>
      </c>
      <c r="H203" s="3">
        <v>120.55</v>
      </c>
      <c r="I203" s="706"/>
      <c r="J203" s="707" t="str">
        <f t="shared" si="28"/>
        <v>Globe Life Inc</v>
      </c>
      <c r="K203" s="708" t="str">
        <f t="shared" si="28"/>
        <v>GL</v>
      </c>
      <c r="L203" s="709">
        <f t="shared" si="22"/>
        <v>11725.92610595</v>
      </c>
      <c r="M203" s="710">
        <f t="shared" si="23"/>
        <v>6.8602239734549984E-3</v>
      </c>
      <c r="N203" s="710" t="str">
        <f t="shared" si="24"/>
        <v>N/A</v>
      </c>
      <c r="O203" s="711" t="str">
        <f t="shared" si="25"/>
        <v>N/A</v>
      </c>
      <c r="P203" s="712" t="str">
        <f t="shared" si="26"/>
        <v>N/A</v>
      </c>
      <c r="Q203" s="713" t="str">
        <f t="shared" si="27"/>
        <v>N/A</v>
      </c>
    </row>
    <row r="204" spans="1:17">
      <c r="A204" s="3" t="s">
        <v>1758</v>
      </c>
      <c r="B204" s="3" t="s">
        <v>2518</v>
      </c>
      <c r="C204" s="3" t="s">
        <v>1759</v>
      </c>
      <c r="D204" s="3">
        <v>27015215349.440002</v>
      </c>
      <c r="E204" s="3">
        <v>3.3688165309956171</v>
      </c>
      <c r="F204" s="3">
        <v>6.49</v>
      </c>
      <c r="G204" s="3">
        <v>845.81139999999994</v>
      </c>
      <c r="H204" s="3">
        <v>31.94</v>
      </c>
      <c r="I204" s="706"/>
      <c r="J204" s="707" t="str">
        <f t="shared" si="28"/>
        <v>Corning Inc</v>
      </c>
      <c r="K204" s="708" t="str">
        <f t="shared" si="28"/>
        <v>GLW</v>
      </c>
      <c r="L204" s="709">
        <f t="shared" si="22"/>
        <v>27015.215349440001</v>
      </c>
      <c r="M204" s="710">
        <f t="shared" si="23"/>
        <v>3.3688165309956171E-2</v>
      </c>
      <c r="N204" s="710">
        <f t="shared" si="24"/>
        <v>6.4899999999999999E-2</v>
      </c>
      <c r="O204" s="711">
        <f t="shared" si="25"/>
        <v>9.9681346274264254E-2</v>
      </c>
      <c r="P204" s="712">
        <f t="shared" si="26"/>
        <v>8.4361288727080163E-4</v>
      </c>
      <c r="Q204" s="713">
        <f t="shared" si="27"/>
        <v>8.4092468337472638E-5</v>
      </c>
    </row>
    <row r="205" spans="1:17">
      <c r="A205" s="3" t="s">
        <v>1760</v>
      </c>
      <c r="B205" s="3" t="s">
        <v>2519</v>
      </c>
      <c r="C205" s="3" t="s">
        <v>1761</v>
      </c>
      <c r="D205" s="3">
        <v>47792239914.68</v>
      </c>
      <c r="E205" s="3">
        <v>0.44589774078478001</v>
      </c>
      <c r="F205" s="3">
        <v>-0.14499999999999999</v>
      </c>
      <c r="G205" s="3">
        <v>1420.6969999999999</v>
      </c>
      <c r="H205" s="3">
        <v>33.64</v>
      </c>
      <c r="I205" s="706"/>
      <c r="J205" s="707" t="str">
        <f t="shared" si="28"/>
        <v>General Motors Co</v>
      </c>
      <c r="K205" s="708" t="str">
        <f t="shared" si="28"/>
        <v>GM</v>
      </c>
      <c r="L205" s="709">
        <f t="shared" si="22"/>
        <v>47792.239914680002</v>
      </c>
      <c r="M205" s="710">
        <f t="shared" si="23"/>
        <v>4.4589774078478001E-3</v>
      </c>
      <c r="N205" s="710">
        <f t="shared" si="24"/>
        <v>-1.4499999999999999E-3</v>
      </c>
      <c r="O205" s="711">
        <f t="shared" si="25"/>
        <v>3.0057446492271107E-3</v>
      </c>
      <c r="P205" s="712">
        <f t="shared" si="26"/>
        <v>1.4924237686818145E-3</v>
      </c>
      <c r="Q205" s="713">
        <f t="shared" si="27"/>
        <v>4.4858447570947228E-6</v>
      </c>
    </row>
    <row r="206" spans="1:17">
      <c r="A206" s="3" t="s">
        <v>3989</v>
      </c>
      <c r="B206" s="3" t="s">
        <v>3990</v>
      </c>
      <c r="C206" s="3" t="s">
        <v>3991</v>
      </c>
      <c r="D206" s="3">
        <v>6377455425.3200006</v>
      </c>
      <c r="E206" s="3">
        <v>0</v>
      </c>
      <c r="F206" s="3">
        <v>9.6669999999999998</v>
      </c>
      <c r="G206" s="3">
        <v>63.356399999999994</v>
      </c>
      <c r="H206" s="3">
        <v>100.66</v>
      </c>
      <c r="I206" s="706"/>
      <c r="J206" s="707" t="str">
        <f t="shared" si="28"/>
        <v>Generac Holdings Inc</v>
      </c>
      <c r="K206" s="708" t="str">
        <f t="shared" si="28"/>
        <v>GNRC</v>
      </c>
      <c r="L206" s="709">
        <f t="shared" si="22"/>
        <v>6377.4554253200004</v>
      </c>
      <c r="M206" s="710">
        <f t="shared" si="23"/>
        <v>0</v>
      </c>
      <c r="N206" s="710">
        <f t="shared" si="24"/>
        <v>9.6669999999999992E-2</v>
      </c>
      <c r="O206" s="711">
        <f t="shared" si="25"/>
        <v>9.6669999999999992E-2</v>
      </c>
      <c r="P206" s="712">
        <f t="shared" si="26"/>
        <v>1.9915086795362408E-4</v>
      </c>
      <c r="Q206" s="713">
        <f t="shared" si="27"/>
        <v>1.9251914405076837E-5</v>
      </c>
    </row>
    <row r="207" spans="1:17">
      <c r="A207" s="3" t="s">
        <v>4084</v>
      </c>
      <c r="B207" s="3" t="s">
        <v>2520</v>
      </c>
      <c r="C207" s="3" t="s">
        <v>4085</v>
      </c>
      <c r="D207" s="3">
        <v>1145224890000.0002</v>
      </c>
      <c r="E207" s="3">
        <v>0</v>
      </c>
      <c r="F207" s="3">
        <v>16.247</v>
      </c>
      <c r="G207" s="3">
        <v>6086</v>
      </c>
      <c r="H207" s="3">
        <v>88.73</v>
      </c>
      <c r="I207" s="706"/>
      <c r="J207" s="707" t="str">
        <f t="shared" si="28"/>
        <v>Alphabet Inc</v>
      </c>
      <c r="K207" s="708" t="str">
        <f t="shared" si="28"/>
        <v>GOOG</v>
      </c>
      <c r="L207" s="709">
        <f t="shared" si="22"/>
        <v>1145224.8900000001</v>
      </c>
      <c r="M207" s="710">
        <f t="shared" si="23"/>
        <v>0</v>
      </c>
      <c r="N207" s="710">
        <f t="shared" si="24"/>
        <v>0.16247</v>
      </c>
      <c r="O207" s="711">
        <f t="shared" si="25"/>
        <v>0.16247</v>
      </c>
      <c r="P207" s="712">
        <f t="shared" si="26"/>
        <v>3.5762308888917044E-2</v>
      </c>
      <c r="Q207" s="713">
        <f t="shared" si="27"/>
        <v>5.8103023251823522E-3</v>
      </c>
    </row>
    <row r="208" spans="1:17">
      <c r="A208" s="3" t="s">
        <v>1762</v>
      </c>
      <c r="B208" s="3" t="s">
        <v>2521</v>
      </c>
      <c r="C208" s="3" t="s">
        <v>1763</v>
      </c>
      <c r="D208" s="3">
        <v>24492905664.989998</v>
      </c>
      <c r="E208" s="3">
        <v>2.0569419629992507</v>
      </c>
      <c r="F208" s="3">
        <v>11.97</v>
      </c>
      <c r="G208" s="3">
        <v>141.16129999999998</v>
      </c>
      <c r="H208" s="3">
        <v>173.51</v>
      </c>
      <c r="I208" s="706"/>
      <c r="J208" s="707" t="str">
        <f t="shared" si="28"/>
        <v>Genuine Parts Co</v>
      </c>
      <c r="K208" s="708" t="str">
        <f t="shared" si="28"/>
        <v>GPC</v>
      </c>
      <c r="L208" s="709">
        <f t="shared" si="22"/>
        <v>24492.905664989998</v>
      </c>
      <c r="M208" s="710">
        <f t="shared" si="23"/>
        <v>2.0569419629992508E-2</v>
      </c>
      <c r="N208" s="710">
        <f t="shared" si="24"/>
        <v>0.1197</v>
      </c>
      <c r="O208" s="711">
        <f t="shared" si="25"/>
        <v>0.14150049939484755</v>
      </c>
      <c r="P208" s="712">
        <f t="shared" si="26"/>
        <v>7.6484790509441199E-4</v>
      </c>
      <c r="Q208" s="713">
        <f t="shared" si="27"/>
        <v>1.0822636053196225E-4</v>
      </c>
    </row>
    <row r="209" spans="1:17">
      <c r="A209" s="3" t="s">
        <v>1764</v>
      </c>
      <c r="B209" s="3" t="s">
        <v>2522</v>
      </c>
      <c r="C209" s="3" t="s">
        <v>1765</v>
      </c>
      <c r="D209" s="3">
        <v>26856241820.719994</v>
      </c>
      <c r="E209" s="3">
        <v>1.0068465565847766</v>
      </c>
      <c r="F209" s="3">
        <v>14.683</v>
      </c>
      <c r="G209" s="3">
        <v>270.40109999999999</v>
      </c>
      <c r="H209" s="3">
        <v>99.32</v>
      </c>
      <c r="I209" s="706"/>
      <c r="J209" s="707" t="str">
        <f t="shared" si="28"/>
        <v>Global Payments Inc</v>
      </c>
      <c r="K209" s="708" t="str">
        <f t="shared" si="28"/>
        <v>GPN</v>
      </c>
      <c r="L209" s="709">
        <f t="shared" si="22"/>
        <v>26856.241820719995</v>
      </c>
      <c r="M209" s="710">
        <f t="shared" si="23"/>
        <v>1.0068465565847767E-2</v>
      </c>
      <c r="N209" s="710">
        <f t="shared" si="24"/>
        <v>0.14682999999999999</v>
      </c>
      <c r="O209" s="711">
        <f t="shared" si="25"/>
        <v>0.15763764196536448</v>
      </c>
      <c r="P209" s="712">
        <f t="shared" si="26"/>
        <v>8.3864856935482804E-4</v>
      </c>
      <c r="Q209" s="713">
        <f t="shared" si="27"/>
        <v>1.3220258291072153E-4</v>
      </c>
    </row>
    <row r="210" spans="1:17">
      <c r="A210" s="3" t="s">
        <v>4301</v>
      </c>
      <c r="B210" s="3" t="s">
        <v>2523</v>
      </c>
      <c r="C210" s="3" t="s">
        <v>1766</v>
      </c>
      <c r="D210" s="3">
        <v>17688664376.57</v>
      </c>
      <c r="E210" s="3">
        <v>3.1140968685664756</v>
      </c>
      <c r="F210" s="3">
        <v>5.6000000000000005</v>
      </c>
      <c r="G210" s="3">
        <v>191.66389999999998</v>
      </c>
      <c r="H210" s="3">
        <v>92.29</v>
      </c>
      <c r="I210" s="706"/>
      <c r="J210" s="707" t="str">
        <f t="shared" si="28"/>
        <v>Garmin Ltd</v>
      </c>
      <c r="K210" s="708" t="str">
        <f t="shared" si="28"/>
        <v>GRMN</v>
      </c>
      <c r="L210" s="709">
        <f t="shared" si="22"/>
        <v>17688.664376569999</v>
      </c>
      <c r="M210" s="710">
        <f t="shared" si="23"/>
        <v>3.1140968685664756E-2</v>
      </c>
      <c r="N210" s="710">
        <f t="shared" si="24"/>
        <v>5.6000000000000008E-2</v>
      </c>
      <c r="O210" s="711">
        <f t="shared" si="25"/>
        <v>8.8012915808863376E-2</v>
      </c>
      <c r="P210" s="712">
        <f t="shared" si="26"/>
        <v>5.5236965664209371E-4</v>
      </c>
      <c r="Q210" s="713">
        <f t="shared" si="27"/>
        <v>4.8615664085411364E-5</v>
      </c>
    </row>
    <row r="211" spans="1:17">
      <c r="A211" s="3" t="s">
        <v>1767</v>
      </c>
      <c r="B211" s="3" t="s">
        <v>2524</v>
      </c>
      <c r="C211" s="3" t="s">
        <v>1768</v>
      </c>
      <c r="D211" s="3">
        <v>121294179396.89999</v>
      </c>
      <c r="E211" s="3">
        <v>2.6341079853223834</v>
      </c>
      <c r="F211" s="3">
        <v>-2.165</v>
      </c>
      <c r="G211" s="3">
        <v>338.63459999999998</v>
      </c>
      <c r="H211" s="3">
        <v>343.38</v>
      </c>
      <c r="I211" s="706"/>
      <c r="J211" s="707" t="str">
        <f t="shared" si="28"/>
        <v>Goldman Sachs Group Inc/The</v>
      </c>
      <c r="K211" s="708" t="str">
        <f t="shared" si="28"/>
        <v>GS</v>
      </c>
      <c r="L211" s="709">
        <f t="shared" si="22"/>
        <v>121294.1793969</v>
      </c>
      <c r="M211" s="710">
        <f t="shared" si="23"/>
        <v>2.6341079853223835E-2</v>
      </c>
      <c r="N211" s="710">
        <f t="shared" si="24"/>
        <v>-2.1649999999999999E-2</v>
      </c>
      <c r="O211" s="711">
        <f t="shared" si="25"/>
        <v>4.4059376638126875E-3</v>
      </c>
      <c r="P211" s="712">
        <f t="shared" si="26"/>
        <v>3.7876926601024671E-3</v>
      </c>
      <c r="Q211" s="713">
        <f t="shared" si="27"/>
        <v>1.6688337750092329E-5</v>
      </c>
    </row>
    <row r="212" spans="1:17">
      <c r="A212" s="3" t="s">
        <v>1769</v>
      </c>
      <c r="B212" s="3" t="s">
        <v>2525</v>
      </c>
      <c r="C212" s="3" t="s">
        <v>1770</v>
      </c>
      <c r="D212" s="3">
        <v>28106902543.75</v>
      </c>
      <c r="E212" s="3">
        <v>1.2188764044943821</v>
      </c>
      <c r="F212" s="3">
        <v>13</v>
      </c>
      <c r="G212" s="3">
        <v>50.529260000000001</v>
      </c>
      <c r="H212" s="3">
        <v>556.25</v>
      </c>
      <c r="I212" s="706"/>
      <c r="J212" s="707" t="str">
        <f t="shared" si="28"/>
        <v>WW Grainger Inc</v>
      </c>
      <c r="K212" s="708" t="str">
        <f t="shared" si="28"/>
        <v>GWW</v>
      </c>
      <c r="L212" s="709">
        <f t="shared" si="22"/>
        <v>28106.902543749999</v>
      </c>
      <c r="M212" s="710">
        <f t="shared" si="23"/>
        <v>1.2188764044943821E-2</v>
      </c>
      <c r="N212" s="710">
        <f t="shared" si="24"/>
        <v>0.13</v>
      </c>
      <c r="O212" s="711">
        <f t="shared" si="25"/>
        <v>0.14298103370786516</v>
      </c>
      <c r="P212" s="712">
        <f t="shared" si="26"/>
        <v>8.7770335718102984E-4</v>
      </c>
      <c r="Q212" s="713">
        <f t="shared" si="27"/>
        <v>1.2549493329860724E-4</v>
      </c>
    </row>
    <row r="213" spans="1:17">
      <c r="A213" s="3" t="s">
        <v>1771</v>
      </c>
      <c r="B213" s="3" t="s">
        <v>2526</v>
      </c>
      <c r="C213" s="3" t="s">
        <v>1772</v>
      </c>
      <c r="D213" s="3">
        <v>35731640674.950005</v>
      </c>
      <c r="E213" s="3">
        <v>1.2198221092757306</v>
      </c>
      <c r="F213" s="3">
        <v>21.815000000000001</v>
      </c>
      <c r="G213" s="3">
        <v>908.04679999999996</v>
      </c>
      <c r="H213" s="3">
        <v>39.35</v>
      </c>
      <c r="I213" s="706"/>
      <c r="J213" s="707" t="str">
        <f t="shared" si="28"/>
        <v>Halliburton Co</v>
      </c>
      <c r="K213" s="708" t="str">
        <f t="shared" si="28"/>
        <v>HAL</v>
      </c>
      <c r="L213" s="709">
        <f t="shared" si="22"/>
        <v>35731.640674950002</v>
      </c>
      <c r="M213" s="710">
        <f t="shared" si="23"/>
        <v>1.2198221092757306E-2</v>
      </c>
      <c r="N213" s="710">
        <f t="shared" si="24"/>
        <v>0.21815000000000001</v>
      </c>
      <c r="O213" s="711">
        <f t="shared" si="25"/>
        <v>0.23167874205844982</v>
      </c>
      <c r="P213" s="712">
        <f t="shared" si="26"/>
        <v>1.115803526524257E-3</v>
      </c>
      <c r="Q213" s="713">
        <f t="shared" si="27"/>
        <v>2.5850795740952199E-4</v>
      </c>
    </row>
    <row r="214" spans="1:17">
      <c r="A214" s="3" t="s">
        <v>1773</v>
      </c>
      <c r="B214" s="3" t="s">
        <v>2527</v>
      </c>
      <c r="C214" s="3" t="s">
        <v>1774</v>
      </c>
      <c r="D214" s="3">
        <v>8426318179.2199993</v>
      </c>
      <c r="E214" s="3">
        <v>4.5762989673823968</v>
      </c>
      <c r="F214" s="3">
        <v>-0.67500000000000004</v>
      </c>
      <c r="G214" s="3">
        <v>138.11369999999999</v>
      </c>
      <c r="H214" s="3">
        <v>61.01</v>
      </c>
      <c r="I214" s="706"/>
      <c r="J214" s="707" t="str">
        <f t="shared" si="28"/>
        <v>Hasbro Inc</v>
      </c>
      <c r="K214" s="708" t="str">
        <f t="shared" si="28"/>
        <v>HAS</v>
      </c>
      <c r="L214" s="709">
        <f t="shared" si="22"/>
        <v>8426.3181792199994</v>
      </c>
      <c r="M214" s="710">
        <f t="shared" si="23"/>
        <v>4.5762989673823966E-2</v>
      </c>
      <c r="N214" s="710">
        <f t="shared" si="24"/>
        <v>-6.7500000000000008E-3</v>
      </c>
      <c r="O214" s="711">
        <f t="shared" si="25"/>
        <v>3.8858539583674807E-2</v>
      </c>
      <c r="P214" s="712">
        <f t="shared" si="26"/>
        <v>2.6313136935188566E-4</v>
      </c>
      <c r="Q214" s="713">
        <f t="shared" si="27"/>
        <v>1.0224900731666805E-5</v>
      </c>
    </row>
    <row r="215" spans="1:17">
      <c r="A215" s="3" t="s">
        <v>1775</v>
      </c>
      <c r="B215" s="3" t="s">
        <v>2528</v>
      </c>
      <c r="C215" s="3" t="s">
        <v>1776</v>
      </c>
      <c r="D215" s="3">
        <v>20342552995.500004</v>
      </c>
      <c r="E215" s="3">
        <v>4.4326241134751774</v>
      </c>
      <c r="F215" s="3">
        <v>0.21</v>
      </c>
      <c r="G215" s="3">
        <v>1442.7339999999999</v>
      </c>
      <c r="H215" s="3">
        <v>14.1</v>
      </c>
      <c r="I215" s="706"/>
      <c r="J215" s="707" t="str">
        <f t="shared" si="28"/>
        <v>Huntington Bancshares Inc/OH</v>
      </c>
      <c r="K215" s="708" t="str">
        <f t="shared" si="28"/>
        <v>HBAN</v>
      </c>
      <c r="L215" s="709">
        <f t="shared" si="22"/>
        <v>20342.552995500002</v>
      </c>
      <c r="M215" s="710">
        <f t="shared" si="23"/>
        <v>4.4326241134751775E-2</v>
      </c>
      <c r="N215" s="710">
        <f t="shared" si="24"/>
        <v>2.0999999999999999E-3</v>
      </c>
      <c r="O215" s="711">
        <f t="shared" si="25"/>
        <v>4.6472783687943262E-2</v>
      </c>
      <c r="P215" s="712">
        <f t="shared" si="26"/>
        <v>6.3524349685958686E-4</v>
      </c>
      <c r="Q215" s="713">
        <f t="shared" si="27"/>
        <v>2.9521533618728246E-5</v>
      </c>
    </row>
    <row r="216" spans="1:17">
      <c r="A216" s="3" t="s">
        <v>1777</v>
      </c>
      <c r="B216" s="3" t="s">
        <v>2529</v>
      </c>
      <c r="C216" s="3" t="s">
        <v>1778</v>
      </c>
      <c r="D216" s="3">
        <v>67840699332</v>
      </c>
      <c r="E216" s="3">
        <v>0.92307051175195864</v>
      </c>
      <c r="F216" s="3">
        <v>4.76</v>
      </c>
      <c r="G216" s="3">
        <v>282.7167</v>
      </c>
      <c r="H216" s="3">
        <v>239.96</v>
      </c>
      <c r="I216" s="706"/>
      <c r="J216" s="707" t="str">
        <f t="shared" si="28"/>
        <v>HCA Healthcare Inc</v>
      </c>
      <c r="K216" s="708" t="str">
        <f t="shared" si="28"/>
        <v>HCA</v>
      </c>
      <c r="L216" s="709">
        <f t="shared" si="22"/>
        <v>67840.699332000004</v>
      </c>
      <c r="M216" s="710">
        <f t="shared" si="23"/>
        <v>9.2307051175195866E-3</v>
      </c>
      <c r="N216" s="710">
        <f t="shared" si="24"/>
        <v>4.7599999999999996E-2</v>
      </c>
      <c r="O216" s="711">
        <f t="shared" si="25"/>
        <v>5.7050395899316549E-2</v>
      </c>
      <c r="P216" s="712">
        <f t="shared" si="26"/>
        <v>2.1184835100389165E-3</v>
      </c>
      <c r="Q216" s="713">
        <f t="shared" si="27"/>
        <v>1.2086032295389392E-4</v>
      </c>
    </row>
    <row r="217" spans="1:17">
      <c r="A217" s="3" t="s">
        <v>1779</v>
      </c>
      <c r="B217" s="3" t="s">
        <v>2530</v>
      </c>
      <c r="C217" s="3" t="s">
        <v>1780</v>
      </c>
      <c r="D217" s="3">
        <v>321920096908.91998</v>
      </c>
      <c r="E217" s="3">
        <v>2.3997973785854492</v>
      </c>
      <c r="F217" s="3">
        <v>4.9800000000000004</v>
      </c>
      <c r="G217" s="3">
        <v>1019.1859999999999</v>
      </c>
      <c r="H217" s="3">
        <v>315.86</v>
      </c>
      <c r="I217" s="706"/>
      <c r="J217" s="707" t="str">
        <f t="shared" si="28"/>
        <v>Home Depot Inc/The</v>
      </c>
      <c r="K217" s="708" t="str">
        <f t="shared" si="28"/>
        <v>HD</v>
      </c>
      <c r="L217" s="709">
        <f t="shared" si="22"/>
        <v>321920.09690891998</v>
      </c>
      <c r="M217" s="710">
        <f t="shared" si="23"/>
        <v>2.3997973785854491E-2</v>
      </c>
      <c r="N217" s="710">
        <f t="shared" si="24"/>
        <v>4.9800000000000004E-2</v>
      </c>
      <c r="O217" s="711">
        <f t="shared" si="25"/>
        <v>7.4395523333122271E-2</v>
      </c>
      <c r="P217" s="712">
        <f t="shared" si="26"/>
        <v>1.005270322338777E-2</v>
      </c>
      <c r="Q217" s="713">
        <f t="shared" si="27"/>
        <v>7.478761172164983E-4</v>
      </c>
    </row>
    <row r="218" spans="1:17">
      <c r="A218" s="3" t="s">
        <v>1781</v>
      </c>
      <c r="B218" s="3" t="s">
        <v>2531</v>
      </c>
      <c r="C218" s="3" t="s">
        <v>1782</v>
      </c>
      <c r="D218" s="3">
        <v>43724306648.120003</v>
      </c>
      <c r="E218" s="3">
        <v>1.0238330277816952</v>
      </c>
      <c r="F218" s="3">
        <v>14.77</v>
      </c>
      <c r="G218" s="3">
        <v>308.30849999999998</v>
      </c>
      <c r="H218" s="3">
        <v>141.82</v>
      </c>
      <c r="I218" s="706"/>
      <c r="J218" s="707" t="str">
        <f t="shared" si="28"/>
        <v>Hess Corp</v>
      </c>
      <c r="K218" s="708" t="str">
        <f t="shared" si="28"/>
        <v>HES</v>
      </c>
      <c r="L218" s="709">
        <f t="shared" si="22"/>
        <v>43724.30664812</v>
      </c>
      <c r="M218" s="710">
        <f t="shared" si="23"/>
        <v>1.0238330277816952E-2</v>
      </c>
      <c r="N218" s="710">
        <f t="shared" si="24"/>
        <v>0.1477</v>
      </c>
      <c r="O218" s="711">
        <f t="shared" si="25"/>
        <v>0.15869443096883373</v>
      </c>
      <c r="P218" s="712">
        <f t="shared" si="26"/>
        <v>1.3653930978602782E-3</v>
      </c>
      <c r="Q218" s="713">
        <f t="shared" si="27"/>
        <v>2.1668028071370995E-4</v>
      </c>
    </row>
    <row r="219" spans="1:17">
      <c r="A219" s="3" t="s">
        <v>1783</v>
      </c>
      <c r="B219" s="3" t="s">
        <v>4302</v>
      </c>
      <c r="C219" s="3" t="s">
        <v>1784</v>
      </c>
      <c r="D219" s="3">
        <v>24121441786.069996</v>
      </c>
      <c r="E219" s="3">
        <v>2.0902017671106421</v>
      </c>
      <c r="F219" s="3">
        <v>7</v>
      </c>
      <c r="G219" s="3">
        <v>318.09889999999996</v>
      </c>
      <c r="H219" s="3">
        <v>75.83</v>
      </c>
      <c r="I219" s="706"/>
      <c r="J219" s="707" t="str">
        <f t="shared" si="28"/>
        <v>Hartford Financial Services Group Inc/The</v>
      </c>
      <c r="K219" s="708" t="str">
        <f t="shared" si="28"/>
        <v>HIG</v>
      </c>
      <c r="L219" s="709">
        <f t="shared" si="22"/>
        <v>24121.441786069994</v>
      </c>
      <c r="M219" s="710">
        <f t="shared" si="23"/>
        <v>2.0902017671106422E-2</v>
      </c>
      <c r="N219" s="710">
        <f t="shared" si="24"/>
        <v>7.0000000000000007E-2</v>
      </c>
      <c r="O219" s="711">
        <f t="shared" si="25"/>
        <v>9.1633588289595155E-2</v>
      </c>
      <c r="P219" s="712">
        <f t="shared" si="26"/>
        <v>7.532480821294985E-4</v>
      </c>
      <c r="Q219" s="713">
        <f t="shared" si="27"/>
        <v>6.9022824637781621E-5</v>
      </c>
    </row>
    <row r="220" spans="1:17">
      <c r="A220" s="3" t="s">
        <v>2302</v>
      </c>
      <c r="B220" s="3" t="s">
        <v>2532</v>
      </c>
      <c r="C220" s="3" t="s">
        <v>2298</v>
      </c>
      <c r="D220" s="3">
        <v>9204947684.4800014</v>
      </c>
      <c r="E220" s="3">
        <v>2.0795040749089648</v>
      </c>
      <c r="F220" s="3">
        <v>40</v>
      </c>
      <c r="G220" s="3">
        <v>39.90354</v>
      </c>
      <c r="H220" s="3">
        <v>230.68</v>
      </c>
      <c r="I220" s="706"/>
      <c r="J220" s="707" t="str">
        <f t="shared" si="28"/>
        <v>Huntington Ingalls Industries Inc</v>
      </c>
      <c r="K220" s="708" t="str">
        <f t="shared" si="28"/>
        <v>HII</v>
      </c>
      <c r="L220" s="709">
        <f>D220/1000000</f>
        <v>9204.947684480001</v>
      </c>
      <c r="M220" s="710">
        <f t="shared" si="23"/>
        <v>2.0795040749089649E-2</v>
      </c>
      <c r="N220" s="710">
        <f>IFERROR(F220/100,"N/A")</f>
        <v>0.4</v>
      </c>
      <c r="O220" s="711">
        <f t="shared" si="25"/>
        <v>0.42495404889890759</v>
      </c>
      <c r="P220" s="712">
        <f t="shared" si="26"/>
        <v>2.8744588532187375E-4</v>
      </c>
      <c r="Q220" s="713">
        <f t="shared" si="27"/>
        <v>1.2215129280686133E-4</v>
      </c>
    </row>
    <row r="221" spans="1:17">
      <c r="A221" s="3" t="s">
        <v>2276</v>
      </c>
      <c r="B221" s="3" t="s">
        <v>2533</v>
      </c>
      <c r="C221" s="3" t="s">
        <v>2277</v>
      </c>
      <c r="D221" s="3">
        <v>34174822308.119999</v>
      </c>
      <c r="E221" s="3">
        <v>0.36324786324786323</v>
      </c>
      <c r="F221" s="3">
        <v>45.725000000000001</v>
      </c>
      <c r="G221" s="3">
        <v>270.45599999999996</v>
      </c>
      <c r="H221" s="3">
        <v>126.36</v>
      </c>
      <c r="I221" s="706"/>
      <c r="J221" s="707" t="str">
        <f t="shared" si="28"/>
        <v>Hilton Worldwide Holdings Inc</v>
      </c>
      <c r="K221" s="708" t="str">
        <f t="shared" si="28"/>
        <v>HLT</v>
      </c>
      <c r="L221" s="709">
        <f t="shared" si="22"/>
        <v>34174.822308119998</v>
      </c>
      <c r="M221" s="710">
        <f t="shared" si="23"/>
        <v>3.6324786324786322E-3</v>
      </c>
      <c r="N221" s="710">
        <f t="shared" si="24"/>
        <v>0.45724999999999999</v>
      </c>
      <c r="O221" s="711">
        <f t="shared" si="25"/>
        <v>0.46171295405982904</v>
      </c>
      <c r="P221" s="712">
        <f t="shared" si="26"/>
        <v>1.0671882547076323E-3</v>
      </c>
      <c r="Q221" s="713">
        <f t="shared" si="27"/>
        <v>4.927346416190142E-4</v>
      </c>
    </row>
    <row r="222" spans="1:17">
      <c r="A222" s="3" t="s">
        <v>1785</v>
      </c>
      <c r="B222" s="3" t="s">
        <v>2534</v>
      </c>
      <c r="C222" s="3" t="s">
        <v>1786</v>
      </c>
      <c r="D222" s="3">
        <v>18390823510.790001</v>
      </c>
      <c r="E222" s="3">
        <v>0</v>
      </c>
      <c r="F222" s="3">
        <v>-17.670000000000002</v>
      </c>
      <c r="G222" s="3">
        <v>245.8338</v>
      </c>
      <c r="H222" s="3">
        <v>74.81</v>
      </c>
      <c r="I222" s="706"/>
      <c r="J222" s="707" t="str">
        <f t="shared" si="28"/>
        <v>Hologic Inc</v>
      </c>
      <c r="K222" s="708" t="str">
        <f t="shared" si="28"/>
        <v>HOLX</v>
      </c>
      <c r="L222" s="709">
        <f t="shared" si="22"/>
        <v>18390.82351079</v>
      </c>
      <c r="M222" s="710">
        <f t="shared" si="23"/>
        <v>0</v>
      </c>
      <c r="N222" s="710">
        <f t="shared" si="24"/>
        <v>-0.17670000000000002</v>
      </c>
      <c r="O222" s="711">
        <f t="shared" si="25"/>
        <v>-0.17670000000000002</v>
      </c>
      <c r="P222" s="712">
        <f t="shared" si="26"/>
        <v>5.7429620754612641E-4</v>
      </c>
      <c r="Q222" s="713">
        <f t="shared" si="27"/>
        <v>-1.0147813987340055E-4</v>
      </c>
    </row>
    <row r="223" spans="1:17">
      <c r="A223" s="3" t="s">
        <v>3992</v>
      </c>
      <c r="B223" s="3" t="s">
        <v>2535</v>
      </c>
      <c r="C223" s="3" t="s">
        <v>1787</v>
      </c>
      <c r="D223" s="3">
        <v>144078654317.60001</v>
      </c>
      <c r="E223" s="3">
        <v>1.8362109192720484</v>
      </c>
      <c r="F223" s="3">
        <v>7.61</v>
      </c>
      <c r="G223" s="3">
        <v>672.32219999999995</v>
      </c>
      <c r="H223" s="3">
        <v>214.3</v>
      </c>
      <c r="I223" s="706"/>
      <c r="J223" s="707" t="str">
        <f t="shared" si="28"/>
        <v>Honeywell International Inc</v>
      </c>
      <c r="K223" s="708" t="str">
        <f t="shared" si="28"/>
        <v>HON</v>
      </c>
      <c r="L223" s="709">
        <f t="shared" si="22"/>
        <v>144078.65431760001</v>
      </c>
      <c r="M223" s="710">
        <f t="shared" si="23"/>
        <v>1.8362109192720483E-2</v>
      </c>
      <c r="N223" s="710">
        <f t="shared" si="24"/>
        <v>7.6100000000000001E-2</v>
      </c>
      <c r="O223" s="711">
        <f t="shared" si="25"/>
        <v>9.5160787447503503E-2</v>
      </c>
      <c r="P223" s="712">
        <f t="shared" si="26"/>
        <v>4.4991908445209507E-3</v>
      </c>
      <c r="Q223" s="713">
        <f t="shared" si="27"/>
        <v>4.2814654364121198E-4</v>
      </c>
    </row>
    <row r="224" spans="1:17">
      <c r="A224" s="3" t="s">
        <v>1788</v>
      </c>
      <c r="B224" s="3" t="s">
        <v>2536</v>
      </c>
      <c r="C224" s="3" t="s">
        <v>1789</v>
      </c>
      <c r="D224" s="3">
        <v>20457796941.960003</v>
      </c>
      <c r="E224" s="3">
        <v>3.0451127819548871</v>
      </c>
      <c r="F224" s="3">
        <v>3.34</v>
      </c>
      <c r="G224" s="3">
        <v>1281.817</v>
      </c>
      <c r="H224" s="3">
        <v>15.96</v>
      </c>
      <c r="I224" s="706"/>
      <c r="J224" s="707" t="str">
        <f t="shared" si="28"/>
        <v>Hewlett Packard Enterprise Co</v>
      </c>
      <c r="K224" s="708" t="str">
        <f t="shared" si="28"/>
        <v>HPE</v>
      </c>
      <c r="L224" s="709">
        <f t="shared" si="22"/>
        <v>20457.796941960001</v>
      </c>
      <c r="M224" s="710">
        <f t="shared" si="23"/>
        <v>3.0451127819548871E-2</v>
      </c>
      <c r="N224" s="710">
        <f t="shared" si="24"/>
        <v>3.3399999999999999E-2</v>
      </c>
      <c r="O224" s="711">
        <f t="shared" si="25"/>
        <v>6.4359661654135342E-2</v>
      </c>
      <c r="P224" s="712">
        <f t="shared" si="26"/>
        <v>6.3884225693445768E-4</v>
      </c>
      <c r="Q224" s="713">
        <f t="shared" si="27"/>
        <v>4.1115671506665894E-5</v>
      </c>
    </row>
    <row r="225" spans="1:17">
      <c r="A225" s="3" t="s">
        <v>1790</v>
      </c>
      <c r="B225" s="3" t="s">
        <v>2537</v>
      </c>
      <c r="C225" s="3" t="s">
        <v>1791</v>
      </c>
      <c r="D225" s="3">
        <v>26390257538.52</v>
      </c>
      <c r="E225" s="3">
        <v>3.9114253814663189</v>
      </c>
      <c r="F225" s="3">
        <v>-1.59</v>
      </c>
      <c r="G225" s="3">
        <v>982.14580000000001</v>
      </c>
      <c r="H225" s="3">
        <v>26.87</v>
      </c>
      <c r="I225" s="706"/>
      <c r="J225" s="707" t="str">
        <f t="shared" si="28"/>
        <v>HP Inc</v>
      </c>
      <c r="K225" s="708" t="str">
        <f t="shared" si="28"/>
        <v>HPQ</v>
      </c>
      <c r="L225" s="709">
        <f t="shared" si="22"/>
        <v>26390.25753852</v>
      </c>
      <c r="M225" s="710">
        <f t="shared" si="23"/>
        <v>3.9114253814663186E-2</v>
      </c>
      <c r="N225" s="710">
        <f t="shared" si="24"/>
        <v>-1.5900000000000001E-2</v>
      </c>
      <c r="O225" s="711">
        <f t="shared" si="25"/>
        <v>2.2903295496836614E-2</v>
      </c>
      <c r="P225" s="712">
        <f t="shared" si="26"/>
        <v>8.2409712711590101E-4</v>
      </c>
      <c r="Q225" s="713">
        <f t="shared" si="27"/>
        <v>1.8874540020429608E-5</v>
      </c>
    </row>
    <row r="226" spans="1:17">
      <c r="A226" s="3" t="s">
        <v>1792</v>
      </c>
      <c r="B226" s="3" t="s">
        <v>2538</v>
      </c>
      <c r="C226" s="3" t="s">
        <v>1444</v>
      </c>
      <c r="D226" s="3">
        <v>24889622036.700001</v>
      </c>
      <c r="E226" s="3">
        <v>2.4083424807903406</v>
      </c>
      <c r="F226" s="3">
        <v>4.55</v>
      </c>
      <c r="G226" s="3">
        <v>546.42419999999993</v>
      </c>
      <c r="H226" s="3">
        <v>45.55</v>
      </c>
      <c r="I226" s="706"/>
      <c r="J226" s="707" t="str">
        <f t="shared" si="28"/>
        <v>Hormel Foods Corp</v>
      </c>
      <c r="K226" s="708" t="str">
        <f t="shared" si="28"/>
        <v>HRL</v>
      </c>
      <c r="L226" s="709">
        <f t="shared" si="22"/>
        <v>24889.622036700002</v>
      </c>
      <c r="M226" s="710">
        <f t="shared" si="23"/>
        <v>2.4083424807903406E-2</v>
      </c>
      <c r="N226" s="710">
        <f t="shared" si="24"/>
        <v>4.5499999999999999E-2</v>
      </c>
      <c r="O226" s="711">
        <f t="shared" si="25"/>
        <v>7.0131322722283201E-2</v>
      </c>
      <c r="P226" s="712">
        <f t="shared" si="26"/>
        <v>7.7723629583780873E-4</v>
      </c>
      <c r="Q226" s="713">
        <f t="shared" si="27"/>
        <v>5.4508609494873341E-5</v>
      </c>
    </row>
    <row r="227" spans="1:17">
      <c r="A227" s="3" t="s">
        <v>1793</v>
      </c>
      <c r="B227" s="3" t="s">
        <v>2539</v>
      </c>
      <c r="C227" s="3" t="s">
        <v>1794</v>
      </c>
      <c r="D227" s="3">
        <v>10826184815.25</v>
      </c>
      <c r="E227" s="3" t="s">
        <v>1483</v>
      </c>
      <c r="F227" s="3">
        <v>6.8100000000000005</v>
      </c>
      <c r="G227" s="3">
        <v>135.54759999999999</v>
      </c>
      <c r="H227" s="3">
        <v>79.87</v>
      </c>
      <c r="I227" s="706"/>
      <c r="J227" s="707" t="str">
        <f t="shared" si="28"/>
        <v>Henry Schein Inc</v>
      </c>
      <c r="K227" s="708" t="str">
        <f t="shared" si="28"/>
        <v>HSIC</v>
      </c>
      <c r="L227" s="709">
        <f t="shared" si="22"/>
        <v>10826.184815250001</v>
      </c>
      <c r="M227" s="710" t="str">
        <f t="shared" si="23"/>
        <v>0.00%</v>
      </c>
      <c r="N227" s="710">
        <f t="shared" si="24"/>
        <v>6.8100000000000008E-2</v>
      </c>
      <c r="O227" s="711">
        <f t="shared" si="25"/>
        <v>6.8100000000000008E-2</v>
      </c>
      <c r="P227" s="712">
        <f t="shared" si="26"/>
        <v>3.3807278276275834E-4</v>
      </c>
      <c r="Q227" s="713">
        <f t="shared" si="27"/>
        <v>2.3022756506143845E-5</v>
      </c>
    </row>
    <row r="228" spans="1:17">
      <c r="A228" s="3" t="s">
        <v>3943</v>
      </c>
      <c r="B228" s="3" t="s">
        <v>2540</v>
      </c>
      <c r="C228" s="3" t="s">
        <v>1795</v>
      </c>
      <c r="D228" s="3">
        <v>11476195564.050001</v>
      </c>
      <c r="E228" s="3">
        <v>2.2367601246105919</v>
      </c>
      <c r="F228" s="3" t="s">
        <v>1483</v>
      </c>
      <c r="G228" s="3">
        <v>715.02779999999996</v>
      </c>
      <c r="H228" s="3">
        <v>16.05</v>
      </c>
      <c r="I228" s="706"/>
      <c r="J228" s="707" t="str">
        <f t="shared" si="28"/>
        <v>Host Hotels &amp; Resorts Inc</v>
      </c>
      <c r="K228" s="708" t="str">
        <f t="shared" si="28"/>
        <v>HST</v>
      </c>
      <c r="L228" s="709">
        <f t="shared" si="22"/>
        <v>11476.195564050002</v>
      </c>
      <c r="M228" s="710">
        <f t="shared" si="23"/>
        <v>2.2367601246105918E-2</v>
      </c>
      <c r="N228" s="710" t="str">
        <f t="shared" si="24"/>
        <v>N/A</v>
      </c>
      <c r="O228" s="711" t="str">
        <f t="shared" si="25"/>
        <v>N/A</v>
      </c>
      <c r="P228" s="712" t="str">
        <f t="shared" si="26"/>
        <v>N/A</v>
      </c>
      <c r="Q228" s="713" t="str">
        <f t="shared" si="27"/>
        <v>N/A</v>
      </c>
    </row>
    <row r="229" spans="1:17">
      <c r="A229" s="3" t="s">
        <v>1796</v>
      </c>
      <c r="B229" s="3" t="s">
        <v>2541</v>
      </c>
      <c r="C229" s="3" t="s">
        <v>1797</v>
      </c>
      <c r="D229" s="3">
        <v>47490972124.32</v>
      </c>
      <c r="E229" s="3">
        <v>1.6746556116940883</v>
      </c>
      <c r="F229" s="3">
        <v>10</v>
      </c>
      <c r="G229" s="3">
        <v>146.96879999999999</v>
      </c>
      <c r="H229" s="3">
        <v>231.57</v>
      </c>
      <c r="I229" s="706"/>
      <c r="J229" s="707" t="str">
        <f t="shared" si="28"/>
        <v>Hershey Co/The</v>
      </c>
      <c r="K229" s="708" t="str">
        <f t="shared" si="28"/>
        <v>HSY</v>
      </c>
      <c r="L229" s="709">
        <f t="shared" si="22"/>
        <v>47490.972124319997</v>
      </c>
      <c r="M229" s="710">
        <f t="shared" si="23"/>
        <v>1.6746556116940883E-2</v>
      </c>
      <c r="N229" s="710">
        <f t="shared" si="24"/>
        <v>0.1</v>
      </c>
      <c r="O229" s="711">
        <f t="shared" si="25"/>
        <v>0.11758388392278793</v>
      </c>
      <c r="P229" s="712">
        <f t="shared" si="26"/>
        <v>1.4830159817299121E-3</v>
      </c>
      <c r="Q229" s="713">
        <f t="shared" si="27"/>
        <v>1.7437877905136936E-4</v>
      </c>
    </row>
    <row r="230" spans="1:17">
      <c r="A230" s="3" t="s">
        <v>1798</v>
      </c>
      <c r="B230" s="3" t="s">
        <v>2542</v>
      </c>
      <c r="C230" s="3" t="s">
        <v>1799</v>
      </c>
      <c r="D230" s="3">
        <v>64843416876.420006</v>
      </c>
      <c r="E230" s="3">
        <v>0.58689158320154633</v>
      </c>
      <c r="F230" s="3">
        <v>14.96</v>
      </c>
      <c r="G230" s="3">
        <v>126.60029999999999</v>
      </c>
      <c r="H230" s="3">
        <v>512.19000000000005</v>
      </c>
      <c r="I230" s="706"/>
      <c r="J230" s="707" t="str">
        <f t="shared" si="28"/>
        <v>Humana Inc</v>
      </c>
      <c r="K230" s="708" t="str">
        <f t="shared" si="28"/>
        <v>HUM</v>
      </c>
      <c r="L230" s="709">
        <f t="shared" si="22"/>
        <v>64843.416876420008</v>
      </c>
      <c r="M230" s="710">
        <f t="shared" si="23"/>
        <v>5.8689158320154632E-3</v>
      </c>
      <c r="N230" s="710">
        <f t="shared" si="24"/>
        <v>0.14960000000000001</v>
      </c>
      <c r="O230" s="711">
        <f t="shared" si="25"/>
        <v>0.15590791073625024</v>
      </c>
      <c r="P230" s="712">
        <f t="shared" si="26"/>
        <v>2.0248863991659738E-3</v>
      </c>
      <c r="Q230" s="713">
        <f t="shared" si="27"/>
        <v>3.1569580797221583E-4</v>
      </c>
    </row>
    <row r="231" spans="1:17">
      <c r="A231" s="3" t="s">
        <v>2996</v>
      </c>
      <c r="B231" s="3" t="s">
        <v>2997</v>
      </c>
      <c r="C231" s="3" t="s">
        <v>2998</v>
      </c>
      <c r="D231" s="3">
        <v>16304391378.17</v>
      </c>
      <c r="E231" s="3">
        <v>0.24613042375031724</v>
      </c>
      <c r="F231" s="3">
        <v>23.91</v>
      </c>
      <c r="G231" s="3">
        <v>413.71199999999999</v>
      </c>
      <c r="H231" s="3">
        <v>39.409999999999997</v>
      </c>
      <c r="I231" s="706"/>
      <c r="J231" s="707" t="str">
        <f t="shared" si="28"/>
        <v>Howmet Aerospace Inc</v>
      </c>
      <c r="K231" s="708" t="str">
        <f t="shared" si="28"/>
        <v>HWM</v>
      </c>
      <c r="L231" s="709">
        <f t="shared" si="22"/>
        <v>16304.391378169999</v>
      </c>
      <c r="M231" s="710">
        <f t="shared" si="23"/>
        <v>2.4613042375031726E-3</v>
      </c>
      <c r="N231" s="710">
        <f t="shared" si="24"/>
        <v>0.23910000000000001</v>
      </c>
      <c r="O231" s="711">
        <f t="shared" si="25"/>
        <v>0.24185555315909668</v>
      </c>
      <c r="P231" s="712">
        <f t="shared" si="26"/>
        <v>5.0914251497966598E-4</v>
      </c>
      <c r="Q231" s="713">
        <f t="shared" si="27"/>
        <v>1.2313894459722079E-4</v>
      </c>
    </row>
    <row r="232" spans="1:17">
      <c r="A232" s="3" t="s">
        <v>1800</v>
      </c>
      <c r="B232" s="3" t="s">
        <v>2543</v>
      </c>
      <c r="C232" s="3" t="s">
        <v>1801</v>
      </c>
      <c r="D232" s="3">
        <v>127382363283.06998</v>
      </c>
      <c r="E232" s="3">
        <v>4.7207040953935699</v>
      </c>
      <c r="F232" s="3">
        <v>8.2900000000000009</v>
      </c>
      <c r="G232" s="3">
        <v>904.12639999999999</v>
      </c>
      <c r="H232" s="3">
        <v>140.88999999999999</v>
      </c>
      <c r="I232" s="706"/>
      <c r="J232" s="707" t="str">
        <f t="shared" si="28"/>
        <v>International Business Machines Corp</v>
      </c>
      <c r="K232" s="708" t="str">
        <f t="shared" si="28"/>
        <v>IBM</v>
      </c>
      <c r="L232" s="709">
        <f t="shared" si="22"/>
        <v>127382.36328306998</v>
      </c>
      <c r="M232" s="710">
        <f t="shared" si="23"/>
        <v>4.72070409539357E-2</v>
      </c>
      <c r="N232" s="710">
        <f t="shared" si="24"/>
        <v>8.2900000000000015E-2</v>
      </c>
      <c r="O232" s="711">
        <f t="shared" si="25"/>
        <v>0.13206377280147635</v>
      </c>
      <c r="P232" s="712">
        <f t="shared" si="26"/>
        <v>3.977810351929561E-3</v>
      </c>
      <c r="Q232" s="713">
        <f t="shared" si="27"/>
        <v>5.2532464256458626E-4</v>
      </c>
    </row>
    <row r="233" spans="1:17">
      <c r="A233" s="3" t="s">
        <v>1802</v>
      </c>
      <c r="B233" s="3" t="s">
        <v>2544</v>
      </c>
      <c r="C233" s="3" t="s">
        <v>1803</v>
      </c>
      <c r="D233" s="3">
        <v>57301811208.75</v>
      </c>
      <c r="E233" s="3">
        <v>1.4670045813432109</v>
      </c>
      <c r="F233" s="3">
        <v>7.01</v>
      </c>
      <c r="G233" s="3">
        <v>558.55160000000001</v>
      </c>
      <c r="H233" s="3">
        <v>102.59</v>
      </c>
      <c r="I233" s="706"/>
      <c r="J233" s="707" t="str">
        <f t="shared" si="28"/>
        <v>Intercontinental Exchange Inc</v>
      </c>
      <c r="K233" s="708" t="str">
        <f t="shared" si="28"/>
        <v>ICE</v>
      </c>
      <c r="L233" s="709">
        <f t="shared" si="22"/>
        <v>57301.811208749998</v>
      </c>
      <c r="M233" s="710">
        <f t="shared" si="23"/>
        <v>1.4670045813432109E-2</v>
      </c>
      <c r="N233" s="710">
        <f t="shared" si="24"/>
        <v>7.0099999999999996E-2</v>
      </c>
      <c r="O233" s="711">
        <f t="shared" si="25"/>
        <v>8.5284230919192905E-2</v>
      </c>
      <c r="P233" s="712">
        <f t="shared" si="26"/>
        <v>1.7893822342105454E-3</v>
      </c>
      <c r="Q233" s="713">
        <f t="shared" si="27"/>
        <v>1.5260608766511349E-4</v>
      </c>
    </row>
    <row r="234" spans="1:17">
      <c r="A234" s="3" t="s">
        <v>2210</v>
      </c>
      <c r="B234" s="3" t="s">
        <v>2545</v>
      </c>
      <c r="C234" s="3" t="s">
        <v>2211</v>
      </c>
      <c r="D234" s="3">
        <v>33786005777.719997</v>
      </c>
      <c r="E234" s="3" t="s">
        <v>1483</v>
      </c>
      <c r="F234" s="3">
        <v>17.34</v>
      </c>
      <c r="G234" s="3">
        <v>82.816959999999995</v>
      </c>
      <c r="H234" s="3">
        <v>407.96</v>
      </c>
      <c r="I234" s="706"/>
      <c r="J234" s="707" t="str">
        <f t="shared" si="28"/>
        <v>IDEXX Laboratories Inc</v>
      </c>
      <c r="K234" s="708" t="str">
        <f t="shared" si="28"/>
        <v>IDXX</v>
      </c>
      <c r="L234" s="709">
        <f t="shared" si="22"/>
        <v>33786.005777719998</v>
      </c>
      <c r="M234" s="710" t="str">
        <f t="shared" si="23"/>
        <v>0.00%</v>
      </c>
      <c r="N234" s="710">
        <f t="shared" si="24"/>
        <v>0.1734</v>
      </c>
      <c r="O234" s="711">
        <f t="shared" si="25"/>
        <v>0.1734</v>
      </c>
      <c r="P234" s="712">
        <f t="shared" si="26"/>
        <v>1.0550465548697238E-3</v>
      </c>
      <c r="Q234" s="713">
        <f t="shared" si="27"/>
        <v>1.8294507261441009E-4</v>
      </c>
    </row>
    <row r="235" spans="1:17">
      <c r="A235" s="3" t="s">
        <v>2905</v>
      </c>
      <c r="B235" s="3" t="s">
        <v>2906</v>
      </c>
      <c r="C235" s="3" t="s">
        <v>2907</v>
      </c>
      <c r="D235" s="3">
        <v>17220901817.970001</v>
      </c>
      <c r="E235" s="3">
        <v>1.0138834143564139</v>
      </c>
      <c r="F235" s="3">
        <v>15</v>
      </c>
      <c r="G235" s="3">
        <v>75.421109999999999</v>
      </c>
      <c r="H235" s="3">
        <v>228.33</v>
      </c>
      <c r="I235" s="706"/>
      <c r="J235" s="707" t="str">
        <f t="shared" si="28"/>
        <v>IDEX Corp</v>
      </c>
      <c r="K235" s="708" t="str">
        <f t="shared" si="28"/>
        <v>IEX</v>
      </c>
      <c r="L235" s="709">
        <f t="shared" si="22"/>
        <v>17220.90181797</v>
      </c>
      <c r="M235" s="710">
        <f t="shared" si="23"/>
        <v>1.0138834143564139E-2</v>
      </c>
      <c r="N235" s="710">
        <f t="shared" si="24"/>
        <v>0.15</v>
      </c>
      <c r="O235" s="711">
        <f t="shared" si="25"/>
        <v>0.16089924670433145</v>
      </c>
      <c r="P235" s="712">
        <f t="shared" si="26"/>
        <v>5.3776268358955779E-4</v>
      </c>
      <c r="Q235" s="713">
        <f t="shared" si="27"/>
        <v>8.6525610695259596E-5</v>
      </c>
    </row>
    <row r="236" spans="1:17">
      <c r="A236" s="3" t="s">
        <v>1804</v>
      </c>
      <c r="B236" s="3" t="s">
        <v>2546</v>
      </c>
      <c r="C236" s="3" t="s">
        <v>1805</v>
      </c>
      <c r="D236" s="3">
        <v>26730242604.52</v>
      </c>
      <c r="E236" s="3">
        <v>2.9845478824875999</v>
      </c>
      <c r="F236" s="3">
        <v>4.87</v>
      </c>
      <c r="G236" s="3">
        <v>254.9623</v>
      </c>
      <c r="H236" s="3">
        <v>104.84</v>
      </c>
      <c r="I236" s="706"/>
      <c r="J236" s="707" t="str">
        <f t="shared" si="28"/>
        <v>International Flavors &amp; Fragrances Inc</v>
      </c>
      <c r="K236" s="708" t="str">
        <f t="shared" si="28"/>
        <v>IFF</v>
      </c>
      <c r="L236" s="709">
        <f t="shared" si="22"/>
        <v>26730.242604520001</v>
      </c>
      <c r="M236" s="710">
        <f t="shared" si="23"/>
        <v>2.9845478824875999E-2</v>
      </c>
      <c r="N236" s="710">
        <f t="shared" si="24"/>
        <v>4.87E-2</v>
      </c>
      <c r="O236" s="711">
        <f t="shared" si="25"/>
        <v>7.9272216234261728E-2</v>
      </c>
      <c r="P236" s="712">
        <f t="shared" si="26"/>
        <v>8.347139509852381E-4</v>
      </c>
      <c r="Q236" s="713">
        <f t="shared" si="27"/>
        <v>6.616962481625674E-5</v>
      </c>
    </row>
    <row r="237" spans="1:17">
      <c r="A237" s="3" t="s">
        <v>1806</v>
      </c>
      <c r="B237" s="3" t="s">
        <v>2547</v>
      </c>
      <c r="C237" s="3" t="s">
        <v>1807</v>
      </c>
      <c r="D237" s="3">
        <v>31806060000</v>
      </c>
      <c r="E237" s="3">
        <v>0</v>
      </c>
      <c r="F237" s="3" t="s">
        <v>1483</v>
      </c>
      <c r="G237" s="3">
        <v>157.29999999999998</v>
      </c>
      <c r="H237" s="3">
        <v>202.2</v>
      </c>
      <c r="I237" s="706"/>
      <c r="J237" s="707" t="str">
        <f t="shared" si="28"/>
        <v>Illumina Inc</v>
      </c>
      <c r="K237" s="708" t="str">
        <f t="shared" si="28"/>
        <v>ILMN</v>
      </c>
      <c r="L237" s="709">
        <f t="shared" si="22"/>
        <v>31806.06</v>
      </c>
      <c r="M237" s="710">
        <f t="shared" si="23"/>
        <v>0</v>
      </c>
      <c r="N237" s="710" t="str">
        <f t="shared" si="24"/>
        <v>N/A</v>
      </c>
      <c r="O237" s="711" t="str">
        <f t="shared" si="25"/>
        <v>N/A</v>
      </c>
      <c r="P237" s="712" t="str">
        <f t="shared" si="26"/>
        <v>N/A</v>
      </c>
      <c r="Q237" s="713" t="str">
        <f t="shared" si="27"/>
        <v>N/A</v>
      </c>
    </row>
    <row r="238" spans="1:17">
      <c r="A238" s="3" t="s">
        <v>2228</v>
      </c>
      <c r="B238" s="3" t="s">
        <v>2548</v>
      </c>
      <c r="C238" s="3" t="s">
        <v>2229</v>
      </c>
      <c r="D238" s="3">
        <v>17869229589.759998</v>
      </c>
      <c r="E238" s="3">
        <v>0</v>
      </c>
      <c r="F238" s="3">
        <v>22.900000000000002</v>
      </c>
      <c r="G238" s="3">
        <v>222.47549999999998</v>
      </c>
      <c r="H238" s="3">
        <v>80.319999999999993</v>
      </c>
      <c r="I238" s="706"/>
      <c r="J238" s="707" t="str">
        <f t="shared" si="28"/>
        <v>Incyte Corp</v>
      </c>
      <c r="K238" s="708" t="str">
        <f t="shared" si="28"/>
        <v>INCY</v>
      </c>
      <c r="L238" s="709">
        <f t="shared" si="22"/>
        <v>17869.229589759998</v>
      </c>
      <c r="M238" s="710">
        <f t="shared" si="23"/>
        <v>0</v>
      </c>
      <c r="N238" s="710">
        <f t="shared" si="24"/>
        <v>0.22900000000000001</v>
      </c>
      <c r="O238" s="711">
        <f t="shared" si="25"/>
        <v>0.22900000000000001</v>
      </c>
      <c r="P238" s="712">
        <f t="shared" si="26"/>
        <v>5.5800822508841332E-4</v>
      </c>
      <c r="Q238" s="713">
        <f t="shared" si="27"/>
        <v>1.2778388354524664E-4</v>
      </c>
    </row>
    <row r="239" spans="1:17">
      <c r="A239" s="3" t="s">
        <v>1808</v>
      </c>
      <c r="B239" s="3" t="s">
        <v>2549</v>
      </c>
      <c r="C239" s="3" t="s">
        <v>1809</v>
      </c>
      <c r="D239" s="3">
        <v>109076610000</v>
      </c>
      <c r="E239" s="3">
        <v>5.4786227771471809</v>
      </c>
      <c r="F239" s="3">
        <v>-10.370000000000001</v>
      </c>
      <c r="G239" s="3">
        <v>4127</v>
      </c>
      <c r="H239" s="3">
        <v>26.43</v>
      </c>
      <c r="I239" s="706"/>
      <c r="J239" s="707" t="str">
        <f t="shared" si="28"/>
        <v>Intel Corp</v>
      </c>
      <c r="K239" s="708" t="str">
        <f t="shared" si="28"/>
        <v>INTC</v>
      </c>
      <c r="L239" s="709">
        <f t="shared" si="22"/>
        <v>109076.61</v>
      </c>
      <c r="M239" s="710">
        <f t="shared" si="23"/>
        <v>5.478622777147181E-2</v>
      </c>
      <c r="N239" s="710">
        <f t="shared" si="24"/>
        <v>-0.10370000000000001</v>
      </c>
      <c r="O239" s="711">
        <f t="shared" si="25"/>
        <v>-5.1754438138479013E-2</v>
      </c>
      <c r="P239" s="712">
        <f t="shared" si="26"/>
        <v>3.4061706599617632E-3</v>
      </c>
      <c r="Q239" s="713">
        <f t="shared" si="27"/>
        <v>-1.762844487100933E-4</v>
      </c>
    </row>
    <row r="240" spans="1:17">
      <c r="A240" s="3" t="s">
        <v>1810</v>
      </c>
      <c r="B240" s="3" t="s">
        <v>2550</v>
      </c>
      <c r="C240" s="3" t="s">
        <v>1811</v>
      </c>
      <c r="D240" s="3">
        <v>109341764727</v>
      </c>
      <c r="E240" s="3">
        <v>0.75715533631365284</v>
      </c>
      <c r="F240" s="3">
        <v>19.164999999999999</v>
      </c>
      <c r="G240" s="3">
        <v>280.92529999999999</v>
      </c>
      <c r="H240" s="3">
        <v>389.22</v>
      </c>
      <c r="I240" s="706"/>
      <c r="J240" s="707" t="str">
        <f t="shared" si="28"/>
        <v>Intuit Inc</v>
      </c>
      <c r="K240" s="708" t="str">
        <f t="shared" si="28"/>
        <v>INTU</v>
      </c>
      <c r="L240" s="709">
        <f t="shared" si="22"/>
        <v>109341.764727</v>
      </c>
      <c r="M240" s="710">
        <f t="shared" si="23"/>
        <v>7.5715533631365286E-3</v>
      </c>
      <c r="N240" s="710">
        <f t="shared" si="24"/>
        <v>0.19164999999999999</v>
      </c>
      <c r="O240" s="711">
        <f t="shared" si="25"/>
        <v>0.19994709746415906</v>
      </c>
      <c r="P240" s="712">
        <f t="shared" si="26"/>
        <v>3.414450732577309E-3</v>
      </c>
      <c r="Q240" s="713">
        <f t="shared" si="27"/>
        <v>6.8270951341320451E-4</v>
      </c>
    </row>
    <row r="241" spans="1:17">
      <c r="A241" s="3" t="s">
        <v>4303</v>
      </c>
      <c r="B241" s="3" t="s">
        <v>4304</v>
      </c>
      <c r="C241" s="3" t="s">
        <v>4305</v>
      </c>
      <c r="D241" s="3">
        <v>18122189702.759998</v>
      </c>
      <c r="E241" s="3">
        <v>2.9622132253711198</v>
      </c>
      <c r="F241" s="3">
        <v>5.92</v>
      </c>
      <c r="G241" s="3">
        <v>611.40989999999999</v>
      </c>
      <c r="H241" s="3">
        <v>29.64</v>
      </c>
      <c r="I241" s="706"/>
      <c r="J241" s="707" t="str">
        <f t="shared" si="28"/>
        <v>Invitation Homes Inc</v>
      </c>
      <c r="K241" s="708" t="str">
        <f t="shared" si="28"/>
        <v>INVH</v>
      </c>
      <c r="L241" s="709">
        <f t="shared" si="22"/>
        <v>18122.189702759999</v>
      </c>
      <c r="M241" s="710">
        <f t="shared" si="23"/>
        <v>2.9622132253711197E-2</v>
      </c>
      <c r="N241" s="710">
        <f t="shared" si="24"/>
        <v>5.9200000000000003E-2</v>
      </c>
      <c r="O241" s="711">
        <f t="shared" si="25"/>
        <v>8.9698947368421045E-2</v>
      </c>
      <c r="P241" s="712">
        <f t="shared" si="26"/>
        <v>5.6590749253943896E-4</v>
      </c>
      <c r="Q241" s="713">
        <f t="shared" si="27"/>
        <v>5.0761306388690261E-5</v>
      </c>
    </row>
    <row r="242" spans="1:17">
      <c r="A242" s="3" t="s">
        <v>1812</v>
      </c>
      <c r="B242" s="3" t="s">
        <v>2551</v>
      </c>
      <c r="C242" s="3" t="s">
        <v>1813</v>
      </c>
      <c r="D242" s="3">
        <v>12316852411.67</v>
      </c>
      <c r="E242" s="3">
        <v>5.3537395321975163</v>
      </c>
      <c r="F242" s="3">
        <v>-2</v>
      </c>
      <c r="G242" s="3">
        <v>355.66999999999996</v>
      </c>
      <c r="H242" s="3">
        <v>34.630000000000003</v>
      </c>
      <c r="I242" s="706"/>
      <c r="J242" s="707" t="str">
        <f t="shared" si="28"/>
        <v>International Paper Co</v>
      </c>
      <c r="K242" s="708" t="str">
        <f t="shared" si="28"/>
        <v>IP</v>
      </c>
      <c r="L242" s="709">
        <f t="shared" si="22"/>
        <v>12316.852411670001</v>
      </c>
      <c r="M242" s="710">
        <f t="shared" si="23"/>
        <v>5.3537395321975163E-2</v>
      </c>
      <c r="N242" s="710">
        <f t="shared" si="24"/>
        <v>-0.02</v>
      </c>
      <c r="O242" s="711">
        <f t="shared" si="25"/>
        <v>3.3002021368755408E-2</v>
      </c>
      <c r="P242" s="712">
        <f t="shared" si="26"/>
        <v>3.8462234302761737E-4</v>
      </c>
      <c r="Q242" s="713">
        <f t="shared" si="27"/>
        <v>1.2693314783498201E-5</v>
      </c>
    </row>
    <row r="243" spans="1:17">
      <c r="A243" s="3" t="s">
        <v>1814</v>
      </c>
      <c r="B243" s="3" t="s">
        <v>2552</v>
      </c>
      <c r="C243" s="3" t="s">
        <v>1815</v>
      </c>
      <c r="D243" s="3">
        <v>12941758356.580002</v>
      </c>
      <c r="E243" s="3">
        <v>3.4404082858000602</v>
      </c>
      <c r="F243" s="3">
        <v>1.51</v>
      </c>
      <c r="G243" s="3">
        <v>388.5247</v>
      </c>
      <c r="H243" s="3">
        <v>33.31</v>
      </c>
      <c r="I243" s="706"/>
      <c r="J243" s="707" t="str">
        <f t="shared" si="28"/>
        <v>Interpublic Group of Cos Inc/The</v>
      </c>
      <c r="K243" s="708" t="str">
        <f t="shared" si="28"/>
        <v>IPG</v>
      </c>
      <c r="L243" s="709">
        <f t="shared" si="22"/>
        <v>12941.758356580001</v>
      </c>
      <c r="M243" s="710">
        <f t="shared" si="23"/>
        <v>3.4404082858000604E-2</v>
      </c>
      <c r="N243" s="710">
        <f t="shared" si="24"/>
        <v>1.5100000000000001E-2</v>
      </c>
      <c r="O243" s="711">
        <f t="shared" si="25"/>
        <v>4.9763833683578507E-2</v>
      </c>
      <c r="P243" s="712">
        <f t="shared" si="26"/>
        <v>4.0413648354581031E-4</v>
      </c>
      <c r="Q243" s="713">
        <f t="shared" si="27"/>
        <v>2.0111380752639965E-5</v>
      </c>
    </row>
    <row r="244" spans="1:17">
      <c r="A244" s="3" t="s">
        <v>2303</v>
      </c>
      <c r="B244" s="3" t="s">
        <v>2553</v>
      </c>
      <c r="C244" s="3" t="s">
        <v>2299</v>
      </c>
      <c r="D244" s="3">
        <v>38056273312.470001</v>
      </c>
      <c r="E244" s="3" t="s">
        <v>1483</v>
      </c>
      <c r="F244" s="3">
        <v>17.225000000000001</v>
      </c>
      <c r="G244" s="3">
        <v>185.73999999999998</v>
      </c>
      <c r="H244" s="3">
        <v>204.89</v>
      </c>
      <c r="I244" s="706"/>
      <c r="J244" s="707" t="str">
        <f t="shared" si="28"/>
        <v>IQVIA Holdings Inc</v>
      </c>
      <c r="K244" s="708" t="str">
        <f t="shared" si="28"/>
        <v>IQV</v>
      </c>
      <c r="L244" s="709">
        <f t="shared" si="22"/>
        <v>38056.273312470003</v>
      </c>
      <c r="M244" s="710" t="str">
        <f t="shared" si="23"/>
        <v>0.00%</v>
      </c>
      <c r="N244" s="710">
        <f t="shared" si="24"/>
        <v>0.17225000000000001</v>
      </c>
      <c r="O244" s="711">
        <f t="shared" si="25"/>
        <v>0.17225000000000001</v>
      </c>
      <c r="P244" s="712">
        <f t="shared" si="26"/>
        <v>1.1883955834749648E-3</v>
      </c>
      <c r="Q244" s="713">
        <f t="shared" si="27"/>
        <v>2.0470113925356271E-4</v>
      </c>
    </row>
    <row r="245" spans="1:17">
      <c r="A245" s="3" t="s">
        <v>1816</v>
      </c>
      <c r="B245" s="3" t="s">
        <v>2999</v>
      </c>
      <c r="C245" s="3" t="s">
        <v>1817</v>
      </c>
      <c r="D245" s="3">
        <v>21157370071.75</v>
      </c>
      <c r="E245" s="3">
        <v>0.15693779904306221</v>
      </c>
      <c r="F245" s="3" t="s">
        <v>1483</v>
      </c>
      <c r="G245" s="3">
        <v>404.92570000000001</v>
      </c>
      <c r="H245" s="3">
        <v>52.25</v>
      </c>
      <c r="I245" s="706"/>
      <c r="J245" s="707" t="str">
        <f t="shared" si="28"/>
        <v>Ingersoll Rand Inc</v>
      </c>
      <c r="K245" s="708" t="str">
        <f t="shared" si="28"/>
        <v>IR</v>
      </c>
      <c r="L245" s="709">
        <f t="shared" si="22"/>
        <v>21157.37007175</v>
      </c>
      <c r="M245" s="710">
        <f t="shared" si="23"/>
        <v>1.5693779904306221E-3</v>
      </c>
      <c r="N245" s="710" t="str">
        <f t="shared" si="24"/>
        <v>N/A</v>
      </c>
      <c r="O245" s="711" t="str">
        <f t="shared" si="25"/>
        <v>N/A</v>
      </c>
      <c r="P245" s="712" t="str">
        <f t="shared" si="26"/>
        <v>N/A</v>
      </c>
      <c r="Q245" s="713" t="str">
        <f t="shared" si="27"/>
        <v>N/A</v>
      </c>
    </row>
    <row r="246" spans="1:17">
      <c r="A246" s="3" t="s">
        <v>1818</v>
      </c>
      <c r="B246" s="3" t="s">
        <v>2554</v>
      </c>
      <c r="C246" s="3" t="s">
        <v>1819</v>
      </c>
      <c r="D246" s="3">
        <v>14492094744.450001</v>
      </c>
      <c r="E246" s="3">
        <v>4.9689067201604811</v>
      </c>
      <c r="F246" s="3">
        <v>4</v>
      </c>
      <c r="G246" s="3">
        <v>290.714</v>
      </c>
      <c r="H246" s="3">
        <v>49.85</v>
      </c>
      <c r="I246" s="706"/>
      <c r="J246" s="707" t="str">
        <f t="shared" si="28"/>
        <v>Iron Mountain Inc</v>
      </c>
      <c r="K246" s="708" t="str">
        <f t="shared" si="28"/>
        <v>IRM</v>
      </c>
      <c r="L246" s="709">
        <f t="shared" si="22"/>
        <v>14492.094744450002</v>
      </c>
      <c r="M246" s="710">
        <f t="shared" si="23"/>
        <v>4.9689067201604813E-2</v>
      </c>
      <c r="N246" s="710">
        <f t="shared" si="24"/>
        <v>0.04</v>
      </c>
      <c r="O246" s="711">
        <f t="shared" si="25"/>
        <v>9.0682848545636907E-2</v>
      </c>
      <c r="P246" s="712">
        <f t="shared" si="26"/>
        <v>4.5254934050418014E-4</v>
      </c>
      <c r="Q246" s="713">
        <f t="shared" si="27"/>
        <v>4.1038463304368431E-5</v>
      </c>
    </row>
    <row r="247" spans="1:17">
      <c r="A247" s="3" t="s">
        <v>1820</v>
      </c>
      <c r="B247" s="3" t="s">
        <v>2555</v>
      </c>
      <c r="C247" s="3" t="s">
        <v>1821</v>
      </c>
      <c r="D247" s="3">
        <v>93770595649.500015</v>
      </c>
      <c r="E247" s="3">
        <v>0</v>
      </c>
      <c r="F247" s="3">
        <v>12.72</v>
      </c>
      <c r="G247" s="3">
        <v>353.38459999999998</v>
      </c>
      <c r="H247" s="3">
        <v>265.35000000000002</v>
      </c>
      <c r="I247" s="706"/>
      <c r="J247" s="707" t="str">
        <f t="shared" si="28"/>
        <v>Intuitive Surgical Inc</v>
      </c>
      <c r="K247" s="708" t="str">
        <f t="shared" si="28"/>
        <v>ISRG</v>
      </c>
      <c r="L247" s="709">
        <f t="shared" si="22"/>
        <v>93770.595649500014</v>
      </c>
      <c r="M247" s="710">
        <f t="shared" si="23"/>
        <v>0</v>
      </c>
      <c r="N247" s="710">
        <f t="shared" si="24"/>
        <v>0.12720000000000001</v>
      </c>
      <c r="O247" s="711">
        <f t="shared" si="25"/>
        <v>0.12720000000000001</v>
      </c>
      <c r="P247" s="712">
        <f t="shared" si="26"/>
        <v>2.9282047880701931E-3</v>
      </c>
      <c r="Q247" s="713">
        <f t="shared" si="27"/>
        <v>3.7246764904252857E-4</v>
      </c>
    </row>
    <row r="248" spans="1:17">
      <c r="A248" s="3" t="s">
        <v>2260</v>
      </c>
      <c r="B248" s="3" t="s">
        <v>2556</v>
      </c>
      <c r="C248" s="3" t="s">
        <v>2257</v>
      </c>
      <c r="D248" s="3">
        <v>26563255093.199997</v>
      </c>
      <c r="E248" s="3" t="s">
        <v>1483</v>
      </c>
      <c r="F248" s="3">
        <v>11.13</v>
      </c>
      <c r="G248" s="3">
        <v>79.024379999999994</v>
      </c>
      <c r="H248" s="3">
        <v>336.14</v>
      </c>
      <c r="I248" s="706"/>
      <c r="J248" s="707" t="str">
        <f t="shared" si="28"/>
        <v>Gartner Inc</v>
      </c>
      <c r="K248" s="708" t="str">
        <f t="shared" si="28"/>
        <v>IT</v>
      </c>
      <c r="L248" s="709">
        <f t="shared" si="22"/>
        <v>26563.255093199998</v>
      </c>
      <c r="M248" s="710" t="str">
        <f t="shared" si="23"/>
        <v>0.00%</v>
      </c>
      <c r="N248" s="710">
        <f t="shared" si="24"/>
        <v>0.11130000000000001</v>
      </c>
      <c r="O248" s="711">
        <f t="shared" si="25"/>
        <v>0.11130000000000001</v>
      </c>
      <c r="P248" s="712">
        <f t="shared" si="26"/>
        <v>8.2949937783671215E-4</v>
      </c>
      <c r="Q248" s="713">
        <f t="shared" si="27"/>
        <v>9.2323280753226064E-5</v>
      </c>
    </row>
    <row r="249" spans="1:17">
      <c r="A249" s="3" t="s">
        <v>1822</v>
      </c>
      <c r="B249" s="3" t="s">
        <v>2557</v>
      </c>
      <c r="C249" s="3" t="s">
        <v>1823</v>
      </c>
      <c r="D249" s="3">
        <v>67673159293.699997</v>
      </c>
      <c r="E249" s="3">
        <v>2.2451202905129368</v>
      </c>
      <c r="F249" s="3">
        <v>6.66</v>
      </c>
      <c r="G249" s="3">
        <v>307.18639999999999</v>
      </c>
      <c r="H249" s="3">
        <v>220.3</v>
      </c>
      <c r="I249" s="706"/>
      <c r="J249" s="707" t="str">
        <f t="shared" si="28"/>
        <v>Illinois Tool Works Inc</v>
      </c>
      <c r="K249" s="708" t="str">
        <f t="shared" si="28"/>
        <v>ITW</v>
      </c>
      <c r="L249" s="709">
        <f t="shared" si="22"/>
        <v>67673.159293699995</v>
      </c>
      <c r="M249" s="710">
        <f t="shared" si="23"/>
        <v>2.2451202905129367E-2</v>
      </c>
      <c r="N249" s="710">
        <f t="shared" si="24"/>
        <v>6.6600000000000006E-2</v>
      </c>
      <c r="O249" s="711">
        <f t="shared" si="25"/>
        <v>8.9798827961870192E-2</v>
      </c>
      <c r="P249" s="712">
        <f t="shared" si="26"/>
        <v>2.1132516829512728E-3</v>
      </c>
      <c r="Q249" s="713">
        <f t="shared" si="27"/>
        <v>1.8976752431747399E-4</v>
      </c>
    </row>
    <row r="250" spans="1:17">
      <c r="A250" s="3" t="s">
        <v>1824</v>
      </c>
      <c r="B250" s="3" t="s">
        <v>2558</v>
      </c>
      <c r="C250" s="3" t="s">
        <v>1825</v>
      </c>
      <c r="D250" s="3">
        <v>8181575097.9199991</v>
      </c>
      <c r="E250" s="3">
        <v>4.1189549749861039</v>
      </c>
      <c r="F250" s="3">
        <v>-10.515000000000001</v>
      </c>
      <c r="G250" s="3">
        <v>454.78459999999995</v>
      </c>
      <c r="H250" s="3">
        <v>17.989999999999998</v>
      </c>
      <c r="I250" s="706"/>
      <c r="J250" s="707" t="str">
        <f t="shared" si="28"/>
        <v>Invesco Ltd</v>
      </c>
      <c r="K250" s="708" t="str">
        <f t="shared" si="28"/>
        <v>IVZ</v>
      </c>
      <c r="L250" s="709">
        <f t="shared" si="22"/>
        <v>8181.5750979199993</v>
      </c>
      <c r="M250" s="710">
        <f t="shared" si="23"/>
        <v>4.118954974986104E-2</v>
      </c>
      <c r="N250" s="710">
        <f t="shared" si="24"/>
        <v>-0.10515000000000001</v>
      </c>
      <c r="O250" s="711">
        <f t="shared" si="25"/>
        <v>-6.6125990828237918E-2</v>
      </c>
      <c r="P250" s="712">
        <f t="shared" si="26"/>
        <v>2.5548869781348072E-4</v>
      </c>
      <c r="Q250" s="713">
        <f t="shared" si="27"/>
        <v>-1.6894443288332675E-5</v>
      </c>
    </row>
    <row r="251" spans="1:17">
      <c r="A251" s="3" t="s">
        <v>2958</v>
      </c>
      <c r="B251" s="3" t="s">
        <v>4306</v>
      </c>
      <c r="C251" s="3" t="s">
        <v>2959</v>
      </c>
      <c r="D251" s="3">
        <v>15202214108.269999</v>
      </c>
      <c r="E251" s="3">
        <v>0.81952194553177327</v>
      </c>
      <c r="F251" s="3">
        <v>10.3</v>
      </c>
      <c r="G251" s="3">
        <v>126.6113</v>
      </c>
      <c r="H251" s="3">
        <v>120.07</v>
      </c>
      <c r="I251" s="706"/>
      <c r="J251" s="707" t="str">
        <f t="shared" si="28"/>
        <v>Jacobs Solutions Inc</v>
      </c>
      <c r="K251" s="708" t="str">
        <f t="shared" si="28"/>
        <v>J</v>
      </c>
      <c r="L251" s="709">
        <f t="shared" si="22"/>
        <v>15202.214108269998</v>
      </c>
      <c r="M251" s="710">
        <f t="shared" si="23"/>
        <v>8.1952194553177333E-3</v>
      </c>
      <c r="N251" s="710">
        <f t="shared" si="24"/>
        <v>0.10300000000000001</v>
      </c>
      <c r="O251" s="711">
        <f t="shared" si="25"/>
        <v>0.1116172732572666</v>
      </c>
      <c r="P251" s="712">
        <f t="shared" si="26"/>
        <v>4.7472446807840881E-4</v>
      </c>
      <c r="Q251" s="713">
        <f t="shared" si="27"/>
        <v>5.2987450675418289E-5</v>
      </c>
    </row>
    <row r="252" spans="1:17">
      <c r="A252" s="3" t="s">
        <v>1826</v>
      </c>
      <c r="B252" s="3" t="s">
        <v>2559</v>
      </c>
      <c r="C252" s="3" t="s">
        <v>1827</v>
      </c>
      <c r="D252" s="3">
        <v>18052785074.280003</v>
      </c>
      <c r="E252" s="3">
        <v>0.91706813489332417</v>
      </c>
      <c r="F252" s="3">
        <v>22.466999999999999</v>
      </c>
      <c r="G252" s="3">
        <v>103.53739999999999</v>
      </c>
      <c r="H252" s="3">
        <v>174.36</v>
      </c>
      <c r="I252" s="706"/>
      <c r="J252" s="707" t="str">
        <f t="shared" si="28"/>
        <v>JB Hunt Transport Services Inc</v>
      </c>
      <c r="K252" s="708" t="str">
        <f t="shared" si="28"/>
        <v>JBHT</v>
      </c>
      <c r="L252" s="709">
        <f t="shared" si="22"/>
        <v>18052.785074280004</v>
      </c>
      <c r="M252" s="710">
        <f t="shared" si="23"/>
        <v>9.1706813489332416E-3</v>
      </c>
      <c r="N252" s="710">
        <f t="shared" si="24"/>
        <v>0.22466999999999998</v>
      </c>
      <c r="O252" s="711">
        <f t="shared" si="25"/>
        <v>0.23487086983826563</v>
      </c>
      <c r="P252" s="712">
        <f t="shared" si="26"/>
        <v>5.6374017170691482E-4</v>
      </c>
      <c r="Q252" s="713">
        <f t="shared" si="27"/>
        <v>1.3240614449157632E-4</v>
      </c>
    </row>
    <row r="253" spans="1:17">
      <c r="A253" s="3" t="s">
        <v>1828</v>
      </c>
      <c r="B253" s="3" t="s">
        <v>2560</v>
      </c>
      <c r="C253" s="3" t="s">
        <v>1829</v>
      </c>
      <c r="D253" s="3">
        <v>43949048896</v>
      </c>
      <c r="E253" s="3">
        <v>2.3218749999999999</v>
      </c>
      <c r="F253" s="3">
        <v>14.67</v>
      </c>
      <c r="G253" s="3">
        <v>686.70389999999998</v>
      </c>
      <c r="H253" s="3">
        <v>64</v>
      </c>
      <c r="I253" s="706"/>
      <c r="J253" s="707" t="str">
        <f t="shared" si="28"/>
        <v>Johnson Controls International plc</v>
      </c>
      <c r="K253" s="708" t="str">
        <f t="shared" si="28"/>
        <v>JCI</v>
      </c>
      <c r="L253" s="709">
        <f t="shared" si="22"/>
        <v>43949.048896</v>
      </c>
      <c r="M253" s="710">
        <f t="shared" si="23"/>
        <v>2.321875E-2</v>
      </c>
      <c r="N253" s="710">
        <f t="shared" si="24"/>
        <v>0.1467</v>
      </c>
      <c r="O253" s="711">
        <f t="shared" si="25"/>
        <v>0.17162184531249999</v>
      </c>
      <c r="P253" s="712">
        <f t="shared" si="26"/>
        <v>1.3724111968897834E-3</v>
      </c>
      <c r="Q253" s="713">
        <f t="shared" si="27"/>
        <v>2.3553574213776136E-4</v>
      </c>
    </row>
    <row r="254" spans="1:17">
      <c r="A254" s="3" t="s">
        <v>2561</v>
      </c>
      <c r="B254" s="3" t="s">
        <v>2562</v>
      </c>
      <c r="C254" s="3" t="s">
        <v>2563</v>
      </c>
      <c r="D254" s="3">
        <v>12807002457.480001</v>
      </c>
      <c r="E254" s="3">
        <v>1.1318067897015267</v>
      </c>
      <c r="F254" s="3">
        <v>11.15</v>
      </c>
      <c r="G254" s="3">
        <v>72.949429999999992</v>
      </c>
      <c r="H254" s="3">
        <v>175.56</v>
      </c>
      <c r="I254" s="706"/>
      <c r="J254" s="707" t="str">
        <f t="shared" si="28"/>
        <v>Jack Henry &amp; Associates Inc</v>
      </c>
      <c r="K254" s="708" t="str">
        <f t="shared" si="28"/>
        <v>JKHY</v>
      </c>
      <c r="L254" s="709">
        <f t="shared" si="22"/>
        <v>12807.002457480001</v>
      </c>
      <c r="M254" s="710">
        <f t="shared" si="23"/>
        <v>1.1318067897015267E-2</v>
      </c>
      <c r="N254" s="710">
        <f t="shared" si="24"/>
        <v>0.1115</v>
      </c>
      <c r="O254" s="711">
        <f t="shared" si="25"/>
        <v>0.12344905018227387</v>
      </c>
      <c r="P254" s="712">
        <f t="shared" si="26"/>
        <v>3.9992841740063773E-4</v>
      </c>
      <c r="Q254" s="713">
        <f t="shared" si="27"/>
        <v>4.9370783269008698E-5</v>
      </c>
    </row>
    <row r="255" spans="1:17">
      <c r="A255" s="3" t="s">
        <v>1830</v>
      </c>
      <c r="B255" s="3" t="s">
        <v>2564</v>
      </c>
      <c r="C255" s="3" t="s">
        <v>1831</v>
      </c>
      <c r="D255" s="3">
        <v>461848529176.55005</v>
      </c>
      <c r="E255" s="3">
        <v>2.4874044721200113</v>
      </c>
      <c r="F255" s="3">
        <v>4.0229999999999997</v>
      </c>
      <c r="G255" s="3">
        <v>2614.4839999999999</v>
      </c>
      <c r="H255" s="3">
        <v>176.65</v>
      </c>
      <c r="I255" s="706"/>
      <c r="J255" s="707" t="str">
        <f t="shared" si="28"/>
        <v>Johnson &amp; Johnson</v>
      </c>
      <c r="K255" s="708" t="str">
        <f t="shared" si="28"/>
        <v>JNJ</v>
      </c>
      <c r="L255" s="709">
        <f t="shared" si="22"/>
        <v>461848.52917655004</v>
      </c>
      <c r="M255" s="710">
        <f t="shared" si="23"/>
        <v>2.4874044721200111E-2</v>
      </c>
      <c r="N255" s="710">
        <f t="shared" si="24"/>
        <v>4.0229999999999995E-2</v>
      </c>
      <c r="O255" s="711">
        <f t="shared" si="25"/>
        <v>6.5604386130767051E-2</v>
      </c>
      <c r="P255" s="712">
        <f t="shared" si="26"/>
        <v>1.4422293738571991E-2</v>
      </c>
      <c r="Q255" s="713">
        <f t="shared" si="27"/>
        <v>9.4616572731662078E-4</v>
      </c>
    </row>
    <row r="256" spans="1:17">
      <c r="A256" s="3" t="s">
        <v>1832</v>
      </c>
      <c r="B256" s="3" t="s">
        <v>2565</v>
      </c>
      <c r="C256" s="3" t="s">
        <v>1833</v>
      </c>
      <c r="D256" s="3">
        <v>10372794515.08</v>
      </c>
      <c r="E256" s="3">
        <v>2.6188986232790987</v>
      </c>
      <c r="F256" s="3">
        <v>12.32</v>
      </c>
      <c r="G256" s="3">
        <v>324.55549999999999</v>
      </c>
      <c r="H256" s="3">
        <v>31.96</v>
      </c>
      <c r="I256" s="706"/>
      <c r="J256" s="707" t="str">
        <f t="shared" si="28"/>
        <v>Juniper Networks Inc</v>
      </c>
      <c r="K256" s="708" t="str">
        <f t="shared" si="28"/>
        <v>JNPR</v>
      </c>
      <c r="L256" s="709">
        <f t="shared" si="22"/>
        <v>10372.794515080001</v>
      </c>
      <c r="M256" s="710">
        <f t="shared" si="23"/>
        <v>2.6188986232790989E-2</v>
      </c>
      <c r="N256" s="710">
        <f t="shared" si="24"/>
        <v>0.1232</v>
      </c>
      <c r="O256" s="711">
        <f t="shared" si="25"/>
        <v>0.15100222778473094</v>
      </c>
      <c r="P256" s="712">
        <f t="shared" si="26"/>
        <v>3.2391461688328785E-4</v>
      </c>
      <c r="Q256" s="713">
        <f t="shared" si="27"/>
        <v>4.8911828761414083E-5</v>
      </c>
    </row>
    <row r="257" spans="1:17">
      <c r="A257" s="3" t="s">
        <v>1834</v>
      </c>
      <c r="B257" s="3" t="s">
        <v>2566</v>
      </c>
      <c r="C257" s="3" t="s">
        <v>1835</v>
      </c>
      <c r="D257" s="3">
        <v>393342775480.79999</v>
      </c>
      <c r="E257" s="3">
        <v>2.9888143176733784</v>
      </c>
      <c r="F257" s="3">
        <v>-3.8000000000000003</v>
      </c>
      <c r="G257" s="3">
        <v>2933.2049999999999</v>
      </c>
      <c r="H257" s="3">
        <v>134.1</v>
      </c>
      <c r="I257" s="706"/>
      <c r="J257" s="707" t="str">
        <f t="shared" si="28"/>
        <v>JPMorgan Chase &amp; Co</v>
      </c>
      <c r="K257" s="708" t="str">
        <f t="shared" si="28"/>
        <v>JPM</v>
      </c>
      <c r="L257" s="709">
        <f t="shared" si="22"/>
        <v>393342.77548079996</v>
      </c>
      <c r="M257" s="710">
        <f t="shared" si="23"/>
        <v>2.9888143176733783E-2</v>
      </c>
      <c r="N257" s="710">
        <f t="shared" si="24"/>
        <v>-3.8000000000000006E-2</v>
      </c>
      <c r="O257" s="711">
        <f t="shared" si="25"/>
        <v>-8.6797315436241661E-3</v>
      </c>
      <c r="P257" s="712">
        <f t="shared" si="26"/>
        <v>1.2283042360324802E-2</v>
      </c>
      <c r="Q257" s="713">
        <f t="shared" si="27"/>
        <v>-1.0661351022658302E-4</v>
      </c>
    </row>
    <row r="258" spans="1:17">
      <c r="A258" s="3" t="s">
        <v>1836</v>
      </c>
      <c r="B258" s="3" t="s">
        <v>2567</v>
      </c>
      <c r="C258" s="3" t="s">
        <v>1837</v>
      </c>
      <c r="D258" s="3">
        <v>24312868769.799995</v>
      </c>
      <c r="E258" s="3">
        <v>3.2874789444132513</v>
      </c>
      <c r="F258" s="3">
        <v>3.42</v>
      </c>
      <c r="G258" s="3">
        <v>341.28109999999998</v>
      </c>
      <c r="H258" s="3">
        <v>71.239999999999995</v>
      </c>
      <c r="I258" s="706"/>
      <c r="J258" s="707" t="str">
        <f t="shared" si="28"/>
        <v>Kellogg Co</v>
      </c>
      <c r="K258" s="708" t="str">
        <f t="shared" si="28"/>
        <v>K</v>
      </c>
      <c r="L258" s="709">
        <f t="shared" si="22"/>
        <v>24312.868769799996</v>
      </c>
      <c r="M258" s="710">
        <f t="shared" si="23"/>
        <v>3.287478944413251E-2</v>
      </c>
      <c r="N258" s="710">
        <f t="shared" si="24"/>
        <v>3.4200000000000001E-2</v>
      </c>
      <c r="O258" s="711">
        <f t="shared" si="25"/>
        <v>6.7636948343627171E-2</v>
      </c>
      <c r="P258" s="712">
        <f t="shared" si="26"/>
        <v>7.5922583460554362E-4</v>
      </c>
      <c r="Q258" s="713">
        <f t="shared" si="27"/>
        <v>5.1351718556362378E-5</v>
      </c>
    </row>
    <row r="259" spans="1:17">
      <c r="A259" s="3" t="s">
        <v>4307</v>
      </c>
      <c r="B259" s="3" t="s">
        <v>4308</v>
      </c>
      <c r="C259" s="3" t="s">
        <v>4309</v>
      </c>
      <c r="D259" s="3">
        <v>50503521607.619995</v>
      </c>
      <c r="E259" s="3">
        <v>2.1564778463264167</v>
      </c>
      <c r="F259" s="3">
        <v>6.41</v>
      </c>
      <c r="G259" s="3">
        <v>1416.251</v>
      </c>
      <c r="H259" s="3">
        <v>35.659999999999997</v>
      </c>
      <c r="I259" s="706"/>
      <c r="J259" s="707" t="str">
        <f t="shared" si="28"/>
        <v>Keurig Dr Pepper Inc</v>
      </c>
      <c r="K259" s="708" t="str">
        <f t="shared" si="28"/>
        <v>KDP</v>
      </c>
      <c r="L259" s="709">
        <f t="shared" ref="L259:L322" si="29">D259/1000000</f>
        <v>50503.521607619994</v>
      </c>
      <c r="M259" s="710">
        <f t="shared" ref="M259:M322" si="30">IFERROR(E259/100,"0.00%")</f>
        <v>2.1564778463264166E-2</v>
      </c>
      <c r="N259" s="710">
        <f t="shared" ref="N259:N322" si="31">IFERROR(F259/100,"N/A")</f>
        <v>6.4100000000000004E-2</v>
      </c>
      <c r="O259" s="711">
        <f t="shared" ref="O259:O322" si="32">IFERROR(M259*(1+0.5*N259)+N259,"N/A")</f>
        <v>8.6355929613011778E-2</v>
      </c>
      <c r="P259" s="712">
        <f t="shared" ref="P259:P322" si="33">IF(N259="N/A","N/A",L259/$L$504)</f>
        <v>1.5770898410265974E-3</v>
      </c>
      <c r="Q259" s="713">
        <f t="shared" ref="Q259:Q322" si="34">IF(AND(ISNUMBER(L259),ISNUMBER(O259)),O259*P259,"N/A")</f>
        <v>1.3619105930508878E-4</v>
      </c>
    </row>
    <row r="260" spans="1:17">
      <c r="A260" s="3" t="s">
        <v>1838</v>
      </c>
      <c r="B260" s="3" t="s">
        <v>2568</v>
      </c>
      <c r="C260" s="3" t="s">
        <v>1839</v>
      </c>
      <c r="D260" s="3">
        <v>16252330310.060003</v>
      </c>
      <c r="E260" s="3">
        <v>4.5407577497129736</v>
      </c>
      <c r="F260" s="3">
        <v>8.2149999999999999</v>
      </c>
      <c r="G260" s="3">
        <v>932.96960000000001</v>
      </c>
      <c r="H260" s="3">
        <v>17.420000000000002</v>
      </c>
      <c r="I260" s="706"/>
      <c r="J260" s="707" t="str">
        <f t="shared" ref="J260:K323" si="35">B260</f>
        <v>KeyCorp</v>
      </c>
      <c r="K260" s="708" t="str">
        <f t="shared" si="35"/>
        <v>KEY</v>
      </c>
      <c r="L260" s="709">
        <f t="shared" si="29"/>
        <v>16252.330310060002</v>
      </c>
      <c r="M260" s="710">
        <f t="shared" si="30"/>
        <v>4.5407577497129738E-2</v>
      </c>
      <c r="N260" s="710">
        <f t="shared" si="31"/>
        <v>8.2150000000000001E-2</v>
      </c>
      <c r="O260" s="711">
        <f t="shared" si="32"/>
        <v>0.12942269374282434</v>
      </c>
      <c r="P260" s="712">
        <f t="shared" si="33"/>
        <v>5.0751678712909797E-4</v>
      </c>
      <c r="Q260" s="713">
        <f t="shared" si="34"/>
        <v>6.5684189709951419E-5</v>
      </c>
    </row>
    <row r="261" spans="1:17">
      <c r="A261" s="3" t="s">
        <v>2569</v>
      </c>
      <c r="B261" s="3" t="s">
        <v>2570</v>
      </c>
      <c r="C261" s="3" t="s">
        <v>2571</v>
      </c>
      <c r="D261" s="3">
        <v>30586539342.199997</v>
      </c>
      <c r="E261" s="3" t="s">
        <v>1483</v>
      </c>
      <c r="F261" s="3">
        <v>6.6000000000000005</v>
      </c>
      <c r="G261" s="3">
        <v>178.7955</v>
      </c>
      <c r="H261" s="3">
        <v>171.07</v>
      </c>
      <c r="I261" s="706"/>
      <c r="J261" s="707" t="str">
        <f t="shared" si="35"/>
        <v>Keysight Technologies Inc</v>
      </c>
      <c r="K261" s="708" t="str">
        <f t="shared" si="35"/>
        <v>KEYS</v>
      </c>
      <c r="L261" s="709">
        <f t="shared" si="29"/>
        <v>30586.539342199998</v>
      </c>
      <c r="M261" s="710" t="str">
        <f t="shared" si="30"/>
        <v>0.00%</v>
      </c>
      <c r="N261" s="710">
        <f t="shared" si="31"/>
        <v>6.6000000000000003E-2</v>
      </c>
      <c r="O261" s="711">
        <f t="shared" si="32"/>
        <v>6.6000000000000003E-2</v>
      </c>
      <c r="P261" s="712">
        <f t="shared" si="33"/>
        <v>9.5513577931297827E-4</v>
      </c>
      <c r="Q261" s="713">
        <f t="shared" si="34"/>
        <v>6.3038961434656567E-5</v>
      </c>
    </row>
    <row r="262" spans="1:17">
      <c r="A262" s="3" t="s">
        <v>1840</v>
      </c>
      <c r="B262" s="3" t="s">
        <v>2572</v>
      </c>
      <c r="C262" s="3" t="s">
        <v>1841</v>
      </c>
      <c r="D262" s="3">
        <v>49866906976.440002</v>
      </c>
      <c r="E262" s="3">
        <v>3.9302382706951606</v>
      </c>
      <c r="F262" s="3">
        <v>1.5649999999999999</v>
      </c>
      <c r="G262" s="3">
        <v>1224.9299999999998</v>
      </c>
      <c r="H262" s="3">
        <v>40.71</v>
      </c>
      <c r="I262" s="706"/>
      <c r="J262" s="707" t="str">
        <f t="shared" si="35"/>
        <v>Kraft Heinz Co/The</v>
      </c>
      <c r="K262" s="708" t="str">
        <f t="shared" si="35"/>
        <v>KHC</v>
      </c>
      <c r="L262" s="709">
        <f t="shared" si="29"/>
        <v>49866.906976440005</v>
      </c>
      <c r="M262" s="710">
        <f t="shared" si="30"/>
        <v>3.9302382706951605E-2</v>
      </c>
      <c r="N262" s="710">
        <f t="shared" si="31"/>
        <v>1.5650000000000001E-2</v>
      </c>
      <c r="O262" s="711">
        <f t="shared" si="32"/>
        <v>5.5259923851633502E-2</v>
      </c>
      <c r="P262" s="712">
        <f t="shared" si="33"/>
        <v>1.5572100695666329E-3</v>
      </c>
      <c r="Q262" s="713">
        <f t="shared" si="34"/>
        <v>8.605130986524904E-5</v>
      </c>
    </row>
    <row r="263" spans="1:17">
      <c r="A263" s="3" t="s">
        <v>1842</v>
      </c>
      <c r="B263" s="3" t="s">
        <v>2573</v>
      </c>
      <c r="C263" s="3" t="s">
        <v>1843</v>
      </c>
      <c r="D263" s="3">
        <v>13099000358.219999</v>
      </c>
      <c r="E263" s="3">
        <v>3.9801699716713879</v>
      </c>
      <c r="F263" s="3">
        <v>7.8100000000000005</v>
      </c>
      <c r="G263" s="3">
        <v>618.46079999999995</v>
      </c>
      <c r="H263" s="3">
        <v>21.18</v>
      </c>
      <c r="I263" s="706"/>
      <c r="J263" s="707" t="str">
        <f t="shared" si="35"/>
        <v>Kimco Realty Corp</v>
      </c>
      <c r="K263" s="708" t="str">
        <f t="shared" si="35"/>
        <v>KIM</v>
      </c>
      <c r="L263" s="709">
        <f t="shared" si="29"/>
        <v>13099.000358219999</v>
      </c>
      <c r="M263" s="710">
        <f t="shared" si="30"/>
        <v>3.9801699716713879E-2</v>
      </c>
      <c r="N263" s="710">
        <f t="shared" si="31"/>
        <v>7.8100000000000003E-2</v>
      </c>
      <c r="O263" s="711">
        <f t="shared" si="32"/>
        <v>0.11945595609065156</v>
      </c>
      <c r="P263" s="712">
        <f t="shared" si="33"/>
        <v>4.0904673050434537E-4</v>
      </c>
      <c r="Q263" s="713">
        <f t="shared" si="34"/>
        <v>4.8863068278151663E-5</v>
      </c>
    </row>
    <row r="264" spans="1:17">
      <c r="A264" s="3" t="s">
        <v>1844</v>
      </c>
      <c r="B264" s="3" t="s">
        <v>2908</v>
      </c>
      <c r="C264" s="3" t="s">
        <v>1845</v>
      </c>
      <c r="D264" s="3">
        <v>53432060828.80999</v>
      </c>
      <c r="E264" s="3">
        <v>1.3333156512744344</v>
      </c>
      <c r="F264" s="3">
        <v>6.3230000000000004</v>
      </c>
      <c r="G264" s="3">
        <v>141.7183</v>
      </c>
      <c r="H264" s="3">
        <v>377.03</v>
      </c>
      <c r="I264" s="706"/>
      <c r="J264" s="707" t="str">
        <f t="shared" si="35"/>
        <v>KLA Corp</v>
      </c>
      <c r="K264" s="708" t="str">
        <f t="shared" si="35"/>
        <v>KLAC</v>
      </c>
      <c r="L264" s="709">
        <f t="shared" si="29"/>
        <v>53432.06082880999</v>
      </c>
      <c r="M264" s="710">
        <f t="shared" si="30"/>
        <v>1.3333156512744344E-2</v>
      </c>
      <c r="N264" s="710">
        <f t="shared" si="31"/>
        <v>6.3230000000000008E-2</v>
      </c>
      <c r="O264" s="711">
        <f t="shared" si="32"/>
        <v>7.6984684255894761E-2</v>
      </c>
      <c r="P264" s="712">
        <f t="shared" si="33"/>
        <v>1.6685402846346692E-3</v>
      </c>
      <c r="Q264" s="713">
        <f t="shared" si="34"/>
        <v>1.2845204698084078E-4</v>
      </c>
    </row>
    <row r="265" spans="1:17">
      <c r="A265" s="3" t="s">
        <v>1846</v>
      </c>
      <c r="B265" s="3" t="s">
        <v>2574</v>
      </c>
      <c r="C265" s="3" t="s">
        <v>1847</v>
      </c>
      <c r="D265" s="3">
        <v>45814551760.5</v>
      </c>
      <c r="E265" s="3">
        <v>3.387108655616943</v>
      </c>
      <c r="F265" s="3">
        <v>6.6400000000000006</v>
      </c>
      <c r="G265" s="3">
        <v>337.49209999999999</v>
      </c>
      <c r="H265" s="3">
        <v>135.75</v>
      </c>
      <c r="I265" s="706"/>
      <c r="J265" s="707" t="str">
        <f t="shared" si="35"/>
        <v>Kimberly-Clark Corp</v>
      </c>
      <c r="K265" s="708" t="str">
        <f t="shared" si="35"/>
        <v>KMB</v>
      </c>
      <c r="L265" s="709">
        <f t="shared" si="29"/>
        <v>45814.551760499999</v>
      </c>
      <c r="M265" s="710">
        <f t="shared" si="30"/>
        <v>3.3871086556169432E-2</v>
      </c>
      <c r="N265" s="710">
        <f t="shared" si="31"/>
        <v>6.6400000000000001E-2</v>
      </c>
      <c r="O265" s="711">
        <f t="shared" si="32"/>
        <v>0.10139560662983425</v>
      </c>
      <c r="P265" s="712">
        <f t="shared" si="33"/>
        <v>1.4306658595817621E-3</v>
      </c>
      <c r="Q265" s="713">
        <f t="shared" si="34"/>
        <v>1.4506323271688603E-4</v>
      </c>
    </row>
    <row r="266" spans="1:17">
      <c r="A266" s="3" t="s">
        <v>1848</v>
      </c>
      <c r="B266" s="3" t="s">
        <v>3000</v>
      </c>
      <c r="C266" s="3" t="s">
        <v>1849</v>
      </c>
      <c r="D266" s="3">
        <v>40639176643.679993</v>
      </c>
      <c r="E266" s="3">
        <v>6.1283185840707981</v>
      </c>
      <c r="F266" s="3">
        <v>-1</v>
      </c>
      <c r="G266" s="3">
        <v>2247.7419999999997</v>
      </c>
      <c r="H266" s="3">
        <v>18.079999999999998</v>
      </c>
      <c r="I266" s="706"/>
      <c r="J266" s="707" t="str">
        <f t="shared" si="35"/>
        <v>Kinder Morgan Inc</v>
      </c>
      <c r="K266" s="708" t="str">
        <f t="shared" si="35"/>
        <v>KMI</v>
      </c>
      <c r="L266" s="709">
        <f t="shared" si="29"/>
        <v>40639.176643679995</v>
      </c>
      <c r="M266" s="710">
        <f t="shared" si="30"/>
        <v>6.1283185840707979E-2</v>
      </c>
      <c r="N266" s="710">
        <f t="shared" si="31"/>
        <v>-0.01</v>
      </c>
      <c r="O266" s="711">
        <f t="shared" si="32"/>
        <v>5.097676991150444E-2</v>
      </c>
      <c r="P266" s="712">
        <f t="shared" si="33"/>
        <v>1.2690527431014418E-3</v>
      </c>
      <c r="Q266" s="713">
        <f t="shared" si="34"/>
        <v>6.4692209690645757E-5</v>
      </c>
    </row>
    <row r="267" spans="1:17">
      <c r="A267" s="3" t="s">
        <v>1850</v>
      </c>
      <c r="B267" s="3" t="s">
        <v>2575</v>
      </c>
      <c r="C267" s="3" t="s">
        <v>1851</v>
      </c>
      <c r="D267" s="3">
        <v>9621801144.2200012</v>
      </c>
      <c r="E267" s="3" t="s">
        <v>1483</v>
      </c>
      <c r="F267" s="3">
        <v>8.2249999999999996</v>
      </c>
      <c r="G267" s="3">
        <v>158.01939999999999</v>
      </c>
      <c r="H267" s="3">
        <v>60.89</v>
      </c>
      <c r="I267" s="706"/>
      <c r="J267" s="707" t="str">
        <f t="shared" si="35"/>
        <v>CarMax Inc</v>
      </c>
      <c r="K267" s="708" t="str">
        <f t="shared" si="35"/>
        <v>KMX</v>
      </c>
      <c r="L267" s="709">
        <f t="shared" si="29"/>
        <v>9621.8011442200004</v>
      </c>
      <c r="M267" s="710" t="str">
        <f t="shared" si="30"/>
        <v>0.00%</v>
      </c>
      <c r="N267" s="710">
        <f t="shared" si="31"/>
        <v>8.224999999999999E-2</v>
      </c>
      <c r="O267" s="711">
        <f t="shared" si="32"/>
        <v>8.224999999999999E-2</v>
      </c>
      <c r="P267" s="712">
        <f t="shared" si="33"/>
        <v>3.0046310344104647E-4</v>
      </c>
      <c r="Q267" s="713">
        <f t="shared" si="34"/>
        <v>2.4713090258026068E-5</v>
      </c>
    </row>
    <row r="268" spans="1:17">
      <c r="A268" s="3" t="s">
        <v>1852</v>
      </c>
      <c r="B268" s="3" t="s">
        <v>2576</v>
      </c>
      <c r="C268" s="3" t="s">
        <v>1853</v>
      </c>
      <c r="D268" s="3">
        <v>275082288723.04004</v>
      </c>
      <c r="E268" s="3">
        <v>2.7590001572079861</v>
      </c>
      <c r="F268" s="3">
        <v>6.117</v>
      </c>
      <c r="G268" s="3">
        <v>4324.5129999999999</v>
      </c>
      <c r="H268" s="3">
        <v>63.61</v>
      </c>
      <c r="I268" s="706"/>
      <c r="J268" s="707" t="str">
        <f t="shared" si="35"/>
        <v>Coca-Cola Co/The</v>
      </c>
      <c r="K268" s="708" t="str">
        <f t="shared" si="35"/>
        <v>KO</v>
      </c>
      <c r="L268" s="709">
        <f t="shared" si="29"/>
        <v>275082.28872304002</v>
      </c>
      <c r="M268" s="710">
        <f t="shared" si="30"/>
        <v>2.7590001572079862E-2</v>
      </c>
      <c r="N268" s="710">
        <f t="shared" si="31"/>
        <v>6.1170000000000002E-2</v>
      </c>
      <c r="O268" s="711">
        <f t="shared" si="32"/>
        <v>8.9603841770161924E-2</v>
      </c>
      <c r="P268" s="712">
        <f t="shared" si="33"/>
        <v>8.5900838037004396E-3</v>
      </c>
      <c r="Q268" s="713">
        <f t="shared" si="34"/>
        <v>7.6970450993920486E-4</v>
      </c>
    </row>
    <row r="269" spans="1:17">
      <c r="A269" s="3" t="s">
        <v>1854</v>
      </c>
      <c r="B269" s="3" t="s">
        <v>2577</v>
      </c>
      <c r="C269" s="3" t="s">
        <v>185</v>
      </c>
      <c r="D269" s="3">
        <v>31911339187.499996</v>
      </c>
      <c r="E269" s="3">
        <v>2.1691341408703457</v>
      </c>
      <c r="F269" s="3">
        <v>11.743</v>
      </c>
      <c r="G269" s="3">
        <v>715.82189999999991</v>
      </c>
      <c r="H269" s="3">
        <v>44.58</v>
      </c>
      <c r="I269" s="706"/>
      <c r="J269" s="707" t="str">
        <f t="shared" si="35"/>
        <v>Kroger Co/The</v>
      </c>
      <c r="K269" s="708" t="str">
        <f t="shared" si="35"/>
        <v>KR</v>
      </c>
      <c r="L269" s="709">
        <f t="shared" si="29"/>
        <v>31911.339187499998</v>
      </c>
      <c r="M269" s="710">
        <f t="shared" si="30"/>
        <v>2.1691341408703456E-2</v>
      </c>
      <c r="N269" s="710">
        <f t="shared" si="31"/>
        <v>0.11743000000000001</v>
      </c>
      <c r="O269" s="711">
        <f t="shared" si="32"/>
        <v>0.14039494851951548</v>
      </c>
      <c r="P269" s="712">
        <f t="shared" si="33"/>
        <v>9.9650573354407093E-4</v>
      </c>
      <c r="Q269" s="713">
        <f t="shared" si="34"/>
        <v>1.3990437116032185E-4</v>
      </c>
    </row>
    <row r="270" spans="1:17">
      <c r="A270" s="3" t="s">
        <v>1855</v>
      </c>
      <c r="B270" s="3" t="s">
        <v>2578</v>
      </c>
      <c r="C270" s="3" t="s">
        <v>1856</v>
      </c>
      <c r="D270" s="3">
        <v>13849119943.16</v>
      </c>
      <c r="E270" s="3" t="s">
        <v>1483</v>
      </c>
      <c r="F270" s="3" t="s">
        <v>1483</v>
      </c>
      <c r="G270" s="3">
        <v>237.4271</v>
      </c>
      <c r="H270" s="3">
        <v>58.33</v>
      </c>
      <c r="I270" s="706"/>
      <c r="J270" s="707" t="str">
        <f t="shared" si="35"/>
        <v>Loews Corp</v>
      </c>
      <c r="K270" s="708" t="str">
        <f t="shared" si="35"/>
        <v>L</v>
      </c>
      <c r="L270" s="709">
        <f t="shared" si="29"/>
        <v>13849.11994316</v>
      </c>
      <c r="M270" s="710" t="str">
        <f t="shared" si="30"/>
        <v>0.00%</v>
      </c>
      <c r="N270" s="710" t="str">
        <f t="shared" si="31"/>
        <v>N/A</v>
      </c>
      <c r="O270" s="711" t="str">
        <f t="shared" si="32"/>
        <v>N/A</v>
      </c>
      <c r="P270" s="712" t="str">
        <f t="shared" si="33"/>
        <v>N/A</v>
      </c>
      <c r="Q270" s="713" t="str">
        <f t="shared" si="34"/>
        <v>N/A</v>
      </c>
    </row>
    <row r="271" spans="1:17">
      <c r="A271" s="3" t="s">
        <v>2909</v>
      </c>
      <c r="B271" s="3" t="s">
        <v>2910</v>
      </c>
      <c r="C271" s="3" t="s">
        <v>2911</v>
      </c>
      <c r="D271" s="3">
        <v>14378374500.830002</v>
      </c>
      <c r="E271" s="3">
        <v>1.3860633140032321</v>
      </c>
      <c r="F271" s="3">
        <v>5.1100000000000003</v>
      </c>
      <c r="G271" s="3">
        <v>136.68959999999998</v>
      </c>
      <c r="H271" s="3">
        <v>105.19</v>
      </c>
      <c r="I271" s="706"/>
      <c r="J271" s="707" t="str">
        <f t="shared" si="35"/>
        <v>Leidos Holdings Inc</v>
      </c>
      <c r="K271" s="708" t="str">
        <f t="shared" si="35"/>
        <v>LDOS</v>
      </c>
      <c r="L271" s="709">
        <f t="shared" si="29"/>
        <v>14378.374500830001</v>
      </c>
      <c r="M271" s="710">
        <f t="shared" si="30"/>
        <v>1.3860633140032321E-2</v>
      </c>
      <c r="N271" s="710">
        <f t="shared" si="31"/>
        <v>5.1100000000000007E-2</v>
      </c>
      <c r="O271" s="711">
        <f t="shared" si="32"/>
        <v>6.5314772316760153E-2</v>
      </c>
      <c r="P271" s="712">
        <f t="shared" si="33"/>
        <v>4.4899816159183452E-4</v>
      </c>
      <c r="Q271" s="713">
        <f t="shared" si="34"/>
        <v>2.9326212695014555E-5</v>
      </c>
    </row>
    <row r="272" spans="1:17">
      <c r="A272" s="3" t="s">
        <v>1857</v>
      </c>
      <c r="B272" s="3" t="s">
        <v>2579</v>
      </c>
      <c r="C272" s="3" t="s">
        <v>1858</v>
      </c>
      <c r="D272" s="3">
        <v>25778381363.560001</v>
      </c>
      <c r="E272" s="3">
        <v>1.7005524861878454</v>
      </c>
      <c r="F272" s="3">
        <v>-8.7100000000000009</v>
      </c>
      <c r="G272" s="3">
        <v>254.76739999999998</v>
      </c>
      <c r="H272" s="3">
        <v>90.5</v>
      </c>
      <c r="I272" s="706"/>
      <c r="J272" s="707" t="str">
        <f t="shared" si="35"/>
        <v>Lennar Corp</v>
      </c>
      <c r="K272" s="708" t="str">
        <f t="shared" si="35"/>
        <v>LEN</v>
      </c>
      <c r="L272" s="709">
        <f t="shared" si="29"/>
        <v>25778.381363560002</v>
      </c>
      <c r="M272" s="710">
        <f t="shared" si="30"/>
        <v>1.7005524861878455E-2</v>
      </c>
      <c r="N272" s="710">
        <f t="shared" si="31"/>
        <v>-8.7100000000000011E-2</v>
      </c>
      <c r="O272" s="711">
        <f t="shared" si="32"/>
        <v>-7.0835065745856365E-2</v>
      </c>
      <c r="P272" s="712">
        <f t="shared" si="33"/>
        <v>8.0498987144781255E-4</v>
      </c>
      <c r="Q272" s="713">
        <f t="shared" si="34"/>
        <v>-5.7021510468754264E-5</v>
      </c>
    </row>
    <row r="273" spans="1:17">
      <c r="A273" s="3" t="s">
        <v>1859</v>
      </c>
      <c r="B273" s="3" t="s">
        <v>2580</v>
      </c>
      <c r="C273" s="3" t="s">
        <v>1310</v>
      </c>
      <c r="D273" s="3">
        <v>20863528000</v>
      </c>
      <c r="E273" s="3">
        <v>0.92152199762187881</v>
      </c>
      <c r="F273" s="3">
        <v>-12.73</v>
      </c>
      <c r="G273" s="3">
        <v>88.6</v>
      </c>
      <c r="H273" s="3">
        <v>235.48</v>
      </c>
      <c r="I273" s="706"/>
      <c r="J273" s="707" t="str">
        <f t="shared" si="35"/>
        <v>Laboratory Corp of America Holdings</v>
      </c>
      <c r="K273" s="708" t="str">
        <f t="shared" si="35"/>
        <v>LH</v>
      </c>
      <c r="L273" s="709">
        <f t="shared" si="29"/>
        <v>20863.527999999998</v>
      </c>
      <c r="M273" s="710">
        <f t="shared" si="30"/>
        <v>9.2152199762187883E-3</v>
      </c>
      <c r="N273" s="710">
        <f t="shared" si="31"/>
        <v>-0.1273</v>
      </c>
      <c r="O273" s="711">
        <f t="shared" si="32"/>
        <v>-0.11867132877526754</v>
      </c>
      <c r="P273" s="712">
        <f t="shared" si="33"/>
        <v>6.5151215221018253E-4</v>
      </c>
      <c r="Q273" s="713">
        <f t="shared" si="34"/>
        <v>-7.7315812816016724E-5</v>
      </c>
    </row>
    <row r="274" spans="1:17">
      <c r="A274" s="3" t="s">
        <v>2912</v>
      </c>
      <c r="B274" s="3" t="s">
        <v>2913</v>
      </c>
      <c r="C274" s="3" t="s">
        <v>2914</v>
      </c>
      <c r="D274" s="3">
        <v>39643765946.949997</v>
      </c>
      <c r="E274" s="3">
        <v>2.1963402334181836</v>
      </c>
      <c r="F274" s="3">
        <v>2.355</v>
      </c>
      <c r="G274" s="3">
        <v>190.40279999999998</v>
      </c>
      <c r="H274" s="3">
        <v>208.21</v>
      </c>
      <c r="I274" s="706"/>
      <c r="J274" s="707" t="str">
        <f t="shared" si="35"/>
        <v>L3Harris Technologies Inc</v>
      </c>
      <c r="K274" s="708" t="str">
        <f t="shared" si="35"/>
        <v>LHX</v>
      </c>
      <c r="L274" s="709">
        <f t="shared" si="29"/>
        <v>39643.765946949999</v>
      </c>
      <c r="M274" s="710">
        <f t="shared" si="30"/>
        <v>2.1963402334181835E-2</v>
      </c>
      <c r="N274" s="710">
        <f t="shared" si="31"/>
        <v>2.3550000000000001E-2</v>
      </c>
      <c r="O274" s="711">
        <f t="shared" si="32"/>
        <v>4.5772021396666834E-2</v>
      </c>
      <c r="P274" s="712">
        <f t="shared" si="33"/>
        <v>1.2379687305912087E-3</v>
      </c>
      <c r="Q274" s="713">
        <f t="shared" si="34"/>
        <v>5.6664331225025284E-5</v>
      </c>
    </row>
    <row r="275" spans="1:17">
      <c r="A275" s="3" t="s">
        <v>2581</v>
      </c>
      <c r="B275" s="3" t="s">
        <v>2582</v>
      </c>
      <c r="C275" s="3" t="s">
        <v>2583</v>
      </c>
      <c r="D275" s="3">
        <v>160670355987.50003</v>
      </c>
      <c r="E275" s="3">
        <v>1.4381629774970874</v>
      </c>
      <c r="F275" s="3">
        <v>9</v>
      </c>
      <c r="G275" s="3">
        <v>492.58189999999996</v>
      </c>
      <c r="H275" s="3">
        <v>326.18</v>
      </c>
      <c r="I275" s="706"/>
      <c r="J275" s="707" t="str">
        <f t="shared" si="35"/>
        <v>Linde PLC</v>
      </c>
      <c r="K275" s="708" t="str">
        <f t="shared" si="35"/>
        <v>LIN</v>
      </c>
      <c r="L275" s="709">
        <f t="shared" si="29"/>
        <v>160670.35598750002</v>
      </c>
      <c r="M275" s="710">
        <f t="shared" si="30"/>
        <v>1.4381629774970874E-2</v>
      </c>
      <c r="N275" s="710">
        <f t="shared" si="31"/>
        <v>0.09</v>
      </c>
      <c r="O275" s="711">
        <f t="shared" si="32"/>
        <v>0.10502880311484455</v>
      </c>
      <c r="P275" s="712">
        <f t="shared" si="33"/>
        <v>5.0173052911181813E-3</v>
      </c>
      <c r="Q275" s="713">
        <f t="shared" si="34"/>
        <v>5.2696156958791931E-4</v>
      </c>
    </row>
    <row r="276" spans="1:17">
      <c r="A276" s="3" t="s">
        <v>1860</v>
      </c>
      <c r="B276" s="3" t="s">
        <v>2584</v>
      </c>
      <c r="C276" s="3" t="s">
        <v>1861</v>
      </c>
      <c r="D276" s="3">
        <v>14269815948.849998</v>
      </c>
      <c r="E276" s="3">
        <v>1.9097547275791051</v>
      </c>
      <c r="F276" s="3">
        <v>9.9849999999999994</v>
      </c>
      <c r="G276" s="3">
        <v>267.17500000000001</v>
      </c>
      <c r="H276" s="3">
        <v>53.41</v>
      </c>
      <c r="I276" s="706"/>
      <c r="J276" s="707" t="str">
        <f t="shared" si="35"/>
        <v>LKQ Corp</v>
      </c>
      <c r="K276" s="708" t="str">
        <f t="shared" si="35"/>
        <v>LKQ</v>
      </c>
      <c r="L276" s="709">
        <f t="shared" si="29"/>
        <v>14269.815948849999</v>
      </c>
      <c r="M276" s="710">
        <f t="shared" si="30"/>
        <v>1.9097547275791053E-2</v>
      </c>
      <c r="N276" s="710">
        <f t="shared" si="31"/>
        <v>9.9849999999999994E-2</v>
      </c>
      <c r="O276" s="711">
        <f t="shared" si="32"/>
        <v>0.11990099232353492</v>
      </c>
      <c r="P276" s="712">
        <f t="shared" si="33"/>
        <v>4.4560816849760265E-4</v>
      </c>
      <c r="Q276" s="713">
        <f t="shared" si="34"/>
        <v>5.3428861590335512E-5</v>
      </c>
    </row>
    <row r="277" spans="1:17">
      <c r="A277" s="3" t="s">
        <v>1862</v>
      </c>
      <c r="B277" s="3" t="s">
        <v>3993</v>
      </c>
      <c r="C277" s="3" t="s">
        <v>1445</v>
      </c>
      <c r="D277" s="3">
        <v>347613082935.99994</v>
      </c>
      <c r="E277" s="3">
        <v>1.0411655368467092</v>
      </c>
      <c r="F277" s="3">
        <v>14.030000000000001</v>
      </c>
      <c r="G277" s="3">
        <v>950.17789999999991</v>
      </c>
      <c r="H277" s="3">
        <v>365.84</v>
      </c>
      <c r="I277" s="706"/>
      <c r="J277" s="707" t="str">
        <f t="shared" si="35"/>
        <v>Eli Lilly &amp; Co</v>
      </c>
      <c r="K277" s="708" t="str">
        <f t="shared" si="35"/>
        <v>LLY</v>
      </c>
      <c r="L277" s="709">
        <f t="shared" si="29"/>
        <v>347613.08293599996</v>
      </c>
      <c r="M277" s="710">
        <f t="shared" si="30"/>
        <v>1.0411655368467092E-2</v>
      </c>
      <c r="N277" s="710">
        <f t="shared" si="31"/>
        <v>0.14030000000000001</v>
      </c>
      <c r="O277" s="711">
        <f t="shared" si="32"/>
        <v>0.15144203299256506</v>
      </c>
      <c r="P277" s="712">
        <f t="shared" si="33"/>
        <v>1.0855026426980616E-2</v>
      </c>
      <c r="Q277" s="713">
        <f t="shared" si="34"/>
        <v>1.643907270289964E-3</v>
      </c>
    </row>
    <row r="278" spans="1:17">
      <c r="A278" s="3" t="s">
        <v>1863</v>
      </c>
      <c r="B278" s="3" t="s">
        <v>2585</v>
      </c>
      <c r="C278" s="3" t="s">
        <v>1864</v>
      </c>
      <c r="D278" s="3">
        <v>127496362259.87</v>
      </c>
      <c r="E278" s="3">
        <v>2.1500955826430141</v>
      </c>
      <c r="F278" s="3">
        <v>8.09</v>
      </c>
      <c r="G278" s="3">
        <v>262.07400000000001</v>
      </c>
      <c r="H278" s="3">
        <v>486.49</v>
      </c>
      <c r="I278" s="706"/>
      <c r="J278" s="707" t="str">
        <f t="shared" si="35"/>
        <v>Lockheed Martin Corp</v>
      </c>
      <c r="K278" s="708" t="str">
        <f t="shared" si="35"/>
        <v>LMT</v>
      </c>
      <c r="L278" s="709">
        <f t="shared" si="29"/>
        <v>127496.36225987</v>
      </c>
      <c r="M278" s="710">
        <f t="shared" si="30"/>
        <v>2.1500955826430142E-2</v>
      </c>
      <c r="N278" s="710">
        <f t="shared" si="31"/>
        <v>8.09E-2</v>
      </c>
      <c r="O278" s="711">
        <f t="shared" si="32"/>
        <v>0.10327066948960925</v>
      </c>
      <c r="P278" s="712">
        <f t="shared" si="33"/>
        <v>3.9813702349332765E-3</v>
      </c>
      <c r="Q278" s="713">
        <f t="shared" si="34"/>
        <v>4.1115876964756233E-4</v>
      </c>
    </row>
    <row r="279" spans="1:17">
      <c r="A279" s="3" t="s">
        <v>1865</v>
      </c>
      <c r="B279" s="3" t="s">
        <v>2586</v>
      </c>
      <c r="C279" s="3" t="s">
        <v>1866</v>
      </c>
      <c r="D279" s="3">
        <v>5198299054.0799999</v>
      </c>
      <c r="E279" s="3">
        <v>5.911458333333333</v>
      </c>
      <c r="F279" s="3">
        <v>8.24</v>
      </c>
      <c r="G279" s="3">
        <v>169.21549999999999</v>
      </c>
      <c r="H279" s="3">
        <v>30.72</v>
      </c>
      <c r="I279" s="706"/>
      <c r="J279" s="707" t="str">
        <f t="shared" si="35"/>
        <v>Lincoln National Corp</v>
      </c>
      <c r="K279" s="708" t="str">
        <f t="shared" si="35"/>
        <v>LNC</v>
      </c>
      <c r="L279" s="709">
        <f t="shared" si="29"/>
        <v>5198.2990540800001</v>
      </c>
      <c r="M279" s="710">
        <f t="shared" si="30"/>
        <v>5.9114583333333331E-2</v>
      </c>
      <c r="N279" s="710">
        <f t="shared" si="31"/>
        <v>8.2400000000000001E-2</v>
      </c>
      <c r="O279" s="711">
        <f t="shared" si="32"/>
        <v>0.14395010416666665</v>
      </c>
      <c r="P279" s="712">
        <f t="shared" si="33"/>
        <v>1.6232896970041775E-4</v>
      </c>
      <c r="Q279" s="713">
        <f t="shared" si="34"/>
        <v>2.336727209764281E-5</v>
      </c>
    </row>
    <row r="280" spans="1:17">
      <c r="A280" s="3" t="s">
        <v>2587</v>
      </c>
      <c r="B280" s="3" t="s">
        <v>2588</v>
      </c>
      <c r="C280" s="3" t="s">
        <v>1355</v>
      </c>
      <c r="D280" s="3">
        <v>13858915234.300001</v>
      </c>
      <c r="E280" s="3">
        <v>3.0972649882267707</v>
      </c>
      <c r="F280" s="3">
        <v>6.3</v>
      </c>
      <c r="G280" s="3">
        <v>251.02179999999998</v>
      </c>
      <c r="H280" s="3">
        <v>55.21</v>
      </c>
      <c r="I280" s="706"/>
      <c r="J280" s="707" t="str">
        <f t="shared" si="35"/>
        <v>Alliant Energy Corp</v>
      </c>
      <c r="K280" s="708" t="str">
        <f t="shared" si="35"/>
        <v>LNT</v>
      </c>
      <c r="L280" s="709">
        <f t="shared" si="29"/>
        <v>13858.915234300001</v>
      </c>
      <c r="M280" s="710">
        <f t="shared" si="30"/>
        <v>3.0972649882267708E-2</v>
      </c>
      <c r="N280" s="710">
        <f t="shared" si="31"/>
        <v>6.3E-2</v>
      </c>
      <c r="O280" s="711">
        <f t="shared" si="32"/>
        <v>9.4948288353559146E-2</v>
      </c>
      <c r="P280" s="712">
        <f t="shared" si="33"/>
        <v>4.3277683868218642E-4</v>
      </c>
      <c r="Q280" s="713">
        <f t="shared" si="34"/>
        <v>4.1091420071937985E-5</v>
      </c>
    </row>
    <row r="281" spans="1:17">
      <c r="A281" s="3" t="s">
        <v>1867</v>
      </c>
      <c r="B281" s="3" t="s">
        <v>2589</v>
      </c>
      <c r="C281" s="3" t="s">
        <v>1868</v>
      </c>
      <c r="D281" s="3">
        <v>120480941043.00002</v>
      </c>
      <c r="E281" s="3">
        <v>1.974001204577394</v>
      </c>
      <c r="F281" s="3">
        <v>18.43</v>
      </c>
      <c r="G281" s="3">
        <v>604.70259999999996</v>
      </c>
      <c r="H281" s="3">
        <v>199.24</v>
      </c>
      <c r="I281" s="706"/>
      <c r="J281" s="707" t="str">
        <f t="shared" si="35"/>
        <v>Lowe's Cos Inc</v>
      </c>
      <c r="K281" s="708" t="str">
        <f t="shared" si="35"/>
        <v>LOW</v>
      </c>
      <c r="L281" s="709">
        <f t="shared" si="29"/>
        <v>120480.94104300001</v>
      </c>
      <c r="M281" s="710">
        <f t="shared" si="30"/>
        <v>1.9740012045773941E-2</v>
      </c>
      <c r="N281" s="710">
        <f t="shared" si="31"/>
        <v>0.18429999999999999</v>
      </c>
      <c r="O281" s="711">
        <f t="shared" si="32"/>
        <v>0.205859054155792</v>
      </c>
      <c r="P281" s="712">
        <f t="shared" si="33"/>
        <v>3.7622974023968072E-3</v>
      </c>
      <c r="Q281" s="713">
        <f t="shared" si="34"/>
        <v>7.7450298471019993E-4</v>
      </c>
    </row>
    <row r="282" spans="1:17">
      <c r="A282" s="3" t="s">
        <v>1869</v>
      </c>
      <c r="B282" s="3" t="s">
        <v>2590</v>
      </c>
      <c r="C282" s="3" t="s">
        <v>1870</v>
      </c>
      <c r="D282" s="3">
        <v>57320234920.800003</v>
      </c>
      <c r="E282" s="3">
        <v>1.5845824411134903</v>
      </c>
      <c r="F282" s="3">
        <v>1.81</v>
      </c>
      <c r="G282" s="3">
        <v>136.3793</v>
      </c>
      <c r="H282" s="3">
        <v>420.3</v>
      </c>
      <c r="I282" s="706"/>
      <c r="J282" s="707" t="str">
        <f t="shared" si="35"/>
        <v>Lam Research Corp</v>
      </c>
      <c r="K282" s="708" t="str">
        <f t="shared" si="35"/>
        <v>LRCX</v>
      </c>
      <c r="L282" s="709">
        <f t="shared" si="29"/>
        <v>57320.234920800001</v>
      </c>
      <c r="M282" s="710">
        <f t="shared" si="30"/>
        <v>1.5845824411134902E-2</v>
      </c>
      <c r="N282" s="710">
        <f t="shared" si="31"/>
        <v>1.8100000000000002E-2</v>
      </c>
      <c r="O282" s="711">
        <f t="shared" si="32"/>
        <v>3.408922912205567E-2</v>
      </c>
      <c r="P282" s="712">
        <f t="shared" si="33"/>
        <v>1.7899575574391671E-3</v>
      </c>
      <c r="Q282" s="713">
        <f t="shared" si="34"/>
        <v>6.1018273294298891E-5</v>
      </c>
    </row>
    <row r="283" spans="1:17">
      <c r="A283" s="3" t="s">
        <v>3917</v>
      </c>
      <c r="B283" s="3" t="s">
        <v>3944</v>
      </c>
      <c r="C283" s="3" t="s">
        <v>3918</v>
      </c>
      <c r="D283" s="3">
        <v>5400522440.4599991</v>
      </c>
      <c r="E283" s="3">
        <v>14.367816091954024</v>
      </c>
      <c r="F283" s="3">
        <v>-14.065</v>
      </c>
      <c r="G283" s="3">
        <v>1034.5829999999999</v>
      </c>
      <c r="H283" s="3">
        <v>5.22</v>
      </c>
      <c r="I283" s="706"/>
      <c r="J283" s="707" t="str">
        <f t="shared" si="35"/>
        <v>Lumen Technologies Inc</v>
      </c>
      <c r="K283" s="708" t="str">
        <f t="shared" si="35"/>
        <v>LUMN</v>
      </c>
      <c r="L283" s="709">
        <f t="shared" si="29"/>
        <v>5400.5224404599994</v>
      </c>
      <c r="M283" s="710">
        <f t="shared" si="30"/>
        <v>0.14367816091954025</v>
      </c>
      <c r="N283" s="710">
        <f t="shared" si="31"/>
        <v>-0.14065</v>
      </c>
      <c r="O283" s="711">
        <f t="shared" si="32"/>
        <v>-7.0760057471264126E-3</v>
      </c>
      <c r="P283" s="712">
        <f t="shared" si="33"/>
        <v>1.6864386494189678E-4</v>
      </c>
      <c r="Q283" s="713">
        <f t="shared" si="34"/>
        <v>-1.1933249575464721E-6</v>
      </c>
    </row>
    <row r="284" spans="1:17">
      <c r="A284" s="3" t="s">
        <v>1871</v>
      </c>
      <c r="B284" s="3" t="s">
        <v>2591</v>
      </c>
      <c r="C284" s="3" t="s">
        <v>1872</v>
      </c>
      <c r="D284" s="3">
        <v>19991629974.680004</v>
      </c>
      <c r="E284" s="3">
        <v>0</v>
      </c>
      <c r="F284" s="3">
        <v>106.04</v>
      </c>
      <c r="G284" s="3">
        <v>593.75199999999995</v>
      </c>
      <c r="H284" s="3">
        <v>33.67</v>
      </c>
      <c r="I284" s="706"/>
      <c r="J284" s="707" t="str">
        <f t="shared" si="35"/>
        <v>Southwest Airlines Co</v>
      </c>
      <c r="K284" s="708" t="str">
        <f t="shared" si="35"/>
        <v>LUV</v>
      </c>
      <c r="L284" s="709">
        <f t="shared" si="29"/>
        <v>19991.629974680003</v>
      </c>
      <c r="M284" s="710">
        <f t="shared" si="30"/>
        <v>0</v>
      </c>
      <c r="N284" s="710">
        <f t="shared" si="31"/>
        <v>1.0604</v>
      </c>
      <c r="O284" s="711">
        <f t="shared" si="32"/>
        <v>1.0604</v>
      </c>
      <c r="P284" s="712">
        <f t="shared" si="33"/>
        <v>6.2428510992931622E-4</v>
      </c>
      <c r="Q284" s="713">
        <f t="shared" si="34"/>
        <v>6.6199193056904696E-4</v>
      </c>
    </row>
    <row r="285" spans="1:17">
      <c r="A285" s="3" t="s">
        <v>2915</v>
      </c>
      <c r="B285" s="3" t="s">
        <v>2916</v>
      </c>
      <c r="C285" s="3" t="s">
        <v>2917</v>
      </c>
      <c r="D285" s="3">
        <v>36733472118.199997</v>
      </c>
      <c r="E285" s="3">
        <v>0</v>
      </c>
      <c r="F285" s="3">
        <v>-170.9</v>
      </c>
      <c r="G285" s="3">
        <v>764.16629999999998</v>
      </c>
      <c r="H285" s="3">
        <v>48.07</v>
      </c>
      <c r="I285" s="706"/>
      <c r="J285" s="707" t="str">
        <f t="shared" si="35"/>
        <v>Las Vegas Sands Corp</v>
      </c>
      <c r="K285" s="708" t="str">
        <f t="shared" si="35"/>
        <v>LVS</v>
      </c>
      <c r="L285" s="709">
        <f t="shared" si="29"/>
        <v>36733.472118199999</v>
      </c>
      <c r="M285" s="710">
        <f t="shared" si="30"/>
        <v>0</v>
      </c>
      <c r="N285" s="710">
        <f t="shared" si="31"/>
        <v>-1.7090000000000001</v>
      </c>
      <c r="O285" s="711">
        <f t="shared" si="32"/>
        <v>-1.7090000000000001</v>
      </c>
      <c r="P285" s="712">
        <f t="shared" si="33"/>
        <v>1.1470880417674908E-3</v>
      </c>
      <c r="Q285" s="713">
        <f t="shared" si="34"/>
        <v>-1.9603734633806421E-3</v>
      </c>
    </row>
    <row r="286" spans="1:17">
      <c r="A286" s="3" t="s">
        <v>2592</v>
      </c>
      <c r="B286" s="3" t="s">
        <v>2593</v>
      </c>
      <c r="C286" s="3" t="s">
        <v>2594</v>
      </c>
      <c r="D286" s="3">
        <v>12852756389.440001</v>
      </c>
      <c r="E286" s="3">
        <v>1.112354521038496</v>
      </c>
      <c r="F286" s="3">
        <v>26.69</v>
      </c>
      <c r="G286" s="3">
        <v>143.8312</v>
      </c>
      <c r="H286" s="3">
        <v>89.36</v>
      </c>
      <c r="I286" s="706"/>
      <c r="J286" s="707" t="str">
        <f t="shared" si="35"/>
        <v>Lamb Weston Holdings Inc</v>
      </c>
      <c r="K286" s="708" t="str">
        <f t="shared" si="35"/>
        <v>LW</v>
      </c>
      <c r="L286" s="709">
        <f t="shared" si="29"/>
        <v>12852.756389440001</v>
      </c>
      <c r="M286" s="710">
        <f t="shared" si="30"/>
        <v>1.112354521038496E-2</v>
      </c>
      <c r="N286" s="710">
        <f t="shared" si="31"/>
        <v>0.26690000000000003</v>
      </c>
      <c r="O286" s="711">
        <f t="shared" si="32"/>
        <v>0.27950798231871088</v>
      </c>
      <c r="P286" s="712">
        <f t="shared" si="33"/>
        <v>4.0135719026605809E-4</v>
      </c>
      <c r="Q286" s="713">
        <f t="shared" si="34"/>
        <v>1.1218253844037285E-4</v>
      </c>
    </row>
    <row r="287" spans="1:17">
      <c r="A287" s="3" t="s">
        <v>1873</v>
      </c>
      <c r="B287" s="3" t="s">
        <v>2595</v>
      </c>
      <c r="C287" s="3" t="s">
        <v>1874</v>
      </c>
      <c r="D287" s="3">
        <v>27036596671.990002</v>
      </c>
      <c r="E287" s="3">
        <v>5.599181018908828</v>
      </c>
      <c r="F287" s="3">
        <v>14</v>
      </c>
      <c r="G287" s="3">
        <v>325.62439999999998</v>
      </c>
      <c r="H287" s="3">
        <v>83.03</v>
      </c>
      <c r="I287" s="706"/>
      <c r="J287" s="707" t="str">
        <f t="shared" si="35"/>
        <v>LyondellBasell Industries NV</v>
      </c>
      <c r="K287" s="708" t="str">
        <f t="shared" si="35"/>
        <v>LYB</v>
      </c>
      <c r="L287" s="709">
        <f t="shared" si="29"/>
        <v>27036.596671990003</v>
      </c>
      <c r="M287" s="710">
        <f t="shared" si="30"/>
        <v>5.5991810189088283E-2</v>
      </c>
      <c r="N287" s="710">
        <f t="shared" si="31"/>
        <v>0.14000000000000001</v>
      </c>
      <c r="O287" s="711">
        <f t="shared" si="32"/>
        <v>0.19991123690232449</v>
      </c>
      <c r="P287" s="712">
        <f t="shared" si="33"/>
        <v>8.4428056876127884E-4</v>
      </c>
      <c r="Q287" s="713">
        <f t="shared" si="34"/>
        <v>1.6878117279366526E-4</v>
      </c>
    </row>
    <row r="288" spans="1:17">
      <c r="A288" s="3" t="s">
        <v>2960</v>
      </c>
      <c r="B288" s="3" t="s">
        <v>2961</v>
      </c>
      <c r="C288" s="3" t="s">
        <v>2962</v>
      </c>
      <c r="D288" s="3">
        <v>16101562761.459997</v>
      </c>
      <c r="E288" s="3">
        <v>0</v>
      </c>
      <c r="F288" s="3" t="s">
        <v>1483</v>
      </c>
      <c r="G288" s="3">
        <v>230.87989999999999</v>
      </c>
      <c r="H288" s="3">
        <v>69.739999999999995</v>
      </c>
      <c r="I288" s="706"/>
      <c r="J288" s="707" t="str">
        <f t="shared" si="35"/>
        <v>Live Nation Entertainment Inc</v>
      </c>
      <c r="K288" s="708" t="str">
        <f t="shared" si="35"/>
        <v>LYV</v>
      </c>
      <c r="L288" s="709">
        <f t="shared" si="29"/>
        <v>16101.562761459998</v>
      </c>
      <c r="M288" s="710">
        <f t="shared" si="30"/>
        <v>0</v>
      </c>
      <c r="N288" s="710" t="str">
        <f t="shared" si="31"/>
        <v>N/A</v>
      </c>
      <c r="O288" s="711" t="str">
        <f t="shared" si="32"/>
        <v>N/A</v>
      </c>
      <c r="P288" s="712" t="str">
        <f t="shared" si="33"/>
        <v>N/A</v>
      </c>
      <c r="Q288" s="713" t="str">
        <f t="shared" si="34"/>
        <v>N/A</v>
      </c>
    </row>
    <row r="289" spans="1:17">
      <c r="A289" s="3" t="s">
        <v>1875</v>
      </c>
      <c r="B289" s="3" t="s">
        <v>2596</v>
      </c>
      <c r="C289" s="3" t="s">
        <v>1876</v>
      </c>
      <c r="D289" s="3">
        <v>334328407560.75</v>
      </c>
      <c r="E289" s="3">
        <v>0.54812641992350386</v>
      </c>
      <c r="F289" s="3">
        <v>22.558</v>
      </c>
      <c r="G289" s="3">
        <v>953.803</v>
      </c>
      <c r="H289" s="3">
        <v>347.73</v>
      </c>
      <c r="I289" s="706"/>
      <c r="J289" s="707" t="str">
        <f t="shared" si="35"/>
        <v>Mastercard Inc</v>
      </c>
      <c r="K289" s="708" t="str">
        <f t="shared" si="35"/>
        <v>MA</v>
      </c>
      <c r="L289" s="709">
        <f t="shared" si="29"/>
        <v>334328.40756075003</v>
      </c>
      <c r="M289" s="710">
        <f t="shared" si="30"/>
        <v>5.4812641992350386E-3</v>
      </c>
      <c r="N289" s="710">
        <f t="shared" si="31"/>
        <v>0.22558</v>
      </c>
      <c r="O289" s="711">
        <f t="shared" si="32"/>
        <v>0.23167949598826676</v>
      </c>
      <c r="P289" s="712">
        <f t="shared" si="33"/>
        <v>1.044018156252899E-2</v>
      </c>
      <c r="Q289" s="713">
        <f t="shared" si="34"/>
        <v>2.4187760024327117E-3</v>
      </c>
    </row>
    <row r="290" spans="1:17">
      <c r="A290" s="3" t="s">
        <v>2205</v>
      </c>
      <c r="B290" s="3" t="s">
        <v>2597</v>
      </c>
      <c r="C290" s="3" t="s">
        <v>2206</v>
      </c>
      <c r="D290" s="3">
        <v>18128737055.820004</v>
      </c>
      <c r="E290" s="3">
        <v>2.9887253965220717</v>
      </c>
      <c r="F290" s="3" t="s">
        <v>1483</v>
      </c>
      <c r="G290" s="3">
        <v>115.47699999999999</v>
      </c>
      <c r="H290" s="3">
        <v>156.99</v>
      </c>
      <c r="I290" s="706"/>
      <c r="J290" s="707" t="str">
        <f t="shared" si="35"/>
        <v>Mid-America Apartment Communities Inc</v>
      </c>
      <c r="K290" s="708" t="str">
        <f t="shared" si="35"/>
        <v>MAA</v>
      </c>
      <c r="L290" s="709">
        <f t="shared" si="29"/>
        <v>18128.737055820002</v>
      </c>
      <c r="M290" s="710">
        <f t="shared" si="30"/>
        <v>2.9887253965220718E-2</v>
      </c>
      <c r="N290" s="710" t="str">
        <f t="shared" si="31"/>
        <v>N/A</v>
      </c>
      <c r="O290" s="711" t="str">
        <f t="shared" si="32"/>
        <v>N/A</v>
      </c>
      <c r="P290" s="712" t="str">
        <f t="shared" si="33"/>
        <v>N/A</v>
      </c>
      <c r="Q290" s="713" t="str">
        <f t="shared" si="34"/>
        <v>N/A</v>
      </c>
    </row>
    <row r="291" spans="1:17">
      <c r="A291" s="3" t="s">
        <v>1877</v>
      </c>
      <c r="B291" s="3" t="s">
        <v>2598</v>
      </c>
      <c r="C291" s="3" t="s">
        <v>1878</v>
      </c>
      <c r="D291" s="3">
        <v>47129582979.569992</v>
      </c>
      <c r="E291" s="3">
        <v>0.6239505675330782</v>
      </c>
      <c r="F291" s="3">
        <v>38.21</v>
      </c>
      <c r="G291" s="3">
        <v>316.53960000000001</v>
      </c>
      <c r="H291" s="3">
        <v>148.88999999999999</v>
      </c>
      <c r="I291" s="706"/>
      <c r="J291" s="707" t="str">
        <f t="shared" si="35"/>
        <v>Marriott International Inc/MD</v>
      </c>
      <c r="K291" s="708" t="str">
        <f t="shared" si="35"/>
        <v>MAR</v>
      </c>
      <c r="L291" s="709">
        <f t="shared" si="29"/>
        <v>47129.58297956999</v>
      </c>
      <c r="M291" s="710">
        <f t="shared" si="30"/>
        <v>6.239505675330782E-3</v>
      </c>
      <c r="N291" s="710">
        <f t="shared" si="31"/>
        <v>0.3821</v>
      </c>
      <c r="O291" s="711">
        <f t="shared" si="32"/>
        <v>0.3895315632346027</v>
      </c>
      <c r="P291" s="712">
        <f t="shared" si="33"/>
        <v>1.4717307657548635E-3</v>
      </c>
      <c r="Q291" s="713">
        <f t="shared" si="34"/>
        <v>5.7328558584495088E-4</v>
      </c>
    </row>
    <row r="292" spans="1:17">
      <c r="A292" s="3" t="s">
        <v>1879</v>
      </c>
      <c r="B292" s="3" t="s">
        <v>2599</v>
      </c>
      <c r="C292" s="3" t="s">
        <v>1880</v>
      </c>
      <c r="D292" s="3">
        <v>10525444170.410002</v>
      </c>
      <c r="E292" s="3">
        <v>2.3526890936361688</v>
      </c>
      <c r="F292" s="3">
        <v>7.2050000000000001</v>
      </c>
      <c r="G292" s="3">
        <v>225.5291</v>
      </c>
      <c r="H292" s="3">
        <v>46.67</v>
      </c>
      <c r="I292" s="706"/>
      <c r="J292" s="707" t="str">
        <f t="shared" si="35"/>
        <v>Masco Corp</v>
      </c>
      <c r="K292" s="708" t="str">
        <f t="shared" si="35"/>
        <v>MAS</v>
      </c>
      <c r="L292" s="709">
        <f t="shared" si="29"/>
        <v>10525.444170410001</v>
      </c>
      <c r="M292" s="710">
        <f t="shared" si="30"/>
        <v>2.3526890936361688E-2</v>
      </c>
      <c r="N292" s="710">
        <f t="shared" si="31"/>
        <v>7.2050000000000003E-2</v>
      </c>
      <c r="O292" s="711">
        <f t="shared" si="32"/>
        <v>9.6424447182344122E-2</v>
      </c>
      <c r="P292" s="712">
        <f t="shared" si="33"/>
        <v>3.2868145715489439E-4</v>
      </c>
      <c r="Q292" s="713">
        <f t="shared" si="34"/>
        <v>3.1692927805248016E-5</v>
      </c>
    </row>
    <row r="293" spans="1:17">
      <c r="A293" s="3" t="s">
        <v>1881</v>
      </c>
      <c r="B293" s="3" t="s">
        <v>2600</v>
      </c>
      <c r="C293" s="3" t="s">
        <v>1882</v>
      </c>
      <c r="D293" s="3">
        <v>193015668258.75998</v>
      </c>
      <c r="E293" s="3">
        <v>2.1416916480097146</v>
      </c>
      <c r="F293" s="3">
        <v>7.63</v>
      </c>
      <c r="G293" s="3">
        <v>732.4239</v>
      </c>
      <c r="H293" s="3">
        <v>263.52999999999997</v>
      </c>
      <c r="I293" s="706"/>
      <c r="J293" s="707" t="str">
        <f t="shared" si="35"/>
        <v>McDonald's Corp</v>
      </c>
      <c r="K293" s="708" t="str">
        <f t="shared" si="35"/>
        <v>MCD</v>
      </c>
      <c r="L293" s="709">
        <f t="shared" si="29"/>
        <v>193015.66825875998</v>
      </c>
      <c r="M293" s="710">
        <f t="shared" si="30"/>
        <v>2.1416916480097147E-2</v>
      </c>
      <c r="N293" s="710">
        <f t="shared" si="31"/>
        <v>7.6299999999999993E-2</v>
      </c>
      <c r="O293" s="711">
        <f t="shared" si="32"/>
        <v>9.8533971843812851E-2</v>
      </c>
      <c r="P293" s="712">
        <f t="shared" si="33"/>
        <v>6.027362842830385E-3</v>
      </c>
      <c r="Q293" s="713">
        <f t="shared" si="34"/>
        <v>5.9390000064789294E-4</v>
      </c>
    </row>
    <row r="294" spans="1:17">
      <c r="A294" s="3" t="s">
        <v>1883</v>
      </c>
      <c r="B294" s="3" t="s">
        <v>2601</v>
      </c>
      <c r="C294" s="3" t="s">
        <v>1884</v>
      </c>
      <c r="D294" s="3">
        <v>38638111877.5</v>
      </c>
      <c r="E294" s="3">
        <v>1.7822064056939502</v>
      </c>
      <c r="F294" s="3">
        <v>17.824999999999999</v>
      </c>
      <c r="G294" s="3">
        <v>550.00869999999998</v>
      </c>
      <c r="H294" s="3">
        <v>70.25</v>
      </c>
      <c r="I294" s="706"/>
      <c r="J294" s="707" t="str">
        <f t="shared" si="35"/>
        <v>Microchip Technology Inc</v>
      </c>
      <c r="K294" s="708" t="str">
        <f t="shared" si="35"/>
        <v>MCHP</v>
      </c>
      <c r="L294" s="709">
        <f t="shared" si="29"/>
        <v>38638.1118775</v>
      </c>
      <c r="M294" s="710">
        <f t="shared" si="30"/>
        <v>1.78220640569395E-2</v>
      </c>
      <c r="N294" s="710">
        <f t="shared" si="31"/>
        <v>0.17824999999999999</v>
      </c>
      <c r="O294" s="711">
        <f t="shared" si="32"/>
        <v>0.19766045551601422</v>
      </c>
      <c r="P294" s="712">
        <f t="shared" si="33"/>
        <v>1.2065648449604421E-3</v>
      </c>
      <c r="Q294" s="713">
        <f t="shared" si="34"/>
        <v>2.3849015686449007E-4</v>
      </c>
    </row>
    <row r="295" spans="1:17">
      <c r="A295" s="3" t="s">
        <v>1885</v>
      </c>
      <c r="B295" s="3" t="s">
        <v>2602</v>
      </c>
      <c r="C295" s="3" t="s">
        <v>1309</v>
      </c>
      <c r="D295" s="3">
        <v>53189570217.599998</v>
      </c>
      <c r="E295" s="3">
        <v>0.54595862657283001</v>
      </c>
      <c r="F295" s="3">
        <v>15.57</v>
      </c>
      <c r="G295" s="3">
        <v>141.79349999999999</v>
      </c>
      <c r="H295" s="3">
        <v>375.12</v>
      </c>
      <c r="I295" s="706"/>
      <c r="J295" s="707" t="str">
        <f t="shared" si="35"/>
        <v>McKesson Corp</v>
      </c>
      <c r="K295" s="708" t="str">
        <f t="shared" si="35"/>
        <v>MCK</v>
      </c>
      <c r="L295" s="709">
        <f t="shared" si="29"/>
        <v>53189.570217599998</v>
      </c>
      <c r="M295" s="710">
        <f t="shared" si="30"/>
        <v>5.4595862657283003E-3</v>
      </c>
      <c r="N295" s="710">
        <f t="shared" si="31"/>
        <v>0.15570000000000001</v>
      </c>
      <c r="O295" s="711">
        <f t="shared" si="32"/>
        <v>0.16158461505651525</v>
      </c>
      <c r="P295" s="712">
        <f t="shared" si="33"/>
        <v>1.6609679517099506E-3</v>
      </c>
      <c r="Q295" s="713">
        <f t="shared" si="34"/>
        <v>2.6838686709826099E-4</v>
      </c>
    </row>
    <row r="296" spans="1:17">
      <c r="A296" s="3" t="s">
        <v>1886</v>
      </c>
      <c r="B296" s="3" t="s">
        <v>2603</v>
      </c>
      <c r="C296" s="3" t="s">
        <v>1887</v>
      </c>
      <c r="D296" s="3">
        <v>51043184000</v>
      </c>
      <c r="E296" s="3">
        <v>0.99885148230564924</v>
      </c>
      <c r="F296" s="3" t="s">
        <v>1483</v>
      </c>
      <c r="G296" s="3">
        <v>183.2</v>
      </c>
      <c r="H296" s="3">
        <v>278.62</v>
      </c>
      <c r="I296" s="706"/>
      <c r="J296" s="707" t="str">
        <f t="shared" si="35"/>
        <v>Moody's Corp</v>
      </c>
      <c r="K296" s="708" t="str">
        <f t="shared" si="35"/>
        <v>MCO</v>
      </c>
      <c r="L296" s="709">
        <f t="shared" si="29"/>
        <v>51043.184000000001</v>
      </c>
      <c r="M296" s="710">
        <f t="shared" si="30"/>
        <v>9.9885148230564932E-3</v>
      </c>
      <c r="N296" s="710" t="str">
        <f t="shared" si="31"/>
        <v>N/A</v>
      </c>
      <c r="O296" s="711" t="str">
        <f t="shared" si="32"/>
        <v>N/A</v>
      </c>
      <c r="P296" s="712" t="str">
        <f t="shared" si="33"/>
        <v>N/A</v>
      </c>
      <c r="Q296" s="713" t="str">
        <f t="shared" si="34"/>
        <v>N/A</v>
      </c>
    </row>
    <row r="297" spans="1:17">
      <c r="A297" s="3" t="s">
        <v>1888</v>
      </c>
      <c r="B297" s="3" t="s">
        <v>2604</v>
      </c>
      <c r="C297" s="3" t="s">
        <v>1889</v>
      </c>
      <c r="D297" s="3">
        <v>91018473558.200012</v>
      </c>
      <c r="E297" s="3">
        <v>2.2955738934733683</v>
      </c>
      <c r="F297" s="3">
        <v>5.54</v>
      </c>
      <c r="G297" s="3">
        <v>1365.6189999999999</v>
      </c>
      <c r="H297" s="3">
        <v>66.650000000000006</v>
      </c>
      <c r="I297" s="706"/>
      <c r="J297" s="707" t="str">
        <f t="shared" si="35"/>
        <v>Mondelez International Inc</v>
      </c>
      <c r="K297" s="708" t="str">
        <f t="shared" si="35"/>
        <v>MDLZ</v>
      </c>
      <c r="L297" s="709">
        <f t="shared" si="29"/>
        <v>91018.473558200014</v>
      </c>
      <c r="M297" s="710">
        <f t="shared" si="30"/>
        <v>2.2955738934733683E-2</v>
      </c>
      <c r="N297" s="710">
        <f t="shared" si="31"/>
        <v>5.5399999999999998E-2</v>
      </c>
      <c r="O297" s="711">
        <f t="shared" si="32"/>
        <v>7.8991612903225802E-2</v>
      </c>
      <c r="P297" s="712">
        <f t="shared" si="33"/>
        <v>2.8422633793665428E-3</v>
      </c>
      <c r="Q297" s="713">
        <f t="shared" si="34"/>
        <v>2.2451496863193636E-4</v>
      </c>
    </row>
    <row r="298" spans="1:17">
      <c r="A298" s="3" t="s">
        <v>1890</v>
      </c>
      <c r="B298" s="3" t="s">
        <v>2605</v>
      </c>
      <c r="C298" s="3" t="s">
        <v>1891</v>
      </c>
      <c r="D298" s="3">
        <v>103381587890.15999</v>
      </c>
      <c r="E298" s="3">
        <v>3.4161091096242924</v>
      </c>
      <c r="F298" s="3">
        <v>5.08</v>
      </c>
      <c r="G298" s="3">
        <v>1330.1799999999998</v>
      </c>
      <c r="H298" s="3">
        <v>77.72</v>
      </c>
      <c r="I298" s="706"/>
      <c r="J298" s="707" t="str">
        <f t="shared" si="35"/>
        <v>Medtronic PLC</v>
      </c>
      <c r="K298" s="708" t="str">
        <f t="shared" si="35"/>
        <v>MDT</v>
      </c>
      <c r="L298" s="709">
        <f t="shared" si="29"/>
        <v>103381.58789015999</v>
      </c>
      <c r="M298" s="710">
        <f t="shared" si="30"/>
        <v>3.4161091096242921E-2</v>
      </c>
      <c r="N298" s="710">
        <f t="shared" si="31"/>
        <v>5.0799999999999998E-2</v>
      </c>
      <c r="O298" s="711">
        <f t="shared" si="32"/>
        <v>8.5828782810087489E-2</v>
      </c>
      <c r="P298" s="712">
        <f t="shared" si="33"/>
        <v>3.2283303583758357E-3</v>
      </c>
      <c r="Q298" s="713">
        <f t="shared" si="34"/>
        <v>2.770836651682515E-4</v>
      </c>
    </row>
    <row r="299" spans="1:17">
      <c r="A299" s="3" t="s">
        <v>1892</v>
      </c>
      <c r="B299" s="3" t="s">
        <v>2606</v>
      </c>
      <c r="C299" s="3" t="s">
        <v>1893</v>
      </c>
      <c r="D299" s="3">
        <v>56781951055.850006</v>
      </c>
      <c r="E299" s="3">
        <v>2.7317949426557968</v>
      </c>
      <c r="F299" s="3">
        <v>3.1630000000000003</v>
      </c>
      <c r="G299" s="3">
        <v>784.60619999999994</v>
      </c>
      <c r="H299" s="3">
        <v>72.37</v>
      </c>
      <c r="I299" s="706"/>
      <c r="J299" s="707" t="str">
        <f t="shared" si="35"/>
        <v>MetLife Inc</v>
      </c>
      <c r="K299" s="708" t="str">
        <f t="shared" si="35"/>
        <v>MET</v>
      </c>
      <c r="L299" s="709">
        <f t="shared" si="29"/>
        <v>56781.951055850004</v>
      </c>
      <c r="M299" s="710">
        <f t="shared" si="30"/>
        <v>2.7317949426557967E-2</v>
      </c>
      <c r="N299" s="710">
        <f t="shared" si="31"/>
        <v>3.1630000000000005E-2</v>
      </c>
      <c r="O299" s="711">
        <f t="shared" si="32"/>
        <v>5.9379982796738985E-2</v>
      </c>
      <c r="P299" s="712">
        <f t="shared" si="33"/>
        <v>1.7731483926922659E-3</v>
      </c>
      <c r="Q299" s="713">
        <f t="shared" si="34"/>
        <v>1.0528952105413213E-4</v>
      </c>
    </row>
    <row r="300" spans="1:17">
      <c r="A300" s="3" t="s">
        <v>4310</v>
      </c>
      <c r="B300" s="3" t="s">
        <v>4093</v>
      </c>
      <c r="C300" s="3" t="s">
        <v>4311</v>
      </c>
      <c r="D300" s="3">
        <v>315555188424.08002</v>
      </c>
      <c r="E300" s="3">
        <v>0</v>
      </c>
      <c r="F300" s="3">
        <v>0.86599999999999999</v>
      </c>
      <c r="G300" s="3">
        <v>2255.3209999999999</v>
      </c>
      <c r="H300" s="3">
        <v>120.34</v>
      </c>
      <c r="I300" s="706"/>
      <c r="J300" s="707" t="str">
        <f t="shared" si="35"/>
        <v>Meta Platforms Inc</v>
      </c>
      <c r="K300" s="708" t="str">
        <f t="shared" si="35"/>
        <v>META</v>
      </c>
      <c r="L300" s="709">
        <f t="shared" si="29"/>
        <v>315555.18842408003</v>
      </c>
      <c r="M300" s="710">
        <f t="shared" si="30"/>
        <v>0</v>
      </c>
      <c r="N300" s="710">
        <f t="shared" si="31"/>
        <v>8.6599999999999993E-3</v>
      </c>
      <c r="O300" s="711">
        <f t="shared" si="32"/>
        <v>8.6599999999999993E-3</v>
      </c>
      <c r="P300" s="712">
        <f t="shared" si="33"/>
        <v>9.8539441628118733E-3</v>
      </c>
      <c r="Q300" s="713">
        <f t="shared" si="34"/>
        <v>8.5335156449950809E-5</v>
      </c>
    </row>
    <row r="301" spans="1:17">
      <c r="A301" s="3" t="s">
        <v>2272</v>
      </c>
      <c r="B301" s="3" t="s">
        <v>2607</v>
      </c>
      <c r="C301" s="3" t="s">
        <v>2273</v>
      </c>
      <c r="D301" s="3">
        <v>12876200524.879999</v>
      </c>
      <c r="E301" s="3">
        <v>5.9648076349537726E-2</v>
      </c>
      <c r="F301" s="3">
        <v>17.57</v>
      </c>
      <c r="G301" s="3">
        <v>384.02029999999996</v>
      </c>
      <c r="H301" s="3">
        <v>33.53</v>
      </c>
      <c r="I301" s="706"/>
      <c r="J301" s="707" t="str">
        <f t="shared" si="35"/>
        <v>MGM Resorts International</v>
      </c>
      <c r="K301" s="708" t="str">
        <f t="shared" si="35"/>
        <v>MGM</v>
      </c>
      <c r="L301" s="709">
        <f t="shared" si="29"/>
        <v>12876.20052488</v>
      </c>
      <c r="M301" s="710">
        <f t="shared" si="30"/>
        <v>5.9648076349537731E-4</v>
      </c>
      <c r="N301" s="710">
        <f t="shared" si="31"/>
        <v>0.1757</v>
      </c>
      <c r="O301" s="711">
        <f t="shared" si="32"/>
        <v>0.17634888159856843</v>
      </c>
      <c r="P301" s="712">
        <f t="shared" si="33"/>
        <v>4.0208928788335561E-4</v>
      </c>
      <c r="Q301" s="713">
        <f t="shared" si="34"/>
        <v>7.0907996220994577E-5</v>
      </c>
    </row>
    <row r="302" spans="1:17">
      <c r="A302" s="3" t="s">
        <v>1894</v>
      </c>
      <c r="B302" s="3" t="s">
        <v>2608</v>
      </c>
      <c r="C302" s="3" t="s">
        <v>1895</v>
      </c>
      <c r="D302" s="3">
        <v>6494448751.04</v>
      </c>
      <c r="E302" s="3" t="s">
        <v>1483</v>
      </c>
      <c r="F302" s="3">
        <v>-5.36</v>
      </c>
      <c r="G302" s="3">
        <v>63.534029999999994</v>
      </c>
      <c r="H302" s="3">
        <v>102.22</v>
      </c>
      <c r="I302" s="706"/>
      <c r="J302" s="707" t="str">
        <f t="shared" si="35"/>
        <v>Mohawk Industries Inc</v>
      </c>
      <c r="K302" s="708" t="str">
        <f t="shared" si="35"/>
        <v>MHK</v>
      </c>
      <c r="L302" s="709">
        <f t="shared" si="29"/>
        <v>6494.4487510400004</v>
      </c>
      <c r="M302" s="710" t="str">
        <f t="shared" si="30"/>
        <v>0.00%</v>
      </c>
      <c r="N302" s="710">
        <f t="shared" si="31"/>
        <v>-5.3600000000000002E-2</v>
      </c>
      <c r="O302" s="711">
        <f t="shared" si="32"/>
        <v>-5.3600000000000002E-2</v>
      </c>
      <c r="P302" s="712">
        <f t="shared" si="33"/>
        <v>2.0280425646174524E-4</v>
      </c>
      <c r="Q302" s="713">
        <f t="shared" si="34"/>
        <v>-1.0870308146349545E-5</v>
      </c>
    </row>
    <row r="303" spans="1:17">
      <c r="A303" s="3" t="s">
        <v>1896</v>
      </c>
      <c r="B303" s="3" t="s">
        <v>2609</v>
      </c>
      <c r="C303" s="3" t="s">
        <v>1897</v>
      </c>
      <c r="D303" s="3">
        <v>22219003598.939999</v>
      </c>
      <c r="E303" s="3">
        <v>1.7782603450355894</v>
      </c>
      <c r="F303" s="3">
        <v>-0.55000000000000004</v>
      </c>
      <c r="G303" s="3">
        <v>250.60079999999999</v>
      </c>
      <c r="H303" s="3">
        <v>82.89</v>
      </c>
      <c r="I303" s="706"/>
      <c r="J303" s="707" t="str">
        <f t="shared" si="35"/>
        <v>McCormick &amp; Co Inc/MD</v>
      </c>
      <c r="K303" s="708" t="str">
        <f t="shared" si="35"/>
        <v>MKC</v>
      </c>
      <c r="L303" s="709">
        <f t="shared" si="29"/>
        <v>22219.003598939998</v>
      </c>
      <c r="M303" s="710">
        <f t="shared" si="30"/>
        <v>1.7782603450355892E-2</v>
      </c>
      <c r="N303" s="710">
        <f t="shared" si="31"/>
        <v>-5.5000000000000005E-3</v>
      </c>
      <c r="O303" s="711">
        <f t="shared" si="32"/>
        <v>1.2233701290867413E-2</v>
      </c>
      <c r="P303" s="712">
        <f t="shared" si="33"/>
        <v>6.9384002814438627E-4</v>
      </c>
      <c r="Q303" s="713">
        <f t="shared" si="34"/>
        <v>8.4882316479654605E-6</v>
      </c>
    </row>
    <row r="304" spans="1:17">
      <c r="A304" s="3" t="s">
        <v>2918</v>
      </c>
      <c r="B304" s="3" t="s">
        <v>2919</v>
      </c>
      <c r="C304" s="3" t="s">
        <v>2920</v>
      </c>
      <c r="D304" s="3">
        <v>10496533566.469999</v>
      </c>
      <c r="E304" s="3">
        <v>1.0082828355265518</v>
      </c>
      <c r="F304" s="3" t="s">
        <v>1483</v>
      </c>
      <c r="G304" s="3">
        <v>37.63682</v>
      </c>
      <c r="H304" s="3">
        <v>278.89</v>
      </c>
      <c r="I304" s="706"/>
      <c r="J304" s="707" t="str">
        <f t="shared" si="35"/>
        <v>MarketAxess Holdings Inc</v>
      </c>
      <c r="K304" s="708" t="str">
        <f t="shared" si="35"/>
        <v>MKTX</v>
      </c>
      <c r="L304" s="709">
        <f t="shared" si="29"/>
        <v>10496.53356647</v>
      </c>
      <c r="M304" s="710">
        <f t="shared" si="30"/>
        <v>1.0082828355265519E-2</v>
      </c>
      <c r="N304" s="710" t="str">
        <f t="shared" si="31"/>
        <v>N/A</v>
      </c>
      <c r="O304" s="711" t="str">
        <f t="shared" si="32"/>
        <v>N/A</v>
      </c>
      <c r="P304" s="712" t="str">
        <f t="shared" si="33"/>
        <v>N/A</v>
      </c>
      <c r="Q304" s="713" t="str">
        <f t="shared" si="34"/>
        <v>N/A</v>
      </c>
    </row>
    <row r="305" spans="1:17">
      <c r="A305" s="3" t="s">
        <v>1898</v>
      </c>
      <c r="B305" s="3" t="s">
        <v>2610</v>
      </c>
      <c r="C305" s="3" t="s">
        <v>1899</v>
      </c>
      <c r="D305" s="3">
        <v>20984791851.18</v>
      </c>
      <c r="E305" s="3">
        <v>0.74178181495398998</v>
      </c>
      <c r="F305" s="3">
        <v>14.26</v>
      </c>
      <c r="G305" s="3">
        <v>62.090689999999995</v>
      </c>
      <c r="H305" s="3">
        <v>337.97</v>
      </c>
      <c r="I305" s="706"/>
      <c r="J305" s="707" t="str">
        <f t="shared" si="35"/>
        <v>Martin Marietta Materials Inc</v>
      </c>
      <c r="K305" s="708" t="str">
        <f t="shared" si="35"/>
        <v>MLM</v>
      </c>
      <c r="L305" s="709">
        <f t="shared" si="29"/>
        <v>20984.791851180002</v>
      </c>
      <c r="M305" s="710">
        <f t="shared" si="30"/>
        <v>7.4178181495399001E-3</v>
      </c>
      <c r="N305" s="710">
        <f t="shared" si="31"/>
        <v>0.1426</v>
      </c>
      <c r="O305" s="711">
        <f t="shared" si="32"/>
        <v>0.15054670858360208</v>
      </c>
      <c r="P305" s="712">
        <f t="shared" si="33"/>
        <v>6.5529889780122444E-4</v>
      </c>
      <c r="Q305" s="713">
        <f t="shared" si="34"/>
        <v>9.8653092202436582E-5</v>
      </c>
    </row>
    <row r="306" spans="1:17">
      <c r="A306" s="3" t="s">
        <v>1900</v>
      </c>
      <c r="B306" s="3" t="s">
        <v>2611</v>
      </c>
      <c r="C306" s="3" t="s">
        <v>1901</v>
      </c>
      <c r="D306" s="3">
        <v>82079653052.87999</v>
      </c>
      <c r="E306" s="3">
        <v>1.3578680203045685</v>
      </c>
      <c r="F306" s="3">
        <v>9.1549999999999994</v>
      </c>
      <c r="G306" s="3">
        <v>496.0095</v>
      </c>
      <c r="H306" s="3">
        <v>165.48</v>
      </c>
      <c r="I306" s="706"/>
      <c r="J306" s="707" t="str">
        <f t="shared" si="35"/>
        <v>Marsh &amp; McLennan Cos Inc</v>
      </c>
      <c r="K306" s="708" t="str">
        <f t="shared" si="35"/>
        <v>MMC</v>
      </c>
      <c r="L306" s="709">
        <f t="shared" si="29"/>
        <v>82079.653052879992</v>
      </c>
      <c r="M306" s="710">
        <f t="shared" si="30"/>
        <v>1.3578680203045685E-2</v>
      </c>
      <c r="N306" s="710">
        <f t="shared" si="31"/>
        <v>9.1549999999999992E-2</v>
      </c>
      <c r="O306" s="711">
        <f t="shared" si="32"/>
        <v>0.10575024428934009</v>
      </c>
      <c r="P306" s="712">
        <f t="shared" si="33"/>
        <v>2.5631279337390554E-3</v>
      </c>
      <c r="Q306" s="713">
        <f t="shared" si="34"/>
        <v>2.7105140513773658E-4</v>
      </c>
    </row>
    <row r="307" spans="1:17">
      <c r="A307" s="3" t="s">
        <v>1902</v>
      </c>
      <c r="B307" s="3" t="s">
        <v>2612</v>
      </c>
      <c r="C307" s="3" t="s">
        <v>1903</v>
      </c>
      <c r="D307" s="3">
        <v>66284930366.800003</v>
      </c>
      <c r="E307" s="3">
        <v>4.970813875917278</v>
      </c>
      <c r="F307" s="3">
        <v>7.55</v>
      </c>
      <c r="G307" s="3">
        <v>552.74289999999996</v>
      </c>
      <c r="H307" s="3">
        <v>119.92</v>
      </c>
      <c r="I307" s="706"/>
      <c r="J307" s="707" t="str">
        <f t="shared" si="35"/>
        <v>3M Co</v>
      </c>
      <c r="K307" s="708" t="str">
        <f t="shared" si="35"/>
        <v>MMM</v>
      </c>
      <c r="L307" s="709">
        <f t="shared" si="29"/>
        <v>66284.930366800007</v>
      </c>
      <c r="M307" s="710">
        <f t="shared" si="30"/>
        <v>4.9708138759172779E-2</v>
      </c>
      <c r="N307" s="710">
        <f t="shared" si="31"/>
        <v>7.5499999999999998E-2</v>
      </c>
      <c r="O307" s="711">
        <f t="shared" si="32"/>
        <v>0.12708462099733153</v>
      </c>
      <c r="P307" s="712">
        <f t="shared" si="33"/>
        <v>2.0699010082271779E-3</v>
      </c>
      <c r="Q307" s="713">
        <f t="shared" si="34"/>
        <v>2.6305258513254534E-4</v>
      </c>
    </row>
    <row r="308" spans="1:17">
      <c r="A308" s="3" t="s">
        <v>1904</v>
      </c>
      <c r="B308" s="3" t="s">
        <v>2613</v>
      </c>
      <c r="C308" s="3" t="s">
        <v>1905</v>
      </c>
      <c r="D308" s="3">
        <v>52972628926.360001</v>
      </c>
      <c r="E308" s="3">
        <v>0</v>
      </c>
      <c r="F308" s="3">
        <v>9.1850000000000005</v>
      </c>
      <c r="G308" s="3">
        <v>521.74360000000001</v>
      </c>
      <c r="H308" s="3">
        <v>101.53</v>
      </c>
      <c r="I308" s="706"/>
      <c r="J308" s="707" t="str">
        <f t="shared" si="35"/>
        <v>Monster Beverage Corp</v>
      </c>
      <c r="K308" s="708" t="str">
        <f t="shared" si="35"/>
        <v>MNST</v>
      </c>
      <c r="L308" s="709">
        <f t="shared" si="29"/>
        <v>52972.628926359997</v>
      </c>
      <c r="M308" s="710">
        <f t="shared" si="30"/>
        <v>0</v>
      </c>
      <c r="N308" s="710">
        <f t="shared" si="31"/>
        <v>9.1850000000000001E-2</v>
      </c>
      <c r="O308" s="711">
        <f t="shared" si="32"/>
        <v>9.1850000000000001E-2</v>
      </c>
      <c r="P308" s="712">
        <f t="shared" si="33"/>
        <v>1.6541934556822879E-3</v>
      </c>
      <c r="Q308" s="713">
        <f t="shared" si="34"/>
        <v>1.5193766890441815E-4</v>
      </c>
    </row>
    <row r="309" spans="1:17">
      <c r="A309" s="3" t="s">
        <v>1906</v>
      </c>
      <c r="B309" s="3" t="s">
        <v>2614</v>
      </c>
      <c r="C309" s="3" t="s">
        <v>1907</v>
      </c>
      <c r="D309" s="3">
        <v>81920210368.779999</v>
      </c>
      <c r="E309" s="3">
        <v>8.0463793480638817</v>
      </c>
      <c r="F309" s="3">
        <v>1.1500000000000001</v>
      </c>
      <c r="G309" s="3">
        <v>1792.173</v>
      </c>
      <c r="H309" s="3">
        <v>45.71</v>
      </c>
      <c r="I309" s="706"/>
      <c r="J309" s="707" t="str">
        <f t="shared" si="35"/>
        <v>Altria Group Inc</v>
      </c>
      <c r="K309" s="708" t="str">
        <f t="shared" si="35"/>
        <v>MO</v>
      </c>
      <c r="L309" s="709">
        <f t="shared" si="29"/>
        <v>81920.210368779997</v>
      </c>
      <c r="M309" s="710">
        <f t="shared" si="30"/>
        <v>8.0463793480638812E-2</v>
      </c>
      <c r="N309" s="710">
        <f t="shared" si="31"/>
        <v>1.1500000000000002E-2</v>
      </c>
      <c r="O309" s="711">
        <f t="shared" si="32"/>
        <v>9.2426460293152476E-2</v>
      </c>
      <c r="P309" s="712">
        <f t="shared" si="33"/>
        <v>2.5581489653559442E-3</v>
      </c>
      <c r="Q309" s="713">
        <f t="shared" si="34"/>
        <v>2.3644065377044027E-4</v>
      </c>
    </row>
    <row r="310" spans="1:17">
      <c r="A310" s="3" t="s">
        <v>4312</v>
      </c>
      <c r="B310" s="3" t="s">
        <v>4313</v>
      </c>
      <c r="C310" s="3" t="s">
        <v>4314</v>
      </c>
      <c r="D310" s="3">
        <v>19284848000</v>
      </c>
      <c r="E310" s="3" t="s">
        <v>1483</v>
      </c>
      <c r="F310" s="3">
        <v>19.580000000000002</v>
      </c>
      <c r="G310" s="3">
        <v>58.4</v>
      </c>
      <c r="H310" s="3">
        <v>330.22</v>
      </c>
      <c r="I310" s="706"/>
      <c r="J310" s="707" t="str">
        <f t="shared" si="35"/>
        <v>Molina Healthcare Inc</v>
      </c>
      <c r="K310" s="708" t="str">
        <f t="shared" si="35"/>
        <v>MOH</v>
      </c>
      <c r="L310" s="709">
        <f t="shared" si="29"/>
        <v>19284.848000000002</v>
      </c>
      <c r="M310" s="710" t="str">
        <f t="shared" si="30"/>
        <v>0.00%</v>
      </c>
      <c r="N310" s="710">
        <f t="shared" si="31"/>
        <v>0.19580000000000003</v>
      </c>
      <c r="O310" s="711">
        <f t="shared" si="32"/>
        <v>0.19580000000000003</v>
      </c>
      <c r="P310" s="712">
        <f t="shared" si="33"/>
        <v>6.0221420008764752E-4</v>
      </c>
      <c r="Q310" s="713">
        <f t="shared" si="34"/>
        <v>1.179135403771614E-4</v>
      </c>
    </row>
    <row r="311" spans="1:17">
      <c r="A311" s="3" t="s">
        <v>1908</v>
      </c>
      <c r="B311" s="3" t="s">
        <v>2615</v>
      </c>
      <c r="C311" s="3" t="s">
        <v>1909</v>
      </c>
      <c r="D311" s="3">
        <v>14936902961.580002</v>
      </c>
      <c r="E311" s="3">
        <v>1.3220879872350124</v>
      </c>
      <c r="F311" s="3">
        <v>-1.4000000000000001</v>
      </c>
      <c r="G311" s="3">
        <v>340.48099999999999</v>
      </c>
      <c r="H311" s="3">
        <v>43.87</v>
      </c>
      <c r="I311" s="706"/>
      <c r="J311" s="707" t="str">
        <f t="shared" si="35"/>
        <v>Mosaic Co/The</v>
      </c>
      <c r="K311" s="708" t="str">
        <f t="shared" si="35"/>
        <v>MOS</v>
      </c>
      <c r="L311" s="709">
        <f t="shared" si="29"/>
        <v>14936.902961580003</v>
      </c>
      <c r="M311" s="710">
        <f t="shared" si="30"/>
        <v>1.3220879872350124E-2</v>
      </c>
      <c r="N311" s="710">
        <f t="shared" si="31"/>
        <v>-1.4000000000000002E-2</v>
      </c>
      <c r="O311" s="711">
        <f t="shared" si="32"/>
        <v>-8.7166628675632886E-4</v>
      </c>
      <c r="P311" s="712">
        <f t="shared" si="33"/>
        <v>4.6643951089449671E-4</v>
      </c>
      <c r="Q311" s="713">
        <f t="shared" si="34"/>
        <v>-4.0657959645784417E-7</v>
      </c>
    </row>
    <row r="312" spans="1:17">
      <c r="A312" s="3" t="s">
        <v>1910</v>
      </c>
      <c r="B312" s="3" t="s">
        <v>2616</v>
      </c>
      <c r="C312" s="3" t="s">
        <v>1911</v>
      </c>
      <c r="D312" s="3">
        <v>54547434352.870003</v>
      </c>
      <c r="E312" s="3">
        <v>2.172007904459146</v>
      </c>
      <c r="F312" s="3">
        <v>25.805</v>
      </c>
      <c r="G312" s="3">
        <v>468.66079999999999</v>
      </c>
      <c r="H312" s="3">
        <v>116.39</v>
      </c>
      <c r="I312" s="706"/>
      <c r="J312" s="707" t="str">
        <f t="shared" si="35"/>
        <v>Marathon Petroleum Corp</v>
      </c>
      <c r="K312" s="708" t="str">
        <f t="shared" si="35"/>
        <v>MPC</v>
      </c>
      <c r="L312" s="709">
        <f t="shared" si="29"/>
        <v>54547.434352870005</v>
      </c>
      <c r="M312" s="710">
        <f t="shared" si="30"/>
        <v>2.1720079044591459E-2</v>
      </c>
      <c r="N312" s="710">
        <f t="shared" si="31"/>
        <v>0.25805</v>
      </c>
      <c r="O312" s="711">
        <f t="shared" si="32"/>
        <v>0.28257251224331986</v>
      </c>
      <c r="P312" s="712">
        <f t="shared" si="33"/>
        <v>1.7033704152424262E-3</v>
      </c>
      <c r="Q312" s="713">
        <f t="shared" si="34"/>
        <v>4.8132565751599933E-4</v>
      </c>
    </row>
    <row r="313" spans="1:17">
      <c r="A313" s="3" t="s">
        <v>3945</v>
      </c>
      <c r="B313" s="3" t="s">
        <v>3946</v>
      </c>
      <c r="C313" s="3" t="s">
        <v>3947</v>
      </c>
      <c r="D313" s="3">
        <v>16599160620.000002</v>
      </c>
      <c r="E313" s="3">
        <v>0.80597268176804948</v>
      </c>
      <c r="F313" s="3">
        <v>27.25</v>
      </c>
      <c r="G313" s="3">
        <v>46.942</v>
      </c>
      <c r="H313" s="3">
        <v>353.61</v>
      </c>
      <c r="I313" s="706"/>
      <c r="J313" s="707" t="str">
        <f t="shared" si="35"/>
        <v>Monolithic Power Systems Inc</v>
      </c>
      <c r="K313" s="708" t="str">
        <f t="shared" si="35"/>
        <v>MPWR</v>
      </c>
      <c r="L313" s="709">
        <f t="shared" si="29"/>
        <v>16599.160620000002</v>
      </c>
      <c r="M313" s="710">
        <f t="shared" si="30"/>
        <v>8.0597268176804942E-3</v>
      </c>
      <c r="N313" s="710">
        <f t="shared" si="31"/>
        <v>0.27250000000000002</v>
      </c>
      <c r="O313" s="711">
        <f t="shared" si="32"/>
        <v>0.28165786459658948</v>
      </c>
      <c r="P313" s="712">
        <f t="shared" si="33"/>
        <v>5.1834736964998006E-4</v>
      </c>
      <c r="Q313" s="713">
        <f t="shared" si="34"/>
        <v>1.4599661325487241E-4</v>
      </c>
    </row>
    <row r="314" spans="1:17">
      <c r="A314" s="3" t="s">
        <v>1912</v>
      </c>
      <c r="B314" s="3" t="s">
        <v>2617</v>
      </c>
      <c r="C314" s="3" t="s">
        <v>1308</v>
      </c>
      <c r="D314" s="3">
        <v>281302183315.30005</v>
      </c>
      <c r="E314" s="3">
        <v>2.5110410094637223</v>
      </c>
      <c r="F314" s="3">
        <v>11.365</v>
      </c>
      <c r="G314" s="3">
        <v>2535.3959999999997</v>
      </c>
      <c r="H314" s="3">
        <v>110.95</v>
      </c>
      <c r="I314" s="706"/>
      <c r="J314" s="707" t="str">
        <f t="shared" si="35"/>
        <v>Merck &amp; Co Inc</v>
      </c>
      <c r="K314" s="708" t="str">
        <f t="shared" si="35"/>
        <v>MRK</v>
      </c>
      <c r="L314" s="709">
        <f t="shared" si="29"/>
        <v>281302.18331530003</v>
      </c>
      <c r="M314" s="710">
        <f t="shared" si="30"/>
        <v>2.5110410094637225E-2</v>
      </c>
      <c r="N314" s="710">
        <f t="shared" si="31"/>
        <v>0.11365</v>
      </c>
      <c r="O314" s="711">
        <f t="shared" si="32"/>
        <v>0.14018730914826499</v>
      </c>
      <c r="P314" s="712">
        <f t="shared" si="33"/>
        <v>8.7843144684434209E-3</v>
      </c>
      <c r="Q314" s="713">
        <f t="shared" si="34"/>
        <v>1.2314494080432549E-3</v>
      </c>
    </row>
    <row r="315" spans="1:17">
      <c r="A315" s="3" t="s">
        <v>3994</v>
      </c>
      <c r="B315" s="3" t="s">
        <v>3995</v>
      </c>
      <c r="C315" s="3" t="s">
        <v>3996</v>
      </c>
      <c r="D315" s="3">
        <v>69006495841.780014</v>
      </c>
      <c r="E315" s="3">
        <v>0</v>
      </c>
      <c r="F315" s="3">
        <v>-151.75</v>
      </c>
      <c r="G315" s="3">
        <v>384.18049999999999</v>
      </c>
      <c r="H315" s="3">
        <v>179.62</v>
      </c>
      <c r="I315" s="706"/>
      <c r="J315" s="707" t="str">
        <f t="shared" si="35"/>
        <v>Moderna Inc</v>
      </c>
      <c r="K315" s="708" t="str">
        <f t="shared" si="35"/>
        <v>MRNA</v>
      </c>
      <c r="L315" s="709">
        <f t="shared" si="29"/>
        <v>69006.495841780008</v>
      </c>
      <c r="M315" s="710">
        <f t="shared" si="30"/>
        <v>0</v>
      </c>
      <c r="N315" s="710">
        <f t="shared" si="31"/>
        <v>-1.5175000000000001</v>
      </c>
      <c r="O315" s="711">
        <f t="shared" si="32"/>
        <v>-1.5175000000000001</v>
      </c>
      <c r="P315" s="712">
        <f t="shared" si="33"/>
        <v>2.15488821556743E-3</v>
      </c>
      <c r="Q315" s="713">
        <f t="shared" si="34"/>
        <v>-3.2700428671235751E-3</v>
      </c>
    </row>
    <row r="316" spans="1:17">
      <c r="A316" s="3" t="s">
        <v>1913</v>
      </c>
      <c r="B316" s="3" t="s">
        <v>2618</v>
      </c>
      <c r="C316" s="3" t="s">
        <v>1914</v>
      </c>
      <c r="D316" s="3">
        <v>17191286428.800003</v>
      </c>
      <c r="E316" s="3">
        <v>1.1784263021795347</v>
      </c>
      <c r="F316" s="3" t="s">
        <v>1483</v>
      </c>
      <c r="G316" s="3">
        <v>635.06779999999992</v>
      </c>
      <c r="H316" s="3">
        <v>27.07</v>
      </c>
      <c r="I316" s="706"/>
      <c r="J316" s="707" t="str">
        <f t="shared" si="35"/>
        <v>Marathon Oil Corp</v>
      </c>
      <c r="K316" s="708" t="str">
        <f t="shared" si="35"/>
        <v>MRO</v>
      </c>
      <c r="L316" s="709">
        <f t="shared" si="29"/>
        <v>17191.286428800002</v>
      </c>
      <c r="M316" s="710">
        <f t="shared" si="30"/>
        <v>1.1784263021795346E-2</v>
      </c>
      <c r="N316" s="710" t="str">
        <f t="shared" si="31"/>
        <v>N/A</v>
      </c>
      <c r="O316" s="711" t="str">
        <f t="shared" si="32"/>
        <v>N/A</v>
      </c>
      <c r="P316" s="712" t="str">
        <f t="shared" si="33"/>
        <v>N/A</v>
      </c>
      <c r="Q316" s="713" t="str">
        <f t="shared" si="34"/>
        <v>N/A</v>
      </c>
    </row>
    <row r="317" spans="1:17">
      <c r="A317" s="3" t="s">
        <v>1915</v>
      </c>
      <c r="B317" s="3" t="s">
        <v>2619</v>
      </c>
      <c r="C317" s="3" t="s">
        <v>1916</v>
      </c>
      <c r="D317" s="3">
        <v>143693102803.38</v>
      </c>
      <c r="E317" s="3">
        <v>3.4944718889673023</v>
      </c>
      <c r="F317" s="3">
        <v>1.07</v>
      </c>
      <c r="G317" s="3">
        <v>1690.1089999999999</v>
      </c>
      <c r="H317" s="3">
        <v>85.02</v>
      </c>
      <c r="I317" s="706"/>
      <c r="J317" s="707" t="str">
        <f t="shared" si="35"/>
        <v>Morgan Stanley</v>
      </c>
      <c r="K317" s="708" t="str">
        <f t="shared" si="35"/>
        <v>MS</v>
      </c>
      <c r="L317" s="709">
        <f t="shared" si="29"/>
        <v>143693.10280338</v>
      </c>
      <c r="M317" s="710">
        <f t="shared" si="30"/>
        <v>3.4944718889673022E-2</v>
      </c>
      <c r="N317" s="710">
        <f t="shared" si="31"/>
        <v>1.0700000000000001E-2</v>
      </c>
      <c r="O317" s="711">
        <f t="shared" si="32"/>
        <v>4.5831673135732776E-2</v>
      </c>
      <c r="P317" s="712">
        <f t="shared" si="33"/>
        <v>4.4871511024017182E-3</v>
      </c>
      <c r="Q317" s="713">
        <f t="shared" si="34"/>
        <v>2.0565364263591852E-4</v>
      </c>
    </row>
    <row r="318" spans="1:17">
      <c r="A318" s="3" t="s">
        <v>2323</v>
      </c>
      <c r="B318" s="3" t="s">
        <v>2620</v>
      </c>
      <c r="C318" s="3" t="s">
        <v>2324</v>
      </c>
      <c r="D318" s="3">
        <v>37194140078.220009</v>
      </c>
      <c r="E318" s="3">
        <v>0.98759593266977663</v>
      </c>
      <c r="F318" s="3" t="s">
        <v>1483</v>
      </c>
      <c r="G318" s="3">
        <v>79.958169999999996</v>
      </c>
      <c r="H318" s="3">
        <v>465.17</v>
      </c>
      <c r="I318" s="706"/>
      <c r="J318" s="707" t="str">
        <f t="shared" si="35"/>
        <v>MSCI Inc</v>
      </c>
      <c r="K318" s="708" t="str">
        <f t="shared" si="35"/>
        <v>MSCI</v>
      </c>
      <c r="L318" s="709">
        <f t="shared" si="29"/>
        <v>37194.140078220007</v>
      </c>
      <c r="M318" s="710">
        <f t="shared" si="30"/>
        <v>9.8759593266977662E-3</v>
      </c>
      <c r="N318" s="710" t="str">
        <f t="shared" si="31"/>
        <v>N/A</v>
      </c>
      <c r="O318" s="711" t="str">
        <f t="shared" si="32"/>
        <v>N/A</v>
      </c>
      <c r="P318" s="712" t="str">
        <f t="shared" si="33"/>
        <v>N/A</v>
      </c>
      <c r="Q318" s="713" t="str">
        <f t="shared" si="34"/>
        <v>N/A</v>
      </c>
    </row>
    <row r="319" spans="1:17">
      <c r="A319" s="3" t="s">
        <v>1917</v>
      </c>
      <c r="B319" s="3" t="s">
        <v>2621</v>
      </c>
      <c r="C319" s="3" t="s">
        <v>1918</v>
      </c>
      <c r="D319" s="3">
        <v>1787731749394.0798</v>
      </c>
      <c r="E319" s="3">
        <v>1.0974897840046702</v>
      </c>
      <c r="F319" s="3">
        <v>11.065</v>
      </c>
      <c r="G319" s="3">
        <v>7454.473</v>
      </c>
      <c r="H319" s="3">
        <v>239.82</v>
      </c>
      <c r="I319" s="706"/>
      <c r="J319" s="707" t="str">
        <f t="shared" si="35"/>
        <v>Microsoft Corp</v>
      </c>
      <c r="K319" s="708" t="str">
        <f t="shared" si="35"/>
        <v>MSFT</v>
      </c>
      <c r="L319" s="709">
        <f t="shared" si="29"/>
        <v>1787731.7493940799</v>
      </c>
      <c r="M319" s="710">
        <f t="shared" si="30"/>
        <v>1.0974897840046703E-2</v>
      </c>
      <c r="N319" s="710">
        <f t="shared" si="31"/>
        <v>0.11065</v>
      </c>
      <c r="O319" s="711">
        <f t="shared" si="32"/>
        <v>0.12223208406304728</v>
      </c>
      <c r="P319" s="712">
        <f t="shared" si="33"/>
        <v>5.5826078869413251E-2</v>
      </c>
      <c r="Q319" s="713">
        <f t="shared" si="34"/>
        <v>6.8237379652764281E-3</v>
      </c>
    </row>
    <row r="320" spans="1:17">
      <c r="A320" s="3" t="s">
        <v>1919</v>
      </c>
      <c r="B320" s="3" t="s">
        <v>2622</v>
      </c>
      <c r="C320" s="3" t="s">
        <v>1920</v>
      </c>
      <c r="D320" s="3">
        <v>43089938991.389992</v>
      </c>
      <c r="E320" s="3">
        <v>1.2180357766481706</v>
      </c>
      <c r="F320" s="3" t="s">
        <v>1483</v>
      </c>
      <c r="G320" s="3">
        <v>167.20319999999998</v>
      </c>
      <c r="H320" s="3">
        <v>257.70999999999998</v>
      </c>
      <c r="I320" s="706"/>
      <c r="J320" s="707" t="str">
        <f t="shared" si="35"/>
        <v>Motorola Solutions Inc</v>
      </c>
      <c r="K320" s="708" t="str">
        <f t="shared" si="35"/>
        <v>MSI</v>
      </c>
      <c r="L320" s="709">
        <f t="shared" si="29"/>
        <v>43089.938991389994</v>
      </c>
      <c r="M320" s="710">
        <f t="shared" si="30"/>
        <v>1.2180357766481707E-2</v>
      </c>
      <c r="N320" s="710" t="str">
        <f t="shared" si="31"/>
        <v>N/A</v>
      </c>
      <c r="O320" s="711" t="str">
        <f t="shared" si="32"/>
        <v>N/A</v>
      </c>
      <c r="P320" s="712" t="str">
        <f t="shared" si="33"/>
        <v>N/A</v>
      </c>
      <c r="Q320" s="713" t="str">
        <f t="shared" si="34"/>
        <v>N/A</v>
      </c>
    </row>
    <row r="321" spans="1:17">
      <c r="A321" s="3" t="s">
        <v>1921</v>
      </c>
      <c r="B321" s="3" t="s">
        <v>2623</v>
      </c>
      <c r="C321" s="3" t="s">
        <v>1922</v>
      </c>
      <c r="D321" s="3">
        <v>25039291535.579998</v>
      </c>
      <c r="E321" s="3">
        <v>3.345512201847511</v>
      </c>
      <c r="F321" s="3">
        <v>8.18</v>
      </c>
      <c r="G321" s="3">
        <v>172.61329999999998</v>
      </c>
      <c r="H321" s="3">
        <v>145.06</v>
      </c>
      <c r="I321" s="706"/>
      <c r="J321" s="707" t="str">
        <f t="shared" si="35"/>
        <v>M&amp;T Bank Corp</v>
      </c>
      <c r="K321" s="708" t="str">
        <f t="shared" si="35"/>
        <v>MTB</v>
      </c>
      <c r="L321" s="709">
        <f t="shared" si="29"/>
        <v>25039.29153558</v>
      </c>
      <c r="M321" s="710">
        <f t="shared" si="30"/>
        <v>3.3455122018475107E-2</v>
      </c>
      <c r="N321" s="710">
        <f t="shared" si="31"/>
        <v>8.1799999999999998E-2</v>
      </c>
      <c r="O321" s="711">
        <f t="shared" si="32"/>
        <v>0.11662343650903073</v>
      </c>
      <c r="P321" s="712">
        <f t="shared" si="33"/>
        <v>7.8191007379787029E-4</v>
      </c>
      <c r="Q321" s="713">
        <f t="shared" si="34"/>
        <v>9.1189039847337463E-5</v>
      </c>
    </row>
    <row r="322" spans="1:17">
      <c r="A322" s="3" t="s">
        <v>4086</v>
      </c>
      <c r="B322" s="3" t="s">
        <v>4087</v>
      </c>
      <c r="C322" s="3" t="s">
        <v>4088</v>
      </c>
      <c r="D322" s="3">
        <v>11588410337.940001</v>
      </c>
      <c r="E322" s="3">
        <v>0</v>
      </c>
      <c r="F322" s="3">
        <v>35.615000000000002</v>
      </c>
      <c r="G322" s="3">
        <v>279.30610000000001</v>
      </c>
      <c r="H322" s="3">
        <v>41.49</v>
      </c>
      <c r="I322" s="706"/>
      <c r="J322" s="707" t="str">
        <f t="shared" si="35"/>
        <v>Match Group Inc</v>
      </c>
      <c r="K322" s="708" t="str">
        <f t="shared" si="35"/>
        <v>MTCH</v>
      </c>
      <c r="L322" s="709">
        <f t="shared" si="29"/>
        <v>11588.41033794</v>
      </c>
      <c r="M322" s="710">
        <f t="shared" si="30"/>
        <v>0</v>
      </c>
      <c r="N322" s="710">
        <f t="shared" si="31"/>
        <v>0.35615000000000002</v>
      </c>
      <c r="O322" s="711">
        <f t="shared" si="32"/>
        <v>0.35615000000000002</v>
      </c>
      <c r="P322" s="712">
        <f t="shared" si="33"/>
        <v>3.6187504625133479E-4</v>
      </c>
      <c r="Q322" s="713">
        <f t="shared" si="34"/>
        <v>1.2888179772241291E-4</v>
      </c>
    </row>
    <row r="323" spans="1:17">
      <c r="A323" s="3" t="s">
        <v>1923</v>
      </c>
      <c r="B323" s="3" t="s">
        <v>2624</v>
      </c>
      <c r="C323" s="3" t="s">
        <v>1924</v>
      </c>
      <c r="D323" s="3">
        <v>32225135490.049999</v>
      </c>
      <c r="E323" s="3">
        <v>0</v>
      </c>
      <c r="F323" s="3">
        <v>16.323</v>
      </c>
      <c r="G323" s="3">
        <v>22.29419</v>
      </c>
      <c r="H323" s="3">
        <v>1445.45</v>
      </c>
      <c r="I323" s="706"/>
      <c r="J323" s="707" t="str">
        <f t="shared" si="35"/>
        <v>Mettler-Toledo International Inc</v>
      </c>
      <c r="K323" s="708" t="str">
        <f t="shared" si="35"/>
        <v>MTD</v>
      </c>
      <c r="L323" s="709">
        <f t="shared" ref="L323:L386" si="36">D323/1000000</f>
        <v>32225.135490050001</v>
      </c>
      <c r="M323" s="710">
        <f t="shared" ref="M323:M386" si="37">IFERROR(E323/100,"0.00%")</f>
        <v>0</v>
      </c>
      <c r="N323" s="710">
        <f t="shared" ref="N323:N386" si="38">IFERROR(F323/100,"N/A")</f>
        <v>0.16323000000000001</v>
      </c>
      <c r="O323" s="711">
        <f t="shared" ref="O323:O386" si="39">IFERROR(M323*(1+0.5*N323)+N323,"N/A")</f>
        <v>0.16323000000000001</v>
      </c>
      <c r="P323" s="712">
        <f t="shared" ref="P323:P386" si="40">IF(N323="N/A","N/A",L323/$L$504)</f>
        <v>1.006304752407513E-3</v>
      </c>
      <c r="Q323" s="713">
        <f t="shared" ref="Q323:Q386" si="41">IF(AND(ISNUMBER(L323),ISNUMBER(O323)),O323*P323,"N/A")</f>
        <v>1.6425912473547836E-4</v>
      </c>
    </row>
    <row r="324" spans="1:17">
      <c r="A324" s="3" t="s">
        <v>1925</v>
      </c>
      <c r="B324" s="3" t="s">
        <v>2625</v>
      </c>
      <c r="C324" s="3" t="s">
        <v>1926</v>
      </c>
      <c r="D324" s="3">
        <v>54537004068.959991</v>
      </c>
      <c r="E324" s="3">
        <v>0.90836334533813523</v>
      </c>
      <c r="F324" s="3">
        <v>-12.8</v>
      </c>
      <c r="G324" s="3">
        <v>1091.1769999999999</v>
      </c>
      <c r="H324" s="3">
        <v>49.98</v>
      </c>
      <c r="I324" s="706"/>
      <c r="J324" s="707" t="str">
        <f t="shared" ref="J324:K387" si="42">B324</f>
        <v>Micron Technology Inc</v>
      </c>
      <c r="K324" s="708" t="str">
        <f t="shared" si="42"/>
        <v>MU</v>
      </c>
      <c r="L324" s="709">
        <f t="shared" si="36"/>
        <v>54537.004068959992</v>
      </c>
      <c r="M324" s="710">
        <f t="shared" si="37"/>
        <v>9.0836334533813522E-3</v>
      </c>
      <c r="N324" s="710">
        <f t="shared" si="38"/>
        <v>-0.128</v>
      </c>
      <c r="O324" s="711">
        <f t="shared" si="39"/>
        <v>-0.11949771908763505</v>
      </c>
      <c r="P324" s="712">
        <f t="shared" si="40"/>
        <v>1.7030447053855708E-3</v>
      </c>
      <c r="Q324" s="713">
        <f t="shared" si="41"/>
        <v>-2.0350995779784914E-4</v>
      </c>
    </row>
    <row r="325" spans="1:17">
      <c r="A325" s="3" t="s">
        <v>2304</v>
      </c>
      <c r="B325" s="3" t="s">
        <v>2626</v>
      </c>
      <c r="C325" s="3" t="s">
        <v>2289</v>
      </c>
      <c r="D325" s="3">
        <v>5157888264</v>
      </c>
      <c r="E325" s="3">
        <v>0</v>
      </c>
      <c r="F325" s="3">
        <v>-137.66</v>
      </c>
      <c r="G325" s="3">
        <v>421.39609999999999</v>
      </c>
      <c r="H325" s="3">
        <v>12.24</v>
      </c>
      <c r="I325" s="706"/>
      <c r="J325" s="707" t="str">
        <f t="shared" si="42"/>
        <v>Norwegian Cruise Line Holdings Ltd</v>
      </c>
      <c r="K325" s="708" t="str">
        <f t="shared" si="42"/>
        <v>NCLH</v>
      </c>
      <c r="L325" s="709">
        <f t="shared" si="36"/>
        <v>5157.8882640000002</v>
      </c>
      <c r="M325" s="710">
        <f t="shared" si="37"/>
        <v>0</v>
      </c>
      <c r="N325" s="710">
        <f t="shared" si="38"/>
        <v>-1.3766</v>
      </c>
      <c r="O325" s="711">
        <f t="shared" si="39"/>
        <v>-1.3766</v>
      </c>
      <c r="P325" s="712">
        <f t="shared" si="40"/>
        <v>1.6106704885857667E-4</v>
      </c>
      <c r="Q325" s="713">
        <f t="shared" si="41"/>
        <v>-2.2172489945871665E-4</v>
      </c>
    </row>
    <row r="326" spans="1:17">
      <c r="A326" s="3" t="s">
        <v>1927</v>
      </c>
      <c r="B326" s="3" t="s">
        <v>2627</v>
      </c>
      <c r="C326" s="3" t="s">
        <v>1928</v>
      </c>
      <c r="D326" s="3">
        <v>30139998920.099998</v>
      </c>
      <c r="E326" s="3">
        <v>1.2713936430317847</v>
      </c>
      <c r="F326" s="3">
        <v>6.335</v>
      </c>
      <c r="G326" s="3">
        <v>491.27949999999998</v>
      </c>
      <c r="H326" s="3">
        <v>61.35</v>
      </c>
      <c r="I326" s="706"/>
      <c r="J326" s="707" t="str">
        <f t="shared" si="42"/>
        <v>Nasdaq Inc</v>
      </c>
      <c r="K326" s="708" t="str">
        <f t="shared" si="42"/>
        <v>NDAQ</v>
      </c>
      <c r="L326" s="709">
        <f t="shared" si="36"/>
        <v>30139.998920099999</v>
      </c>
      <c r="M326" s="710">
        <f t="shared" si="37"/>
        <v>1.2713936430317848E-2</v>
      </c>
      <c r="N326" s="710">
        <f t="shared" si="38"/>
        <v>6.3350000000000004E-2</v>
      </c>
      <c r="O326" s="711">
        <f t="shared" si="39"/>
        <v>7.6466650366748171E-2</v>
      </c>
      <c r="P326" s="712">
        <f t="shared" si="40"/>
        <v>9.4119151679653262E-4</v>
      </c>
      <c r="Q326" s="713">
        <f t="shared" si="41"/>
        <v>7.1969762643029852E-5</v>
      </c>
    </row>
    <row r="327" spans="1:17">
      <c r="A327" s="3" t="s">
        <v>4315</v>
      </c>
      <c r="B327" s="3" t="s">
        <v>4316</v>
      </c>
      <c r="C327" s="3" t="s">
        <v>4317</v>
      </c>
      <c r="D327" s="3">
        <v>13587320201.279999</v>
      </c>
      <c r="E327" s="3">
        <v>1.093723708564698</v>
      </c>
      <c r="F327" s="3">
        <v>8.75</v>
      </c>
      <c r="G327" s="3">
        <v>57.156819999999996</v>
      </c>
      <c r="H327" s="3">
        <v>237.72</v>
      </c>
      <c r="I327" s="706"/>
      <c r="J327" s="707" t="str">
        <f t="shared" si="42"/>
        <v>Nordson Corp</v>
      </c>
      <c r="K327" s="708" t="str">
        <f t="shared" si="42"/>
        <v>NDSN</v>
      </c>
      <c r="L327" s="709">
        <f t="shared" si="36"/>
        <v>13587.320201279999</v>
      </c>
      <c r="M327" s="710">
        <f t="shared" si="37"/>
        <v>1.093723708564698E-2</v>
      </c>
      <c r="N327" s="710">
        <f t="shared" si="38"/>
        <v>8.7499999999999994E-2</v>
      </c>
      <c r="O327" s="711">
        <f t="shared" si="39"/>
        <v>9.8915741208144031E-2</v>
      </c>
      <c r="P327" s="712">
        <f t="shared" si="40"/>
        <v>4.2429565254279252E-4</v>
      </c>
      <c r="Q327" s="713">
        <f t="shared" si="41"/>
        <v>4.1969518962663462E-5</v>
      </c>
    </row>
    <row r="328" spans="1:17">
      <c r="A328" s="3" t="s">
        <v>1929</v>
      </c>
      <c r="B328" s="3" t="s">
        <v>2628</v>
      </c>
      <c r="C328" s="3" t="s">
        <v>201</v>
      </c>
      <c r="D328" s="3">
        <v>166126881307.19998</v>
      </c>
      <c r="E328" s="3">
        <v>2.0275119617224884</v>
      </c>
      <c r="F328" s="3">
        <v>8</v>
      </c>
      <c r="G328" s="3">
        <v>1987.164</v>
      </c>
      <c r="H328" s="3">
        <v>83.6</v>
      </c>
      <c r="I328" s="706"/>
      <c r="J328" s="707" t="str">
        <f t="shared" si="42"/>
        <v>NextEra Energy Inc</v>
      </c>
      <c r="K328" s="708" t="str">
        <f t="shared" si="42"/>
        <v>NEE</v>
      </c>
      <c r="L328" s="709">
        <f t="shared" si="36"/>
        <v>166126.88130719998</v>
      </c>
      <c r="M328" s="710">
        <f t="shared" si="37"/>
        <v>2.0275119617224883E-2</v>
      </c>
      <c r="N328" s="710">
        <f t="shared" si="38"/>
        <v>0.08</v>
      </c>
      <c r="O328" s="711">
        <f t="shared" si="39"/>
        <v>0.10108612440191388</v>
      </c>
      <c r="P328" s="712">
        <f t="shared" si="40"/>
        <v>5.1876979761246228E-3</v>
      </c>
      <c r="Q328" s="713">
        <f t="shared" si="41"/>
        <v>5.2440428297409046E-4</v>
      </c>
    </row>
    <row r="329" spans="1:17">
      <c r="A329" s="3" t="s">
        <v>1930</v>
      </c>
      <c r="B329" s="3" t="s">
        <v>3001</v>
      </c>
      <c r="C329" s="3" t="s">
        <v>1931</v>
      </c>
      <c r="D329" s="3">
        <v>37464468103.200005</v>
      </c>
      <c r="E329" s="3">
        <v>4.9004237288135597</v>
      </c>
      <c r="F329" s="3">
        <v>-3</v>
      </c>
      <c r="G329" s="3">
        <v>793.73869999999999</v>
      </c>
      <c r="H329" s="3">
        <v>47.2</v>
      </c>
      <c r="I329" s="706"/>
      <c r="J329" s="707" t="str">
        <f t="shared" si="42"/>
        <v>Newmont Corp</v>
      </c>
      <c r="K329" s="708" t="str">
        <f t="shared" si="42"/>
        <v>NEM</v>
      </c>
      <c r="L329" s="709">
        <f t="shared" si="36"/>
        <v>37464.468103200008</v>
      </c>
      <c r="M329" s="710">
        <f t="shared" si="37"/>
        <v>4.9004237288135598E-2</v>
      </c>
      <c r="N329" s="710">
        <f t="shared" si="38"/>
        <v>-0.03</v>
      </c>
      <c r="O329" s="711">
        <f t="shared" si="39"/>
        <v>1.8269173728813565E-2</v>
      </c>
      <c r="P329" s="712">
        <f t="shared" si="40"/>
        <v>1.1699150903589064E-3</v>
      </c>
      <c r="Q329" s="713">
        <f t="shared" si="41"/>
        <v>2.1373382033727482E-5</v>
      </c>
    </row>
    <row r="330" spans="1:17">
      <c r="A330" s="3" t="s">
        <v>1932</v>
      </c>
      <c r="B330" s="3" t="s">
        <v>2629</v>
      </c>
      <c r="C330" s="3" t="s">
        <v>1933</v>
      </c>
      <c r="D330" s="3">
        <v>131227643270.72</v>
      </c>
      <c r="E330" s="3">
        <v>0</v>
      </c>
      <c r="F330" s="3">
        <v>17.015000000000001</v>
      </c>
      <c r="G330" s="3">
        <v>445.02049999999997</v>
      </c>
      <c r="H330" s="3">
        <v>294.88</v>
      </c>
      <c r="I330" s="706"/>
      <c r="J330" s="707" t="str">
        <f t="shared" si="42"/>
        <v>Netflix Inc</v>
      </c>
      <c r="K330" s="708" t="str">
        <f t="shared" si="42"/>
        <v>NFLX</v>
      </c>
      <c r="L330" s="709">
        <f t="shared" si="36"/>
        <v>131227.64327072</v>
      </c>
      <c r="M330" s="710">
        <f t="shared" si="37"/>
        <v>0</v>
      </c>
      <c r="N330" s="710">
        <f t="shared" si="38"/>
        <v>0.17015</v>
      </c>
      <c r="O330" s="711">
        <f t="shared" si="39"/>
        <v>0.17015</v>
      </c>
      <c r="P330" s="712">
        <f t="shared" si="40"/>
        <v>4.0978881566328031E-3</v>
      </c>
      <c r="Q330" s="713">
        <f t="shared" si="41"/>
        <v>6.9725566985107145E-4</v>
      </c>
    </row>
    <row r="331" spans="1:17">
      <c r="A331" s="3" t="s">
        <v>1934</v>
      </c>
      <c r="B331" s="3" t="s">
        <v>2630</v>
      </c>
      <c r="C331" s="3" t="s">
        <v>214</v>
      </c>
      <c r="D331" s="3">
        <v>11136203657.640001</v>
      </c>
      <c r="E331" s="3">
        <v>3.450036469730124</v>
      </c>
      <c r="F331" s="3">
        <v>7.65</v>
      </c>
      <c r="G331" s="3">
        <v>406.1343</v>
      </c>
      <c r="H331" s="3">
        <v>27.42</v>
      </c>
      <c r="I331" s="706"/>
      <c r="J331" s="707" t="str">
        <f t="shared" si="42"/>
        <v>NiSource Inc</v>
      </c>
      <c r="K331" s="708" t="str">
        <f t="shared" si="42"/>
        <v>NI</v>
      </c>
      <c r="L331" s="709">
        <f t="shared" si="36"/>
        <v>11136.203657640001</v>
      </c>
      <c r="M331" s="710">
        <f t="shared" si="37"/>
        <v>3.4500364697301243E-2</v>
      </c>
      <c r="N331" s="710">
        <f t="shared" si="38"/>
        <v>7.6499999999999999E-2</v>
      </c>
      <c r="O331" s="711">
        <f t="shared" si="39"/>
        <v>0.112320003646973</v>
      </c>
      <c r="P331" s="712">
        <f t="shared" si="40"/>
        <v>3.4775384165324023E-4</v>
      </c>
      <c r="Q331" s="713">
        <f t="shared" si="41"/>
        <v>3.9059712762740817E-5</v>
      </c>
    </row>
    <row r="332" spans="1:17">
      <c r="A332" s="3" t="s">
        <v>1935</v>
      </c>
      <c r="B332" s="3" t="s">
        <v>2631</v>
      </c>
      <c r="C332" s="3" t="s">
        <v>1936</v>
      </c>
      <c r="D332" s="3">
        <v>183072786006.41003</v>
      </c>
      <c r="E332" s="3">
        <v>1.0990513631313561</v>
      </c>
      <c r="F332" s="3">
        <v>7.09</v>
      </c>
      <c r="G332" s="3">
        <v>1259.6879999999999</v>
      </c>
      <c r="H332" s="3">
        <v>117.01</v>
      </c>
      <c r="I332" s="706"/>
      <c r="J332" s="707" t="str">
        <f t="shared" si="42"/>
        <v>NIKE Inc</v>
      </c>
      <c r="K332" s="708" t="str">
        <f t="shared" si="42"/>
        <v>NKE</v>
      </c>
      <c r="L332" s="709">
        <f t="shared" si="36"/>
        <v>183072.78600641002</v>
      </c>
      <c r="M332" s="710">
        <f t="shared" si="37"/>
        <v>1.0990513631313561E-2</v>
      </c>
      <c r="N332" s="710">
        <f t="shared" si="38"/>
        <v>7.0900000000000005E-2</v>
      </c>
      <c r="O332" s="711">
        <f t="shared" si="39"/>
        <v>8.2280127339543624E-2</v>
      </c>
      <c r="P332" s="712">
        <f t="shared" si="40"/>
        <v>5.7168732355405271E-3</v>
      </c>
      <c r="Q332" s="713">
        <f t="shared" si="41"/>
        <v>4.7038505780430337E-4</v>
      </c>
    </row>
    <row r="333" spans="1:17">
      <c r="A333" s="3" t="s">
        <v>1937</v>
      </c>
      <c r="B333" s="3" t="s">
        <v>2632</v>
      </c>
      <c r="C333" s="3" t="s">
        <v>1938</v>
      </c>
      <c r="D333" s="3">
        <v>83976011435.160004</v>
      </c>
      <c r="E333" s="3">
        <v>1.236780850790858</v>
      </c>
      <c r="F333" s="3">
        <v>0.67</v>
      </c>
      <c r="G333" s="3">
        <v>153.91219999999998</v>
      </c>
      <c r="H333" s="3">
        <v>545.61</v>
      </c>
      <c r="I333" s="706"/>
      <c r="J333" s="707" t="str">
        <f t="shared" si="42"/>
        <v>Northrop Grumman Corp</v>
      </c>
      <c r="K333" s="708" t="str">
        <f t="shared" si="42"/>
        <v>NOC</v>
      </c>
      <c r="L333" s="709">
        <f t="shared" si="36"/>
        <v>83976.011435160006</v>
      </c>
      <c r="M333" s="710">
        <f t="shared" si="37"/>
        <v>1.2367808507908579E-2</v>
      </c>
      <c r="N333" s="710">
        <f t="shared" si="38"/>
        <v>6.7000000000000002E-3</v>
      </c>
      <c r="O333" s="711">
        <f t="shared" si="39"/>
        <v>1.9109240666410073E-2</v>
      </c>
      <c r="P333" s="712">
        <f t="shared" si="40"/>
        <v>2.6223461316872199E-3</v>
      </c>
      <c r="Q333" s="713">
        <f t="shared" si="41"/>
        <v>5.011104334104057E-5</v>
      </c>
    </row>
    <row r="334" spans="1:17">
      <c r="A334" s="3" t="s">
        <v>2963</v>
      </c>
      <c r="B334" s="3" t="s">
        <v>2964</v>
      </c>
      <c r="C334" s="3" t="s">
        <v>2965</v>
      </c>
      <c r="D334" s="3">
        <v>78430540000</v>
      </c>
      <c r="E334" s="3" t="s">
        <v>1483</v>
      </c>
      <c r="F334" s="3">
        <v>30.625</v>
      </c>
      <c r="G334" s="3">
        <v>202</v>
      </c>
      <c r="H334" s="3">
        <v>388.27</v>
      </c>
      <c r="I334" s="706"/>
      <c r="J334" s="707" t="str">
        <f t="shared" si="42"/>
        <v>ServiceNow Inc</v>
      </c>
      <c r="K334" s="708" t="str">
        <f t="shared" si="42"/>
        <v>NOW</v>
      </c>
      <c r="L334" s="709">
        <f t="shared" si="36"/>
        <v>78430.539999999994</v>
      </c>
      <c r="M334" s="710" t="str">
        <f t="shared" si="37"/>
        <v>0.00%</v>
      </c>
      <c r="N334" s="710">
        <f t="shared" si="38"/>
        <v>0.30625000000000002</v>
      </c>
      <c r="O334" s="711">
        <f t="shared" si="39"/>
        <v>0.30625000000000002</v>
      </c>
      <c r="P334" s="712">
        <f t="shared" si="40"/>
        <v>2.4491758974995413E-3</v>
      </c>
      <c r="Q334" s="713">
        <f t="shared" si="41"/>
        <v>7.5006011860923461E-4</v>
      </c>
    </row>
    <row r="335" spans="1:17">
      <c r="A335" s="3" t="s">
        <v>1939</v>
      </c>
      <c r="B335" s="3" t="s">
        <v>2633</v>
      </c>
      <c r="C335" s="3" t="s">
        <v>1449</v>
      </c>
      <c r="D335" s="3">
        <v>6790032538.7799997</v>
      </c>
      <c r="E335" s="3">
        <v>4.3997485857950975</v>
      </c>
      <c r="F335" s="3">
        <v>-3.45</v>
      </c>
      <c r="G335" s="3">
        <v>213.3888</v>
      </c>
      <c r="H335" s="3">
        <v>31.82</v>
      </c>
      <c r="I335" s="706"/>
      <c r="J335" s="707" t="str">
        <f t="shared" si="42"/>
        <v>NRG Energy Inc</v>
      </c>
      <c r="K335" s="708" t="str">
        <f t="shared" si="42"/>
        <v>NRG</v>
      </c>
      <c r="L335" s="709">
        <f t="shared" si="36"/>
        <v>6790.0325387799994</v>
      </c>
      <c r="M335" s="710">
        <f t="shared" si="37"/>
        <v>4.3997485857950977E-2</v>
      </c>
      <c r="N335" s="710">
        <f t="shared" si="38"/>
        <v>-3.4500000000000003E-2</v>
      </c>
      <c r="O335" s="711">
        <f t="shared" si="39"/>
        <v>8.738529226901319E-3</v>
      </c>
      <c r="P335" s="712">
        <f t="shared" si="40"/>
        <v>2.1203454722124309E-4</v>
      </c>
      <c r="Q335" s="713">
        <f t="shared" si="41"/>
        <v>1.8528700880056205E-6</v>
      </c>
    </row>
    <row r="336" spans="1:17">
      <c r="A336" s="3" t="s">
        <v>1940</v>
      </c>
      <c r="B336" s="3" t="s">
        <v>2634</v>
      </c>
      <c r="C336" s="3" t="s">
        <v>1941</v>
      </c>
      <c r="D336" s="3">
        <v>57049732367.459999</v>
      </c>
      <c r="E336" s="3">
        <v>2.0144468793117443</v>
      </c>
      <c r="F336" s="3">
        <v>7.7130000000000001</v>
      </c>
      <c r="G336" s="3">
        <v>231.51419999999999</v>
      </c>
      <c r="H336" s="3">
        <v>246.42</v>
      </c>
      <c r="I336" s="706"/>
      <c r="J336" s="707" t="str">
        <f t="shared" si="42"/>
        <v>Norfolk Southern Corp</v>
      </c>
      <c r="K336" s="708" t="str">
        <f t="shared" si="42"/>
        <v>NSC</v>
      </c>
      <c r="L336" s="709">
        <f t="shared" si="36"/>
        <v>57049.732367459997</v>
      </c>
      <c r="M336" s="710">
        <f t="shared" si="37"/>
        <v>2.0144468793117442E-2</v>
      </c>
      <c r="N336" s="710">
        <f t="shared" si="38"/>
        <v>7.7130000000000004E-2</v>
      </c>
      <c r="O336" s="711">
        <f t="shared" si="39"/>
        <v>9.8051340232124015E-2</v>
      </c>
      <c r="P336" s="712">
        <f t="shared" si="40"/>
        <v>1.781510486516891E-3</v>
      </c>
      <c r="Q336" s="713">
        <f t="shared" si="41"/>
        <v>1.7467949084056447E-4</v>
      </c>
    </row>
    <row r="337" spans="1:17">
      <c r="A337" s="3" t="s">
        <v>1942</v>
      </c>
      <c r="B337" s="3" t="s">
        <v>2635</v>
      </c>
      <c r="C337" s="3" t="s">
        <v>1943</v>
      </c>
      <c r="D337" s="3">
        <v>12947335821.42</v>
      </c>
      <c r="E337" s="3">
        <v>3.334998334998335</v>
      </c>
      <c r="F337" s="3">
        <v>6</v>
      </c>
      <c r="G337" s="3">
        <v>215.57339999999999</v>
      </c>
      <c r="H337" s="3">
        <v>60.06</v>
      </c>
      <c r="I337" s="706"/>
      <c r="J337" s="707" t="str">
        <f t="shared" si="42"/>
        <v>NetApp Inc</v>
      </c>
      <c r="K337" s="708" t="str">
        <f t="shared" si="42"/>
        <v>NTAP</v>
      </c>
      <c r="L337" s="709">
        <f t="shared" si="36"/>
        <v>12947.33582142</v>
      </c>
      <c r="M337" s="710">
        <f t="shared" si="37"/>
        <v>3.3349983349983348E-2</v>
      </c>
      <c r="N337" s="710">
        <f t="shared" si="38"/>
        <v>0.06</v>
      </c>
      <c r="O337" s="711">
        <f t="shared" si="39"/>
        <v>9.4350482850482836E-2</v>
      </c>
      <c r="P337" s="712">
        <f t="shared" si="40"/>
        <v>4.043106528484222E-4</v>
      </c>
      <c r="Q337" s="713">
        <f t="shared" si="41"/>
        <v>3.814690531784258E-5</v>
      </c>
    </row>
    <row r="338" spans="1:17">
      <c r="A338" s="3" t="s">
        <v>1944</v>
      </c>
      <c r="B338" s="3" t="s">
        <v>2636</v>
      </c>
      <c r="C338" s="3" t="s">
        <v>1945</v>
      </c>
      <c r="D338" s="3">
        <v>18442702903.769997</v>
      </c>
      <c r="E338" s="3">
        <v>3.3111085998417904</v>
      </c>
      <c r="F338" s="3">
        <v>13</v>
      </c>
      <c r="G338" s="3">
        <v>208.41569999999999</v>
      </c>
      <c r="H338" s="3">
        <v>88.49</v>
      </c>
      <c r="I338" s="706"/>
      <c r="J338" s="707" t="str">
        <f t="shared" si="42"/>
        <v>Northern Trust Corp</v>
      </c>
      <c r="K338" s="708" t="str">
        <f t="shared" si="42"/>
        <v>NTRS</v>
      </c>
      <c r="L338" s="709">
        <f t="shared" si="36"/>
        <v>18442.702903769998</v>
      </c>
      <c r="M338" s="710">
        <f t="shared" si="37"/>
        <v>3.3111085998417902E-2</v>
      </c>
      <c r="N338" s="710">
        <f t="shared" si="38"/>
        <v>0.13</v>
      </c>
      <c r="O338" s="711">
        <f t="shared" si="39"/>
        <v>0.16526330658831506</v>
      </c>
      <c r="P338" s="712">
        <f t="shared" si="40"/>
        <v>5.7591626216851606E-4</v>
      </c>
      <c r="Q338" s="713">
        <f t="shared" si="41"/>
        <v>9.51778258039519E-5</v>
      </c>
    </row>
    <row r="339" spans="1:17">
      <c r="A339" s="3" t="s">
        <v>1946</v>
      </c>
      <c r="B339" s="3" t="s">
        <v>2637</v>
      </c>
      <c r="C339" s="3" t="s">
        <v>1947</v>
      </c>
      <c r="D339" s="3">
        <v>33815026415.100002</v>
      </c>
      <c r="E339" s="3">
        <v>1.5196115620969579</v>
      </c>
      <c r="F339" s="3" t="s">
        <v>1483</v>
      </c>
      <c r="G339" s="3">
        <v>256.5437</v>
      </c>
      <c r="H339" s="3">
        <v>131.81</v>
      </c>
      <c r="I339" s="706"/>
      <c r="J339" s="707" t="str">
        <f t="shared" si="42"/>
        <v>Nucor Corp</v>
      </c>
      <c r="K339" s="708" t="str">
        <f t="shared" si="42"/>
        <v>NUE</v>
      </c>
      <c r="L339" s="709">
        <f t="shared" si="36"/>
        <v>33815.026415100001</v>
      </c>
      <c r="M339" s="710">
        <f t="shared" si="37"/>
        <v>1.5196115620969579E-2</v>
      </c>
      <c r="N339" s="710" t="str">
        <f t="shared" si="38"/>
        <v>N/A</v>
      </c>
      <c r="O339" s="711" t="str">
        <f t="shared" si="39"/>
        <v>N/A</v>
      </c>
      <c r="P339" s="712" t="str">
        <f t="shared" si="40"/>
        <v>N/A</v>
      </c>
      <c r="Q339" s="713" t="str">
        <f t="shared" si="41"/>
        <v>N/A</v>
      </c>
    </row>
    <row r="340" spans="1:17">
      <c r="A340" s="3" t="s">
        <v>1948</v>
      </c>
      <c r="B340" s="3" t="s">
        <v>2638</v>
      </c>
      <c r="C340" s="3" t="s">
        <v>1949</v>
      </c>
      <c r="D340" s="3">
        <v>359504399999.99994</v>
      </c>
      <c r="E340" s="3">
        <v>0.14438209935678117</v>
      </c>
      <c r="F340" s="3">
        <v>18.058</v>
      </c>
      <c r="G340" s="3">
        <v>2460</v>
      </c>
      <c r="H340" s="3">
        <v>146.13999999999999</v>
      </c>
      <c r="I340" s="706"/>
      <c r="J340" s="707" t="str">
        <f t="shared" si="42"/>
        <v>NVIDIA Corp</v>
      </c>
      <c r="K340" s="708" t="str">
        <f t="shared" si="42"/>
        <v>NVDA</v>
      </c>
      <c r="L340" s="709">
        <f t="shared" si="36"/>
        <v>359504.39999999997</v>
      </c>
      <c r="M340" s="710">
        <f t="shared" si="37"/>
        <v>1.4438209935678117E-3</v>
      </c>
      <c r="N340" s="710">
        <f t="shared" si="38"/>
        <v>0.18057999999999999</v>
      </c>
      <c r="O340" s="711">
        <f t="shared" si="39"/>
        <v>0.18215418359107705</v>
      </c>
      <c r="P340" s="712">
        <f t="shared" si="40"/>
        <v>1.1226360439760252E-2</v>
      </c>
      <c r="Q340" s="713">
        <f t="shared" si="41"/>
        <v>2.0449285206036935E-3</v>
      </c>
    </row>
    <row r="341" spans="1:17">
      <c r="A341" s="3" t="s">
        <v>2921</v>
      </c>
      <c r="B341" s="3" t="s">
        <v>2922</v>
      </c>
      <c r="C341" s="3" t="s">
        <v>2923</v>
      </c>
      <c r="D341" s="3">
        <v>14741284458.459999</v>
      </c>
      <c r="E341" s="3" t="s">
        <v>1483</v>
      </c>
      <c r="F341" s="3">
        <v>1.29</v>
      </c>
      <c r="G341" s="3">
        <v>3.1958799999999998</v>
      </c>
      <c r="H341" s="3">
        <v>4612.58</v>
      </c>
      <c r="I341" s="706"/>
      <c r="J341" s="707" t="str">
        <f t="shared" si="42"/>
        <v>NVR Inc</v>
      </c>
      <c r="K341" s="708" t="str">
        <f t="shared" si="42"/>
        <v>NVR</v>
      </c>
      <c r="L341" s="709">
        <f t="shared" si="36"/>
        <v>14741.284458459999</v>
      </c>
      <c r="M341" s="710" t="str">
        <f t="shared" si="37"/>
        <v>0.00%</v>
      </c>
      <c r="N341" s="710">
        <f t="shared" si="38"/>
        <v>1.29E-2</v>
      </c>
      <c r="O341" s="711">
        <f t="shared" si="39"/>
        <v>1.29E-2</v>
      </c>
      <c r="P341" s="712">
        <f t="shared" si="40"/>
        <v>4.603308684836903E-4</v>
      </c>
      <c r="Q341" s="713">
        <f t="shared" si="41"/>
        <v>5.9382682034396045E-6</v>
      </c>
    </row>
    <row r="342" spans="1:17">
      <c r="A342" s="3" t="s">
        <v>2639</v>
      </c>
      <c r="B342" s="3" t="s">
        <v>2640</v>
      </c>
      <c r="C342" s="3" t="s">
        <v>1950</v>
      </c>
      <c r="D342" s="3">
        <v>5409888000</v>
      </c>
      <c r="E342" s="3">
        <v>7.0336391437308867</v>
      </c>
      <c r="F342" s="3">
        <v>-3</v>
      </c>
      <c r="G342" s="3">
        <v>413.59999999999997</v>
      </c>
      <c r="H342" s="3">
        <v>13.08</v>
      </c>
      <c r="I342" s="706"/>
      <c r="J342" s="707" t="str">
        <f t="shared" si="42"/>
        <v>Newell Brands Inc</v>
      </c>
      <c r="K342" s="708" t="str">
        <f t="shared" si="42"/>
        <v>NWL</v>
      </c>
      <c r="L342" s="709">
        <f t="shared" si="36"/>
        <v>5409.8879999999999</v>
      </c>
      <c r="M342" s="710">
        <f t="shared" si="37"/>
        <v>7.0336391437308868E-2</v>
      </c>
      <c r="N342" s="710">
        <f t="shared" si="38"/>
        <v>-0.03</v>
      </c>
      <c r="O342" s="711">
        <f t="shared" si="39"/>
        <v>3.9281345565749234E-2</v>
      </c>
      <c r="P342" s="712">
        <f t="shared" si="40"/>
        <v>1.6893632630569672E-4</v>
      </c>
      <c r="Q342" s="713">
        <f t="shared" si="41"/>
        <v>6.6360462122222453E-6</v>
      </c>
    </row>
    <row r="343" spans="1:17">
      <c r="A343" s="3" t="s">
        <v>3997</v>
      </c>
      <c r="B343" s="3" t="s">
        <v>2641</v>
      </c>
      <c r="C343" s="3" t="s">
        <v>3998</v>
      </c>
      <c r="D343" s="3">
        <v>10522812219.560001</v>
      </c>
      <c r="E343" s="3">
        <v>1.1373626373626375</v>
      </c>
      <c r="F343" s="3">
        <v>2.8000000000000003</v>
      </c>
      <c r="G343" s="3">
        <v>382.35149999999999</v>
      </c>
      <c r="H343" s="3">
        <v>18.2</v>
      </c>
      <c r="I343" s="706"/>
      <c r="J343" s="707" t="str">
        <f t="shared" si="42"/>
        <v>News Corp</v>
      </c>
      <c r="K343" s="708" t="str">
        <f t="shared" si="42"/>
        <v>NWSA</v>
      </c>
      <c r="L343" s="709">
        <f t="shared" si="36"/>
        <v>10522.812219560001</v>
      </c>
      <c r="M343" s="710">
        <f t="shared" si="37"/>
        <v>1.1373626373626376E-2</v>
      </c>
      <c r="N343" s="710">
        <f t="shared" si="38"/>
        <v>2.8000000000000004E-2</v>
      </c>
      <c r="O343" s="711">
        <f t="shared" si="39"/>
        <v>3.9532857142857147E-2</v>
      </c>
      <c r="P343" s="712">
        <f t="shared" si="40"/>
        <v>3.2859926837249887E-4</v>
      </c>
      <c r="Q343" s="713">
        <f t="shared" si="41"/>
        <v>1.2990467933817375E-5</v>
      </c>
    </row>
    <row r="344" spans="1:17">
      <c r="A344" s="3" t="s">
        <v>3999</v>
      </c>
      <c r="B344" s="3" t="s">
        <v>4000</v>
      </c>
      <c r="C344" s="3" t="s">
        <v>4001</v>
      </c>
      <c r="D344" s="3">
        <v>40951082241.860001</v>
      </c>
      <c r="E344" s="3">
        <v>2.1489590584066316</v>
      </c>
      <c r="F344" s="3">
        <v>17.3</v>
      </c>
      <c r="G344" s="3">
        <v>259.13490000000002</v>
      </c>
      <c r="H344" s="3">
        <v>158.03</v>
      </c>
      <c r="I344" s="706"/>
      <c r="J344" s="707" t="str">
        <f t="shared" si="42"/>
        <v>NXP Semiconductors NV</v>
      </c>
      <c r="K344" s="708" t="str">
        <f t="shared" si="42"/>
        <v>NXPI</v>
      </c>
      <c r="L344" s="709">
        <f t="shared" si="36"/>
        <v>40951.08224186</v>
      </c>
      <c r="M344" s="710">
        <f t="shared" si="37"/>
        <v>2.1489590584066316E-2</v>
      </c>
      <c r="N344" s="710">
        <f t="shared" si="38"/>
        <v>0.17300000000000001</v>
      </c>
      <c r="O344" s="711">
        <f t="shared" si="39"/>
        <v>0.19634844016958808</v>
      </c>
      <c r="P344" s="712">
        <f t="shared" si="40"/>
        <v>1.2787927203266099E-3</v>
      </c>
      <c r="Q344" s="713">
        <f t="shared" si="41"/>
        <v>2.5108895593635417E-4</v>
      </c>
    </row>
    <row r="345" spans="1:17">
      <c r="A345" s="3" t="s">
        <v>1951</v>
      </c>
      <c r="B345" s="3" t="s">
        <v>2642</v>
      </c>
      <c r="C345" s="3" t="s">
        <v>1952</v>
      </c>
      <c r="D345" s="3">
        <v>39780369403.229996</v>
      </c>
      <c r="E345" s="3">
        <v>4.5861579694151038</v>
      </c>
      <c r="F345" s="3">
        <v>3.36</v>
      </c>
      <c r="G345" s="3">
        <v>627.15390000000002</v>
      </c>
      <c r="H345" s="3">
        <v>63.43</v>
      </c>
      <c r="I345" s="706"/>
      <c r="J345" s="707" t="str">
        <f t="shared" si="42"/>
        <v>Realty Income Corp</v>
      </c>
      <c r="K345" s="708" t="str">
        <f t="shared" si="42"/>
        <v>O</v>
      </c>
      <c r="L345" s="709">
        <f t="shared" si="36"/>
        <v>39780.369403229997</v>
      </c>
      <c r="M345" s="710">
        <f t="shared" si="37"/>
        <v>4.5861579694151035E-2</v>
      </c>
      <c r="N345" s="710">
        <f t="shared" si="38"/>
        <v>3.3599999999999998E-2</v>
      </c>
      <c r="O345" s="711">
        <f t="shared" si="39"/>
        <v>8.0232054233012773E-2</v>
      </c>
      <c r="P345" s="712">
        <f t="shared" si="40"/>
        <v>1.2422344910033658E-3</v>
      </c>
      <c r="Q345" s="713">
        <f t="shared" si="41"/>
        <v>9.966702505230106E-5</v>
      </c>
    </row>
    <row r="346" spans="1:17">
      <c r="A346" s="3" t="s">
        <v>2966</v>
      </c>
      <c r="B346" s="3" t="s">
        <v>2967</v>
      </c>
      <c r="C346" s="3" t="s">
        <v>2968</v>
      </c>
      <c r="D346" s="3">
        <v>31352474691.159996</v>
      </c>
      <c r="E346" s="3">
        <v>0.42286278102755659</v>
      </c>
      <c r="F346" s="3">
        <v>12.540000000000001</v>
      </c>
      <c r="G346" s="3">
        <v>110.4816</v>
      </c>
      <c r="H346" s="3">
        <v>283.77999999999997</v>
      </c>
      <c r="I346" s="706"/>
      <c r="J346" s="707" t="str">
        <f t="shared" si="42"/>
        <v>Old Dominion Freight Line Inc</v>
      </c>
      <c r="K346" s="708" t="str">
        <f t="shared" si="42"/>
        <v>ODFL</v>
      </c>
      <c r="L346" s="709">
        <f t="shared" si="36"/>
        <v>31352.474691159998</v>
      </c>
      <c r="M346" s="710">
        <f t="shared" si="37"/>
        <v>4.2286278102755658E-3</v>
      </c>
      <c r="N346" s="710">
        <f t="shared" si="38"/>
        <v>0.12540000000000001</v>
      </c>
      <c r="O346" s="711">
        <f t="shared" si="39"/>
        <v>0.12989376277397985</v>
      </c>
      <c r="P346" s="712">
        <f t="shared" si="40"/>
        <v>9.7905389074910676E-4</v>
      </c>
      <c r="Q346" s="713">
        <f t="shared" si="41"/>
        <v>1.2717299382790647E-4</v>
      </c>
    </row>
    <row r="347" spans="1:17">
      <c r="A347" s="3" t="s">
        <v>4002</v>
      </c>
      <c r="B347" s="3" t="s">
        <v>4003</v>
      </c>
      <c r="C347" s="3" t="s">
        <v>4004</v>
      </c>
      <c r="D347" s="3">
        <v>7104397943.3699999</v>
      </c>
      <c r="E347" s="3">
        <v>3.7952022914428931</v>
      </c>
      <c r="F347" s="3">
        <v>-5.7700000000000005</v>
      </c>
      <c r="G347" s="3">
        <v>254.36439999999999</v>
      </c>
      <c r="H347" s="3">
        <v>27.93</v>
      </c>
      <c r="I347" s="706"/>
      <c r="J347" s="707" t="str">
        <f t="shared" si="42"/>
        <v>Organon &amp; Co</v>
      </c>
      <c r="K347" s="708" t="str">
        <f t="shared" si="42"/>
        <v>OGN</v>
      </c>
      <c r="L347" s="709">
        <f t="shared" si="36"/>
        <v>7104.3979433699997</v>
      </c>
      <c r="M347" s="710">
        <f t="shared" si="37"/>
        <v>3.795202291442893E-2</v>
      </c>
      <c r="N347" s="710">
        <f t="shared" si="38"/>
        <v>-5.7700000000000001E-2</v>
      </c>
      <c r="O347" s="711">
        <f t="shared" si="39"/>
        <v>-2.0842892946652349E-2</v>
      </c>
      <c r="P347" s="712">
        <f t="shared" si="40"/>
        <v>2.2185133761857455E-4</v>
      </c>
      <c r="Q347" s="713">
        <f t="shared" si="41"/>
        <v>-4.624023680055576E-6</v>
      </c>
    </row>
    <row r="348" spans="1:17">
      <c r="A348" s="3" t="s">
        <v>1953</v>
      </c>
      <c r="B348" s="3" t="s">
        <v>2643</v>
      </c>
      <c r="C348" s="3" t="s">
        <v>1954</v>
      </c>
      <c r="D348" s="3">
        <v>29364867419.400002</v>
      </c>
      <c r="E348" s="3">
        <v>5.692541856925418</v>
      </c>
      <c r="F348" s="3">
        <v>10.47</v>
      </c>
      <c r="G348" s="3">
        <v>446.9538</v>
      </c>
      <c r="H348" s="3">
        <v>65.7</v>
      </c>
      <c r="I348" s="706"/>
      <c r="J348" s="707" t="str">
        <f t="shared" si="42"/>
        <v>ONEOK Inc</v>
      </c>
      <c r="K348" s="708" t="str">
        <f t="shared" si="42"/>
        <v>OKE</v>
      </c>
      <c r="L348" s="709">
        <f t="shared" si="36"/>
        <v>29364.867419400001</v>
      </c>
      <c r="M348" s="710">
        <f t="shared" si="37"/>
        <v>5.6925418569254177E-2</v>
      </c>
      <c r="N348" s="710">
        <f t="shared" si="38"/>
        <v>0.1047</v>
      </c>
      <c r="O348" s="711">
        <f t="shared" si="39"/>
        <v>0.16460546423135464</v>
      </c>
      <c r="P348" s="712">
        <f t="shared" si="40"/>
        <v>9.1698623414889207E-4</v>
      </c>
      <c r="Q348" s="713">
        <f t="shared" si="41"/>
        <v>1.5094094476584004E-4</v>
      </c>
    </row>
    <row r="349" spans="1:17">
      <c r="A349" s="3" t="s">
        <v>1955</v>
      </c>
      <c r="B349" s="3" t="s">
        <v>2644</v>
      </c>
      <c r="C349" s="3" t="s">
        <v>1956</v>
      </c>
      <c r="D349" s="3">
        <v>16633438560.959995</v>
      </c>
      <c r="E349" s="3">
        <v>3.479220301581464</v>
      </c>
      <c r="F349" s="3">
        <v>2.9170000000000003</v>
      </c>
      <c r="G349" s="3">
        <v>203.9161</v>
      </c>
      <c r="H349" s="3">
        <v>81.569999999999993</v>
      </c>
      <c r="I349" s="706"/>
      <c r="J349" s="707" t="str">
        <f t="shared" si="42"/>
        <v>Omnicom Group Inc</v>
      </c>
      <c r="K349" s="708" t="str">
        <f t="shared" si="42"/>
        <v>OMC</v>
      </c>
      <c r="L349" s="709">
        <f t="shared" si="36"/>
        <v>16633.438560959996</v>
      </c>
      <c r="M349" s="710">
        <f t="shared" si="37"/>
        <v>3.4792203015814642E-2</v>
      </c>
      <c r="N349" s="710">
        <f t="shared" si="38"/>
        <v>2.9170000000000001E-2</v>
      </c>
      <c r="O349" s="711">
        <f t="shared" si="39"/>
        <v>6.4469647296800298E-2</v>
      </c>
      <c r="P349" s="712">
        <f t="shared" si="40"/>
        <v>5.1941777802425786E-4</v>
      </c>
      <c r="Q349" s="713">
        <f t="shared" si="41"/>
        <v>3.3486680948911615E-5</v>
      </c>
    </row>
    <row r="350" spans="1:17">
      <c r="A350" s="3" t="s">
        <v>4318</v>
      </c>
      <c r="B350" s="3" t="s">
        <v>4319</v>
      </c>
      <c r="C350" s="3" t="s">
        <v>4320</v>
      </c>
      <c r="D350" s="3">
        <v>26970258248.009998</v>
      </c>
      <c r="E350" s="3">
        <v>0</v>
      </c>
      <c r="F350" s="3">
        <v>18.677</v>
      </c>
      <c r="G350" s="3">
        <v>432.42359999999996</v>
      </c>
      <c r="H350" s="3">
        <v>62.37</v>
      </c>
      <c r="I350" s="706"/>
      <c r="J350" s="707" t="str">
        <f t="shared" si="42"/>
        <v>ON Semiconductor Corp</v>
      </c>
      <c r="K350" s="708" t="str">
        <f t="shared" si="42"/>
        <v>ON</v>
      </c>
      <c r="L350" s="709">
        <f t="shared" si="36"/>
        <v>26970.258248009999</v>
      </c>
      <c r="M350" s="710">
        <f t="shared" si="37"/>
        <v>0</v>
      </c>
      <c r="N350" s="710">
        <f t="shared" si="38"/>
        <v>0.18676999999999999</v>
      </c>
      <c r="O350" s="711">
        <f t="shared" si="39"/>
        <v>0.18676999999999999</v>
      </c>
      <c r="P350" s="712">
        <f t="shared" si="40"/>
        <v>8.422089972906511E-4</v>
      </c>
      <c r="Q350" s="713">
        <f t="shared" si="41"/>
        <v>1.5729937442397491E-4</v>
      </c>
    </row>
    <row r="351" spans="1:17">
      <c r="A351" s="3" t="s">
        <v>1957</v>
      </c>
      <c r="B351" s="3" t="s">
        <v>2645</v>
      </c>
      <c r="C351" s="3" t="s">
        <v>1958</v>
      </c>
      <c r="D351" s="3">
        <v>220391720220</v>
      </c>
      <c r="E351" s="3">
        <v>1.570834352826034</v>
      </c>
      <c r="F351" s="3">
        <v>15</v>
      </c>
      <c r="G351" s="3">
        <v>2696.2529999999997</v>
      </c>
      <c r="H351" s="3">
        <v>81.739999999999995</v>
      </c>
      <c r="I351" s="706"/>
      <c r="J351" s="707" t="str">
        <f t="shared" si="42"/>
        <v>Oracle Corp</v>
      </c>
      <c r="K351" s="708" t="str">
        <f t="shared" si="42"/>
        <v>ORCL</v>
      </c>
      <c r="L351" s="709">
        <f t="shared" si="36"/>
        <v>220391.72021999999</v>
      </c>
      <c r="M351" s="710">
        <f t="shared" si="37"/>
        <v>1.5708343528260341E-2</v>
      </c>
      <c r="N351" s="710">
        <f t="shared" si="38"/>
        <v>0.15</v>
      </c>
      <c r="O351" s="711">
        <f t="shared" si="39"/>
        <v>0.16688646929287987</v>
      </c>
      <c r="P351" s="712">
        <f t="shared" si="40"/>
        <v>6.88224369195069E-3</v>
      </c>
      <c r="Q351" s="713">
        <f t="shared" si="41"/>
        <v>1.1485533505628451E-3</v>
      </c>
    </row>
    <row r="352" spans="1:17">
      <c r="A352" s="3" t="s">
        <v>1959</v>
      </c>
      <c r="B352" s="3" t="s">
        <v>2646</v>
      </c>
      <c r="C352" s="3" t="s">
        <v>1960</v>
      </c>
      <c r="D352" s="3">
        <v>52815946161.329994</v>
      </c>
      <c r="E352" s="3">
        <v>0</v>
      </c>
      <c r="F352" s="3">
        <v>10.790000000000001</v>
      </c>
      <c r="G352" s="3">
        <v>62.57591</v>
      </c>
      <c r="H352" s="3">
        <v>844.03</v>
      </c>
      <c r="I352" s="706"/>
      <c r="J352" s="707" t="str">
        <f t="shared" si="42"/>
        <v>O'Reilly Automotive Inc</v>
      </c>
      <c r="K352" s="708" t="str">
        <f t="shared" si="42"/>
        <v>ORLY</v>
      </c>
      <c r="L352" s="709">
        <f t="shared" si="36"/>
        <v>52815.946161329994</v>
      </c>
      <c r="M352" s="710">
        <f t="shared" si="37"/>
        <v>0</v>
      </c>
      <c r="N352" s="710">
        <f t="shared" si="38"/>
        <v>0.10790000000000001</v>
      </c>
      <c r="O352" s="711">
        <f t="shared" si="39"/>
        <v>0.10790000000000001</v>
      </c>
      <c r="P352" s="712">
        <f t="shared" si="40"/>
        <v>1.6493006721866616E-3</v>
      </c>
      <c r="Q352" s="713">
        <f t="shared" si="41"/>
        <v>1.7795954252894079E-4</v>
      </c>
    </row>
    <row r="353" spans="1:17">
      <c r="A353" s="3" t="s">
        <v>3002</v>
      </c>
      <c r="B353" s="3" t="s">
        <v>3003</v>
      </c>
      <c r="C353" s="3" t="s">
        <v>3004</v>
      </c>
      <c r="D353" s="3">
        <v>32622855689.869999</v>
      </c>
      <c r="E353" s="3">
        <v>1.4161665176861193</v>
      </c>
      <c r="F353" s="3">
        <v>7.8500000000000005</v>
      </c>
      <c r="G353" s="3">
        <v>416.58609999999999</v>
      </c>
      <c r="H353" s="3">
        <v>78.31</v>
      </c>
      <c r="I353" s="706"/>
      <c r="J353" s="707" t="str">
        <f t="shared" si="42"/>
        <v>Otis Worldwide Corp</v>
      </c>
      <c r="K353" s="708" t="str">
        <f t="shared" si="42"/>
        <v>OTIS</v>
      </c>
      <c r="L353" s="709">
        <f t="shared" si="36"/>
        <v>32622.855689869997</v>
      </c>
      <c r="M353" s="710">
        <f t="shared" si="37"/>
        <v>1.4161665176861193E-2</v>
      </c>
      <c r="N353" s="710">
        <f t="shared" si="38"/>
        <v>7.85E-2</v>
      </c>
      <c r="O353" s="711">
        <f t="shared" si="39"/>
        <v>9.3217510535052991E-2</v>
      </c>
      <c r="P353" s="712">
        <f t="shared" si="40"/>
        <v>1.0187244900167125E-3</v>
      </c>
      <c r="Q353" s="713">
        <f t="shared" si="41"/>
        <v>9.4962960880449375E-5</v>
      </c>
    </row>
    <row r="354" spans="1:17">
      <c r="A354" s="3" t="s">
        <v>1961</v>
      </c>
      <c r="B354" s="3" t="s">
        <v>2647</v>
      </c>
      <c r="C354" s="3" t="s">
        <v>1962</v>
      </c>
      <c r="D354" s="3">
        <v>57252502245.509995</v>
      </c>
      <c r="E354" s="3">
        <v>0.78901412922686143</v>
      </c>
      <c r="F354" s="3">
        <v>9.1</v>
      </c>
      <c r="G354" s="3">
        <v>908.91409999999996</v>
      </c>
      <c r="H354" s="3">
        <v>62.99</v>
      </c>
      <c r="I354" s="706"/>
      <c r="J354" s="707" t="str">
        <f t="shared" si="42"/>
        <v>Occidental Petroleum Corp</v>
      </c>
      <c r="K354" s="708" t="str">
        <f t="shared" si="42"/>
        <v>OXY</v>
      </c>
      <c r="L354" s="709">
        <f t="shared" si="36"/>
        <v>57252.502245509997</v>
      </c>
      <c r="M354" s="710">
        <f t="shared" si="37"/>
        <v>7.8901412922686136E-3</v>
      </c>
      <c r="N354" s="710">
        <f t="shared" si="38"/>
        <v>9.0999999999999998E-2</v>
      </c>
      <c r="O354" s="711">
        <f t="shared" si="39"/>
        <v>9.924914272106683E-2</v>
      </c>
      <c r="P354" s="712">
        <f t="shared" si="40"/>
        <v>1.7878424472309059E-3</v>
      </c>
      <c r="Q354" s="713">
        <f t="shared" si="41"/>
        <v>1.7744183020800157E-4</v>
      </c>
    </row>
    <row r="355" spans="1:17">
      <c r="A355" s="3" t="s">
        <v>4321</v>
      </c>
      <c r="B355" s="3" t="s">
        <v>4322</v>
      </c>
      <c r="C355" s="3" t="s">
        <v>4323</v>
      </c>
      <c r="D355" s="3">
        <v>11069187790.4</v>
      </c>
      <c r="E355" s="3">
        <v>5.8234597156398102</v>
      </c>
      <c r="F355" s="3">
        <v>-10.927</v>
      </c>
      <c r="G355" s="3">
        <v>608.46969999999999</v>
      </c>
      <c r="H355" s="3">
        <v>16.88</v>
      </c>
      <c r="I355" s="706"/>
      <c r="J355" s="707" t="str">
        <f t="shared" si="42"/>
        <v>Paramount Global</v>
      </c>
      <c r="K355" s="708" t="str">
        <f t="shared" si="42"/>
        <v>PARA</v>
      </c>
      <c r="L355" s="709">
        <f t="shared" si="36"/>
        <v>11069.187790399999</v>
      </c>
      <c r="M355" s="710">
        <f t="shared" si="37"/>
        <v>5.8234597156398102E-2</v>
      </c>
      <c r="N355" s="710">
        <f t="shared" si="38"/>
        <v>-0.10926999999999999</v>
      </c>
      <c r="O355" s="711">
        <f t="shared" si="39"/>
        <v>-5.4217050059241698E-2</v>
      </c>
      <c r="P355" s="712">
        <f t="shared" si="40"/>
        <v>3.4566111544232495E-4</v>
      </c>
      <c r="Q355" s="713">
        <f t="shared" si="41"/>
        <v>-1.8740725999469855E-5</v>
      </c>
    </row>
    <row r="356" spans="1:17">
      <c r="A356" s="3" t="s">
        <v>3005</v>
      </c>
      <c r="B356" s="3" t="s">
        <v>3006</v>
      </c>
      <c r="C356" s="3" t="s">
        <v>3007</v>
      </c>
      <c r="D356" s="3">
        <v>18624920704.390003</v>
      </c>
      <c r="E356" s="3">
        <v>0</v>
      </c>
      <c r="F356" s="3">
        <v>25.75</v>
      </c>
      <c r="G356" s="3">
        <v>60.02037</v>
      </c>
      <c r="H356" s="3">
        <v>310.31</v>
      </c>
      <c r="I356" s="706"/>
      <c r="J356" s="707" t="str">
        <f t="shared" si="42"/>
        <v>Paycom Software Inc</v>
      </c>
      <c r="K356" s="708" t="str">
        <f t="shared" si="42"/>
        <v>PAYC</v>
      </c>
      <c r="L356" s="709">
        <f t="shared" si="36"/>
        <v>18624.920704390002</v>
      </c>
      <c r="M356" s="710">
        <f t="shared" si="37"/>
        <v>0</v>
      </c>
      <c r="N356" s="710">
        <f t="shared" si="38"/>
        <v>0.25750000000000001</v>
      </c>
      <c r="O356" s="711">
        <f t="shared" si="39"/>
        <v>0.25750000000000001</v>
      </c>
      <c r="P356" s="712">
        <f t="shared" si="40"/>
        <v>5.8160643649823364E-4</v>
      </c>
      <c r="Q356" s="713">
        <f t="shared" si="41"/>
        <v>1.4976365739829517E-4</v>
      </c>
    </row>
    <row r="357" spans="1:17">
      <c r="A357" s="3" t="s">
        <v>1963</v>
      </c>
      <c r="B357" s="3" t="s">
        <v>2648</v>
      </c>
      <c r="C357" s="3" t="s">
        <v>1964</v>
      </c>
      <c r="D357" s="3">
        <v>41655514286.880005</v>
      </c>
      <c r="E357" s="3">
        <v>2.7518172377985461</v>
      </c>
      <c r="F357" s="3">
        <v>7</v>
      </c>
      <c r="G357" s="3">
        <v>360.4665</v>
      </c>
      <c r="H357" s="3">
        <v>115.56</v>
      </c>
      <c r="I357" s="706"/>
      <c r="J357" s="707" t="str">
        <f t="shared" si="42"/>
        <v>Paychex Inc</v>
      </c>
      <c r="K357" s="708" t="str">
        <f t="shared" si="42"/>
        <v>PAYX</v>
      </c>
      <c r="L357" s="709">
        <f t="shared" si="36"/>
        <v>41655.514286880003</v>
      </c>
      <c r="M357" s="710">
        <f t="shared" si="37"/>
        <v>2.7518172377985463E-2</v>
      </c>
      <c r="N357" s="710">
        <f t="shared" si="38"/>
        <v>7.0000000000000007E-2</v>
      </c>
      <c r="O357" s="711">
        <f t="shared" si="39"/>
        <v>9.8481308411214954E-2</v>
      </c>
      <c r="P357" s="712">
        <f t="shared" si="40"/>
        <v>1.3007902481530064E-3</v>
      </c>
      <c r="Q357" s="713">
        <f t="shared" si="41"/>
        <v>1.2810352560665706E-4</v>
      </c>
    </row>
    <row r="358" spans="1:17">
      <c r="A358" s="3" t="s">
        <v>1965</v>
      </c>
      <c r="B358" s="3" t="s">
        <v>2649</v>
      </c>
      <c r="C358" s="3" t="s">
        <v>1966</v>
      </c>
      <c r="D358" s="3">
        <v>34418556897.75</v>
      </c>
      <c r="E358" s="3">
        <v>3.2504799434171971</v>
      </c>
      <c r="F358" s="3">
        <v>12</v>
      </c>
      <c r="G358" s="3">
        <v>347.76759999999996</v>
      </c>
      <c r="H358" s="3">
        <v>98.97</v>
      </c>
      <c r="I358" s="706"/>
      <c r="J358" s="707" t="str">
        <f t="shared" si="42"/>
        <v>PACCAR Inc</v>
      </c>
      <c r="K358" s="708" t="str">
        <f t="shared" si="42"/>
        <v>PCAR</v>
      </c>
      <c r="L358" s="709">
        <f t="shared" si="36"/>
        <v>34418.556897750001</v>
      </c>
      <c r="M358" s="710">
        <f t="shared" si="37"/>
        <v>3.250479943417197E-2</v>
      </c>
      <c r="N358" s="710">
        <f t="shared" si="38"/>
        <v>0.12</v>
      </c>
      <c r="O358" s="711">
        <f t="shared" si="39"/>
        <v>0.15445508740022229</v>
      </c>
      <c r="P358" s="712">
        <f t="shared" si="40"/>
        <v>1.0747994337497345E-3</v>
      </c>
      <c r="Q358" s="713">
        <f t="shared" si="41"/>
        <v>1.6600824047752465E-4</v>
      </c>
    </row>
    <row r="359" spans="1:17">
      <c r="A359" s="3" t="s">
        <v>4324</v>
      </c>
      <c r="B359" s="3" t="s">
        <v>4325</v>
      </c>
      <c r="C359" s="3" t="s">
        <v>4326</v>
      </c>
      <c r="D359" s="3">
        <v>32320003382.100002</v>
      </c>
      <c r="E359" s="3">
        <v>0</v>
      </c>
      <c r="F359" s="3">
        <v>6.2549999999999999</v>
      </c>
      <c r="G359" s="3">
        <v>1987.6999999999998</v>
      </c>
      <c r="H359" s="3">
        <v>16.260000000000002</v>
      </c>
      <c r="I359" s="706"/>
      <c r="J359" s="707" t="str">
        <f t="shared" si="42"/>
        <v>PG&amp;E Corp</v>
      </c>
      <c r="K359" s="708" t="str">
        <f t="shared" si="42"/>
        <v>PCG</v>
      </c>
      <c r="L359" s="709">
        <f t="shared" si="36"/>
        <v>32320.003382100003</v>
      </c>
      <c r="M359" s="710">
        <f t="shared" si="37"/>
        <v>0</v>
      </c>
      <c r="N359" s="710">
        <f t="shared" si="38"/>
        <v>6.2549999999999994E-2</v>
      </c>
      <c r="O359" s="711">
        <f t="shared" si="39"/>
        <v>6.2549999999999994E-2</v>
      </c>
      <c r="P359" s="712">
        <f t="shared" si="40"/>
        <v>1.0092672228259934E-3</v>
      </c>
      <c r="Q359" s="713">
        <f t="shared" si="41"/>
        <v>6.3129664787765891E-5</v>
      </c>
    </row>
    <row r="360" spans="1:17">
      <c r="A360" s="3" t="s">
        <v>2969</v>
      </c>
      <c r="B360" s="3" t="s">
        <v>2970</v>
      </c>
      <c r="C360" s="3" t="s">
        <v>2971</v>
      </c>
      <c r="D360" s="3">
        <v>13476131410.080002</v>
      </c>
      <c r="E360" s="3">
        <v>4.8145193458316715</v>
      </c>
      <c r="F360" s="3">
        <v>3.88</v>
      </c>
      <c r="G360" s="3">
        <v>537.54009999999994</v>
      </c>
      <c r="H360" s="3">
        <v>25.07</v>
      </c>
      <c r="I360" s="706"/>
      <c r="J360" s="707" t="str">
        <f t="shared" si="42"/>
        <v>Healthpeak Properties Inc</v>
      </c>
      <c r="K360" s="708" t="str">
        <f t="shared" si="42"/>
        <v>PEAK</v>
      </c>
      <c r="L360" s="709">
        <f t="shared" si="36"/>
        <v>13476.131410080001</v>
      </c>
      <c r="M360" s="710">
        <f t="shared" si="37"/>
        <v>4.8145193458316714E-2</v>
      </c>
      <c r="N360" s="710">
        <f t="shared" si="38"/>
        <v>3.8800000000000001E-2</v>
      </c>
      <c r="O360" s="711">
        <f t="shared" si="39"/>
        <v>8.7879210211408071E-2</v>
      </c>
      <c r="P360" s="712">
        <f t="shared" si="40"/>
        <v>4.2082352411579018E-4</v>
      </c>
      <c r="Q360" s="713">
        <f t="shared" si="41"/>
        <v>3.6981638937677076E-5</v>
      </c>
    </row>
    <row r="361" spans="1:17">
      <c r="A361" s="3" t="s">
        <v>1967</v>
      </c>
      <c r="B361" s="3" t="s">
        <v>2650</v>
      </c>
      <c r="C361" s="3" t="s">
        <v>215</v>
      </c>
      <c r="D361" s="3">
        <v>30570650814.880001</v>
      </c>
      <c r="E361" s="3">
        <v>3.520483107556716</v>
      </c>
      <c r="F361" s="3">
        <v>4.6500000000000004</v>
      </c>
      <c r="G361" s="3">
        <v>498.94969999999995</v>
      </c>
      <c r="H361" s="3">
        <v>61.27</v>
      </c>
      <c r="I361" s="706"/>
      <c r="J361" s="707" t="str">
        <f t="shared" si="42"/>
        <v>Public Service Enterprise Group Inc</v>
      </c>
      <c r="K361" s="708" t="str">
        <f t="shared" si="42"/>
        <v>PEG</v>
      </c>
      <c r="L361" s="709">
        <f t="shared" si="36"/>
        <v>30570.650814880002</v>
      </c>
      <c r="M361" s="710">
        <f t="shared" si="37"/>
        <v>3.5204831075567163E-2</v>
      </c>
      <c r="N361" s="710">
        <f t="shared" si="38"/>
        <v>4.6500000000000007E-2</v>
      </c>
      <c r="O361" s="711">
        <f t="shared" si="39"/>
        <v>8.25233433980741E-2</v>
      </c>
      <c r="P361" s="712">
        <f t="shared" si="40"/>
        <v>9.5463962311975433E-4</v>
      </c>
      <c r="Q361" s="713">
        <f t="shared" si="41"/>
        <v>7.8780053440119532E-5</v>
      </c>
    </row>
    <row r="362" spans="1:17">
      <c r="A362" s="3" t="s">
        <v>2305</v>
      </c>
      <c r="B362" s="3" t="s">
        <v>2651</v>
      </c>
      <c r="C362" s="3" t="s">
        <v>1968</v>
      </c>
      <c r="D362" s="3">
        <v>248896945697.94</v>
      </c>
      <c r="E362" s="3">
        <v>2.5047049706631244</v>
      </c>
      <c r="F362" s="3">
        <v>7.6930000000000005</v>
      </c>
      <c r="G362" s="3">
        <v>1377.7089999999998</v>
      </c>
      <c r="H362" s="3">
        <v>180.66</v>
      </c>
      <c r="I362" s="706"/>
      <c r="J362" s="707" t="str">
        <f t="shared" si="42"/>
        <v>PepsiCo Inc</v>
      </c>
      <c r="K362" s="708" t="str">
        <f t="shared" si="42"/>
        <v>PEP</v>
      </c>
      <c r="L362" s="709">
        <f t="shared" si="36"/>
        <v>248896.94569794001</v>
      </c>
      <c r="M362" s="710">
        <f t="shared" si="37"/>
        <v>2.5047049706631245E-2</v>
      </c>
      <c r="N362" s="710">
        <f t="shared" si="38"/>
        <v>7.6929999999999998E-2</v>
      </c>
      <c r="O362" s="711">
        <f t="shared" si="39"/>
        <v>0.10294048447359681</v>
      </c>
      <c r="P362" s="712">
        <f t="shared" si="40"/>
        <v>7.7723856085224821E-3</v>
      </c>
      <c r="Q362" s="713">
        <f t="shared" si="41"/>
        <v>8.0009314005691592E-4</v>
      </c>
    </row>
    <row r="363" spans="1:17">
      <c r="A363" s="3" t="s">
        <v>1969</v>
      </c>
      <c r="B363" s="3" t="s">
        <v>2652</v>
      </c>
      <c r="C363" s="3" t="s">
        <v>1970</v>
      </c>
      <c r="D363" s="3">
        <v>287626236875.88007</v>
      </c>
      <c r="E363" s="3">
        <v>3.1245120999219358</v>
      </c>
      <c r="F363" s="3">
        <v>0.503</v>
      </c>
      <c r="G363" s="3">
        <v>5613.3149999999996</v>
      </c>
      <c r="H363" s="3">
        <v>51.24</v>
      </c>
      <c r="I363" s="706"/>
      <c r="J363" s="707" t="str">
        <f t="shared" si="42"/>
        <v>Pfizer Inc</v>
      </c>
      <c r="K363" s="708" t="str">
        <f t="shared" si="42"/>
        <v>PFE</v>
      </c>
      <c r="L363" s="709">
        <f t="shared" si="36"/>
        <v>287626.23687588004</v>
      </c>
      <c r="M363" s="710">
        <f t="shared" si="37"/>
        <v>3.1245120999219358E-2</v>
      </c>
      <c r="N363" s="710">
        <f t="shared" si="38"/>
        <v>5.0299999999999997E-3</v>
      </c>
      <c r="O363" s="711">
        <f t="shared" si="39"/>
        <v>3.6353702478532396E-2</v>
      </c>
      <c r="P363" s="712">
        <f t="shared" si="40"/>
        <v>8.9817977390554641E-3</v>
      </c>
      <c r="Q363" s="713">
        <f t="shared" si="41"/>
        <v>3.2652160272797731E-4</v>
      </c>
    </row>
    <row r="364" spans="1:17">
      <c r="A364" s="3" t="s">
        <v>2306</v>
      </c>
      <c r="B364" s="3" t="s">
        <v>2653</v>
      </c>
      <c r="C364" s="3" t="s">
        <v>1971</v>
      </c>
      <c r="D364" s="3">
        <v>20533779736.800003</v>
      </c>
      <c r="E364" s="3">
        <v>3.0695900857959963</v>
      </c>
      <c r="F364" s="3">
        <v>5.5</v>
      </c>
      <c r="G364" s="3">
        <v>244.68279999999999</v>
      </c>
      <c r="H364" s="3">
        <v>83.92</v>
      </c>
      <c r="I364" s="706"/>
      <c r="J364" s="707" t="str">
        <f t="shared" si="42"/>
        <v>Principal Financial Group Inc</v>
      </c>
      <c r="K364" s="708" t="str">
        <f t="shared" si="42"/>
        <v>PFG</v>
      </c>
      <c r="L364" s="709">
        <f t="shared" si="36"/>
        <v>20533.779736800003</v>
      </c>
      <c r="M364" s="710">
        <f t="shared" si="37"/>
        <v>3.0695900857959965E-2</v>
      </c>
      <c r="N364" s="710">
        <f t="shared" si="38"/>
        <v>5.5E-2</v>
      </c>
      <c r="O364" s="711">
        <f t="shared" si="39"/>
        <v>8.6540038131553865E-2</v>
      </c>
      <c r="P364" s="712">
        <f t="shared" si="40"/>
        <v>6.4121499630035751E-4</v>
      </c>
      <c r="Q364" s="713">
        <f t="shared" si="41"/>
        <v>5.5490770230357107E-5</v>
      </c>
    </row>
    <row r="365" spans="1:17">
      <c r="A365" s="3" t="s">
        <v>1972</v>
      </c>
      <c r="B365" s="3" t="s">
        <v>2654</v>
      </c>
      <c r="C365" s="3" t="s">
        <v>1973</v>
      </c>
      <c r="D365" s="3">
        <v>359151256404.71997</v>
      </c>
      <c r="E365" s="3">
        <v>2.4333597255212456</v>
      </c>
      <c r="F365" s="3">
        <v>4.9850000000000003</v>
      </c>
      <c r="G365" s="3">
        <v>2369.6970000000001</v>
      </c>
      <c r="H365" s="3">
        <v>151.56</v>
      </c>
      <c r="I365" s="706"/>
      <c r="J365" s="707" t="str">
        <f t="shared" si="42"/>
        <v>Procter &amp; Gamble Co/The</v>
      </c>
      <c r="K365" s="708" t="str">
        <f t="shared" si="42"/>
        <v>PG</v>
      </c>
      <c r="L365" s="709">
        <f t="shared" si="36"/>
        <v>359151.25640471996</v>
      </c>
      <c r="M365" s="710">
        <f t="shared" si="37"/>
        <v>2.4333597255212457E-2</v>
      </c>
      <c r="N365" s="710">
        <f t="shared" si="38"/>
        <v>4.9850000000000005E-2</v>
      </c>
      <c r="O365" s="711">
        <f t="shared" si="39"/>
        <v>7.4790112166798636E-2</v>
      </c>
      <c r="P365" s="712">
        <f t="shared" si="40"/>
        <v>1.1215332710231472E-2</v>
      </c>
      <c r="Q365" s="713">
        <f t="shared" si="41"/>
        <v>8.3879599138617761E-4</v>
      </c>
    </row>
    <row r="366" spans="1:17">
      <c r="A366" s="3" t="s">
        <v>1974</v>
      </c>
      <c r="B366" s="3" t="s">
        <v>2655</v>
      </c>
      <c r="C366" s="3" t="s">
        <v>1975</v>
      </c>
      <c r="D366" s="3">
        <v>75880350000</v>
      </c>
      <c r="E366" s="3">
        <v>0.69771027677125896</v>
      </c>
      <c r="F366" s="3">
        <v>29.35</v>
      </c>
      <c r="G366" s="3">
        <v>585</v>
      </c>
      <c r="H366" s="3">
        <v>129.71</v>
      </c>
      <c r="I366" s="706"/>
      <c r="J366" s="707" t="str">
        <f t="shared" si="42"/>
        <v>Progressive Corp/The</v>
      </c>
      <c r="K366" s="708" t="str">
        <f t="shared" si="42"/>
        <v>PGR</v>
      </c>
      <c r="L366" s="709">
        <f t="shared" si="36"/>
        <v>75880.350000000006</v>
      </c>
      <c r="M366" s="710">
        <f t="shared" si="37"/>
        <v>6.9771027677125895E-3</v>
      </c>
      <c r="N366" s="710">
        <f t="shared" si="38"/>
        <v>0.29350000000000004</v>
      </c>
      <c r="O366" s="711">
        <f t="shared" si="39"/>
        <v>0.30150099259887447</v>
      </c>
      <c r="P366" s="712">
        <f t="shared" si="40"/>
        <v>2.3695402876714776E-3</v>
      </c>
      <c r="Q366" s="713">
        <f t="shared" si="41"/>
        <v>7.1441874873597305E-4</v>
      </c>
    </row>
    <row r="367" spans="1:17">
      <c r="A367" s="3" t="s">
        <v>1976</v>
      </c>
      <c r="B367" s="3" t="s">
        <v>2656</v>
      </c>
      <c r="C367" s="3" t="s">
        <v>1977</v>
      </c>
      <c r="D367" s="3">
        <v>37366067721</v>
      </c>
      <c r="E367" s="3">
        <v>1.7663230240549828</v>
      </c>
      <c r="F367" s="3">
        <v>14.56</v>
      </c>
      <c r="G367" s="3">
        <v>128.4057</v>
      </c>
      <c r="H367" s="3">
        <v>291</v>
      </c>
      <c r="I367" s="706"/>
      <c r="J367" s="707" t="str">
        <f t="shared" si="42"/>
        <v>Parker-Hannifin Corp</v>
      </c>
      <c r="K367" s="708" t="str">
        <f t="shared" si="42"/>
        <v>PH</v>
      </c>
      <c r="L367" s="709">
        <f t="shared" si="36"/>
        <v>37366.067720999999</v>
      </c>
      <c r="M367" s="710">
        <f t="shared" si="37"/>
        <v>1.7663230240549829E-2</v>
      </c>
      <c r="N367" s="710">
        <f t="shared" si="38"/>
        <v>0.14560000000000001</v>
      </c>
      <c r="O367" s="711">
        <f t="shared" si="39"/>
        <v>0.16454911340206185</v>
      </c>
      <c r="P367" s="712">
        <f t="shared" si="40"/>
        <v>1.1668423097253801E-3</v>
      </c>
      <c r="Q367" s="713">
        <f t="shared" si="41"/>
        <v>1.9200286754532536E-4</v>
      </c>
    </row>
    <row r="368" spans="1:17">
      <c r="A368" s="3" t="s">
        <v>1978</v>
      </c>
      <c r="B368" s="3" t="s">
        <v>2657</v>
      </c>
      <c r="C368" s="3" t="s">
        <v>1979</v>
      </c>
      <c r="D368" s="3">
        <v>10372632033.720001</v>
      </c>
      <c r="E368" s="3">
        <v>1.3156160773116625</v>
      </c>
      <c r="F368" s="3">
        <v>-1.58</v>
      </c>
      <c r="G368" s="3">
        <v>227.81969999999998</v>
      </c>
      <c r="H368" s="3">
        <v>45.53</v>
      </c>
      <c r="I368" s="706"/>
      <c r="J368" s="707" t="str">
        <f t="shared" si="42"/>
        <v>PulteGroup Inc</v>
      </c>
      <c r="K368" s="708" t="str">
        <f t="shared" si="42"/>
        <v>PHM</v>
      </c>
      <c r="L368" s="709">
        <f t="shared" si="36"/>
        <v>10372.632033720001</v>
      </c>
      <c r="M368" s="710">
        <f t="shared" si="37"/>
        <v>1.3156160773116625E-2</v>
      </c>
      <c r="N368" s="710">
        <f t="shared" si="38"/>
        <v>-1.5800000000000002E-2</v>
      </c>
      <c r="O368" s="711">
        <f t="shared" si="39"/>
        <v>-2.7477728969909979E-3</v>
      </c>
      <c r="P368" s="712">
        <f t="shared" si="40"/>
        <v>3.2390954302518736E-4</v>
      </c>
      <c r="Q368" s="713">
        <f t="shared" si="41"/>
        <v>-8.9002986340134937E-7</v>
      </c>
    </row>
    <row r="369" spans="1:17">
      <c r="A369" s="3" t="s">
        <v>2264</v>
      </c>
      <c r="B369" s="3" t="s">
        <v>2658</v>
      </c>
      <c r="C369" s="3" t="s">
        <v>2265</v>
      </c>
      <c r="D369" s="3">
        <v>11836085336.800001</v>
      </c>
      <c r="E369" s="3">
        <v>3.7135485888515363</v>
      </c>
      <c r="F369" s="3">
        <v>5</v>
      </c>
      <c r="G369" s="3">
        <v>92.534480000000002</v>
      </c>
      <c r="H369" s="3">
        <v>127.91</v>
      </c>
      <c r="I369" s="706"/>
      <c r="J369" s="707" t="str">
        <f t="shared" si="42"/>
        <v>Packaging Corp of America</v>
      </c>
      <c r="K369" s="708" t="str">
        <f t="shared" si="42"/>
        <v>PKG</v>
      </c>
      <c r="L369" s="709">
        <f t="shared" si="36"/>
        <v>11836.085336800001</v>
      </c>
      <c r="M369" s="710">
        <f t="shared" si="37"/>
        <v>3.7135485888515361E-2</v>
      </c>
      <c r="N369" s="710">
        <f t="shared" si="38"/>
        <v>0.05</v>
      </c>
      <c r="O369" s="711">
        <f t="shared" si="39"/>
        <v>8.8063873035728241E-2</v>
      </c>
      <c r="P369" s="712">
        <f t="shared" si="40"/>
        <v>3.6960927372982902E-4</v>
      </c>
      <c r="Q369" s="713">
        <f t="shared" si="41"/>
        <v>3.2549224154571386E-5</v>
      </c>
    </row>
    <row r="370" spans="1:17">
      <c r="A370" s="3" t="s">
        <v>1980</v>
      </c>
      <c r="B370" s="3" t="s">
        <v>2659</v>
      </c>
      <c r="C370" s="3" t="s">
        <v>1981</v>
      </c>
      <c r="D370" s="3">
        <v>17712018302.400002</v>
      </c>
      <c r="E370" s="3">
        <v>0.19968620738838971</v>
      </c>
      <c r="F370" s="3" t="s">
        <v>1483</v>
      </c>
      <c r="G370" s="3">
        <v>126.3159</v>
      </c>
      <c r="H370" s="3">
        <v>140.22</v>
      </c>
      <c r="I370" s="706"/>
      <c r="J370" s="707" t="str">
        <f t="shared" si="42"/>
        <v>PerkinElmer Inc</v>
      </c>
      <c r="K370" s="708" t="str">
        <f t="shared" si="42"/>
        <v>PKI</v>
      </c>
      <c r="L370" s="709">
        <f t="shared" si="36"/>
        <v>17712.0183024</v>
      </c>
      <c r="M370" s="710">
        <f t="shared" si="37"/>
        <v>1.9968620738838971E-3</v>
      </c>
      <c r="N370" s="710" t="str">
        <f t="shared" si="38"/>
        <v>N/A</v>
      </c>
      <c r="O370" s="711" t="str">
        <f t="shared" si="39"/>
        <v>N/A</v>
      </c>
      <c r="P370" s="712" t="str">
        <f t="shared" si="40"/>
        <v>N/A</v>
      </c>
      <c r="Q370" s="713" t="str">
        <f t="shared" si="41"/>
        <v>N/A</v>
      </c>
    </row>
    <row r="371" spans="1:17">
      <c r="A371" s="3" t="s">
        <v>1982</v>
      </c>
      <c r="B371" s="3" t="s">
        <v>2660</v>
      </c>
      <c r="C371" s="3" t="s">
        <v>1983</v>
      </c>
      <c r="D371" s="3">
        <v>104058647985.21001</v>
      </c>
      <c r="E371" s="3">
        <v>2.7934001596735558</v>
      </c>
      <c r="F371" s="3">
        <v>9.9450000000000003</v>
      </c>
      <c r="G371" s="3">
        <v>923.07859999999994</v>
      </c>
      <c r="H371" s="3">
        <v>112.73</v>
      </c>
      <c r="I371" s="706"/>
      <c r="J371" s="707" t="str">
        <f t="shared" si="42"/>
        <v>Prologis Inc</v>
      </c>
      <c r="K371" s="708" t="str">
        <f t="shared" si="42"/>
        <v>PLD</v>
      </c>
      <c r="L371" s="709">
        <f t="shared" si="36"/>
        <v>104058.64798521</v>
      </c>
      <c r="M371" s="710">
        <f t="shared" si="37"/>
        <v>2.7934001596735557E-2</v>
      </c>
      <c r="N371" s="710">
        <f t="shared" si="38"/>
        <v>9.9449999999999997E-2</v>
      </c>
      <c r="O371" s="711">
        <f t="shared" si="39"/>
        <v>0.12877301982613323</v>
      </c>
      <c r="P371" s="712">
        <f t="shared" si="40"/>
        <v>3.2494731334473223E-3</v>
      </c>
      <c r="Q371" s="713">
        <f t="shared" si="41"/>
        <v>4.1844446823789932E-4</v>
      </c>
    </row>
    <row r="372" spans="1:17">
      <c r="A372" s="3" t="s">
        <v>1984</v>
      </c>
      <c r="B372" s="3" t="s">
        <v>2661</v>
      </c>
      <c r="C372" s="3" t="s">
        <v>1985</v>
      </c>
      <c r="D372" s="3">
        <v>156895975289.04999</v>
      </c>
      <c r="E372" s="3">
        <v>4.9807331291374375</v>
      </c>
      <c r="F372" s="3">
        <v>2.93</v>
      </c>
      <c r="G372" s="3">
        <v>1550.202</v>
      </c>
      <c r="H372" s="3">
        <v>101.21</v>
      </c>
      <c r="I372" s="706"/>
      <c r="J372" s="707" t="str">
        <f t="shared" si="42"/>
        <v>Philip Morris International Inc</v>
      </c>
      <c r="K372" s="708" t="str">
        <f t="shared" si="42"/>
        <v>PM</v>
      </c>
      <c r="L372" s="709">
        <f t="shared" si="36"/>
        <v>156895.97528904999</v>
      </c>
      <c r="M372" s="710">
        <f t="shared" si="37"/>
        <v>4.9807331291374372E-2</v>
      </c>
      <c r="N372" s="710">
        <f t="shared" si="38"/>
        <v>2.9300000000000003E-2</v>
      </c>
      <c r="O372" s="711">
        <f t="shared" si="39"/>
        <v>7.9837008694793016E-2</v>
      </c>
      <c r="P372" s="712">
        <f t="shared" si="40"/>
        <v>4.8994414815022938E-3</v>
      </c>
      <c r="Q372" s="713">
        <f t="shared" si="41"/>
        <v>3.9115675215832822E-4</v>
      </c>
    </row>
    <row r="373" spans="1:17">
      <c r="A373" s="3" t="s">
        <v>1986</v>
      </c>
      <c r="B373" s="3" t="s">
        <v>2662</v>
      </c>
      <c r="C373" s="3" t="s">
        <v>1987</v>
      </c>
      <c r="D373" s="3">
        <v>63700208072.019997</v>
      </c>
      <c r="E373" s="3">
        <v>3.6406230214005317</v>
      </c>
      <c r="F373" s="3">
        <v>15.325000000000001</v>
      </c>
      <c r="G373" s="3">
        <v>403.31899999999996</v>
      </c>
      <c r="H373" s="3">
        <v>157.94</v>
      </c>
      <c r="I373" s="706"/>
      <c r="J373" s="707" t="str">
        <f t="shared" si="42"/>
        <v>PNC Financial Services Group Inc/The</v>
      </c>
      <c r="K373" s="708" t="str">
        <f t="shared" si="42"/>
        <v>PNC</v>
      </c>
      <c r="L373" s="709">
        <f t="shared" si="36"/>
        <v>63700.208072019996</v>
      </c>
      <c r="M373" s="710">
        <f t="shared" si="37"/>
        <v>3.6406230214005318E-2</v>
      </c>
      <c r="N373" s="710">
        <f t="shared" si="38"/>
        <v>0.15325</v>
      </c>
      <c r="O373" s="711">
        <f t="shared" si="39"/>
        <v>0.19244585760415348</v>
      </c>
      <c r="P373" s="712">
        <f t="shared" si="40"/>
        <v>1.9891870472356445E-3</v>
      </c>
      <c r="Q373" s="713">
        <f t="shared" si="41"/>
        <v>3.8281080724033738E-4</v>
      </c>
    </row>
    <row r="374" spans="1:17">
      <c r="A374" s="3" t="s">
        <v>1988</v>
      </c>
      <c r="B374" s="3" t="s">
        <v>2663</v>
      </c>
      <c r="C374" s="3" t="s">
        <v>1989</v>
      </c>
      <c r="D374" s="3">
        <v>7399135962.9200001</v>
      </c>
      <c r="E374" s="3">
        <v>1.8741662961316141</v>
      </c>
      <c r="F374" s="3">
        <v>8.620000000000001</v>
      </c>
      <c r="G374" s="3">
        <v>164.4984</v>
      </c>
      <c r="H374" s="3">
        <v>44.98</v>
      </c>
      <c r="I374" s="706"/>
      <c r="J374" s="707" t="str">
        <f t="shared" si="42"/>
        <v>Pentair PLC</v>
      </c>
      <c r="K374" s="708" t="str">
        <f t="shared" si="42"/>
        <v>PNR</v>
      </c>
      <c r="L374" s="709">
        <f t="shared" si="36"/>
        <v>7399.1359629199997</v>
      </c>
      <c r="M374" s="710">
        <f t="shared" si="37"/>
        <v>1.874166296131614E-2</v>
      </c>
      <c r="N374" s="710">
        <f t="shared" si="38"/>
        <v>8.6200000000000013E-2</v>
      </c>
      <c r="O374" s="711">
        <f t="shared" si="39"/>
        <v>0.10574942863494888</v>
      </c>
      <c r="P374" s="712">
        <f t="shared" si="40"/>
        <v>2.3105521730062961E-4</v>
      </c>
      <c r="Q374" s="713">
        <f t="shared" si="41"/>
        <v>2.4433957212665537E-5</v>
      </c>
    </row>
    <row r="375" spans="1:17">
      <c r="A375" s="3" t="s">
        <v>1990</v>
      </c>
      <c r="B375" s="3" t="s">
        <v>2664</v>
      </c>
      <c r="C375" s="3" t="s">
        <v>202</v>
      </c>
      <c r="D375" s="3">
        <v>8603181036.1200008</v>
      </c>
      <c r="E375" s="3">
        <v>4.4871120462914247</v>
      </c>
      <c r="F375" s="3">
        <v>-2.1</v>
      </c>
      <c r="G375" s="3">
        <v>113.14019999999999</v>
      </c>
      <c r="H375" s="3">
        <v>76.040000000000006</v>
      </c>
      <c r="I375" s="706"/>
      <c r="J375" s="707" t="str">
        <f t="shared" si="42"/>
        <v>Pinnacle West Capital Corp</v>
      </c>
      <c r="K375" s="708" t="str">
        <f t="shared" si="42"/>
        <v>PNW</v>
      </c>
      <c r="L375" s="709">
        <f t="shared" si="36"/>
        <v>8603.1810361200005</v>
      </c>
      <c r="M375" s="710">
        <f t="shared" si="37"/>
        <v>4.4871120462914249E-2</v>
      </c>
      <c r="N375" s="710">
        <f t="shared" si="38"/>
        <v>-2.1000000000000001E-2</v>
      </c>
      <c r="O375" s="711">
        <f t="shared" si="39"/>
        <v>2.3399973698053651E-2</v>
      </c>
      <c r="P375" s="712">
        <f t="shared" si="40"/>
        <v>2.6865432311814043E-4</v>
      </c>
      <c r="Q375" s="713">
        <f t="shared" si="41"/>
        <v>6.2865040948328931E-6</v>
      </c>
    </row>
    <row r="376" spans="1:17">
      <c r="A376" s="3" t="s">
        <v>3948</v>
      </c>
      <c r="B376" s="3" t="s">
        <v>3949</v>
      </c>
      <c r="C376" s="3" t="s">
        <v>3910</v>
      </c>
      <c r="D376" s="3">
        <v>11806173339.940001</v>
      </c>
      <c r="E376" s="3">
        <v>1.2569047067773627</v>
      </c>
      <c r="F376" s="3">
        <v>6.74</v>
      </c>
      <c r="G376" s="3">
        <v>39.050619999999995</v>
      </c>
      <c r="H376" s="3">
        <v>302.33</v>
      </c>
      <c r="I376" s="706"/>
      <c r="J376" s="707" t="str">
        <f t="shared" si="42"/>
        <v>Pool Corp</v>
      </c>
      <c r="K376" s="708" t="str">
        <f t="shared" si="42"/>
        <v>POOL</v>
      </c>
      <c r="L376" s="709">
        <f t="shared" si="36"/>
        <v>11806.17333994</v>
      </c>
      <c r="M376" s="710">
        <f t="shared" si="37"/>
        <v>1.2569047067773627E-2</v>
      </c>
      <c r="N376" s="710">
        <f t="shared" si="38"/>
        <v>6.7400000000000002E-2</v>
      </c>
      <c r="O376" s="711">
        <f t="shared" si="39"/>
        <v>8.0392623953957604E-2</v>
      </c>
      <c r="P376" s="712">
        <f t="shared" si="40"/>
        <v>3.6867520210727488E-4</v>
      </c>
      <c r="Q376" s="713">
        <f t="shared" si="41"/>
        <v>2.9638766884159467E-5</v>
      </c>
    </row>
    <row r="377" spans="1:17">
      <c r="A377" s="3" t="s">
        <v>1991</v>
      </c>
      <c r="B377" s="3" t="s">
        <v>2665</v>
      </c>
      <c r="C377" s="3" t="s">
        <v>1992</v>
      </c>
      <c r="D377" s="3">
        <v>29552344521.559998</v>
      </c>
      <c r="E377" s="3">
        <v>1.9190392874184827</v>
      </c>
      <c r="F377" s="3">
        <v>6.7700000000000005</v>
      </c>
      <c r="G377" s="3">
        <v>235.0274</v>
      </c>
      <c r="H377" s="3">
        <v>125.74</v>
      </c>
      <c r="I377" s="706"/>
      <c r="J377" s="707" t="str">
        <f t="shared" si="42"/>
        <v>PPG Industries Inc</v>
      </c>
      <c r="K377" s="708" t="str">
        <f t="shared" si="42"/>
        <v>PPG</v>
      </c>
      <c r="L377" s="709">
        <f t="shared" si="36"/>
        <v>29552.344521559997</v>
      </c>
      <c r="M377" s="710">
        <f t="shared" si="37"/>
        <v>1.9190392874184826E-2</v>
      </c>
      <c r="N377" s="710">
        <f t="shared" si="38"/>
        <v>6.770000000000001E-2</v>
      </c>
      <c r="O377" s="711">
        <f t="shared" si="39"/>
        <v>8.7539987672975994E-2</v>
      </c>
      <c r="P377" s="712">
        <f t="shared" si="40"/>
        <v>9.2284064239271288E-4</v>
      </c>
      <c r="Q377" s="713">
        <f t="shared" si="41"/>
        <v>8.0785458459179332E-5</v>
      </c>
    </row>
    <row r="378" spans="1:17">
      <c r="A378" s="3" t="s">
        <v>1993</v>
      </c>
      <c r="B378" s="3" t="s">
        <v>2666</v>
      </c>
      <c r="C378" s="3" t="s">
        <v>203</v>
      </c>
      <c r="D378" s="3">
        <v>21515220258.479996</v>
      </c>
      <c r="E378" s="3">
        <v>3.0595482546201236</v>
      </c>
      <c r="F378" s="3" t="s">
        <v>1483</v>
      </c>
      <c r="G378" s="3">
        <v>736.31830000000002</v>
      </c>
      <c r="H378" s="3">
        <v>29.22</v>
      </c>
      <c r="I378" s="706"/>
      <c r="J378" s="707" t="str">
        <f t="shared" si="42"/>
        <v>PPL Corp</v>
      </c>
      <c r="K378" s="708" t="str">
        <f t="shared" si="42"/>
        <v>PPL</v>
      </c>
      <c r="L378" s="709">
        <f t="shared" si="36"/>
        <v>21515.220258479996</v>
      </c>
      <c r="M378" s="710">
        <f t="shared" si="37"/>
        <v>3.0595482546201237E-2</v>
      </c>
      <c r="N378" s="710" t="str">
        <f t="shared" si="38"/>
        <v>N/A</v>
      </c>
      <c r="O378" s="711" t="str">
        <f t="shared" si="39"/>
        <v>N/A</v>
      </c>
      <c r="P378" s="712" t="str">
        <f t="shared" si="40"/>
        <v>N/A</v>
      </c>
      <c r="Q378" s="713" t="str">
        <f t="shared" si="41"/>
        <v>N/A</v>
      </c>
    </row>
    <row r="379" spans="1:17">
      <c r="A379" s="3" t="s">
        <v>1994</v>
      </c>
      <c r="B379" s="3" t="s">
        <v>2667</v>
      </c>
      <c r="C379" s="3" t="s">
        <v>1995</v>
      </c>
      <c r="D379" s="3">
        <v>36601280000</v>
      </c>
      <c r="E379" s="3">
        <v>4.8210335813392318</v>
      </c>
      <c r="F379" s="3">
        <v>-6.21</v>
      </c>
      <c r="G379" s="3">
        <v>368</v>
      </c>
      <c r="H379" s="3">
        <v>99.46</v>
      </c>
      <c r="I379" s="706"/>
      <c r="J379" s="707" t="str">
        <f t="shared" si="42"/>
        <v>Prudential Financial Inc</v>
      </c>
      <c r="K379" s="708" t="str">
        <f t="shared" si="42"/>
        <v>PRU</v>
      </c>
      <c r="L379" s="709">
        <f t="shared" si="36"/>
        <v>36601.279999999999</v>
      </c>
      <c r="M379" s="710">
        <f t="shared" si="37"/>
        <v>4.8210335813392319E-2</v>
      </c>
      <c r="N379" s="710">
        <f t="shared" si="38"/>
        <v>-6.2100000000000002E-2</v>
      </c>
      <c r="O379" s="711">
        <f t="shared" si="39"/>
        <v>-1.5386595113613517E-2</v>
      </c>
      <c r="P379" s="712">
        <f t="shared" si="40"/>
        <v>1.1429600356395865E-3</v>
      </c>
      <c r="Q379" s="713">
        <f t="shared" si="41"/>
        <v>-1.7586263299427594E-5</v>
      </c>
    </row>
    <row r="380" spans="1:17">
      <c r="A380" s="3" t="s">
        <v>1996</v>
      </c>
      <c r="B380" s="3" t="s">
        <v>2668</v>
      </c>
      <c r="C380" s="3" t="s">
        <v>1997</v>
      </c>
      <c r="D380" s="3">
        <v>49212119933.719994</v>
      </c>
      <c r="E380" s="3">
        <v>5.4705735393839898</v>
      </c>
      <c r="F380" s="3">
        <v>8.27</v>
      </c>
      <c r="G380" s="3">
        <v>175.63839999999999</v>
      </c>
      <c r="H380" s="3">
        <v>280.19</v>
      </c>
      <c r="I380" s="706"/>
      <c r="J380" s="707" t="str">
        <f t="shared" si="42"/>
        <v>Public Storage</v>
      </c>
      <c r="K380" s="708" t="str">
        <f t="shared" si="42"/>
        <v>PSA</v>
      </c>
      <c r="L380" s="709">
        <f t="shared" si="36"/>
        <v>49212.119933719994</v>
      </c>
      <c r="M380" s="710">
        <f t="shared" si="37"/>
        <v>5.4705735393839897E-2</v>
      </c>
      <c r="N380" s="710">
        <f t="shared" si="38"/>
        <v>8.2699999999999996E-2</v>
      </c>
      <c r="O380" s="711">
        <f t="shared" si="39"/>
        <v>0.13966781755237517</v>
      </c>
      <c r="P380" s="712">
        <f t="shared" si="40"/>
        <v>1.5367628223205366E-3</v>
      </c>
      <c r="Q380" s="713">
        <f t="shared" si="41"/>
        <v>2.1463630948913786E-4</v>
      </c>
    </row>
    <row r="381" spans="1:17">
      <c r="A381" s="3" t="s">
        <v>1998</v>
      </c>
      <c r="B381" s="3" t="s">
        <v>2669</v>
      </c>
      <c r="C381" s="3" t="s">
        <v>1999</v>
      </c>
      <c r="D381" s="3">
        <v>49191560729.040001</v>
      </c>
      <c r="E381" s="3">
        <v>3.623174481168332</v>
      </c>
      <c r="F381" s="3">
        <v>11.23</v>
      </c>
      <c r="G381" s="3">
        <v>472.63219999999995</v>
      </c>
      <c r="H381" s="3">
        <v>104.08</v>
      </c>
      <c r="I381" s="706"/>
      <c r="J381" s="707" t="str">
        <f t="shared" si="42"/>
        <v>Phillips 66</v>
      </c>
      <c r="K381" s="708" t="str">
        <f t="shared" si="42"/>
        <v>PSX</v>
      </c>
      <c r="L381" s="709">
        <f t="shared" si="36"/>
        <v>49191.56072904</v>
      </c>
      <c r="M381" s="710">
        <f t="shared" si="37"/>
        <v>3.6231744811683321E-2</v>
      </c>
      <c r="N381" s="710">
        <f t="shared" si="38"/>
        <v>0.11230000000000001</v>
      </c>
      <c r="O381" s="711">
        <f t="shared" si="39"/>
        <v>0.15056615728285935</v>
      </c>
      <c r="P381" s="712">
        <f t="shared" si="40"/>
        <v>1.536120813371293E-3</v>
      </c>
      <c r="Q381" s="713">
        <f t="shared" si="41"/>
        <v>2.3128780799153595E-4</v>
      </c>
    </row>
    <row r="382" spans="1:17">
      <c r="A382" s="3" t="s">
        <v>4005</v>
      </c>
      <c r="B382" s="3" t="s">
        <v>4006</v>
      </c>
      <c r="C382" s="3" t="s">
        <v>4007</v>
      </c>
      <c r="D382" s="3">
        <v>14183220804.880001</v>
      </c>
      <c r="E382" s="3">
        <v>0</v>
      </c>
      <c r="F382" s="3">
        <v>15</v>
      </c>
      <c r="G382" s="3">
        <v>118.1541</v>
      </c>
      <c r="H382" s="3">
        <v>120.04</v>
      </c>
      <c r="I382" s="706"/>
      <c r="J382" s="707" t="str">
        <f t="shared" si="42"/>
        <v>PTC Inc</v>
      </c>
      <c r="K382" s="708" t="str">
        <f t="shared" si="42"/>
        <v>PTC</v>
      </c>
      <c r="L382" s="709">
        <f t="shared" si="36"/>
        <v>14183.22080488</v>
      </c>
      <c r="M382" s="710">
        <f t="shared" si="37"/>
        <v>0</v>
      </c>
      <c r="N382" s="710">
        <f t="shared" si="38"/>
        <v>0.15</v>
      </c>
      <c r="O382" s="711">
        <f t="shared" si="39"/>
        <v>0.15</v>
      </c>
      <c r="P382" s="712">
        <f t="shared" si="40"/>
        <v>4.4290403386520278E-4</v>
      </c>
      <c r="Q382" s="713">
        <f t="shared" si="41"/>
        <v>6.6435605079780412E-5</v>
      </c>
    </row>
    <row r="383" spans="1:17">
      <c r="A383" s="3" t="s">
        <v>2000</v>
      </c>
      <c r="B383" s="3" t="s">
        <v>2670</v>
      </c>
      <c r="C383" s="3" t="s">
        <v>2001</v>
      </c>
      <c r="D383" s="3">
        <v>20363414729.999996</v>
      </c>
      <c r="E383" s="3">
        <v>0.19789473684210529</v>
      </c>
      <c r="F383" s="3">
        <v>15.4</v>
      </c>
      <c r="G383" s="3">
        <v>142.90119999999999</v>
      </c>
      <c r="H383" s="3">
        <v>142.5</v>
      </c>
      <c r="I383" s="706"/>
      <c r="J383" s="707" t="str">
        <f t="shared" si="42"/>
        <v>Quanta Services Inc</v>
      </c>
      <c r="K383" s="708" t="str">
        <f t="shared" si="42"/>
        <v>PWR</v>
      </c>
      <c r="L383" s="709">
        <f t="shared" si="36"/>
        <v>20363.414729999997</v>
      </c>
      <c r="M383" s="710">
        <f t="shared" si="37"/>
        <v>1.9789473684210528E-3</v>
      </c>
      <c r="N383" s="710">
        <f t="shared" si="38"/>
        <v>0.154</v>
      </c>
      <c r="O383" s="711">
        <f t="shared" si="39"/>
        <v>0.15613132631578946</v>
      </c>
      <c r="P383" s="712">
        <f t="shared" si="40"/>
        <v>6.3589495300559102E-4</v>
      </c>
      <c r="Q383" s="713">
        <f t="shared" si="41"/>
        <v>9.9283122410279536E-5</v>
      </c>
    </row>
    <row r="384" spans="1:17">
      <c r="A384" s="3" t="s">
        <v>2002</v>
      </c>
      <c r="B384" s="3" t="s">
        <v>2671</v>
      </c>
      <c r="C384" s="3" t="s">
        <v>2003</v>
      </c>
      <c r="D384" s="3">
        <v>54265174629.870003</v>
      </c>
      <c r="E384" s="3">
        <v>1.6550637068172864</v>
      </c>
      <c r="F384" s="3" t="s">
        <v>1483</v>
      </c>
      <c r="G384" s="3">
        <v>237.59869999999998</v>
      </c>
      <c r="H384" s="3">
        <v>228.39</v>
      </c>
      <c r="I384" s="706"/>
      <c r="J384" s="707" t="str">
        <f t="shared" si="42"/>
        <v>Pioneer Natural Resources Co</v>
      </c>
      <c r="K384" s="708" t="str">
        <f t="shared" si="42"/>
        <v>PXD</v>
      </c>
      <c r="L384" s="709">
        <f t="shared" si="36"/>
        <v>54265.174629870002</v>
      </c>
      <c r="M384" s="710">
        <f t="shared" si="37"/>
        <v>1.6550637068172863E-2</v>
      </c>
      <c r="N384" s="710" t="str">
        <f t="shared" si="38"/>
        <v>N/A</v>
      </c>
      <c r="O384" s="711" t="str">
        <f t="shared" si="39"/>
        <v>N/A</v>
      </c>
      <c r="P384" s="712" t="str">
        <f t="shared" si="40"/>
        <v>N/A</v>
      </c>
      <c r="Q384" s="713" t="str">
        <f t="shared" si="41"/>
        <v>N/A</v>
      </c>
    </row>
    <row r="385" spans="1:17">
      <c r="A385" s="3" t="s">
        <v>2004</v>
      </c>
      <c r="B385" s="3" t="s">
        <v>2672</v>
      </c>
      <c r="C385" s="3" t="s">
        <v>2005</v>
      </c>
      <c r="D385" s="3">
        <v>81192775073.039993</v>
      </c>
      <c r="E385" s="3" t="s">
        <v>1483</v>
      </c>
      <c r="F385" s="3">
        <v>9.370000000000001</v>
      </c>
      <c r="G385" s="3">
        <v>1140.028</v>
      </c>
      <c r="H385" s="3">
        <v>71.22</v>
      </c>
      <c r="I385" s="706"/>
      <c r="J385" s="707" t="str">
        <f t="shared" si="42"/>
        <v>PayPal Holdings Inc</v>
      </c>
      <c r="K385" s="708" t="str">
        <f t="shared" si="42"/>
        <v>PYPL</v>
      </c>
      <c r="L385" s="709">
        <f t="shared" si="36"/>
        <v>81192.77507304</v>
      </c>
      <c r="M385" s="710" t="str">
        <f t="shared" si="37"/>
        <v>0.00%</v>
      </c>
      <c r="N385" s="710">
        <f t="shared" si="38"/>
        <v>9.3700000000000006E-2</v>
      </c>
      <c r="O385" s="711">
        <f t="shared" si="39"/>
        <v>9.3700000000000006E-2</v>
      </c>
      <c r="P385" s="712">
        <f t="shared" si="40"/>
        <v>2.5354331075623238E-3</v>
      </c>
      <c r="Q385" s="713">
        <f t="shared" si="41"/>
        <v>2.3757008217858974E-4</v>
      </c>
    </row>
    <row r="386" spans="1:17">
      <c r="A386" s="3" t="s">
        <v>2006</v>
      </c>
      <c r="B386" s="3" t="s">
        <v>2673</v>
      </c>
      <c r="C386" s="3" t="s">
        <v>2007</v>
      </c>
      <c r="D386" s="3">
        <v>123242739999.99998</v>
      </c>
      <c r="E386" s="3">
        <v>2.7997089321448065</v>
      </c>
      <c r="F386" s="3">
        <v>-1.1599999999999999</v>
      </c>
      <c r="G386" s="3">
        <v>1121</v>
      </c>
      <c r="H386" s="3">
        <v>109.94</v>
      </c>
      <c r="I386" s="706"/>
      <c r="J386" s="707" t="str">
        <f t="shared" si="42"/>
        <v>QUALCOMM Inc</v>
      </c>
      <c r="K386" s="708" t="str">
        <f t="shared" si="42"/>
        <v>QCOM</v>
      </c>
      <c r="L386" s="709">
        <f t="shared" si="36"/>
        <v>123242.73999999999</v>
      </c>
      <c r="M386" s="710">
        <f t="shared" si="37"/>
        <v>2.7997089321448065E-2</v>
      </c>
      <c r="N386" s="710">
        <f t="shared" si="38"/>
        <v>-1.1599999999999999E-2</v>
      </c>
      <c r="O386" s="711">
        <f t="shared" si="39"/>
        <v>1.6234706203383666E-2</v>
      </c>
      <c r="P386" s="712">
        <f t="shared" si="40"/>
        <v>3.8485409937226316E-3</v>
      </c>
      <c r="Q386" s="713">
        <f t="shared" si="41"/>
        <v>6.2479932344765149E-5</v>
      </c>
    </row>
    <row r="387" spans="1:17">
      <c r="A387" s="3" t="s">
        <v>2008</v>
      </c>
      <c r="B387" s="3" t="s">
        <v>2674</v>
      </c>
      <c r="C387" s="3" t="s">
        <v>2009</v>
      </c>
      <c r="D387" s="3">
        <v>9189941832.7199993</v>
      </c>
      <c r="E387" s="3">
        <v>0</v>
      </c>
      <c r="F387" s="3">
        <v>-6.5270000000000001</v>
      </c>
      <c r="G387" s="3">
        <v>101.3895</v>
      </c>
      <c r="H387" s="3">
        <v>90.64</v>
      </c>
      <c r="I387" s="706"/>
      <c r="J387" s="707" t="str">
        <f t="shared" si="42"/>
        <v>Qorvo Inc</v>
      </c>
      <c r="K387" s="708" t="str">
        <f t="shared" si="42"/>
        <v>QRVO</v>
      </c>
      <c r="L387" s="709">
        <f t="shared" ref="L387:L450" si="43">D387/1000000</f>
        <v>9189.9418327200001</v>
      </c>
      <c r="M387" s="710">
        <f t="shared" ref="M387:M450" si="44">IFERROR(E387/100,"0.00%")</f>
        <v>0</v>
      </c>
      <c r="N387" s="710">
        <f t="shared" ref="N387:N450" si="45">IFERROR(F387/100,"N/A")</f>
        <v>-6.5269999999999995E-2</v>
      </c>
      <c r="O387" s="711">
        <f t="shared" ref="O387:O450" si="46">IFERROR(M387*(1+0.5*N387)+N387,"N/A")</f>
        <v>-6.5269999999999995E-2</v>
      </c>
      <c r="P387" s="712">
        <f t="shared" ref="P387:P450" si="47">IF(N387="N/A","N/A",L387/$L$504)</f>
        <v>2.8697729272449975E-4</v>
      </c>
      <c r="Q387" s="713">
        <f t="shared" ref="Q387:Q450" si="48">IF(AND(ISNUMBER(L387),ISNUMBER(O387)),O387*P387,"N/A")</f>
        <v>-1.8731007896128098E-5</v>
      </c>
    </row>
    <row r="388" spans="1:17">
      <c r="A388" s="3" t="s">
        <v>2010</v>
      </c>
      <c r="B388" s="3" t="s">
        <v>2675</v>
      </c>
      <c r="C388" s="3" t="s">
        <v>2011</v>
      </c>
      <c r="D388" s="3">
        <v>12613647001.450001</v>
      </c>
      <c r="E388" s="3">
        <v>0</v>
      </c>
      <c r="F388" s="3">
        <v>-160.47</v>
      </c>
      <c r="G388" s="3">
        <v>255.18199999999999</v>
      </c>
      <c r="H388" s="3">
        <v>49.43</v>
      </c>
      <c r="I388" s="706"/>
      <c r="J388" s="707" t="str">
        <f t="shared" ref="J388:K451" si="49">B388</f>
        <v>Royal Caribbean Cruises Ltd</v>
      </c>
      <c r="K388" s="708" t="str">
        <f t="shared" si="49"/>
        <v>RCL</v>
      </c>
      <c r="L388" s="709">
        <f t="shared" si="43"/>
        <v>12613.647001450001</v>
      </c>
      <c r="M388" s="710">
        <f t="shared" si="44"/>
        <v>0</v>
      </c>
      <c r="N388" s="710">
        <f t="shared" si="45"/>
        <v>-1.6047</v>
      </c>
      <c r="O388" s="711">
        <f t="shared" si="46"/>
        <v>-1.6047</v>
      </c>
      <c r="P388" s="712">
        <f t="shared" si="47"/>
        <v>3.9389044389492547E-4</v>
      </c>
      <c r="Q388" s="713">
        <f t="shared" si="48"/>
        <v>-6.3207599531818687E-4</v>
      </c>
    </row>
    <row r="389" spans="1:17">
      <c r="A389" s="3" t="s">
        <v>2266</v>
      </c>
      <c r="B389" s="3" t="s">
        <v>2676</v>
      </c>
      <c r="C389" s="3" t="s">
        <v>2267</v>
      </c>
      <c r="D389" s="3">
        <v>12974200813.18</v>
      </c>
      <c r="E389" s="3">
        <v>1.6934826576508588</v>
      </c>
      <c r="F389" s="3">
        <v>16.745000000000001</v>
      </c>
      <c r="G389" s="3">
        <v>39.165030000000002</v>
      </c>
      <c r="H389" s="3">
        <v>331.27</v>
      </c>
      <c r="I389" s="706"/>
      <c r="J389" s="707" t="str">
        <f t="shared" si="49"/>
        <v>Everest Re Group Ltd</v>
      </c>
      <c r="K389" s="708" t="str">
        <f t="shared" si="49"/>
        <v>RE</v>
      </c>
      <c r="L389" s="709">
        <f t="shared" si="43"/>
        <v>12974.200813180001</v>
      </c>
      <c r="M389" s="710">
        <f t="shared" si="44"/>
        <v>1.6934826576508587E-2</v>
      </c>
      <c r="N389" s="710">
        <f t="shared" si="45"/>
        <v>0.16745000000000002</v>
      </c>
      <c r="O389" s="711">
        <f t="shared" si="46"/>
        <v>0.18580269493162679</v>
      </c>
      <c r="P389" s="712">
        <f t="shared" si="47"/>
        <v>4.0514957465496743E-4</v>
      </c>
      <c r="Q389" s="713">
        <f t="shared" si="48"/>
        <v>7.5277882821295265E-5</v>
      </c>
    </row>
    <row r="390" spans="1:17">
      <c r="A390" s="3" t="s">
        <v>2677</v>
      </c>
      <c r="B390" s="3" t="s">
        <v>2678</v>
      </c>
      <c r="C390" s="3" t="s">
        <v>2230</v>
      </c>
      <c r="D390" s="3">
        <v>10705532250</v>
      </c>
      <c r="E390" s="3">
        <v>4.0352000000000006</v>
      </c>
      <c r="F390" s="3">
        <v>3.7</v>
      </c>
      <c r="G390" s="3">
        <v>171.12269999999998</v>
      </c>
      <c r="H390" s="3">
        <v>62.5</v>
      </c>
      <c r="I390" s="706"/>
      <c r="J390" s="707" t="str">
        <f t="shared" si="49"/>
        <v>Regency Centers Corp</v>
      </c>
      <c r="K390" s="708" t="str">
        <f t="shared" si="49"/>
        <v>REG</v>
      </c>
      <c r="L390" s="709">
        <f t="shared" si="43"/>
        <v>10705.53225</v>
      </c>
      <c r="M390" s="710">
        <f t="shared" si="44"/>
        <v>4.0352000000000006E-2</v>
      </c>
      <c r="N390" s="710">
        <f t="shared" si="45"/>
        <v>3.7000000000000005E-2</v>
      </c>
      <c r="O390" s="711">
        <f t="shared" si="46"/>
        <v>7.8098512000000009E-2</v>
      </c>
      <c r="P390" s="712">
        <f t="shared" si="47"/>
        <v>3.3430512599561392E-4</v>
      </c>
      <c r="Q390" s="713">
        <f t="shared" si="48"/>
        <v>2.6108732894229969E-5</v>
      </c>
    </row>
    <row r="391" spans="1:17">
      <c r="A391" s="3" t="s">
        <v>2012</v>
      </c>
      <c r="B391" s="3" t="s">
        <v>2679</v>
      </c>
      <c r="C391" s="3" t="s">
        <v>2013</v>
      </c>
      <c r="D391" s="3">
        <v>78571657083.149994</v>
      </c>
      <c r="E391" s="3">
        <v>0</v>
      </c>
      <c r="F391" s="3">
        <v>0.5</v>
      </c>
      <c r="G391" s="3">
        <v>107.0838</v>
      </c>
      <c r="H391" s="3">
        <v>721.49</v>
      </c>
      <c r="I391" s="706"/>
      <c r="J391" s="707" t="str">
        <f t="shared" si="49"/>
        <v>Regeneron Pharmaceuticals Inc</v>
      </c>
      <c r="K391" s="708" t="str">
        <f t="shared" si="49"/>
        <v>REGN</v>
      </c>
      <c r="L391" s="709">
        <f t="shared" si="43"/>
        <v>78571.657083149999</v>
      </c>
      <c r="M391" s="710">
        <f t="shared" si="44"/>
        <v>0</v>
      </c>
      <c r="N391" s="710">
        <f t="shared" si="45"/>
        <v>5.0000000000000001E-3</v>
      </c>
      <c r="O391" s="711">
        <f t="shared" si="46"/>
        <v>5.0000000000000001E-3</v>
      </c>
      <c r="P391" s="712">
        <f t="shared" si="47"/>
        <v>2.4535826064011556E-3</v>
      </c>
      <c r="Q391" s="713">
        <f t="shared" si="48"/>
        <v>1.2267913032005777E-5</v>
      </c>
    </row>
    <row r="392" spans="1:17">
      <c r="A392" s="3" t="s">
        <v>2014</v>
      </c>
      <c r="B392" s="3" t="s">
        <v>2680</v>
      </c>
      <c r="C392" s="3" t="s">
        <v>2015</v>
      </c>
      <c r="D392" s="3">
        <v>20146647265.360001</v>
      </c>
      <c r="E392" s="3">
        <v>3.4183673469387759</v>
      </c>
      <c r="F392" s="3">
        <v>-0.95000000000000007</v>
      </c>
      <c r="G392" s="3">
        <v>934.44560000000001</v>
      </c>
      <c r="H392" s="3">
        <v>21.56</v>
      </c>
      <c r="I392" s="706"/>
      <c r="J392" s="707" t="str">
        <f t="shared" si="49"/>
        <v>Regions Financial Corp</v>
      </c>
      <c r="K392" s="708" t="str">
        <f t="shared" si="49"/>
        <v>RF</v>
      </c>
      <c r="L392" s="709">
        <f t="shared" si="43"/>
        <v>20146.647265359999</v>
      </c>
      <c r="M392" s="710">
        <f t="shared" si="44"/>
        <v>3.4183673469387756E-2</v>
      </c>
      <c r="N392" s="710">
        <f t="shared" si="45"/>
        <v>-9.5000000000000015E-3</v>
      </c>
      <c r="O392" s="711">
        <f t="shared" si="46"/>
        <v>2.4521301020408164E-2</v>
      </c>
      <c r="P392" s="712">
        <f t="shared" si="47"/>
        <v>6.2912588511751619E-4</v>
      </c>
      <c r="Q392" s="713">
        <f t="shared" si="48"/>
        <v>1.542698520869734E-5</v>
      </c>
    </row>
    <row r="393" spans="1:17">
      <c r="A393" s="3" t="s">
        <v>2016</v>
      </c>
      <c r="B393" s="3" t="s">
        <v>2681</v>
      </c>
      <c r="C393" s="3" t="s">
        <v>2017</v>
      </c>
      <c r="D393" s="3">
        <v>8010446912.8800001</v>
      </c>
      <c r="E393" s="3">
        <v>2.3283218203982123</v>
      </c>
      <c r="F393" s="3">
        <v>-2.9950000000000001</v>
      </c>
      <c r="G393" s="3">
        <v>108.49849999999999</v>
      </c>
      <c r="H393" s="3">
        <v>73.83</v>
      </c>
      <c r="I393" s="706"/>
      <c r="J393" s="707" t="str">
        <f t="shared" si="49"/>
        <v>Robert Half International Inc</v>
      </c>
      <c r="K393" s="708" t="str">
        <f t="shared" si="49"/>
        <v>RHI</v>
      </c>
      <c r="L393" s="709">
        <f t="shared" si="43"/>
        <v>8010.4469128800001</v>
      </c>
      <c r="M393" s="710">
        <f t="shared" si="44"/>
        <v>2.3283218203982124E-2</v>
      </c>
      <c r="N393" s="710">
        <f t="shared" si="45"/>
        <v>-2.9950000000000001E-2</v>
      </c>
      <c r="O393" s="711">
        <f t="shared" si="46"/>
        <v>-7.0154479886225078E-3</v>
      </c>
      <c r="P393" s="712">
        <f t="shared" si="47"/>
        <v>2.5014482250441353E-4</v>
      </c>
      <c r="Q393" s="713">
        <f t="shared" si="48"/>
        <v>-1.7548779919029221E-6</v>
      </c>
    </row>
    <row r="394" spans="1:17">
      <c r="A394" s="3" t="s">
        <v>2231</v>
      </c>
      <c r="B394" s="3" t="s">
        <v>2682</v>
      </c>
      <c r="C394" s="3" t="s">
        <v>2232</v>
      </c>
      <c r="D394" s="3">
        <v>22979544591.5</v>
      </c>
      <c r="E394" s="3">
        <v>1.4506317267197006</v>
      </c>
      <c r="F394" s="3">
        <v>10.3</v>
      </c>
      <c r="G394" s="3">
        <v>215.06359999999998</v>
      </c>
      <c r="H394" s="3">
        <v>106.85</v>
      </c>
      <c r="I394" s="706"/>
      <c r="J394" s="707" t="str">
        <f t="shared" si="49"/>
        <v>Raymond James Financial Inc</v>
      </c>
      <c r="K394" s="708" t="str">
        <f t="shared" si="49"/>
        <v>RJF</v>
      </c>
      <c r="L394" s="709">
        <f t="shared" si="43"/>
        <v>22979.544591499998</v>
      </c>
      <c r="M394" s="710">
        <f t="shared" si="44"/>
        <v>1.4506317267197007E-2</v>
      </c>
      <c r="N394" s="710">
        <f t="shared" si="45"/>
        <v>0.10300000000000001</v>
      </c>
      <c r="O394" s="711">
        <f t="shared" si="46"/>
        <v>0.11825339260645766</v>
      </c>
      <c r="P394" s="712">
        <f t="shared" si="47"/>
        <v>7.1758968826451713E-4</v>
      </c>
      <c r="Q394" s="713">
        <f t="shared" si="48"/>
        <v>8.4857415136689514E-5</v>
      </c>
    </row>
    <row r="395" spans="1:17">
      <c r="A395" s="3" t="s">
        <v>2018</v>
      </c>
      <c r="B395" s="3" t="s">
        <v>2683</v>
      </c>
      <c r="C395" s="3" t="s">
        <v>2019</v>
      </c>
      <c r="D395" s="3">
        <v>6971313123.9699993</v>
      </c>
      <c r="E395" s="3">
        <v>2.8598466925333588</v>
      </c>
      <c r="F395" s="3">
        <v>6.2030000000000003</v>
      </c>
      <c r="G395" s="3">
        <v>41.09122</v>
      </c>
      <c r="H395" s="3">
        <v>105.67</v>
      </c>
      <c r="I395" s="706"/>
      <c r="J395" s="707" t="str">
        <f t="shared" si="49"/>
        <v>Ralph Lauren Corp</v>
      </c>
      <c r="K395" s="708" t="str">
        <f t="shared" si="49"/>
        <v>RL</v>
      </c>
      <c r="L395" s="709">
        <f t="shared" si="43"/>
        <v>6971.3131239699997</v>
      </c>
      <c r="M395" s="710">
        <f t="shared" si="44"/>
        <v>2.8598466925333587E-2</v>
      </c>
      <c r="N395" s="710">
        <f t="shared" si="45"/>
        <v>6.2030000000000002E-2</v>
      </c>
      <c r="O395" s="711">
        <f t="shared" si="46"/>
        <v>9.1515448377022815E-2</v>
      </c>
      <c r="P395" s="712">
        <f t="shared" si="47"/>
        <v>2.1769545482090976E-4</v>
      </c>
      <c r="Q395" s="713">
        <f t="shared" si="48"/>
        <v>1.992249715757547E-5</v>
      </c>
    </row>
    <row r="396" spans="1:17">
      <c r="A396" s="3" t="s">
        <v>2268</v>
      </c>
      <c r="B396" s="3" t="s">
        <v>2684</v>
      </c>
      <c r="C396" s="3" t="s">
        <v>2269</v>
      </c>
      <c r="D396" s="3">
        <v>30487642074.500004</v>
      </c>
      <c r="E396" s="3">
        <v>1.4068130495363476</v>
      </c>
      <c r="F396" s="3">
        <v>20.34</v>
      </c>
      <c r="G396" s="3">
        <v>146.4837</v>
      </c>
      <c r="H396" s="3">
        <v>208.13</v>
      </c>
      <c r="I396" s="706"/>
      <c r="J396" s="707" t="str">
        <f t="shared" si="49"/>
        <v>ResMed Inc</v>
      </c>
      <c r="K396" s="708" t="str">
        <f t="shared" si="49"/>
        <v>RMD</v>
      </c>
      <c r="L396" s="709">
        <f t="shared" si="43"/>
        <v>30487.642074500003</v>
      </c>
      <c r="M396" s="710">
        <f t="shared" si="44"/>
        <v>1.4068130495363476E-2</v>
      </c>
      <c r="N396" s="710">
        <f t="shared" si="45"/>
        <v>0.2034</v>
      </c>
      <c r="O396" s="711">
        <f t="shared" si="46"/>
        <v>0.21889885936674194</v>
      </c>
      <c r="P396" s="712">
        <f t="shared" si="47"/>
        <v>9.5204748227486796E-4</v>
      </c>
      <c r="Q396" s="713">
        <f t="shared" si="48"/>
        <v>2.0840210793294706E-4</v>
      </c>
    </row>
    <row r="397" spans="1:17">
      <c r="A397" s="3" t="s">
        <v>2020</v>
      </c>
      <c r="B397" s="3" t="s">
        <v>2685</v>
      </c>
      <c r="C397" s="3" t="s">
        <v>2021</v>
      </c>
      <c r="D397" s="3">
        <v>29555144219.619999</v>
      </c>
      <c r="E397" s="3">
        <v>1.8461000892961137</v>
      </c>
      <c r="F397" s="3">
        <v>8.9329999999999998</v>
      </c>
      <c r="G397" s="3">
        <v>114.7461</v>
      </c>
      <c r="H397" s="3">
        <v>257.57</v>
      </c>
      <c r="I397" s="706"/>
      <c r="J397" s="707" t="str">
        <f t="shared" si="49"/>
        <v>Rockwell Automation Inc</v>
      </c>
      <c r="K397" s="708" t="str">
        <f t="shared" si="49"/>
        <v>ROK</v>
      </c>
      <c r="L397" s="709">
        <f t="shared" si="43"/>
        <v>29555.144219620001</v>
      </c>
      <c r="M397" s="710">
        <f t="shared" si="44"/>
        <v>1.8461000892961137E-2</v>
      </c>
      <c r="N397" s="710">
        <f t="shared" si="45"/>
        <v>8.9329999999999993E-2</v>
      </c>
      <c r="O397" s="711">
        <f t="shared" si="46"/>
        <v>0.10861556149784524</v>
      </c>
      <c r="P397" s="712">
        <f t="shared" si="47"/>
        <v>9.2292806947161395E-4</v>
      </c>
      <c r="Q397" s="713">
        <f t="shared" si="48"/>
        <v>1.0024435048778167E-4</v>
      </c>
    </row>
    <row r="398" spans="1:17">
      <c r="A398" s="3" t="s">
        <v>2686</v>
      </c>
      <c r="B398" s="3" t="s">
        <v>2687</v>
      </c>
      <c r="C398" s="3" t="s">
        <v>2688</v>
      </c>
      <c r="D398" s="3">
        <v>17994942811.439999</v>
      </c>
      <c r="E398" s="3">
        <v>1.1412151067323479</v>
      </c>
      <c r="F398" s="3">
        <v>9</v>
      </c>
      <c r="G398" s="3">
        <v>492.47239999999999</v>
      </c>
      <c r="H398" s="3">
        <v>36.54</v>
      </c>
      <c r="I398" s="706"/>
      <c r="J398" s="707" t="str">
        <f t="shared" si="49"/>
        <v>Rollins Inc</v>
      </c>
      <c r="K398" s="708" t="str">
        <f t="shared" si="49"/>
        <v>ROL</v>
      </c>
      <c r="L398" s="709">
        <f t="shared" si="43"/>
        <v>17994.94281144</v>
      </c>
      <c r="M398" s="710">
        <f t="shared" si="44"/>
        <v>1.1412151067323479E-2</v>
      </c>
      <c r="N398" s="710">
        <f t="shared" si="45"/>
        <v>0.09</v>
      </c>
      <c r="O398" s="711">
        <f t="shared" si="46"/>
        <v>0.10192569786535303</v>
      </c>
      <c r="P398" s="712">
        <f t="shared" si="47"/>
        <v>5.6193391261441636E-4</v>
      </c>
      <c r="Q398" s="713">
        <f t="shared" si="48"/>
        <v>5.7275506197432694E-5</v>
      </c>
    </row>
    <row r="399" spans="1:17">
      <c r="A399" s="3" t="s">
        <v>2022</v>
      </c>
      <c r="B399" s="3" t="s">
        <v>2689</v>
      </c>
      <c r="C399" s="3" t="s">
        <v>2023</v>
      </c>
      <c r="D399" s="3">
        <v>45824032012.860001</v>
      </c>
      <c r="E399" s="3">
        <v>0.5753430998171678</v>
      </c>
      <c r="F399" s="3">
        <v>2.5</v>
      </c>
      <c r="G399" s="3">
        <v>106.0521</v>
      </c>
      <c r="H399" s="3">
        <v>432.09</v>
      </c>
      <c r="I399" s="706"/>
      <c r="J399" s="707" t="str">
        <f t="shared" si="49"/>
        <v>Roper Technologies Inc</v>
      </c>
      <c r="K399" s="708" t="str">
        <f t="shared" si="49"/>
        <v>ROP</v>
      </c>
      <c r="L399" s="709">
        <f t="shared" si="43"/>
        <v>45824.03201286</v>
      </c>
      <c r="M399" s="710">
        <f t="shared" si="44"/>
        <v>5.7534309981716776E-3</v>
      </c>
      <c r="N399" s="710">
        <f t="shared" si="45"/>
        <v>2.5000000000000001E-2</v>
      </c>
      <c r="O399" s="711">
        <f t="shared" si="46"/>
        <v>3.0825348885648824E-2</v>
      </c>
      <c r="P399" s="712">
        <f t="shared" si="47"/>
        <v>1.4309619024954325E-3</v>
      </c>
      <c r="Q399" s="713">
        <f t="shared" si="48"/>
        <v>4.4109899886493502E-5</v>
      </c>
    </row>
    <row r="400" spans="1:17">
      <c r="A400" s="3" t="s">
        <v>2024</v>
      </c>
      <c r="B400" s="3" t="s">
        <v>2690</v>
      </c>
      <c r="C400" s="3" t="s">
        <v>2025</v>
      </c>
      <c r="D400" s="3">
        <v>39971143014.629997</v>
      </c>
      <c r="E400" s="3">
        <v>1.0760747824588612</v>
      </c>
      <c r="F400" s="3">
        <v>10</v>
      </c>
      <c r="G400" s="3">
        <v>344.37099999999998</v>
      </c>
      <c r="H400" s="3">
        <v>116.07</v>
      </c>
      <c r="I400" s="706"/>
      <c r="J400" s="707" t="str">
        <f t="shared" si="49"/>
        <v>Ross Stores Inc</v>
      </c>
      <c r="K400" s="708" t="str">
        <f t="shared" si="49"/>
        <v>ROST</v>
      </c>
      <c r="L400" s="709">
        <f t="shared" si="43"/>
        <v>39971.143014629997</v>
      </c>
      <c r="M400" s="710">
        <f t="shared" si="44"/>
        <v>1.0760747824588612E-2</v>
      </c>
      <c r="N400" s="710">
        <f t="shared" si="45"/>
        <v>0.1</v>
      </c>
      <c r="O400" s="711">
        <f t="shared" si="46"/>
        <v>0.11129878521581804</v>
      </c>
      <c r="P400" s="712">
        <f t="shared" si="47"/>
        <v>1.2481918404098576E-3</v>
      </c>
      <c r="Q400" s="713">
        <f t="shared" si="48"/>
        <v>1.3892223555391338E-4</v>
      </c>
    </row>
    <row r="401" spans="1:17">
      <c r="A401" s="3" t="s">
        <v>2026</v>
      </c>
      <c r="B401" s="3" t="s">
        <v>2691</v>
      </c>
      <c r="C401" s="3" t="s">
        <v>2027</v>
      </c>
      <c r="D401" s="3">
        <v>40760960734.640007</v>
      </c>
      <c r="E401" s="3">
        <v>1.4706566400496162</v>
      </c>
      <c r="F401" s="3">
        <v>12.67</v>
      </c>
      <c r="G401" s="3">
        <v>316.0009</v>
      </c>
      <c r="H401" s="3">
        <v>128.99</v>
      </c>
      <c r="I401" s="706"/>
      <c r="J401" s="707" t="str">
        <f t="shared" si="49"/>
        <v>Republic Services Inc</v>
      </c>
      <c r="K401" s="708" t="str">
        <f t="shared" si="49"/>
        <v>RSG</v>
      </c>
      <c r="L401" s="709">
        <f t="shared" si="43"/>
        <v>40760.960734640008</v>
      </c>
      <c r="M401" s="710">
        <f t="shared" si="44"/>
        <v>1.4706566400496161E-2</v>
      </c>
      <c r="N401" s="710">
        <f t="shared" si="45"/>
        <v>0.12670000000000001</v>
      </c>
      <c r="O401" s="711">
        <f t="shared" si="46"/>
        <v>0.14233822738196761</v>
      </c>
      <c r="P401" s="712">
        <f t="shared" si="47"/>
        <v>1.2728557343887408E-3</v>
      </c>
      <c r="Q401" s="713">
        <f t="shared" si="48"/>
        <v>1.8117602894586596E-4</v>
      </c>
    </row>
    <row r="402" spans="1:17">
      <c r="A402" s="3" t="s">
        <v>3008</v>
      </c>
      <c r="B402" s="3" t="s">
        <v>3009</v>
      </c>
      <c r="C402" s="3" t="s">
        <v>3010</v>
      </c>
      <c r="D402" s="3">
        <v>148358533413</v>
      </c>
      <c r="E402" s="3">
        <v>2.1353547364248913</v>
      </c>
      <c r="F402" s="3">
        <v>10.01</v>
      </c>
      <c r="G402" s="3">
        <v>1470.0609999999999</v>
      </c>
      <c r="H402" s="3">
        <v>100.92</v>
      </c>
      <c r="I402" s="706"/>
      <c r="J402" s="707" t="str">
        <f t="shared" si="49"/>
        <v>Raytheon Technologies Corp</v>
      </c>
      <c r="K402" s="708" t="str">
        <f t="shared" si="49"/>
        <v>RTX</v>
      </c>
      <c r="L402" s="709">
        <f t="shared" si="43"/>
        <v>148358.533413</v>
      </c>
      <c r="M402" s="710">
        <f t="shared" si="44"/>
        <v>2.1353547364248913E-2</v>
      </c>
      <c r="N402" s="710">
        <f t="shared" si="45"/>
        <v>0.10009999999999999</v>
      </c>
      <c r="O402" s="711">
        <f t="shared" si="46"/>
        <v>0.12252229240982956</v>
      </c>
      <c r="P402" s="712">
        <f t="shared" si="47"/>
        <v>4.632840016446399E-3</v>
      </c>
      <c r="Q402" s="713">
        <f t="shared" si="48"/>
        <v>5.6762617918300535E-4</v>
      </c>
    </row>
    <row r="403" spans="1:17">
      <c r="A403" s="3" t="s">
        <v>2290</v>
      </c>
      <c r="B403" s="3" t="s">
        <v>2692</v>
      </c>
      <c r="C403" s="3" t="s">
        <v>2291</v>
      </c>
      <c r="D403" s="3">
        <v>30263819956.779999</v>
      </c>
      <c r="E403" s="3">
        <v>1.0120937533445116</v>
      </c>
      <c r="F403" s="3">
        <v>8</v>
      </c>
      <c r="G403" s="3">
        <v>107.96549999999999</v>
      </c>
      <c r="H403" s="3">
        <v>280.31</v>
      </c>
      <c r="I403" s="706"/>
      <c r="J403" s="707" t="str">
        <f t="shared" si="49"/>
        <v>SBA Communications Corp</v>
      </c>
      <c r="K403" s="708" t="str">
        <f t="shared" si="49"/>
        <v>SBAC</v>
      </c>
      <c r="L403" s="709">
        <f t="shared" si="43"/>
        <v>30263.81995678</v>
      </c>
      <c r="M403" s="710">
        <f t="shared" si="44"/>
        <v>1.0120937533445116E-2</v>
      </c>
      <c r="N403" s="710">
        <f t="shared" si="45"/>
        <v>0.08</v>
      </c>
      <c r="O403" s="711">
        <f t="shared" si="46"/>
        <v>9.0525775034782929E-2</v>
      </c>
      <c r="P403" s="712">
        <f t="shared" si="47"/>
        <v>9.4505811644814879E-4</v>
      </c>
      <c r="Q403" s="713">
        <f t="shared" si="48"/>
        <v>8.5552118444380806E-5</v>
      </c>
    </row>
    <row r="404" spans="1:17">
      <c r="A404" s="3" t="s">
        <v>4327</v>
      </c>
      <c r="B404" s="3" t="s">
        <v>4328</v>
      </c>
      <c r="C404" s="3" t="s">
        <v>4329</v>
      </c>
      <c r="D404" s="3">
        <v>7250486501.7200003</v>
      </c>
      <c r="E404" s="3">
        <v>1.9441069258809238</v>
      </c>
      <c r="F404" s="3">
        <v>12.25</v>
      </c>
      <c r="G404" s="3">
        <v>62.927329999999998</v>
      </c>
      <c r="H404" s="3">
        <v>115.22</v>
      </c>
      <c r="I404" s="706"/>
      <c r="J404" s="707" t="str">
        <f t="shared" si="49"/>
        <v>Signature Bank/New York NY</v>
      </c>
      <c r="K404" s="708" t="str">
        <f t="shared" si="49"/>
        <v>SBNY</v>
      </c>
      <c r="L404" s="709">
        <f t="shared" si="43"/>
        <v>7250.48650172</v>
      </c>
      <c r="M404" s="710">
        <f t="shared" si="44"/>
        <v>1.944106925880924E-2</v>
      </c>
      <c r="N404" s="710">
        <f t="shared" si="45"/>
        <v>0.1225</v>
      </c>
      <c r="O404" s="711">
        <f t="shared" si="46"/>
        <v>0.14313183475091129</v>
      </c>
      <c r="P404" s="712">
        <f t="shared" si="47"/>
        <v>2.2641329238786819E-4</v>
      </c>
      <c r="Q404" s="713">
        <f t="shared" si="48"/>
        <v>3.2406949951470114E-5</v>
      </c>
    </row>
    <row r="405" spans="1:17">
      <c r="A405" s="3" t="s">
        <v>2028</v>
      </c>
      <c r="B405" s="3" t="s">
        <v>2693</v>
      </c>
      <c r="C405" s="3" t="s">
        <v>2029</v>
      </c>
      <c r="D405" s="3">
        <v>113861760000</v>
      </c>
      <c r="E405" s="3">
        <v>2.1673387096774195</v>
      </c>
      <c r="F405" s="3">
        <v>13.4</v>
      </c>
      <c r="G405" s="3">
        <v>1147.8</v>
      </c>
      <c r="H405" s="3">
        <v>99.2</v>
      </c>
      <c r="I405" s="706"/>
      <c r="J405" s="707" t="str">
        <f t="shared" si="49"/>
        <v>Starbucks Corp</v>
      </c>
      <c r="K405" s="708" t="str">
        <f t="shared" si="49"/>
        <v>SBUX</v>
      </c>
      <c r="L405" s="709">
        <f t="shared" si="43"/>
        <v>113861.75999999999</v>
      </c>
      <c r="M405" s="710">
        <f t="shared" si="44"/>
        <v>2.1673387096774195E-2</v>
      </c>
      <c r="N405" s="710">
        <f t="shared" si="45"/>
        <v>0.13400000000000001</v>
      </c>
      <c r="O405" s="711">
        <f t="shared" si="46"/>
        <v>0.15712550403225808</v>
      </c>
      <c r="P405" s="712">
        <f t="shared" si="47"/>
        <v>3.5555980902194141E-3</v>
      </c>
      <c r="Q405" s="713">
        <f t="shared" si="48"/>
        <v>5.5867514206185969E-4</v>
      </c>
    </row>
    <row r="406" spans="1:17">
      <c r="A406" s="3" t="s">
        <v>2030</v>
      </c>
      <c r="B406" s="3" t="s">
        <v>2694</v>
      </c>
      <c r="C406" s="3" t="s">
        <v>2031</v>
      </c>
      <c r="D406" s="3">
        <v>155424720112.72</v>
      </c>
      <c r="E406" s="3">
        <v>1.0064857074225317</v>
      </c>
      <c r="F406" s="3">
        <v>22.62</v>
      </c>
      <c r="G406" s="3">
        <v>1815.846</v>
      </c>
      <c r="H406" s="3">
        <v>83.26</v>
      </c>
      <c r="I406" s="706"/>
      <c r="J406" s="707" t="str">
        <f t="shared" si="49"/>
        <v>Charles Schwab Corp/The</v>
      </c>
      <c r="K406" s="708" t="str">
        <f t="shared" si="49"/>
        <v>SCHW</v>
      </c>
      <c r="L406" s="709">
        <f t="shared" si="43"/>
        <v>155424.72011272001</v>
      </c>
      <c r="M406" s="710">
        <f t="shared" si="44"/>
        <v>1.0064857074225317E-2</v>
      </c>
      <c r="N406" s="710">
        <f t="shared" si="45"/>
        <v>0.22620000000000001</v>
      </c>
      <c r="O406" s="711">
        <f t="shared" si="46"/>
        <v>0.2374031924093202</v>
      </c>
      <c r="P406" s="712">
        <f t="shared" si="47"/>
        <v>4.8534981191725324E-3</v>
      </c>
      <c r="Q406" s="713">
        <f t="shared" si="48"/>
        <v>1.1522359478441904E-3</v>
      </c>
    </row>
    <row r="407" spans="1:17">
      <c r="A407" s="3" t="s">
        <v>4330</v>
      </c>
      <c r="B407" s="3" t="s">
        <v>4331</v>
      </c>
      <c r="C407" s="3" t="s">
        <v>4332</v>
      </c>
      <c r="D407" s="3">
        <v>15833341241.249998</v>
      </c>
      <c r="E407" s="3">
        <v>0</v>
      </c>
      <c r="F407" s="3">
        <v>32.46</v>
      </c>
      <c r="G407" s="3">
        <v>55.894880000000001</v>
      </c>
      <c r="H407" s="3">
        <v>283.27</v>
      </c>
      <c r="I407" s="706"/>
      <c r="J407" s="707" t="str">
        <f t="shared" si="49"/>
        <v>SolarEdge Technologies Inc</v>
      </c>
      <c r="K407" s="708" t="str">
        <f t="shared" si="49"/>
        <v>SEDG</v>
      </c>
      <c r="L407" s="709">
        <f t="shared" si="43"/>
        <v>15833.341241249998</v>
      </c>
      <c r="M407" s="710">
        <f t="shared" si="44"/>
        <v>0</v>
      </c>
      <c r="N407" s="710">
        <f t="shared" si="45"/>
        <v>0.3246</v>
      </c>
      <c r="O407" s="711">
        <f t="shared" si="46"/>
        <v>0.3246</v>
      </c>
      <c r="P407" s="712">
        <f t="shared" si="47"/>
        <v>4.9443287965319333E-4</v>
      </c>
      <c r="Q407" s="713">
        <f t="shared" si="48"/>
        <v>1.6049291273542655E-4</v>
      </c>
    </row>
    <row r="408" spans="1:17">
      <c r="A408" s="3" t="s">
        <v>2032</v>
      </c>
      <c r="B408" s="3" t="s">
        <v>2695</v>
      </c>
      <c r="C408" s="3" t="s">
        <v>2033</v>
      </c>
      <c r="D408" s="3">
        <v>7215517197.3599997</v>
      </c>
      <c r="E408" s="3">
        <v>1.6058540497193265</v>
      </c>
      <c r="F408" s="3">
        <v>6.17</v>
      </c>
      <c r="G408" s="3">
        <v>144.6575</v>
      </c>
      <c r="H408" s="3">
        <v>49.88</v>
      </c>
      <c r="I408" s="706"/>
      <c r="J408" s="707" t="str">
        <f t="shared" si="49"/>
        <v>Sealed Air Corp</v>
      </c>
      <c r="K408" s="708" t="str">
        <f t="shared" si="49"/>
        <v>SEE</v>
      </c>
      <c r="L408" s="709">
        <f t="shared" si="43"/>
        <v>7215.51719736</v>
      </c>
      <c r="M408" s="710">
        <f t="shared" si="44"/>
        <v>1.6058540497193265E-2</v>
      </c>
      <c r="N408" s="710">
        <f t="shared" si="45"/>
        <v>6.1699999999999998E-2</v>
      </c>
      <c r="O408" s="711">
        <f t="shared" si="46"/>
        <v>7.825394647153168E-2</v>
      </c>
      <c r="P408" s="712">
        <f t="shared" si="47"/>
        <v>2.2532129458457834E-4</v>
      </c>
      <c r="Q408" s="713">
        <f t="shared" si="48"/>
        <v>1.7632280525317815E-5</v>
      </c>
    </row>
    <row r="409" spans="1:17">
      <c r="A409" s="3" t="s">
        <v>2034</v>
      </c>
      <c r="B409" s="3" t="s">
        <v>2696</v>
      </c>
      <c r="C409" s="3" t="s">
        <v>186</v>
      </c>
      <c r="D409" s="3">
        <v>61502506919.279999</v>
      </c>
      <c r="E409" s="3">
        <v>1.0066152614503014</v>
      </c>
      <c r="F409" s="3">
        <v>12.605</v>
      </c>
      <c r="G409" s="3">
        <v>259.14339999999999</v>
      </c>
      <c r="H409" s="3">
        <v>237.33</v>
      </c>
      <c r="I409" s="706"/>
      <c r="J409" s="707" t="str">
        <f t="shared" si="49"/>
        <v>Sherwin-Williams Co/The</v>
      </c>
      <c r="K409" s="708" t="str">
        <f t="shared" si="49"/>
        <v>SHW</v>
      </c>
      <c r="L409" s="709">
        <f t="shared" si="43"/>
        <v>61502.50691928</v>
      </c>
      <c r="M409" s="710">
        <f t="shared" si="44"/>
        <v>1.0066152614503015E-2</v>
      </c>
      <c r="N409" s="710">
        <f t="shared" si="45"/>
        <v>0.12605</v>
      </c>
      <c r="O409" s="711">
        <f t="shared" si="46"/>
        <v>0.13675057188303205</v>
      </c>
      <c r="P409" s="712">
        <f t="shared" si="47"/>
        <v>1.9205587209076892E-3</v>
      </c>
      <c r="Q409" s="713">
        <f t="shared" si="48"/>
        <v>2.6263750341907105E-4</v>
      </c>
    </row>
    <row r="410" spans="1:17">
      <c r="A410" s="3" t="s">
        <v>2313</v>
      </c>
      <c r="B410" s="3" t="s">
        <v>2697</v>
      </c>
      <c r="C410" s="3" t="s">
        <v>2314</v>
      </c>
      <c r="D410" s="3">
        <v>13602223097.359999</v>
      </c>
      <c r="E410" s="3" t="s">
        <v>1483</v>
      </c>
      <c r="F410" s="3">
        <v>7</v>
      </c>
      <c r="G410" s="3">
        <v>59.104119999999995</v>
      </c>
      <c r="H410" s="3">
        <v>230.14</v>
      </c>
      <c r="I410" s="706"/>
      <c r="J410" s="707" t="str">
        <f t="shared" si="49"/>
        <v>SVB Financial Group</v>
      </c>
      <c r="K410" s="708" t="str">
        <f t="shared" si="49"/>
        <v>SIVB</v>
      </c>
      <c r="L410" s="709">
        <f t="shared" si="43"/>
        <v>13602.223097359998</v>
      </c>
      <c r="M410" s="710" t="str">
        <f t="shared" si="44"/>
        <v>0.00%</v>
      </c>
      <c r="N410" s="710">
        <f t="shared" si="45"/>
        <v>7.0000000000000007E-2</v>
      </c>
      <c r="O410" s="711">
        <f t="shared" si="46"/>
        <v>7.0000000000000007E-2</v>
      </c>
      <c r="P410" s="712">
        <f t="shared" si="47"/>
        <v>4.2476103010977183E-4</v>
      </c>
      <c r="Q410" s="713">
        <f t="shared" si="48"/>
        <v>2.9733272107684033E-5</v>
      </c>
    </row>
    <row r="411" spans="1:17">
      <c r="A411" s="3" t="s">
        <v>2035</v>
      </c>
      <c r="B411" s="3" t="s">
        <v>3033</v>
      </c>
      <c r="C411" s="3" t="s">
        <v>2036</v>
      </c>
      <c r="D411" s="3">
        <v>16898017683.059999</v>
      </c>
      <c r="E411" s="3">
        <v>2.5672093903824313</v>
      </c>
      <c r="F411" s="3">
        <v>3.3000000000000003</v>
      </c>
      <c r="G411" s="3">
        <v>106.639</v>
      </c>
      <c r="H411" s="3">
        <v>158.46</v>
      </c>
      <c r="I411" s="706"/>
      <c r="J411" s="707" t="str">
        <f t="shared" si="49"/>
        <v>J M Smucker Co/The</v>
      </c>
      <c r="K411" s="708" t="str">
        <f t="shared" si="49"/>
        <v>SJM</v>
      </c>
      <c r="L411" s="709">
        <f t="shared" si="43"/>
        <v>16898.017683059999</v>
      </c>
      <c r="M411" s="710">
        <f t="shared" si="44"/>
        <v>2.5672093903824314E-2</v>
      </c>
      <c r="N411" s="710">
        <f t="shared" si="45"/>
        <v>3.3000000000000002E-2</v>
      </c>
      <c r="O411" s="711">
        <f t="shared" si="46"/>
        <v>5.9095683453237416E-2</v>
      </c>
      <c r="P411" s="712">
        <f t="shared" si="47"/>
        <v>5.2767987603899696E-4</v>
      </c>
      <c r="Q411" s="713">
        <f t="shared" si="48"/>
        <v>3.118360291904412E-5</v>
      </c>
    </row>
    <row r="412" spans="1:17">
      <c r="A412" s="3" t="s">
        <v>2037</v>
      </c>
      <c r="B412" s="3" t="s">
        <v>4552</v>
      </c>
      <c r="C412" s="3" t="s">
        <v>2038</v>
      </c>
      <c r="D412" s="3">
        <v>75805947211.5</v>
      </c>
      <c r="E412" s="3">
        <v>1.1859334081556303</v>
      </c>
      <c r="F412" s="3">
        <v>32.575000000000003</v>
      </c>
      <c r="G412" s="3">
        <v>1417.9939999999999</v>
      </c>
      <c r="H412" s="3">
        <v>53.46</v>
      </c>
      <c r="I412" s="706"/>
      <c r="J412" s="707" t="str">
        <f t="shared" si="49"/>
        <v>Schlumberger Ltd</v>
      </c>
      <c r="K412" s="708" t="str">
        <f t="shared" si="49"/>
        <v>SLB</v>
      </c>
      <c r="L412" s="709">
        <f t="shared" si="43"/>
        <v>75805.947211499995</v>
      </c>
      <c r="M412" s="710">
        <f t="shared" si="44"/>
        <v>1.1859334081556303E-2</v>
      </c>
      <c r="N412" s="710">
        <f t="shared" si="45"/>
        <v>0.32575000000000004</v>
      </c>
      <c r="O412" s="711">
        <f t="shared" si="46"/>
        <v>0.33954092312008982</v>
      </c>
      <c r="P412" s="712">
        <f t="shared" si="47"/>
        <v>2.3672168876757494E-3</v>
      </c>
      <c r="Q412" s="713">
        <f t="shared" si="48"/>
        <v>8.0376700726688993E-4</v>
      </c>
    </row>
    <row r="413" spans="1:17">
      <c r="A413" s="3" t="s">
        <v>2039</v>
      </c>
      <c r="B413" s="3" t="s">
        <v>2698</v>
      </c>
      <c r="C413" s="3" t="s">
        <v>2040</v>
      </c>
      <c r="D413" s="3">
        <v>12145303465.110001</v>
      </c>
      <c r="E413" s="3">
        <v>2.529651188235809</v>
      </c>
      <c r="F413" s="3">
        <v>6.41</v>
      </c>
      <c r="G413" s="3">
        <v>53.154640000000001</v>
      </c>
      <c r="H413" s="3">
        <v>228.49</v>
      </c>
      <c r="I413" s="706"/>
      <c r="J413" s="707" t="str">
        <f t="shared" si="49"/>
        <v>Snap-on Inc</v>
      </c>
      <c r="K413" s="708" t="str">
        <f t="shared" si="49"/>
        <v>SNA</v>
      </c>
      <c r="L413" s="709">
        <f t="shared" si="43"/>
        <v>12145.303465110001</v>
      </c>
      <c r="M413" s="710">
        <f t="shared" si="44"/>
        <v>2.529651188235809E-2</v>
      </c>
      <c r="N413" s="710">
        <f t="shared" si="45"/>
        <v>6.4100000000000004E-2</v>
      </c>
      <c r="O413" s="711">
        <f t="shared" si="46"/>
        <v>9.020726508818766E-2</v>
      </c>
      <c r="P413" s="712">
        <f t="shared" si="47"/>
        <v>3.7926532846216637E-4</v>
      </c>
      <c r="Q413" s="713">
        <f t="shared" si="48"/>
        <v>3.4212488023345209E-5</v>
      </c>
    </row>
    <row r="414" spans="1:17">
      <c r="A414" s="3" t="s">
        <v>2233</v>
      </c>
      <c r="B414" s="3" t="s">
        <v>2699</v>
      </c>
      <c r="C414" s="3" t="s">
        <v>2234</v>
      </c>
      <c r="D414" s="3">
        <v>48665285872.260002</v>
      </c>
      <c r="E414" s="3" t="s">
        <v>1483</v>
      </c>
      <c r="F414" s="3">
        <v>18.305</v>
      </c>
      <c r="G414" s="3">
        <v>152.41719999999998</v>
      </c>
      <c r="H414" s="3">
        <v>319.29000000000002</v>
      </c>
      <c r="I414" s="706"/>
      <c r="J414" s="707" t="str">
        <f t="shared" si="49"/>
        <v>Synopsys Inc</v>
      </c>
      <c r="K414" s="708" t="str">
        <f t="shared" si="49"/>
        <v>SNPS</v>
      </c>
      <c r="L414" s="709">
        <f t="shared" si="43"/>
        <v>48665.285872259999</v>
      </c>
      <c r="M414" s="710" t="str">
        <f t="shared" si="44"/>
        <v>0.00%</v>
      </c>
      <c r="N414" s="710">
        <f t="shared" si="45"/>
        <v>0.18304999999999999</v>
      </c>
      <c r="O414" s="711">
        <f t="shared" si="46"/>
        <v>0.18304999999999999</v>
      </c>
      <c r="P414" s="712">
        <f t="shared" si="47"/>
        <v>1.5196866578154906E-3</v>
      </c>
      <c r="Q414" s="713">
        <f t="shared" si="48"/>
        <v>2.7817864271312552E-4</v>
      </c>
    </row>
    <row r="415" spans="1:17">
      <c r="A415" s="3" t="s">
        <v>2041</v>
      </c>
      <c r="B415" s="3" t="s">
        <v>2700</v>
      </c>
      <c r="C415" s="3" t="s">
        <v>204</v>
      </c>
      <c r="D415" s="3">
        <v>77742126647.479996</v>
      </c>
      <c r="E415" s="3">
        <v>3.7837837837837838</v>
      </c>
      <c r="F415" s="3">
        <v>5.0330000000000004</v>
      </c>
      <c r="G415" s="3">
        <v>1088.673</v>
      </c>
      <c r="H415" s="3">
        <v>71.41</v>
      </c>
      <c r="I415" s="706"/>
      <c r="J415" s="707" t="str">
        <f t="shared" si="49"/>
        <v>Southern Co/The</v>
      </c>
      <c r="K415" s="708" t="str">
        <f t="shared" si="49"/>
        <v>SO</v>
      </c>
      <c r="L415" s="709">
        <f t="shared" si="43"/>
        <v>77742.126647479992</v>
      </c>
      <c r="M415" s="710">
        <f t="shared" si="44"/>
        <v>3.783783783783784E-2</v>
      </c>
      <c r="N415" s="710">
        <f t="shared" si="45"/>
        <v>5.0330000000000007E-2</v>
      </c>
      <c r="O415" s="711">
        <f t="shared" si="46"/>
        <v>8.9120027027027038E-2</v>
      </c>
      <c r="P415" s="712">
        <f t="shared" si="47"/>
        <v>2.4276785905766405E-3</v>
      </c>
      <c r="Q415" s="713">
        <f t="shared" si="48"/>
        <v>2.1635478160512511E-4</v>
      </c>
    </row>
    <row r="416" spans="1:17">
      <c r="A416" s="3" t="s">
        <v>2042</v>
      </c>
      <c r="B416" s="3" t="s">
        <v>2701</v>
      </c>
      <c r="C416" s="3" t="s">
        <v>2043</v>
      </c>
      <c r="D416" s="3">
        <v>38410531366.68</v>
      </c>
      <c r="E416" s="3">
        <v>5.9286687095675861</v>
      </c>
      <c r="F416" s="3">
        <v>3.8000000000000003</v>
      </c>
      <c r="G416" s="3">
        <v>326.94579999999996</v>
      </c>
      <c r="H416" s="3">
        <v>117.48</v>
      </c>
      <c r="I416" s="706"/>
      <c r="J416" s="707" t="str">
        <f t="shared" si="49"/>
        <v>Simon Property Group Inc</v>
      </c>
      <c r="K416" s="708" t="str">
        <f t="shared" si="49"/>
        <v>SPG</v>
      </c>
      <c r="L416" s="709">
        <f t="shared" si="43"/>
        <v>38410.531366679999</v>
      </c>
      <c r="M416" s="710">
        <f t="shared" si="44"/>
        <v>5.9286687095675861E-2</v>
      </c>
      <c r="N416" s="710">
        <f t="shared" si="45"/>
        <v>3.8000000000000006E-2</v>
      </c>
      <c r="O416" s="711">
        <f t="shared" si="46"/>
        <v>9.84131341504937E-2</v>
      </c>
      <c r="P416" s="712">
        <f t="shared" si="47"/>
        <v>1.1994581145740265E-3</v>
      </c>
      <c r="Q416" s="713">
        <f t="shared" si="48"/>
        <v>1.1804243233747191E-4</v>
      </c>
    </row>
    <row r="417" spans="1:17">
      <c r="A417" s="3" t="s">
        <v>2044</v>
      </c>
      <c r="B417" s="3" t="s">
        <v>2702</v>
      </c>
      <c r="C417" s="3" t="s">
        <v>2045</v>
      </c>
      <c r="D417" s="3">
        <v>109123452000</v>
      </c>
      <c r="E417" s="3">
        <v>0.95688780080014335</v>
      </c>
      <c r="F417" s="3" t="s">
        <v>1483</v>
      </c>
      <c r="G417" s="3">
        <v>325.8</v>
      </c>
      <c r="H417" s="3">
        <v>334.94</v>
      </c>
      <c r="I417" s="706"/>
      <c r="J417" s="707" t="str">
        <f t="shared" si="49"/>
        <v>S&amp;P Global Inc</v>
      </c>
      <c r="K417" s="708" t="str">
        <f t="shared" si="49"/>
        <v>SPGI</v>
      </c>
      <c r="L417" s="709">
        <f t="shared" si="43"/>
        <v>109123.452</v>
      </c>
      <c r="M417" s="710">
        <f t="shared" si="44"/>
        <v>9.568878008001434E-3</v>
      </c>
      <c r="N417" s="710" t="str">
        <f t="shared" si="45"/>
        <v>N/A</v>
      </c>
      <c r="O417" s="711" t="str">
        <f t="shared" si="46"/>
        <v>N/A</v>
      </c>
      <c r="P417" s="712" t="str">
        <f t="shared" si="47"/>
        <v>N/A</v>
      </c>
      <c r="Q417" s="713" t="str">
        <f t="shared" si="48"/>
        <v>N/A</v>
      </c>
    </row>
    <row r="418" spans="1:17">
      <c r="A418" s="3" t="s">
        <v>2046</v>
      </c>
      <c r="B418" s="3" t="s">
        <v>2703</v>
      </c>
      <c r="C418" s="3" t="s">
        <v>216</v>
      </c>
      <c r="D418" s="3">
        <v>48577077918.019997</v>
      </c>
      <c r="E418" s="3">
        <v>2.9772227255079593</v>
      </c>
      <c r="F418" s="3" t="s">
        <v>1483</v>
      </c>
      <c r="G418" s="3">
        <v>314.33339999999998</v>
      </c>
      <c r="H418" s="3">
        <v>154.54</v>
      </c>
      <c r="I418" s="706"/>
      <c r="J418" s="707" t="str">
        <f t="shared" si="49"/>
        <v>Sempra Energy</v>
      </c>
      <c r="K418" s="708" t="str">
        <f t="shared" si="49"/>
        <v>SRE</v>
      </c>
      <c r="L418" s="709">
        <f t="shared" si="43"/>
        <v>48577.077918019997</v>
      </c>
      <c r="M418" s="710">
        <f t="shared" si="44"/>
        <v>2.9772227255079595E-2</v>
      </c>
      <c r="N418" s="710" t="str">
        <f t="shared" si="45"/>
        <v>N/A</v>
      </c>
      <c r="O418" s="711" t="str">
        <f t="shared" si="46"/>
        <v>N/A</v>
      </c>
      <c r="P418" s="712" t="str">
        <f t="shared" si="47"/>
        <v>N/A</v>
      </c>
      <c r="Q418" s="713" t="str">
        <f t="shared" si="48"/>
        <v>N/A</v>
      </c>
    </row>
    <row r="419" spans="1:17">
      <c r="A419" s="3" t="s">
        <v>2972</v>
      </c>
      <c r="B419" s="3" t="s">
        <v>2973</v>
      </c>
      <c r="C419" s="3" t="s">
        <v>2974</v>
      </c>
      <c r="D419" s="3">
        <v>18436301189.57</v>
      </c>
      <c r="E419" s="3">
        <v>0.99626400996264008</v>
      </c>
      <c r="F419" s="3" t="s">
        <v>1483</v>
      </c>
      <c r="G419" s="3">
        <v>99.822949999999992</v>
      </c>
      <c r="H419" s="3">
        <v>184.69</v>
      </c>
      <c r="I419" s="706"/>
      <c r="J419" s="707" t="str">
        <f t="shared" si="49"/>
        <v>STERIS PLC</v>
      </c>
      <c r="K419" s="708" t="str">
        <f t="shared" si="49"/>
        <v>STE</v>
      </c>
      <c r="L419" s="709">
        <f t="shared" si="43"/>
        <v>18436.30118957</v>
      </c>
      <c r="M419" s="710">
        <f t="shared" si="44"/>
        <v>9.9626400996264009E-3</v>
      </c>
      <c r="N419" s="710" t="str">
        <f t="shared" si="45"/>
        <v>N/A</v>
      </c>
      <c r="O419" s="711" t="str">
        <f t="shared" si="46"/>
        <v>N/A</v>
      </c>
      <c r="P419" s="712" t="str">
        <f t="shared" si="47"/>
        <v>N/A</v>
      </c>
      <c r="Q419" s="713" t="str">
        <f t="shared" si="48"/>
        <v>N/A</v>
      </c>
    </row>
    <row r="420" spans="1:17">
      <c r="A420" s="3" t="s">
        <v>4553</v>
      </c>
      <c r="B420" s="3" t="s">
        <v>4554</v>
      </c>
      <c r="C420" s="3" t="s">
        <v>4555</v>
      </c>
      <c r="D420" s="3">
        <v>17153326659.300001</v>
      </c>
      <c r="E420" s="3">
        <v>1.3684749232343909</v>
      </c>
      <c r="F420" s="3" t="s">
        <v>1483</v>
      </c>
      <c r="G420" s="3">
        <v>175.57139999999998</v>
      </c>
      <c r="H420" s="3">
        <v>97.7</v>
      </c>
      <c r="I420" s="706"/>
      <c r="J420" s="707" t="str">
        <f t="shared" si="49"/>
        <v>Steel Dynamics Inc</v>
      </c>
      <c r="K420" s="708" t="str">
        <f t="shared" si="49"/>
        <v>STLD</v>
      </c>
      <c r="L420" s="709">
        <f t="shared" si="43"/>
        <v>17153.326659300001</v>
      </c>
      <c r="M420" s="710">
        <f t="shared" si="44"/>
        <v>1.3684749232343909E-2</v>
      </c>
      <c r="N420" s="710" t="str">
        <f t="shared" si="45"/>
        <v>N/A</v>
      </c>
      <c r="O420" s="711" t="str">
        <f t="shared" si="46"/>
        <v>N/A</v>
      </c>
      <c r="P420" s="712" t="str">
        <f t="shared" si="47"/>
        <v>N/A</v>
      </c>
      <c r="Q420" s="713" t="str">
        <f t="shared" si="48"/>
        <v>N/A</v>
      </c>
    </row>
    <row r="421" spans="1:17">
      <c r="A421" s="3" t="s">
        <v>2047</v>
      </c>
      <c r="B421" s="3" t="s">
        <v>2704</v>
      </c>
      <c r="C421" s="3" t="s">
        <v>2048</v>
      </c>
      <c r="D421" s="3">
        <v>28463547202.790001</v>
      </c>
      <c r="E421" s="3">
        <v>3.0926904731210523</v>
      </c>
      <c r="F421" s="3">
        <v>9.1869999999999994</v>
      </c>
      <c r="G421" s="3">
        <v>366.94009999999997</v>
      </c>
      <c r="H421" s="3">
        <v>77.569999999999993</v>
      </c>
      <c r="I421" s="706"/>
      <c r="J421" s="707" t="str">
        <f t="shared" si="49"/>
        <v>State Street Corp</v>
      </c>
      <c r="K421" s="708" t="str">
        <f t="shared" si="49"/>
        <v>STT</v>
      </c>
      <c r="L421" s="709">
        <f t="shared" si="43"/>
        <v>28463.54720279</v>
      </c>
      <c r="M421" s="710">
        <f t="shared" si="44"/>
        <v>3.0926904731210524E-2</v>
      </c>
      <c r="N421" s="710">
        <f t="shared" si="45"/>
        <v>9.1869999999999993E-2</v>
      </c>
      <c r="O421" s="711">
        <f t="shared" si="46"/>
        <v>0.12421753210003868</v>
      </c>
      <c r="P421" s="712">
        <f t="shared" si="47"/>
        <v>8.8884041556278666E-4</v>
      </c>
      <c r="Q421" s="713">
        <f t="shared" si="48"/>
        <v>1.1040956285198216E-4</v>
      </c>
    </row>
    <row r="422" spans="1:17">
      <c r="A422" s="3" t="s">
        <v>2049</v>
      </c>
      <c r="B422" s="3" t="s">
        <v>4008</v>
      </c>
      <c r="C422" s="3" t="s">
        <v>2050</v>
      </c>
      <c r="D422" s="3">
        <v>10861564037.43</v>
      </c>
      <c r="E422" s="3">
        <v>5.3145789773807266</v>
      </c>
      <c r="F422" s="3">
        <v>-2.5630000000000002</v>
      </c>
      <c r="G422" s="3">
        <v>206.45439999999999</v>
      </c>
      <c r="H422" s="3">
        <v>52.61</v>
      </c>
      <c r="I422" s="706"/>
      <c r="J422" s="707" t="str">
        <f t="shared" si="49"/>
        <v>Seagate Technology Holdings PLC</v>
      </c>
      <c r="K422" s="708" t="str">
        <f t="shared" si="49"/>
        <v>STX</v>
      </c>
      <c r="L422" s="709">
        <f t="shared" si="43"/>
        <v>10861.56403743</v>
      </c>
      <c r="M422" s="710">
        <f t="shared" si="44"/>
        <v>5.3145789773807267E-2</v>
      </c>
      <c r="N422" s="710">
        <f t="shared" si="45"/>
        <v>-2.563E-2</v>
      </c>
      <c r="O422" s="711">
        <f t="shared" si="46"/>
        <v>2.6834726477855925E-2</v>
      </c>
      <c r="P422" s="712">
        <f t="shared" si="47"/>
        <v>3.3917758120269683E-4</v>
      </c>
      <c r="Q422" s="713">
        <f t="shared" si="48"/>
        <v>9.1017376189951361E-6</v>
      </c>
    </row>
    <row r="423" spans="1:17">
      <c r="A423" s="3" t="s">
        <v>2051</v>
      </c>
      <c r="B423" s="3" t="s">
        <v>2705</v>
      </c>
      <c r="C423" s="3" t="s">
        <v>2052</v>
      </c>
      <c r="D423" s="3">
        <v>42761963070.000008</v>
      </c>
      <c r="E423" s="3">
        <v>1.3799352750809062</v>
      </c>
      <c r="F423" s="3">
        <v>10.34</v>
      </c>
      <c r="G423" s="3">
        <v>184.4657</v>
      </c>
      <c r="H423" s="3">
        <v>231.75</v>
      </c>
      <c r="I423" s="706"/>
      <c r="J423" s="707" t="str">
        <f t="shared" si="49"/>
        <v>Constellation Brands Inc</v>
      </c>
      <c r="K423" s="708" t="str">
        <f t="shared" si="49"/>
        <v>STZ</v>
      </c>
      <c r="L423" s="709">
        <f t="shared" si="43"/>
        <v>42761.963070000005</v>
      </c>
      <c r="M423" s="710">
        <f t="shared" si="44"/>
        <v>1.3799352750809062E-2</v>
      </c>
      <c r="N423" s="710">
        <f t="shared" si="45"/>
        <v>0.10339999999999999</v>
      </c>
      <c r="O423" s="711">
        <f t="shared" si="46"/>
        <v>0.11791277928802588</v>
      </c>
      <c r="P423" s="712">
        <f t="shared" si="47"/>
        <v>1.335341682982286E-3</v>
      </c>
      <c r="Q423" s="713">
        <f t="shared" si="48"/>
        <v>1.5745384913959132E-4</v>
      </c>
    </row>
    <row r="424" spans="1:17">
      <c r="A424" s="3" t="s">
        <v>2053</v>
      </c>
      <c r="B424" s="3" t="s">
        <v>2706</v>
      </c>
      <c r="C424" s="3" t="s">
        <v>2054</v>
      </c>
      <c r="D424" s="3">
        <v>11113386964.320002</v>
      </c>
      <c r="E424" s="3">
        <v>4.2039403620873266</v>
      </c>
      <c r="F424" s="3">
        <v>-10</v>
      </c>
      <c r="G424" s="3">
        <v>147.9418</v>
      </c>
      <c r="H424" s="3">
        <v>75.12</v>
      </c>
      <c r="I424" s="706"/>
      <c r="J424" s="707" t="str">
        <f t="shared" si="49"/>
        <v>Stanley Black &amp; Decker Inc</v>
      </c>
      <c r="K424" s="708" t="str">
        <f t="shared" si="49"/>
        <v>SWK</v>
      </c>
      <c r="L424" s="709">
        <f t="shared" si="43"/>
        <v>11113.386964320001</v>
      </c>
      <c r="M424" s="710">
        <f t="shared" si="44"/>
        <v>4.2039403620873265E-2</v>
      </c>
      <c r="N424" s="710">
        <f t="shared" si="45"/>
        <v>-0.1</v>
      </c>
      <c r="O424" s="711">
        <f t="shared" si="46"/>
        <v>-6.0062566560170408E-2</v>
      </c>
      <c r="P424" s="712">
        <f t="shared" si="47"/>
        <v>3.4704133737442259E-4</v>
      </c>
      <c r="Q424" s="713">
        <f t="shared" si="48"/>
        <v>-2.0844193425181812E-5</v>
      </c>
    </row>
    <row r="425" spans="1:17">
      <c r="A425" s="3" t="s">
        <v>2055</v>
      </c>
      <c r="B425" s="3" t="s">
        <v>2707</v>
      </c>
      <c r="C425" s="3" t="s">
        <v>2056</v>
      </c>
      <c r="D425" s="3">
        <v>14595477762.320002</v>
      </c>
      <c r="E425" s="3">
        <v>2.6522550203006698</v>
      </c>
      <c r="F425" s="3">
        <v>-1.1300000000000001</v>
      </c>
      <c r="G425" s="3">
        <v>160.1611</v>
      </c>
      <c r="H425" s="3">
        <v>91.13</v>
      </c>
      <c r="I425" s="706"/>
      <c r="J425" s="707" t="str">
        <f t="shared" si="49"/>
        <v>Skyworks Solutions Inc</v>
      </c>
      <c r="K425" s="708" t="str">
        <f t="shared" si="49"/>
        <v>SWKS</v>
      </c>
      <c r="L425" s="709">
        <f t="shared" si="43"/>
        <v>14595.477762320003</v>
      </c>
      <c r="M425" s="710">
        <f t="shared" si="44"/>
        <v>2.6522550203006697E-2</v>
      </c>
      <c r="N425" s="710">
        <f t="shared" si="45"/>
        <v>-1.1300000000000001E-2</v>
      </c>
      <c r="O425" s="711">
        <f t="shared" si="46"/>
        <v>1.5072697794359706E-2</v>
      </c>
      <c r="P425" s="712">
        <f t="shared" si="47"/>
        <v>4.5577771551700002E-4</v>
      </c>
      <c r="Q425" s="713">
        <f t="shared" si="48"/>
        <v>6.8697997673913914E-6</v>
      </c>
    </row>
    <row r="426" spans="1:17">
      <c r="A426" s="3" t="s">
        <v>2057</v>
      </c>
      <c r="B426" s="3" t="s">
        <v>2708</v>
      </c>
      <c r="C426" s="3" t="s">
        <v>2058</v>
      </c>
      <c r="D426" s="3">
        <v>14804791324.079998</v>
      </c>
      <c r="E426" s="3">
        <v>2.7388922702373706</v>
      </c>
      <c r="F426" s="3" t="s">
        <v>1483</v>
      </c>
      <c r="G426" s="3">
        <v>450.54139999999995</v>
      </c>
      <c r="H426" s="3">
        <v>32.86</v>
      </c>
      <c r="I426" s="706"/>
      <c r="J426" s="707" t="str">
        <f t="shared" si="49"/>
        <v>Synchrony Financial</v>
      </c>
      <c r="K426" s="708" t="str">
        <f t="shared" si="49"/>
        <v>SYF</v>
      </c>
      <c r="L426" s="709">
        <f t="shared" si="43"/>
        <v>14804.791324079997</v>
      </c>
      <c r="M426" s="710">
        <f t="shared" si="44"/>
        <v>2.7388922702373707E-2</v>
      </c>
      <c r="N426" s="710" t="str">
        <f t="shared" si="45"/>
        <v>N/A</v>
      </c>
      <c r="O426" s="711" t="str">
        <f t="shared" si="46"/>
        <v>N/A</v>
      </c>
      <c r="P426" s="712" t="str">
        <f t="shared" si="47"/>
        <v>N/A</v>
      </c>
      <c r="Q426" s="713" t="str">
        <f t="shared" si="48"/>
        <v>N/A</v>
      </c>
    </row>
    <row r="427" spans="1:17">
      <c r="A427" s="3" t="s">
        <v>2059</v>
      </c>
      <c r="B427" s="3" t="s">
        <v>2709</v>
      </c>
      <c r="C427" s="3" t="s">
        <v>2060</v>
      </c>
      <c r="D427" s="3">
        <v>92522333341.210007</v>
      </c>
      <c r="E427" s="3">
        <v>1.1117019100985726</v>
      </c>
      <c r="F427" s="3">
        <v>8.245000000000001</v>
      </c>
      <c r="G427" s="3">
        <v>378.42989999999998</v>
      </c>
      <c r="H427" s="3">
        <v>244.49</v>
      </c>
      <c r="I427" s="706"/>
      <c r="J427" s="707" t="str">
        <f t="shared" si="49"/>
        <v>Stryker Corp</v>
      </c>
      <c r="K427" s="708" t="str">
        <f t="shared" si="49"/>
        <v>SYK</v>
      </c>
      <c r="L427" s="709">
        <f t="shared" si="43"/>
        <v>92522.333341210004</v>
      </c>
      <c r="M427" s="710">
        <f t="shared" si="44"/>
        <v>1.1117019100985726E-2</v>
      </c>
      <c r="N427" s="710">
        <f t="shared" si="45"/>
        <v>8.2450000000000009E-2</v>
      </c>
      <c r="O427" s="711">
        <f t="shared" si="46"/>
        <v>9.4025318213423872E-2</v>
      </c>
      <c r="P427" s="712">
        <f t="shared" si="47"/>
        <v>2.8892248963185737E-3</v>
      </c>
      <c r="Q427" s="713">
        <f t="shared" si="48"/>
        <v>2.7166029026650052E-4</v>
      </c>
    </row>
    <row r="428" spans="1:17">
      <c r="A428" s="3" t="s">
        <v>2061</v>
      </c>
      <c r="B428" s="3" t="s">
        <v>2710</v>
      </c>
      <c r="C428" s="3" t="s">
        <v>2062</v>
      </c>
      <c r="D428" s="3">
        <v>38742377362.699997</v>
      </c>
      <c r="E428" s="3">
        <v>2.5990843688685414</v>
      </c>
      <c r="F428" s="3">
        <v>47</v>
      </c>
      <c r="G428" s="3">
        <v>506.76749999999998</v>
      </c>
      <c r="H428" s="3">
        <v>76.45</v>
      </c>
      <c r="I428" s="706"/>
      <c r="J428" s="707" t="str">
        <f t="shared" si="49"/>
        <v>Sysco Corp</v>
      </c>
      <c r="K428" s="708" t="str">
        <f t="shared" si="49"/>
        <v>SYY</v>
      </c>
      <c r="L428" s="709">
        <f t="shared" si="43"/>
        <v>38742.377362699997</v>
      </c>
      <c r="M428" s="710">
        <f t="shared" si="44"/>
        <v>2.5990843688685414E-2</v>
      </c>
      <c r="N428" s="710">
        <f t="shared" si="45"/>
        <v>0.47</v>
      </c>
      <c r="O428" s="711">
        <f t="shared" si="46"/>
        <v>0.50209869195552648</v>
      </c>
      <c r="P428" s="712">
        <f t="shared" si="47"/>
        <v>1.2098207770666462E-3</v>
      </c>
      <c r="Q428" s="713">
        <f t="shared" si="48"/>
        <v>6.0744942966578161E-4</v>
      </c>
    </row>
    <row r="429" spans="1:17">
      <c r="A429" s="3" t="s">
        <v>2063</v>
      </c>
      <c r="B429" s="3" t="s">
        <v>2711</v>
      </c>
      <c r="C429" s="3" t="s">
        <v>2064</v>
      </c>
      <c r="D429" s="3">
        <v>131208070000</v>
      </c>
      <c r="E429" s="3">
        <v>6.6214014122759375</v>
      </c>
      <c r="F429" s="3">
        <v>1.2030000000000001</v>
      </c>
      <c r="G429" s="3">
        <v>7127</v>
      </c>
      <c r="H429" s="3">
        <v>18.41</v>
      </c>
      <c r="I429" s="706"/>
      <c r="J429" s="707" t="str">
        <f t="shared" si="49"/>
        <v>AT&amp;T Inc</v>
      </c>
      <c r="K429" s="708" t="str">
        <f t="shared" si="49"/>
        <v>T</v>
      </c>
      <c r="L429" s="709">
        <f t="shared" si="43"/>
        <v>131208.07</v>
      </c>
      <c r="M429" s="710">
        <f t="shared" si="44"/>
        <v>6.6214014122759374E-2</v>
      </c>
      <c r="N429" s="710">
        <f t="shared" si="45"/>
        <v>1.2030000000000001E-2</v>
      </c>
      <c r="O429" s="711">
        <f t="shared" si="46"/>
        <v>7.8642291417707774E-2</v>
      </c>
      <c r="P429" s="712">
        <f t="shared" si="47"/>
        <v>4.0972769357629397E-3</v>
      </c>
      <c r="Q429" s="713">
        <f t="shared" si="48"/>
        <v>3.2221924680132184E-4</v>
      </c>
    </row>
    <row r="430" spans="1:17">
      <c r="A430" s="3" t="s">
        <v>2065</v>
      </c>
      <c r="B430" s="3" t="s">
        <v>3011</v>
      </c>
      <c r="C430" s="3" t="s">
        <v>2066</v>
      </c>
      <c r="D430" s="3">
        <v>11395960420.880001</v>
      </c>
      <c r="E430" s="3">
        <v>2.8920807453416146</v>
      </c>
      <c r="F430" s="3">
        <v>4.17</v>
      </c>
      <c r="G430" s="3">
        <v>200.14499999999998</v>
      </c>
      <c r="H430" s="3">
        <v>51.52</v>
      </c>
      <c r="I430" s="706"/>
      <c r="J430" s="707" t="str">
        <f t="shared" si="49"/>
        <v>Molson Coors Beverage Co</v>
      </c>
      <c r="K430" s="708" t="str">
        <f t="shared" si="49"/>
        <v>TAP</v>
      </c>
      <c r="L430" s="709">
        <f t="shared" si="43"/>
        <v>11395.960420880001</v>
      </c>
      <c r="M430" s="710">
        <f t="shared" si="44"/>
        <v>2.8920807453416145E-2</v>
      </c>
      <c r="N430" s="710">
        <f t="shared" si="45"/>
        <v>4.1700000000000001E-2</v>
      </c>
      <c r="O430" s="711">
        <f t="shared" si="46"/>
        <v>7.1223806288819871E-2</v>
      </c>
      <c r="P430" s="712">
        <f t="shared" si="47"/>
        <v>3.5586535030458836E-4</v>
      </c>
      <c r="Q430" s="713">
        <f t="shared" si="48"/>
        <v>2.5346084774997028E-5</v>
      </c>
    </row>
    <row r="431" spans="1:17">
      <c r="A431" s="3" t="s">
        <v>2067</v>
      </c>
      <c r="B431" s="3" t="s">
        <v>2712</v>
      </c>
      <c r="C431" s="3" t="s">
        <v>2068</v>
      </c>
      <c r="D431" s="3">
        <v>34236964371.399998</v>
      </c>
      <c r="E431" s="3">
        <v>0</v>
      </c>
      <c r="F431" s="3">
        <v>19.795000000000002</v>
      </c>
      <c r="G431" s="3">
        <v>54.374600000000001</v>
      </c>
      <c r="H431" s="3">
        <v>629.65</v>
      </c>
      <c r="I431" s="706"/>
      <c r="J431" s="707" t="str">
        <f t="shared" si="49"/>
        <v>TransDigm Group Inc</v>
      </c>
      <c r="K431" s="708" t="str">
        <f t="shared" si="49"/>
        <v>TDG</v>
      </c>
      <c r="L431" s="709">
        <f t="shared" si="43"/>
        <v>34236.964371399998</v>
      </c>
      <c r="M431" s="710">
        <f t="shared" si="44"/>
        <v>0</v>
      </c>
      <c r="N431" s="710">
        <f t="shared" si="45"/>
        <v>0.19795000000000001</v>
      </c>
      <c r="O431" s="711">
        <f t="shared" si="46"/>
        <v>0.19795000000000001</v>
      </c>
      <c r="P431" s="712">
        <f t="shared" si="47"/>
        <v>1.0691287850623419E-3</v>
      </c>
      <c r="Q431" s="713">
        <f t="shared" si="48"/>
        <v>2.1163404300309058E-4</v>
      </c>
    </row>
    <row r="432" spans="1:17">
      <c r="A432" s="3" t="s">
        <v>3034</v>
      </c>
      <c r="B432" s="3" t="s">
        <v>3035</v>
      </c>
      <c r="C432" s="3" t="s">
        <v>3036</v>
      </c>
      <c r="D432" s="3">
        <v>18744218801.630001</v>
      </c>
      <c r="E432" s="3" t="s">
        <v>1483</v>
      </c>
      <c r="F432" s="3">
        <v>7.18</v>
      </c>
      <c r="G432" s="3">
        <v>46.871089999999995</v>
      </c>
      <c r="H432" s="3">
        <v>399.91</v>
      </c>
      <c r="I432" s="706"/>
      <c r="J432" s="707" t="str">
        <f t="shared" si="49"/>
        <v>Teledyne Technologies Inc</v>
      </c>
      <c r="K432" s="708" t="str">
        <f t="shared" si="49"/>
        <v>TDY</v>
      </c>
      <c r="L432" s="709">
        <f t="shared" si="43"/>
        <v>18744.218801630002</v>
      </c>
      <c r="M432" s="710" t="str">
        <f t="shared" si="44"/>
        <v>0.00%</v>
      </c>
      <c r="N432" s="710">
        <f t="shared" si="45"/>
        <v>7.1800000000000003E-2</v>
      </c>
      <c r="O432" s="711">
        <f t="shared" si="46"/>
        <v>7.1800000000000003E-2</v>
      </c>
      <c r="P432" s="712">
        <f t="shared" si="47"/>
        <v>5.8533179685375033E-4</v>
      </c>
      <c r="Q432" s="713">
        <f t="shared" si="48"/>
        <v>4.2026823014099275E-5</v>
      </c>
    </row>
    <row r="433" spans="1:17">
      <c r="A433" s="3" t="s">
        <v>4047</v>
      </c>
      <c r="B433" s="3" t="s">
        <v>4048</v>
      </c>
      <c r="C433" s="3" t="s">
        <v>4049</v>
      </c>
      <c r="D433" s="3">
        <v>13009635143.68</v>
      </c>
      <c r="E433" s="3">
        <v>0.45849420849420852</v>
      </c>
      <c r="F433" s="3">
        <v>19</v>
      </c>
      <c r="G433" s="3">
        <v>156.96949999999998</v>
      </c>
      <c r="H433" s="3">
        <v>82.88</v>
      </c>
      <c r="I433" s="706"/>
      <c r="J433" s="707" t="str">
        <f t="shared" si="49"/>
        <v>Bio-Techne Corp</v>
      </c>
      <c r="K433" s="708" t="str">
        <f t="shared" si="49"/>
        <v>TECH</v>
      </c>
      <c r="L433" s="709">
        <f t="shared" si="43"/>
        <v>13009.63514368</v>
      </c>
      <c r="M433" s="710">
        <f t="shared" si="44"/>
        <v>4.5849420849420853E-3</v>
      </c>
      <c r="N433" s="710">
        <f t="shared" si="45"/>
        <v>0.19</v>
      </c>
      <c r="O433" s="711">
        <f t="shared" si="46"/>
        <v>0.19502051158301159</v>
      </c>
      <c r="P433" s="712">
        <f t="shared" si="47"/>
        <v>4.0625609398027909E-4</v>
      </c>
      <c r="Q433" s="713">
        <f t="shared" si="48"/>
        <v>7.9228271281750069E-5</v>
      </c>
    </row>
    <row r="434" spans="1:17">
      <c r="A434" s="3" t="s">
        <v>2069</v>
      </c>
      <c r="B434" s="3" t="s">
        <v>2713</v>
      </c>
      <c r="C434" s="3" t="s">
        <v>2070</v>
      </c>
      <c r="D434" s="3">
        <v>36418068632.400002</v>
      </c>
      <c r="E434" s="3">
        <v>1.8893728222996518</v>
      </c>
      <c r="F434" s="3" t="s">
        <v>1483</v>
      </c>
      <c r="G434" s="3">
        <v>317.23059999999998</v>
      </c>
      <c r="H434" s="3">
        <v>114.8</v>
      </c>
      <c r="I434" s="706"/>
      <c r="J434" s="707" t="str">
        <f t="shared" si="49"/>
        <v>TE Connectivity Ltd</v>
      </c>
      <c r="K434" s="708" t="str">
        <f t="shared" si="49"/>
        <v>TEL</v>
      </c>
      <c r="L434" s="709">
        <f t="shared" si="43"/>
        <v>36418.068632399998</v>
      </c>
      <c r="M434" s="710">
        <f t="shared" si="44"/>
        <v>1.8893728222996519E-2</v>
      </c>
      <c r="N434" s="710" t="str">
        <f t="shared" si="45"/>
        <v>N/A</v>
      </c>
      <c r="O434" s="711" t="str">
        <f t="shared" si="46"/>
        <v>N/A</v>
      </c>
      <c r="P434" s="712" t="str">
        <f t="shared" si="47"/>
        <v>N/A</v>
      </c>
      <c r="Q434" s="713" t="str">
        <f t="shared" si="48"/>
        <v>N/A</v>
      </c>
    </row>
    <row r="435" spans="1:17">
      <c r="A435" s="3" t="s">
        <v>3919</v>
      </c>
      <c r="B435" s="3" t="s">
        <v>3920</v>
      </c>
      <c r="C435" s="3" t="s">
        <v>3921</v>
      </c>
      <c r="D435" s="3">
        <v>13605299353.099998</v>
      </c>
      <c r="E435" s="3">
        <v>0.49570692615912992</v>
      </c>
      <c r="F435" s="3">
        <v>7.5129999999999999</v>
      </c>
      <c r="G435" s="3">
        <v>155.7561</v>
      </c>
      <c r="H435" s="3">
        <v>87.35</v>
      </c>
      <c r="I435" s="706"/>
      <c r="J435" s="707" t="str">
        <f t="shared" si="49"/>
        <v>Teradyne Inc</v>
      </c>
      <c r="K435" s="708" t="str">
        <f t="shared" si="49"/>
        <v>TER</v>
      </c>
      <c r="L435" s="709">
        <f t="shared" si="43"/>
        <v>13605.299353099999</v>
      </c>
      <c r="M435" s="710">
        <f t="shared" si="44"/>
        <v>4.9570692615912995E-3</v>
      </c>
      <c r="N435" s="710">
        <f t="shared" si="45"/>
        <v>7.5130000000000002E-2</v>
      </c>
      <c r="O435" s="711">
        <f t="shared" si="46"/>
        <v>8.0273281568402979E-2</v>
      </c>
      <c r="P435" s="712">
        <f t="shared" si="47"/>
        <v>4.2485709334499829E-4</v>
      </c>
      <c r="Q435" s="713">
        <f t="shared" si="48"/>
        <v>3.4104673080416317E-5</v>
      </c>
    </row>
    <row r="436" spans="1:17">
      <c r="A436" s="3" t="s">
        <v>2975</v>
      </c>
      <c r="B436" s="3" t="s">
        <v>2976</v>
      </c>
      <c r="C436" s="3" t="s">
        <v>2977</v>
      </c>
      <c r="D436" s="3">
        <v>57090753372.639999</v>
      </c>
      <c r="E436" s="3">
        <v>4.6479200557750406</v>
      </c>
      <c r="F436" s="3">
        <v>7.6130000000000004</v>
      </c>
      <c r="G436" s="3">
        <v>1326.7659999999998</v>
      </c>
      <c r="H436" s="3">
        <v>43.03</v>
      </c>
      <c r="I436" s="706"/>
      <c r="J436" s="707" t="str">
        <f t="shared" si="49"/>
        <v>Truist Financial Corp</v>
      </c>
      <c r="K436" s="708" t="str">
        <f t="shared" si="49"/>
        <v>TFC</v>
      </c>
      <c r="L436" s="709">
        <f t="shared" si="43"/>
        <v>57090.75337264</v>
      </c>
      <c r="M436" s="710">
        <f t="shared" si="44"/>
        <v>4.6479200557750407E-2</v>
      </c>
      <c r="N436" s="710">
        <f t="shared" si="45"/>
        <v>7.6130000000000003E-2</v>
      </c>
      <c r="O436" s="711">
        <f t="shared" si="46"/>
        <v>0.12437843132698118</v>
      </c>
      <c r="P436" s="712">
        <f t="shared" si="47"/>
        <v>1.7827914627434739E-3</v>
      </c>
      <c r="Q436" s="713">
        <f t="shared" si="48"/>
        <v>2.2174080551916748E-4</v>
      </c>
    </row>
    <row r="437" spans="1:17">
      <c r="A437" s="3" t="s">
        <v>2714</v>
      </c>
      <c r="B437" s="3" t="s">
        <v>2715</v>
      </c>
      <c r="C437" s="3" t="s">
        <v>2716</v>
      </c>
      <c r="D437" s="3">
        <v>11709253369.050001</v>
      </c>
      <c r="E437" s="3">
        <v>0.54360453471137282</v>
      </c>
      <c r="F437" s="3">
        <v>6.5350000000000001</v>
      </c>
      <c r="G437" s="3">
        <v>46.906439999999996</v>
      </c>
      <c r="H437" s="3">
        <v>249.63</v>
      </c>
      <c r="I437" s="706"/>
      <c r="J437" s="707" t="str">
        <f t="shared" si="49"/>
        <v>Teleflex Inc</v>
      </c>
      <c r="K437" s="708" t="str">
        <f t="shared" si="49"/>
        <v>TFX</v>
      </c>
      <c r="L437" s="709">
        <f t="shared" si="43"/>
        <v>11709.25336905</v>
      </c>
      <c r="M437" s="710">
        <f t="shared" si="44"/>
        <v>5.436045347113728E-3</v>
      </c>
      <c r="N437" s="710">
        <f t="shared" si="45"/>
        <v>6.5350000000000005E-2</v>
      </c>
      <c r="O437" s="711">
        <f t="shared" si="46"/>
        <v>7.0963668128830676E-2</v>
      </c>
      <c r="P437" s="712">
        <f t="shared" si="47"/>
        <v>3.6564865075763299E-4</v>
      </c>
      <c r="Q437" s="713">
        <f t="shared" si="48"/>
        <v>2.5947769504119378E-5</v>
      </c>
    </row>
    <row r="438" spans="1:17">
      <c r="A438" s="3" t="s">
        <v>2071</v>
      </c>
      <c r="B438" s="3" t="s">
        <v>2717</v>
      </c>
      <c r="C438" s="3" t="s">
        <v>1307</v>
      </c>
      <c r="D438" s="3">
        <v>68604615515.519997</v>
      </c>
      <c r="E438" s="3">
        <v>2.5818572195383793</v>
      </c>
      <c r="F438" s="3">
        <v>0.89700000000000002</v>
      </c>
      <c r="G438" s="3">
        <v>460.31009999999998</v>
      </c>
      <c r="H438" s="3">
        <v>149.04</v>
      </c>
      <c r="I438" s="706"/>
      <c r="J438" s="707" t="str">
        <f t="shared" si="49"/>
        <v>Target Corp</v>
      </c>
      <c r="K438" s="708" t="str">
        <f t="shared" si="49"/>
        <v>TGT</v>
      </c>
      <c r="L438" s="709">
        <f t="shared" si="43"/>
        <v>68604.615515519996</v>
      </c>
      <c r="M438" s="710">
        <f t="shared" si="44"/>
        <v>2.5818572195383794E-2</v>
      </c>
      <c r="N438" s="710">
        <f t="shared" si="45"/>
        <v>8.9700000000000005E-3</v>
      </c>
      <c r="O438" s="711">
        <f t="shared" si="46"/>
        <v>3.4904368491680091E-2</v>
      </c>
      <c r="P438" s="712">
        <f t="shared" si="47"/>
        <v>2.1423385683412947E-3</v>
      </c>
      <c r="Q438" s="713">
        <f t="shared" si="48"/>
        <v>7.4776974823322924E-5</v>
      </c>
    </row>
    <row r="439" spans="1:17">
      <c r="A439" s="3" t="s">
        <v>2072</v>
      </c>
      <c r="B439" s="3" t="s">
        <v>2718</v>
      </c>
      <c r="C439" s="3" t="s">
        <v>1306</v>
      </c>
      <c r="D439" s="3">
        <v>91978130260.400009</v>
      </c>
      <c r="E439" s="3">
        <v>1.4711055276381912</v>
      </c>
      <c r="F439" s="3">
        <v>10.55</v>
      </c>
      <c r="G439" s="3">
        <v>1155.5039999999999</v>
      </c>
      <c r="H439" s="3">
        <v>79.599999999999994</v>
      </c>
      <c r="I439" s="706"/>
      <c r="J439" s="707" t="str">
        <f t="shared" si="49"/>
        <v>TJX Cos Inc/The</v>
      </c>
      <c r="K439" s="708" t="str">
        <f t="shared" si="49"/>
        <v>TJX</v>
      </c>
      <c r="L439" s="709">
        <f t="shared" si="43"/>
        <v>91978.130260400008</v>
      </c>
      <c r="M439" s="710">
        <f t="shared" si="44"/>
        <v>1.4711055276381913E-2</v>
      </c>
      <c r="N439" s="710">
        <f t="shared" si="45"/>
        <v>0.10550000000000001</v>
      </c>
      <c r="O439" s="711">
        <f t="shared" si="46"/>
        <v>0.12098706344221107</v>
      </c>
      <c r="P439" s="712">
        <f t="shared" si="47"/>
        <v>2.8722308902991733E-3</v>
      </c>
      <c r="Q439" s="713">
        <f t="shared" si="48"/>
        <v>3.4750278094530443E-4</v>
      </c>
    </row>
    <row r="440" spans="1:17">
      <c r="A440" s="3" t="s">
        <v>2073</v>
      </c>
      <c r="B440" s="3" t="s">
        <v>2719</v>
      </c>
      <c r="C440" s="3" t="s">
        <v>2074</v>
      </c>
      <c r="D440" s="3">
        <v>215978171284.33002</v>
      </c>
      <c r="E440" s="3">
        <v>0.20937369481922677</v>
      </c>
      <c r="F440" s="3" t="s">
        <v>1483</v>
      </c>
      <c r="G440" s="3">
        <v>392.19559999999996</v>
      </c>
      <c r="H440" s="3">
        <v>550.69000000000005</v>
      </c>
      <c r="I440" s="706"/>
      <c r="J440" s="707" t="str">
        <f t="shared" si="49"/>
        <v>Thermo Fisher Scientific Inc</v>
      </c>
      <c r="K440" s="708" t="str">
        <f t="shared" si="49"/>
        <v>TMO</v>
      </c>
      <c r="L440" s="709">
        <f t="shared" si="43"/>
        <v>215978.17128433002</v>
      </c>
      <c r="M440" s="710">
        <f t="shared" si="44"/>
        <v>2.0937369481922679E-3</v>
      </c>
      <c r="N440" s="710" t="str">
        <f t="shared" si="45"/>
        <v>N/A</v>
      </c>
      <c r="O440" s="711" t="str">
        <f t="shared" si="46"/>
        <v>N/A</v>
      </c>
      <c r="P440" s="712" t="str">
        <f t="shared" si="47"/>
        <v>N/A</v>
      </c>
      <c r="Q440" s="713" t="str">
        <f t="shared" si="48"/>
        <v>N/A</v>
      </c>
    </row>
    <row r="441" spans="1:17">
      <c r="A441" s="3" t="s">
        <v>2924</v>
      </c>
      <c r="B441" s="3" t="s">
        <v>2925</v>
      </c>
      <c r="C441" s="3" t="s">
        <v>2926</v>
      </c>
      <c r="D441" s="3">
        <v>174181578760</v>
      </c>
      <c r="E441" s="3">
        <v>0</v>
      </c>
      <c r="F441" s="3">
        <v>5</v>
      </c>
      <c r="G441" s="3">
        <v>1244.154</v>
      </c>
      <c r="H441" s="3">
        <v>140</v>
      </c>
      <c r="I441" s="706"/>
      <c r="J441" s="707" t="str">
        <f t="shared" si="49"/>
        <v>T-Mobile US Inc</v>
      </c>
      <c r="K441" s="708" t="str">
        <f t="shared" si="49"/>
        <v>TMUS</v>
      </c>
      <c r="L441" s="709">
        <f t="shared" si="43"/>
        <v>174181.57876</v>
      </c>
      <c r="M441" s="710">
        <f t="shared" si="44"/>
        <v>0</v>
      </c>
      <c r="N441" s="710">
        <f t="shared" si="45"/>
        <v>0.05</v>
      </c>
      <c r="O441" s="711">
        <f t="shared" si="46"/>
        <v>0.05</v>
      </c>
      <c r="P441" s="712">
        <f t="shared" si="47"/>
        <v>5.4392246245838684E-3</v>
      </c>
      <c r="Q441" s="713">
        <f t="shared" si="48"/>
        <v>2.7196123122919343E-4</v>
      </c>
    </row>
    <row r="442" spans="1:17">
      <c r="A442" s="3" t="s">
        <v>2307</v>
      </c>
      <c r="B442" s="3" t="s">
        <v>2720</v>
      </c>
      <c r="C442" s="3" t="s">
        <v>2300</v>
      </c>
      <c r="D442" s="3">
        <v>9175806342.0799999</v>
      </c>
      <c r="E442" s="3">
        <v>3.0672268907563027</v>
      </c>
      <c r="F442" s="3">
        <v>11</v>
      </c>
      <c r="G442" s="3">
        <v>240.96129999999999</v>
      </c>
      <c r="H442" s="3">
        <v>38.08</v>
      </c>
      <c r="I442" s="706"/>
      <c r="J442" s="707" t="str">
        <f t="shared" si="49"/>
        <v>Tapestry Inc</v>
      </c>
      <c r="K442" s="708" t="str">
        <f t="shared" si="49"/>
        <v>TPR</v>
      </c>
      <c r="L442" s="709">
        <f t="shared" si="43"/>
        <v>9175.8063420800008</v>
      </c>
      <c r="M442" s="710">
        <f t="shared" si="44"/>
        <v>3.0672268907563027E-2</v>
      </c>
      <c r="N442" s="710">
        <f t="shared" si="45"/>
        <v>0.11</v>
      </c>
      <c r="O442" s="711">
        <f t="shared" si="46"/>
        <v>0.14235924369747899</v>
      </c>
      <c r="P442" s="712">
        <f t="shared" si="47"/>
        <v>2.86535879175966E-4</v>
      </c>
      <c r="Q442" s="713">
        <f t="shared" si="48"/>
        <v>4.079103105168274E-5</v>
      </c>
    </row>
    <row r="443" spans="1:17">
      <c r="A443" s="3" t="s">
        <v>4333</v>
      </c>
      <c r="B443" s="3" t="s">
        <v>4334</v>
      </c>
      <c r="C443" s="3" t="s">
        <v>4335</v>
      </c>
      <c r="D443" s="3">
        <v>16638590944.5</v>
      </c>
      <c r="E443" s="3">
        <v>1.9782312925170069</v>
      </c>
      <c r="F443" s="3">
        <v>17</v>
      </c>
      <c r="G443" s="3">
        <v>226.37539999999998</v>
      </c>
      <c r="H443" s="3">
        <v>73.5</v>
      </c>
      <c r="I443" s="706"/>
      <c r="J443" s="707" t="str">
        <f t="shared" si="49"/>
        <v>Targa Resources Corp</v>
      </c>
      <c r="K443" s="708" t="str">
        <f t="shared" si="49"/>
        <v>TRGP</v>
      </c>
      <c r="L443" s="709">
        <f t="shared" si="43"/>
        <v>16638.5909445</v>
      </c>
      <c r="M443" s="710">
        <f t="shared" si="44"/>
        <v>1.9782312925170069E-2</v>
      </c>
      <c r="N443" s="710">
        <f t="shared" si="45"/>
        <v>0.17</v>
      </c>
      <c r="O443" s="711">
        <f t="shared" si="46"/>
        <v>0.19146380952380954</v>
      </c>
      <c r="P443" s="712">
        <f t="shared" si="47"/>
        <v>5.1957867317531576E-4</v>
      </c>
      <c r="Q443" s="713">
        <f t="shared" si="48"/>
        <v>9.9480512113472345E-5</v>
      </c>
    </row>
    <row r="444" spans="1:17">
      <c r="A444" s="3" t="s">
        <v>3950</v>
      </c>
      <c r="B444" s="3" t="s">
        <v>3951</v>
      </c>
      <c r="C444" s="3" t="s">
        <v>3952</v>
      </c>
      <c r="D444" s="3">
        <v>12469344376.960001</v>
      </c>
      <c r="E444" s="3">
        <v>-3.7579113924050632E-2</v>
      </c>
      <c r="F444" s="3">
        <v>10</v>
      </c>
      <c r="G444" s="3">
        <v>246.62469999999999</v>
      </c>
      <c r="H444" s="3">
        <v>50.56</v>
      </c>
      <c r="I444" s="706"/>
      <c r="J444" s="707" t="str">
        <f t="shared" si="49"/>
        <v>Trimble Inc</v>
      </c>
      <c r="K444" s="708" t="str">
        <f t="shared" si="49"/>
        <v>TRMB</v>
      </c>
      <c r="L444" s="709">
        <f t="shared" si="43"/>
        <v>12469.344376960002</v>
      </c>
      <c r="M444" s="710">
        <f t="shared" si="44"/>
        <v>-3.7579113924050633E-4</v>
      </c>
      <c r="N444" s="710">
        <f t="shared" si="45"/>
        <v>0.1</v>
      </c>
      <c r="O444" s="711">
        <f t="shared" si="46"/>
        <v>9.9605419303797474E-2</v>
      </c>
      <c r="P444" s="712">
        <f t="shared" si="47"/>
        <v>3.893842590612263E-4</v>
      </c>
      <c r="Q444" s="713">
        <f t="shared" si="48"/>
        <v>3.8784782394091944E-5</v>
      </c>
    </row>
    <row r="445" spans="1:17">
      <c r="A445" s="3" t="s">
        <v>2075</v>
      </c>
      <c r="B445" s="3" t="s">
        <v>2721</v>
      </c>
      <c r="C445" s="3" t="s">
        <v>2076</v>
      </c>
      <c r="D445" s="3">
        <v>24371072396.719997</v>
      </c>
      <c r="E445" s="3">
        <v>4.4012470199889968</v>
      </c>
      <c r="F445" s="3">
        <v>-15.83</v>
      </c>
      <c r="G445" s="3">
        <v>223.4648</v>
      </c>
      <c r="H445" s="3">
        <v>109.06</v>
      </c>
      <c r="I445" s="706"/>
      <c r="J445" s="707" t="str">
        <f t="shared" si="49"/>
        <v>T Rowe Price Group Inc</v>
      </c>
      <c r="K445" s="708" t="str">
        <f t="shared" si="49"/>
        <v>TROW</v>
      </c>
      <c r="L445" s="709">
        <f t="shared" si="43"/>
        <v>24371.072396719996</v>
      </c>
      <c r="M445" s="710">
        <f t="shared" si="44"/>
        <v>4.4012470199889971E-2</v>
      </c>
      <c r="N445" s="710">
        <f t="shared" si="45"/>
        <v>-0.1583</v>
      </c>
      <c r="O445" s="711">
        <f t="shared" si="46"/>
        <v>-0.11777111681643132</v>
      </c>
      <c r="P445" s="712">
        <f t="shared" si="47"/>
        <v>7.6104337813131205E-4</v>
      </c>
      <c r="Q445" s="713">
        <f t="shared" si="48"/>
        <v>-8.962892858827427E-5</v>
      </c>
    </row>
    <row r="446" spans="1:17">
      <c r="A446" s="3" t="s">
        <v>2077</v>
      </c>
      <c r="B446" s="3" t="s">
        <v>2722</v>
      </c>
      <c r="C446" s="3" t="s">
        <v>2078</v>
      </c>
      <c r="D446" s="3">
        <v>43937817462.25</v>
      </c>
      <c r="E446" s="3">
        <v>1.9595711771294466</v>
      </c>
      <c r="F446" s="3">
        <v>7.4950000000000001</v>
      </c>
      <c r="G446" s="3">
        <v>234.3475</v>
      </c>
      <c r="H446" s="3">
        <v>187.49</v>
      </c>
      <c r="I446" s="706"/>
      <c r="J446" s="707" t="str">
        <f t="shared" si="49"/>
        <v>Travelers Cos Inc/The</v>
      </c>
      <c r="K446" s="708" t="str">
        <f t="shared" si="49"/>
        <v>TRV</v>
      </c>
      <c r="L446" s="709">
        <f t="shared" si="43"/>
        <v>43937.817462250001</v>
      </c>
      <c r="M446" s="710">
        <f t="shared" si="44"/>
        <v>1.9595711771294468E-2</v>
      </c>
      <c r="N446" s="710">
        <f t="shared" si="45"/>
        <v>7.4950000000000003E-2</v>
      </c>
      <c r="O446" s="711">
        <f t="shared" si="46"/>
        <v>9.5280061069923733E-2</v>
      </c>
      <c r="P446" s="712">
        <f t="shared" si="47"/>
        <v>1.3720604692671651E-3</v>
      </c>
      <c r="Q446" s="713">
        <f t="shared" si="48"/>
        <v>1.307300053034037E-4</v>
      </c>
    </row>
    <row r="447" spans="1:17">
      <c r="A447" s="3" t="s">
        <v>2079</v>
      </c>
      <c r="B447" s="3" t="s">
        <v>2723</v>
      </c>
      <c r="C447" s="3" t="s">
        <v>2080</v>
      </c>
      <c r="D447" s="3">
        <v>24850916227.649998</v>
      </c>
      <c r="E447" s="3">
        <v>1.6437747255189581</v>
      </c>
      <c r="F447" s="3">
        <v>10.353</v>
      </c>
      <c r="G447" s="3">
        <v>110.4632</v>
      </c>
      <c r="H447" s="3">
        <v>224.97</v>
      </c>
      <c r="I447" s="706"/>
      <c r="J447" s="707" t="str">
        <f t="shared" si="49"/>
        <v>Tractor Supply Co</v>
      </c>
      <c r="K447" s="708" t="str">
        <f t="shared" si="49"/>
        <v>TSCO</v>
      </c>
      <c r="L447" s="709">
        <f t="shared" si="43"/>
        <v>24850.916227649999</v>
      </c>
      <c r="M447" s="710">
        <f t="shared" si="44"/>
        <v>1.643774725518958E-2</v>
      </c>
      <c r="N447" s="710">
        <f t="shared" si="45"/>
        <v>0.10353</v>
      </c>
      <c r="O447" s="711">
        <f t="shared" si="46"/>
        <v>0.12081864724185447</v>
      </c>
      <c r="P447" s="712">
        <f t="shared" si="47"/>
        <v>7.7602761699129713E-4</v>
      </c>
      <c r="Q447" s="713">
        <f t="shared" si="48"/>
        <v>9.3758606907208482E-5</v>
      </c>
    </row>
    <row r="448" spans="1:17">
      <c r="A448" s="3" t="s">
        <v>3953</v>
      </c>
      <c r="B448" s="3" t="s">
        <v>3954</v>
      </c>
      <c r="C448" s="3" t="s">
        <v>3955</v>
      </c>
      <c r="D448" s="3">
        <v>388971946667.82007</v>
      </c>
      <c r="E448" s="3">
        <v>0</v>
      </c>
      <c r="F448" s="3">
        <v>20</v>
      </c>
      <c r="G448" s="3">
        <v>3157.752</v>
      </c>
      <c r="H448" s="3">
        <v>123.18</v>
      </c>
      <c r="I448" s="706"/>
      <c r="J448" s="707" t="str">
        <f t="shared" si="49"/>
        <v>Tesla Inc</v>
      </c>
      <c r="K448" s="708" t="str">
        <f t="shared" si="49"/>
        <v>TSLA</v>
      </c>
      <c r="L448" s="709">
        <f t="shared" si="43"/>
        <v>388971.94666782004</v>
      </c>
      <c r="M448" s="710">
        <f t="shared" si="44"/>
        <v>0</v>
      </c>
      <c r="N448" s="710">
        <f t="shared" si="45"/>
        <v>0.2</v>
      </c>
      <c r="O448" s="711">
        <f t="shared" si="46"/>
        <v>0.2</v>
      </c>
      <c r="P448" s="712">
        <f t="shared" si="47"/>
        <v>1.214655307208521E-2</v>
      </c>
      <c r="Q448" s="713">
        <f t="shared" si="48"/>
        <v>2.429310614417042E-3</v>
      </c>
    </row>
    <row r="449" spans="1:17">
      <c r="A449" s="3" t="s">
        <v>2081</v>
      </c>
      <c r="B449" s="3" t="s">
        <v>2724</v>
      </c>
      <c r="C449" s="3" t="s">
        <v>2082</v>
      </c>
      <c r="D449" s="3">
        <v>22274679456</v>
      </c>
      <c r="E449" s="3">
        <v>3.1502008032128512</v>
      </c>
      <c r="F449" s="3">
        <v>-1.9350000000000001</v>
      </c>
      <c r="G449" s="3">
        <v>287.81579999999997</v>
      </c>
      <c r="H449" s="3">
        <v>62.25</v>
      </c>
      <c r="I449" s="706"/>
      <c r="J449" s="707" t="str">
        <f t="shared" si="49"/>
        <v>Tyson Foods Inc</v>
      </c>
      <c r="K449" s="708" t="str">
        <f t="shared" si="49"/>
        <v>TSN</v>
      </c>
      <c r="L449" s="709">
        <f t="shared" si="43"/>
        <v>22274.679456000002</v>
      </c>
      <c r="M449" s="710">
        <f t="shared" si="44"/>
        <v>3.1502008032128513E-2</v>
      </c>
      <c r="N449" s="710">
        <f t="shared" si="45"/>
        <v>-1.9349999999999999E-2</v>
      </c>
      <c r="O449" s="711">
        <f t="shared" si="46"/>
        <v>1.1847226104417671E-2</v>
      </c>
      <c r="P449" s="712">
        <f t="shared" si="47"/>
        <v>6.9557863618130639E-4</v>
      </c>
      <c r="Q449" s="713">
        <f t="shared" si="48"/>
        <v>8.2406773762424156E-6</v>
      </c>
    </row>
    <row r="450" spans="1:17">
      <c r="A450" s="3" t="s">
        <v>3012</v>
      </c>
      <c r="B450" s="3" t="s">
        <v>3013</v>
      </c>
      <c r="C450" s="3" t="s">
        <v>3014</v>
      </c>
      <c r="D450" s="3">
        <v>38712353384.639999</v>
      </c>
      <c r="E450" s="3">
        <v>1.5598786364447617</v>
      </c>
      <c r="F450" s="3">
        <v>10.005000000000001</v>
      </c>
      <c r="G450" s="3">
        <v>230.3073</v>
      </c>
      <c r="H450" s="3">
        <v>168.09</v>
      </c>
      <c r="I450" s="706"/>
      <c r="J450" s="707" t="str">
        <f t="shared" si="49"/>
        <v>Trane Technologies PLC</v>
      </c>
      <c r="K450" s="708" t="str">
        <f t="shared" si="49"/>
        <v>TT</v>
      </c>
      <c r="L450" s="709">
        <f t="shared" si="43"/>
        <v>38712.353384640002</v>
      </c>
      <c r="M450" s="710">
        <f t="shared" si="44"/>
        <v>1.5598786364447616E-2</v>
      </c>
      <c r="N450" s="710">
        <f t="shared" si="45"/>
        <v>0.10005000000000001</v>
      </c>
      <c r="O450" s="711">
        <f t="shared" si="46"/>
        <v>0.11642911565232912</v>
      </c>
      <c r="P450" s="712">
        <f t="shared" si="47"/>
        <v>1.2088832085708589E-3</v>
      </c>
      <c r="Q450" s="713">
        <f t="shared" si="48"/>
        <v>1.4074920290085523E-4</v>
      </c>
    </row>
    <row r="451" spans="1:17">
      <c r="A451" s="3" t="s">
        <v>2315</v>
      </c>
      <c r="B451" s="3" t="s">
        <v>2725</v>
      </c>
      <c r="C451" s="3" t="s">
        <v>2316</v>
      </c>
      <c r="D451" s="3">
        <v>17475005590.380001</v>
      </c>
      <c r="E451" s="3">
        <v>0</v>
      </c>
      <c r="F451" s="3">
        <v>41.167000000000002</v>
      </c>
      <c r="G451" s="3">
        <v>167.81909999999999</v>
      </c>
      <c r="H451" s="3">
        <v>104.13</v>
      </c>
      <c r="I451" s="706"/>
      <c r="J451" s="707" t="str">
        <f t="shared" si="49"/>
        <v>Take-Two Interactive Software Inc</v>
      </c>
      <c r="K451" s="708" t="str">
        <f t="shared" si="49"/>
        <v>TTWO</v>
      </c>
      <c r="L451" s="709">
        <f t="shared" ref="L451:L502" si="50">D451/1000000</f>
        <v>17475.005590380002</v>
      </c>
      <c r="M451" s="710">
        <f t="shared" ref="M451:M502" si="51">IFERROR(E451/100,"0.00%")</f>
        <v>0</v>
      </c>
      <c r="N451" s="710">
        <f t="shared" ref="N451:N502" si="52">IFERROR(F451/100,"N/A")</f>
        <v>0.41167000000000004</v>
      </c>
      <c r="O451" s="711">
        <f t="shared" ref="O451:O502" si="53">IFERROR(M451*(1+0.5*N451)+N451,"N/A")</f>
        <v>0.41167000000000004</v>
      </c>
      <c r="P451" s="712">
        <f t="shared" ref="P451:P502" si="54">IF(N451="N/A","N/A",L451/$L$504)</f>
        <v>5.4569766446372096E-4</v>
      </c>
      <c r="Q451" s="713">
        <f t="shared" ref="Q451:Q502" si="55">IF(AND(ISNUMBER(L451),ISNUMBER(O451)),O451*P451,"N/A")</f>
        <v>2.2464735752978003E-4</v>
      </c>
    </row>
    <row r="452" spans="1:17">
      <c r="A452" s="3" t="s">
        <v>2083</v>
      </c>
      <c r="B452" s="3" t="s">
        <v>2726</v>
      </c>
      <c r="C452" s="3" t="s">
        <v>2084</v>
      </c>
      <c r="D452" s="3">
        <v>149948998256.64001</v>
      </c>
      <c r="E452" s="3">
        <v>2.8410604043094057</v>
      </c>
      <c r="F452" s="3">
        <v>10</v>
      </c>
      <c r="G452" s="3">
        <v>907.57169999999996</v>
      </c>
      <c r="H452" s="3">
        <v>165.22</v>
      </c>
      <c r="I452" s="706"/>
      <c r="J452" s="707" t="str">
        <f t="shared" ref="J452:K502" si="56">B452</f>
        <v>Texas Instruments Inc</v>
      </c>
      <c r="K452" s="708" t="str">
        <f t="shared" si="56"/>
        <v>TXN</v>
      </c>
      <c r="L452" s="709">
        <f t="shared" si="50"/>
        <v>149948.99825664001</v>
      </c>
      <c r="M452" s="710">
        <f t="shared" si="51"/>
        <v>2.8410604043094055E-2</v>
      </c>
      <c r="N452" s="710">
        <f t="shared" si="52"/>
        <v>0.1</v>
      </c>
      <c r="O452" s="711">
        <f t="shared" si="53"/>
        <v>0.12983113424524875</v>
      </c>
      <c r="P452" s="712">
        <f t="shared" si="54"/>
        <v>4.6825059777015881E-3</v>
      </c>
      <c r="Q452" s="713">
        <f t="shared" si="55"/>
        <v>6.0793506219515461E-4</v>
      </c>
    </row>
    <row r="453" spans="1:17">
      <c r="A453" s="3" t="s">
        <v>2085</v>
      </c>
      <c r="B453" s="3" t="s">
        <v>2727</v>
      </c>
      <c r="C453" s="3" t="s">
        <v>2086</v>
      </c>
      <c r="D453" s="3">
        <v>14781020217.599998</v>
      </c>
      <c r="E453" s="3">
        <v>0.11440677966101695</v>
      </c>
      <c r="F453" s="3">
        <v>15.22</v>
      </c>
      <c r="G453" s="3">
        <v>208.7715</v>
      </c>
      <c r="H453" s="3">
        <v>70.8</v>
      </c>
      <c r="I453" s="706"/>
      <c r="J453" s="707" t="str">
        <f t="shared" si="56"/>
        <v>Textron Inc</v>
      </c>
      <c r="K453" s="708" t="str">
        <f t="shared" si="56"/>
        <v>TXT</v>
      </c>
      <c r="L453" s="709">
        <f t="shared" si="50"/>
        <v>14781.020217599998</v>
      </c>
      <c r="M453" s="710">
        <f t="shared" si="51"/>
        <v>1.1440677966101695E-3</v>
      </c>
      <c r="N453" s="710">
        <f t="shared" si="52"/>
        <v>0.1522</v>
      </c>
      <c r="O453" s="711">
        <f t="shared" si="53"/>
        <v>0.1534311313559322</v>
      </c>
      <c r="P453" s="712">
        <f t="shared" si="54"/>
        <v>4.615717099155424E-4</v>
      </c>
      <c r="Q453" s="713">
        <f t="shared" si="55"/>
        <v>7.0819469654233812E-5</v>
      </c>
    </row>
    <row r="454" spans="1:17">
      <c r="A454" s="3" t="s">
        <v>3037</v>
      </c>
      <c r="B454" s="3" t="s">
        <v>3038</v>
      </c>
      <c r="C454" s="3" t="s">
        <v>3039</v>
      </c>
      <c r="D454" s="3">
        <v>13425119514.180002</v>
      </c>
      <c r="E454" s="3" t="s">
        <v>1483</v>
      </c>
      <c r="F454" s="3">
        <v>14.8</v>
      </c>
      <c r="G454" s="3">
        <v>41.639899999999997</v>
      </c>
      <c r="H454" s="3">
        <v>322.41000000000003</v>
      </c>
      <c r="I454" s="706"/>
      <c r="J454" s="707" t="str">
        <f t="shared" si="56"/>
        <v>Tyler Technologies Inc</v>
      </c>
      <c r="K454" s="708" t="str">
        <f t="shared" si="56"/>
        <v>TYL</v>
      </c>
      <c r="L454" s="709">
        <f t="shared" si="50"/>
        <v>13425.119514180002</v>
      </c>
      <c r="M454" s="710" t="str">
        <f t="shared" si="51"/>
        <v>0.00%</v>
      </c>
      <c r="N454" s="710">
        <f t="shared" si="52"/>
        <v>0.14800000000000002</v>
      </c>
      <c r="O454" s="711">
        <f t="shared" si="53"/>
        <v>0.14800000000000002</v>
      </c>
      <c r="P454" s="712">
        <f t="shared" si="54"/>
        <v>4.192305591059352E-4</v>
      </c>
      <c r="Q454" s="713">
        <f t="shared" si="55"/>
        <v>6.2046122747678418E-5</v>
      </c>
    </row>
    <row r="455" spans="1:17">
      <c r="A455" s="3" t="s">
        <v>2728</v>
      </c>
      <c r="B455" s="3" t="s">
        <v>2927</v>
      </c>
      <c r="C455" s="3" t="s">
        <v>2087</v>
      </c>
      <c r="D455" s="3">
        <v>12317678059.700001</v>
      </c>
      <c r="E455" s="3">
        <v>0</v>
      </c>
      <c r="F455" s="3" t="s">
        <v>1483</v>
      </c>
      <c r="G455" s="3">
        <v>326.72890000000001</v>
      </c>
      <c r="H455" s="3">
        <v>37.700000000000003</v>
      </c>
      <c r="I455" s="706"/>
      <c r="J455" s="707" t="str">
        <f t="shared" si="56"/>
        <v>United Airlines Holdings Inc</v>
      </c>
      <c r="K455" s="708" t="str">
        <f t="shared" si="56"/>
        <v>UAL</v>
      </c>
      <c r="L455" s="709">
        <f t="shared" si="50"/>
        <v>12317.678059700002</v>
      </c>
      <c r="M455" s="710">
        <f t="shared" si="51"/>
        <v>0</v>
      </c>
      <c r="N455" s="710" t="str">
        <f t="shared" si="52"/>
        <v>N/A</v>
      </c>
      <c r="O455" s="711" t="str">
        <f t="shared" si="53"/>
        <v>N/A</v>
      </c>
      <c r="P455" s="712" t="str">
        <f t="shared" si="54"/>
        <v>N/A</v>
      </c>
      <c r="Q455" s="713" t="str">
        <f t="shared" si="55"/>
        <v>N/A</v>
      </c>
    </row>
    <row r="456" spans="1:17">
      <c r="A456" s="3" t="s">
        <v>2088</v>
      </c>
      <c r="B456" s="3" t="s">
        <v>2729</v>
      </c>
      <c r="C456" s="3" t="s">
        <v>2089</v>
      </c>
      <c r="D456" s="3">
        <v>12608233139.4</v>
      </c>
      <c r="E456" s="3">
        <v>3.9091143816163187</v>
      </c>
      <c r="F456" s="3">
        <v>7.68</v>
      </c>
      <c r="G456" s="3">
        <v>325.54179999999997</v>
      </c>
      <c r="H456" s="3">
        <v>38.729999999999997</v>
      </c>
      <c r="I456" s="706"/>
      <c r="J456" s="707" t="str">
        <f t="shared" si="56"/>
        <v>UDR Inc</v>
      </c>
      <c r="K456" s="708" t="str">
        <f t="shared" si="56"/>
        <v>UDR</v>
      </c>
      <c r="L456" s="709">
        <f t="shared" si="50"/>
        <v>12608.233139399999</v>
      </c>
      <c r="M456" s="710">
        <f t="shared" si="51"/>
        <v>3.9091143816163187E-2</v>
      </c>
      <c r="N456" s="710">
        <f t="shared" si="52"/>
        <v>7.6799999999999993E-2</v>
      </c>
      <c r="O456" s="711">
        <f t="shared" si="53"/>
        <v>0.11739224373870386</v>
      </c>
      <c r="P456" s="712">
        <f t="shared" si="54"/>
        <v>3.9372138346967207E-4</v>
      </c>
      <c r="Q456" s="713">
        <f t="shared" si="55"/>
        <v>4.6219836613411427E-5</v>
      </c>
    </row>
    <row r="457" spans="1:17">
      <c r="A457" s="3" t="s">
        <v>2090</v>
      </c>
      <c r="B457" s="3" t="s">
        <v>2730</v>
      </c>
      <c r="C457" s="3" t="s">
        <v>2091</v>
      </c>
      <c r="D457" s="3">
        <v>10061015764.479998</v>
      </c>
      <c r="E457" s="3">
        <v>0.56639931861736115</v>
      </c>
      <c r="F457" s="3">
        <v>3.87</v>
      </c>
      <c r="G457" s="3">
        <v>64.157470000000004</v>
      </c>
      <c r="H457" s="3">
        <v>140.88999999999999</v>
      </c>
      <c r="I457" s="706"/>
      <c r="J457" s="707" t="str">
        <f t="shared" si="56"/>
        <v>Universal Health Services Inc</v>
      </c>
      <c r="K457" s="708" t="str">
        <f t="shared" si="56"/>
        <v>UHS</v>
      </c>
      <c r="L457" s="709">
        <f t="shared" si="50"/>
        <v>10061.015764479998</v>
      </c>
      <c r="M457" s="710">
        <f t="shared" si="51"/>
        <v>5.6639931861736112E-3</v>
      </c>
      <c r="N457" s="710">
        <f t="shared" si="52"/>
        <v>3.8699999999999998E-2</v>
      </c>
      <c r="O457" s="711">
        <f t="shared" si="53"/>
        <v>4.447359145432607E-2</v>
      </c>
      <c r="P457" s="712">
        <f t="shared" si="54"/>
        <v>3.141786007686207E-4</v>
      </c>
      <c r="Q457" s="713">
        <f t="shared" si="55"/>
        <v>1.3972650734275451E-5</v>
      </c>
    </row>
    <row r="458" spans="1:17">
      <c r="A458" s="3" t="s">
        <v>2092</v>
      </c>
      <c r="B458" s="3" t="s">
        <v>2731</v>
      </c>
      <c r="C458" s="3" t="s">
        <v>2093</v>
      </c>
      <c r="D458" s="3">
        <v>23866643252.970001</v>
      </c>
      <c r="E458" s="3">
        <v>0</v>
      </c>
      <c r="F458" s="3">
        <v>10.870000000000001</v>
      </c>
      <c r="G458" s="3">
        <v>50.880769999999998</v>
      </c>
      <c r="H458" s="3">
        <v>469.07</v>
      </c>
      <c r="I458" s="706"/>
      <c r="J458" s="707" t="str">
        <f t="shared" si="56"/>
        <v>Ulta Beauty Inc</v>
      </c>
      <c r="K458" s="708" t="str">
        <f t="shared" si="56"/>
        <v>ULTA</v>
      </c>
      <c r="L458" s="709">
        <f t="shared" si="50"/>
        <v>23866.64325297</v>
      </c>
      <c r="M458" s="710">
        <f t="shared" si="51"/>
        <v>0</v>
      </c>
      <c r="N458" s="710">
        <f t="shared" si="52"/>
        <v>0.1087</v>
      </c>
      <c r="O458" s="711">
        <f t="shared" si="53"/>
        <v>0.1087</v>
      </c>
      <c r="P458" s="712">
        <f t="shared" si="54"/>
        <v>7.4529140573804757E-4</v>
      </c>
      <c r="Q458" s="713">
        <f t="shared" si="55"/>
        <v>8.1013175803725776E-5</v>
      </c>
    </row>
    <row r="459" spans="1:17">
      <c r="A459" s="3" t="s">
        <v>2094</v>
      </c>
      <c r="B459" s="3" t="s">
        <v>2732</v>
      </c>
      <c r="C459" s="3" t="s">
        <v>2095</v>
      </c>
      <c r="D459" s="3">
        <v>495373191523.13995</v>
      </c>
      <c r="E459" s="3">
        <v>1.1707344675393263</v>
      </c>
      <c r="F459" s="3">
        <v>12.675000000000001</v>
      </c>
      <c r="G459" s="3">
        <v>934.34909999999991</v>
      </c>
      <c r="H459" s="3">
        <v>530.17999999999995</v>
      </c>
      <c r="I459" s="706"/>
      <c r="J459" s="707" t="str">
        <f t="shared" si="56"/>
        <v>UnitedHealth Group Inc</v>
      </c>
      <c r="K459" s="708" t="str">
        <f t="shared" si="56"/>
        <v>UNH</v>
      </c>
      <c r="L459" s="709">
        <f t="shared" si="50"/>
        <v>495373.19152313995</v>
      </c>
      <c r="M459" s="710">
        <f t="shared" si="51"/>
        <v>1.1707344675393264E-2</v>
      </c>
      <c r="N459" s="710">
        <f t="shared" si="52"/>
        <v>0.12675</v>
      </c>
      <c r="O459" s="711">
        <f t="shared" si="53"/>
        <v>0.13919929764419631</v>
      </c>
      <c r="P459" s="712">
        <f t="shared" si="54"/>
        <v>1.5469179237397811E-2</v>
      </c>
      <c r="Q459" s="713">
        <f t="shared" si="55"/>
        <v>2.1532988849779595E-3</v>
      </c>
    </row>
    <row r="460" spans="1:17">
      <c r="A460" s="3" t="s">
        <v>2096</v>
      </c>
      <c r="B460" s="3" t="s">
        <v>2733</v>
      </c>
      <c r="C460" s="3" t="s">
        <v>2097</v>
      </c>
      <c r="D460" s="3">
        <v>127306801656</v>
      </c>
      <c r="E460" s="3">
        <v>2.4537595982035061</v>
      </c>
      <c r="F460" s="3">
        <v>11</v>
      </c>
      <c r="G460" s="3">
        <v>614.80079999999998</v>
      </c>
      <c r="H460" s="3">
        <v>207.07</v>
      </c>
      <c r="I460" s="706"/>
      <c r="J460" s="707" t="str">
        <f t="shared" si="56"/>
        <v>Union Pacific Corp</v>
      </c>
      <c r="K460" s="708" t="str">
        <f t="shared" si="56"/>
        <v>UNP</v>
      </c>
      <c r="L460" s="709">
        <f t="shared" si="50"/>
        <v>127306.801656</v>
      </c>
      <c r="M460" s="710">
        <f t="shared" si="51"/>
        <v>2.453759598203506E-2</v>
      </c>
      <c r="N460" s="710">
        <f t="shared" si="52"/>
        <v>0.11</v>
      </c>
      <c r="O460" s="711">
        <f t="shared" si="53"/>
        <v>0.13588716376104698</v>
      </c>
      <c r="P460" s="712">
        <f t="shared" si="54"/>
        <v>3.9754507645061461E-3</v>
      </c>
      <c r="Q460" s="713">
        <f t="shared" si="55"/>
        <v>5.4021272906042605E-4</v>
      </c>
    </row>
    <row r="461" spans="1:17">
      <c r="A461" s="3" t="s">
        <v>2098</v>
      </c>
      <c r="B461" s="3" t="s">
        <v>2734</v>
      </c>
      <c r="C461" s="3" t="s">
        <v>2099</v>
      </c>
      <c r="D461" s="3">
        <v>150357372586.72</v>
      </c>
      <c r="E461" s="3">
        <v>3.4917165209387941</v>
      </c>
      <c r="F461" s="3">
        <v>5.0200000000000005</v>
      </c>
      <c r="G461" s="3">
        <v>729.82089999999994</v>
      </c>
      <c r="H461" s="3">
        <v>173.84</v>
      </c>
      <c r="I461" s="706"/>
      <c r="J461" s="707" t="str">
        <f t="shared" si="56"/>
        <v>United Parcel Service Inc</v>
      </c>
      <c r="K461" s="708" t="str">
        <f t="shared" si="56"/>
        <v>UPS</v>
      </c>
      <c r="L461" s="709">
        <f t="shared" si="50"/>
        <v>150357.37258672001</v>
      </c>
      <c r="M461" s="710">
        <f t="shared" si="51"/>
        <v>3.4917165209387944E-2</v>
      </c>
      <c r="N461" s="710">
        <f t="shared" si="52"/>
        <v>5.0200000000000002E-2</v>
      </c>
      <c r="O461" s="711">
        <f t="shared" si="53"/>
        <v>8.5993586056143573E-2</v>
      </c>
      <c r="P461" s="712">
        <f t="shared" si="54"/>
        <v>4.695258415290178E-3</v>
      </c>
      <c r="Q461" s="713">
        <f t="shared" si="55"/>
        <v>4.0376210859108822E-4</v>
      </c>
    </row>
    <row r="462" spans="1:17">
      <c r="A462" s="3" t="s">
        <v>2100</v>
      </c>
      <c r="B462" s="3" t="s">
        <v>2735</v>
      </c>
      <c r="C462" s="3" t="s">
        <v>2101</v>
      </c>
      <c r="D462" s="3">
        <v>24633620317.020004</v>
      </c>
      <c r="E462" s="3">
        <v>0</v>
      </c>
      <c r="F462" s="3">
        <v>15.46</v>
      </c>
      <c r="G462" s="3">
        <v>69.308480000000003</v>
      </c>
      <c r="H462" s="3">
        <v>355.42</v>
      </c>
      <c r="I462" s="706"/>
      <c r="J462" s="707" t="str">
        <f t="shared" si="56"/>
        <v>United Rentals Inc</v>
      </c>
      <c r="K462" s="708" t="str">
        <f t="shared" si="56"/>
        <v>URI</v>
      </c>
      <c r="L462" s="709">
        <f t="shared" si="50"/>
        <v>24633.620317020006</v>
      </c>
      <c r="M462" s="710">
        <f t="shared" si="51"/>
        <v>0</v>
      </c>
      <c r="N462" s="710">
        <f t="shared" si="52"/>
        <v>0.15460000000000002</v>
      </c>
      <c r="O462" s="711">
        <f t="shared" si="53"/>
        <v>0.15460000000000002</v>
      </c>
      <c r="P462" s="712">
        <f t="shared" si="54"/>
        <v>7.6924204714898573E-4</v>
      </c>
      <c r="Q462" s="713">
        <f t="shared" si="55"/>
        <v>1.1892482048923321E-4</v>
      </c>
    </row>
    <row r="463" spans="1:17">
      <c r="A463" s="3" t="s">
        <v>2102</v>
      </c>
      <c r="B463" s="3" t="s">
        <v>2736</v>
      </c>
      <c r="C463" s="3" t="s">
        <v>2103</v>
      </c>
      <c r="D463" s="3">
        <v>66733851701.160004</v>
      </c>
      <c r="E463" s="3">
        <v>4.3086448062371021</v>
      </c>
      <c r="F463" s="3">
        <v>3.5329999999999999</v>
      </c>
      <c r="G463" s="3">
        <v>1530.242</v>
      </c>
      <c r="H463" s="3">
        <v>43.61</v>
      </c>
      <c r="I463" s="706"/>
      <c r="J463" s="707" t="str">
        <f t="shared" si="56"/>
        <v>US Bancorp</v>
      </c>
      <c r="K463" s="708" t="str">
        <f t="shared" si="56"/>
        <v>USB</v>
      </c>
      <c r="L463" s="709">
        <f>D463/1000000</f>
        <v>66733.851701160005</v>
      </c>
      <c r="M463" s="710">
        <f t="shared" si="51"/>
        <v>4.3086448062371024E-2</v>
      </c>
      <c r="N463" s="710">
        <f t="shared" si="52"/>
        <v>3.533E-2</v>
      </c>
      <c r="O463" s="711">
        <f t="shared" si="53"/>
        <v>7.9177570167392811E-2</v>
      </c>
      <c r="P463" s="712">
        <f t="shared" si="54"/>
        <v>2.0839196202625896E-3</v>
      </c>
      <c r="Q463" s="713">
        <f t="shared" si="55"/>
        <v>1.6499969195654776E-4</v>
      </c>
    </row>
    <row r="464" spans="1:17">
      <c r="A464" s="3" t="s">
        <v>2104</v>
      </c>
      <c r="B464" s="3" t="s">
        <v>2737</v>
      </c>
      <c r="C464" s="3" t="s">
        <v>2105</v>
      </c>
      <c r="D464" s="3">
        <v>442216920239.03888</v>
      </c>
      <c r="E464" s="3">
        <v>0.83509819021948406</v>
      </c>
      <c r="F464" s="3">
        <v>15.497</v>
      </c>
      <c r="G464" s="3">
        <v>1627.8529999999998</v>
      </c>
      <c r="H464" s="3">
        <v>207.76</v>
      </c>
      <c r="I464" s="706"/>
      <c r="J464" s="707" t="str">
        <f t="shared" si="56"/>
        <v>Visa Inc</v>
      </c>
      <c r="K464" s="708" t="str">
        <f t="shared" si="56"/>
        <v>V</v>
      </c>
      <c r="L464" s="709">
        <f t="shared" si="50"/>
        <v>442216.92023903888</v>
      </c>
      <c r="M464" s="710">
        <f t="shared" si="51"/>
        <v>8.35098190219484E-3</v>
      </c>
      <c r="N464" s="710">
        <f t="shared" si="52"/>
        <v>0.15497</v>
      </c>
      <c r="O464" s="711">
        <f t="shared" si="53"/>
        <v>0.1639680577348864</v>
      </c>
      <c r="P464" s="712">
        <f t="shared" si="54"/>
        <v>1.3809251122278786E-2</v>
      </c>
      <c r="Q464" s="713">
        <f t="shared" si="55"/>
        <v>2.2642760852933526E-3</v>
      </c>
    </row>
    <row r="465" spans="1:17">
      <c r="A465" s="3" t="s">
        <v>2106</v>
      </c>
      <c r="B465" s="3" t="s">
        <v>2738</v>
      </c>
      <c r="C465" s="3" t="s">
        <v>2107</v>
      </c>
      <c r="D465" s="3">
        <v>10728309606.85</v>
      </c>
      <c r="E465" s="3">
        <v>7.3451647953639991</v>
      </c>
      <c r="F465" s="3">
        <v>-2.423</v>
      </c>
      <c r="G465" s="3">
        <v>388.56610000000001</v>
      </c>
      <c r="H465" s="3">
        <v>27.61</v>
      </c>
      <c r="I465" s="706"/>
      <c r="J465" s="707" t="str">
        <f t="shared" si="56"/>
        <v>VF Corp</v>
      </c>
      <c r="K465" s="708" t="str">
        <f t="shared" si="56"/>
        <v>VFC</v>
      </c>
      <c r="L465" s="709">
        <f t="shared" si="50"/>
        <v>10728.30960685</v>
      </c>
      <c r="M465" s="710">
        <f t="shared" si="51"/>
        <v>7.3451647953639995E-2</v>
      </c>
      <c r="N465" s="710">
        <f t="shared" si="52"/>
        <v>-2.4230000000000002E-2</v>
      </c>
      <c r="O465" s="711">
        <f t="shared" si="53"/>
        <v>4.8331781238681648E-2</v>
      </c>
      <c r="P465" s="712">
        <f t="shared" si="54"/>
        <v>3.3501640190173113E-4</v>
      </c>
      <c r="Q465" s="713">
        <f t="shared" si="55"/>
        <v>1.6191939448084718E-5</v>
      </c>
    </row>
    <row r="466" spans="1:17">
      <c r="A466" s="3" t="s">
        <v>4336</v>
      </c>
      <c r="B466" s="3" t="s">
        <v>4337</v>
      </c>
      <c r="C466" s="3" t="s">
        <v>4338</v>
      </c>
      <c r="D466" s="3">
        <v>32314873373.999996</v>
      </c>
      <c r="E466" s="3">
        <v>4.5802469135802477</v>
      </c>
      <c r="F466" s="3">
        <v>6.8500000000000005</v>
      </c>
      <c r="G466" s="3">
        <v>997.37259999999992</v>
      </c>
      <c r="H466" s="3">
        <v>32.4</v>
      </c>
      <c r="I466" s="706"/>
      <c r="J466" s="707" t="str">
        <f t="shared" si="56"/>
        <v>VICI Properties Inc</v>
      </c>
      <c r="K466" s="708" t="str">
        <f t="shared" si="56"/>
        <v>VICI</v>
      </c>
      <c r="L466" s="709">
        <f t="shared" si="50"/>
        <v>32314.873373999995</v>
      </c>
      <c r="M466" s="710">
        <f t="shared" si="51"/>
        <v>4.5802469135802479E-2</v>
      </c>
      <c r="N466" s="710">
        <f t="shared" si="52"/>
        <v>6.8500000000000005E-2</v>
      </c>
      <c r="O466" s="711">
        <f t="shared" si="53"/>
        <v>0.11587120370370373</v>
      </c>
      <c r="P466" s="712">
        <f t="shared" si="54"/>
        <v>1.0091070264000538E-3</v>
      </c>
      <c r="Q466" s="713">
        <f t="shared" si="55"/>
        <v>1.1692644581483936E-4</v>
      </c>
    </row>
    <row r="467" spans="1:17">
      <c r="A467" s="3" t="s">
        <v>2108</v>
      </c>
      <c r="B467" s="3" t="s">
        <v>2739</v>
      </c>
      <c r="C467" s="3" t="s">
        <v>2109</v>
      </c>
      <c r="D467" s="3">
        <v>48907483047.080002</v>
      </c>
      <c r="E467" s="3">
        <v>3.1057859057228443</v>
      </c>
      <c r="F467" s="3">
        <v>10.654999999999999</v>
      </c>
      <c r="G467" s="3">
        <v>385.52330000000001</v>
      </c>
      <c r="H467" s="3">
        <v>126.86</v>
      </c>
      <c r="I467" s="706"/>
      <c r="J467" s="707" t="str">
        <f t="shared" si="56"/>
        <v>Valero Energy Corp</v>
      </c>
      <c r="K467" s="708" t="str">
        <f t="shared" si="56"/>
        <v>VLO</v>
      </c>
      <c r="L467" s="709">
        <f t="shared" si="50"/>
        <v>48907.483047080001</v>
      </c>
      <c r="M467" s="710">
        <f t="shared" si="51"/>
        <v>3.1057859057228444E-2</v>
      </c>
      <c r="N467" s="710">
        <f t="shared" si="52"/>
        <v>0.10654999999999999</v>
      </c>
      <c r="O467" s="711">
        <f t="shared" si="53"/>
        <v>0.13926246649850227</v>
      </c>
      <c r="P467" s="712">
        <f t="shared" si="54"/>
        <v>1.527249827506935E-3</v>
      </c>
      <c r="Q467" s="713">
        <f t="shared" si="55"/>
        <v>2.1268857793802791E-4</v>
      </c>
    </row>
    <row r="468" spans="1:17">
      <c r="A468" s="3" t="s">
        <v>2110</v>
      </c>
      <c r="B468" s="3" t="s">
        <v>2740</v>
      </c>
      <c r="C468" s="3" t="s">
        <v>2111</v>
      </c>
      <c r="D468" s="3">
        <v>23273321305.260002</v>
      </c>
      <c r="E468" s="3">
        <v>0.90742961567015012</v>
      </c>
      <c r="F468" s="3">
        <v>11.085000000000001</v>
      </c>
      <c r="G468" s="3">
        <v>132.90690000000001</v>
      </c>
      <c r="H468" s="3">
        <v>175.11</v>
      </c>
      <c r="I468" s="706"/>
      <c r="J468" s="707" t="str">
        <f t="shared" si="56"/>
        <v>Vulcan Materials Co</v>
      </c>
      <c r="K468" s="708" t="str">
        <f t="shared" si="56"/>
        <v>VMC</v>
      </c>
      <c r="L468" s="709">
        <f t="shared" si="50"/>
        <v>23273.32130526</v>
      </c>
      <c r="M468" s="710">
        <f t="shared" si="51"/>
        <v>9.0742961567015015E-3</v>
      </c>
      <c r="N468" s="710">
        <f t="shared" si="52"/>
        <v>0.11085</v>
      </c>
      <c r="O468" s="711">
        <f t="shared" si="53"/>
        <v>0.12042723902118668</v>
      </c>
      <c r="P468" s="712">
        <f t="shared" si="54"/>
        <v>7.2676354893904034E-4</v>
      </c>
      <c r="Q468" s="713">
        <f t="shared" si="55"/>
        <v>8.7522127619967714E-5</v>
      </c>
    </row>
    <row r="469" spans="1:17">
      <c r="A469" s="3" t="s">
        <v>2112</v>
      </c>
      <c r="B469" s="3" t="s">
        <v>2741</v>
      </c>
      <c r="C469" s="3" t="s">
        <v>2113</v>
      </c>
      <c r="D469" s="3">
        <v>3991705194.04</v>
      </c>
      <c r="E469" s="3">
        <v>10.187409899086978</v>
      </c>
      <c r="F469" s="3">
        <v>-43.57</v>
      </c>
      <c r="G469" s="3">
        <v>191.8167</v>
      </c>
      <c r="H469" s="3">
        <v>20.81</v>
      </c>
      <c r="I469" s="706"/>
      <c r="J469" s="707" t="str">
        <f t="shared" si="56"/>
        <v>Vornado Realty Trust</v>
      </c>
      <c r="K469" s="708" t="str">
        <f t="shared" si="56"/>
        <v>VNO</v>
      </c>
      <c r="L469" s="709">
        <f t="shared" si="50"/>
        <v>3991.7051940400002</v>
      </c>
      <c r="M469" s="710">
        <f t="shared" si="51"/>
        <v>0.10187409899086979</v>
      </c>
      <c r="N469" s="710">
        <f t="shared" si="52"/>
        <v>-0.43569999999999998</v>
      </c>
      <c r="O469" s="711">
        <f t="shared" si="53"/>
        <v>-0.35601917347429118</v>
      </c>
      <c r="P469" s="712">
        <f t="shared" si="54"/>
        <v>1.2465027209001108E-4</v>
      </c>
      <c r="Q469" s="713">
        <f t="shared" si="55"/>
        <v>-4.4377886842831253E-5</v>
      </c>
    </row>
    <row r="470" spans="1:17">
      <c r="A470" s="3" t="s">
        <v>2114</v>
      </c>
      <c r="B470" s="3" t="s">
        <v>2742</v>
      </c>
      <c r="C470" s="3" t="s">
        <v>1397</v>
      </c>
      <c r="D470" s="3">
        <v>27589962138.999996</v>
      </c>
      <c r="E470" s="3">
        <v>0.6971998639610022</v>
      </c>
      <c r="F470" s="3">
        <v>10.35</v>
      </c>
      <c r="G470" s="3">
        <v>156.3879</v>
      </c>
      <c r="H470" s="3">
        <v>176.42</v>
      </c>
      <c r="I470" s="706"/>
      <c r="J470" s="707" t="str">
        <f t="shared" si="56"/>
        <v>Verisk Analytics Inc</v>
      </c>
      <c r="K470" s="708" t="str">
        <f t="shared" si="56"/>
        <v>VRSK</v>
      </c>
      <c r="L470" s="709">
        <f t="shared" si="50"/>
        <v>27589.962138999996</v>
      </c>
      <c r="M470" s="710">
        <f t="shared" si="51"/>
        <v>6.9719986396100221E-3</v>
      </c>
      <c r="N470" s="710">
        <f t="shared" si="52"/>
        <v>0.10349999999999999</v>
      </c>
      <c r="O470" s="711">
        <f t="shared" si="53"/>
        <v>0.11083279956920984</v>
      </c>
      <c r="P470" s="712">
        <f t="shared" si="54"/>
        <v>8.6156069158472811E-4</v>
      </c>
      <c r="Q470" s="713">
        <f t="shared" si="55"/>
        <v>9.5489183447119982E-5</v>
      </c>
    </row>
    <row r="471" spans="1:17">
      <c r="A471" s="3" t="s">
        <v>2115</v>
      </c>
      <c r="B471" s="3" t="s">
        <v>2743</v>
      </c>
      <c r="C471" s="3" t="s">
        <v>2116</v>
      </c>
      <c r="D471" s="3">
        <v>21780020720.639999</v>
      </c>
      <c r="E471" s="3">
        <v>0</v>
      </c>
      <c r="F471" s="3">
        <v>8</v>
      </c>
      <c r="G471" s="3">
        <v>106.01649999999999</v>
      </c>
      <c r="H471" s="3">
        <v>205.44</v>
      </c>
      <c r="I471" s="706"/>
      <c r="J471" s="707" t="str">
        <f t="shared" si="56"/>
        <v>VeriSign Inc</v>
      </c>
      <c r="K471" s="708" t="str">
        <f t="shared" si="56"/>
        <v>VRSN</v>
      </c>
      <c r="L471" s="709">
        <f t="shared" si="50"/>
        <v>21780.020720640001</v>
      </c>
      <c r="M471" s="710">
        <f t="shared" si="51"/>
        <v>0</v>
      </c>
      <c r="N471" s="710">
        <f t="shared" si="52"/>
        <v>0.08</v>
      </c>
      <c r="O471" s="711">
        <f t="shared" si="53"/>
        <v>0.08</v>
      </c>
      <c r="P471" s="712">
        <f t="shared" si="54"/>
        <v>6.801317674981211E-4</v>
      </c>
      <c r="Q471" s="713">
        <f t="shared" si="55"/>
        <v>5.4410541399849691E-5</v>
      </c>
    </row>
    <row r="472" spans="1:17">
      <c r="A472" s="3" t="s">
        <v>2117</v>
      </c>
      <c r="B472" s="3" t="s">
        <v>2744</v>
      </c>
      <c r="C472" s="3" t="s">
        <v>2118</v>
      </c>
      <c r="D472" s="3">
        <v>74127357508.559998</v>
      </c>
      <c r="E472" s="3">
        <v>0</v>
      </c>
      <c r="F472" s="3">
        <v>16.330000000000002</v>
      </c>
      <c r="G472" s="3">
        <v>256.69149999999996</v>
      </c>
      <c r="H472" s="3">
        <v>288.77999999999997</v>
      </c>
      <c r="I472" s="706"/>
      <c r="J472" s="707" t="str">
        <f t="shared" si="56"/>
        <v>Vertex Pharmaceuticals Inc</v>
      </c>
      <c r="K472" s="708" t="str">
        <f t="shared" si="56"/>
        <v>VRTX</v>
      </c>
      <c r="L472" s="709">
        <f t="shared" si="50"/>
        <v>74127.357508560002</v>
      </c>
      <c r="M472" s="710">
        <f t="shared" si="51"/>
        <v>0</v>
      </c>
      <c r="N472" s="710">
        <f t="shared" si="52"/>
        <v>0.16330000000000003</v>
      </c>
      <c r="O472" s="711">
        <f t="shared" si="53"/>
        <v>0.16330000000000003</v>
      </c>
      <c r="P472" s="712">
        <f t="shared" si="54"/>
        <v>2.3147990228716622E-3</v>
      </c>
      <c r="Q472" s="713">
        <f t="shared" si="55"/>
        <v>3.7800668043494251E-4</v>
      </c>
    </row>
    <row r="473" spans="1:17">
      <c r="A473" s="3" t="s">
        <v>2119</v>
      </c>
      <c r="B473" s="3" t="s">
        <v>2745</v>
      </c>
      <c r="C473" s="3" t="s">
        <v>2120</v>
      </c>
      <c r="D473" s="3">
        <v>18007295224.25</v>
      </c>
      <c r="E473" s="3">
        <v>4.031076581576027</v>
      </c>
      <c r="F473" s="3">
        <v>5.14</v>
      </c>
      <c r="G473" s="3">
        <v>399.71799999999996</v>
      </c>
      <c r="H473" s="3">
        <v>45.05</v>
      </c>
      <c r="I473" s="706"/>
      <c r="J473" s="707" t="str">
        <f t="shared" si="56"/>
        <v>Ventas Inc</v>
      </c>
      <c r="K473" s="708" t="str">
        <f t="shared" si="56"/>
        <v>VTR</v>
      </c>
      <c r="L473" s="709">
        <f t="shared" si="50"/>
        <v>18007.29522425</v>
      </c>
      <c r="M473" s="710">
        <f>IFERROR(E473/100,"0.00%")</f>
        <v>4.031076581576027E-2</v>
      </c>
      <c r="N473" s="710">
        <f t="shared" si="52"/>
        <v>5.1399999999999994E-2</v>
      </c>
      <c r="O473" s="711">
        <f t="shared" si="53"/>
        <v>9.2746752497225304E-2</v>
      </c>
      <c r="P473" s="712">
        <f t="shared" si="54"/>
        <v>5.6231964541353027E-4</v>
      </c>
      <c r="Q473" s="713">
        <f t="shared" si="55"/>
        <v>5.215332097749619E-5</v>
      </c>
    </row>
    <row r="474" spans="1:17">
      <c r="A474" s="3" t="s">
        <v>3956</v>
      </c>
      <c r="B474" s="3" t="s">
        <v>3957</v>
      </c>
      <c r="C474" s="3" t="s">
        <v>3958</v>
      </c>
      <c r="D474" s="3">
        <v>13497179575.740002</v>
      </c>
      <c r="E474" s="3">
        <v>4.2497753818508537</v>
      </c>
      <c r="F474" s="3">
        <v>-3.04</v>
      </c>
      <c r="G474" s="3">
        <v>1212.6849999999999</v>
      </c>
      <c r="H474" s="3">
        <v>11.13</v>
      </c>
      <c r="I474" s="706"/>
      <c r="J474" s="707" t="str">
        <f t="shared" si="56"/>
        <v>Viatris Inc</v>
      </c>
      <c r="K474" s="708" t="str">
        <f t="shared" si="56"/>
        <v>VTRS</v>
      </c>
      <c r="L474" s="709">
        <f t="shared" si="50"/>
        <v>13497.179575740001</v>
      </c>
      <c r="M474" s="710">
        <f t="shared" si="51"/>
        <v>4.2497753818508538E-2</v>
      </c>
      <c r="N474" s="710">
        <f t="shared" si="52"/>
        <v>-3.04E-2</v>
      </c>
      <c r="O474" s="711">
        <f t="shared" si="53"/>
        <v>1.1451787960467207E-2</v>
      </c>
      <c r="P474" s="712">
        <f t="shared" si="54"/>
        <v>4.2148080200806343E-4</v>
      </c>
      <c r="Q474" s="713">
        <f t="shared" si="55"/>
        <v>4.8267087740040037E-6</v>
      </c>
    </row>
    <row r="475" spans="1:17">
      <c r="A475" s="3" t="s">
        <v>2121</v>
      </c>
      <c r="B475" s="3" t="s">
        <v>2746</v>
      </c>
      <c r="C475" s="3" t="s">
        <v>2122</v>
      </c>
      <c r="D475" s="3">
        <v>165472807411.80002</v>
      </c>
      <c r="E475" s="3">
        <v>6.5507614213197973</v>
      </c>
      <c r="F475" s="3">
        <v>1.1100000000000001</v>
      </c>
      <c r="G475" s="3">
        <v>4199.817</v>
      </c>
      <c r="H475" s="3">
        <v>39.4</v>
      </c>
      <c r="I475" s="706"/>
      <c r="J475" s="707" t="str">
        <f t="shared" si="56"/>
        <v>Verizon Communications Inc</v>
      </c>
      <c r="K475" s="708" t="str">
        <f t="shared" si="56"/>
        <v>VZ</v>
      </c>
      <c r="L475" s="709">
        <f t="shared" si="50"/>
        <v>165472.80741180002</v>
      </c>
      <c r="M475" s="710">
        <f t="shared" si="51"/>
        <v>6.5507614213197979E-2</v>
      </c>
      <c r="N475" s="710">
        <f t="shared" si="52"/>
        <v>1.11E-2</v>
      </c>
      <c r="O475" s="711">
        <f t="shared" si="53"/>
        <v>7.6971181472081221E-2</v>
      </c>
      <c r="P475" s="712">
        <f t="shared" si="54"/>
        <v>5.167272998561072E-3</v>
      </c>
      <c r="Q475" s="713">
        <f t="shared" si="55"/>
        <v>3.9773110768802957E-4</v>
      </c>
    </row>
    <row r="476" spans="1:17">
      <c r="A476" s="3" t="s">
        <v>2747</v>
      </c>
      <c r="B476" s="3" t="s">
        <v>2978</v>
      </c>
      <c r="C476" s="3" t="s">
        <v>2748</v>
      </c>
      <c r="D476" s="3">
        <v>18152231505.84</v>
      </c>
      <c r="E476" s="3">
        <v>0.59913836288948996</v>
      </c>
      <c r="F476" s="3">
        <v>10.465</v>
      </c>
      <c r="G476" s="3">
        <v>181.86789999999999</v>
      </c>
      <c r="H476" s="3">
        <v>99.81</v>
      </c>
      <c r="I476" s="706"/>
      <c r="J476" s="707" t="str">
        <f t="shared" si="56"/>
        <v>Westinghouse Air Brake Technologies Corp</v>
      </c>
      <c r="K476" s="708" t="str">
        <f t="shared" si="56"/>
        <v>WAB</v>
      </c>
      <c r="L476" s="709">
        <f t="shared" si="50"/>
        <v>18152.231505840002</v>
      </c>
      <c r="M476" s="710">
        <f t="shared" si="51"/>
        <v>5.9913836288949E-3</v>
      </c>
      <c r="N476" s="710">
        <f t="shared" si="52"/>
        <v>0.10464999999999999</v>
      </c>
      <c r="O476" s="711">
        <f t="shared" si="53"/>
        <v>0.11095488277727682</v>
      </c>
      <c r="P476" s="712">
        <f t="shared" si="54"/>
        <v>5.668456176629045E-4</v>
      </c>
      <c r="Q476" s="713">
        <f t="shared" si="55"/>
        <v>6.2894289060600649E-5</v>
      </c>
    </row>
    <row r="477" spans="1:17">
      <c r="A477" s="3" t="s">
        <v>2123</v>
      </c>
      <c r="B477" s="3" t="s">
        <v>2749</v>
      </c>
      <c r="C477" s="3" t="s">
        <v>2124</v>
      </c>
      <c r="D477" s="3">
        <v>20351847043.5</v>
      </c>
      <c r="E477" s="3">
        <v>0</v>
      </c>
      <c r="F477" s="3">
        <v>8.4529999999999994</v>
      </c>
      <c r="G477" s="3">
        <v>59.407579999999996</v>
      </c>
      <c r="H477" s="3">
        <v>342.58</v>
      </c>
      <c r="I477" s="706"/>
      <c r="J477" s="707" t="str">
        <f t="shared" si="56"/>
        <v>Waters Corp</v>
      </c>
      <c r="K477" s="708" t="str">
        <f t="shared" si="56"/>
        <v>WAT</v>
      </c>
      <c r="L477" s="709">
        <f t="shared" si="50"/>
        <v>20351.847043500002</v>
      </c>
      <c r="M477" s="710">
        <f t="shared" si="51"/>
        <v>0</v>
      </c>
      <c r="N477" s="710">
        <f t="shared" si="52"/>
        <v>8.4529999999999994E-2</v>
      </c>
      <c r="O477" s="711">
        <f t="shared" si="53"/>
        <v>8.4529999999999994E-2</v>
      </c>
      <c r="P477" s="712">
        <f t="shared" si="54"/>
        <v>6.3553372510934526E-4</v>
      </c>
      <c r="Q477" s="713">
        <f t="shared" si="55"/>
        <v>5.3721665783492949E-5</v>
      </c>
    </row>
    <row r="478" spans="1:17">
      <c r="A478" s="3" t="s">
        <v>2125</v>
      </c>
      <c r="B478" s="3" t="s">
        <v>2750</v>
      </c>
      <c r="C478" s="3" t="s">
        <v>2126</v>
      </c>
      <c r="D478" s="3">
        <v>32216806832.799999</v>
      </c>
      <c r="E478" s="3">
        <v>5.2542826552462527</v>
      </c>
      <c r="F478" s="3">
        <v>-0.32500000000000001</v>
      </c>
      <c r="G478" s="3">
        <v>862.33420000000001</v>
      </c>
      <c r="H478" s="3">
        <v>37.36</v>
      </c>
      <c r="I478" s="706"/>
      <c r="J478" s="707" t="str">
        <f t="shared" si="56"/>
        <v>Walgreens Boots Alliance Inc</v>
      </c>
      <c r="K478" s="708" t="str">
        <f t="shared" si="56"/>
        <v>WBA</v>
      </c>
      <c r="L478" s="709">
        <f t="shared" si="50"/>
        <v>32216.806832800001</v>
      </c>
      <c r="M478" s="710">
        <f t="shared" si="51"/>
        <v>5.2542826552462528E-2</v>
      </c>
      <c r="N478" s="710">
        <f t="shared" si="52"/>
        <v>-3.2500000000000003E-3</v>
      </c>
      <c r="O478" s="711">
        <f t="shared" si="53"/>
        <v>4.9207444459314777E-2</v>
      </c>
      <c r="P478" s="712">
        <f t="shared" si="54"/>
        <v>1.0060446707276566E-3</v>
      </c>
      <c r="Q478" s="713">
        <f t="shared" si="55"/>
        <v>4.9504887258420786E-5</v>
      </c>
    </row>
    <row r="479" spans="1:17">
      <c r="A479" s="3" t="s">
        <v>4339</v>
      </c>
      <c r="B479" s="3" t="s">
        <v>4340</v>
      </c>
      <c r="C479" s="3" t="s">
        <v>4341</v>
      </c>
      <c r="D479" s="3">
        <v>23021194222.200001</v>
      </c>
      <c r="E479" s="3" t="s">
        <v>1483</v>
      </c>
      <c r="F479" s="3" t="s">
        <v>1483</v>
      </c>
      <c r="G479" s="3">
        <v>2428.3959999999997</v>
      </c>
      <c r="H479" s="3">
        <v>9.48</v>
      </c>
      <c r="I479" s="706"/>
      <c r="J479" s="707" t="str">
        <f t="shared" si="56"/>
        <v>Warner Bros Discovery Inc</v>
      </c>
      <c r="K479" s="708" t="str">
        <f t="shared" si="56"/>
        <v>WBD</v>
      </c>
      <c r="L479" s="709">
        <f t="shared" si="50"/>
        <v>23021.1942222</v>
      </c>
      <c r="M479" s="710" t="str">
        <f t="shared" si="51"/>
        <v>0.00%</v>
      </c>
      <c r="N479" s="710" t="str">
        <f t="shared" si="52"/>
        <v>N/A</v>
      </c>
      <c r="O479" s="711" t="str">
        <f t="shared" si="53"/>
        <v>N/A</v>
      </c>
      <c r="P479" s="712" t="str">
        <f t="shared" si="54"/>
        <v>N/A</v>
      </c>
      <c r="Q479" s="713" t="str">
        <f t="shared" si="55"/>
        <v>N/A</v>
      </c>
    </row>
    <row r="480" spans="1:17">
      <c r="A480" s="3" t="s">
        <v>2127</v>
      </c>
      <c r="B480" s="3" t="s">
        <v>2751</v>
      </c>
      <c r="C480" s="3" t="s">
        <v>2128</v>
      </c>
      <c r="D480" s="3">
        <v>10021866807.25</v>
      </c>
      <c r="E480" s="3">
        <v>0</v>
      </c>
      <c r="F480" s="3">
        <v>-4.6770000000000005</v>
      </c>
      <c r="G480" s="3">
        <v>317.65029999999996</v>
      </c>
      <c r="H480" s="3">
        <v>31.55</v>
      </c>
      <c r="I480" s="706"/>
      <c r="J480" s="707" t="str">
        <f t="shared" si="56"/>
        <v>Western Digital Corp</v>
      </c>
      <c r="K480" s="708" t="str">
        <f t="shared" si="56"/>
        <v>WDC</v>
      </c>
      <c r="L480" s="709">
        <f t="shared" si="50"/>
        <v>10021.86680725</v>
      </c>
      <c r="M480" s="710">
        <f t="shared" si="51"/>
        <v>0</v>
      </c>
      <c r="N480" s="710">
        <f t="shared" si="52"/>
        <v>-4.6770000000000006E-2</v>
      </c>
      <c r="O480" s="711">
        <f t="shared" si="53"/>
        <v>-4.6770000000000006E-2</v>
      </c>
      <c r="P480" s="712">
        <f t="shared" si="54"/>
        <v>3.1295608359023643E-4</v>
      </c>
      <c r="Q480" s="713">
        <f t="shared" si="55"/>
        <v>-1.463695602951536E-5</v>
      </c>
    </row>
    <row r="481" spans="1:17">
      <c r="A481" s="3" t="s">
        <v>2129</v>
      </c>
      <c r="B481" s="3" t="s">
        <v>2752</v>
      </c>
      <c r="C481" s="3" t="s">
        <v>217</v>
      </c>
      <c r="D481" s="3">
        <v>29575141626.560001</v>
      </c>
      <c r="E481" s="3">
        <v>3.1015358361774745</v>
      </c>
      <c r="F481" s="3">
        <v>6.7700000000000005</v>
      </c>
      <c r="G481" s="3">
        <v>315.43450000000001</v>
      </c>
      <c r="H481" s="3">
        <v>93.76</v>
      </c>
      <c r="I481" s="706"/>
      <c r="J481" s="707" t="str">
        <f t="shared" si="56"/>
        <v>WEC Energy Group Inc</v>
      </c>
      <c r="K481" s="708" t="str">
        <f t="shared" si="56"/>
        <v>WEC</v>
      </c>
      <c r="L481" s="709">
        <f t="shared" si="50"/>
        <v>29575.141626560002</v>
      </c>
      <c r="M481" s="710">
        <f t="shared" si="51"/>
        <v>3.1015358361774745E-2</v>
      </c>
      <c r="N481" s="710">
        <f t="shared" si="52"/>
        <v>6.770000000000001E-2</v>
      </c>
      <c r="O481" s="711">
        <f t="shared" si="53"/>
        <v>9.9765228242320828E-2</v>
      </c>
      <c r="P481" s="712">
        <f t="shared" si="54"/>
        <v>9.2355253498071208E-4</v>
      </c>
      <c r="Q481" s="713">
        <f t="shared" si="55"/>
        <v>9.213842944612473E-5</v>
      </c>
    </row>
    <row r="482" spans="1:17">
      <c r="A482" s="3" t="s">
        <v>2317</v>
      </c>
      <c r="B482" s="3" t="s">
        <v>2753</v>
      </c>
      <c r="C482" s="3" t="s">
        <v>2318</v>
      </c>
      <c r="D482" s="3">
        <v>30973780785.300003</v>
      </c>
      <c r="E482" s="3">
        <v>3.7498093058733795</v>
      </c>
      <c r="F482" s="3">
        <v>5.49</v>
      </c>
      <c r="G482" s="3">
        <v>472.52139999999997</v>
      </c>
      <c r="H482" s="3">
        <v>65.55</v>
      </c>
      <c r="I482" s="706"/>
      <c r="J482" s="707" t="str">
        <f t="shared" si="56"/>
        <v>Welltower Inc</v>
      </c>
      <c r="K482" s="708" t="str">
        <f t="shared" si="56"/>
        <v>WELL</v>
      </c>
      <c r="L482" s="709">
        <f t="shared" si="50"/>
        <v>30973.780785300001</v>
      </c>
      <c r="M482" s="710">
        <f t="shared" si="51"/>
        <v>3.7498093058733792E-2</v>
      </c>
      <c r="N482" s="710">
        <f t="shared" si="52"/>
        <v>5.4900000000000004E-2</v>
      </c>
      <c r="O482" s="711">
        <f t="shared" si="53"/>
        <v>9.3427415713196044E-2</v>
      </c>
      <c r="P482" s="712">
        <f t="shared" si="54"/>
        <v>9.6722829338917189E-4</v>
      </c>
      <c r="Q482" s="713">
        <f t="shared" si="55"/>
        <v>9.0365639856035309E-5</v>
      </c>
    </row>
    <row r="483" spans="1:17">
      <c r="A483" s="3" t="s">
        <v>2130</v>
      </c>
      <c r="B483" s="3" t="s">
        <v>2754</v>
      </c>
      <c r="C483" s="3" t="s">
        <v>2131</v>
      </c>
      <c r="D483" s="3">
        <v>157335169178.42001</v>
      </c>
      <c r="E483" s="3">
        <v>2.637442480019375</v>
      </c>
      <c r="F483" s="3">
        <v>13.41</v>
      </c>
      <c r="G483" s="3">
        <v>3810.491</v>
      </c>
      <c r="H483" s="3">
        <v>41.29</v>
      </c>
      <c r="I483" s="706"/>
      <c r="J483" s="707" t="str">
        <f t="shared" si="56"/>
        <v>Wells Fargo &amp; Co</v>
      </c>
      <c r="K483" s="708" t="str">
        <f t="shared" si="56"/>
        <v>WFC</v>
      </c>
      <c r="L483" s="709">
        <f t="shared" si="50"/>
        <v>157335.16917842001</v>
      </c>
      <c r="M483" s="710">
        <f t="shared" si="51"/>
        <v>2.6374424800193749E-2</v>
      </c>
      <c r="N483" s="710">
        <f t="shared" si="52"/>
        <v>0.1341</v>
      </c>
      <c r="O483" s="711">
        <f t="shared" si="53"/>
        <v>0.16224282998304673</v>
      </c>
      <c r="P483" s="712">
        <f t="shared" si="54"/>
        <v>4.9131563314596454E-3</v>
      </c>
      <c r="Q483" s="713">
        <f t="shared" si="55"/>
        <v>7.9712438736513689E-4</v>
      </c>
    </row>
    <row r="484" spans="1:17">
      <c r="A484" s="3" t="s">
        <v>2132</v>
      </c>
      <c r="B484" s="3" t="s">
        <v>2755</v>
      </c>
      <c r="C484" s="3" t="s">
        <v>2133</v>
      </c>
      <c r="D484" s="3">
        <v>7706507956.8400002</v>
      </c>
      <c r="E484" s="3">
        <v>4.9483953060935955</v>
      </c>
      <c r="F484" s="3">
        <v>-2.8000000000000003</v>
      </c>
      <c r="G484" s="3">
        <v>54.478349999999999</v>
      </c>
      <c r="H484" s="3">
        <v>141.46</v>
      </c>
      <c r="I484" s="706"/>
      <c r="J484" s="707" t="str">
        <f t="shared" si="56"/>
        <v>Whirlpool Corp</v>
      </c>
      <c r="K484" s="708" t="str">
        <f t="shared" si="56"/>
        <v>WHR</v>
      </c>
      <c r="L484" s="709">
        <f t="shared" si="50"/>
        <v>7706.5079568400006</v>
      </c>
      <c r="M484" s="710">
        <f t="shared" si="51"/>
        <v>4.9483953060935955E-2</v>
      </c>
      <c r="N484" s="710">
        <f t="shared" si="52"/>
        <v>-2.8000000000000004E-2</v>
      </c>
      <c r="O484" s="711">
        <f t="shared" si="53"/>
        <v>2.0791177718082844E-2</v>
      </c>
      <c r="P484" s="712">
        <f t="shared" si="54"/>
        <v>2.4065362219590693E-4</v>
      </c>
      <c r="Q484" s="713">
        <f t="shared" si="55"/>
        <v>5.0034722275754672E-6</v>
      </c>
    </row>
    <row r="485" spans="1:17">
      <c r="A485" s="3" t="s">
        <v>2134</v>
      </c>
      <c r="B485" s="3" t="s">
        <v>2757</v>
      </c>
      <c r="C485" s="3" t="s">
        <v>2135</v>
      </c>
      <c r="D485" s="3">
        <v>64395646820.480003</v>
      </c>
      <c r="E485" s="3">
        <v>1.4864864864864864</v>
      </c>
      <c r="F485" s="3">
        <v>11.73</v>
      </c>
      <c r="G485" s="3">
        <v>410.47710000000001</v>
      </c>
      <c r="H485" s="3">
        <v>156.88</v>
      </c>
      <c r="I485" s="706"/>
      <c r="J485" s="707" t="str">
        <f t="shared" si="56"/>
        <v>Waste Management Inc</v>
      </c>
      <c r="K485" s="708" t="str">
        <f t="shared" si="56"/>
        <v>WM</v>
      </c>
      <c r="L485" s="709">
        <f t="shared" si="50"/>
        <v>64395.646820480004</v>
      </c>
      <c r="M485" s="710">
        <f t="shared" si="51"/>
        <v>1.4864864864864864E-2</v>
      </c>
      <c r="N485" s="710">
        <f t="shared" si="52"/>
        <v>0.1173</v>
      </c>
      <c r="O485" s="711">
        <f t="shared" si="53"/>
        <v>0.13303668918918921</v>
      </c>
      <c r="P485" s="712">
        <f t="shared" si="54"/>
        <v>2.0109037384749948E-3</v>
      </c>
      <c r="Q485" s="713">
        <f t="shared" si="55"/>
        <v>2.675239756448765E-4</v>
      </c>
    </row>
    <row r="486" spans="1:17">
      <c r="A486" s="3" t="s">
        <v>2136</v>
      </c>
      <c r="B486" s="3" t="s">
        <v>2758</v>
      </c>
      <c r="C486" s="3" t="s">
        <v>2137</v>
      </c>
      <c r="D486" s="3">
        <v>40083380341.199997</v>
      </c>
      <c r="E486" s="3">
        <v>5.179331306990882</v>
      </c>
      <c r="F486" s="3">
        <v>4.5</v>
      </c>
      <c r="G486" s="3">
        <v>1218.3399999999999</v>
      </c>
      <c r="H486" s="3">
        <v>32.9</v>
      </c>
      <c r="I486" s="706"/>
      <c r="J486" s="707" t="str">
        <f t="shared" si="56"/>
        <v>Williams Cos Inc/The</v>
      </c>
      <c r="K486" s="708" t="str">
        <f t="shared" si="56"/>
        <v>WMB</v>
      </c>
      <c r="L486" s="709">
        <f t="shared" si="50"/>
        <v>40083.380341199998</v>
      </c>
      <c r="M486" s="710">
        <f t="shared" si="51"/>
        <v>5.1793313069908822E-2</v>
      </c>
      <c r="N486" s="710">
        <f t="shared" si="52"/>
        <v>4.4999999999999998E-2</v>
      </c>
      <c r="O486" s="711">
        <f t="shared" si="53"/>
        <v>9.795866261398177E-2</v>
      </c>
      <c r="P486" s="712">
        <f t="shared" si="54"/>
        <v>1.251696711790764E-3</v>
      </c>
      <c r="Q486" s="713">
        <f t="shared" si="55"/>
        <v>1.2261453588534183E-4</v>
      </c>
    </row>
    <row r="487" spans="1:17">
      <c r="A487" s="3" t="s">
        <v>2138</v>
      </c>
      <c r="B487" s="3" t="s">
        <v>2759</v>
      </c>
      <c r="C487" s="3" t="s">
        <v>2139</v>
      </c>
      <c r="D487" s="3">
        <v>382379279656.65991</v>
      </c>
      <c r="E487" s="3">
        <v>1.5924959447069611</v>
      </c>
      <c r="F487" s="3">
        <v>6</v>
      </c>
      <c r="G487" s="3">
        <v>2696.7999999999997</v>
      </c>
      <c r="H487" s="3">
        <v>141.79</v>
      </c>
      <c r="I487" s="706"/>
      <c r="J487" s="707" t="str">
        <f t="shared" si="56"/>
        <v>Walmart Inc</v>
      </c>
      <c r="K487" s="708" t="str">
        <f t="shared" si="56"/>
        <v>WMT</v>
      </c>
      <c r="L487" s="709">
        <f t="shared" si="50"/>
        <v>382379.27965665993</v>
      </c>
      <c r="M487" s="710">
        <f t="shared" si="51"/>
        <v>1.5924959447069609E-2</v>
      </c>
      <c r="N487" s="710">
        <f t="shared" si="52"/>
        <v>0.06</v>
      </c>
      <c r="O487" s="711">
        <f t="shared" si="53"/>
        <v>7.6402708230481703E-2</v>
      </c>
      <c r="P487" s="712">
        <f t="shared" si="54"/>
        <v>1.1940681722175165E-2</v>
      </c>
      <c r="Q487" s="713">
        <f t="shared" si="55"/>
        <v>9.1230042169239487E-4</v>
      </c>
    </row>
    <row r="488" spans="1:17">
      <c r="A488" s="3" t="s">
        <v>2979</v>
      </c>
      <c r="B488" s="3" t="s">
        <v>3040</v>
      </c>
      <c r="C488" s="3" t="s">
        <v>2980</v>
      </c>
      <c r="D488" s="3">
        <v>19265602100.969997</v>
      </c>
      <c r="E488" s="3">
        <v>1.9539754719581093</v>
      </c>
      <c r="F488" s="3">
        <v>9.2669999999999995</v>
      </c>
      <c r="G488" s="3">
        <v>265.47609999999997</v>
      </c>
      <c r="H488" s="3">
        <v>72.569999999999993</v>
      </c>
      <c r="I488" s="706"/>
      <c r="J488" s="707" t="str">
        <f t="shared" si="56"/>
        <v>W R Berkley Corp</v>
      </c>
      <c r="K488" s="708" t="str">
        <f t="shared" si="56"/>
        <v>WRB</v>
      </c>
      <c r="L488" s="709">
        <f t="shared" si="50"/>
        <v>19265.602100969998</v>
      </c>
      <c r="M488" s="710">
        <f t="shared" si="51"/>
        <v>1.9539754719581092E-2</v>
      </c>
      <c r="N488" s="710">
        <f t="shared" si="52"/>
        <v>9.2669999999999988E-2</v>
      </c>
      <c r="O488" s="711">
        <f t="shared" si="53"/>
        <v>0.11311512925451286</v>
      </c>
      <c r="P488" s="712">
        <f t="shared" si="54"/>
        <v>6.0161320215967201E-4</v>
      </c>
      <c r="Q488" s="713">
        <f t="shared" si="55"/>
        <v>6.8051555123512672E-5</v>
      </c>
    </row>
    <row r="489" spans="1:17">
      <c r="A489" s="3" t="s">
        <v>2140</v>
      </c>
      <c r="B489" s="3" t="s">
        <v>2760</v>
      </c>
      <c r="C489" s="3" t="s">
        <v>2141</v>
      </c>
      <c r="D489" s="3">
        <v>8948854813.7999992</v>
      </c>
      <c r="E489" s="3">
        <v>3.3959044368600684</v>
      </c>
      <c r="F489" s="3">
        <v>-15.59</v>
      </c>
      <c r="G489" s="3">
        <v>254.51809999999998</v>
      </c>
      <c r="H489" s="3">
        <v>35.159999999999997</v>
      </c>
      <c r="I489" s="706"/>
      <c r="J489" s="707" t="str">
        <f t="shared" si="56"/>
        <v>Westrock Co</v>
      </c>
      <c r="K489" s="708" t="str">
        <f t="shared" si="56"/>
        <v>WRK</v>
      </c>
      <c r="L489" s="709">
        <f t="shared" si="50"/>
        <v>8948.8548137999987</v>
      </c>
      <c r="M489" s="710">
        <f t="shared" si="51"/>
        <v>3.3959044368600685E-2</v>
      </c>
      <c r="N489" s="710">
        <f t="shared" si="52"/>
        <v>-0.15590000000000001</v>
      </c>
      <c r="O489" s="711">
        <f t="shared" si="53"/>
        <v>-0.12458806313993175</v>
      </c>
      <c r="P489" s="712">
        <f t="shared" si="54"/>
        <v>2.7944879023122503E-4</v>
      </c>
      <c r="Q489" s="713">
        <f t="shared" si="55"/>
        <v>-3.4815983521705407E-5</v>
      </c>
    </row>
    <row r="490" spans="1:17">
      <c r="A490" s="3" t="s">
        <v>3041</v>
      </c>
      <c r="B490" s="3" t="s">
        <v>3042</v>
      </c>
      <c r="C490" s="3" t="s">
        <v>3019</v>
      </c>
      <c r="D490" s="3">
        <v>17423663490.450001</v>
      </c>
      <c r="E490" s="3">
        <v>0.30082855321861057</v>
      </c>
      <c r="F490" s="3">
        <v>11.08</v>
      </c>
      <c r="G490" s="3">
        <v>74.032989999999998</v>
      </c>
      <c r="H490" s="3">
        <v>235.35</v>
      </c>
      <c r="I490" s="706"/>
      <c r="J490" s="707" t="str">
        <f t="shared" si="56"/>
        <v>West Pharmaceutical Services Inc</v>
      </c>
      <c r="K490" s="708" t="str">
        <f t="shared" si="56"/>
        <v>WST</v>
      </c>
      <c r="L490" s="709">
        <f t="shared" si="50"/>
        <v>17423.663490450002</v>
      </c>
      <c r="M490" s="710">
        <f t="shared" si="51"/>
        <v>3.0082855321861058E-3</v>
      </c>
      <c r="N490" s="710">
        <f t="shared" si="52"/>
        <v>0.1108</v>
      </c>
      <c r="O490" s="711">
        <f t="shared" si="53"/>
        <v>0.11397494455066921</v>
      </c>
      <c r="P490" s="712">
        <f t="shared" si="54"/>
        <v>5.4409438806557854E-4</v>
      </c>
      <c r="Q490" s="713">
        <f t="shared" si="55"/>
        <v>6.2013127710104608E-5</v>
      </c>
    </row>
    <row r="491" spans="1:17">
      <c r="A491" s="3" t="s">
        <v>4342</v>
      </c>
      <c r="B491" s="3" t="s">
        <v>2756</v>
      </c>
      <c r="C491" s="3" t="s">
        <v>4343</v>
      </c>
      <c r="D491" s="3">
        <v>26472757344.18</v>
      </c>
      <c r="E491" s="3">
        <v>1.3431188159293481</v>
      </c>
      <c r="F491" s="3">
        <v>15.515000000000001</v>
      </c>
      <c r="G491" s="3">
        <v>108.2376</v>
      </c>
      <c r="H491" s="3">
        <v>244.58</v>
      </c>
      <c r="I491" s="706"/>
      <c r="J491" s="707" t="str">
        <f t="shared" si="56"/>
        <v>Willis Towers Watson PLC</v>
      </c>
      <c r="K491" s="708" t="str">
        <f t="shared" si="56"/>
        <v>WTW</v>
      </c>
      <c r="L491" s="709">
        <f t="shared" si="50"/>
        <v>26472.757344180001</v>
      </c>
      <c r="M491" s="710">
        <f t="shared" si="51"/>
        <v>1.3431188159293481E-2</v>
      </c>
      <c r="N491" s="710">
        <f t="shared" si="52"/>
        <v>0.15515000000000001</v>
      </c>
      <c r="O491" s="711">
        <f t="shared" si="53"/>
        <v>0.16962311258075069</v>
      </c>
      <c r="P491" s="712">
        <f t="shared" si="54"/>
        <v>8.2667337529130399E-4</v>
      </c>
      <c r="Q491" s="713">
        <f t="shared" si="55"/>
        <v>1.4022291100454601E-4</v>
      </c>
    </row>
    <row r="492" spans="1:17">
      <c r="A492" s="3" t="s">
        <v>2143</v>
      </c>
      <c r="B492" s="3" t="s">
        <v>2761</v>
      </c>
      <c r="C492" s="3" t="s">
        <v>2144</v>
      </c>
      <c r="D492" s="3">
        <v>22813427000</v>
      </c>
      <c r="E492" s="3">
        <v>5.9580645161290322</v>
      </c>
      <c r="F492" s="3">
        <v>-14</v>
      </c>
      <c r="G492" s="3">
        <v>735.91699999999992</v>
      </c>
      <c r="H492" s="3">
        <v>31</v>
      </c>
      <c r="I492" s="706"/>
      <c r="J492" s="707" t="str">
        <f t="shared" si="56"/>
        <v>Weyerhaeuser Co</v>
      </c>
      <c r="K492" s="708" t="str">
        <f t="shared" si="56"/>
        <v>WY</v>
      </c>
      <c r="L492" s="709">
        <f t="shared" si="50"/>
        <v>22813.427</v>
      </c>
      <c r="M492" s="710">
        <f t="shared" si="51"/>
        <v>5.9580645161290323E-2</v>
      </c>
      <c r="N492" s="710">
        <f t="shared" si="52"/>
        <v>-0.14000000000000001</v>
      </c>
      <c r="O492" s="711">
        <f t="shared" si="53"/>
        <v>-8.4590000000000026E-2</v>
      </c>
      <c r="P492" s="712">
        <f t="shared" si="54"/>
        <v>7.1240228038421346E-4</v>
      </c>
      <c r="Q492" s="713">
        <f t="shared" si="55"/>
        <v>-6.0262108897700638E-5</v>
      </c>
    </row>
    <row r="493" spans="1:17">
      <c r="A493" s="3" t="s">
        <v>2145</v>
      </c>
      <c r="B493" s="3" t="s">
        <v>2762</v>
      </c>
      <c r="C493" s="3" t="s">
        <v>2146</v>
      </c>
      <c r="D493" s="3">
        <v>9344971849.7700005</v>
      </c>
      <c r="E493" s="3">
        <v>0</v>
      </c>
      <c r="F493" s="3">
        <v>-152.72</v>
      </c>
      <c r="G493" s="3">
        <v>113.31359999999999</v>
      </c>
      <c r="H493" s="3">
        <v>82.47</v>
      </c>
      <c r="I493" s="706"/>
      <c r="J493" s="707" t="str">
        <f t="shared" si="56"/>
        <v>Wynn Resorts Ltd</v>
      </c>
      <c r="K493" s="708" t="str">
        <f t="shared" si="56"/>
        <v>WYNN</v>
      </c>
      <c r="L493" s="709">
        <f t="shared" si="50"/>
        <v>9344.9718497699996</v>
      </c>
      <c r="M493" s="710">
        <f t="shared" si="51"/>
        <v>0</v>
      </c>
      <c r="N493" s="710">
        <f t="shared" si="52"/>
        <v>-1.5271999999999999</v>
      </c>
      <c r="O493" s="711">
        <f t="shared" si="53"/>
        <v>-1.5271999999999999</v>
      </c>
      <c r="P493" s="712">
        <f t="shared" si="54"/>
        <v>2.9181846532318136E-4</v>
      </c>
      <c r="Q493" s="713">
        <f t="shared" si="55"/>
        <v>-4.4566516024156251E-4</v>
      </c>
    </row>
    <row r="494" spans="1:17">
      <c r="A494" s="3" t="s">
        <v>2308</v>
      </c>
      <c r="B494" s="3" t="s">
        <v>2763</v>
      </c>
      <c r="C494" s="3" t="s">
        <v>218</v>
      </c>
      <c r="D494" s="3">
        <v>38367592054.560005</v>
      </c>
      <c r="E494" s="3">
        <v>2.7742119526458424</v>
      </c>
      <c r="F494" s="3">
        <v>6.4649999999999999</v>
      </c>
      <c r="G494" s="3">
        <v>547.24849999999992</v>
      </c>
      <c r="H494" s="3">
        <v>70.11</v>
      </c>
      <c r="I494" s="706"/>
      <c r="J494" s="707" t="str">
        <f t="shared" si="56"/>
        <v>Xcel Energy Inc</v>
      </c>
      <c r="K494" s="708" t="str">
        <f t="shared" si="56"/>
        <v>XEL</v>
      </c>
      <c r="L494" s="709">
        <f t="shared" si="50"/>
        <v>38367.592054560002</v>
      </c>
      <c r="M494" s="710">
        <f t="shared" si="51"/>
        <v>2.7742119526458425E-2</v>
      </c>
      <c r="N494" s="710">
        <f t="shared" si="52"/>
        <v>6.4649999999999999E-2</v>
      </c>
      <c r="O494" s="711">
        <f t="shared" si="53"/>
        <v>9.3288883540151191E-2</v>
      </c>
      <c r="P494" s="712">
        <f t="shared" si="54"/>
        <v>1.1981172347547686E-3</v>
      </c>
      <c r="Q494" s="713">
        <f t="shared" si="55"/>
        <v>1.1177101918048559E-4</v>
      </c>
    </row>
    <row r="495" spans="1:17">
      <c r="A495" s="3" t="s">
        <v>2147</v>
      </c>
      <c r="B495" s="3" t="s">
        <v>2764</v>
      </c>
      <c r="C495" s="3" t="s">
        <v>2148</v>
      </c>
      <c r="D495" s="3">
        <v>454247764336.30005</v>
      </c>
      <c r="E495" s="3">
        <v>3.2638259292837715</v>
      </c>
      <c r="F495" s="3">
        <v>23.382999999999999</v>
      </c>
      <c r="G495" s="3">
        <v>4118.2929999999997</v>
      </c>
      <c r="H495" s="3">
        <v>110.3</v>
      </c>
      <c r="I495" s="706"/>
      <c r="J495" s="707" t="str">
        <f t="shared" si="56"/>
        <v>Exxon Mobil Corp</v>
      </c>
      <c r="K495" s="708" t="str">
        <f t="shared" si="56"/>
        <v>XOM</v>
      </c>
      <c r="L495" s="709">
        <f t="shared" si="50"/>
        <v>454247.76433630002</v>
      </c>
      <c r="M495" s="710">
        <f t="shared" si="51"/>
        <v>3.2638259292837715E-2</v>
      </c>
      <c r="N495" s="710">
        <f t="shared" si="52"/>
        <v>0.23382999999999998</v>
      </c>
      <c r="O495" s="711">
        <f t="shared" si="53"/>
        <v>0.27028416137805983</v>
      </c>
      <c r="P495" s="712">
        <f t="shared" si="54"/>
        <v>1.418494219095671E-2</v>
      </c>
      <c r="Q495" s="713">
        <f t="shared" si="55"/>
        <v>3.833965204278993E-3</v>
      </c>
    </row>
    <row r="496" spans="1:17">
      <c r="A496" s="3" t="s">
        <v>2149</v>
      </c>
      <c r="B496" s="3" t="s">
        <v>2765</v>
      </c>
      <c r="C496" s="3" t="s">
        <v>2150</v>
      </c>
      <c r="D496" s="3">
        <v>6842794450.2400007</v>
      </c>
      <c r="E496" s="3">
        <v>1.4855527638190955</v>
      </c>
      <c r="F496" s="3" t="s">
        <v>1483</v>
      </c>
      <c r="G496" s="3">
        <v>214.9119</v>
      </c>
      <c r="H496" s="3">
        <v>31.84</v>
      </c>
      <c r="I496" s="706"/>
      <c r="J496" s="707" t="str">
        <f t="shared" si="56"/>
        <v>DENTSPLY SIRONA Inc</v>
      </c>
      <c r="K496" s="708" t="str">
        <f t="shared" si="56"/>
        <v>XRAY</v>
      </c>
      <c r="L496" s="709">
        <f t="shared" si="50"/>
        <v>6842.7944502400005</v>
      </c>
      <c r="M496" s="710">
        <f t="shared" si="51"/>
        <v>1.4855527638190955E-2</v>
      </c>
      <c r="N496" s="710" t="str">
        <f t="shared" si="52"/>
        <v>N/A</v>
      </c>
      <c r="O496" s="711" t="str">
        <f t="shared" si="53"/>
        <v>N/A</v>
      </c>
      <c r="P496" s="712" t="str">
        <f t="shared" si="54"/>
        <v>N/A</v>
      </c>
      <c r="Q496" s="713" t="str">
        <f t="shared" si="55"/>
        <v>N/A</v>
      </c>
    </row>
    <row r="497" spans="1:17">
      <c r="A497" s="3" t="s">
        <v>2151</v>
      </c>
      <c r="B497" s="3" t="s">
        <v>2766</v>
      </c>
      <c r="C497" s="3" t="s">
        <v>2152</v>
      </c>
      <c r="D497" s="3">
        <v>19927094793.239998</v>
      </c>
      <c r="E497" s="3">
        <v>1.0834765307045311</v>
      </c>
      <c r="F497" s="3" t="s">
        <v>1483</v>
      </c>
      <c r="G497" s="3">
        <v>180.22149999999999</v>
      </c>
      <c r="H497" s="3">
        <v>110.57</v>
      </c>
      <c r="I497" s="706"/>
      <c r="J497" s="707" t="str">
        <f t="shared" si="56"/>
        <v>Xylem Inc/NY</v>
      </c>
      <c r="K497" s="708" t="str">
        <f t="shared" si="56"/>
        <v>XYL</v>
      </c>
      <c r="L497" s="709">
        <f t="shared" si="50"/>
        <v>19927.094793239998</v>
      </c>
      <c r="M497" s="710">
        <f t="shared" si="51"/>
        <v>1.0834765307045311E-2</v>
      </c>
      <c r="N497" s="710" t="str">
        <f t="shared" si="52"/>
        <v>N/A</v>
      </c>
      <c r="O497" s="711" t="str">
        <f t="shared" si="53"/>
        <v>N/A</v>
      </c>
      <c r="P497" s="712" t="str">
        <f t="shared" si="54"/>
        <v>N/A</v>
      </c>
      <c r="Q497" s="713" t="str">
        <f t="shared" si="55"/>
        <v>N/A</v>
      </c>
    </row>
    <row r="498" spans="1:17">
      <c r="A498" s="3" t="s">
        <v>2153</v>
      </c>
      <c r="B498" s="3" t="s">
        <v>2767</v>
      </c>
      <c r="C498" s="3" t="s">
        <v>2154</v>
      </c>
      <c r="D498" s="3">
        <v>36078581877.280006</v>
      </c>
      <c r="E498" s="3">
        <v>1.778575890068707</v>
      </c>
      <c r="F498" s="3">
        <v>12.143000000000001</v>
      </c>
      <c r="G498" s="3">
        <v>281.68790000000001</v>
      </c>
      <c r="H498" s="3">
        <v>128.08000000000001</v>
      </c>
      <c r="I498" s="706"/>
      <c r="J498" s="707" t="str">
        <f t="shared" si="56"/>
        <v>Yum! Brands Inc</v>
      </c>
      <c r="K498" s="708" t="str">
        <f t="shared" si="56"/>
        <v>YUM</v>
      </c>
      <c r="L498" s="709">
        <f t="shared" si="50"/>
        <v>36078.581877280005</v>
      </c>
      <c r="M498" s="710">
        <f t="shared" si="51"/>
        <v>1.7785758900687069E-2</v>
      </c>
      <c r="N498" s="710">
        <f t="shared" si="52"/>
        <v>0.12143000000000001</v>
      </c>
      <c r="O498" s="711">
        <f t="shared" si="53"/>
        <v>0.1402956212523423</v>
      </c>
      <c r="P498" s="712">
        <f t="shared" si="54"/>
        <v>1.1266375719177497E-3</v>
      </c>
      <c r="Q498" s="713">
        <f t="shared" si="55"/>
        <v>1.5806231807843115E-4</v>
      </c>
    </row>
    <row r="499" spans="1:17">
      <c r="A499" s="3" t="s">
        <v>2155</v>
      </c>
      <c r="B499" s="3" t="s">
        <v>2768</v>
      </c>
      <c r="C499" s="3" t="s">
        <v>2156</v>
      </c>
      <c r="D499" s="3">
        <v>26756179980</v>
      </c>
      <c r="E499" s="3">
        <v>0.74745098039215696</v>
      </c>
      <c r="F499" s="3">
        <v>5.657</v>
      </c>
      <c r="G499" s="3">
        <v>209.85239999999999</v>
      </c>
      <c r="H499" s="3">
        <v>127.5</v>
      </c>
      <c r="I499" s="706"/>
      <c r="J499" s="707" t="str">
        <f t="shared" si="56"/>
        <v>Zimmer Biomet Holdings Inc</v>
      </c>
      <c r="K499" s="708" t="str">
        <f t="shared" si="56"/>
        <v>ZBH</v>
      </c>
      <c r="L499" s="709">
        <f t="shared" si="50"/>
        <v>26756.179980000001</v>
      </c>
      <c r="M499" s="710">
        <f t="shared" si="51"/>
        <v>7.4745098039215698E-3</v>
      </c>
      <c r="N499" s="710">
        <f t="shared" si="52"/>
        <v>5.6570000000000002E-2</v>
      </c>
      <c r="O499" s="711">
        <f t="shared" si="53"/>
        <v>6.4255926313725495E-2</v>
      </c>
      <c r="P499" s="712">
        <f t="shared" si="54"/>
        <v>8.3552390581750121E-4</v>
      </c>
      <c r="Q499" s="713">
        <f t="shared" si="55"/>
        <v>5.3687362525565478E-5</v>
      </c>
    </row>
    <row r="500" spans="1:17">
      <c r="A500" s="3" t="s">
        <v>2981</v>
      </c>
      <c r="B500" s="3" t="s">
        <v>2982</v>
      </c>
      <c r="C500" s="3" t="s">
        <v>2983</v>
      </c>
      <c r="D500" s="3">
        <v>13238396505.180002</v>
      </c>
      <c r="E500" s="3" t="s">
        <v>1483</v>
      </c>
      <c r="F500" s="3" t="s">
        <v>1483</v>
      </c>
      <c r="G500" s="3">
        <v>51.629799999999996</v>
      </c>
      <c r="H500" s="3">
        <v>256.41000000000003</v>
      </c>
      <c r="I500" s="706"/>
      <c r="J500" s="707" t="str">
        <f t="shared" si="56"/>
        <v>Zebra Technologies Corp</v>
      </c>
      <c r="K500" s="708" t="str">
        <f t="shared" si="56"/>
        <v>ZBRA</v>
      </c>
      <c r="L500" s="709">
        <f t="shared" si="50"/>
        <v>13238.396505180002</v>
      </c>
      <c r="M500" s="710" t="str">
        <f t="shared" si="51"/>
        <v>0.00%</v>
      </c>
      <c r="N500" s="710" t="str">
        <f t="shared" si="52"/>
        <v>N/A</v>
      </c>
      <c r="O500" s="711" t="str">
        <f t="shared" si="53"/>
        <v>N/A</v>
      </c>
      <c r="P500" s="712" t="str">
        <f t="shared" si="54"/>
        <v>N/A</v>
      </c>
      <c r="Q500" s="713" t="str">
        <f t="shared" si="55"/>
        <v>N/A</v>
      </c>
    </row>
    <row r="501" spans="1:17">
      <c r="A501" s="3" t="s">
        <v>2157</v>
      </c>
      <c r="B501" s="3" t="s">
        <v>2769</v>
      </c>
      <c r="C501" s="3" t="s">
        <v>2158</v>
      </c>
      <c r="D501" s="3">
        <v>7355208786.6399984</v>
      </c>
      <c r="E501" s="3">
        <v>3.1997558991049631</v>
      </c>
      <c r="F501" s="3">
        <v>4.8899999999999997</v>
      </c>
      <c r="G501" s="3">
        <v>149.61779999999999</v>
      </c>
      <c r="H501" s="3">
        <v>49.16</v>
      </c>
      <c r="I501" s="706"/>
      <c r="J501" s="707" t="str">
        <f t="shared" si="56"/>
        <v>Zions Bancorp NA</v>
      </c>
      <c r="K501" s="708" t="str">
        <f t="shared" si="56"/>
        <v>ZION</v>
      </c>
      <c r="L501" s="709">
        <f t="shared" si="50"/>
        <v>7355.2087866399988</v>
      </c>
      <c r="M501" s="710">
        <f t="shared" si="51"/>
        <v>3.1997558991049634E-2</v>
      </c>
      <c r="N501" s="710">
        <f t="shared" si="52"/>
        <v>4.8899999999999999E-2</v>
      </c>
      <c r="O501" s="711">
        <f t="shared" si="53"/>
        <v>8.1679899308380793E-2</v>
      </c>
      <c r="P501" s="712">
        <f t="shared" si="54"/>
        <v>2.2968348912701011E-4</v>
      </c>
      <c r="Q501" s="713">
        <f t="shared" si="55"/>
        <v>1.8760524264691762E-5</v>
      </c>
    </row>
    <row r="502" spans="1:17">
      <c r="A502" s="3" t="s">
        <v>2159</v>
      </c>
      <c r="B502" s="3" t="s">
        <v>2770</v>
      </c>
      <c r="C502" s="3" t="s">
        <v>2160</v>
      </c>
      <c r="D502" s="3">
        <v>68302850867.25</v>
      </c>
      <c r="E502" s="3">
        <v>0.87205731832139188</v>
      </c>
      <c r="F502" s="3">
        <v>9.67</v>
      </c>
      <c r="G502" s="3">
        <v>466.072</v>
      </c>
      <c r="H502" s="3">
        <v>146.55000000000001</v>
      </c>
      <c r="I502" s="706"/>
      <c r="J502" s="707" t="str">
        <f t="shared" si="56"/>
        <v>Zoetis Inc</v>
      </c>
      <c r="K502" s="708" t="str">
        <f t="shared" si="56"/>
        <v>ZTS</v>
      </c>
      <c r="L502" s="709">
        <f t="shared" si="50"/>
        <v>68302.850867250003</v>
      </c>
      <c r="M502" s="710">
        <f t="shared" si="51"/>
        <v>8.7205731832139186E-3</v>
      </c>
      <c r="N502" s="710">
        <f t="shared" si="52"/>
        <v>9.6699999999999994E-2</v>
      </c>
      <c r="O502" s="711">
        <f t="shared" si="53"/>
        <v>0.10584221289662231</v>
      </c>
      <c r="P502" s="712">
        <f t="shared" si="54"/>
        <v>2.1329152658463701E-3</v>
      </c>
      <c r="Q502" s="713">
        <f t="shared" si="55"/>
        <v>2.2575247165816726E-4</v>
      </c>
    </row>
    <row r="503" spans="1:17" ht="38.25" customHeight="1">
      <c r="L503" s="714"/>
      <c r="P503" s="706"/>
    </row>
    <row r="504" spans="1:17" s="12" customFormat="1" ht="33" customHeight="1">
      <c r="J504" s="715"/>
      <c r="K504" s="716" t="s">
        <v>2207</v>
      </c>
      <c r="L504" s="717">
        <f>SUMIF(O3:O502,"&lt;&gt;n/a",L3:L502)</f>
        <v>32023236.910045039</v>
      </c>
      <c r="M504" s="718"/>
      <c r="N504" s="719"/>
      <c r="O504" s="719"/>
      <c r="P504" s="720" t="s">
        <v>2208</v>
      </c>
      <c r="Q504" s="720">
        <f>SUM(Q3:Q502)</f>
        <v>0.11058401239764015</v>
      </c>
    </row>
    <row r="505" spans="1:17">
      <c r="L505" s="51"/>
    </row>
  </sheetData>
  <sortState ref="A3:Q502">
    <sortCondition ref="F3:F502"/>
  </sortStat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507"/>
  <sheetViews>
    <sheetView topLeftCell="A470" zoomScale="85" zoomScaleNormal="85" workbookViewId="0">
      <selection activeCell="H504" sqref="H504"/>
    </sheetView>
  </sheetViews>
  <sheetFormatPr defaultColWidth="8.6640625" defaultRowHeight="15"/>
  <cols>
    <col min="1" max="1" width="35" style="3" bestFit="1" customWidth="1"/>
    <col min="2" max="2" width="9" style="3" customWidth="1"/>
    <col min="3" max="3" width="22.6640625" style="3" bestFit="1" customWidth="1"/>
    <col min="4" max="5" width="11.6640625" style="3" customWidth="1"/>
    <col min="6" max="6" width="13" style="3" customWidth="1"/>
    <col min="7" max="7" width="12.6640625" style="3" customWidth="1"/>
    <col min="8" max="8" width="11.109375" style="3" customWidth="1"/>
    <col min="9" max="16384" width="8.6640625" style="3"/>
  </cols>
  <sheetData>
    <row r="1" spans="1:8">
      <c r="A1" s="3" t="s">
        <v>2236</v>
      </c>
      <c r="C1" s="75">
        <v>44925</v>
      </c>
    </row>
    <row r="3" spans="1:8" ht="45">
      <c r="A3" s="699" t="s">
        <v>155</v>
      </c>
      <c r="B3" s="699" t="s">
        <v>181</v>
      </c>
      <c r="C3" s="699" t="s">
        <v>2237</v>
      </c>
      <c r="D3" s="439" t="s">
        <v>2238</v>
      </c>
      <c r="E3" s="439" t="s">
        <v>2239</v>
      </c>
      <c r="F3" s="439" t="s">
        <v>2203</v>
      </c>
      <c r="G3" s="439" t="s">
        <v>2200</v>
      </c>
      <c r="H3" s="439" t="s">
        <v>2240</v>
      </c>
    </row>
    <row r="4" spans="1:8" ht="15.6">
      <c r="A4" s="3" t="s">
        <v>2335</v>
      </c>
      <c r="B4" s="3" t="s">
        <v>192</v>
      </c>
      <c r="C4" s="721">
        <v>44456.66</v>
      </c>
      <c r="D4" s="722">
        <v>6.0000000000000001E-3</v>
      </c>
      <c r="E4" s="723">
        <v>0.12</v>
      </c>
      <c r="F4" s="724">
        <f t="shared" ref="F4:F67" si="0">IFERROR(D4*(1+0.5*E4)+E4,"N/A")</f>
        <v>0.12636</v>
      </c>
      <c r="G4" s="724">
        <f t="shared" ref="G4:G67" si="1">IF(F4="N/A","N/A",C4/$C$504)</f>
        <v>1.3512790960852502E-3</v>
      </c>
      <c r="H4" s="725">
        <f>IF(ISNUMBER(G4),F4*G4,"N/A")</f>
        <v>1.7074762658133221E-4</v>
      </c>
    </row>
    <row r="5" spans="1:8" ht="15.6">
      <c r="A5" s="3" t="s">
        <v>2336</v>
      </c>
      <c r="B5" s="3" t="s">
        <v>1486</v>
      </c>
      <c r="C5" s="721">
        <v>8467.7199999999993</v>
      </c>
      <c r="D5" s="722">
        <v>0</v>
      </c>
      <c r="E5" s="723" t="s">
        <v>4148</v>
      </c>
      <c r="F5" s="724" t="str">
        <f t="shared" si="0"/>
        <v>N/A</v>
      </c>
      <c r="G5" s="724" t="str">
        <f t="shared" si="1"/>
        <v>N/A</v>
      </c>
      <c r="H5" s="725" t="str">
        <f t="shared" ref="H5:H68" si="2">IF(ISNUMBER(G5),F5*G5,"N/A")</f>
        <v>N/A</v>
      </c>
    </row>
    <row r="6" spans="1:8" ht="15.6">
      <c r="A6" s="3" t="s">
        <v>2337</v>
      </c>
      <c r="B6" s="3" t="s">
        <v>1488</v>
      </c>
      <c r="C6" s="721">
        <v>8494.14</v>
      </c>
      <c r="D6" s="722">
        <v>4.2199999999999994E-2</v>
      </c>
      <c r="E6" s="723">
        <v>0.155</v>
      </c>
      <c r="F6" s="724">
        <f t="shared" si="0"/>
        <v>0.2004705</v>
      </c>
      <c r="G6" s="724">
        <f t="shared" si="1"/>
        <v>2.5818299938010561E-4</v>
      </c>
      <c r="H6" s="725">
        <f t="shared" si="2"/>
        <v>5.1758074977229464E-5</v>
      </c>
    </row>
    <row r="7" spans="1:8" ht="15.6">
      <c r="A7" s="3" t="s">
        <v>2338</v>
      </c>
      <c r="B7" s="3" t="s">
        <v>1490</v>
      </c>
      <c r="C7" s="721">
        <v>2180119</v>
      </c>
      <c r="D7" s="722">
        <v>6.8000000000000005E-3</v>
      </c>
      <c r="E7" s="723">
        <v>0.13500000000000001</v>
      </c>
      <c r="F7" s="724">
        <f t="shared" si="0"/>
        <v>0.142259</v>
      </c>
      <c r="G7" s="724">
        <f t="shared" si="1"/>
        <v>6.6265644600342885E-2</v>
      </c>
      <c r="H7" s="725">
        <f t="shared" si="2"/>
        <v>9.4268843352001783E-3</v>
      </c>
    </row>
    <row r="8" spans="1:8" ht="15.6">
      <c r="A8" s="3" t="s">
        <v>2339</v>
      </c>
      <c r="B8" s="3" t="s">
        <v>1492</v>
      </c>
      <c r="C8" s="721">
        <v>286852.3</v>
      </c>
      <c r="D8" s="722">
        <v>3.6499999999999998E-2</v>
      </c>
      <c r="E8" s="723">
        <v>4.4999999999999998E-2</v>
      </c>
      <c r="F8" s="724">
        <f t="shared" si="0"/>
        <v>8.2321249999999985E-2</v>
      </c>
      <c r="G8" s="724">
        <f t="shared" si="1"/>
        <v>8.7189977081943391E-3</v>
      </c>
      <c r="H8" s="725">
        <f t="shared" si="2"/>
        <v>7.1775879008569314E-4</v>
      </c>
    </row>
    <row r="9" spans="1:8" ht="15.6">
      <c r="A9" s="3" t="s">
        <v>2340</v>
      </c>
      <c r="B9" s="3" t="s">
        <v>1312</v>
      </c>
      <c r="C9" s="721">
        <v>35195.03</v>
      </c>
      <c r="D9" s="722">
        <v>1.15E-2</v>
      </c>
      <c r="E9" s="723">
        <v>8.5000000000000006E-2</v>
      </c>
      <c r="F9" s="724">
        <f t="shared" si="0"/>
        <v>9.6988750000000012E-2</v>
      </c>
      <c r="G9" s="724">
        <f t="shared" si="1"/>
        <v>1.069767911604094E-3</v>
      </c>
      <c r="H9" s="725">
        <f t="shared" si="2"/>
        <v>1.0375545253659159E-4</v>
      </c>
    </row>
    <row r="10" spans="1:8" ht="15.6">
      <c r="A10" s="3" t="s">
        <v>2341</v>
      </c>
      <c r="B10" s="3" t="s">
        <v>1495</v>
      </c>
      <c r="C10" s="721">
        <v>188550.1</v>
      </c>
      <c r="D10" s="722">
        <v>1.89E-2</v>
      </c>
      <c r="E10" s="723">
        <v>7.0000000000000007E-2</v>
      </c>
      <c r="F10" s="724">
        <f t="shared" si="0"/>
        <v>8.9561500000000002E-2</v>
      </c>
      <c r="G10" s="724">
        <f t="shared" si="1"/>
        <v>5.7310605136504525E-3</v>
      </c>
      <c r="H10" s="725">
        <f t="shared" si="2"/>
        <v>5.1328237619330502E-4</v>
      </c>
    </row>
    <row r="11" spans="1:8" ht="15.6">
      <c r="A11" s="3" t="s">
        <v>4543</v>
      </c>
      <c r="B11" s="3" t="s">
        <v>4544</v>
      </c>
      <c r="C11" s="721">
        <v>23400.240000000002</v>
      </c>
      <c r="D11" s="722">
        <v>0</v>
      </c>
      <c r="E11" s="723">
        <v>0.19500000000000001</v>
      </c>
      <c r="F11" s="724">
        <f t="shared" si="0"/>
        <v>0.19500000000000001</v>
      </c>
      <c r="G11" s="724">
        <f t="shared" si="1"/>
        <v>7.1126025111598382E-4</v>
      </c>
      <c r="H11" s="725">
        <f t="shared" si="2"/>
        <v>1.3869574896761686E-4</v>
      </c>
    </row>
    <row r="12" spans="1:8" ht="15.6">
      <c r="A12" s="3" t="s">
        <v>2342</v>
      </c>
      <c r="B12" s="3" t="s">
        <v>1497</v>
      </c>
      <c r="C12" s="721">
        <v>169404.3</v>
      </c>
      <c r="D12" s="722">
        <v>1.67E-2</v>
      </c>
      <c r="E12" s="723">
        <v>0.12</v>
      </c>
      <c r="F12" s="724">
        <f t="shared" si="0"/>
        <v>0.13770199999999999</v>
      </c>
      <c r="G12" s="724">
        <f t="shared" si="1"/>
        <v>5.1491157765103032E-3</v>
      </c>
      <c r="H12" s="725">
        <f t="shared" si="2"/>
        <v>7.0904354065702178E-4</v>
      </c>
    </row>
    <row r="13" spans="1:8" ht="15.6">
      <c r="A13" s="3" t="s">
        <v>2343</v>
      </c>
      <c r="B13" s="3" t="s">
        <v>1499</v>
      </c>
      <c r="C13" s="721">
        <v>159424.5</v>
      </c>
      <c r="D13" s="722">
        <v>0</v>
      </c>
      <c r="E13" s="723">
        <v>0.13500000000000001</v>
      </c>
      <c r="F13" s="724">
        <f t="shared" si="0"/>
        <v>0.13500000000000001</v>
      </c>
      <c r="G13" s="724">
        <f t="shared" si="1"/>
        <v>4.8457755093127318E-3</v>
      </c>
      <c r="H13" s="725">
        <f t="shared" si="2"/>
        <v>6.5417969375721884E-4</v>
      </c>
    </row>
    <row r="14" spans="1:8" ht="15.6">
      <c r="A14" s="3" t="s">
        <v>2344</v>
      </c>
      <c r="B14" s="3" t="s">
        <v>1501</v>
      </c>
      <c r="C14" s="721">
        <v>85261.24</v>
      </c>
      <c r="D14" s="722">
        <v>1.8200000000000001E-2</v>
      </c>
      <c r="E14" s="723">
        <v>0.115</v>
      </c>
      <c r="F14" s="724">
        <f t="shared" si="0"/>
        <v>0.13424650000000002</v>
      </c>
      <c r="G14" s="724">
        <f t="shared" si="1"/>
        <v>2.5915516666863317E-3</v>
      </c>
      <c r="H14" s="725">
        <f t="shared" si="2"/>
        <v>3.4790674082180666E-4</v>
      </c>
    </row>
    <row r="15" spans="1:8" ht="15.6">
      <c r="A15" s="3" t="s">
        <v>2345</v>
      </c>
      <c r="B15" s="3" t="s">
        <v>1503</v>
      </c>
      <c r="C15" s="721">
        <v>51754.23</v>
      </c>
      <c r="D15" s="722">
        <v>1.7000000000000001E-2</v>
      </c>
      <c r="E15" s="723">
        <v>0.13500000000000001</v>
      </c>
      <c r="F15" s="724">
        <f t="shared" si="0"/>
        <v>0.15314750000000002</v>
      </c>
      <c r="G15" s="724">
        <f t="shared" si="1"/>
        <v>1.5730918411996793E-3</v>
      </c>
      <c r="H15" s="725">
        <f t="shared" si="2"/>
        <v>2.4091508275012792E-4</v>
      </c>
    </row>
    <row r="16" spans="1:8" ht="15.6">
      <c r="A16" s="3" t="s">
        <v>2346</v>
      </c>
      <c r="B16" s="3" t="s">
        <v>1505</v>
      </c>
      <c r="C16" s="721">
        <v>102571</v>
      </c>
      <c r="D16" s="722">
        <v>2.0199999999999999E-2</v>
      </c>
      <c r="E16" s="723">
        <v>0.1</v>
      </c>
      <c r="F16" s="724">
        <f t="shared" si="0"/>
        <v>0.12121000000000001</v>
      </c>
      <c r="G16" s="724">
        <f t="shared" si="1"/>
        <v>3.1176891868296042E-3</v>
      </c>
      <c r="H16" s="725">
        <f t="shared" si="2"/>
        <v>3.7789510633561636E-4</v>
      </c>
    </row>
    <row r="17" spans="1:8" ht="15.6">
      <c r="A17" s="3" t="s">
        <v>2347</v>
      </c>
      <c r="B17" s="3" t="s">
        <v>1507</v>
      </c>
      <c r="C17" s="721">
        <v>41521.68</v>
      </c>
      <c r="D17" s="722">
        <v>0</v>
      </c>
      <c r="E17" s="723">
        <v>0.14000000000000001</v>
      </c>
      <c r="F17" s="724">
        <f t="shared" si="0"/>
        <v>0.14000000000000001</v>
      </c>
      <c r="G17" s="724">
        <f t="shared" si="1"/>
        <v>1.2620691302122338E-3</v>
      </c>
      <c r="H17" s="725">
        <f t="shared" si="2"/>
        <v>1.7668967822971274E-4</v>
      </c>
    </row>
    <row r="18" spans="1:8" ht="15.6">
      <c r="A18" s="3" t="s">
        <v>2348</v>
      </c>
      <c r="B18" s="3" t="s">
        <v>205</v>
      </c>
      <c r="C18" s="721">
        <v>22903.1</v>
      </c>
      <c r="D18" s="722">
        <v>2.7999999999999997E-2</v>
      </c>
      <c r="E18" s="723">
        <v>6.5000000000000002E-2</v>
      </c>
      <c r="F18" s="724">
        <f t="shared" si="0"/>
        <v>9.3909999999999993E-2</v>
      </c>
      <c r="G18" s="724">
        <f t="shared" si="1"/>
        <v>6.9614946929324182E-4</v>
      </c>
      <c r="H18" s="725">
        <f t="shared" si="2"/>
        <v>6.5375396661328339E-5</v>
      </c>
    </row>
    <row r="19" spans="1:8" ht="15.6">
      <c r="A19" s="3" t="s">
        <v>2349</v>
      </c>
      <c r="B19" s="3" t="s">
        <v>198</v>
      </c>
      <c r="C19" s="721">
        <v>48983.02</v>
      </c>
      <c r="D19" s="722">
        <v>3.4799999999999998E-2</v>
      </c>
      <c r="E19" s="723">
        <v>6.5000000000000002E-2</v>
      </c>
      <c r="F19" s="724">
        <f t="shared" si="0"/>
        <v>0.10093099999999999</v>
      </c>
      <c r="G19" s="724">
        <f t="shared" si="1"/>
        <v>1.4888597341573956E-3</v>
      </c>
      <c r="H19" s="725">
        <f t="shared" si="2"/>
        <v>1.5027210182824008E-4</v>
      </c>
    </row>
    <row r="20" spans="1:8" ht="15.6">
      <c r="A20" s="3" t="s">
        <v>2990</v>
      </c>
      <c r="B20" s="3" t="s">
        <v>1448</v>
      </c>
      <c r="C20" s="721">
        <v>19196.88</v>
      </c>
      <c r="D20" s="722">
        <v>2.3099999999999999E-2</v>
      </c>
      <c r="E20" s="723" t="s">
        <v>4148</v>
      </c>
      <c r="F20" s="724" t="str">
        <f t="shared" si="0"/>
        <v>N/A</v>
      </c>
      <c r="G20" s="724" t="str">
        <f t="shared" si="1"/>
        <v>N/A</v>
      </c>
      <c r="H20" s="725" t="str">
        <f t="shared" si="2"/>
        <v>N/A</v>
      </c>
    </row>
    <row r="21" spans="1:8" ht="15.6">
      <c r="A21" s="3" t="s">
        <v>2350</v>
      </c>
      <c r="B21" s="3" t="s">
        <v>1512</v>
      </c>
      <c r="C21" s="721">
        <v>44581.61</v>
      </c>
      <c r="D21" s="722">
        <v>2.3900000000000001E-2</v>
      </c>
      <c r="E21" s="723">
        <v>0.09</v>
      </c>
      <c r="F21" s="724">
        <f t="shared" si="0"/>
        <v>0.11497549999999999</v>
      </c>
      <c r="G21" s="724">
        <f t="shared" si="1"/>
        <v>1.3550770044988792E-3</v>
      </c>
      <c r="H21" s="725">
        <f t="shared" si="2"/>
        <v>1.5580065613076088E-4</v>
      </c>
    </row>
    <row r="22" spans="1:8" ht="15.6">
      <c r="A22" s="3" t="s">
        <v>2351</v>
      </c>
      <c r="B22" s="3" t="s">
        <v>1514</v>
      </c>
      <c r="C22" s="721">
        <v>47321.19</v>
      </c>
      <c r="D22" s="722">
        <v>2.0199999999999999E-2</v>
      </c>
      <c r="E22" s="723">
        <v>6.5000000000000002E-2</v>
      </c>
      <c r="F22" s="724">
        <f t="shared" si="0"/>
        <v>8.5856500000000002E-2</v>
      </c>
      <c r="G22" s="724">
        <f t="shared" si="1"/>
        <v>1.438347704233255E-3</v>
      </c>
      <c r="H22" s="725">
        <f t="shared" si="2"/>
        <v>1.2349149966850247E-4</v>
      </c>
    </row>
    <row r="23" spans="1:8" ht="15.6">
      <c r="A23" s="3" t="s">
        <v>2352</v>
      </c>
      <c r="B23" s="3" t="s">
        <v>1516</v>
      </c>
      <c r="C23" s="721">
        <v>6533.75</v>
      </c>
      <c r="D23" s="722">
        <v>2.2700000000000001E-2</v>
      </c>
      <c r="E23" s="723">
        <v>0.14000000000000001</v>
      </c>
      <c r="F23" s="724">
        <f t="shared" si="0"/>
        <v>0.16428900000000002</v>
      </c>
      <c r="G23" s="724">
        <f t="shared" si="1"/>
        <v>1.9859611122488739E-4</v>
      </c>
      <c r="H23" s="725">
        <f t="shared" si="2"/>
        <v>3.2627156517025528E-5</v>
      </c>
    </row>
    <row r="24" spans="1:8" ht="15.6">
      <c r="A24" s="3" t="s">
        <v>2353</v>
      </c>
      <c r="B24" s="3" t="s">
        <v>1518</v>
      </c>
      <c r="C24" s="721">
        <v>39942.39</v>
      </c>
      <c r="D24" s="722">
        <v>1.0800000000000001E-2</v>
      </c>
      <c r="E24" s="723">
        <v>0.185</v>
      </c>
      <c r="F24" s="724">
        <f t="shared" si="0"/>
        <v>0.196799</v>
      </c>
      <c r="G24" s="724">
        <f t="shared" si="1"/>
        <v>1.2140659387071483E-3</v>
      </c>
      <c r="H24" s="725">
        <f t="shared" si="2"/>
        <v>2.3892696267162808E-4</v>
      </c>
    </row>
    <row r="25" spans="1:8" ht="15.6">
      <c r="A25" s="3" t="s">
        <v>2354</v>
      </c>
      <c r="B25" s="3" t="s">
        <v>1520</v>
      </c>
      <c r="C25" s="721">
        <v>13223.78</v>
      </c>
      <c r="D25" s="722">
        <v>0</v>
      </c>
      <c r="E25" s="723">
        <v>5.5E-2</v>
      </c>
      <c r="F25" s="724">
        <f t="shared" si="0"/>
        <v>5.5E-2</v>
      </c>
      <c r="G25" s="724">
        <f t="shared" si="1"/>
        <v>4.0194241954366811E-4</v>
      </c>
      <c r="H25" s="725">
        <f t="shared" si="2"/>
        <v>2.2106833074901745E-5</v>
      </c>
    </row>
    <row r="26" spans="1:8" ht="15.6">
      <c r="A26" s="3" t="s">
        <v>2355</v>
      </c>
      <c r="B26" s="3" t="s">
        <v>1522</v>
      </c>
      <c r="C26" s="721">
        <v>27251.439999999999</v>
      </c>
      <c r="D26" s="722">
        <v>6.8000000000000005E-3</v>
      </c>
      <c r="E26" s="723">
        <v>0.215</v>
      </c>
      <c r="F26" s="724">
        <f t="shared" si="0"/>
        <v>0.22253100000000001</v>
      </c>
      <c r="G26" s="724">
        <f t="shared" si="1"/>
        <v>8.2831911372157577E-4</v>
      </c>
      <c r="H26" s="725">
        <f t="shared" si="2"/>
        <v>1.8432668069557598E-4</v>
      </c>
    </row>
    <row r="27" spans="1:8" ht="15.6">
      <c r="A27" s="3" t="s">
        <v>2356</v>
      </c>
      <c r="B27" s="3" t="s">
        <v>2279</v>
      </c>
      <c r="C27" s="721">
        <v>15956.51</v>
      </c>
      <c r="D27" s="722">
        <v>0</v>
      </c>
      <c r="E27" s="723">
        <v>0.17</v>
      </c>
      <c r="F27" s="724">
        <f t="shared" si="0"/>
        <v>0.17</v>
      </c>
      <c r="G27" s="724">
        <f t="shared" si="1"/>
        <v>4.8500491061351112E-4</v>
      </c>
      <c r="H27" s="725">
        <f t="shared" si="2"/>
        <v>8.2450834804296896E-5</v>
      </c>
    </row>
    <row r="28" spans="1:8" ht="15.6">
      <c r="A28" s="3" t="s">
        <v>2357</v>
      </c>
      <c r="B28" s="3" t="s">
        <v>1524</v>
      </c>
      <c r="C28" s="721">
        <v>5562.94</v>
      </c>
      <c r="D28" s="722">
        <v>0</v>
      </c>
      <c r="E28" s="723" t="s">
        <v>4148</v>
      </c>
      <c r="F28" s="724" t="str">
        <f t="shared" si="0"/>
        <v>N/A</v>
      </c>
      <c r="G28" s="724" t="str">
        <f t="shared" si="1"/>
        <v>N/A</v>
      </c>
      <c r="H28" s="725" t="str">
        <f t="shared" si="2"/>
        <v>N/A</v>
      </c>
    </row>
    <row r="29" spans="1:8" ht="15.6">
      <c r="A29" s="3" t="s">
        <v>2358</v>
      </c>
      <c r="B29" s="3" t="s">
        <v>1526</v>
      </c>
      <c r="C29" s="721">
        <v>35814.239999999998</v>
      </c>
      <c r="D29" s="722">
        <v>2.53E-2</v>
      </c>
      <c r="E29" s="723">
        <v>2.5000000000000001E-2</v>
      </c>
      <c r="F29" s="724">
        <f t="shared" si="0"/>
        <v>5.0616250000000002E-2</v>
      </c>
      <c r="G29" s="724">
        <f t="shared" si="1"/>
        <v>1.088589063015085E-3</v>
      </c>
      <c r="H29" s="725">
        <f t="shared" si="2"/>
        <v>5.5100296160837293E-5</v>
      </c>
    </row>
    <row r="30" spans="1:8" ht="15.6">
      <c r="A30" s="3" t="s">
        <v>2991</v>
      </c>
      <c r="B30" s="3" t="s">
        <v>1528</v>
      </c>
      <c r="C30" s="721">
        <v>9377.4500000000007</v>
      </c>
      <c r="D30" s="722">
        <v>1.54E-2</v>
      </c>
      <c r="E30" s="723">
        <v>0.11</v>
      </c>
      <c r="F30" s="724">
        <f t="shared" si="0"/>
        <v>0.126247</v>
      </c>
      <c r="G30" s="724">
        <f t="shared" si="1"/>
        <v>2.8503158266016002E-4</v>
      </c>
      <c r="H30" s="725">
        <f t="shared" si="2"/>
        <v>3.5984382216097219E-5</v>
      </c>
    </row>
    <row r="31" spans="1:8" ht="15.6">
      <c r="A31" s="3" t="s">
        <v>2359</v>
      </c>
      <c r="B31" s="3" t="s">
        <v>1530</v>
      </c>
      <c r="C31" s="721">
        <v>91106.72</v>
      </c>
      <c r="D31" s="722">
        <v>1.04E-2</v>
      </c>
      <c r="E31" s="723">
        <v>0.16500000000000001</v>
      </c>
      <c r="F31" s="724">
        <f t="shared" si="0"/>
        <v>0.176258</v>
      </c>
      <c r="G31" s="724">
        <f t="shared" si="1"/>
        <v>2.7692275184166325E-3</v>
      </c>
      <c r="H31" s="725">
        <f t="shared" si="2"/>
        <v>4.8809850394107882E-4</v>
      </c>
    </row>
    <row r="32" spans="1:8" ht="15.6">
      <c r="A32" s="3" t="s">
        <v>2888</v>
      </c>
      <c r="B32" s="3" t="s">
        <v>2889</v>
      </c>
      <c r="C32" s="721">
        <v>18016.900000000001</v>
      </c>
      <c r="D32" s="722">
        <v>4.0500000000000001E-2</v>
      </c>
      <c r="E32" s="723">
        <v>0.14499999999999999</v>
      </c>
      <c r="F32" s="724">
        <f t="shared" si="0"/>
        <v>0.18843625</v>
      </c>
      <c r="G32" s="724">
        <f t="shared" si="1"/>
        <v>5.4763134131665184E-4</v>
      </c>
      <c r="H32" s="725">
        <f t="shared" si="2"/>
        <v>1.0319359634017994E-4</v>
      </c>
    </row>
    <row r="33" spans="1:8" ht="15.6">
      <c r="A33" s="3" t="s">
        <v>2361</v>
      </c>
      <c r="B33" s="3" t="s">
        <v>2222</v>
      </c>
      <c r="C33" s="721">
        <v>109100.1</v>
      </c>
      <c r="D33" s="722">
        <v>0</v>
      </c>
      <c r="E33" s="723">
        <v>0.255</v>
      </c>
      <c r="F33" s="724">
        <f t="shared" si="0"/>
        <v>0.255</v>
      </c>
      <c r="G33" s="724">
        <f t="shared" si="1"/>
        <v>3.3161439593260133E-3</v>
      </c>
      <c r="H33" s="725">
        <f t="shared" si="2"/>
        <v>8.4561670962813337E-4</v>
      </c>
    </row>
    <row r="34" spans="1:8" ht="15.6">
      <c r="A34" s="3" t="s">
        <v>2362</v>
      </c>
      <c r="B34" s="3" t="s">
        <v>1532</v>
      </c>
      <c r="C34" s="721">
        <v>32234.23</v>
      </c>
      <c r="D34" s="722">
        <v>6.3E-3</v>
      </c>
      <c r="E34" s="723">
        <v>0.1</v>
      </c>
      <c r="F34" s="724">
        <f t="shared" si="0"/>
        <v>0.106615</v>
      </c>
      <c r="G34" s="724">
        <f t="shared" si="1"/>
        <v>9.797731358452042E-4</v>
      </c>
      <c r="H34" s="725">
        <f t="shared" si="2"/>
        <v>1.0445851287813645E-4</v>
      </c>
    </row>
    <row r="35" spans="1:8" ht="15.6">
      <c r="A35" s="3" t="s">
        <v>2363</v>
      </c>
      <c r="B35" s="3" t="s">
        <v>1534</v>
      </c>
      <c r="C35" s="721">
        <v>142049.70000000001</v>
      </c>
      <c r="D35" s="722">
        <v>3.2300000000000002E-2</v>
      </c>
      <c r="E35" s="723">
        <v>5.5E-2</v>
      </c>
      <c r="F35" s="724">
        <f t="shared" si="0"/>
        <v>8.8188249999999996E-2</v>
      </c>
      <c r="G35" s="724">
        <f t="shared" si="1"/>
        <v>4.3176610706962913E-3</v>
      </c>
      <c r="H35" s="725">
        <f t="shared" si="2"/>
        <v>3.8076697391783217E-4</v>
      </c>
    </row>
    <row r="36" spans="1:8" ht="15.6">
      <c r="A36" s="3" t="s">
        <v>2364</v>
      </c>
      <c r="B36" s="3" t="s">
        <v>1536</v>
      </c>
      <c r="C36" s="721">
        <v>33398.43</v>
      </c>
      <c r="D36" s="722">
        <v>1.6899999999999998E-2</v>
      </c>
      <c r="E36" s="723">
        <v>0.15</v>
      </c>
      <c r="F36" s="724">
        <f t="shared" si="0"/>
        <v>0.1681675</v>
      </c>
      <c r="G36" s="724">
        <f t="shared" si="1"/>
        <v>1.015159490188118E-3</v>
      </c>
      <c r="H36" s="725">
        <f t="shared" si="2"/>
        <v>1.7071683356621034E-4</v>
      </c>
    </row>
    <row r="37" spans="1:8" ht="15.6">
      <c r="A37" s="3" t="s">
        <v>2365</v>
      </c>
      <c r="B37" s="3" t="s">
        <v>1538</v>
      </c>
      <c r="C37" s="721">
        <v>98055.78</v>
      </c>
      <c r="D37" s="722">
        <v>2.98E-2</v>
      </c>
      <c r="E37" s="723">
        <v>0.06</v>
      </c>
      <c r="F37" s="724">
        <f t="shared" si="0"/>
        <v>9.0693999999999997E-2</v>
      </c>
      <c r="G37" s="724">
        <f t="shared" si="1"/>
        <v>2.9804471537972972E-3</v>
      </c>
      <c r="H37" s="725">
        <f t="shared" si="2"/>
        <v>2.7030867416649208E-4</v>
      </c>
    </row>
    <row r="38" spans="1:8" ht="15.6">
      <c r="A38" s="3" t="s">
        <v>2366</v>
      </c>
      <c r="B38" s="3" t="s">
        <v>1540</v>
      </c>
      <c r="C38" s="721">
        <v>884880.5</v>
      </c>
      <c r="D38" s="722">
        <v>0</v>
      </c>
      <c r="E38" s="723">
        <v>0.26500000000000001</v>
      </c>
      <c r="F38" s="724">
        <f t="shared" si="0"/>
        <v>0.26500000000000001</v>
      </c>
      <c r="G38" s="724">
        <f t="shared" si="1"/>
        <v>2.6896319295769501E-2</v>
      </c>
      <c r="H38" s="725">
        <f t="shared" si="2"/>
        <v>7.1275246133789185E-3</v>
      </c>
    </row>
    <row r="39" spans="1:8" ht="15.6">
      <c r="A39" s="3" t="s">
        <v>2368</v>
      </c>
      <c r="B39" s="3" t="s">
        <v>2369</v>
      </c>
      <c r="C39" s="721">
        <v>37679.160000000003</v>
      </c>
      <c r="D39" s="722">
        <v>0</v>
      </c>
      <c r="E39" s="723">
        <v>0.105</v>
      </c>
      <c r="F39" s="724">
        <f t="shared" si="0"/>
        <v>0.105</v>
      </c>
      <c r="G39" s="724">
        <f t="shared" si="1"/>
        <v>1.1452740998998017E-3</v>
      </c>
      <c r="H39" s="725">
        <f t="shared" si="2"/>
        <v>1.2025378048947917E-4</v>
      </c>
    </row>
    <row r="40" spans="1:8" ht="15.6">
      <c r="A40" s="3" t="s">
        <v>2370</v>
      </c>
      <c r="B40" s="3" t="s">
        <v>2271</v>
      </c>
      <c r="C40" s="721">
        <v>21065.72</v>
      </c>
      <c r="D40" s="722">
        <v>0</v>
      </c>
      <c r="E40" s="723">
        <v>8.5000000000000006E-2</v>
      </c>
      <c r="F40" s="724">
        <f t="shared" si="0"/>
        <v>8.5000000000000006E-2</v>
      </c>
      <c r="G40" s="724">
        <f t="shared" si="1"/>
        <v>6.4030152242622307E-4</v>
      </c>
      <c r="H40" s="725">
        <f t="shared" si="2"/>
        <v>5.4425629406228967E-5</v>
      </c>
    </row>
    <row r="41" spans="1:8" ht="15.6">
      <c r="A41" s="3" t="s">
        <v>2371</v>
      </c>
      <c r="B41" s="3" t="s">
        <v>1542</v>
      </c>
      <c r="C41" s="721">
        <v>62909.04</v>
      </c>
      <c r="D41" s="722">
        <v>7.7000000000000002E-3</v>
      </c>
      <c r="E41" s="723">
        <v>7.4999999999999997E-2</v>
      </c>
      <c r="F41" s="724">
        <f t="shared" si="0"/>
        <v>8.298875E-2</v>
      </c>
      <c r="G41" s="724">
        <f t="shared" si="1"/>
        <v>1.9121470372895949E-3</v>
      </c>
      <c r="H41" s="725">
        <f t="shared" si="2"/>
        <v>1.5868669244086686E-4</v>
      </c>
    </row>
    <row r="42" spans="1:8" ht="15.6">
      <c r="A42" s="3" t="s">
        <v>3024</v>
      </c>
      <c r="B42" s="3" t="s">
        <v>2275</v>
      </c>
      <c r="C42" s="721">
        <v>8744.9</v>
      </c>
      <c r="D42" s="722">
        <v>2.1000000000000001E-2</v>
      </c>
      <c r="E42" s="723">
        <v>0.115</v>
      </c>
      <c r="F42" s="724">
        <f t="shared" si="0"/>
        <v>0.13720750000000001</v>
      </c>
      <c r="G42" s="724">
        <f t="shared" si="1"/>
        <v>2.6580495627327613E-4</v>
      </c>
      <c r="H42" s="725">
        <f t="shared" si="2"/>
        <v>3.6470433537865535E-5</v>
      </c>
    </row>
    <row r="43" spans="1:8" ht="15.6">
      <c r="A43" s="3" t="s">
        <v>3980</v>
      </c>
      <c r="B43" s="3" t="s">
        <v>1543</v>
      </c>
      <c r="C43" s="721">
        <v>15101.11</v>
      </c>
      <c r="D43" s="722">
        <v>2.1400000000000002E-2</v>
      </c>
      <c r="E43" s="723">
        <v>0.495</v>
      </c>
      <c r="F43" s="724">
        <f t="shared" si="0"/>
        <v>0.52169650000000001</v>
      </c>
      <c r="G43" s="724">
        <f t="shared" si="1"/>
        <v>4.5900466365858192E-4</v>
      </c>
      <c r="H43" s="725">
        <f t="shared" si="2"/>
        <v>2.3946112651435938E-4</v>
      </c>
    </row>
    <row r="44" spans="1:8" ht="15.6">
      <c r="A44" s="3" t="s">
        <v>2992</v>
      </c>
      <c r="B44" s="3" t="s">
        <v>1545</v>
      </c>
      <c r="C44" s="721">
        <v>69753.56</v>
      </c>
      <c r="D44" s="722">
        <v>2.06E-2</v>
      </c>
      <c r="E44" s="723">
        <v>0.11</v>
      </c>
      <c r="F44" s="724">
        <f t="shared" si="0"/>
        <v>0.13173299999999999</v>
      </c>
      <c r="G44" s="724">
        <f t="shared" si="1"/>
        <v>2.1201891348906609E-3</v>
      </c>
      <c r="H44" s="725">
        <f t="shared" si="2"/>
        <v>2.792988753065514E-4</v>
      </c>
    </row>
    <row r="45" spans="1:8" ht="15.6">
      <c r="A45" s="3" t="s">
        <v>2372</v>
      </c>
      <c r="B45" s="3" t="s">
        <v>1547</v>
      </c>
      <c r="C45" s="721">
        <v>45684.1</v>
      </c>
      <c r="D45" s="722">
        <v>1.09E-2</v>
      </c>
      <c r="E45" s="723">
        <v>0.13</v>
      </c>
      <c r="F45" s="724">
        <f t="shared" si="0"/>
        <v>0.1416085</v>
      </c>
      <c r="G45" s="724">
        <f t="shared" si="1"/>
        <v>1.3885876571354701E-3</v>
      </c>
      <c r="H45" s="725">
        <f t="shared" si="2"/>
        <v>1.9663581524546821E-4</v>
      </c>
    </row>
    <row r="46" spans="1:8" ht="15.6">
      <c r="A46" s="3" t="s">
        <v>2373</v>
      </c>
      <c r="B46" s="3" t="s">
        <v>2297</v>
      </c>
      <c r="C46" s="721">
        <v>25505.63</v>
      </c>
      <c r="D46" s="722">
        <v>0</v>
      </c>
      <c r="E46" s="723">
        <v>0.26</v>
      </c>
      <c r="F46" s="724">
        <f t="shared" si="0"/>
        <v>0.26</v>
      </c>
      <c r="G46" s="724">
        <f t="shared" si="1"/>
        <v>7.7525447596568967E-4</v>
      </c>
      <c r="H46" s="725">
        <f t="shared" si="2"/>
        <v>2.0156616375107932E-4</v>
      </c>
    </row>
    <row r="47" spans="1:8" ht="15.6">
      <c r="A47" s="3" t="s">
        <v>2374</v>
      </c>
      <c r="B47" s="3" t="s">
        <v>2224</v>
      </c>
      <c r="C47" s="721">
        <v>23215.09</v>
      </c>
      <c r="D47" s="722">
        <v>3.3000000000000002E-2</v>
      </c>
      <c r="E47" s="723">
        <v>0.1</v>
      </c>
      <c r="F47" s="724">
        <f t="shared" si="0"/>
        <v>0.13464999999999999</v>
      </c>
      <c r="G47" s="724">
        <f t="shared" si="1"/>
        <v>7.0563253808850527E-4</v>
      </c>
      <c r="H47" s="725">
        <f t="shared" si="2"/>
        <v>9.5013421253617228E-5</v>
      </c>
    </row>
    <row r="48" spans="1:8" ht="15.6">
      <c r="A48" s="3" t="s">
        <v>2376</v>
      </c>
      <c r="B48" s="3" t="s">
        <v>2333</v>
      </c>
      <c r="C48" s="721">
        <v>16028.48</v>
      </c>
      <c r="D48" s="722">
        <v>2.64E-2</v>
      </c>
      <c r="E48" s="723">
        <v>7.4999999999999997E-2</v>
      </c>
      <c r="F48" s="724">
        <f t="shared" si="0"/>
        <v>0.10238999999999999</v>
      </c>
      <c r="G48" s="724">
        <f t="shared" si="1"/>
        <v>4.8719246938525089E-4</v>
      </c>
      <c r="H48" s="725">
        <f t="shared" si="2"/>
        <v>4.9883636940355835E-5</v>
      </c>
    </row>
    <row r="49" spans="1:8" ht="15.6">
      <c r="A49" s="3" t="s">
        <v>2377</v>
      </c>
      <c r="B49" s="3" t="s">
        <v>1549</v>
      </c>
      <c r="C49" s="721">
        <v>59388.480000000003</v>
      </c>
      <c r="D49" s="722">
        <v>6.8999999999999999E-3</v>
      </c>
      <c r="E49" s="723">
        <v>0.115</v>
      </c>
      <c r="F49" s="724">
        <f t="shared" si="0"/>
        <v>0.12229675000000001</v>
      </c>
      <c r="G49" s="724">
        <f t="shared" si="1"/>
        <v>1.8051381181644541E-3</v>
      </c>
      <c r="H49" s="725">
        <f t="shared" si="2"/>
        <v>2.2076252515262871E-4</v>
      </c>
    </row>
    <row r="50" spans="1:8" ht="15.6">
      <c r="A50" s="3" t="s">
        <v>2378</v>
      </c>
      <c r="B50" s="3" t="s">
        <v>1551</v>
      </c>
      <c r="C50" s="721">
        <v>22691.53</v>
      </c>
      <c r="D50" s="722">
        <v>4.1399999999999999E-2</v>
      </c>
      <c r="E50" s="723">
        <v>0.09</v>
      </c>
      <c r="F50" s="724">
        <f t="shared" si="0"/>
        <v>0.13326299999999999</v>
      </c>
      <c r="G50" s="724">
        <f t="shared" si="1"/>
        <v>6.8971870912460211E-4</v>
      </c>
      <c r="H50" s="725">
        <f t="shared" si="2"/>
        <v>9.1913984334071852E-5</v>
      </c>
    </row>
    <row r="51" spans="1:8" ht="15.6">
      <c r="A51" s="3" t="s">
        <v>2379</v>
      </c>
      <c r="B51" s="3" t="s">
        <v>1553</v>
      </c>
      <c r="C51" s="721">
        <v>227298.1</v>
      </c>
      <c r="D51" s="722">
        <v>3.2799999999999996E-2</v>
      </c>
      <c r="E51" s="723">
        <v>0.3</v>
      </c>
      <c r="F51" s="724">
        <f t="shared" si="0"/>
        <v>0.33771999999999996</v>
      </c>
      <c r="G51" s="724">
        <f t="shared" si="1"/>
        <v>6.9088224601194688E-3</v>
      </c>
      <c r="H51" s="725">
        <f t="shared" si="2"/>
        <v>2.3332475212315467E-3</v>
      </c>
    </row>
    <row r="52" spans="1:8" ht="15.6">
      <c r="A52" s="3" t="s">
        <v>2380</v>
      </c>
      <c r="B52" s="3" t="s">
        <v>1555</v>
      </c>
      <c r="C52" s="721">
        <v>14677.22</v>
      </c>
      <c r="D52" s="722">
        <v>1.77E-2</v>
      </c>
      <c r="E52" s="723">
        <v>0.105</v>
      </c>
      <c r="F52" s="724">
        <f t="shared" si="0"/>
        <v>0.12362925</v>
      </c>
      <c r="G52" s="724">
        <f t="shared" si="1"/>
        <v>4.4612034675219314E-4</v>
      </c>
      <c r="H52" s="725">
        <f t="shared" si="2"/>
        <v>5.5153523878713575E-5</v>
      </c>
    </row>
    <row r="53" spans="1:8" ht="15.6">
      <c r="A53" s="3" t="s">
        <v>2381</v>
      </c>
      <c r="B53" s="3" t="s">
        <v>156</v>
      </c>
      <c r="C53" s="721">
        <v>27734.07</v>
      </c>
      <c r="D53" s="722">
        <v>1.78E-2</v>
      </c>
      <c r="E53" s="723">
        <v>0.03</v>
      </c>
      <c r="F53" s="724">
        <f t="shared" si="0"/>
        <v>4.8066999999999999E-2</v>
      </c>
      <c r="G53" s="724">
        <f t="shared" si="1"/>
        <v>8.4298885792061413E-4</v>
      </c>
      <c r="H53" s="725">
        <f t="shared" si="2"/>
        <v>4.0519945433670157E-5</v>
      </c>
    </row>
    <row r="54" spans="1:8" ht="15.6">
      <c r="A54" s="3" t="s">
        <v>2382</v>
      </c>
      <c r="B54" s="3" t="s">
        <v>1558</v>
      </c>
      <c r="C54" s="721">
        <v>109883.7</v>
      </c>
      <c r="D54" s="722">
        <v>1.41E-2</v>
      </c>
      <c r="E54" s="723">
        <v>0.1</v>
      </c>
      <c r="F54" s="724">
        <f t="shared" si="0"/>
        <v>0.114805</v>
      </c>
      <c r="G54" s="724">
        <f t="shared" si="1"/>
        <v>3.3399618147315338E-3</v>
      </c>
      <c r="H54" s="725">
        <f t="shared" si="2"/>
        <v>3.8344431614025377E-4</v>
      </c>
    </row>
    <row r="55" spans="1:8" ht="15.6">
      <c r="A55" s="3" t="s">
        <v>2383</v>
      </c>
      <c r="B55" s="3" t="s">
        <v>1560</v>
      </c>
      <c r="C55" s="721">
        <v>45685.73</v>
      </c>
      <c r="D55" s="722">
        <v>0</v>
      </c>
      <c r="E55" s="723">
        <v>0.14499999999999999</v>
      </c>
      <c r="F55" s="724">
        <f t="shared" si="0"/>
        <v>0.14499999999999999</v>
      </c>
      <c r="G55" s="724">
        <f t="shared" si="1"/>
        <v>1.3886372016790015E-3</v>
      </c>
      <c r="H55" s="725">
        <f t="shared" si="2"/>
        <v>2.013523942434552E-4</v>
      </c>
    </row>
    <row r="56" spans="1:8" ht="15.6">
      <c r="A56" s="3" t="s">
        <v>2384</v>
      </c>
      <c r="B56" s="3" t="s">
        <v>1562</v>
      </c>
      <c r="C56" s="721">
        <v>116741.9</v>
      </c>
      <c r="D56" s="722">
        <v>0</v>
      </c>
      <c r="E56" s="723" t="s">
        <v>4148</v>
      </c>
      <c r="F56" s="724" t="str">
        <f t="shared" si="0"/>
        <v>N/A</v>
      </c>
      <c r="G56" s="724" t="str">
        <f t="shared" si="1"/>
        <v>N/A</v>
      </c>
      <c r="H56" s="725" t="str">
        <f t="shared" si="2"/>
        <v>N/A</v>
      </c>
    </row>
    <row r="57" spans="1:8" ht="15.6">
      <c r="A57" s="3" t="s">
        <v>2385</v>
      </c>
      <c r="B57" s="3" t="s">
        <v>1564</v>
      </c>
      <c r="C57" s="721">
        <v>262239</v>
      </c>
      <c r="D57" s="722">
        <v>2.75E-2</v>
      </c>
      <c r="E57" s="723">
        <v>8.5000000000000006E-2</v>
      </c>
      <c r="F57" s="724">
        <f t="shared" si="0"/>
        <v>0.11366875000000001</v>
      </c>
      <c r="G57" s="724">
        <f t="shared" si="1"/>
        <v>7.9708659822465278E-3</v>
      </c>
      <c r="H57" s="725">
        <f t="shared" si="2"/>
        <v>9.0603837261948514E-4</v>
      </c>
    </row>
    <row r="58" spans="1:8" ht="15.6">
      <c r="A58" s="3" t="s">
        <v>2395</v>
      </c>
      <c r="B58" s="3" t="s">
        <v>4274</v>
      </c>
      <c r="C58" s="721">
        <v>16238.91</v>
      </c>
      <c r="D58" s="722">
        <v>1.6200000000000003E-2</v>
      </c>
      <c r="E58" s="723">
        <v>0.215</v>
      </c>
      <c r="F58" s="724">
        <f t="shared" si="0"/>
        <v>0.2329415</v>
      </c>
      <c r="G58" s="724">
        <f t="shared" si="1"/>
        <v>4.9358857876884426E-4</v>
      </c>
      <c r="H58" s="725">
        <f t="shared" si="2"/>
        <v>1.1497726392128273E-4</v>
      </c>
    </row>
    <row r="59" spans="1:8" ht="15.6">
      <c r="A59" s="3" t="s">
        <v>2386</v>
      </c>
      <c r="B59" s="3" t="s">
        <v>1566</v>
      </c>
      <c r="C59" s="721">
        <v>25368.54</v>
      </c>
      <c r="D59" s="722">
        <v>2.3099999999999999E-2</v>
      </c>
      <c r="E59" s="723">
        <v>0.08</v>
      </c>
      <c r="F59" s="724">
        <f t="shared" si="0"/>
        <v>0.10402400000000001</v>
      </c>
      <c r="G59" s="724">
        <f t="shared" si="1"/>
        <v>7.7108756708674274E-4</v>
      </c>
      <c r="H59" s="725">
        <f t="shared" si="2"/>
        <v>8.0211613078631327E-5</v>
      </c>
    </row>
    <row r="60" spans="1:8" ht="15.6">
      <c r="A60" s="3" t="s">
        <v>4045</v>
      </c>
      <c r="B60" s="3" t="s">
        <v>4046</v>
      </c>
      <c r="C60" s="721">
        <v>9398.16</v>
      </c>
      <c r="D60" s="722">
        <v>1.9900000000000001E-2</v>
      </c>
      <c r="E60" s="723">
        <v>0.20499999999999999</v>
      </c>
      <c r="F60" s="724">
        <f t="shared" si="0"/>
        <v>0.22693975</v>
      </c>
      <c r="G60" s="724">
        <f t="shared" si="1"/>
        <v>2.8566107192183474E-4</v>
      </c>
      <c r="H60" s="725">
        <f t="shared" si="2"/>
        <v>6.4827852246673198E-5</v>
      </c>
    </row>
    <row r="61" spans="1:8" ht="15.6">
      <c r="A61" s="3" t="s">
        <v>2387</v>
      </c>
      <c r="B61" s="3" t="s">
        <v>1568</v>
      </c>
      <c r="C61" s="721">
        <v>18157.88</v>
      </c>
      <c r="D61" s="722">
        <v>4.6300000000000001E-2</v>
      </c>
      <c r="E61" s="723">
        <v>0.04</v>
      </c>
      <c r="F61" s="724">
        <f t="shared" si="0"/>
        <v>8.7225999999999998E-2</v>
      </c>
      <c r="G61" s="724">
        <f t="shared" si="1"/>
        <v>5.5191648840071305E-4</v>
      </c>
      <c r="H61" s="725">
        <f t="shared" si="2"/>
        <v>4.8141467617240596E-5</v>
      </c>
    </row>
    <row r="62" spans="1:8" ht="15.6">
      <c r="A62" s="3" t="s">
        <v>2388</v>
      </c>
      <c r="B62" s="3" t="s">
        <v>1570</v>
      </c>
      <c r="C62" s="721">
        <v>72257</v>
      </c>
      <c r="D62" s="722">
        <v>1.44E-2</v>
      </c>
      <c r="E62" s="723">
        <v>4.4999999999999998E-2</v>
      </c>
      <c r="F62" s="724">
        <f t="shared" si="0"/>
        <v>5.9723999999999999E-2</v>
      </c>
      <c r="G62" s="724">
        <f t="shared" si="1"/>
        <v>2.1962822588523726E-3</v>
      </c>
      <c r="H62" s="725">
        <f t="shared" si="2"/>
        <v>1.3117076162769909E-4</v>
      </c>
    </row>
    <row r="63" spans="1:8" ht="15.6">
      <c r="A63" s="3" t="s">
        <v>2389</v>
      </c>
      <c r="B63" s="3" t="s">
        <v>1572</v>
      </c>
      <c r="C63" s="721">
        <v>13410.76</v>
      </c>
      <c r="D63" s="722">
        <v>4.4600000000000001E-2</v>
      </c>
      <c r="E63" s="723">
        <v>0.04</v>
      </c>
      <c r="F63" s="724">
        <f t="shared" si="0"/>
        <v>8.5492000000000012E-2</v>
      </c>
      <c r="G63" s="724">
        <f t="shared" si="1"/>
        <v>4.0762575619977364E-4</v>
      </c>
      <c r="H63" s="725">
        <f t="shared" si="2"/>
        <v>3.4848741149031052E-5</v>
      </c>
    </row>
    <row r="64" spans="1:8" ht="15.6">
      <c r="A64" s="3" t="s">
        <v>2390</v>
      </c>
      <c r="B64" s="3" t="s">
        <v>1574</v>
      </c>
      <c r="C64" s="721">
        <v>32016.47</v>
      </c>
      <c r="D64" s="722">
        <v>1.23E-2</v>
      </c>
      <c r="E64" s="723">
        <v>0.14499999999999999</v>
      </c>
      <c r="F64" s="724">
        <f t="shared" si="0"/>
        <v>0.15819174999999999</v>
      </c>
      <c r="G64" s="724">
        <f t="shared" si="1"/>
        <v>9.7315422799284807E-4</v>
      </c>
      <c r="H64" s="725">
        <f t="shared" si="2"/>
        <v>1.5394497034608762E-4</v>
      </c>
    </row>
    <row r="65" spans="1:8" ht="15.6">
      <c r="A65" s="3" t="s">
        <v>2391</v>
      </c>
      <c r="B65" s="3" t="s">
        <v>1576</v>
      </c>
      <c r="C65" s="721">
        <v>41307.839999999997</v>
      </c>
      <c r="D65" s="722">
        <v>0</v>
      </c>
      <c r="E65" s="723">
        <v>-0.105</v>
      </c>
      <c r="F65" s="724">
        <f t="shared" si="0"/>
        <v>-0.105</v>
      </c>
      <c r="G65" s="724">
        <f t="shared" si="1"/>
        <v>1.2555693724277562E-3</v>
      </c>
      <c r="H65" s="725">
        <f t="shared" si="2"/>
        <v>-1.3183478410491441E-4</v>
      </c>
    </row>
    <row r="66" spans="1:8" ht="15.6">
      <c r="A66" s="3" t="s">
        <v>3027</v>
      </c>
      <c r="B66" s="3" t="s">
        <v>3015</v>
      </c>
      <c r="C66" s="721">
        <v>12306.58</v>
      </c>
      <c r="D66" s="722">
        <v>0</v>
      </c>
      <c r="E66" s="723">
        <v>0.15</v>
      </c>
      <c r="F66" s="724">
        <f t="shared" si="0"/>
        <v>0.15</v>
      </c>
      <c r="G66" s="724">
        <f t="shared" si="1"/>
        <v>3.7406373529412279E-4</v>
      </c>
      <c r="H66" s="725">
        <f t="shared" si="2"/>
        <v>5.6109560294118414E-5</v>
      </c>
    </row>
    <row r="67" spans="1:8" ht="15.6">
      <c r="A67" s="3" t="s">
        <v>2392</v>
      </c>
      <c r="B67" s="3" t="s">
        <v>1578</v>
      </c>
      <c r="C67" s="721">
        <v>36194.78</v>
      </c>
      <c r="D67" s="722">
        <v>3.39E-2</v>
      </c>
      <c r="E67" s="723">
        <v>0.06</v>
      </c>
      <c r="F67" s="724">
        <f t="shared" si="0"/>
        <v>9.4917000000000001E-2</v>
      </c>
      <c r="G67" s="724">
        <f t="shared" si="1"/>
        <v>1.1001557382269492E-3</v>
      </c>
      <c r="H67" s="725">
        <f t="shared" si="2"/>
        <v>1.0442348220528734E-4</v>
      </c>
    </row>
    <row r="68" spans="1:8" ht="15.6">
      <c r="A68" s="3" t="s">
        <v>2393</v>
      </c>
      <c r="B68" s="3" t="s">
        <v>2310</v>
      </c>
      <c r="C68" s="721">
        <v>77040.509999999995</v>
      </c>
      <c r="D68" s="722">
        <v>0</v>
      </c>
      <c r="E68" s="723">
        <v>0.22</v>
      </c>
      <c r="F68" s="724">
        <f t="shared" ref="F68:F131" si="3">IFERROR(D68*(1+0.5*E68)+E68,"N/A")</f>
        <v>0.22</v>
      </c>
      <c r="G68" s="724">
        <f t="shared" ref="G68:G131" si="4">IF(F68="N/A","N/A",C68/$C$504)</f>
        <v>2.3416790805865007E-3</v>
      </c>
      <c r="H68" s="725">
        <f t="shared" si="2"/>
        <v>5.1516939772903016E-4</v>
      </c>
    </row>
    <row r="69" spans="1:8" ht="15.6">
      <c r="A69" s="3" t="s">
        <v>2890</v>
      </c>
      <c r="B69" s="3" t="s">
        <v>2891</v>
      </c>
      <c r="C69" s="721">
        <v>29614.15</v>
      </c>
      <c r="D69" s="722">
        <v>2.5899999999999999E-2</v>
      </c>
      <c r="E69" s="723" t="s">
        <v>4148</v>
      </c>
      <c r="F69" s="724" t="str">
        <f t="shared" si="3"/>
        <v>N/A</v>
      </c>
      <c r="G69" s="724" t="str">
        <f t="shared" si="4"/>
        <v>N/A</v>
      </c>
      <c r="H69" s="725" t="str">
        <f t="shared" ref="H69:H132" si="5">IF(ISNUMBER(G69),F69*G69,"N/A")</f>
        <v>N/A</v>
      </c>
    </row>
    <row r="70" spans="1:8" ht="15.6">
      <c r="A70" s="3" t="s">
        <v>2394</v>
      </c>
      <c r="B70" s="3" t="s">
        <v>1580</v>
      </c>
      <c r="C70" s="721">
        <v>107270.39999999999</v>
      </c>
      <c r="D70" s="722">
        <v>2.8399999999999998E-2</v>
      </c>
      <c r="E70" s="723">
        <v>8.5000000000000006E-2</v>
      </c>
      <c r="F70" s="724">
        <f t="shared" si="3"/>
        <v>0.114607</v>
      </c>
      <c r="G70" s="724">
        <f t="shared" si="4"/>
        <v>3.2605294493266747E-3</v>
      </c>
      <c r="H70" s="725">
        <f t="shared" si="5"/>
        <v>3.7367949859898222E-4</v>
      </c>
    </row>
    <row r="71" spans="1:8" ht="15.6">
      <c r="A71" s="3" t="s">
        <v>2396</v>
      </c>
      <c r="B71" s="3" t="s">
        <v>1582</v>
      </c>
      <c r="C71" s="721">
        <v>155911.29999999999</v>
      </c>
      <c r="D71" s="722">
        <v>3.1099999999999999E-2</v>
      </c>
      <c r="E71" s="723">
        <v>0.44</v>
      </c>
      <c r="F71" s="724">
        <f t="shared" si="3"/>
        <v>0.47794199999999998</v>
      </c>
      <c r="G71" s="724">
        <f t="shared" si="4"/>
        <v>4.7389903005191176E-3</v>
      </c>
      <c r="H71" s="725">
        <f t="shared" si="5"/>
        <v>2.2649625022107081E-3</v>
      </c>
    </row>
    <row r="72" spans="1:8" ht="15.6">
      <c r="A72" s="3" t="s">
        <v>2398</v>
      </c>
      <c r="B72" s="3" t="s">
        <v>2399</v>
      </c>
      <c r="C72" s="721">
        <v>16046.04</v>
      </c>
      <c r="D72" s="722">
        <v>2.1299999999999999E-2</v>
      </c>
      <c r="E72" s="723">
        <v>9.5000000000000001E-2</v>
      </c>
      <c r="F72" s="724">
        <f t="shared" si="3"/>
        <v>0.11731175000000001</v>
      </c>
      <c r="G72" s="724">
        <f t="shared" si="4"/>
        <v>4.8772621305666613E-4</v>
      </c>
      <c r="H72" s="725">
        <f t="shared" si="5"/>
        <v>5.7216015574550353E-5</v>
      </c>
    </row>
    <row r="73" spans="1:8" ht="15.6">
      <c r="A73" s="3" t="s">
        <v>2400</v>
      </c>
      <c r="B73" s="3" t="s">
        <v>1584</v>
      </c>
      <c r="C73" s="721" t="s">
        <v>4379</v>
      </c>
      <c r="D73" s="722">
        <v>0</v>
      </c>
      <c r="E73" s="723" t="s">
        <v>4148</v>
      </c>
      <c r="F73" s="724" t="str">
        <f t="shared" si="3"/>
        <v>N/A</v>
      </c>
      <c r="G73" s="724" t="str">
        <f t="shared" si="4"/>
        <v>N/A</v>
      </c>
      <c r="H73" s="725" t="str">
        <f t="shared" si="5"/>
        <v>N/A</v>
      </c>
    </row>
    <row r="74" spans="1:8" ht="15.6">
      <c r="A74" s="3" t="s">
        <v>4076</v>
      </c>
      <c r="B74" s="3" t="s">
        <v>4077</v>
      </c>
      <c r="C74" s="721">
        <v>16142.43</v>
      </c>
      <c r="D74" s="722">
        <v>8.1000000000000013E-3</v>
      </c>
      <c r="E74" s="723">
        <v>0.08</v>
      </c>
      <c r="F74" s="724">
        <f t="shared" si="3"/>
        <v>8.8424000000000003E-2</v>
      </c>
      <c r="G74" s="724">
        <f t="shared" si="4"/>
        <v>4.9065602811860869E-4</v>
      </c>
      <c r="H74" s="725">
        <f t="shared" si="5"/>
        <v>4.3385768630359859E-5</v>
      </c>
    </row>
    <row r="75" spans="1:8" ht="15.6">
      <c r="A75" s="3" t="s">
        <v>2401</v>
      </c>
      <c r="B75" s="3" t="s">
        <v>1586</v>
      </c>
      <c r="C75" s="721">
        <v>65991.539999999994</v>
      </c>
      <c r="D75" s="722">
        <v>0</v>
      </c>
      <c r="E75" s="723">
        <v>0.17</v>
      </c>
      <c r="F75" s="724">
        <f t="shared" si="3"/>
        <v>0.17</v>
      </c>
      <c r="G75" s="724">
        <f t="shared" si="4"/>
        <v>2.0058409363293062E-3</v>
      </c>
      <c r="H75" s="725">
        <f t="shared" si="5"/>
        <v>3.4099295917598211E-4</v>
      </c>
    </row>
    <row r="76" spans="1:8" ht="15.6">
      <c r="A76" s="3" t="s">
        <v>2402</v>
      </c>
      <c r="B76" s="3" t="s">
        <v>1588</v>
      </c>
      <c r="C76" s="721">
        <v>9600.31</v>
      </c>
      <c r="D76" s="722">
        <v>1.66E-2</v>
      </c>
      <c r="E76" s="723">
        <v>9.5000000000000001E-2</v>
      </c>
      <c r="F76" s="724">
        <f t="shared" si="3"/>
        <v>0.1123885</v>
      </c>
      <c r="G76" s="724">
        <f t="shared" si="4"/>
        <v>2.9180550718246011E-4</v>
      </c>
      <c r="H76" s="725">
        <f t="shared" si="5"/>
        <v>3.2795583243975916E-5</v>
      </c>
    </row>
    <row r="77" spans="1:8" ht="15.6">
      <c r="A77" s="3" t="s">
        <v>2403</v>
      </c>
      <c r="B77" s="3" t="s">
        <v>1590</v>
      </c>
      <c r="C77" s="721">
        <v>10568.35</v>
      </c>
      <c r="D77" s="722">
        <v>5.8099999999999999E-2</v>
      </c>
      <c r="E77" s="723">
        <v>-0.01</v>
      </c>
      <c r="F77" s="724">
        <f t="shared" si="3"/>
        <v>4.7809499999999998E-2</v>
      </c>
      <c r="G77" s="724">
        <f t="shared" si="4"/>
        <v>3.2122949486336927E-4</v>
      </c>
      <c r="H77" s="725">
        <f t="shared" si="5"/>
        <v>1.5357821534670254E-5</v>
      </c>
    </row>
    <row r="78" spans="1:8" ht="15.6">
      <c r="A78" s="3" t="s">
        <v>2404</v>
      </c>
      <c r="B78" s="3" t="s">
        <v>1592</v>
      </c>
      <c r="C78" s="721">
        <v>86790.38</v>
      </c>
      <c r="D78" s="722">
        <v>4.8899999999999999E-2</v>
      </c>
      <c r="E78" s="723">
        <v>3.5000000000000003E-2</v>
      </c>
      <c r="F78" s="724">
        <f t="shared" si="3"/>
        <v>8.4755750000000005E-2</v>
      </c>
      <c r="G78" s="724">
        <f t="shared" si="4"/>
        <v>2.6380305276036339E-3</v>
      </c>
      <c r="H78" s="725">
        <f t="shared" si="5"/>
        <v>2.2358825588994171E-4</v>
      </c>
    </row>
    <row r="79" spans="1:8" ht="15.6">
      <c r="A79" s="3" t="s">
        <v>2405</v>
      </c>
      <c r="B79" s="3" t="s">
        <v>1311</v>
      </c>
      <c r="C79" s="721">
        <v>18585.509999999998</v>
      </c>
      <c r="D79" s="722">
        <v>3.4000000000000002E-2</v>
      </c>
      <c r="E79" s="723">
        <v>3.5000000000000003E-2</v>
      </c>
      <c r="F79" s="724">
        <f t="shared" si="3"/>
        <v>6.9595000000000018E-2</v>
      </c>
      <c r="G79" s="724">
        <f t="shared" si="4"/>
        <v>5.6491448419839396E-4</v>
      </c>
      <c r="H79" s="725">
        <f t="shared" si="5"/>
        <v>3.9315223527787241E-5</v>
      </c>
    </row>
    <row r="80" spans="1:8" ht="15.6">
      <c r="A80" s="3" t="s">
        <v>2406</v>
      </c>
      <c r="B80" s="3" t="s">
        <v>1595</v>
      </c>
      <c r="C80" s="721">
        <v>20960</v>
      </c>
      <c r="D80" s="722">
        <v>2.4799999999999999E-2</v>
      </c>
      <c r="E80" s="723">
        <v>0.05</v>
      </c>
      <c r="F80" s="724">
        <f t="shared" si="3"/>
        <v>7.5420000000000001E-2</v>
      </c>
      <c r="G80" s="724">
        <f t="shared" si="4"/>
        <v>6.3708811804455943E-4</v>
      </c>
      <c r="H80" s="725">
        <f t="shared" si="5"/>
        <v>4.8049185862920676E-5</v>
      </c>
    </row>
    <row r="81" spans="1:8" ht="15.6">
      <c r="A81" s="3" t="s">
        <v>2994</v>
      </c>
      <c r="B81" s="3" t="s">
        <v>2995</v>
      </c>
      <c r="C81" s="721">
        <v>35198.269999999997</v>
      </c>
      <c r="D81" s="722">
        <v>1.7600000000000001E-2</v>
      </c>
      <c r="E81" s="723" t="s">
        <v>4148</v>
      </c>
      <c r="F81" s="724" t="str">
        <f t="shared" si="3"/>
        <v>N/A</v>
      </c>
      <c r="G81" s="724" t="str">
        <f t="shared" si="4"/>
        <v>N/A</v>
      </c>
      <c r="H81" s="725" t="str">
        <f t="shared" si="5"/>
        <v>N/A</v>
      </c>
    </row>
    <row r="82" spans="1:8" ht="15.6">
      <c r="A82" s="3" t="s">
        <v>2407</v>
      </c>
      <c r="B82" s="3" t="s">
        <v>1597</v>
      </c>
      <c r="C82" s="721">
        <v>125798.5</v>
      </c>
      <c r="D82" s="722">
        <v>1.9900000000000001E-2</v>
      </c>
      <c r="E82" s="723">
        <v>0.11</v>
      </c>
      <c r="F82" s="724">
        <f t="shared" si="3"/>
        <v>0.13099450000000001</v>
      </c>
      <c r="G82" s="724">
        <f t="shared" si="4"/>
        <v>3.8236989321483064E-3</v>
      </c>
      <c r="H82" s="725">
        <f t="shared" si="5"/>
        <v>5.0088352976730135E-4</v>
      </c>
    </row>
    <row r="83" spans="1:8" ht="15.6">
      <c r="A83" s="3" t="s">
        <v>2408</v>
      </c>
      <c r="B83" s="3" t="s">
        <v>1599</v>
      </c>
      <c r="C83" s="721">
        <v>90789.78</v>
      </c>
      <c r="D83" s="722">
        <v>1.55E-2</v>
      </c>
      <c r="E83" s="723">
        <v>0.14499999999999999</v>
      </c>
      <c r="F83" s="724">
        <f t="shared" si="3"/>
        <v>0.16162374999999998</v>
      </c>
      <c r="G83" s="724">
        <f t="shared" si="4"/>
        <v>2.7595939922652468E-3</v>
      </c>
      <c r="H83" s="725">
        <f t="shared" si="5"/>
        <v>4.4601592950738015E-4</v>
      </c>
    </row>
    <row r="84" spans="1:8" ht="15.6">
      <c r="A84" s="3" t="s">
        <v>2410</v>
      </c>
      <c r="B84" s="3" t="s">
        <v>2225</v>
      </c>
      <c r="C84" s="721">
        <v>13386.49</v>
      </c>
      <c r="D84" s="722">
        <v>1.5900000000000001E-2</v>
      </c>
      <c r="E84" s="723">
        <v>0.1</v>
      </c>
      <c r="F84" s="724">
        <f t="shared" si="3"/>
        <v>0.11669500000000001</v>
      </c>
      <c r="G84" s="724">
        <f t="shared" si="4"/>
        <v>4.0688805922339284E-4</v>
      </c>
      <c r="H84" s="725">
        <f t="shared" si="5"/>
        <v>4.7481802071073832E-5</v>
      </c>
    </row>
    <row r="85" spans="1:8" ht="15.6">
      <c r="A85" s="3" t="s">
        <v>2411</v>
      </c>
      <c r="B85" s="3" t="s">
        <v>2312</v>
      </c>
      <c r="C85" s="721">
        <v>24292.75</v>
      </c>
      <c r="D85" s="722">
        <v>0</v>
      </c>
      <c r="E85" s="723">
        <v>7.4999999999999997E-2</v>
      </c>
      <c r="F85" s="724">
        <f t="shared" si="3"/>
        <v>7.4999999999999997E-2</v>
      </c>
      <c r="G85" s="724">
        <f t="shared" si="4"/>
        <v>7.3838847231044702E-4</v>
      </c>
      <c r="H85" s="725">
        <f t="shared" si="5"/>
        <v>5.5379135423283521E-5</v>
      </c>
    </row>
    <row r="86" spans="1:8" ht="15.6">
      <c r="A86" s="3" t="s">
        <v>4276</v>
      </c>
      <c r="B86" s="3" t="s">
        <v>1601</v>
      </c>
      <c r="C86" s="721">
        <v>58238.5</v>
      </c>
      <c r="D86" s="722">
        <v>4.6500000000000007E-2</v>
      </c>
      <c r="E86" s="723">
        <v>0.105</v>
      </c>
      <c r="F86" s="724">
        <f t="shared" si="3"/>
        <v>0.15394125</v>
      </c>
      <c r="G86" s="724">
        <f t="shared" si="4"/>
        <v>1.7701839867718546E-3</v>
      </c>
      <c r="H86" s="725">
        <f t="shared" si="5"/>
        <v>2.7250433565364276E-4</v>
      </c>
    </row>
    <row r="87" spans="1:8" ht="15.6">
      <c r="A87" s="3" t="s">
        <v>2412</v>
      </c>
      <c r="B87" s="3" t="s">
        <v>1603</v>
      </c>
      <c r="C87" s="721">
        <v>9435.75</v>
      </c>
      <c r="D87" s="722">
        <v>0</v>
      </c>
      <c r="E87" s="723" t="s">
        <v>4148</v>
      </c>
      <c r="F87" s="724" t="str">
        <f t="shared" si="3"/>
        <v>N/A</v>
      </c>
      <c r="G87" s="724" t="str">
        <f t="shared" si="4"/>
        <v>N/A</v>
      </c>
      <c r="H87" s="725" t="str">
        <f t="shared" si="5"/>
        <v>N/A</v>
      </c>
    </row>
    <row r="88" spans="1:8" ht="15.6">
      <c r="A88" s="3" t="s">
        <v>4079</v>
      </c>
      <c r="B88" s="3" t="s">
        <v>4080</v>
      </c>
      <c r="C88" s="721">
        <v>9905.5</v>
      </c>
      <c r="D88" s="722">
        <v>0</v>
      </c>
      <c r="E88" s="723" t="s">
        <v>4148</v>
      </c>
      <c r="F88" s="724" t="str">
        <f t="shared" si="3"/>
        <v>N/A</v>
      </c>
      <c r="G88" s="724" t="str">
        <f t="shared" si="4"/>
        <v>N/A</v>
      </c>
      <c r="H88" s="725" t="str">
        <f t="shared" si="5"/>
        <v>N/A</v>
      </c>
    </row>
    <row r="89" spans="1:8" ht="15.6">
      <c r="A89" s="3" t="s">
        <v>2413</v>
      </c>
      <c r="B89" s="3" t="s">
        <v>2288</v>
      </c>
      <c r="C89" s="721">
        <v>45374.61</v>
      </c>
      <c r="D89" s="722">
        <v>0</v>
      </c>
      <c r="E89" s="723">
        <v>0.115</v>
      </c>
      <c r="F89" s="724">
        <f t="shared" si="3"/>
        <v>0.115</v>
      </c>
      <c r="G89" s="724">
        <f t="shared" si="4"/>
        <v>1.3791805769039049E-3</v>
      </c>
      <c r="H89" s="725">
        <f t="shared" si="5"/>
        <v>1.5860576634394908E-4</v>
      </c>
    </row>
    <row r="90" spans="1:8" ht="15.6">
      <c r="A90" s="3" t="s">
        <v>2893</v>
      </c>
      <c r="B90" s="3" t="s">
        <v>2894</v>
      </c>
      <c r="C90" s="721">
        <v>24501.48</v>
      </c>
      <c r="D90" s="722">
        <v>1.3000000000000001E-2</v>
      </c>
      <c r="E90" s="723">
        <v>8.5000000000000006E-2</v>
      </c>
      <c r="F90" s="724">
        <f t="shared" si="3"/>
        <v>9.8552500000000001E-2</v>
      </c>
      <c r="G90" s="724">
        <f t="shared" si="4"/>
        <v>7.4473290947072574E-4</v>
      </c>
      <c r="H90" s="725">
        <f t="shared" si="5"/>
        <v>7.3395290060613696E-5</v>
      </c>
    </row>
    <row r="91" spans="1:8" ht="15.6">
      <c r="A91" s="3" t="s">
        <v>2415</v>
      </c>
      <c r="B91" s="3" t="s">
        <v>2416</v>
      </c>
      <c r="C91" s="721">
        <v>11169.28</v>
      </c>
      <c r="D91" s="722">
        <v>2.7200000000000002E-2</v>
      </c>
      <c r="E91" s="723">
        <v>7.4999999999999997E-2</v>
      </c>
      <c r="F91" s="724">
        <f t="shared" si="3"/>
        <v>0.10322000000000001</v>
      </c>
      <c r="G91" s="724">
        <f t="shared" si="4"/>
        <v>3.3949501789660004E-4</v>
      </c>
      <c r="H91" s="725">
        <f t="shared" si="5"/>
        <v>3.504267574728706E-5</v>
      </c>
    </row>
    <row r="92" spans="1:8" ht="15.6">
      <c r="A92" s="3" t="s">
        <v>4278</v>
      </c>
      <c r="B92" s="3" t="s">
        <v>4240</v>
      </c>
      <c r="C92" s="721">
        <v>29315.55</v>
      </c>
      <c r="D92" s="722">
        <v>6.3E-3</v>
      </c>
      <c r="E92" s="723" t="s">
        <v>4148</v>
      </c>
      <c r="F92" s="724" t="str">
        <f t="shared" si="3"/>
        <v>N/A</v>
      </c>
      <c r="G92" s="724" t="str">
        <f t="shared" si="4"/>
        <v>N/A</v>
      </c>
      <c r="H92" s="725" t="str">
        <f t="shared" si="5"/>
        <v>N/A</v>
      </c>
    </row>
    <row r="93" spans="1:8" ht="15.6">
      <c r="A93" s="3" t="s">
        <v>2417</v>
      </c>
      <c r="B93" s="3" t="s">
        <v>1605</v>
      </c>
      <c r="C93" s="721">
        <v>18495.09</v>
      </c>
      <c r="D93" s="722">
        <v>1.7100000000000001E-2</v>
      </c>
      <c r="E93" s="723">
        <v>0.33500000000000002</v>
      </c>
      <c r="F93" s="724">
        <f t="shared" si="3"/>
        <v>0.35496425000000004</v>
      </c>
      <c r="G93" s="724">
        <f t="shared" si="4"/>
        <v>5.6216612982656249E-4</v>
      </c>
      <c r="H93" s="725">
        <f t="shared" si="5"/>
        <v>1.9954887864928841E-4</v>
      </c>
    </row>
    <row r="94" spans="1:8" ht="15.6">
      <c r="A94" s="3" t="s">
        <v>2418</v>
      </c>
      <c r="B94" s="3" t="s">
        <v>1607</v>
      </c>
      <c r="C94" s="721">
        <v>19189.16</v>
      </c>
      <c r="D94" s="722">
        <v>4.4400000000000002E-2</v>
      </c>
      <c r="E94" s="723">
        <v>0.08</v>
      </c>
      <c r="F94" s="724">
        <f t="shared" si="3"/>
        <v>0.12617600000000001</v>
      </c>
      <c r="G94" s="724">
        <f t="shared" si="4"/>
        <v>5.8326268278892834E-4</v>
      </c>
      <c r="H94" s="725">
        <f t="shared" si="5"/>
        <v>7.3593752263575825E-5</v>
      </c>
    </row>
    <row r="95" spans="1:8" ht="15.6">
      <c r="A95" s="3" t="s">
        <v>2419</v>
      </c>
      <c r="B95" s="3" t="s">
        <v>1609</v>
      </c>
      <c r="C95" s="721">
        <v>19677.25</v>
      </c>
      <c r="D95" s="722">
        <v>1.3000000000000001E-2</v>
      </c>
      <c r="E95" s="723">
        <v>0.06</v>
      </c>
      <c r="F95" s="724">
        <f t="shared" si="3"/>
        <v>7.3389999999999997E-2</v>
      </c>
      <c r="G95" s="724">
        <f t="shared" si="4"/>
        <v>5.9809838601108337E-4</v>
      </c>
      <c r="H95" s="725">
        <f t="shared" si="5"/>
        <v>4.389444054935341E-5</v>
      </c>
    </row>
    <row r="96" spans="1:8" ht="15.6">
      <c r="A96" s="3" t="s">
        <v>2420</v>
      </c>
      <c r="B96" s="3" t="s">
        <v>1611</v>
      </c>
      <c r="C96" s="721">
        <v>11205.59</v>
      </c>
      <c r="D96" s="722">
        <v>2.63E-2</v>
      </c>
      <c r="E96" s="723">
        <v>8.5000000000000006E-2</v>
      </c>
      <c r="F96" s="724">
        <f t="shared" si="3"/>
        <v>0.11241775000000001</v>
      </c>
      <c r="G96" s="724">
        <f t="shared" si="4"/>
        <v>3.4059867579575069E-4</v>
      </c>
      <c r="H96" s="725">
        <f t="shared" si="5"/>
        <v>3.8289336785937753E-5</v>
      </c>
    </row>
    <row r="97" spans="1:8" ht="15.6">
      <c r="A97" s="3" t="s">
        <v>2421</v>
      </c>
      <c r="B97" s="3" t="s">
        <v>1613</v>
      </c>
      <c r="C97" s="721">
        <v>50023.64</v>
      </c>
      <c r="D97" s="722">
        <v>0</v>
      </c>
      <c r="E97" s="723">
        <v>0.23</v>
      </c>
      <c r="F97" s="724">
        <f t="shared" si="3"/>
        <v>0.23</v>
      </c>
      <c r="G97" s="724">
        <f t="shared" si="4"/>
        <v>1.5204898218195871E-3</v>
      </c>
      <c r="H97" s="725">
        <f t="shared" si="5"/>
        <v>3.4971265901850504E-4</v>
      </c>
    </row>
    <row r="98" spans="1:8" ht="15.6">
      <c r="A98" s="3" t="s">
        <v>2422</v>
      </c>
      <c r="B98" s="3" t="s">
        <v>1615</v>
      </c>
      <c r="C98" s="721">
        <v>104090.5</v>
      </c>
      <c r="D98" s="722">
        <v>1.38E-2</v>
      </c>
      <c r="E98" s="723">
        <v>0.1</v>
      </c>
      <c r="F98" s="724">
        <f t="shared" si="3"/>
        <v>0.11449000000000001</v>
      </c>
      <c r="G98" s="724">
        <f t="shared" si="4"/>
        <v>3.1638750358452868E-3</v>
      </c>
      <c r="H98" s="725">
        <f t="shared" si="5"/>
        <v>3.6223205285392689E-4</v>
      </c>
    </row>
    <row r="99" spans="1:8" ht="15.6">
      <c r="A99" s="3" t="s">
        <v>2423</v>
      </c>
      <c r="B99" s="3" t="s">
        <v>1617</v>
      </c>
      <c r="C99" s="721">
        <v>16424.8</v>
      </c>
      <c r="D99" s="722">
        <v>2.81E-2</v>
      </c>
      <c r="E99" s="723">
        <v>0.09</v>
      </c>
      <c r="F99" s="724">
        <f t="shared" si="3"/>
        <v>0.1193645</v>
      </c>
      <c r="G99" s="724">
        <f t="shared" si="4"/>
        <v>4.9923878441117744E-4</v>
      </c>
      <c r="H99" s="725">
        <f t="shared" si="5"/>
        <v>5.9591387881847991E-5</v>
      </c>
    </row>
    <row r="100" spans="1:8" ht="15.6">
      <c r="A100" s="3" t="s">
        <v>2424</v>
      </c>
      <c r="B100" s="3" t="s">
        <v>1619</v>
      </c>
      <c r="C100" s="721">
        <v>65973.55</v>
      </c>
      <c r="D100" s="722">
        <v>2.3799999999999998E-2</v>
      </c>
      <c r="E100" s="723">
        <v>6.5000000000000002E-2</v>
      </c>
      <c r="F100" s="724">
        <f t="shared" si="3"/>
        <v>8.95735E-2</v>
      </c>
      <c r="G100" s="724">
        <f t="shared" si="4"/>
        <v>2.0052941226249353E-3</v>
      </c>
      <c r="H100" s="725">
        <f t="shared" si="5"/>
        <v>1.7962121309294464E-4</v>
      </c>
    </row>
    <row r="101" spans="1:8" ht="15.6">
      <c r="A101" s="3" t="s">
        <v>2425</v>
      </c>
      <c r="B101" s="3" t="s">
        <v>1621</v>
      </c>
      <c r="C101" s="721">
        <v>17713.919999999998</v>
      </c>
      <c r="D101" s="722">
        <v>3.2899999999999999E-2</v>
      </c>
      <c r="E101" s="723">
        <v>7.4999999999999997E-2</v>
      </c>
      <c r="F101" s="724">
        <f t="shared" si="3"/>
        <v>0.10913375</v>
      </c>
      <c r="G101" s="724">
        <f t="shared" si="4"/>
        <v>5.3842213530495614E-4</v>
      </c>
      <c r="H101" s="725">
        <f t="shared" si="5"/>
        <v>5.8760026708837256E-5</v>
      </c>
    </row>
    <row r="102" spans="1:8" ht="15.6">
      <c r="A102" s="3" t="s">
        <v>2426</v>
      </c>
      <c r="B102" s="3" t="s">
        <v>1623</v>
      </c>
      <c r="C102" s="721">
        <v>8513.7900000000009</v>
      </c>
      <c r="D102" s="722">
        <v>4.1799999999999997E-2</v>
      </c>
      <c r="E102" s="723">
        <v>0.09</v>
      </c>
      <c r="F102" s="724">
        <f t="shared" si="3"/>
        <v>0.13368099999999999</v>
      </c>
      <c r="G102" s="724">
        <f t="shared" si="4"/>
        <v>2.5878026949077243E-4</v>
      </c>
      <c r="H102" s="725">
        <f t="shared" si="5"/>
        <v>3.4594005205795946E-5</v>
      </c>
    </row>
    <row r="103" spans="1:8" ht="15.6">
      <c r="A103" s="3" t="s">
        <v>2427</v>
      </c>
      <c r="B103" s="3" t="s">
        <v>1625</v>
      </c>
      <c r="C103" s="721">
        <v>151665.20000000001</v>
      </c>
      <c r="D103" s="722">
        <v>3.0800000000000001E-2</v>
      </c>
      <c r="E103" s="723">
        <v>8.5000000000000006E-2</v>
      </c>
      <c r="F103" s="724">
        <f t="shared" si="3"/>
        <v>0.117109</v>
      </c>
      <c r="G103" s="724">
        <f t="shared" si="4"/>
        <v>4.6099282843917802E-3</v>
      </c>
      <c r="H103" s="725">
        <f t="shared" si="5"/>
        <v>5.3986409145683704E-4</v>
      </c>
    </row>
    <row r="104" spans="1:8" ht="15.6">
      <c r="A104" s="3" t="s">
        <v>2428</v>
      </c>
      <c r="B104" s="3" t="s">
        <v>1627</v>
      </c>
      <c r="C104" s="721">
        <v>62039.59</v>
      </c>
      <c r="D104" s="722">
        <v>2.3099999999999999E-2</v>
      </c>
      <c r="E104" s="723">
        <v>8.5000000000000006E-2</v>
      </c>
      <c r="F104" s="724">
        <f t="shared" si="3"/>
        <v>0.10908175000000001</v>
      </c>
      <c r="G104" s="724">
        <f t="shared" si="4"/>
        <v>1.8857197346066825E-3</v>
      </c>
      <c r="H104" s="725">
        <f t="shared" si="5"/>
        <v>2.0569760866043249E-4</v>
      </c>
    </row>
    <row r="105" spans="1:8" ht="15.6">
      <c r="A105" s="3" t="s">
        <v>2429</v>
      </c>
      <c r="B105" s="3" t="s">
        <v>1629</v>
      </c>
      <c r="C105" s="721">
        <v>39550.449999999997</v>
      </c>
      <c r="D105" s="722">
        <v>0</v>
      </c>
      <c r="E105" s="723">
        <v>0.23</v>
      </c>
      <c r="F105" s="724">
        <f t="shared" si="3"/>
        <v>0.23</v>
      </c>
      <c r="G105" s="724">
        <f t="shared" si="4"/>
        <v>1.2021527556448208E-3</v>
      </c>
      <c r="H105" s="725">
        <f t="shared" si="5"/>
        <v>2.7649513379830878E-4</v>
      </c>
    </row>
    <row r="106" spans="1:8" ht="15.6">
      <c r="A106" s="3" t="s">
        <v>2430</v>
      </c>
      <c r="B106" s="3" t="s">
        <v>1631</v>
      </c>
      <c r="C106" s="721">
        <v>34153.019999999997</v>
      </c>
      <c r="D106" s="722">
        <v>2.5899999999999999E-2</v>
      </c>
      <c r="E106" s="723">
        <v>8.5000000000000006E-2</v>
      </c>
      <c r="F106" s="724">
        <f t="shared" si="3"/>
        <v>0.11200075000000001</v>
      </c>
      <c r="G106" s="724">
        <f t="shared" si="4"/>
        <v>1.0380955743004865E-3</v>
      </c>
      <c r="H106" s="725">
        <f t="shared" si="5"/>
        <v>1.1626748289333521E-4</v>
      </c>
    </row>
    <row r="107" spans="1:8" ht="15.6">
      <c r="A107" s="3" t="s">
        <v>2431</v>
      </c>
      <c r="B107" s="3" t="s">
        <v>207</v>
      </c>
      <c r="C107" s="721">
        <v>18190.2</v>
      </c>
      <c r="D107" s="722">
        <v>2.9399999999999999E-2</v>
      </c>
      <c r="E107" s="723">
        <v>6.5000000000000002E-2</v>
      </c>
      <c r="F107" s="724">
        <f t="shared" si="3"/>
        <v>9.5355499999999996E-2</v>
      </c>
      <c r="G107" s="724">
        <f t="shared" si="4"/>
        <v>5.5289886855220153E-4</v>
      </c>
      <c r="H107" s="725">
        <f t="shared" si="5"/>
        <v>5.2721948060229449E-5</v>
      </c>
    </row>
    <row r="108" spans="1:8" ht="15.6">
      <c r="A108" s="3" t="s">
        <v>2432</v>
      </c>
      <c r="B108" s="3" t="s">
        <v>1634</v>
      </c>
      <c r="C108" s="721">
        <v>46547.93</v>
      </c>
      <c r="D108" s="722">
        <v>0</v>
      </c>
      <c r="E108" s="723">
        <v>0.1</v>
      </c>
      <c r="F108" s="724">
        <f t="shared" si="3"/>
        <v>0.1</v>
      </c>
      <c r="G108" s="724">
        <f t="shared" si="4"/>
        <v>1.4148441375271892E-3</v>
      </c>
      <c r="H108" s="725">
        <f t="shared" si="5"/>
        <v>1.4148441375271892E-4</v>
      </c>
    </row>
    <row r="109" spans="1:8" ht="15.6">
      <c r="A109" s="3" t="s">
        <v>2433</v>
      </c>
      <c r="B109" s="3" t="s">
        <v>206</v>
      </c>
      <c r="C109" s="721">
        <v>19219.61</v>
      </c>
      <c r="D109" s="722">
        <v>2.4900000000000002E-2</v>
      </c>
      <c r="E109" s="723">
        <v>6.5000000000000002E-2</v>
      </c>
      <c r="F109" s="724">
        <f t="shared" si="3"/>
        <v>9.0709250000000005E-2</v>
      </c>
      <c r="G109" s="724">
        <f t="shared" si="4"/>
        <v>5.8418822349477078E-4</v>
      </c>
      <c r="H109" s="725">
        <f t="shared" si="5"/>
        <v>5.2991275612043036E-5</v>
      </c>
    </row>
    <row r="110" spans="1:8" ht="15.6">
      <c r="A110" s="3" t="s">
        <v>2434</v>
      </c>
      <c r="B110" s="3" t="s">
        <v>1637</v>
      </c>
      <c r="C110" s="721">
        <v>34270.89</v>
      </c>
      <c r="D110" s="722">
        <v>2.6800000000000001E-2</v>
      </c>
      <c r="E110" s="723">
        <v>-0.01</v>
      </c>
      <c r="F110" s="724">
        <f t="shared" si="3"/>
        <v>1.6666E-2</v>
      </c>
      <c r="G110" s="724">
        <f t="shared" si="4"/>
        <v>1.0416782831017227E-3</v>
      </c>
      <c r="H110" s="725">
        <f t="shared" si="5"/>
        <v>1.7360610266173312E-5</v>
      </c>
    </row>
    <row r="111" spans="1:8" ht="15.6">
      <c r="A111" s="3" t="s">
        <v>2435</v>
      </c>
      <c r="B111" s="3" t="s">
        <v>1639</v>
      </c>
      <c r="C111" s="721">
        <v>16204.42</v>
      </c>
      <c r="D111" s="722">
        <v>2.0000000000000001E-4</v>
      </c>
      <c r="E111" s="723">
        <v>0.12</v>
      </c>
      <c r="F111" s="724">
        <f t="shared" si="3"/>
        <v>0.120212</v>
      </c>
      <c r="G111" s="724">
        <f t="shared" si="4"/>
        <v>4.9254024054406576E-4</v>
      </c>
      <c r="H111" s="725">
        <f t="shared" si="5"/>
        <v>5.920924739628323E-5</v>
      </c>
    </row>
    <row r="112" spans="1:8" ht="15.6">
      <c r="A112" s="3" t="s">
        <v>2436</v>
      </c>
      <c r="B112" s="3" t="s">
        <v>1641</v>
      </c>
      <c r="C112" s="721">
        <v>144893.1</v>
      </c>
      <c r="D112" s="722">
        <v>1.7500000000000002E-2</v>
      </c>
      <c r="E112" s="723">
        <v>0.2</v>
      </c>
      <c r="F112" s="724">
        <f t="shared" si="3"/>
        <v>0.21925</v>
      </c>
      <c r="G112" s="724">
        <f t="shared" si="4"/>
        <v>4.4040874235039195E-3</v>
      </c>
      <c r="H112" s="725">
        <f t="shared" si="5"/>
        <v>9.6559616760323434E-4</v>
      </c>
    </row>
    <row r="113" spans="1:8" ht="15.6">
      <c r="A113" s="3" t="s">
        <v>2437</v>
      </c>
      <c r="B113" s="3" t="s">
        <v>1643</v>
      </c>
      <c r="C113" s="721">
        <v>204537.3</v>
      </c>
      <c r="D113" s="722">
        <v>7.8000000000000005E-3</v>
      </c>
      <c r="E113" s="723">
        <v>0.105</v>
      </c>
      <c r="F113" s="724">
        <f t="shared" si="3"/>
        <v>0.11320949999999999</v>
      </c>
      <c r="G113" s="724">
        <f t="shared" si="4"/>
        <v>6.2169982598719205E-3</v>
      </c>
      <c r="H113" s="725">
        <f t="shared" si="5"/>
        <v>7.0382326450097008E-4</v>
      </c>
    </row>
    <row r="114" spans="1:8" ht="15.6">
      <c r="A114" s="3" t="s">
        <v>2438</v>
      </c>
      <c r="B114" s="3" t="s">
        <v>1645</v>
      </c>
      <c r="C114" s="721">
        <v>17016.09</v>
      </c>
      <c r="D114" s="722">
        <v>2.6000000000000002E-2</v>
      </c>
      <c r="E114" s="723">
        <v>4.4999999999999998E-2</v>
      </c>
      <c r="F114" s="724">
        <f t="shared" si="3"/>
        <v>7.1584999999999996E-2</v>
      </c>
      <c r="G114" s="724">
        <f t="shared" si="4"/>
        <v>5.1721129554278854E-4</v>
      </c>
      <c r="H114" s="725">
        <f t="shared" si="5"/>
        <v>3.7024570591430519E-5</v>
      </c>
    </row>
    <row r="115" spans="1:8" ht="15.6">
      <c r="A115" s="3" t="s">
        <v>2440</v>
      </c>
      <c r="B115" s="3" t="s">
        <v>2441</v>
      </c>
      <c r="C115" s="721">
        <v>29071.77</v>
      </c>
      <c r="D115" s="722">
        <v>0</v>
      </c>
      <c r="E115" s="723">
        <v>7.0000000000000007E-2</v>
      </c>
      <c r="F115" s="724">
        <f t="shared" si="3"/>
        <v>7.0000000000000007E-2</v>
      </c>
      <c r="G115" s="724">
        <f t="shared" si="4"/>
        <v>8.8364881858417376E-4</v>
      </c>
      <c r="H115" s="725">
        <f t="shared" si="5"/>
        <v>6.1855417300892175E-5</v>
      </c>
    </row>
    <row r="116" spans="1:8" ht="15.6">
      <c r="A116" s="3" t="s">
        <v>4280</v>
      </c>
      <c r="B116" s="3" t="s">
        <v>4281</v>
      </c>
      <c r="C116" s="721">
        <v>11421.36</v>
      </c>
      <c r="D116" s="722">
        <v>3.7100000000000001E-2</v>
      </c>
      <c r="E116" s="723">
        <v>3.5000000000000003E-2</v>
      </c>
      <c r="F116" s="724">
        <f t="shared" si="3"/>
        <v>7.2749250000000015E-2</v>
      </c>
      <c r="G116" s="724">
        <f t="shared" si="4"/>
        <v>3.4715709675140312E-4</v>
      </c>
      <c r="H116" s="725">
        <f t="shared" si="5"/>
        <v>2.5255418420842019E-5</v>
      </c>
    </row>
    <row r="117" spans="1:8" ht="15.6">
      <c r="A117" s="3" t="s">
        <v>4282</v>
      </c>
      <c r="B117" s="3" t="s">
        <v>3982</v>
      </c>
      <c r="C117" s="721">
        <v>11208.71</v>
      </c>
      <c r="D117" s="722">
        <v>0</v>
      </c>
      <c r="E117" s="723">
        <v>0.11</v>
      </c>
      <c r="F117" s="724">
        <f t="shared" si="3"/>
        <v>0.11</v>
      </c>
      <c r="G117" s="724">
        <f t="shared" si="4"/>
        <v>3.4069350952324585E-4</v>
      </c>
      <c r="H117" s="725">
        <f t="shared" si="5"/>
        <v>3.7476286047557045E-5</v>
      </c>
    </row>
    <row r="118" spans="1:8" ht="15.6">
      <c r="A118" s="3" t="s">
        <v>4283</v>
      </c>
      <c r="B118" s="3" t="s">
        <v>1647</v>
      </c>
      <c r="C118" s="721">
        <v>130430.3</v>
      </c>
      <c r="D118" s="722">
        <v>0</v>
      </c>
      <c r="E118" s="723">
        <v>0.2</v>
      </c>
      <c r="F118" s="724">
        <f t="shared" si="3"/>
        <v>0.2</v>
      </c>
      <c r="G118" s="724">
        <f t="shared" si="4"/>
        <v>3.9644844638829814E-3</v>
      </c>
      <c r="H118" s="725">
        <f t="shared" si="5"/>
        <v>7.9289689277659632E-4</v>
      </c>
    </row>
    <row r="119" spans="1:8" ht="15.6">
      <c r="A119" s="3" t="s">
        <v>4284</v>
      </c>
      <c r="B119" s="3" t="s">
        <v>1649</v>
      </c>
      <c r="C119" s="721">
        <v>195549</v>
      </c>
      <c r="D119" s="722">
        <v>3.2500000000000001E-2</v>
      </c>
      <c r="E119" s="723">
        <v>0.09</v>
      </c>
      <c r="F119" s="724">
        <f t="shared" si="3"/>
        <v>0.1239625</v>
      </c>
      <c r="G119" s="724">
        <f t="shared" si="4"/>
        <v>5.943795057037001E-3</v>
      </c>
      <c r="H119" s="725">
        <f t="shared" si="5"/>
        <v>7.3680769475794922E-4</v>
      </c>
    </row>
    <row r="120" spans="1:8" ht="15.6">
      <c r="A120" s="3" t="s">
        <v>4286</v>
      </c>
      <c r="B120" s="3" t="s">
        <v>4287</v>
      </c>
      <c r="C120" s="721">
        <v>31691.89</v>
      </c>
      <c r="D120" s="722">
        <v>0</v>
      </c>
      <c r="E120" s="723">
        <v>0.155</v>
      </c>
      <c r="F120" s="724">
        <f t="shared" si="3"/>
        <v>0.155</v>
      </c>
      <c r="G120" s="724">
        <f t="shared" si="4"/>
        <v>9.6328848079080113E-4</v>
      </c>
      <c r="H120" s="725">
        <f t="shared" si="5"/>
        <v>1.4930971452257417E-4</v>
      </c>
    </row>
    <row r="121" spans="1:8" ht="15.6">
      <c r="A121" s="3" t="s">
        <v>2442</v>
      </c>
      <c r="B121" s="3" t="s">
        <v>1651</v>
      </c>
      <c r="C121" s="721">
        <v>65618.880000000005</v>
      </c>
      <c r="D121" s="722">
        <v>1.2800000000000001E-2</v>
      </c>
      <c r="E121" s="723">
        <v>0.105</v>
      </c>
      <c r="F121" s="724">
        <f t="shared" si="3"/>
        <v>0.11847199999999999</v>
      </c>
      <c r="G121" s="724">
        <f t="shared" si="4"/>
        <v>1.9945137770702188E-3</v>
      </c>
      <c r="H121" s="725">
        <f t="shared" si="5"/>
        <v>2.3629403619706294E-4</v>
      </c>
    </row>
    <row r="122" spans="1:8" ht="15.6">
      <c r="A122" s="3" t="s">
        <v>2443</v>
      </c>
      <c r="B122" s="3" t="s">
        <v>1653</v>
      </c>
      <c r="C122" s="721">
        <v>47150.91</v>
      </c>
      <c r="D122" s="722">
        <v>9.8999999999999991E-3</v>
      </c>
      <c r="E122" s="723">
        <v>0.14000000000000001</v>
      </c>
      <c r="F122" s="724">
        <f t="shared" si="3"/>
        <v>0.150593</v>
      </c>
      <c r="G122" s="724">
        <f t="shared" si="4"/>
        <v>1.4331719711826525E-3</v>
      </c>
      <c r="H122" s="725">
        <f t="shared" si="5"/>
        <v>2.158256666563092E-4</v>
      </c>
    </row>
    <row r="123" spans="1:8" ht="15.6">
      <c r="A123" s="3" t="s">
        <v>3912</v>
      </c>
      <c r="B123" s="3" t="s">
        <v>3913</v>
      </c>
      <c r="C123" s="721">
        <v>7819.39</v>
      </c>
      <c r="D123" s="722">
        <v>0</v>
      </c>
      <c r="E123" s="723">
        <v>0.15</v>
      </c>
      <c r="F123" s="724">
        <f t="shared" si="3"/>
        <v>0.15</v>
      </c>
      <c r="G123" s="724">
        <f t="shared" si="4"/>
        <v>2.3767368603799845E-4</v>
      </c>
      <c r="H123" s="725">
        <f t="shared" si="5"/>
        <v>3.5651052905699767E-5</v>
      </c>
    </row>
    <row r="124" spans="1:8" ht="15.6">
      <c r="A124" s="3" t="s">
        <v>4082</v>
      </c>
      <c r="B124" s="3" t="s">
        <v>4083</v>
      </c>
      <c r="C124" s="721">
        <v>20395.2</v>
      </c>
      <c r="D124" s="722">
        <v>2.3900000000000001E-2</v>
      </c>
      <c r="E124" s="723" t="s">
        <v>4148</v>
      </c>
      <c r="F124" s="724" t="str">
        <f t="shared" si="3"/>
        <v>N/A</v>
      </c>
      <c r="G124" s="724" t="str">
        <f t="shared" si="4"/>
        <v>N/A</v>
      </c>
      <c r="H124" s="725" t="str">
        <f t="shared" si="5"/>
        <v>N/A</v>
      </c>
    </row>
    <row r="125" spans="1:8" ht="15.6">
      <c r="A125" s="3" t="s">
        <v>2444</v>
      </c>
      <c r="B125" s="3" t="s">
        <v>1655</v>
      </c>
      <c r="C125" s="721">
        <v>28593.82</v>
      </c>
      <c r="D125" s="722">
        <v>1.9400000000000001E-2</v>
      </c>
      <c r="E125" s="723">
        <v>7.4999999999999997E-2</v>
      </c>
      <c r="F125" s="724">
        <f t="shared" si="3"/>
        <v>9.5127500000000004E-2</v>
      </c>
      <c r="G125" s="724">
        <f t="shared" si="4"/>
        <v>8.6912132497637799E-4</v>
      </c>
      <c r="H125" s="725">
        <f t="shared" si="5"/>
        <v>8.2677338841690405E-5</v>
      </c>
    </row>
    <row r="126" spans="1:8" ht="15.6">
      <c r="A126" s="3" t="s">
        <v>2896</v>
      </c>
      <c r="B126" s="3" t="s">
        <v>2897</v>
      </c>
      <c r="C126" s="721">
        <v>42536.6</v>
      </c>
      <c r="D126" s="722">
        <v>1.04E-2</v>
      </c>
      <c r="E126" s="723">
        <v>0.16500000000000001</v>
      </c>
      <c r="F126" s="724">
        <f t="shared" si="3"/>
        <v>0.176258</v>
      </c>
      <c r="G126" s="724">
        <f t="shared" si="4"/>
        <v>1.292918055439609E-3</v>
      </c>
      <c r="H126" s="725">
        <f t="shared" si="5"/>
        <v>2.278871506156746E-4</v>
      </c>
    </row>
    <row r="127" spans="1:8" ht="15.6">
      <c r="A127" s="3" t="s">
        <v>2445</v>
      </c>
      <c r="B127" s="3" t="s">
        <v>1657</v>
      </c>
      <c r="C127" s="721">
        <v>123767.8</v>
      </c>
      <c r="D127" s="722">
        <v>2.5699999999999997E-2</v>
      </c>
      <c r="E127" s="723">
        <v>0.06</v>
      </c>
      <c r="F127" s="724">
        <f t="shared" si="3"/>
        <v>8.6470999999999992E-2</v>
      </c>
      <c r="G127" s="724">
        <f t="shared" si="4"/>
        <v>3.7619749416276443E-3</v>
      </c>
      <c r="H127" s="725">
        <f t="shared" si="5"/>
        <v>3.25301735177484E-4</v>
      </c>
    </row>
    <row r="128" spans="1:8" ht="15.6">
      <c r="A128" s="3" t="s">
        <v>2446</v>
      </c>
      <c r="B128" s="3" t="s">
        <v>1659</v>
      </c>
      <c r="C128" s="721">
        <v>337806.8</v>
      </c>
      <c r="D128" s="722">
        <v>3.32E-2</v>
      </c>
      <c r="E128" s="723">
        <v>0.45</v>
      </c>
      <c r="F128" s="724">
        <f t="shared" si="3"/>
        <v>0.49067</v>
      </c>
      <c r="G128" s="724">
        <f t="shared" si="4"/>
        <v>1.0267781415775518E-2</v>
      </c>
      <c r="H128" s="725">
        <f t="shared" si="5"/>
        <v>5.0380923072785733E-3</v>
      </c>
    </row>
    <row r="129" spans="1:8" ht="15.6">
      <c r="A129" s="3" t="s">
        <v>3984</v>
      </c>
      <c r="B129" s="3" t="s">
        <v>3985</v>
      </c>
      <c r="C129" s="721">
        <v>9655.65</v>
      </c>
      <c r="D129" s="722">
        <v>0</v>
      </c>
      <c r="E129" s="723" t="s">
        <v>4148</v>
      </c>
      <c r="F129" s="724" t="str">
        <f t="shared" si="3"/>
        <v>N/A</v>
      </c>
      <c r="G129" s="724" t="str">
        <f t="shared" si="4"/>
        <v>N/A</v>
      </c>
      <c r="H129" s="725" t="str">
        <f t="shared" si="5"/>
        <v>N/A</v>
      </c>
    </row>
    <row r="130" spans="1:8" ht="15.6">
      <c r="A130" s="3" t="s">
        <v>2447</v>
      </c>
      <c r="B130" s="3" t="s">
        <v>209</v>
      </c>
      <c r="C130" s="721">
        <v>50021.65</v>
      </c>
      <c r="D130" s="722">
        <v>4.6500000000000007E-2</v>
      </c>
      <c r="E130" s="723">
        <v>5.5E-2</v>
      </c>
      <c r="F130" s="724">
        <f t="shared" si="3"/>
        <v>0.10277875</v>
      </c>
      <c r="G130" s="724">
        <f t="shared" si="4"/>
        <v>1.5204293349228835E-3</v>
      </c>
      <c r="H130" s="725">
        <f t="shared" si="5"/>
        <v>1.5626782650670531E-4</v>
      </c>
    </row>
    <row r="131" spans="1:8" ht="15.6">
      <c r="A131" s="3" t="s">
        <v>2448</v>
      </c>
      <c r="B131" s="3" t="s">
        <v>1662</v>
      </c>
      <c r="C131" s="721">
        <v>21588.799999999999</v>
      </c>
      <c r="D131" s="722">
        <v>0</v>
      </c>
      <c r="E131" s="723" t="s">
        <v>4148</v>
      </c>
      <c r="F131" s="724" t="str">
        <f t="shared" si="3"/>
        <v>N/A</v>
      </c>
      <c r="G131" s="724" t="str">
        <f t="shared" si="4"/>
        <v>N/A</v>
      </c>
      <c r="H131" s="725" t="str">
        <f t="shared" si="5"/>
        <v>N/A</v>
      </c>
    </row>
    <row r="132" spans="1:8" ht="15.6">
      <c r="A132" s="3" t="s">
        <v>2899</v>
      </c>
      <c r="B132" s="3" t="s">
        <v>2900</v>
      </c>
      <c r="C132" s="721">
        <v>33937.14</v>
      </c>
      <c r="D132" s="722">
        <v>2.0499999999999997E-2</v>
      </c>
      <c r="E132" s="723">
        <v>8.5000000000000006E-2</v>
      </c>
      <c r="F132" s="724">
        <f t="shared" ref="F132:F195" si="6">IFERROR(D132*(1+0.5*E132)+E132,"N/A")</f>
        <v>0.10637125</v>
      </c>
      <c r="G132" s="724">
        <f t="shared" ref="G132:G195" si="7">IF(F132="N/A","N/A",C132/$C$504)</f>
        <v>1.0315338098480314E-3</v>
      </c>
      <c r="H132" s="725">
        <f t="shared" si="5"/>
        <v>1.097255407707974E-4</v>
      </c>
    </row>
    <row r="133" spans="1:8" ht="15.6">
      <c r="A133" s="3" t="s">
        <v>2449</v>
      </c>
      <c r="B133" s="3" t="s">
        <v>1664</v>
      </c>
      <c r="C133" s="721">
        <v>133295.79999999999</v>
      </c>
      <c r="D133" s="722">
        <v>1.09E-2</v>
      </c>
      <c r="E133" s="723">
        <v>0.16500000000000001</v>
      </c>
      <c r="F133" s="724">
        <f t="shared" si="6"/>
        <v>0.17679925000000002</v>
      </c>
      <c r="G133" s="724">
        <f t="shared" si="7"/>
        <v>4.051582555593701E-3</v>
      </c>
      <c r="H133" s="725">
        <f t="shared" ref="H133:H196" si="8">IF(ISNUMBER(G133),F133*G133,"N/A")</f>
        <v>7.1631675714204973E-4</v>
      </c>
    </row>
    <row r="134" spans="1:8" ht="15.6">
      <c r="A134" s="3" t="s">
        <v>2450</v>
      </c>
      <c r="B134" s="3" t="s">
        <v>1666</v>
      </c>
      <c r="C134" s="721">
        <v>26721.41</v>
      </c>
      <c r="D134" s="722">
        <v>2.4500000000000001E-2</v>
      </c>
      <c r="E134" s="723">
        <v>8.5000000000000006E-2</v>
      </c>
      <c r="F134" s="724">
        <f t="shared" si="6"/>
        <v>0.11054125000000001</v>
      </c>
      <c r="G134" s="724">
        <f t="shared" si="7"/>
        <v>8.1220862635482209E-4</v>
      </c>
      <c r="H134" s="725">
        <f t="shared" si="8"/>
        <v>8.9782556818044989E-5</v>
      </c>
    </row>
    <row r="135" spans="1:8" ht="15.6">
      <c r="A135" s="3" t="s">
        <v>2451</v>
      </c>
      <c r="B135" s="3" t="s">
        <v>1668</v>
      </c>
      <c r="C135" s="721">
        <v>54673.03</v>
      </c>
      <c r="D135" s="722">
        <v>9.0000000000000011E-3</v>
      </c>
      <c r="E135" s="723">
        <v>0.1</v>
      </c>
      <c r="F135" s="724">
        <f t="shared" si="6"/>
        <v>0.10945000000000001</v>
      </c>
      <c r="G135" s="724">
        <f t="shared" si="7"/>
        <v>1.6618100090884417E-3</v>
      </c>
      <c r="H135" s="725">
        <f t="shared" si="8"/>
        <v>1.8188510549472996E-4</v>
      </c>
    </row>
    <row r="136" spans="1:8" ht="15.6">
      <c r="A136" s="3" t="s">
        <v>2452</v>
      </c>
      <c r="B136" s="3" t="s">
        <v>1670</v>
      </c>
      <c r="C136" s="721">
        <v>17704.2</v>
      </c>
      <c r="D136" s="722">
        <v>1.7000000000000001E-2</v>
      </c>
      <c r="E136" s="723">
        <v>0.04</v>
      </c>
      <c r="F136" s="724">
        <f t="shared" si="6"/>
        <v>5.7340000000000002E-2</v>
      </c>
      <c r="G136" s="724">
        <f t="shared" si="7"/>
        <v>5.3812669176929819E-4</v>
      </c>
      <c r="H136" s="725">
        <f t="shared" si="8"/>
        <v>3.0856184506051561E-5</v>
      </c>
    </row>
    <row r="137" spans="1:8" ht="15.6">
      <c r="A137" s="3" t="s">
        <v>2453</v>
      </c>
      <c r="B137" s="3" t="s">
        <v>1672</v>
      </c>
      <c r="C137" s="721">
        <v>30869.78</v>
      </c>
      <c r="D137" s="722">
        <v>1.11E-2</v>
      </c>
      <c r="E137" s="723">
        <v>5.0000000000000001E-3</v>
      </c>
      <c r="F137" s="724">
        <f t="shared" si="6"/>
        <v>1.612775E-2</v>
      </c>
      <c r="G137" s="724">
        <f t="shared" si="7"/>
        <v>9.3830009755007532E-4</v>
      </c>
      <c r="H137" s="725">
        <f t="shared" si="8"/>
        <v>1.5132669398263227E-5</v>
      </c>
    </row>
    <row r="138" spans="1:8" ht="15.6">
      <c r="A138" s="3" t="s">
        <v>2454</v>
      </c>
      <c r="B138" s="3" t="s">
        <v>1674</v>
      </c>
      <c r="C138" s="721">
        <v>189967.3</v>
      </c>
      <c r="D138" s="722">
        <v>3.8E-3</v>
      </c>
      <c r="E138" s="723">
        <v>0.16</v>
      </c>
      <c r="F138" s="724">
        <f t="shared" si="6"/>
        <v>0.164104</v>
      </c>
      <c r="G138" s="724">
        <f t="shared" si="7"/>
        <v>5.7741369106396098E-3</v>
      </c>
      <c r="H138" s="725">
        <f t="shared" si="8"/>
        <v>9.4755896358360249E-4</v>
      </c>
    </row>
    <row r="139" spans="1:8" ht="15.6">
      <c r="A139" s="3" t="s">
        <v>2455</v>
      </c>
      <c r="B139" s="3" t="s">
        <v>1676</v>
      </c>
      <c r="C139" s="721">
        <v>154804.5</v>
      </c>
      <c r="D139" s="722">
        <v>0</v>
      </c>
      <c r="E139" s="723">
        <v>0.30499999999999999</v>
      </c>
      <c r="F139" s="724">
        <f t="shared" si="6"/>
        <v>0.30499999999999999</v>
      </c>
      <c r="G139" s="724">
        <f t="shared" si="7"/>
        <v>4.7053486435987115E-3</v>
      </c>
      <c r="H139" s="725">
        <f t="shared" si="8"/>
        <v>1.435131336297607E-3</v>
      </c>
    </row>
    <row r="140" spans="1:8" ht="15.6">
      <c r="A140" s="3" t="s">
        <v>2456</v>
      </c>
      <c r="B140" s="3" t="s">
        <v>2227</v>
      </c>
      <c r="C140" s="721">
        <v>7387.43</v>
      </c>
      <c r="D140" s="722">
        <v>0</v>
      </c>
      <c r="E140" s="723">
        <v>-1.4999999999999999E-2</v>
      </c>
      <c r="F140" s="724">
        <f t="shared" si="6"/>
        <v>-1.4999999999999999E-2</v>
      </c>
      <c r="G140" s="724">
        <f t="shared" si="7"/>
        <v>2.2454407804799236E-4</v>
      </c>
      <c r="H140" s="725">
        <f t="shared" si="8"/>
        <v>-3.368161170719885E-6</v>
      </c>
    </row>
    <row r="141" spans="1:8" ht="15.6">
      <c r="A141" s="3" t="s">
        <v>2457</v>
      </c>
      <c r="B141" s="3" t="s">
        <v>1678</v>
      </c>
      <c r="C141" s="721">
        <v>28569.48</v>
      </c>
      <c r="D141" s="722">
        <v>5.1399999999999994E-2</v>
      </c>
      <c r="E141" s="723">
        <v>-3.5000000000000003E-2</v>
      </c>
      <c r="F141" s="724">
        <f t="shared" si="6"/>
        <v>1.5500499999999993E-2</v>
      </c>
      <c r="G141" s="724">
        <f t="shared" si="7"/>
        <v>8.6838150032021364E-4</v>
      </c>
      <c r="H141" s="725">
        <f t="shared" si="8"/>
        <v>1.3460347445713466E-5</v>
      </c>
    </row>
    <row r="142" spans="1:8" ht="15.6">
      <c r="A142" s="3" t="s">
        <v>2458</v>
      </c>
      <c r="B142" s="3" t="s">
        <v>1680</v>
      </c>
      <c r="C142" s="721">
        <v>31007.81</v>
      </c>
      <c r="D142" s="722">
        <v>0</v>
      </c>
      <c r="E142" s="723">
        <v>0.12</v>
      </c>
      <c r="F142" s="724">
        <f t="shared" si="6"/>
        <v>0.12</v>
      </c>
      <c r="G142" s="724">
        <f t="shared" si="7"/>
        <v>9.4249557812897287E-4</v>
      </c>
      <c r="H142" s="725">
        <f t="shared" si="8"/>
        <v>1.1309946937547674E-4</v>
      </c>
    </row>
    <row r="143" spans="1:8" ht="15.6">
      <c r="A143" s="3" t="s">
        <v>2459</v>
      </c>
      <c r="B143" s="3" t="s">
        <v>1682</v>
      </c>
      <c r="C143" s="721">
        <v>18926.740000000002</v>
      </c>
      <c r="D143" s="722">
        <v>1.4999999999999999E-2</v>
      </c>
      <c r="E143" s="723">
        <v>0.08</v>
      </c>
      <c r="F143" s="724">
        <f t="shared" si="6"/>
        <v>9.5600000000000004E-2</v>
      </c>
      <c r="G143" s="724">
        <f t="shared" si="7"/>
        <v>5.7528631523467012E-4</v>
      </c>
      <c r="H143" s="725">
        <f t="shared" si="8"/>
        <v>5.4997371736434463E-5</v>
      </c>
    </row>
    <row r="144" spans="1:8" ht="15.6">
      <c r="A144" s="3" t="s">
        <v>2461</v>
      </c>
      <c r="B144" s="3" t="s">
        <v>2462</v>
      </c>
      <c r="C144" s="721">
        <v>35659.47</v>
      </c>
      <c r="D144" s="722">
        <v>5.9200000000000003E-2</v>
      </c>
      <c r="E144" s="723">
        <v>0.13500000000000001</v>
      </c>
      <c r="F144" s="724">
        <f t="shared" si="6"/>
        <v>0.19819600000000001</v>
      </c>
      <c r="G144" s="724">
        <f t="shared" si="7"/>
        <v>1.0838847630136653E-3</v>
      </c>
      <c r="H144" s="725">
        <f t="shared" si="8"/>
        <v>2.1482162449025643E-4</v>
      </c>
    </row>
    <row r="145" spans="1:8" ht="15.6">
      <c r="A145" s="3" t="s">
        <v>3029</v>
      </c>
      <c r="B145" s="3" t="s">
        <v>3030</v>
      </c>
      <c r="C145" s="721">
        <v>12684.17</v>
      </c>
      <c r="D145" s="722">
        <v>1.29E-2</v>
      </c>
      <c r="E145" s="723">
        <v>0.14000000000000001</v>
      </c>
      <c r="F145" s="724">
        <f t="shared" si="6"/>
        <v>0.15380300000000002</v>
      </c>
      <c r="G145" s="724">
        <f t="shared" si="7"/>
        <v>3.8554074400082343E-4</v>
      </c>
      <c r="H145" s="725">
        <f t="shared" si="8"/>
        <v>5.9297323049558653E-5</v>
      </c>
    </row>
    <row r="146" spans="1:8" ht="15.6">
      <c r="A146" s="3" t="s">
        <v>2463</v>
      </c>
      <c r="B146" s="3" t="s">
        <v>1684</v>
      </c>
      <c r="C146" s="721">
        <v>16972.37</v>
      </c>
      <c r="D146" s="722">
        <v>3.49E-2</v>
      </c>
      <c r="E146" s="723">
        <v>0.215</v>
      </c>
      <c r="F146" s="724">
        <f t="shared" si="6"/>
        <v>0.25365175000000001</v>
      </c>
      <c r="G146" s="724">
        <f t="shared" si="7"/>
        <v>5.1588240754083675E-4</v>
      </c>
      <c r="H146" s="725">
        <f t="shared" si="8"/>
        <v>1.3085447546694643E-4</v>
      </c>
    </row>
    <row r="147" spans="1:8" ht="15.6">
      <c r="A147" s="3" t="s">
        <v>2464</v>
      </c>
      <c r="B147" s="3" t="s">
        <v>210</v>
      </c>
      <c r="C147" s="721">
        <v>22751.119999999999</v>
      </c>
      <c r="D147" s="722">
        <v>3.2400000000000005E-2</v>
      </c>
      <c r="E147" s="723">
        <v>4.4999999999999998E-2</v>
      </c>
      <c r="F147" s="724">
        <f t="shared" si="6"/>
        <v>7.8129000000000004E-2</v>
      </c>
      <c r="G147" s="724">
        <f t="shared" si="7"/>
        <v>6.9152997252890916E-4</v>
      </c>
      <c r="H147" s="725">
        <f t="shared" si="8"/>
        <v>5.4028545223711148E-5</v>
      </c>
    </row>
    <row r="148" spans="1:8" ht="15.6">
      <c r="A148" s="3" t="s">
        <v>2465</v>
      </c>
      <c r="B148" s="3" t="s">
        <v>211</v>
      </c>
      <c r="C148" s="721">
        <v>78478.399999999994</v>
      </c>
      <c r="D148" s="722">
        <v>3.9399999999999998E-2</v>
      </c>
      <c r="E148" s="723">
        <v>0.04</v>
      </c>
      <c r="F148" s="724">
        <f t="shared" si="6"/>
        <v>8.0188000000000009E-2</v>
      </c>
      <c r="G148" s="724">
        <f t="shared" si="7"/>
        <v>2.3853843589288237E-3</v>
      </c>
      <c r="H148" s="725">
        <f t="shared" si="8"/>
        <v>1.9127920097378453E-4</v>
      </c>
    </row>
    <row r="149" spans="1:8" ht="15.6">
      <c r="A149" s="3" t="s">
        <v>2466</v>
      </c>
      <c r="B149" s="3" t="s">
        <v>1688</v>
      </c>
      <c r="C149" s="721">
        <v>6594.71</v>
      </c>
      <c r="D149" s="722">
        <v>0</v>
      </c>
      <c r="E149" s="723">
        <v>8.5000000000000006E-2</v>
      </c>
      <c r="F149" s="724">
        <f t="shared" si="6"/>
        <v>8.5000000000000006E-2</v>
      </c>
      <c r="G149" s="724">
        <f t="shared" si="7"/>
        <v>2.0044901636210097E-4</v>
      </c>
      <c r="H149" s="725">
        <f t="shared" si="8"/>
        <v>1.7038166390778585E-5</v>
      </c>
    </row>
    <row r="150" spans="1:8" ht="15.6">
      <c r="A150" s="3" t="s">
        <v>2467</v>
      </c>
      <c r="B150" s="3" t="s">
        <v>1690</v>
      </c>
      <c r="C150" s="721">
        <v>40391.040000000001</v>
      </c>
      <c r="D150" s="722">
        <v>1.1699999999999999E-2</v>
      </c>
      <c r="E150" s="723">
        <v>0.33500000000000002</v>
      </c>
      <c r="F150" s="724">
        <f t="shared" si="6"/>
        <v>0.34865975000000005</v>
      </c>
      <c r="G150" s="724">
        <f t="shared" si="7"/>
        <v>1.2277028463484028E-3</v>
      </c>
      <c r="H150" s="725">
        <f t="shared" si="8"/>
        <v>4.2805056748212262E-4</v>
      </c>
    </row>
    <row r="151" spans="1:8" ht="15.6">
      <c r="A151" s="3" t="s">
        <v>2468</v>
      </c>
      <c r="B151" s="3" t="s">
        <v>2256</v>
      </c>
      <c r="C151" s="721">
        <v>6162.77</v>
      </c>
      <c r="D151" s="722">
        <v>0</v>
      </c>
      <c r="E151" s="723">
        <v>0.12</v>
      </c>
      <c r="F151" s="724">
        <f t="shared" si="6"/>
        <v>0.12</v>
      </c>
      <c r="G151" s="724">
        <f t="shared" si="7"/>
        <v>1.8732001628060446E-4</v>
      </c>
      <c r="H151" s="725">
        <f t="shared" si="8"/>
        <v>2.2478401953672533E-5</v>
      </c>
    </row>
    <row r="152" spans="1:8" ht="15.6">
      <c r="A152" s="3" t="s">
        <v>3986</v>
      </c>
      <c r="B152" s="3" t="s">
        <v>3032</v>
      </c>
      <c r="C152" s="721">
        <v>44320.31</v>
      </c>
      <c r="D152" s="722">
        <v>0</v>
      </c>
      <c r="E152" s="723">
        <v>0.30499999999999999</v>
      </c>
      <c r="F152" s="724">
        <f t="shared" si="6"/>
        <v>0.30499999999999999</v>
      </c>
      <c r="G152" s="724">
        <f t="shared" si="7"/>
        <v>1.3471346798211577E-3</v>
      </c>
      <c r="H152" s="725">
        <f t="shared" si="8"/>
        <v>4.1087607734545308E-4</v>
      </c>
    </row>
    <row r="153" spans="1:8" ht="15.6">
      <c r="A153" s="3" t="s">
        <v>2469</v>
      </c>
      <c r="B153" s="3" t="s">
        <v>1692</v>
      </c>
      <c r="C153" s="721">
        <v>33935.440000000002</v>
      </c>
      <c r="D153" s="722">
        <v>6.5000000000000006E-3</v>
      </c>
      <c r="E153" s="723">
        <v>0.115</v>
      </c>
      <c r="F153" s="724">
        <f t="shared" si="6"/>
        <v>0.12187375</v>
      </c>
      <c r="G153" s="724">
        <f t="shared" si="7"/>
        <v>1.0314821376247168E-3</v>
      </c>
      <c r="H153" s="725">
        <f t="shared" si="8"/>
        <v>1.2571059617034032E-4</v>
      </c>
    </row>
    <row r="154" spans="1:8" ht="15.6">
      <c r="A154" s="3" t="s">
        <v>2470</v>
      </c>
      <c r="B154" s="3" t="s">
        <v>1694</v>
      </c>
      <c r="C154" s="721">
        <v>22456.32</v>
      </c>
      <c r="D154" s="722">
        <v>2.35E-2</v>
      </c>
      <c r="E154" s="723">
        <v>0.125</v>
      </c>
      <c r="F154" s="724">
        <f t="shared" si="6"/>
        <v>0.14996875000000001</v>
      </c>
      <c r="G154" s="724">
        <f t="shared" si="7"/>
        <v>6.8256940109763357E-4</v>
      </c>
      <c r="H154" s="725">
        <f t="shared" si="8"/>
        <v>1.0236407987086074E-4</v>
      </c>
    </row>
    <row r="155" spans="1:8" ht="15.6">
      <c r="A155" s="3" t="s">
        <v>2471</v>
      </c>
      <c r="B155" s="3" t="s">
        <v>1696</v>
      </c>
      <c r="C155" s="721">
        <v>41096.639999999999</v>
      </c>
      <c r="D155" s="722">
        <v>1.47E-2</v>
      </c>
      <c r="E155" s="723">
        <v>0.105</v>
      </c>
      <c r="F155" s="724">
        <f t="shared" si="6"/>
        <v>0.12047174999999999</v>
      </c>
      <c r="G155" s="724">
        <f t="shared" si="7"/>
        <v>1.249149858566544E-3</v>
      </c>
      <c r="H155" s="725">
        <f t="shared" si="8"/>
        <v>1.5048726947376403E-4</v>
      </c>
    </row>
    <row r="156" spans="1:8" ht="15.6">
      <c r="A156" s="3" t="s">
        <v>2472</v>
      </c>
      <c r="B156" s="3" t="s">
        <v>208</v>
      </c>
      <c r="C156" s="721">
        <v>33980.6</v>
      </c>
      <c r="D156" s="722">
        <v>3.3599999999999998E-2</v>
      </c>
      <c r="E156" s="723">
        <v>0.04</v>
      </c>
      <c r="F156" s="724">
        <f t="shared" si="6"/>
        <v>7.4272000000000005E-2</v>
      </c>
      <c r="G156" s="724">
        <f t="shared" si="7"/>
        <v>1.0328547950393585E-3</v>
      </c>
      <c r="H156" s="725">
        <f t="shared" si="8"/>
        <v>7.6712191337163243E-5</v>
      </c>
    </row>
    <row r="157" spans="1:8" ht="15.6">
      <c r="A157" s="3" t="s">
        <v>2473</v>
      </c>
      <c r="B157" s="3" t="s">
        <v>1699</v>
      </c>
      <c r="C157" s="721">
        <v>24115.25</v>
      </c>
      <c r="D157" s="722">
        <v>7.9000000000000008E-3</v>
      </c>
      <c r="E157" s="723">
        <v>7.0000000000000007E-2</v>
      </c>
      <c r="F157" s="724">
        <f t="shared" si="6"/>
        <v>7.817650000000001E-2</v>
      </c>
      <c r="G157" s="724">
        <f t="shared" si="7"/>
        <v>7.3299328428788461E-4</v>
      </c>
      <c r="H157" s="725">
        <f t="shared" si="8"/>
        <v>5.7302849489131817E-5</v>
      </c>
    </row>
    <row r="158" spans="1:8" ht="15.6">
      <c r="A158" s="3" t="s">
        <v>2474</v>
      </c>
      <c r="B158" s="3" t="s">
        <v>199</v>
      </c>
      <c r="C158" s="721">
        <v>24905.759999999998</v>
      </c>
      <c r="D158" s="722">
        <v>4.5199999999999997E-2</v>
      </c>
      <c r="E158" s="723">
        <v>0.16</v>
      </c>
      <c r="F158" s="724">
        <f t="shared" si="6"/>
        <v>0.208816</v>
      </c>
      <c r="G158" s="724">
        <f t="shared" si="7"/>
        <v>7.5702117208346681E-4</v>
      </c>
      <c r="H158" s="725">
        <f t="shared" si="8"/>
        <v>1.5807813306978121E-4</v>
      </c>
    </row>
    <row r="159" spans="1:8" ht="15.6">
      <c r="A159" s="3" t="s">
        <v>2475</v>
      </c>
      <c r="B159" s="3" t="s">
        <v>1702</v>
      </c>
      <c r="C159" s="721">
        <v>87069.15</v>
      </c>
      <c r="D159" s="722">
        <v>1.0800000000000001E-2</v>
      </c>
      <c r="E159" s="723">
        <v>0.14000000000000001</v>
      </c>
      <c r="F159" s="724">
        <f t="shared" si="6"/>
        <v>0.15155600000000002</v>
      </c>
      <c r="G159" s="724">
        <f t="shared" si="7"/>
        <v>2.6465038603644773E-3</v>
      </c>
      <c r="H159" s="725">
        <f t="shared" si="8"/>
        <v>4.0109353906139881E-4</v>
      </c>
    </row>
    <row r="160" spans="1:8" ht="15.6">
      <c r="A160" s="3" t="s">
        <v>4289</v>
      </c>
      <c r="B160" s="3" t="s">
        <v>4290</v>
      </c>
      <c r="C160" s="721">
        <v>122078</v>
      </c>
      <c r="D160" s="722">
        <v>1.03E-2</v>
      </c>
      <c r="E160" s="723">
        <v>0.125</v>
      </c>
      <c r="F160" s="724">
        <f t="shared" si="6"/>
        <v>0.13594375</v>
      </c>
      <c r="G160" s="724">
        <f t="shared" si="7"/>
        <v>3.7106127516528492E-3</v>
      </c>
      <c r="H160" s="725">
        <f t="shared" si="8"/>
        <v>5.0443461225750707E-4</v>
      </c>
    </row>
    <row r="161" spans="1:8" ht="15.6">
      <c r="A161" s="3" t="s">
        <v>2476</v>
      </c>
      <c r="B161" s="3" t="s">
        <v>1704</v>
      </c>
      <c r="C161" s="721">
        <v>9806.2900000000009</v>
      </c>
      <c r="D161" s="722">
        <v>3.8699999999999998E-2</v>
      </c>
      <c r="E161" s="723">
        <v>9.5000000000000001E-2</v>
      </c>
      <c r="F161" s="724">
        <f t="shared" si="6"/>
        <v>0.13553825</v>
      </c>
      <c r="G161" s="724">
        <f t="shared" si="7"/>
        <v>2.9806635692267093E-4</v>
      </c>
      <c r="H161" s="725">
        <f t="shared" si="8"/>
        <v>4.03993924011742E-5</v>
      </c>
    </row>
    <row r="162" spans="1:8" ht="15.6">
      <c r="A162" s="3" t="s">
        <v>2477</v>
      </c>
      <c r="B162" s="3" t="s">
        <v>1706</v>
      </c>
      <c r="C162" s="721">
        <v>57235.69</v>
      </c>
      <c r="D162" s="722">
        <v>2.1899999999999999E-2</v>
      </c>
      <c r="E162" s="723">
        <v>9.5000000000000001E-2</v>
      </c>
      <c r="F162" s="724">
        <f t="shared" si="6"/>
        <v>0.11794025</v>
      </c>
      <c r="G162" s="724">
        <f t="shared" si="7"/>
        <v>1.7397031501470328E-3</v>
      </c>
      <c r="H162" s="725">
        <f t="shared" si="8"/>
        <v>2.0518102445412858E-4</v>
      </c>
    </row>
    <row r="163" spans="1:8" ht="15.6">
      <c r="A163" s="3" t="s">
        <v>3941</v>
      </c>
      <c r="B163" s="3" t="s">
        <v>3942</v>
      </c>
      <c r="C163" s="721">
        <v>43080.25</v>
      </c>
      <c r="D163" s="722">
        <v>0</v>
      </c>
      <c r="E163" s="723">
        <v>0.26500000000000001</v>
      </c>
      <c r="F163" s="724">
        <f t="shared" si="6"/>
        <v>0.26500000000000001</v>
      </c>
      <c r="G163" s="724">
        <f t="shared" si="7"/>
        <v>1.3094425285013899E-3</v>
      </c>
      <c r="H163" s="725">
        <f t="shared" si="8"/>
        <v>3.4700227005286831E-4</v>
      </c>
    </row>
    <row r="164" spans="1:8" ht="15.6">
      <c r="A164" s="3" t="s">
        <v>2478</v>
      </c>
      <c r="B164" s="3" t="s">
        <v>1708</v>
      </c>
      <c r="C164" s="721">
        <v>76347.73</v>
      </c>
      <c r="D164" s="722">
        <v>2.8799999999999999E-2</v>
      </c>
      <c r="E164" s="723">
        <v>0.26</v>
      </c>
      <c r="F164" s="724">
        <f t="shared" si="6"/>
        <v>0.29254400000000003</v>
      </c>
      <c r="G164" s="724">
        <f t="shared" si="7"/>
        <v>2.3206217377230031E-3</v>
      </c>
      <c r="H164" s="725">
        <f t="shared" si="8"/>
        <v>6.788839656404383E-4</v>
      </c>
    </row>
    <row r="165" spans="1:8" ht="15.6">
      <c r="A165" s="3" t="s">
        <v>4292</v>
      </c>
      <c r="B165" s="3" t="s">
        <v>4293</v>
      </c>
      <c r="C165" s="721">
        <v>19492.599999999999</v>
      </c>
      <c r="D165" s="722">
        <v>0</v>
      </c>
      <c r="E165" s="723">
        <v>0.20499999999999999</v>
      </c>
      <c r="F165" s="724">
        <f t="shared" si="6"/>
        <v>0.20499999999999999</v>
      </c>
      <c r="G165" s="724">
        <f t="shared" si="7"/>
        <v>5.9248587069634436E-4</v>
      </c>
      <c r="H165" s="725">
        <f t="shared" si="8"/>
        <v>1.2145960349275058E-4</v>
      </c>
    </row>
    <row r="166" spans="1:8" ht="15.6">
      <c r="A166" s="3" t="s">
        <v>2479</v>
      </c>
      <c r="B166" s="3" t="s">
        <v>1710</v>
      </c>
      <c r="C166" s="721">
        <v>61625.01</v>
      </c>
      <c r="D166" s="722">
        <v>1.8600000000000002E-2</v>
      </c>
      <c r="E166" s="723">
        <v>0.15</v>
      </c>
      <c r="F166" s="724">
        <f t="shared" si="6"/>
        <v>0.16999500000000001</v>
      </c>
      <c r="G166" s="724">
        <f t="shared" si="7"/>
        <v>1.8731183991115056E-3</v>
      </c>
      <c r="H166" s="725">
        <f t="shared" si="8"/>
        <v>3.1842076225696038E-4</v>
      </c>
    </row>
    <row r="167" spans="1:8" ht="15.6">
      <c r="A167" s="3" t="s">
        <v>2480</v>
      </c>
      <c r="B167" s="3" t="s">
        <v>1712</v>
      </c>
      <c r="C167" s="721">
        <v>22197.4</v>
      </c>
      <c r="D167" s="722">
        <v>4.2300000000000004E-2</v>
      </c>
      <c r="E167" s="723">
        <v>-0.06</v>
      </c>
      <c r="F167" s="724">
        <f t="shared" si="6"/>
        <v>-1.8968999999999993E-2</v>
      </c>
      <c r="G167" s="724">
        <f t="shared" si="7"/>
        <v>6.7469941753255265E-4</v>
      </c>
      <c r="H167" s="725">
        <f t="shared" si="8"/>
        <v>-1.2798373251174987E-5</v>
      </c>
    </row>
    <row r="168" spans="1:8" ht="15.6">
      <c r="A168" s="3" t="s">
        <v>4295</v>
      </c>
      <c r="B168" s="3" t="s">
        <v>4296</v>
      </c>
      <c r="C168" s="721">
        <v>13489.46</v>
      </c>
      <c r="D168" s="722">
        <v>1.6399999999999998E-2</v>
      </c>
      <c r="E168" s="723" t="s">
        <v>4148</v>
      </c>
      <c r="F168" s="724" t="str">
        <f t="shared" si="6"/>
        <v>N/A</v>
      </c>
      <c r="G168" s="724" t="str">
        <f t="shared" si="7"/>
        <v>N/A</v>
      </c>
      <c r="H168" s="725" t="str">
        <f t="shared" si="8"/>
        <v>N/A</v>
      </c>
    </row>
    <row r="169" spans="1:8" ht="15.6">
      <c r="A169" s="3" t="s">
        <v>2481</v>
      </c>
      <c r="B169" s="3" t="s">
        <v>1359</v>
      </c>
      <c r="C169" s="721">
        <v>29170.37</v>
      </c>
      <c r="D169" s="722">
        <v>3.1699999999999999E-2</v>
      </c>
      <c r="E169" s="723">
        <v>6.5000000000000002E-2</v>
      </c>
      <c r="F169" s="724">
        <f t="shared" si="6"/>
        <v>9.7730249999999991E-2</v>
      </c>
      <c r="G169" s="724">
        <f t="shared" si="7"/>
        <v>8.8664580753642524E-4</v>
      </c>
      <c r="H169" s="725">
        <f t="shared" si="8"/>
        <v>8.6652116431986715E-5</v>
      </c>
    </row>
    <row r="170" spans="1:8" ht="15.6">
      <c r="A170" s="3" t="s">
        <v>2482</v>
      </c>
      <c r="B170" s="3" t="s">
        <v>1715</v>
      </c>
      <c r="C170" s="721">
        <v>13000.5</v>
      </c>
      <c r="D170" s="722">
        <v>4.4500000000000005E-2</v>
      </c>
      <c r="E170" s="723">
        <v>-0.04</v>
      </c>
      <c r="F170" s="724">
        <f t="shared" si="6"/>
        <v>3.6100000000000021E-3</v>
      </c>
      <c r="G170" s="724">
        <f t="shared" si="7"/>
        <v>3.9515572894266671E-4</v>
      </c>
      <c r="H170" s="725">
        <f t="shared" si="8"/>
        <v>1.4265121814830276E-6</v>
      </c>
    </row>
    <row r="171" spans="1:8" ht="15.6">
      <c r="A171" s="3" t="s">
        <v>2483</v>
      </c>
      <c r="B171" s="3" t="s">
        <v>1717</v>
      </c>
      <c r="C171" s="721">
        <v>62884.32</v>
      </c>
      <c r="D171" s="722">
        <v>2.0499999999999997E-2</v>
      </c>
      <c r="E171" s="723">
        <v>0.12</v>
      </c>
      <c r="F171" s="724">
        <f t="shared" si="6"/>
        <v>0.14172999999999999</v>
      </c>
      <c r="G171" s="724">
        <f t="shared" si="7"/>
        <v>1.9113956623717484E-3</v>
      </c>
      <c r="H171" s="725">
        <f t="shared" si="8"/>
        <v>2.7090210722794788E-4</v>
      </c>
    </row>
    <row r="172" spans="1:8" ht="15.6">
      <c r="A172" s="3" t="s">
        <v>2484</v>
      </c>
      <c r="B172" s="3" t="s">
        <v>212</v>
      </c>
      <c r="C172" s="721">
        <v>23217.3</v>
      </c>
      <c r="D172" s="722">
        <v>3.7499999999999999E-2</v>
      </c>
      <c r="E172" s="723">
        <v>0.04</v>
      </c>
      <c r="F172" s="724">
        <f t="shared" si="6"/>
        <v>7.825E-2</v>
      </c>
      <c r="G172" s="724">
        <f t="shared" si="7"/>
        <v>7.0569971197881429E-4</v>
      </c>
      <c r="H172" s="725">
        <f t="shared" si="8"/>
        <v>5.5221002462342218E-5</v>
      </c>
    </row>
    <row r="173" spans="1:8" ht="15.6">
      <c r="A173" s="3" t="s">
        <v>3915</v>
      </c>
      <c r="B173" s="3" t="s">
        <v>3916</v>
      </c>
      <c r="C173" s="721">
        <v>16880.18</v>
      </c>
      <c r="D173" s="722">
        <v>0</v>
      </c>
      <c r="E173" s="723">
        <v>0.245</v>
      </c>
      <c r="F173" s="724">
        <f t="shared" si="6"/>
        <v>0.245</v>
      </c>
      <c r="G173" s="724">
        <f t="shared" si="7"/>
        <v>5.1308025326590701E-4</v>
      </c>
      <c r="H173" s="725">
        <f t="shared" si="8"/>
        <v>1.2570466205014721E-4</v>
      </c>
    </row>
    <row r="174" spans="1:8" ht="15.6">
      <c r="A174" s="3" t="s">
        <v>2486</v>
      </c>
      <c r="B174" s="3" t="s">
        <v>2334</v>
      </c>
      <c r="C174" s="721">
        <v>14465.11</v>
      </c>
      <c r="D174" s="722">
        <v>3.8900000000000004E-2</v>
      </c>
      <c r="E174" s="723">
        <v>7.4999999999999997E-2</v>
      </c>
      <c r="F174" s="724">
        <f t="shared" si="6"/>
        <v>0.11535875000000001</v>
      </c>
      <c r="G174" s="724">
        <f t="shared" si="7"/>
        <v>4.3967317305379473E-4</v>
      </c>
      <c r="H174" s="725">
        <f t="shared" si="8"/>
        <v>5.0720147652019445E-5</v>
      </c>
    </row>
    <row r="175" spans="1:8" ht="15.6">
      <c r="A175" s="3" t="s">
        <v>2487</v>
      </c>
      <c r="B175" s="3" t="s">
        <v>1720</v>
      </c>
      <c r="C175" s="721">
        <v>46306.34</v>
      </c>
      <c r="D175" s="722">
        <v>0</v>
      </c>
      <c r="E175" s="723">
        <v>0.11</v>
      </c>
      <c r="F175" s="724">
        <f t="shared" si="6"/>
        <v>0.11</v>
      </c>
      <c r="G175" s="724">
        <f t="shared" si="7"/>
        <v>1.4075009066856633E-3</v>
      </c>
      <c r="H175" s="725">
        <f t="shared" si="8"/>
        <v>1.5482509973542297E-4</v>
      </c>
    </row>
    <row r="176" spans="1:8" ht="15.6">
      <c r="A176" s="3" t="s">
        <v>2488</v>
      </c>
      <c r="B176" s="3" t="s">
        <v>213</v>
      </c>
      <c r="C176" s="721">
        <v>42363.22</v>
      </c>
      <c r="D176" s="722">
        <v>3.2799999999999996E-2</v>
      </c>
      <c r="E176" s="723">
        <v>-0.01</v>
      </c>
      <c r="F176" s="724">
        <f t="shared" si="6"/>
        <v>2.2635999999999996E-2</v>
      </c>
      <c r="G176" s="724">
        <f t="shared" si="7"/>
        <v>1.287648096570021E-3</v>
      </c>
      <c r="H176" s="725">
        <f t="shared" si="8"/>
        <v>2.9147202313958993E-5</v>
      </c>
    </row>
    <row r="177" spans="1:8" ht="15.6">
      <c r="A177" s="3" t="s">
        <v>4297</v>
      </c>
      <c r="B177" s="3" t="s">
        <v>1722</v>
      </c>
      <c r="C177" s="721">
        <v>17122.169999999998</v>
      </c>
      <c r="D177" s="722">
        <v>1.2500000000000001E-2</v>
      </c>
      <c r="E177" s="723">
        <v>6.5000000000000002E-2</v>
      </c>
      <c r="F177" s="724">
        <f t="shared" si="6"/>
        <v>7.790625000000001E-2</v>
      </c>
      <c r="G177" s="724">
        <f t="shared" si="7"/>
        <v>5.2043564227762461E-4</v>
      </c>
      <c r="H177" s="725">
        <f t="shared" si="8"/>
        <v>4.0545189256191196E-5</v>
      </c>
    </row>
    <row r="178" spans="1:8" ht="15.6">
      <c r="A178" s="3" t="s">
        <v>2489</v>
      </c>
      <c r="B178" s="3" t="s">
        <v>1724</v>
      </c>
      <c r="C178" s="721">
        <v>13534.82</v>
      </c>
      <c r="D178" s="722">
        <v>0</v>
      </c>
      <c r="E178" s="723" t="s">
        <v>4148</v>
      </c>
      <c r="F178" s="724" t="str">
        <f t="shared" si="6"/>
        <v>N/A</v>
      </c>
      <c r="G178" s="724" t="str">
        <f t="shared" si="7"/>
        <v>N/A</v>
      </c>
      <c r="H178" s="725" t="str">
        <f t="shared" si="8"/>
        <v>N/A</v>
      </c>
    </row>
    <row r="179" spans="1:8" ht="15.6">
      <c r="A179" s="3" t="s">
        <v>2490</v>
      </c>
      <c r="B179" s="3" t="s">
        <v>1726</v>
      </c>
      <c r="C179" s="721">
        <v>19682.52</v>
      </c>
      <c r="D179" s="722">
        <v>4.2199999999999994E-2</v>
      </c>
      <c r="E179" s="723">
        <v>0.04</v>
      </c>
      <c r="F179" s="724">
        <f t="shared" si="6"/>
        <v>8.3043999999999993E-2</v>
      </c>
      <c r="G179" s="724">
        <f t="shared" si="7"/>
        <v>5.9825856990335883E-4</v>
      </c>
      <c r="H179" s="725">
        <f t="shared" si="8"/>
        <v>4.9681784679054529E-5</v>
      </c>
    </row>
    <row r="180" spans="1:8" ht="15.6">
      <c r="A180" s="3" t="s">
        <v>2491</v>
      </c>
      <c r="B180" s="3" t="s">
        <v>1728</v>
      </c>
      <c r="C180" s="721">
        <v>48745.64</v>
      </c>
      <c r="D180" s="722">
        <v>5.0900000000000001E-2</v>
      </c>
      <c r="E180" s="723">
        <v>0.33500000000000002</v>
      </c>
      <c r="F180" s="724">
        <f t="shared" si="6"/>
        <v>0.39442575000000002</v>
      </c>
      <c r="G180" s="724">
        <f t="shared" si="7"/>
        <v>1.4816444680571372E-3</v>
      </c>
      <c r="H180" s="725">
        <f t="shared" si="8"/>
        <v>5.8439873054678742E-4</v>
      </c>
    </row>
    <row r="181" spans="1:8" ht="15.6">
      <c r="A181" s="3" t="s">
        <v>2493</v>
      </c>
      <c r="B181" s="3" t="s">
        <v>2494</v>
      </c>
      <c r="C181" s="721">
        <v>24061.45</v>
      </c>
      <c r="D181" s="722">
        <v>2.1899999999999999E-2</v>
      </c>
      <c r="E181" s="723" t="s">
        <v>4148</v>
      </c>
      <c r="F181" s="724" t="str">
        <f t="shared" si="6"/>
        <v>N/A</v>
      </c>
      <c r="G181" s="724" t="str">
        <f t="shared" si="7"/>
        <v>N/A</v>
      </c>
      <c r="H181" s="725" t="str">
        <f t="shared" si="8"/>
        <v>N/A</v>
      </c>
    </row>
    <row r="182" spans="1:8" ht="15.6">
      <c r="A182" s="3" t="s">
        <v>2495</v>
      </c>
      <c r="B182" s="3" t="s">
        <v>1730</v>
      </c>
      <c r="C182" s="721">
        <v>27457.83</v>
      </c>
      <c r="D182" s="722">
        <v>2.5899999999999999E-2</v>
      </c>
      <c r="E182" s="723">
        <v>8.5000000000000006E-2</v>
      </c>
      <c r="F182" s="724">
        <f t="shared" si="6"/>
        <v>0.11200075000000001</v>
      </c>
      <c r="G182" s="724">
        <f t="shared" si="7"/>
        <v>8.3459242558623313E-4</v>
      </c>
      <c r="H182" s="725">
        <f t="shared" si="8"/>
        <v>9.3474977609977312E-5</v>
      </c>
    </row>
    <row r="183" spans="1:8" ht="15.6">
      <c r="A183" s="3" t="s">
        <v>2496</v>
      </c>
      <c r="B183" s="3" t="s">
        <v>1732</v>
      </c>
      <c r="C183" s="721">
        <v>54957.62</v>
      </c>
      <c r="D183" s="722">
        <v>2.0799999999999999E-2</v>
      </c>
      <c r="E183" s="723">
        <v>0.27500000000000002</v>
      </c>
      <c r="F183" s="724">
        <f t="shared" si="6"/>
        <v>0.29866000000000004</v>
      </c>
      <c r="G183" s="724">
        <f t="shared" si="7"/>
        <v>1.6704602432255744E-3</v>
      </c>
      <c r="H183" s="725">
        <f t="shared" si="8"/>
        <v>4.9889965624175009E-4</v>
      </c>
    </row>
    <row r="184" spans="1:8" ht="15.6">
      <c r="A184" s="3" t="s">
        <v>4299</v>
      </c>
      <c r="B184" s="3" t="s">
        <v>4156</v>
      </c>
      <c r="C184" s="721">
        <v>15359.27</v>
      </c>
      <c r="D184" s="722">
        <v>9.1999999999999998E-3</v>
      </c>
      <c r="E184" s="723">
        <v>0.1</v>
      </c>
      <c r="F184" s="724">
        <f t="shared" si="6"/>
        <v>0.10966000000000001</v>
      </c>
      <c r="G184" s="724">
        <f t="shared" si="7"/>
        <v>4.668515467002987E-4</v>
      </c>
      <c r="H184" s="725">
        <f t="shared" si="8"/>
        <v>5.1194940611154759E-5</v>
      </c>
    </row>
    <row r="185" spans="1:8" ht="15.6">
      <c r="A185" s="3" t="s">
        <v>2497</v>
      </c>
      <c r="B185" s="3" t="s">
        <v>1734</v>
      </c>
      <c r="C185" s="721">
        <v>42904.959999999999</v>
      </c>
      <c r="D185" s="722">
        <v>2.7099999999999999E-2</v>
      </c>
      <c r="E185" s="723">
        <v>0.11</v>
      </c>
      <c r="F185" s="724">
        <f t="shared" si="6"/>
        <v>0.13859050000000001</v>
      </c>
      <c r="G185" s="724">
        <f t="shared" si="7"/>
        <v>1.3041145143691364E-3</v>
      </c>
      <c r="H185" s="725">
        <f t="shared" si="8"/>
        <v>1.8073788260367579E-4</v>
      </c>
    </row>
    <row r="186" spans="1:8" ht="15.6">
      <c r="A186" s="3" t="s">
        <v>2498</v>
      </c>
      <c r="B186" s="3" t="s">
        <v>200</v>
      </c>
      <c r="C186" s="721">
        <v>23853.54</v>
      </c>
      <c r="D186" s="722">
        <v>3.7400000000000003E-2</v>
      </c>
      <c r="E186" s="723">
        <v>0.03</v>
      </c>
      <c r="F186" s="724">
        <f t="shared" si="6"/>
        <v>6.7960999999999994E-2</v>
      </c>
      <c r="G186" s="724">
        <f t="shared" si="7"/>
        <v>7.2503849748571658E-4</v>
      </c>
      <c r="H186" s="725">
        <f t="shared" si="8"/>
        <v>4.9274341327626783E-5</v>
      </c>
    </row>
    <row r="187" spans="1:8" ht="15.6">
      <c r="A187" s="3" t="s">
        <v>4094</v>
      </c>
      <c r="B187" s="3" t="s">
        <v>1737</v>
      </c>
      <c r="C187" s="721">
        <v>8506.7000000000007</v>
      </c>
      <c r="D187" s="722">
        <v>0</v>
      </c>
      <c r="E187" s="723">
        <v>0.115</v>
      </c>
      <c r="F187" s="724">
        <f t="shared" si="6"/>
        <v>0.115</v>
      </c>
      <c r="G187" s="724">
        <f t="shared" si="7"/>
        <v>2.5856476592412471E-4</v>
      </c>
      <c r="H187" s="725">
        <f t="shared" si="8"/>
        <v>2.9734948081274343E-5</v>
      </c>
    </row>
    <row r="188" spans="1:8" ht="15.6">
      <c r="A188" s="3" t="s">
        <v>4300</v>
      </c>
      <c r="B188" s="3" t="s">
        <v>1739</v>
      </c>
      <c r="C188" s="721">
        <v>39958.36</v>
      </c>
      <c r="D188" s="722">
        <v>2.81E-2</v>
      </c>
      <c r="E188" s="723">
        <v>0.52</v>
      </c>
      <c r="F188" s="724">
        <f t="shared" si="6"/>
        <v>0.55540600000000007</v>
      </c>
      <c r="G188" s="724">
        <f t="shared" si="7"/>
        <v>1.2145513536520516E-3</v>
      </c>
      <c r="H188" s="725">
        <f t="shared" si="8"/>
        <v>6.7456910912647139E-4</v>
      </c>
    </row>
    <row r="189" spans="1:8" ht="15.6">
      <c r="A189" s="3" t="s">
        <v>2499</v>
      </c>
      <c r="B189" s="3" t="s">
        <v>1741</v>
      </c>
      <c r="C189" s="721">
        <v>64325.04</v>
      </c>
      <c r="D189" s="722">
        <v>0</v>
      </c>
      <c r="E189" s="723">
        <v>0.11</v>
      </c>
      <c r="F189" s="724">
        <f t="shared" si="6"/>
        <v>0.11</v>
      </c>
      <c r="G189" s="724">
        <f t="shared" si="7"/>
        <v>1.9551869597681779E-3</v>
      </c>
      <c r="H189" s="725">
        <f t="shared" si="8"/>
        <v>2.1507056557449957E-4</v>
      </c>
    </row>
    <row r="190" spans="1:8" ht="15.6">
      <c r="A190" s="3" t="s">
        <v>2500</v>
      </c>
      <c r="B190" s="3" t="s">
        <v>1743</v>
      </c>
      <c r="C190" s="721">
        <v>21956.11</v>
      </c>
      <c r="D190" s="722">
        <v>4.2199999999999994E-2</v>
      </c>
      <c r="E190" s="723">
        <v>9.5000000000000001E-2</v>
      </c>
      <c r="F190" s="724">
        <f t="shared" si="6"/>
        <v>0.13920450000000001</v>
      </c>
      <c r="G190" s="724">
        <f t="shared" si="7"/>
        <v>6.6736530531867036E-4</v>
      </c>
      <c r="H190" s="725">
        <f t="shared" si="8"/>
        <v>9.290025364423285E-5</v>
      </c>
    </row>
    <row r="191" spans="1:8" ht="15.6">
      <c r="A191" s="3" t="s">
        <v>2502</v>
      </c>
      <c r="B191" s="3" t="s">
        <v>2503</v>
      </c>
      <c r="C191" s="721">
        <v>13407.25</v>
      </c>
      <c r="D191" s="722">
        <v>0</v>
      </c>
      <c r="E191" s="723">
        <v>0.115</v>
      </c>
      <c r="F191" s="724">
        <f t="shared" si="6"/>
        <v>0.115</v>
      </c>
      <c r="G191" s="724">
        <f t="shared" si="7"/>
        <v>4.0751906825634156E-4</v>
      </c>
      <c r="H191" s="725">
        <f t="shared" si="8"/>
        <v>4.6864692849479284E-5</v>
      </c>
    </row>
    <row r="192" spans="1:8" ht="15.6">
      <c r="A192" s="3" t="s">
        <v>2504</v>
      </c>
      <c r="B192" s="3" t="s">
        <v>1745</v>
      </c>
      <c r="C192" s="721">
        <v>15757.09</v>
      </c>
      <c r="D192" s="722">
        <v>1.8600000000000002E-2</v>
      </c>
      <c r="E192" s="723">
        <v>0.11</v>
      </c>
      <c r="F192" s="724">
        <f t="shared" si="6"/>
        <v>0.12962299999999999</v>
      </c>
      <c r="G192" s="724">
        <f t="shared" si="7"/>
        <v>4.7894345486444403E-4</v>
      </c>
      <c r="H192" s="725">
        <f t="shared" si="8"/>
        <v>6.2082087449893822E-5</v>
      </c>
    </row>
    <row r="193" spans="1:8" ht="15.6">
      <c r="A193" s="3" t="s">
        <v>2505</v>
      </c>
      <c r="B193" s="3" t="s">
        <v>3988</v>
      </c>
      <c r="C193" s="721">
        <v>16510.740000000002</v>
      </c>
      <c r="D193" s="722">
        <v>1.6500000000000001E-2</v>
      </c>
      <c r="E193" s="723">
        <v>0.12</v>
      </c>
      <c r="F193" s="724">
        <f t="shared" si="6"/>
        <v>0.13749</v>
      </c>
      <c r="G193" s="724">
        <f t="shared" si="7"/>
        <v>5.018509672768621E-4</v>
      </c>
      <c r="H193" s="725">
        <f t="shared" si="8"/>
        <v>6.8999489490895768E-5</v>
      </c>
    </row>
    <row r="194" spans="1:8" ht="15.6">
      <c r="A194" s="3" t="s">
        <v>2507</v>
      </c>
      <c r="B194" s="3" t="s">
        <v>2508</v>
      </c>
      <c r="C194" s="721">
        <v>22210.03</v>
      </c>
      <c r="D194" s="722">
        <v>9.5999999999999992E-3</v>
      </c>
      <c r="E194" s="723">
        <v>0.115</v>
      </c>
      <c r="F194" s="724">
        <f t="shared" si="6"/>
        <v>0.12515200000000001</v>
      </c>
      <c r="G194" s="724">
        <f t="shared" si="7"/>
        <v>6.7508331175635515E-4</v>
      </c>
      <c r="H194" s="725">
        <f t="shared" si="8"/>
        <v>8.4488026632931369E-5</v>
      </c>
    </row>
    <row r="195" spans="1:8" ht="15.6">
      <c r="A195" s="3" t="s">
        <v>2509</v>
      </c>
      <c r="B195" s="3" t="s">
        <v>1747</v>
      </c>
      <c r="C195" s="721">
        <v>7998.64</v>
      </c>
      <c r="D195" s="722">
        <v>4.2500000000000003E-2</v>
      </c>
      <c r="E195" s="723" t="s">
        <v>4148</v>
      </c>
      <c r="F195" s="724" t="str">
        <f t="shared" si="6"/>
        <v>N/A</v>
      </c>
      <c r="G195" s="724" t="str">
        <f t="shared" si="7"/>
        <v>N/A</v>
      </c>
      <c r="H195" s="725" t="str">
        <f t="shared" si="8"/>
        <v>N/A</v>
      </c>
    </row>
    <row r="196" spans="1:8" ht="15.6">
      <c r="A196" s="3" t="s">
        <v>4547</v>
      </c>
      <c r="B196" s="3" t="s">
        <v>4548</v>
      </c>
      <c r="C196" s="721">
        <v>17276.57</v>
      </c>
      <c r="D196" s="722">
        <v>0</v>
      </c>
      <c r="E196" s="723">
        <v>0.20499999999999999</v>
      </c>
      <c r="F196" s="724">
        <f t="shared" ref="F196:F259" si="9">IFERROR(D196*(1+0.5*E196)+E196,"N/A")</f>
        <v>0.20499999999999999</v>
      </c>
      <c r="G196" s="724">
        <f t="shared" ref="G196:G259" si="10">IF(F196="N/A","N/A",C196/$C$504)</f>
        <v>5.2512869597161707E-4</v>
      </c>
      <c r="H196" s="725">
        <f t="shared" si="8"/>
        <v>1.0765138267418149E-4</v>
      </c>
    </row>
    <row r="197" spans="1:8" ht="15.6">
      <c r="A197" s="3" t="s">
        <v>2511</v>
      </c>
      <c r="B197" s="3" t="s">
        <v>2512</v>
      </c>
      <c r="C197" s="721">
        <v>39012.800000000003</v>
      </c>
      <c r="D197" s="722">
        <v>0</v>
      </c>
      <c r="E197" s="723">
        <v>0.23</v>
      </c>
      <c r="F197" s="724">
        <f t="shared" si="9"/>
        <v>0.23</v>
      </c>
      <c r="G197" s="724">
        <f t="shared" si="10"/>
        <v>1.1858106551359156E-3</v>
      </c>
      <c r="H197" s="725">
        <f t="shared" ref="H197:H260" si="11">IF(ISNUMBER(G197),F197*G197,"N/A")</f>
        <v>2.7273645068126058E-4</v>
      </c>
    </row>
    <row r="198" spans="1:8" ht="15.6">
      <c r="A198" s="3" t="s">
        <v>2513</v>
      </c>
      <c r="B198" s="3" t="s">
        <v>1749</v>
      </c>
      <c r="C198" s="721">
        <v>23021.77</v>
      </c>
      <c r="D198" s="722">
        <v>4.3E-3</v>
      </c>
      <c r="E198" s="723">
        <v>0.17</v>
      </c>
      <c r="F198" s="724">
        <f t="shared" si="9"/>
        <v>0.1746655</v>
      </c>
      <c r="G198" s="724">
        <f t="shared" si="10"/>
        <v>6.9975649443486149E-4</v>
      </c>
      <c r="H198" s="725">
        <f t="shared" si="11"/>
        <v>1.2222331797871229E-4</v>
      </c>
    </row>
    <row r="199" spans="1:8" ht="15.6">
      <c r="A199" s="3" t="s">
        <v>2514</v>
      </c>
      <c r="B199" s="3" t="s">
        <v>1751</v>
      </c>
      <c r="C199" s="721">
        <v>68629.02</v>
      </c>
      <c r="D199" s="722">
        <v>2.0199999999999999E-2</v>
      </c>
      <c r="E199" s="723">
        <v>0.09</v>
      </c>
      <c r="F199" s="724">
        <f t="shared" si="9"/>
        <v>0.111109</v>
      </c>
      <c r="G199" s="724">
        <f t="shared" si="10"/>
        <v>2.0860082631222535E-3</v>
      </c>
      <c r="H199" s="725">
        <f t="shared" si="11"/>
        <v>2.3177429210725046E-4</v>
      </c>
    </row>
    <row r="200" spans="1:8" ht="15.6">
      <c r="A200" s="3" t="s">
        <v>2515</v>
      </c>
      <c r="B200" s="3" t="s">
        <v>1753</v>
      </c>
      <c r="C200" s="721">
        <v>90669.59</v>
      </c>
      <c r="D200" s="722">
        <v>3.9000000000000003E-3</v>
      </c>
      <c r="E200" s="723">
        <v>0.21</v>
      </c>
      <c r="F200" s="724">
        <f t="shared" si="9"/>
        <v>0.21430949999999999</v>
      </c>
      <c r="G200" s="724">
        <f t="shared" si="10"/>
        <v>2.7559407660768991E-3</v>
      </c>
      <c r="H200" s="725">
        <f t="shared" si="11"/>
        <v>5.9062428760755712E-4</v>
      </c>
    </row>
    <row r="201" spans="1:8" ht="15.6">
      <c r="A201" s="3" t="s">
        <v>4550</v>
      </c>
      <c r="B201" s="3" t="s">
        <v>4551</v>
      </c>
      <c r="C201" s="721">
        <v>14218.11</v>
      </c>
      <c r="D201" s="722">
        <v>2.3300000000000001E-2</v>
      </c>
      <c r="E201" s="723">
        <v>0.105</v>
      </c>
      <c r="F201" s="724">
        <f t="shared" si="9"/>
        <v>0.12952325000000001</v>
      </c>
      <c r="G201" s="724">
        <f t="shared" si="10"/>
        <v>4.3216550296042611E-4</v>
      </c>
      <c r="H201" s="725">
        <f t="shared" si="11"/>
        <v>5.5975480481319017E-5</v>
      </c>
    </row>
    <row r="202" spans="1:8" ht="15.6">
      <c r="A202" s="3" t="s">
        <v>2516</v>
      </c>
      <c r="B202" s="3" t="s">
        <v>1755</v>
      </c>
      <c r="C202" s="721">
        <v>106928.6</v>
      </c>
      <c r="D202" s="722">
        <v>3.4200000000000001E-2</v>
      </c>
      <c r="E202" s="723">
        <v>0.12</v>
      </c>
      <c r="F202" s="724">
        <f t="shared" si="9"/>
        <v>0.156252</v>
      </c>
      <c r="G202" s="724">
        <f t="shared" si="10"/>
        <v>3.250140292897876E-3</v>
      </c>
      <c r="H202" s="725">
        <f t="shared" si="11"/>
        <v>5.0784092104587896E-4</v>
      </c>
    </row>
    <row r="203" spans="1:8" ht="15.6">
      <c r="A203" s="3" t="s">
        <v>2517</v>
      </c>
      <c r="B203" s="3" t="s">
        <v>1757</v>
      </c>
      <c r="C203" s="721">
        <v>50379.47</v>
      </c>
      <c r="D203" s="722">
        <v>2.53E-2</v>
      </c>
      <c r="E203" s="723">
        <v>0.04</v>
      </c>
      <c r="F203" s="724">
        <f t="shared" si="9"/>
        <v>6.5806000000000003E-2</v>
      </c>
      <c r="G203" s="724">
        <f t="shared" si="10"/>
        <v>1.5313054260678598E-3</v>
      </c>
      <c r="H203" s="725">
        <f t="shared" si="11"/>
        <v>1.0076908486782159E-4</v>
      </c>
    </row>
    <row r="204" spans="1:8" ht="15.6">
      <c r="A204" s="3" t="s">
        <v>2903</v>
      </c>
      <c r="B204" s="3" t="s">
        <v>2904</v>
      </c>
      <c r="C204" s="721">
        <v>11686.69</v>
      </c>
      <c r="D204" s="722">
        <v>7.3000000000000001E-3</v>
      </c>
      <c r="E204" s="723">
        <v>8.5000000000000006E-2</v>
      </c>
      <c r="F204" s="724">
        <f t="shared" si="9"/>
        <v>9.2610250000000005E-2</v>
      </c>
      <c r="G204" s="724">
        <f t="shared" si="10"/>
        <v>3.5522191499380595E-4</v>
      </c>
      <c r="H204" s="725">
        <f t="shared" si="11"/>
        <v>3.2897190353055116E-5</v>
      </c>
    </row>
    <row r="205" spans="1:8" ht="15.6">
      <c r="A205" s="3" t="s">
        <v>2518</v>
      </c>
      <c r="B205" s="3" t="s">
        <v>1759</v>
      </c>
      <c r="C205" s="721">
        <v>26360.69</v>
      </c>
      <c r="D205" s="722">
        <v>3.3700000000000001E-2</v>
      </c>
      <c r="E205" s="723">
        <v>0.17499999999999999</v>
      </c>
      <c r="F205" s="724">
        <f t="shared" si="9"/>
        <v>0.21164875</v>
      </c>
      <c r="G205" s="724">
        <f t="shared" si="10"/>
        <v>8.0124438847595594E-4</v>
      </c>
      <c r="H205" s="725">
        <f t="shared" si="11"/>
        <v>1.6958237326545047E-4</v>
      </c>
    </row>
    <row r="206" spans="1:8" ht="15.6">
      <c r="A206" s="3" t="s">
        <v>2519</v>
      </c>
      <c r="B206" s="3" t="s">
        <v>1761</v>
      </c>
      <c r="C206" s="721">
        <v>51003.02</v>
      </c>
      <c r="D206" s="722">
        <v>0.01</v>
      </c>
      <c r="E206" s="723">
        <v>0.1</v>
      </c>
      <c r="F206" s="724">
        <f t="shared" si="9"/>
        <v>0.1105</v>
      </c>
      <c r="G206" s="724">
        <f t="shared" si="10"/>
        <v>1.5502584936254303E-3</v>
      </c>
      <c r="H206" s="725">
        <f t="shared" si="11"/>
        <v>1.7130356354561006E-4</v>
      </c>
    </row>
    <row r="207" spans="1:8" ht="15.6">
      <c r="A207" s="3" t="s">
        <v>3990</v>
      </c>
      <c r="B207" s="3" t="s">
        <v>3991</v>
      </c>
      <c r="C207" s="721">
        <v>5832.99</v>
      </c>
      <c r="D207" s="722">
        <v>0</v>
      </c>
      <c r="E207" s="723">
        <v>0.23499999999999999</v>
      </c>
      <c r="F207" s="724">
        <f t="shared" si="9"/>
        <v>0.23499999999999999</v>
      </c>
      <c r="G207" s="724">
        <f t="shared" si="10"/>
        <v>1.7729621286606559E-4</v>
      </c>
      <c r="H207" s="725">
        <f t="shared" si="11"/>
        <v>4.1664610023525413E-5</v>
      </c>
    </row>
    <row r="208" spans="1:8" ht="15.6">
      <c r="A208" s="3" t="s">
        <v>2520</v>
      </c>
      <c r="B208" s="3" t="s">
        <v>4085</v>
      </c>
      <c r="C208" s="721">
        <v>1168106</v>
      </c>
      <c r="D208" s="722">
        <v>0</v>
      </c>
      <c r="E208" s="723">
        <v>0.185</v>
      </c>
      <c r="F208" s="724">
        <f t="shared" si="9"/>
        <v>0.185</v>
      </c>
      <c r="G208" s="724">
        <f t="shared" si="10"/>
        <v>3.550507887483579E-2</v>
      </c>
      <c r="H208" s="725">
        <f t="shared" si="11"/>
        <v>6.5684395918446208E-3</v>
      </c>
    </row>
    <row r="209" spans="1:8" ht="15.6">
      <c r="A209" s="3" t="s">
        <v>2521</v>
      </c>
      <c r="B209" s="3" t="s">
        <v>1763</v>
      </c>
      <c r="C209" s="721">
        <v>25085.599999999999</v>
      </c>
      <c r="D209" s="722">
        <v>2.0099999999999996E-2</v>
      </c>
      <c r="E209" s="723">
        <v>0.09</v>
      </c>
      <c r="F209" s="724">
        <f t="shared" si="9"/>
        <v>0.11100449999999999</v>
      </c>
      <c r="G209" s="724">
        <f t="shared" si="10"/>
        <v>7.6248748540165068E-4</v>
      </c>
      <c r="H209" s="725">
        <f t="shared" si="11"/>
        <v>8.4639542073267526E-5</v>
      </c>
    </row>
    <row r="210" spans="1:8" ht="15.6">
      <c r="A210" s="3" t="s">
        <v>2522</v>
      </c>
      <c r="B210" s="3" t="s">
        <v>1765</v>
      </c>
      <c r="C210" s="721">
        <v>25892.799999999999</v>
      </c>
      <c r="D210" s="722">
        <v>1.1000000000000001E-2</v>
      </c>
      <c r="E210" s="723">
        <v>0.17</v>
      </c>
      <c r="F210" s="724">
        <f t="shared" si="9"/>
        <v>0.18193500000000001</v>
      </c>
      <c r="G210" s="724">
        <f t="shared" si="10"/>
        <v>7.8702267284848121E-4</v>
      </c>
      <c r="H210" s="725">
        <f t="shared" si="11"/>
        <v>1.4318696998468844E-4</v>
      </c>
    </row>
    <row r="211" spans="1:8" ht="15.6">
      <c r="A211" s="3" t="s">
        <v>2523</v>
      </c>
      <c r="B211" s="3" t="s">
        <v>1766</v>
      </c>
      <c r="C211" s="721">
        <v>17692.09</v>
      </c>
      <c r="D211" s="722">
        <v>3.1699999999999999E-2</v>
      </c>
      <c r="E211" s="723">
        <v>5.5E-2</v>
      </c>
      <c r="F211" s="724">
        <f t="shared" si="9"/>
        <v>8.7571750000000004E-2</v>
      </c>
      <c r="G211" s="724">
        <f t="shared" si="10"/>
        <v>5.3775860316674468E-4</v>
      </c>
      <c r="H211" s="725">
        <f t="shared" si="11"/>
        <v>4.7092461956867374E-5</v>
      </c>
    </row>
    <row r="212" spans="1:8" ht="15.6">
      <c r="A212" s="3" t="s">
        <v>2524</v>
      </c>
      <c r="B212" s="3" t="s">
        <v>1768</v>
      </c>
      <c r="C212" s="721">
        <v>118740.3</v>
      </c>
      <c r="D212" s="722">
        <v>2.86E-2</v>
      </c>
      <c r="E212" s="723">
        <v>0.05</v>
      </c>
      <c r="F212" s="724">
        <f t="shared" si="9"/>
        <v>7.9314999999999997E-2</v>
      </c>
      <c r="G212" s="724">
        <f t="shared" si="10"/>
        <v>3.6091619400308397E-3</v>
      </c>
      <c r="H212" s="725">
        <f t="shared" si="11"/>
        <v>2.8626067927354604E-4</v>
      </c>
    </row>
    <row r="213" spans="1:8" ht="15.6">
      <c r="A213" s="3" t="s">
        <v>2525</v>
      </c>
      <c r="B213" s="3" t="s">
        <v>1770</v>
      </c>
      <c r="C213" s="721">
        <v>28729.040000000001</v>
      </c>
      <c r="D213" s="722">
        <v>1.23E-2</v>
      </c>
      <c r="E213" s="723">
        <v>0.11</v>
      </c>
      <c r="F213" s="724">
        <f t="shared" si="9"/>
        <v>0.1229765</v>
      </c>
      <c r="G213" s="724">
        <f t="shared" si="10"/>
        <v>8.7323139440967888E-4</v>
      </c>
      <c r="H213" s="725">
        <f t="shared" si="11"/>
        <v>1.0738694057462188E-4</v>
      </c>
    </row>
    <row r="214" spans="1:8" ht="15.6">
      <c r="A214" s="3" t="s">
        <v>2526</v>
      </c>
      <c r="B214" s="3" t="s">
        <v>1772</v>
      </c>
      <c r="C214" s="721">
        <v>35076.04</v>
      </c>
      <c r="D214" s="722">
        <v>1.4800000000000001E-2</v>
      </c>
      <c r="E214" s="723">
        <v>0.30499999999999999</v>
      </c>
      <c r="F214" s="724">
        <f t="shared" si="9"/>
        <v>0.32205699999999998</v>
      </c>
      <c r="G214" s="724">
        <f t="shared" si="10"/>
        <v>1.0661511599263211E-3</v>
      </c>
      <c r="H214" s="725">
        <f t="shared" si="11"/>
        <v>3.4336144411239116E-4</v>
      </c>
    </row>
    <row r="215" spans="1:8" ht="15.6">
      <c r="A215" s="3" t="s">
        <v>2527</v>
      </c>
      <c r="B215" s="3" t="s">
        <v>1774</v>
      </c>
      <c r="C215" s="721">
        <v>7968.83</v>
      </c>
      <c r="D215" s="722">
        <v>4.8499999999999995E-2</v>
      </c>
      <c r="E215" s="723">
        <v>7.4999999999999997E-2</v>
      </c>
      <c r="F215" s="724">
        <f t="shared" si="9"/>
        <v>0.12531874999999998</v>
      </c>
      <c r="G215" s="724">
        <f t="shared" si="10"/>
        <v>2.4221597842161385E-4</v>
      </c>
      <c r="H215" s="725">
        <f t="shared" si="11"/>
        <v>3.0354203645823614E-5</v>
      </c>
    </row>
    <row r="216" spans="1:8" ht="15.6">
      <c r="A216" s="3" t="s">
        <v>2528</v>
      </c>
      <c r="B216" s="3" t="s">
        <v>1776</v>
      </c>
      <c r="C216" s="721">
        <v>20198.28</v>
      </c>
      <c r="D216" s="722">
        <v>4.4299999999999999E-2</v>
      </c>
      <c r="E216" s="723">
        <v>0.125</v>
      </c>
      <c r="F216" s="724">
        <f t="shared" si="9"/>
        <v>0.17206874999999999</v>
      </c>
      <c r="G216" s="724">
        <f t="shared" si="10"/>
        <v>6.1393531454852397E-4</v>
      </c>
      <c r="H216" s="725">
        <f t="shared" si="11"/>
        <v>1.0563908215522133E-4</v>
      </c>
    </row>
    <row r="217" spans="1:8" ht="15.6">
      <c r="A217" s="3" t="s">
        <v>2529</v>
      </c>
      <c r="B217" s="3" t="s">
        <v>1778</v>
      </c>
      <c r="C217" s="721">
        <v>68960.28</v>
      </c>
      <c r="D217" s="722">
        <v>9.1999999999999998E-3</v>
      </c>
      <c r="E217" s="723">
        <v>0.115</v>
      </c>
      <c r="F217" s="724">
        <f t="shared" si="9"/>
        <v>0.12472900000000001</v>
      </c>
      <c r="G217" s="724">
        <f t="shared" si="10"/>
        <v>2.0960770517665013E-3</v>
      </c>
      <c r="H217" s="725">
        <f t="shared" si="11"/>
        <v>2.6144159458978394E-4</v>
      </c>
    </row>
    <row r="218" spans="1:8" ht="15.6">
      <c r="A218" s="3" t="s">
        <v>2530</v>
      </c>
      <c r="B218" s="3" t="s">
        <v>1780</v>
      </c>
      <c r="C218" s="721">
        <v>325747.20000000001</v>
      </c>
      <c r="D218" s="722">
        <v>2.63E-2</v>
      </c>
      <c r="E218" s="723">
        <v>0.09</v>
      </c>
      <c r="F218" s="724">
        <f t="shared" si="9"/>
        <v>0.11748349999999999</v>
      </c>
      <c r="G218" s="724">
        <f t="shared" si="10"/>
        <v>9.901224742666255E-3</v>
      </c>
      <c r="H218" s="725">
        <f t="shared" si="11"/>
        <v>1.1632305370550308E-3</v>
      </c>
    </row>
    <row r="219" spans="1:8" ht="15.6">
      <c r="A219" s="3" t="s">
        <v>2531</v>
      </c>
      <c r="B219" s="3" t="s">
        <v>1782</v>
      </c>
      <c r="C219" s="721">
        <v>43252.53</v>
      </c>
      <c r="D219" s="722">
        <v>1.0700000000000001E-2</v>
      </c>
      <c r="E219" s="723" t="s">
        <v>4148</v>
      </c>
      <c r="F219" s="724" t="str">
        <f t="shared" si="9"/>
        <v>N/A</v>
      </c>
      <c r="G219" s="724" t="str">
        <f t="shared" si="10"/>
        <v>N/A</v>
      </c>
      <c r="H219" s="725" t="str">
        <f t="shared" si="11"/>
        <v>N/A</v>
      </c>
    </row>
    <row r="220" spans="1:8" ht="15.6">
      <c r="A220" s="3" t="s">
        <v>4302</v>
      </c>
      <c r="B220" s="3" t="s">
        <v>1784</v>
      </c>
      <c r="C220" s="721">
        <v>24289.759999999998</v>
      </c>
      <c r="D220" s="722">
        <v>2.2400000000000003E-2</v>
      </c>
      <c r="E220" s="723">
        <v>8.5000000000000006E-2</v>
      </c>
      <c r="F220" s="724">
        <f t="shared" si="9"/>
        <v>0.108352</v>
      </c>
      <c r="G220" s="724">
        <f t="shared" si="10"/>
        <v>7.3829758998826414E-4</v>
      </c>
      <c r="H220" s="725">
        <f t="shared" si="11"/>
        <v>7.9996020470408393E-5</v>
      </c>
    </row>
    <row r="221" spans="1:8" ht="15.6">
      <c r="A221" s="3" t="s">
        <v>2532</v>
      </c>
      <c r="B221" s="3" t="s">
        <v>2298</v>
      </c>
      <c r="C221" s="721">
        <v>9193.36</v>
      </c>
      <c r="D221" s="722">
        <v>2.1499999999999998E-2</v>
      </c>
      <c r="E221" s="723">
        <v>0.1</v>
      </c>
      <c r="F221" s="724">
        <f t="shared" si="9"/>
        <v>0.122575</v>
      </c>
      <c r="G221" s="724">
        <f t="shared" si="10"/>
        <v>2.7943608878368948E-4</v>
      </c>
      <c r="H221" s="725">
        <f t="shared" si="11"/>
        <v>3.425187858266074E-5</v>
      </c>
    </row>
    <row r="222" spans="1:8" ht="15.6">
      <c r="A222" s="3" t="s">
        <v>2533</v>
      </c>
      <c r="B222" s="3" t="s">
        <v>2277</v>
      </c>
      <c r="C222" s="721">
        <v>34553.72</v>
      </c>
      <c r="D222" s="722">
        <v>4.6999999999999993E-3</v>
      </c>
      <c r="E222" s="723">
        <v>0.42</v>
      </c>
      <c r="F222" s="724">
        <f t="shared" si="9"/>
        <v>0.42568699999999998</v>
      </c>
      <c r="G222" s="724">
        <f t="shared" si="10"/>
        <v>1.0502750212900121E-3</v>
      </c>
      <c r="H222" s="725">
        <f t="shared" si="11"/>
        <v>4.4708842298788137E-4</v>
      </c>
    </row>
    <row r="223" spans="1:8" ht="15.6">
      <c r="A223" s="3" t="s">
        <v>2534</v>
      </c>
      <c r="B223" s="3" t="s">
        <v>1786</v>
      </c>
      <c r="C223" s="721">
        <v>18638.7</v>
      </c>
      <c r="D223" s="722">
        <v>0</v>
      </c>
      <c r="E223" s="723">
        <v>0.09</v>
      </c>
      <c r="F223" s="724">
        <f t="shared" si="9"/>
        <v>0.09</v>
      </c>
      <c r="G223" s="724">
        <f t="shared" si="10"/>
        <v>5.6653121687963404E-4</v>
      </c>
      <c r="H223" s="725">
        <f t="shared" si="11"/>
        <v>5.0987809519167064E-5</v>
      </c>
    </row>
    <row r="224" spans="1:8" ht="15.6">
      <c r="A224" s="3" t="s">
        <v>2535</v>
      </c>
      <c r="B224" s="3" t="s">
        <v>1787</v>
      </c>
      <c r="C224" s="721">
        <v>144611.70000000001</v>
      </c>
      <c r="D224" s="722">
        <v>1.9199999999999998E-2</v>
      </c>
      <c r="E224" s="723">
        <v>0.115</v>
      </c>
      <c r="F224" s="724">
        <f t="shared" si="9"/>
        <v>0.13530400000000001</v>
      </c>
      <c r="G224" s="724">
        <f t="shared" si="10"/>
        <v>4.3955341507740655E-3</v>
      </c>
      <c r="H224" s="725">
        <f t="shared" si="11"/>
        <v>5.9473335273633424E-4</v>
      </c>
    </row>
    <row r="225" spans="1:8" ht="15.6">
      <c r="A225" s="3" t="s">
        <v>2536</v>
      </c>
      <c r="B225" s="3" t="s">
        <v>1789</v>
      </c>
      <c r="C225" s="721">
        <v>20214.77</v>
      </c>
      <c r="D225" s="722">
        <v>3.04E-2</v>
      </c>
      <c r="E225" s="723">
        <v>0.08</v>
      </c>
      <c r="F225" s="724">
        <f t="shared" si="9"/>
        <v>0.11161599999999999</v>
      </c>
      <c r="G225" s="724">
        <f t="shared" si="10"/>
        <v>6.1443653511467642E-4</v>
      </c>
      <c r="H225" s="725">
        <f t="shared" si="11"/>
        <v>6.8580948303359718E-5</v>
      </c>
    </row>
    <row r="226" spans="1:8" ht="15.6">
      <c r="A226" s="3" t="s">
        <v>2537</v>
      </c>
      <c r="B226" s="3" t="s">
        <v>1791</v>
      </c>
      <c r="C226" s="721">
        <v>26156.2</v>
      </c>
      <c r="D226" s="722">
        <v>3.9300000000000002E-2</v>
      </c>
      <c r="E226" s="723">
        <v>0.105</v>
      </c>
      <c r="F226" s="724">
        <f t="shared" si="9"/>
        <v>0.14636325</v>
      </c>
      <c r="G226" s="724">
        <f t="shared" si="10"/>
        <v>7.9502882791970917E-4</v>
      </c>
      <c r="H226" s="725">
        <f t="shared" si="11"/>
        <v>1.1636300309801937E-4</v>
      </c>
    </row>
    <row r="227" spans="1:8" ht="15.6">
      <c r="A227" s="3" t="s">
        <v>2538</v>
      </c>
      <c r="B227" s="3" t="s">
        <v>1444</v>
      </c>
      <c r="C227" s="721">
        <v>24800.95</v>
      </c>
      <c r="D227" s="722">
        <v>2.4199999999999999E-2</v>
      </c>
      <c r="E227" s="723">
        <v>8.5000000000000006E-2</v>
      </c>
      <c r="F227" s="724">
        <f t="shared" si="9"/>
        <v>0.11022850000000001</v>
      </c>
      <c r="G227" s="724">
        <f t="shared" si="10"/>
        <v>7.5383542753898935E-4</v>
      </c>
      <c r="H227" s="725">
        <f t="shared" si="11"/>
        <v>8.3094148424481487E-5</v>
      </c>
    </row>
    <row r="228" spans="1:8" ht="15.6">
      <c r="A228" s="3" t="s">
        <v>2539</v>
      </c>
      <c r="B228" s="3" t="s">
        <v>1794</v>
      </c>
      <c r="C228" s="721">
        <v>10957.33</v>
      </c>
      <c r="D228" s="722">
        <v>0</v>
      </c>
      <c r="E228" s="723">
        <v>7.0000000000000007E-2</v>
      </c>
      <c r="F228" s="724">
        <f t="shared" si="9"/>
        <v>7.0000000000000007E-2</v>
      </c>
      <c r="G228" s="724">
        <f t="shared" si="10"/>
        <v>3.3305270746627824E-4</v>
      </c>
      <c r="H228" s="725">
        <f t="shared" si="11"/>
        <v>2.3313689522639478E-5</v>
      </c>
    </row>
    <row r="229" spans="1:8" ht="15.6">
      <c r="A229" s="3" t="s">
        <v>2540</v>
      </c>
      <c r="B229" s="3" t="s">
        <v>1795</v>
      </c>
      <c r="C229" s="721">
        <v>11339.91</v>
      </c>
      <c r="D229" s="722">
        <v>3.0200000000000001E-2</v>
      </c>
      <c r="E229" s="723">
        <v>0.59499999999999997</v>
      </c>
      <c r="F229" s="724">
        <f t="shared" si="9"/>
        <v>0.63418449999999993</v>
      </c>
      <c r="G229" s="724">
        <f t="shared" si="10"/>
        <v>3.4468138934612018E-4</v>
      </c>
      <c r="H229" s="725">
        <f t="shared" si="11"/>
        <v>2.1859159456177454E-4</v>
      </c>
    </row>
    <row r="230" spans="1:8" ht="15.6">
      <c r="A230" s="3" t="s">
        <v>2541</v>
      </c>
      <c r="B230" s="3" t="s">
        <v>1797</v>
      </c>
      <c r="C230" s="721">
        <v>48186.879999999997</v>
      </c>
      <c r="D230" s="722">
        <v>1.7899999999999999E-2</v>
      </c>
      <c r="E230" s="723">
        <v>0.09</v>
      </c>
      <c r="F230" s="724">
        <f t="shared" si="9"/>
        <v>0.1087055</v>
      </c>
      <c r="G230" s="724">
        <f t="shared" si="10"/>
        <v>1.4646607201163654E-3</v>
      </c>
      <c r="H230" s="725">
        <f t="shared" si="11"/>
        <v>1.5921667591060955E-4</v>
      </c>
    </row>
    <row r="231" spans="1:8" ht="15.6">
      <c r="A231" s="3" t="s">
        <v>2542</v>
      </c>
      <c r="B231" s="3" t="s">
        <v>1799</v>
      </c>
      <c r="C231" s="721">
        <v>64326.720000000001</v>
      </c>
      <c r="D231" s="722">
        <v>6.1999999999999998E-3</v>
      </c>
      <c r="E231" s="723">
        <v>0.11</v>
      </c>
      <c r="F231" s="724">
        <f t="shared" si="9"/>
        <v>0.11654100000000001</v>
      </c>
      <c r="G231" s="724">
        <f t="shared" si="10"/>
        <v>1.9552380240829828E-3</v>
      </c>
      <c r="H231" s="725">
        <f t="shared" si="11"/>
        <v>2.278653945646549E-4</v>
      </c>
    </row>
    <row r="232" spans="1:8" ht="15.6">
      <c r="A232" s="3" t="s">
        <v>2997</v>
      </c>
      <c r="B232" s="3" t="s">
        <v>2998</v>
      </c>
      <c r="C232" s="721">
        <v>16155.46</v>
      </c>
      <c r="D232" s="722">
        <v>4.0999999999999995E-3</v>
      </c>
      <c r="E232" s="723">
        <v>0.16</v>
      </c>
      <c r="F232" s="724">
        <f t="shared" si="9"/>
        <v>0.16442799999999999</v>
      </c>
      <c r="G232" s="724">
        <f t="shared" si="10"/>
        <v>4.9105208051260295E-4</v>
      </c>
      <c r="H232" s="725">
        <f t="shared" si="11"/>
        <v>8.0742711494526267E-5</v>
      </c>
    </row>
    <row r="233" spans="1:8" ht="15.6">
      <c r="A233" s="3" t="s">
        <v>2543</v>
      </c>
      <c r="B233" s="3" t="s">
        <v>1801</v>
      </c>
      <c r="C233" s="721">
        <v>128512.5</v>
      </c>
      <c r="D233" s="722">
        <v>4.6399999999999997E-2</v>
      </c>
      <c r="E233" s="723">
        <v>1.4999999999999999E-2</v>
      </c>
      <c r="F233" s="724">
        <f t="shared" si="9"/>
        <v>6.1747999999999997E-2</v>
      </c>
      <c r="G233" s="724">
        <f t="shared" si="10"/>
        <v>3.9061921168989239E-3</v>
      </c>
      <c r="H233" s="725">
        <f t="shared" si="11"/>
        <v>2.4119955083427475E-4</v>
      </c>
    </row>
    <row r="234" spans="1:8" ht="15.6">
      <c r="A234" s="3" t="s">
        <v>2544</v>
      </c>
      <c r="B234" s="3" t="s">
        <v>1803</v>
      </c>
      <c r="C234" s="721">
        <v>57325.45</v>
      </c>
      <c r="D234" s="722">
        <v>1.4800000000000001E-2</v>
      </c>
      <c r="E234" s="723">
        <v>6.5000000000000002E-2</v>
      </c>
      <c r="F234" s="724">
        <f t="shared" si="9"/>
        <v>8.0281000000000005E-2</v>
      </c>
      <c r="G234" s="724">
        <f t="shared" si="10"/>
        <v>1.7424314435380479E-3</v>
      </c>
      <c r="H234" s="725">
        <f t="shared" si="11"/>
        <v>1.3988413871867804E-4</v>
      </c>
    </row>
    <row r="235" spans="1:8" ht="15.6">
      <c r="A235" s="3" t="s">
        <v>2545</v>
      </c>
      <c r="B235" s="3" t="s">
        <v>2211</v>
      </c>
      <c r="C235" s="721">
        <v>34696.89</v>
      </c>
      <c r="D235" s="722">
        <v>0</v>
      </c>
      <c r="E235" s="723">
        <v>0.12</v>
      </c>
      <c r="F235" s="724">
        <f t="shared" si="9"/>
        <v>0.12</v>
      </c>
      <c r="G235" s="724">
        <f t="shared" si="10"/>
        <v>1.0546267343558727E-3</v>
      </c>
      <c r="H235" s="725">
        <f t="shared" si="11"/>
        <v>1.2655520812270471E-4</v>
      </c>
    </row>
    <row r="236" spans="1:8" ht="15.6">
      <c r="A236" s="3" t="s">
        <v>2906</v>
      </c>
      <c r="B236" s="3" t="s">
        <v>2907</v>
      </c>
      <c r="C236" s="721">
        <v>17522.5</v>
      </c>
      <c r="D236" s="722">
        <v>1.03E-2</v>
      </c>
      <c r="E236" s="723">
        <v>0.105</v>
      </c>
      <c r="F236" s="724">
        <f t="shared" si="9"/>
        <v>0.11584074999999999</v>
      </c>
      <c r="G236" s="724">
        <f t="shared" si="10"/>
        <v>5.3260384295972295E-4</v>
      </c>
      <c r="H236" s="725">
        <f t="shared" si="11"/>
        <v>6.1697228621336518E-5</v>
      </c>
    </row>
    <row r="237" spans="1:8" ht="15.6">
      <c r="A237" s="3" t="s">
        <v>2546</v>
      </c>
      <c r="B237" s="3" t="s">
        <v>1805</v>
      </c>
      <c r="C237" s="721">
        <v>26525</v>
      </c>
      <c r="D237" s="722">
        <v>3.1099999999999999E-2</v>
      </c>
      <c r="E237" s="723">
        <v>7.0000000000000007E-2</v>
      </c>
      <c r="F237" s="724">
        <f t="shared" si="9"/>
        <v>0.1021885</v>
      </c>
      <c r="G237" s="724">
        <f t="shared" si="10"/>
        <v>8.0623866083644744E-4</v>
      </c>
      <c r="H237" s="725">
        <f t="shared" si="11"/>
        <v>8.2388319392885306E-5</v>
      </c>
    </row>
    <row r="238" spans="1:8" ht="15.6">
      <c r="A238" s="3" t="s">
        <v>2547</v>
      </c>
      <c r="B238" s="3" t="s">
        <v>1807</v>
      </c>
      <c r="C238" s="721">
        <v>31001.22</v>
      </c>
      <c r="D238" s="722">
        <v>0</v>
      </c>
      <c r="E238" s="723">
        <v>6.5000000000000002E-2</v>
      </c>
      <c r="F238" s="724">
        <f t="shared" si="9"/>
        <v>6.5000000000000002E-2</v>
      </c>
      <c r="G238" s="724">
        <f t="shared" si="10"/>
        <v>9.4229527227506469E-4</v>
      </c>
      <c r="H238" s="725">
        <f t="shared" si="11"/>
        <v>6.1249192697879201E-5</v>
      </c>
    </row>
    <row r="239" spans="1:8" ht="15.6">
      <c r="A239" s="3" t="s">
        <v>2548</v>
      </c>
      <c r="B239" s="3" t="s">
        <v>2229</v>
      </c>
      <c r="C239" s="721">
        <v>17912.080000000002</v>
      </c>
      <c r="D239" s="722">
        <v>0</v>
      </c>
      <c r="E239" s="723">
        <v>0.255</v>
      </c>
      <c r="F239" s="724">
        <f t="shared" si="9"/>
        <v>0.255</v>
      </c>
      <c r="G239" s="724">
        <f t="shared" si="10"/>
        <v>5.444452928179195E-4</v>
      </c>
      <c r="H239" s="725">
        <f t="shared" si="11"/>
        <v>1.3883354966856947E-4</v>
      </c>
    </row>
    <row r="240" spans="1:8" ht="15.6">
      <c r="A240" s="3" t="s">
        <v>2549</v>
      </c>
      <c r="B240" s="3" t="s">
        <v>1809</v>
      </c>
      <c r="C240" s="721">
        <v>110727.4</v>
      </c>
      <c r="D240" s="722">
        <v>5.4400000000000004E-2</v>
      </c>
      <c r="E240" s="723">
        <v>-5.0000000000000001E-3</v>
      </c>
      <c r="F240" s="724">
        <f t="shared" si="9"/>
        <v>4.9264000000000009E-2</v>
      </c>
      <c r="G240" s="724">
        <f t="shared" si="10"/>
        <v>3.3656064352083561E-3</v>
      </c>
      <c r="H240" s="725">
        <f t="shared" si="11"/>
        <v>1.6580323542410448E-4</v>
      </c>
    </row>
    <row r="241" spans="1:8" ht="15.6">
      <c r="A241" s="3" t="s">
        <v>2550</v>
      </c>
      <c r="B241" s="3" t="s">
        <v>1811</v>
      </c>
      <c r="C241" s="721">
        <v>110496.2</v>
      </c>
      <c r="D241" s="722">
        <v>7.9000000000000008E-3</v>
      </c>
      <c r="E241" s="723">
        <v>0.17</v>
      </c>
      <c r="F241" s="724">
        <f t="shared" si="9"/>
        <v>0.17857150000000002</v>
      </c>
      <c r="G241" s="724">
        <f t="shared" si="10"/>
        <v>3.3585790128375591E-3</v>
      </c>
      <c r="H241" s="725">
        <f t="shared" si="11"/>
        <v>5.9974649219092231E-4</v>
      </c>
    </row>
    <row r="242" spans="1:8" ht="15.6">
      <c r="A242" s="3" t="s">
        <v>4304</v>
      </c>
      <c r="B242" s="3" t="s">
        <v>4305</v>
      </c>
      <c r="C242" s="721" t="s">
        <v>4148</v>
      </c>
      <c r="D242" s="722">
        <v>0</v>
      </c>
      <c r="E242" s="723" t="s">
        <v>4148</v>
      </c>
      <c r="F242" s="724" t="str">
        <f t="shared" si="9"/>
        <v>N/A</v>
      </c>
      <c r="G242" s="724" t="str">
        <f t="shared" si="10"/>
        <v>N/A</v>
      </c>
      <c r="H242" s="725" t="str">
        <f t="shared" si="11"/>
        <v>N/A</v>
      </c>
    </row>
    <row r="243" spans="1:8" ht="15.6">
      <c r="A243" s="3" t="s">
        <v>2551</v>
      </c>
      <c r="B243" s="3" t="s">
        <v>1813</v>
      </c>
      <c r="C243" s="721">
        <v>12325.1</v>
      </c>
      <c r="D243" s="722">
        <v>5.3399999999999996E-2</v>
      </c>
      <c r="E243" s="723">
        <v>0.11</v>
      </c>
      <c r="F243" s="724">
        <f t="shared" si="9"/>
        <v>0.16633699999999998</v>
      </c>
      <c r="G243" s="724">
        <f t="shared" si="10"/>
        <v>3.7462665857399804E-4</v>
      </c>
      <c r="H243" s="725">
        <f t="shared" si="11"/>
        <v>6.2314274507223105E-5</v>
      </c>
    </row>
    <row r="244" spans="1:8" ht="15.6">
      <c r="A244" s="3" t="s">
        <v>2552</v>
      </c>
      <c r="B244" s="3" t="s">
        <v>1815</v>
      </c>
      <c r="C244" s="721">
        <v>13048.14</v>
      </c>
      <c r="D244" s="722">
        <v>3.7100000000000001E-2</v>
      </c>
      <c r="E244" s="723">
        <v>0.1</v>
      </c>
      <c r="F244" s="724">
        <f t="shared" si="9"/>
        <v>0.138955</v>
      </c>
      <c r="G244" s="724">
        <f t="shared" si="10"/>
        <v>3.9660376701249701E-4</v>
      </c>
      <c r="H244" s="725">
        <f t="shared" si="11"/>
        <v>5.5110076445221517E-5</v>
      </c>
    </row>
    <row r="245" spans="1:8" ht="15.6">
      <c r="A245" s="3" t="s">
        <v>2553</v>
      </c>
      <c r="B245" s="3" t="s">
        <v>2299</v>
      </c>
      <c r="C245" s="721">
        <v>38005.39</v>
      </c>
      <c r="D245" s="722">
        <v>0</v>
      </c>
      <c r="E245" s="723">
        <v>0.14499999999999999</v>
      </c>
      <c r="F245" s="724">
        <f t="shared" si="9"/>
        <v>0.14499999999999999</v>
      </c>
      <c r="G245" s="724">
        <f t="shared" si="10"/>
        <v>1.1551899995538891E-3</v>
      </c>
      <c r="H245" s="725">
        <f t="shared" si="11"/>
        <v>1.675025499353139E-4</v>
      </c>
    </row>
    <row r="246" spans="1:8" ht="15.6">
      <c r="A246" s="3" t="s">
        <v>2999</v>
      </c>
      <c r="B246" s="3" t="s">
        <v>1817</v>
      </c>
      <c r="C246" s="721">
        <v>21347.49</v>
      </c>
      <c r="D246" s="722">
        <v>1.5E-3</v>
      </c>
      <c r="E246" s="723" t="s">
        <v>4148</v>
      </c>
      <c r="F246" s="724" t="str">
        <f t="shared" si="9"/>
        <v>N/A</v>
      </c>
      <c r="G246" s="724" t="str">
        <f t="shared" si="10"/>
        <v>N/A</v>
      </c>
      <c r="H246" s="725" t="str">
        <f t="shared" si="11"/>
        <v>N/A</v>
      </c>
    </row>
    <row r="247" spans="1:8" ht="15.6">
      <c r="A247" s="3" t="s">
        <v>2554</v>
      </c>
      <c r="B247" s="3" t="s">
        <v>1819</v>
      </c>
      <c r="C247" s="721">
        <v>14740.79</v>
      </c>
      <c r="D247" s="722">
        <v>4.8899999999999999E-2</v>
      </c>
      <c r="E247" s="723">
        <v>0.1</v>
      </c>
      <c r="F247" s="724">
        <f t="shared" si="9"/>
        <v>0.15134500000000001</v>
      </c>
      <c r="G247" s="724">
        <f t="shared" si="10"/>
        <v>4.4805258394990752E-4</v>
      </c>
      <c r="H247" s="725">
        <f t="shared" si="11"/>
        <v>6.7810518317898763E-5</v>
      </c>
    </row>
    <row r="248" spans="1:8" ht="15.6">
      <c r="A248" s="3" t="s">
        <v>2555</v>
      </c>
      <c r="B248" s="3" t="s">
        <v>1821</v>
      </c>
      <c r="C248" s="721">
        <v>94034.32</v>
      </c>
      <c r="D248" s="722">
        <v>0</v>
      </c>
      <c r="E248" s="723">
        <v>0.125</v>
      </c>
      <c r="F248" s="724">
        <f t="shared" si="9"/>
        <v>0.125</v>
      </c>
      <c r="G248" s="724">
        <f t="shared" si="10"/>
        <v>2.8582131660496125E-3</v>
      </c>
      <c r="H248" s="725">
        <f t="shared" si="11"/>
        <v>3.5727664575620156E-4</v>
      </c>
    </row>
    <row r="249" spans="1:8" ht="15.6">
      <c r="A249" s="3" t="s">
        <v>2556</v>
      </c>
      <c r="B249" s="3" t="s">
        <v>2257</v>
      </c>
      <c r="C249" s="721">
        <v>27063.13</v>
      </c>
      <c r="D249" s="722">
        <v>0</v>
      </c>
      <c r="E249" s="723">
        <v>0.18</v>
      </c>
      <c r="F249" s="724">
        <f t="shared" si="9"/>
        <v>0.18</v>
      </c>
      <c r="G249" s="724">
        <f t="shared" si="10"/>
        <v>8.225953511495829E-4</v>
      </c>
      <c r="H249" s="725">
        <f t="shared" si="11"/>
        <v>1.4806716320692491E-4</v>
      </c>
    </row>
    <row r="250" spans="1:8" ht="15.6">
      <c r="A250" s="3" t="s">
        <v>2557</v>
      </c>
      <c r="B250" s="3" t="s">
        <v>1823</v>
      </c>
      <c r="C250" s="721">
        <v>68290.52</v>
      </c>
      <c r="D250" s="722">
        <v>2.3599999999999999E-2</v>
      </c>
      <c r="E250" s="723">
        <v>0.11</v>
      </c>
      <c r="F250" s="724">
        <f t="shared" si="9"/>
        <v>0.13489799999999999</v>
      </c>
      <c r="G250" s="724">
        <f t="shared" si="10"/>
        <v>2.0757194115975357E-3</v>
      </c>
      <c r="H250" s="725">
        <f t="shared" si="11"/>
        <v>2.8001039718568438E-4</v>
      </c>
    </row>
    <row r="251" spans="1:8" ht="15.6">
      <c r="A251" s="3" t="s">
        <v>2558</v>
      </c>
      <c r="B251" s="3" t="s">
        <v>1825</v>
      </c>
      <c r="C251" s="721">
        <v>8436.5400000000009</v>
      </c>
      <c r="D251" s="722">
        <v>4.3099999999999999E-2</v>
      </c>
      <c r="E251" s="723">
        <v>0.1</v>
      </c>
      <c r="F251" s="724">
        <f t="shared" si="9"/>
        <v>0.14525500000000002</v>
      </c>
      <c r="G251" s="724">
        <f t="shared" si="10"/>
        <v>2.5643222287250226E-4</v>
      </c>
      <c r="H251" s="725">
        <f t="shared" si="11"/>
        <v>3.7248062533345323E-5</v>
      </c>
    </row>
    <row r="252" spans="1:8" ht="15.6">
      <c r="A252" s="3" t="s">
        <v>4306</v>
      </c>
      <c r="B252" s="3" t="s">
        <v>2959</v>
      </c>
      <c r="C252" s="721">
        <v>15475.21</v>
      </c>
      <c r="D252" s="722">
        <v>7.6E-3</v>
      </c>
      <c r="E252" s="723">
        <v>0.12</v>
      </c>
      <c r="F252" s="724">
        <f t="shared" si="9"/>
        <v>0.128056</v>
      </c>
      <c r="G252" s="724">
        <f t="shared" si="10"/>
        <v>4.7037559233035998E-4</v>
      </c>
      <c r="H252" s="725">
        <f t="shared" si="11"/>
        <v>6.0234416851456578E-5</v>
      </c>
    </row>
    <row r="253" spans="1:8" ht="15.6">
      <c r="A253" s="3" t="s">
        <v>2559</v>
      </c>
      <c r="B253" s="3" t="s">
        <v>1827</v>
      </c>
      <c r="C253" s="721">
        <v>18426.48</v>
      </c>
      <c r="D253" s="722">
        <v>9.3999999999999986E-3</v>
      </c>
      <c r="E253" s="723">
        <v>0.11</v>
      </c>
      <c r="F253" s="724">
        <f t="shared" si="9"/>
        <v>0.119917</v>
      </c>
      <c r="G253" s="724">
        <f t="shared" si="10"/>
        <v>5.6008069968443281E-4</v>
      </c>
      <c r="H253" s="725">
        <f t="shared" si="11"/>
        <v>6.7163197264058123E-5</v>
      </c>
    </row>
    <row r="254" spans="1:8" ht="15.6">
      <c r="A254" s="3" t="s">
        <v>2560</v>
      </c>
      <c r="B254" s="3" t="s">
        <v>1829</v>
      </c>
      <c r="C254" s="721">
        <v>44503.6</v>
      </c>
      <c r="D254" s="722">
        <v>2.1700000000000001E-2</v>
      </c>
      <c r="E254" s="723">
        <v>0.13</v>
      </c>
      <c r="F254" s="724">
        <f t="shared" si="9"/>
        <v>0.15311050000000001</v>
      </c>
      <c r="G254" s="724">
        <f t="shared" si="10"/>
        <v>1.3527058573572449E-3</v>
      </c>
      <c r="H254" s="725">
        <f t="shared" si="11"/>
        <v>2.0711347017289647E-4</v>
      </c>
    </row>
    <row r="255" spans="1:8" ht="15.6">
      <c r="A255" s="3" t="s">
        <v>2562</v>
      </c>
      <c r="B255" s="3" t="s">
        <v>2563</v>
      </c>
      <c r="C255" s="721">
        <v>12999.13</v>
      </c>
      <c r="D255" s="722">
        <v>1.1000000000000001E-2</v>
      </c>
      <c r="E255" s="723">
        <v>0.08</v>
      </c>
      <c r="F255" s="724">
        <f t="shared" si="9"/>
        <v>9.1440000000000007E-2</v>
      </c>
      <c r="G255" s="724">
        <f t="shared" si="10"/>
        <v>3.9511408720976015E-4</v>
      </c>
      <c r="H255" s="725">
        <f t="shared" si="11"/>
        <v>3.612923213446047E-5</v>
      </c>
    </row>
    <row r="256" spans="1:8" ht="15.6">
      <c r="A256" s="3" t="s">
        <v>2564</v>
      </c>
      <c r="B256" s="3" t="s">
        <v>1831</v>
      </c>
      <c r="C256" s="721">
        <v>464967.6</v>
      </c>
      <c r="D256" s="722">
        <v>2.5399999999999999E-2</v>
      </c>
      <c r="E256" s="723">
        <v>0.06</v>
      </c>
      <c r="F256" s="724">
        <f t="shared" si="9"/>
        <v>8.6162000000000002E-2</v>
      </c>
      <c r="G256" s="724">
        <f t="shared" si="10"/>
        <v>1.4132888036054173E-2</v>
      </c>
      <c r="H256" s="725">
        <f t="shared" si="11"/>
        <v>1.2177178989624998E-3</v>
      </c>
    </row>
    <row r="257" spans="1:8" ht="15.6">
      <c r="A257" s="3" t="s">
        <v>2565</v>
      </c>
      <c r="B257" s="3" t="s">
        <v>1833</v>
      </c>
      <c r="C257" s="721">
        <v>10302.879999999999</v>
      </c>
      <c r="D257" s="722">
        <v>2.6499999999999999E-2</v>
      </c>
      <c r="E257" s="723">
        <v>0.105</v>
      </c>
      <c r="F257" s="724">
        <f t="shared" si="9"/>
        <v>0.13289124999999999</v>
      </c>
      <c r="G257" s="724">
        <f t="shared" si="10"/>
        <v>3.1316042126139929E-4</v>
      </c>
      <c r="H257" s="725">
        <f t="shared" si="11"/>
        <v>4.1616279831953924E-5</v>
      </c>
    </row>
    <row r="258" spans="1:8" ht="15.6">
      <c r="A258" s="3" t="s">
        <v>2566</v>
      </c>
      <c r="B258" s="3" t="s">
        <v>1835</v>
      </c>
      <c r="C258" s="721">
        <v>387652.4</v>
      </c>
      <c r="D258" s="722">
        <v>3.1400000000000004E-2</v>
      </c>
      <c r="E258" s="723">
        <v>0.05</v>
      </c>
      <c r="F258" s="724">
        <f t="shared" si="9"/>
        <v>8.2185000000000008E-2</v>
      </c>
      <c r="G258" s="724">
        <f t="shared" si="10"/>
        <v>1.1782859636042786E-2</v>
      </c>
      <c r="H258" s="725">
        <f t="shared" si="11"/>
        <v>9.6837431918817647E-4</v>
      </c>
    </row>
    <row r="259" spans="1:8" ht="15.6">
      <c r="A259" s="3" t="s">
        <v>2567</v>
      </c>
      <c r="B259" s="3" t="s">
        <v>1837</v>
      </c>
      <c r="C259" s="721">
        <v>24507.39</v>
      </c>
      <c r="D259" s="722">
        <v>3.3099999999999997E-2</v>
      </c>
      <c r="E259" s="723">
        <v>3.5000000000000003E-2</v>
      </c>
      <c r="F259" s="724">
        <f t="shared" si="9"/>
        <v>6.8679249999999997E-2</v>
      </c>
      <c r="G259" s="724">
        <f t="shared" si="10"/>
        <v>7.4491254643530794E-4</v>
      </c>
      <c r="H259" s="725">
        <f t="shared" si="11"/>
        <v>5.1160035004767122E-5</v>
      </c>
    </row>
    <row r="260" spans="1:8" ht="15.6">
      <c r="A260" s="3" t="s">
        <v>4308</v>
      </c>
      <c r="B260" s="3" t="s">
        <v>4309</v>
      </c>
      <c r="C260" s="721">
        <v>51735.65</v>
      </c>
      <c r="D260" s="722">
        <v>2.1899999999999999E-2</v>
      </c>
      <c r="E260" s="723">
        <v>0.115</v>
      </c>
      <c r="F260" s="724">
        <f t="shared" ref="F260:F323" si="12">IFERROR(D260*(1+0.5*E260)+E260,"N/A")</f>
        <v>0.13815925000000001</v>
      </c>
      <c r="G260" s="724">
        <f t="shared" ref="G260:G323" si="13">IF(F260="N/A","N/A",C260/$C$504)</f>
        <v>1.5725270941942752E-3</v>
      </c>
      <c r="H260" s="725">
        <f t="shared" si="11"/>
        <v>2.1725916393856043E-4</v>
      </c>
    </row>
    <row r="261" spans="1:8" ht="15.6">
      <c r="A261" s="3" t="s">
        <v>2568</v>
      </c>
      <c r="B261" s="3" t="s">
        <v>1839</v>
      </c>
      <c r="C261" s="721">
        <v>15822.63</v>
      </c>
      <c r="D261" s="722">
        <v>4.8399999999999999E-2</v>
      </c>
      <c r="E261" s="723">
        <v>7.4999999999999997E-2</v>
      </c>
      <c r="F261" s="724">
        <f t="shared" si="12"/>
        <v>0.12521499999999999</v>
      </c>
      <c r="G261" s="724">
        <f t="shared" si="13"/>
        <v>4.8093557105035239E-4</v>
      </c>
      <c r="H261" s="725">
        <f t="shared" ref="H261:H324" si="14">IF(ISNUMBER(G261),F261*G261,"N/A")</f>
        <v>6.0220347529069869E-5</v>
      </c>
    </row>
    <row r="262" spans="1:8" ht="15.6">
      <c r="A262" s="3" t="s">
        <v>2570</v>
      </c>
      <c r="B262" s="3" t="s">
        <v>2571</v>
      </c>
      <c r="C262" s="721">
        <v>31119.54</v>
      </c>
      <c r="D262" s="722">
        <v>0</v>
      </c>
      <c r="E262" s="723">
        <v>0.115</v>
      </c>
      <c r="F262" s="724">
        <f t="shared" si="12"/>
        <v>0.115</v>
      </c>
      <c r="G262" s="724">
        <f t="shared" si="13"/>
        <v>9.458916590177666E-4</v>
      </c>
      <c r="H262" s="725">
        <f t="shared" si="14"/>
        <v>1.0877754078704316E-4</v>
      </c>
    </row>
    <row r="263" spans="1:8" ht="15.6">
      <c r="A263" s="3" t="s">
        <v>2572</v>
      </c>
      <c r="B263" s="3" t="s">
        <v>1841</v>
      </c>
      <c r="C263" s="721">
        <v>49300.86</v>
      </c>
      <c r="D263" s="722">
        <v>3.9800000000000002E-2</v>
      </c>
      <c r="E263" s="723">
        <v>3.5000000000000003E-2</v>
      </c>
      <c r="F263" s="724">
        <f t="shared" si="12"/>
        <v>7.5496500000000008E-2</v>
      </c>
      <c r="G263" s="724">
        <f t="shared" si="13"/>
        <v>1.4985206161917126E-3</v>
      </c>
      <c r="H263" s="725">
        <f t="shared" si="14"/>
        <v>1.1313306170031764E-4</v>
      </c>
    </row>
    <row r="264" spans="1:8" ht="15.6">
      <c r="A264" s="3" t="s">
        <v>2573</v>
      </c>
      <c r="B264" s="3" t="s">
        <v>1843</v>
      </c>
      <c r="C264" s="721">
        <v>13011.5</v>
      </c>
      <c r="D264" s="722">
        <v>4.8300000000000003E-2</v>
      </c>
      <c r="E264" s="723">
        <v>8.5000000000000006E-2</v>
      </c>
      <c r="F264" s="724">
        <f t="shared" si="12"/>
        <v>0.13535275000000002</v>
      </c>
      <c r="G264" s="724">
        <f t="shared" si="13"/>
        <v>3.9549007862293821E-4</v>
      </c>
      <c r="H264" s="725">
        <f t="shared" si="14"/>
        <v>5.3530669739330906E-5</v>
      </c>
    </row>
    <row r="265" spans="1:8" ht="15.6">
      <c r="A265" s="3" t="s">
        <v>2908</v>
      </c>
      <c r="B265" s="3" t="s">
        <v>1845</v>
      </c>
      <c r="C265" s="721">
        <v>56230.87</v>
      </c>
      <c r="D265" s="722">
        <v>1.3100000000000001E-2</v>
      </c>
      <c r="E265" s="723">
        <v>0.2</v>
      </c>
      <c r="F265" s="724">
        <f t="shared" si="12"/>
        <v>0.21441000000000002</v>
      </c>
      <c r="G265" s="724">
        <f t="shared" si="13"/>
        <v>1.7091612187169979E-3</v>
      </c>
      <c r="H265" s="725">
        <f t="shared" si="14"/>
        <v>3.6646125690511155E-4</v>
      </c>
    </row>
    <row r="266" spans="1:8" ht="15.6">
      <c r="A266" s="3" t="s">
        <v>2574</v>
      </c>
      <c r="B266" s="3" t="s">
        <v>1847</v>
      </c>
      <c r="C266" s="721">
        <v>46227.83</v>
      </c>
      <c r="D266" s="722">
        <v>3.39E-2</v>
      </c>
      <c r="E266" s="723">
        <v>5.5E-2</v>
      </c>
      <c r="F266" s="724">
        <f t="shared" si="12"/>
        <v>8.9832250000000002E-2</v>
      </c>
      <c r="G266" s="724">
        <f t="shared" si="13"/>
        <v>1.4051145618312895E-3</v>
      </c>
      <c r="H266" s="725">
        <f t="shared" si="14"/>
        <v>1.2622460259706885E-4</v>
      </c>
    </row>
    <row r="267" spans="1:8" ht="15.6">
      <c r="A267" s="3" t="s">
        <v>3000</v>
      </c>
      <c r="B267" s="3" t="s">
        <v>1849</v>
      </c>
      <c r="C267" s="721">
        <v>40225.14</v>
      </c>
      <c r="D267" s="722">
        <v>6.2100000000000002E-2</v>
      </c>
      <c r="E267" s="723">
        <v>0.19</v>
      </c>
      <c r="F267" s="724">
        <f t="shared" si="12"/>
        <v>0.25799949999999999</v>
      </c>
      <c r="G267" s="724">
        <f t="shared" si="13"/>
        <v>1.2226602452613993E-3</v>
      </c>
      <c r="H267" s="725">
        <f t="shared" si="14"/>
        <v>3.1544573194731837E-4</v>
      </c>
    </row>
    <row r="268" spans="1:8" ht="15.6">
      <c r="A268" s="3" t="s">
        <v>2575</v>
      </c>
      <c r="B268" s="3" t="s">
        <v>1851</v>
      </c>
      <c r="C268" s="721">
        <v>9383.07</v>
      </c>
      <c r="D268" s="722">
        <v>0</v>
      </c>
      <c r="E268" s="723">
        <v>0.04</v>
      </c>
      <c r="F268" s="724">
        <f t="shared" si="12"/>
        <v>0.04</v>
      </c>
      <c r="G268" s="724">
        <f t="shared" si="13"/>
        <v>2.8520240495135324E-4</v>
      </c>
      <c r="H268" s="725">
        <f t="shared" si="14"/>
        <v>1.1408096198054131E-5</v>
      </c>
    </row>
    <row r="269" spans="1:8" ht="15.6">
      <c r="A269" s="3" t="s">
        <v>2576</v>
      </c>
      <c r="B269" s="3" t="s">
        <v>1853</v>
      </c>
      <c r="C269" s="721">
        <v>275871.2</v>
      </c>
      <c r="D269" s="722">
        <v>2.8500000000000001E-2</v>
      </c>
      <c r="E269" s="723">
        <v>7.4999999999999997E-2</v>
      </c>
      <c r="F269" s="724">
        <f t="shared" si="12"/>
        <v>0.10456875</v>
      </c>
      <c r="G269" s="724">
        <f t="shared" si="13"/>
        <v>8.3852225014644215E-3</v>
      </c>
      <c r="H269" s="725">
        <f t="shared" si="14"/>
        <v>8.7683223545000771E-4</v>
      </c>
    </row>
    <row r="270" spans="1:8" ht="15.6">
      <c r="A270" s="3" t="s">
        <v>2577</v>
      </c>
      <c r="B270" s="3" t="s">
        <v>185</v>
      </c>
      <c r="C270" s="721">
        <v>31833.360000000001</v>
      </c>
      <c r="D270" s="722">
        <v>2.3399999999999997E-2</v>
      </c>
      <c r="E270" s="723">
        <v>6.5000000000000002E-2</v>
      </c>
      <c r="F270" s="724">
        <f t="shared" si="12"/>
        <v>8.9160500000000004E-2</v>
      </c>
      <c r="G270" s="724">
        <f t="shared" si="13"/>
        <v>9.6758852163334711E-4</v>
      </c>
      <c r="H270" s="725">
        <f t="shared" si="14"/>
        <v>8.6270676383090052E-5</v>
      </c>
    </row>
    <row r="271" spans="1:8" ht="15.6">
      <c r="A271" s="3" t="s">
        <v>2578</v>
      </c>
      <c r="B271" s="3" t="s">
        <v>1856</v>
      </c>
      <c r="C271" s="721">
        <v>13674.51</v>
      </c>
      <c r="D271" s="722">
        <v>4.4000000000000003E-3</v>
      </c>
      <c r="E271" s="723">
        <v>0.185</v>
      </c>
      <c r="F271" s="724">
        <f t="shared" si="12"/>
        <v>0.189807</v>
      </c>
      <c r="G271" s="724">
        <f t="shared" si="13"/>
        <v>4.1564254966991926E-4</v>
      </c>
      <c r="H271" s="725">
        <f t="shared" si="14"/>
        <v>7.889186542519837E-5</v>
      </c>
    </row>
    <row r="272" spans="1:8" ht="15.6">
      <c r="A272" s="3" t="s">
        <v>2910</v>
      </c>
      <c r="B272" s="3" t="s">
        <v>2911</v>
      </c>
      <c r="C272" s="721">
        <v>14498.71</v>
      </c>
      <c r="D272" s="722">
        <v>1.38E-2</v>
      </c>
      <c r="E272" s="723">
        <v>8.5000000000000006E-2</v>
      </c>
      <c r="F272" s="724">
        <f t="shared" si="12"/>
        <v>9.9386500000000003E-2</v>
      </c>
      <c r="G272" s="724">
        <f t="shared" si="13"/>
        <v>4.406944593498966E-4</v>
      </c>
      <c r="H272" s="725">
        <f t="shared" si="14"/>
        <v>4.3799079884178501E-5</v>
      </c>
    </row>
    <row r="273" spans="1:8" ht="15.6">
      <c r="A273" s="3" t="s">
        <v>2579</v>
      </c>
      <c r="B273" s="3" t="s">
        <v>1858</v>
      </c>
      <c r="C273" s="721">
        <v>26371</v>
      </c>
      <c r="D273" s="722">
        <v>1.7500000000000002E-2</v>
      </c>
      <c r="E273" s="723">
        <v>8.5000000000000006E-2</v>
      </c>
      <c r="F273" s="724">
        <f t="shared" si="12"/>
        <v>0.10324375000000001</v>
      </c>
      <c r="G273" s="724">
        <f t="shared" si="13"/>
        <v>8.0155776531264675E-4</v>
      </c>
      <c r="H273" s="725">
        <f t="shared" si="14"/>
        <v>8.2755829532497587E-5</v>
      </c>
    </row>
    <row r="274" spans="1:8" ht="15.6">
      <c r="A274" s="3" t="s">
        <v>2580</v>
      </c>
      <c r="B274" s="3" t="s">
        <v>1310</v>
      </c>
      <c r="C274" s="721">
        <v>20780.93</v>
      </c>
      <c r="D274" s="722">
        <v>1.24E-2</v>
      </c>
      <c r="E274" s="723">
        <v>1.4999999999999999E-2</v>
      </c>
      <c r="F274" s="724">
        <f t="shared" si="12"/>
        <v>2.7493E-2</v>
      </c>
      <c r="G274" s="724">
        <f t="shared" si="13"/>
        <v>6.3164520920399453E-4</v>
      </c>
      <c r="H274" s="725">
        <f t="shared" si="14"/>
        <v>1.7365821736645421E-5</v>
      </c>
    </row>
    <row r="275" spans="1:8" ht="15.6">
      <c r="A275" s="3" t="s">
        <v>2913</v>
      </c>
      <c r="B275" s="3" t="s">
        <v>2914</v>
      </c>
      <c r="C275" s="721">
        <v>39551.599999999999</v>
      </c>
      <c r="D275" s="722">
        <v>2.1600000000000001E-2</v>
      </c>
      <c r="E275" s="723">
        <v>0.17499999999999999</v>
      </c>
      <c r="F275" s="724">
        <f t="shared" si="12"/>
        <v>0.19849</v>
      </c>
      <c r="G275" s="724">
        <f t="shared" si="13"/>
        <v>1.2021877103841219E-3</v>
      </c>
      <c r="H275" s="725">
        <f t="shared" si="14"/>
        <v>2.3862223863414437E-4</v>
      </c>
    </row>
    <row r="276" spans="1:8" ht="15.6">
      <c r="A276" s="3" t="s">
        <v>2582</v>
      </c>
      <c r="B276" s="3" t="s">
        <v>2583</v>
      </c>
      <c r="C276" s="721">
        <v>162487.9</v>
      </c>
      <c r="D276" s="722">
        <v>1.4199999999999999E-2</v>
      </c>
      <c r="E276" s="723">
        <v>0.12</v>
      </c>
      <c r="F276" s="724">
        <f t="shared" si="12"/>
        <v>0.13505200000000001</v>
      </c>
      <c r="G276" s="724">
        <f t="shared" si="13"/>
        <v>4.9388888557257904E-3</v>
      </c>
      <c r="H276" s="725">
        <f t="shared" si="14"/>
        <v>6.6700681774347942E-4</v>
      </c>
    </row>
    <row r="277" spans="1:8" ht="15.6">
      <c r="A277" s="3" t="s">
        <v>2584</v>
      </c>
      <c r="B277" s="3" t="s">
        <v>1861</v>
      </c>
      <c r="C277" s="721">
        <v>14682.64</v>
      </c>
      <c r="D277" s="722">
        <v>2.0199999999999999E-2</v>
      </c>
      <c r="E277" s="723">
        <v>0.11</v>
      </c>
      <c r="F277" s="724">
        <f t="shared" si="12"/>
        <v>0.13131100000000001</v>
      </c>
      <c r="G277" s="724">
        <f t="shared" si="13"/>
        <v>4.4628508995829053E-4</v>
      </c>
      <c r="H277" s="725">
        <f t="shared" si="14"/>
        <v>5.8602141447513091E-5</v>
      </c>
    </row>
    <row r="278" spans="1:8" ht="15.6">
      <c r="A278" s="3" t="s">
        <v>3993</v>
      </c>
      <c r="B278" s="3" t="s">
        <v>1445</v>
      </c>
      <c r="C278" s="721">
        <v>349840.3</v>
      </c>
      <c r="D278" s="722">
        <v>1.23E-2</v>
      </c>
      <c r="E278" s="723">
        <v>0.115</v>
      </c>
      <c r="F278" s="724">
        <f t="shared" si="12"/>
        <v>0.12800725000000002</v>
      </c>
      <c r="G278" s="724">
        <f t="shared" si="13"/>
        <v>1.0633544768279775E-2</v>
      </c>
      <c r="H278" s="725">
        <f t="shared" si="14"/>
        <v>1.3611708235393813E-3</v>
      </c>
    </row>
    <row r="279" spans="1:8" ht="15.6">
      <c r="A279" s="3" t="s">
        <v>2585</v>
      </c>
      <c r="B279" s="3" t="s">
        <v>1864</v>
      </c>
      <c r="C279" s="721">
        <v>127800.4</v>
      </c>
      <c r="D279" s="722">
        <v>2.46E-2</v>
      </c>
      <c r="E279" s="723">
        <v>0.08</v>
      </c>
      <c r="F279" s="724">
        <f t="shared" si="12"/>
        <v>0.10558400000000001</v>
      </c>
      <c r="G279" s="724">
        <f t="shared" si="13"/>
        <v>3.8845475344151674E-3</v>
      </c>
      <c r="H279" s="725">
        <f t="shared" si="14"/>
        <v>4.1014606687369106E-4</v>
      </c>
    </row>
    <row r="280" spans="1:8" ht="15.6">
      <c r="A280" s="3" t="s">
        <v>2586</v>
      </c>
      <c r="B280" s="3" t="s">
        <v>1866</v>
      </c>
      <c r="C280" s="721">
        <v>5125.49</v>
      </c>
      <c r="D280" s="722">
        <v>5.9400000000000001E-2</v>
      </c>
      <c r="E280" s="723">
        <v>0.115</v>
      </c>
      <c r="F280" s="724">
        <f t="shared" si="12"/>
        <v>0.17781550000000002</v>
      </c>
      <c r="G280" s="724">
        <f t="shared" si="13"/>
        <v>1.5579144933951377E-4</v>
      </c>
      <c r="H280" s="725">
        <f t="shared" si="14"/>
        <v>2.7702134460030312E-5</v>
      </c>
    </row>
    <row r="281" spans="1:8" ht="15.6">
      <c r="A281" s="3" t="s">
        <v>2588</v>
      </c>
      <c r="B281" s="3" t="s">
        <v>1355</v>
      </c>
      <c r="C281" s="721">
        <v>13826.29</v>
      </c>
      <c r="D281" s="722">
        <v>3.2000000000000001E-2</v>
      </c>
      <c r="E281" s="723">
        <v>0.06</v>
      </c>
      <c r="F281" s="724">
        <f t="shared" si="12"/>
        <v>9.2960000000000001E-2</v>
      </c>
      <c r="G281" s="724">
        <f t="shared" si="13"/>
        <v>4.2025596734915609E-4</v>
      </c>
      <c r="H281" s="725">
        <f t="shared" si="14"/>
        <v>3.9066994724777552E-5</v>
      </c>
    </row>
    <row r="282" spans="1:8" ht="15.6">
      <c r="A282" s="3" t="s">
        <v>2589</v>
      </c>
      <c r="B282" s="3" t="s">
        <v>1868</v>
      </c>
      <c r="C282" s="721">
        <v>123684.7</v>
      </c>
      <c r="D282" s="722">
        <v>2.1700000000000001E-2</v>
      </c>
      <c r="E282" s="723">
        <v>0.125</v>
      </c>
      <c r="F282" s="724">
        <f t="shared" si="12"/>
        <v>0.14805625</v>
      </c>
      <c r="G282" s="724">
        <f t="shared" si="13"/>
        <v>3.7594490817703203E-3</v>
      </c>
      <c r="H282" s="725">
        <f t="shared" si="14"/>
        <v>5.5660993311285696E-4</v>
      </c>
    </row>
    <row r="283" spans="1:8" ht="15.6">
      <c r="A283" s="3" t="s">
        <v>2590</v>
      </c>
      <c r="B283" s="3" t="s">
        <v>1870</v>
      </c>
      <c r="C283" s="721">
        <v>61077.82</v>
      </c>
      <c r="D283" s="722">
        <v>1.5600000000000001E-2</v>
      </c>
      <c r="E283" s="723">
        <v>0.14499999999999999</v>
      </c>
      <c r="F283" s="724">
        <f t="shared" si="12"/>
        <v>0.16173099999999999</v>
      </c>
      <c r="G283" s="724">
        <f t="shared" si="13"/>
        <v>1.8564863262435281E-3</v>
      </c>
      <c r="H283" s="725">
        <f t="shared" si="14"/>
        <v>3.00251390029692E-4</v>
      </c>
    </row>
    <row r="284" spans="1:8" ht="15.6">
      <c r="A284" s="3" t="s">
        <v>3944</v>
      </c>
      <c r="B284" s="3" t="s">
        <v>3918</v>
      </c>
      <c r="C284" s="721">
        <v>5484.22</v>
      </c>
      <c r="D284" s="722">
        <v>0</v>
      </c>
      <c r="E284" s="723">
        <v>4.4999999999999998E-2</v>
      </c>
      <c r="F284" s="724">
        <f t="shared" si="12"/>
        <v>4.4999999999999998E-2</v>
      </c>
      <c r="G284" s="724">
        <f t="shared" si="13"/>
        <v>1.6669520032167623E-4</v>
      </c>
      <c r="H284" s="725">
        <f t="shared" si="14"/>
        <v>7.5012840144754297E-6</v>
      </c>
    </row>
    <row r="285" spans="1:8" ht="15.6">
      <c r="A285" s="3" t="s">
        <v>2591</v>
      </c>
      <c r="B285" s="3" t="s">
        <v>1872</v>
      </c>
      <c r="C285" s="721">
        <v>21731.32</v>
      </c>
      <c r="D285" s="722">
        <v>1.9699999999999999E-2</v>
      </c>
      <c r="E285" s="723" t="s">
        <v>4148</v>
      </c>
      <c r="F285" s="724" t="str">
        <f t="shared" si="12"/>
        <v>N/A</v>
      </c>
      <c r="G285" s="724" t="str">
        <f t="shared" si="13"/>
        <v>N/A</v>
      </c>
      <c r="H285" s="725" t="str">
        <f t="shared" si="14"/>
        <v>N/A</v>
      </c>
    </row>
    <row r="286" spans="1:8" ht="15.6">
      <c r="A286" s="3" t="s">
        <v>2916</v>
      </c>
      <c r="B286" s="3" t="s">
        <v>2917</v>
      </c>
      <c r="C286" s="721">
        <v>35823.96</v>
      </c>
      <c r="D286" s="722">
        <v>0</v>
      </c>
      <c r="E286" s="723" t="s">
        <v>4148</v>
      </c>
      <c r="F286" s="724" t="str">
        <f t="shared" si="12"/>
        <v>N/A</v>
      </c>
      <c r="G286" s="724" t="str">
        <f t="shared" si="13"/>
        <v>N/A</v>
      </c>
      <c r="H286" s="725" t="str">
        <f t="shared" si="14"/>
        <v>N/A</v>
      </c>
    </row>
    <row r="287" spans="1:8" ht="15.6">
      <c r="A287" s="3" t="s">
        <v>2593</v>
      </c>
      <c r="B287" s="3" t="s">
        <v>2594</v>
      </c>
      <c r="C287" s="721">
        <v>12750.62</v>
      </c>
      <c r="D287" s="722">
        <v>1.26E-2</v>
      </c>
      <c r="E287" s="723">
        <v>0.115</v>
      </c>
      <c r="F287" s="724">
        <f t="shared" si="12"/>
        <v>0.12832450000000001</v>
      </c>
      <c r="G287" s="724">
        <f t="shared" si="13"/>
        <v>3.8756052002391798E-4</v>
      </c>
      <c r="H287" s="725">
        <f t="shared" si="14"/>
        <v>4.9733509951809268E-5</v>
      </c>
    </row>
    <row r="288" spans="1:8" ht="15.6">
      <c r="A288" s="3" t="s">
        <v>2595</v>
      </c>
      <c r="B288" s="3" t="s">
        <v>1874</v>
      </c>
      <c r="C288" s="721">
        <v>26798.77</v>
      </c>
      <c r="D288" s="722">
        <v>5.7800000000000004E-2</v>
      </c>
      <c r="E288" s="723">
        <v>3.5000000000000003E-2</v>
      </c>
      <c r="F288" s="724">
        <f t="shared" si="12"/>
        <v>9.381150000000002E-2</v>
      </c>
      <c r="G288" s="724">
        <f t="shared" si="13"/>
        <v>8.1456001646989487E-4</v>
      </c>
      <c r="H288" s="725">
        <f t="shared" si="14"/>
        <v>7.641509698506556E-5</v>
      </c>
    </row>
    <row r="289" spans="1:8" ht="15.6">
      <c r="A289" s="3" t="s">
        <v>2961</v>
      </c>
      <c r="B289" s="3" t="s">
        <v>2962</v>
      </c>
      <c r="C289" s="721">
        <v>16318.6</v>
      </c>
      <c r="D289" s="722">
        <v>0</v>
      </c>
      <c r="E289" s="723" t="s">
        <v>4148</v>
      </c>
      <c r="F289" s="724" t="str">
        <f t="shared" si="12"/>
        <v>N/A</v>
      </c>
      <c r="G289" s="724" t="str">
        <f t="shared" si="13"/>
        <v>N/A</v>
      </c>
      <c r="H289" s="725" t="str">
        <f t="shared" si="14"/>
        <v>N/A</v>
      </c>
    </row>
    <row r="290" spans="1:8" ht="15.6">
      <c r="A290" s="3" t="s">
        <v>2596</v>
      </c>
      <c r="B290" s="3" t="s">
        <v>1876</v>
      </c>
      <c r="C290" s="721">
        <v>332899.5</v>
      </c>
      <c r="D290" s="722">
        <v>6.6E-3</v>
      </c>
      <c r="E290" s="723">
        <v>0.185</v>
      </c>
      <c r="F290" s="724">
        <f t="shared" si="12"/>
        <v>0.19221050000000001</v>
      </c>
      <c r="G290" s="724">
        <f t="shared" si="13"/>
        <v>1.0118621944321317E-2</v>
      </c>
      <c r="H290" s="725">
        <f t="shared" si="14"/>
        <v>1.9449053832289725E-3</v>
      </c>
    </row>
    <row r="291" spans="1:8" ht="15.6">
      <c r="A291" s="3" t="s">
        <v>2597</v>
      </c>
      <c r="B291" s="3" t="s">
        <v>2206</v>
      </c>
      <c r="C291" s="721">
        <v>17987.96</v>
      </c>
      <c r="D291" s="722">
        <v>3.5900000000000001E-2</v>
      </c>
      <c r="E291" s="723">
        <v>-0.14499999999999999</v>
      </c>
      <c r="F291" s="724">
        <f t="shared" si="12"/>
        <v>-0.11170274999999999</v>
      </c>
      <c r="G291" s="724">
        <f t="shared" si="13"/>
        <v>5.46751697703283E-4</v>
      </c>
      <c r="H291" s="725">
        <f t="shared" si="14"/>
        <v>-6.1073668200625395E-5</v>
      </c>
    </row>
    <row r="292" spans="1:8" ht="15.6">
      <c r="A292" s="3" t="s">
        <v>2598</v>
      </c>
      <c r="B292" s="3" t="s">
        <v>1878</v>
      </c>
      <c r="C292" s="721">
        <v>47495.88</v>
      </c>
      <c r="D292" s="722">
        <v>1.0800000000000001E-2</v>
      </c>
      <c r="E292" s="723">
        <v>0.26500000000000001</v>
      </c>
      <c r="F292" s="724">
        <f t="shared" si="12"/>
        <v>0.27723100000000001</v>
      </c>
      <c r="G292" s="724">
        <f t="shared" si="13"/>
        <v>1.4436574811102208E-3</v>
      </c>
      <c r="H292" s="725">
        <f t="shared" si="14"/>
        <v>4.0022660714566762E-4</v>
      </c>
    </row>
    <row r="293" spans="1:8" ht="15.6">
      <c r="A293" s="3" t="s">
        <v>2599</v>
      </c>
      <c r="B293" s="3" t="s">
        <v>1880</v>
      </c>
      <c r="C293" s="721">
        <v>10616.14</v>
      </c>
      <c r="D293" s="722">
        <v>2.4399999999999998E-2</v>
      </c>
      <c r="E293" s="723">
        <v>0.08</v>
      </c>
      <c r="F293" s="724">
        <f t="shared" si="12"/>
        <v>0.105376</v>
      </c>
      <c r="G293" s="724">
        <f t="shared" si="13"/>
        <v>3.2268209224702141E-4</v>
      </c>
      <c r="H293" s="725">
        <f t="shared" si="14"/>
        <v>3.4002948152622127E-5</v>
      </c>
    </row>
    <row r="294" spans="1:8" ht="15.6">
      <c r="A294" s="3" t="s">
        <v>2600</v>
      </c>
      <c r="B294" s="3" t="s">
        <v>1882</v>
      </c>
      <c r="C294" s="721">
        <v>196400.4</v>
      </c>
      <c r="D294" s="722">
        <v>2.2700000000000001E-2</v>
      </c>
      <c r="E294" s="723">
        <v>0.105</v>
      </c>
      <c r="F294" s="724">
        <f t="shared" si="12"/>
        <v>0.12889175</v>
      </c>
      <c r="G294" s="724">
        <f t="shared" si="13"/>
        <v>5.9696737222900134E-3</v>
      </c>
      <c r="H294" s="725">
        <f t="shared" si="14"/>
        <v>7.6944169299497385E-4</v>
      </c>
    </row>
    <row r="295" spans="1:8" ht="15.6">
      <c r="A295" s="3" t="s">
        <v>2601</v>
      </c>
      <c r="B295" s="3" t="s">
        <v>1884</v>
      </c>
      <c r="C295" s="721">
        <v>40128.660000000003</v>
      </c>
      <c r="D295" s="722">
        <v>1.8000000000000002E-2</v>
      </c>
      <c r="E295" s="723">
        <v>0.09</v>
      </c>
      <c r="F295" s="724">
        <f t="shared" si="12"/>
        <v>0.10880999999999999</v>
      </c>
      <c r="G295" s="724">
        <f t="shared" si="13"/>
        <v>1.2197276946111636E-3</v>
      </c>
      <c r="H295" s="725">
        <f t="shared" si="14"/>
        <v>1.327185704506407E-4</v>
      </c>
    </row>
    <row r="296" spans="1:8" ht="15.6">
      <c r="A296" s="3" t="s">
        <v>2602</v>
      </c>
      <c r="B296" s="3" t="s">
        <v>1309</v>
      </c>
      <c r="C296" s="721">
        <v>54025.32</v>
      </c>
      <c r="D296" s="722">
        <v>5.6999999999999993E-3</v>
      </c>
      <c r="E296" s="723">
        <v>0.1</v>
      </c>
      <c r="F296" s="724">
        <f t="shared" si="12"/>
        <v>0.10598500000000001</v>
      </c>
      <c r="G296" s="724">
        <f t="shared" si="13"/>
        <v>1.6421225880512928E-3</v>
      </c>
      <c r="H296" s="725">
        <f t="shared" si="14"/>
        <v>1.7404036249461628E-4</v>
      </c>
    </row>
    <row r="297" spans="1:8" ht="15.6">
      <c r="A297" s="3" t="s">
        <v>2603</v>
      </c>
      <c r="B297" s="3" t="s">
        <v>1887</v>
      </c>
      <c r="C297" s="721">
        <v>51728.61</v>
      </c>
      <c r="D297" s="722">
        <v>9.8999999999999991E-3</v>
      </c>
      <c r="E297" s="723">
        <v>0.04</v>
      </c>
      <c r="F297" s="724">
        <f t="shared" si="12"/>
        <v>5.0098000000000004E-2</v>
      </c>
      <c r="G297" s="724">
        <f t="shared" si="13"/>
        <v>1.5723131103989015E-3</v>
      </c>
      <c r="H297" s="725">
        <f t="shared" si="14"/>
        <v>7.8769742204764178E-5</v>
      </c>
    </row>
    <row r="298" spans="1:8" ht="15.6">
      <c r="A298" s="3" t="s">
        <v>2604</v>
      </c>
      <c r="B298" s="3" t="s">
        <v>1889</v>
      </c>
      <c r="C298" s="721">
        <v>91464.91</v>
      </c>
      <c r="D298" s="722">
        <v>2.3E-2</v>
      </c>
      <c r="E298" s="723">
        <v>0.08</v>
      </c>
      <c r="F298" s="724">
        <f t="shared" si="12"/>
        <v>0.10392</v>
      </c>
      <c r="G298" s="724">
        <f t="shared" si="13"/>
        <v>2.7801148558690364E-3</v>
      </c>
      <c r="H298" s="725">
        <f t="shared" si="14"/>
        <v>2.8890953582191029E-4</v>
      </c>
    </row>
    <row r="299" spans="1:8" ht="15.6">
      <c r="A299" s="3" t="s">
        <v>2605</v>
      </c>
      <c r="B299" s="3" t="s">
        <v>1891</v>
      </c>
      <c r="C299" s="721">
        <v>102634.2</v>
      </c>
      <c r="D299" s="722">
        <v>3.78E-2</v>
      </c>
      <c r="E299" s="723">
        <v>7.4999999999999997E-2</v>
      </c>
      <c r="F299" s="724">
        <f t="shared" si="12"/>
        <v>0.1142175</v>
      </c>
      <c r="G299" s="724">
        <f t="shared" si="13"/>
        <v>3.119610177719891E-3</v>
      </c>
      <c r="H299" s="725">
        <f t="shared" si="14"/>
        <v>3.5631407547372166E-4</v>
      </c>
    </row>
    <row r="300" spans="1:8" ht="15.6">
      <c r="A300" s="3" t="s">
        <v>2606</v>
      </c>
      <c r="B300" s="3" t="s">
        <v>1893</v>
      </c>
      <c r="C300" s="721">
        <v>57349.91</v>
      </c>
      <c r="D300" s="722">
        <v>2.8300000000000002E-2</v>
      </c>
      <c r="E300" s="723">
        <v>0.05</v>
      </c>
      <c r="F300" s="724">
        <f t="shared" si="12"/>
        <v>7.9007500000000008E-2</v>
      </c>
      <c r="G300" s="724">
        <f t="shared" si="13"/>
        <v>1.74317491564527E-3</v>
      </c>
      <c r="H300" s="725">
        <f t="shared" si="14"/>
        <v>1.3772389214784369E-4</v>
      </c>
    </row>
    <row r="301" spans="1:8" ht="15.6">
      <c r="A301" s="3" t="s">
        <v>4093</v>
      </c>
      <c r="B301" s="3" t="s">
        <v>4311</v>
      </c>
      <c r="C301" s="721">
        <v>319160.40000000002</v>
      </c>
      <c r="D301" s="722">
        <v>0</v>
      </c>
      <c r="E301" s="723">
        <v>0.11</v>
      </c>
      <c r="F301" s="724">
        <f t="shared" si="12"/>
        <v>0.11</v>
      </c>
      <c r="G301" s="724">
        <f t="shared" si="13"/>
        <v>9.701016154119696E-3</v>
      </c>
      <c r="H301" s="725">
        <f t="shared" si="14"/>
        <v>1.0671117769531667E-3</v>
      </c>
    </row>
    <row r="302" spans="1:8" ht="15.6">
      <c r="A302" s="3" t="s">
        <v>2607</v>
      </c>
      <c r="B302" s="3" t="s">
        <v>2273</v>
      </c>
      <c r="C302" s="721">
        <v>13439.47</v>
      </c>
      <c r="D302" s="722">
        <v>2.9999999999999997E-4</v>
      </c>
      <c r="E302" s="723" t="s">
        <v>4148</v>
      </c>
      <c r="F302" s="724" t="str">
        <f t="shared" si="12"/>
        <v>N/A</v>
      </c>
      <c r="G302" s="724" t="str">
        <f t="shared" si="13"/>
        <v>N/A</v>
      </c>
      <c r="H302" s="725" t="str">
        <f t="shared" si="14"/>
        <v>N/A</v>
      </c>
    </row>
    <row r="303" spans="1:8" ht="15.6">
      <c r="A303" s="3" t="s">
        <v>2608</v>
      </c>
      <c r="B303" s="3" t="s">
        <v>1895</v>
      </c>
      <c r="C303" s="721">
        <v>6178.05</v>
      </c>
      <c r="D303" s="722">
        <v>0</v>
      </c>
      <c r="E303" s="723">
        <v>0.05</v>
      </c>
      <c r="F303" s="724">
        <f t="shared" si="12"/>
        <v>0.05</v>
      </c>
      <c r="G303" s="724">
        <f t="shared" si="13"/>
        <v>1.8778445838192701E-4</v>
      </c>
      <c r="H303" s="725">
        <f t="shared" si="14"/>
        <v>9.3892229190963505E-6</v>
      </c>
    </row>
    <row r="304" spans="1:8" ht="15.6">
      <c r="A304" s="3" t="s">
        <v>2609</v>
      </c>
      <c r="B304" s="3" t="s">
        <v>1897</v>
      </c>
      <c r="C304" s="721">
        <v>22596.44</v>
      </c>
      <c r="D304" s="722">
        <v>1.8500000000000003E-2</v>
      </c>
      <c r="E304" s="723">
        <v>0.05</v>
      </c>
      <c r="F304" s="724">
        <f t="shared" si="12"/>
        <v>6.896250000000001E-2</v>
      </c>
      <c r="G304" s="724">
        <f t="shared" si="13"/>
        <v>6.868284081157826E-4</v>
      </c>
      <c r="H304" s="725">
        <f t="shared" si="14"/>
        <v>4.7365404094684666E-5</v>
      </c>
    </row>
    <row r="305" spans="1:8" ht="15.6">
      <c r="A305" s="3" t="s">
        <v>2919</v>
      </c>
      <c r="B305" s="3" t="s">
        <v>2920</v>
      </c>
      <c r="C305" s="721">
        <v>10462.33</v>
      </c>
      <c r="D305" s="722">
        <v>1.01E-2</v>
      </c>
      <c r="E305" s="723">
        <v>0.1</v>
      </c>
      <c r="F305" s="724">
        <f t="shared" si="12"/>
        <v>0.11060500000000001</v>
      </c>
      <c r="G305" s="724">
        <f t="shared" si="13"/>
        <v>3.1800697185406182E-4</v>
      </c>
      <c r="H305" s="725">
        <f t="shared" si="14"/>
        <v>3.5173161121918511E-5</v>
      </c>
    </row>
    <row r="306" spans="1:8" ht="15.6">
      <c r="A306" s="3" t="s">
        <v>2610</v>
      </c>
      <c r="B306" s="3" t="s">
        <v>1899</v>
      </c>
      <c r="C306" s="721">
        <v>21246.27</v>
      </c>
      <c r="D306" s="722">
        <v>7.7000000000000002E-3</v>
      </c>
      <c r="E306" s="723">
        <v>4.4999999999999998E-2</v>
      </c>
      <c r="F306" s="724">
        <f t="shared" si="12"/>
        <v>5.2873249999999997E-2</v>
      </c>
      <c r="G306" s="724">
        <f t="shared" si="13"/>
        <v>6.4578941649649725E-4</v>
      </c>
      <c r="H306" s="725">
        <f t="shared" si="14"/>
        <v>3.4144985265773424E-5</v>
      </c>
    </row>
    <row r="307" spans="1:8" ht="15.6">
      <c r="A307" s="3" t="s">
        <v>2611</v>
      </c>
      <c r="B307" s="3" t="s">
        <v>1901</v>
      </c>
      <c r="C307" s="721">
        <v>83214.97</v>
      </c>
      <c r="D307" s="722">
        <v>1.44E-2</v>
      </c>
      <c r="E307" s="723">
        <v>0.11</v>
      </c>
      <c r="F307" s="724">
        <f t="shared" si="12"/>
        <v>0.125192</v>
      </c>
      <c r="G307" s="724">
        <f t="shared" si="13"/>
        <v>2.5293544193909574E-3</v>
      </c>
      <c r="H307" s="725">
        <f t="shared" si="14"/>
        <v>3.1665493847239271E-4</v>
      </c>
    </row>
    <row r="308" spans="1:8" ht="15.6">
      <c r="A308" s="3" t="s">
        <v>2612</v>
      </c>
      <c r="B308" s="3" t="s">
        <v>1903</v>
      </c>
      <c r="C308" s="721">
        <v>68241.66</v>
      </c>
      <c r="D308" s="722">
        <v>4.8300000000000003E-2</v>
      </c>
      <c r="E308" s="723">
        <v>0.06</v>
      </c>
      <c r="F308" s="724">
        <f t="shared" si="12"/>
        <v>0.109749</v>
      </c>
      <c r="G308" s="724">
        <f t="shared" si="13"/>
        <v>2.0742342911086206E-3</v>
      </c>
      <c r="H308" s="725">
        <f t="shared" si="14"/>
        <v>2.2764513921488E-4</v>
      </c>
    </row>
    <row r="309" spans="1:8" ht="15.6">
      <c r="A309" s="3" t="s">
        <v>2613</v>
      </c>
      <c r="B309" s="3" t="s">
        <v>1905</v>
      </c>
      <c r="C309" s="721">
        <v>53418.23</v>
      </c>
      <c r="D309" s="722">
        <v>0</v>
      </c>
      <c r="E309" s="723">
        <v>0.105</v>
      </c>
      <c r="F309" s="724">
        <f t="shared" si="12"/>
        <v>0.105</v>
      </c>
      <c r="G309" s="724">
        <f t="shared" si="13"/>
        <v>1.62366982919711E-3</v>
      </c>
      <c r="H309" s="725">
        <f t="shared" si="14"/>
        <v>1.7048533206569653E-4</v>
      </c>
    </row>
    <row r="310" spans="1:8" ht="15.6">
      <c r="A310" s="3" t="s">
        <v>2614</v>
      </c>
      <c r="B310" s="3" t="s">
        <v>1907</v>
      </c>
      <c r="C310" s="721">
        <v>81780.02</v>
      </c>
      <c r="D310" s="722">
        <v>8.2500000000000004E-2</v>
      </c>
      <c r="E310" s="723">
        <v>0.06</v>
      </c>
      <c r="F310" s="724">
        <f t="shared" si="12"/>
        <v>0.14497500000000002</v>
      </c>
      <c r="G310" s="724">
        <f t="shared" si="13"/>
        <v>2.4857385035995435E-3</v>
      </c>
      <c r="H310" s="725">
        <f t="shared" si="14"/>
        <v>3.6036993955934388E-4</v>
      </c>
    </row>
    <row r="311" spans="1:8" ht="15.6">
      <c r="A311" s="3" t="s">
        <v>4313</v>
      </c>
      <c r="B311" s="3" t="s">
        <v>4314</v>
      </c>
      <c r="C311" s="721">
        <v>19358.66</v>
      </c>
      <c r="D311" s="722">
        <v>0</v>
      </c>
      <c r="E311" s="723">
        <v>0.11</v>
      </c>
      <c r="F311" s="724">
        <f t="shared" si="12"/>
        <v>0.11</v>
      </c>
      <c r="G311" s="724">
        <f t="shared" si="13"/>
        <v>5.8841470740765697E-4</v>
      </c>
      <c r="H311" s="725">
        <f t="shared" si="14"/>
        <v>6.4725617814842269E-5</v>
      </c>
    </row>
    <row r="312" spans="1:8" ht="15.6">
      <c r="A312" s="3" t="s">
        <v>2615</v>
      </c>
      <c r="B312" s="3" t="s">
        <v>1909</v>
      </c>
      <c r="C312" s="721">
        <v>15609.04</v>
      </c>
      <c r="D312" s="722">
        <v>1.7500000000000002E-2</v>
      </c>
      <c r="E312" s="723">
        <v>0.375</v>
      </c>
      <c r="F312" s="724">
        <f t="shared" si="12"/>
        <v>0.39578124999999997</v>
      </c>
      <c r="G312" s="724">
        <f t="shared" si="13"/>
        <v>4.7444341212224476E-4</v>
      </c>
      <c r="H312" s="725">
        <f t="shared" si="14"/>
        <v>1.8777580670400717E-4</v>
      </c>
    </row>
    <row r="313" spans="1:8" ht="15.6">
      <c r="A313" s="3" t="s">
        <v>2616</v>
      </c>
      <c r="B313" s="3" t="s">
        <v>1911</v>
      </c>
      <c r="C313" s="721">
        <v>53723.95</v>
      </c>
      <c r="D313" s="722">
        <v>2.6200000000000001E-2</v>
      </c>
      <c r="E313" s="723" t="s">
        <v>4148</v>
      </c>
      <c r="F313" s="724" t="str">
        <f t="shared" si="12"/>
        <v>N/A</v>
      </c>
      <c r="G313" s="724" t="str">
        <f t="shared" si="13"/>
        <v>N/A</v>
      </c>
      <c r="H313" s="725" t="str">
        <f t="shared" si="14"/>
        <v>N/A</v>
      </c>
    </row>
    <row r="314" spans="1:8" ht="15.6">
      <c r="A314" s="3" t="s">
        <v>3946</v>
      </c>
      <c r="B314" s="3" t="s">
        <v>3947</v>
      </c>
      <c r="C314" s="721">
        <v>17227.349999999999</v>
      </c>
      <c r="D314" s="722">
        <v>8.199999999999999E-3</v>
      </c>
      <c r="E314" s="723">
        <v>0.23499999999999999</v>
      </c>
      <c r="F314" s="724">
        <f t="shared" si="12"/>
        <v>0.24416349999999998</v>
      </c>
      <c r="G314" s="724">
        <f t="shared" si="13"/>
        <v>5.236326331295296E-4</v>
      </c>
      <c r="H314" s="725">
        <f t="shared" si="14"/>
        <v>1.2785197641912189E-4</v>
      </c>
    </row>
    <row r="315" spans="1:8" ht="15.6">
      <c r="A315" s="3" t="s">
        <v>2617</v>
      </c>
      <c r="B315" s="3" t="s">
        <v>1308</v>
      </c>
      <c r="C315" s="721">
        <v>281486.8</v>
      </c>
      <c r="D315" s="722">
        <v>2.63E-2</v>
      </c>
      <c r="E315" s="723">
        <v>0.08</v>
      </c>
      <c r="F315" s="724">
        <f t="shared" si="12"/>
        <v>0.107352</v>
      </c>
      <c r="G315" s="724">
        <f t="shared" si="13"/>
        <v>8.5559110527855566E-3</v>
      </c>
      <c r="H315" s="725">
        <f t="shared" si="14"/>
        <v>9.184941633386351E-4</v>
      </c>
    </row>
    <row r="316" spans="1:8" ht="15.6">
      <c r="A316" s="3" t="s">
        <v>3995</v>
      </c>
      <c r="B316" s="3" t="s">
        <v>3996</v>
      </c>
      <c r="C316" s="721">
        <v>81285.48</v>
      </c>
      <c r="D316" s="722">
        <v>0</v>
      </c>
      <c r="E316" s="723">
        <v>-2.5000000000000001E-2</v>
      </c>
      <c r="F316" s="724">
        <f t="shared" si="12"/>
        <v>-2.5000000000000001E-2</v>
      </c>
      <c r="G316" s="724">
        <f t="shared" si="13"/>
        <v>2.4707067498830472E-3</v>
      </c>
      <c r="H316" s="725">
        <f t="shared" si="14"/>
        <v>-6.1767668747076182E-5</v>
      </c>
    </row>
    <row r="317" spans="1:8" ht="15.6">
      <c r="A317" s="3" t="s">
        <v>2618</v>
      </c>
      <c r="B317" s="3" t="s">
        <v>1914</v>
      </c>
      <c r="C317" s="721">
        <v>17836.82</v>
      </c>
      <c r="D317" s="722">
        <v>1.3000000000000001E-2</v>
      </c>
      <c r="E317" s="723">
        <v>0.59</v>
      </c>
      <c r="F317" s="724">
        <f t="shared" si="12"/>
        <v>0.60683500000000001</v>
      </c>
      <c r="G317" s="724">
        <f t="shared" si="13"/>
        <v>5.4215773309635297E-4</v>
      </c>
      <c r="H317" s="725">
        <f t="shared" si="14"/>
        <v>3.2900028796352534E-4</v>
      </c>
    </row>
    <row r="318" spans="1:8" ht="15.6">
      <c r="A318" s="3" t="s">
        <v>2619</v>
      </c>
      <c r="B318" s="3" t="s">
        <v>1916</v>
      </c>
      <c r="C318" s="721">
        <v>147162.20000000001</v>
      </c>
      <c r="D318" s="722">
        <v>3.5699999999999996E-2</v>
      </c>
      <c r="E318" s="723">
        <v>8.5000000000000006E-2</v>
      </c>
      <c r="F318" s="724">
        <f t="shared" si="12"/>
        <v>0.12221725</v>
      </c>
      <c r="G318" s="724">
        <f t="shared" si="13"/>
        <v>4.4730576834588294E-3</v>
      </c>
      <c r="H318" s="725">
        <f t="shared" si="14"/>
        <v>5.4668480916370856E-4</v>
      </c>
    </row>
    <row r="319" spans="1:8" ht="15.6">
      <c r="A319" s="3" t="s">
        <v>2620</v>
      </c>
      <c r="B319" s="3" t="s">
        <v>2324</v>
      </c>
      <c r="C319" s="721">
        <v>37845.949999999997</v>
      </c>
      <c r="D319" s="722">
        <v>1.06E-2</v>
      </c>
      <c r="E319" s="723">
        <v>0.14499999999999999</v>
      </c>
      <c r="F319" s="724">
        <f t="shared" si="12"/>
        <v>0.15636849999999999</v>
      </c>
      <c r="G319" s="724">
        <f t="shared" si="13"/>
        <v>1.1503437529154815E-3</v>
      </c>
      <c r="H319" s="725">
        <f t="shared" si="14"/>
        <v>1.7987752712776448E-4</v>
      </c>
    </row>
    <row r="320" spans="1:8" ht="15.6">
      <c r="A320" s="3" t="s">
        <v>2621</v>
      </c>
      <c r="B320" s="3" t="s">
        <v>1918</v>
      </c>
      <c r="C320" s="721">
        <v>1822715</v>
      </c>
      <c r="D320" s="722">
        <v>1.1200000000000002E-2</v>
      </c>
      <c r="E320" s="723">
        <v>0.15</v>
      </c>
      <c r="F320" s="724">
        <f t="shared" si="12"/>
        <v>0.16203999999999999</v>
      </c>
      <c r="G320" s="724">
        <f t="shared" si="13"/>
        <v>5.5402197952365895E-2</v>
      </c>
      <c r="H320" s="725">
        <f t="shared" si="14"/>
        <v>8.9773721562013686E-3</v>
      </c>
    </row>
    <row r="321" spans="1:8" ht="15.6">
      <c r="A321" s="3" t="s">
        <v>2622</v>
      </c>
      <c r="B321" s="3" t="s">
        <v>1920</v>
      </c>
      <c r="C321" s="721">
        <v>43131.25</v>
      </c>
      <c r="D321" s="722">
        <v>1.37E-2</v>
      </c>
      <c r="E321" s="723">
        <v>0.105</v>
      </c>
      <c r="F321" s="724">
        <f t="shared" si="12"/>
        <v>0.11941924999999999</v>
      </c>
      <c r="G321" s="724">
        <f t="shared" si="13"/>
        <v>1.3109926952008303E-3</v>
      </c>
      <c r="H321" s="725">
        <f t="shared" si="14"/>
        <v>1.5655776441636174E-4</v>
      </c>
    </row>
    <row r="322" spans="1:8" ht="15.6">
      <c r="A322" s="3" t="s">
        <v>2623</v>
      </c>
      <c r="B322" s="3" t="s">
        <v>1922</v>
      </c>
      <c r="C322" s="721">
        <v>24297.4</v>
      </c>
      <c r="D322" s="722">
        <v>3.5699999999999996E-2</v>
      </c>
      <c r="E322" s="723">
        <v>0.09</v>
      </c>
      <c r="F322" s="724">
        <f t="shared" si="12"/>
        <v>0.12730649999999999</v>
      </c>
      <c r="G322" s="724">
        <f t="shared" si="13"/>
        <v>7.385298110389255E-4</v>
      </c>
      <c r="H322" s="725">
        <f t="shared" si="14"/>
        <v>9.4019645389026966E-5</v>
      </c>
    </row>
    <row r="323" spans="1:8" ht="15.6">
      <c r="A323" s="3" t="s">
        <v>4087</v>
      </c>
      <c r="B323" s="3" t="s">
        <v>4088</v>
      </c>
      <c r="C323" s="721">
        <v>11369.37</v>
      </c>
      <c r="D323" s="722">
        <v>0</v>
      </c>
      <c r="E323" s="723">
        <v>0.21</v>
      </c>
      <c r="F323" s="724">
        <f t="shared" si="12"/>
        <v>0.21</v>
      </c>
      <c r="G323" s="724">
        <f t="shared" si="13"/>
        <v>3.4557683858073821E-4</v>
      </c>
      <c r="H323" s="725">
        <f t="shared" si="14"/>
        <v>7.2571136101955017E-5</v>
      </c>
    </row>
    <row r="324" spans="1:8" ht="15.6">
      <c r="A324" s="3" t="s">
        <v>2624</v>
      </c>
      <c r="B324" s="3" t="s">
        <v>1924</v>
      </c>
      <c r="C324" s="721">
        <v>32192.98</v>
      </c>
      <c r="D324" s="722">
        <v>0</v>
      </c>
      <c r="E324" s="723">
        <v>0.13500000000000001</v>
      </c>
      <c r="F324" s="724">
        <f t="shared" ref="F324:F387" si="15">IFERROR(D324*(1+0.5*E324)+E324,"N/A")</f>
        <v>0.13500000000000001</v>
      </c>
      <c r="G324" s="724">
        <f t="shared" ref="G324:G387" si="16">IF(F324="N/A","N/A",C324/$C$504)</f>
        <v>9.7851932454418597E-4</v>
      </c>
      <c r="H324" s="725">
        <f t="shared" si="14"/>
        <v>1.3210010881346511E-4</v>
      </c>
    </row>
    <row r="325" spans="1:8" ht="15.6">
      <c r="A325" s="3" t="s">
        <v>2625</v>
      </c>
      <c r="B325" s="3" t="s">
        <v>1926</v>
      </c>
      <c r="C325" s="721">
        <v>55652.13</v>
      </c>
      <c r="D325" s="722">
        <v>9.0000000000000011E-3</v>
      </c>
      <c r="E325" s="723">
        <v>0.13</v>
      </c>
      <c r="F325" s="724">
        <f t="shared" si="15"/>
        <v>0.13958500000000001</v>
      </c>
      <c r="G325" s="724">
        <f t="shared" si="16"/>
        <v>1.691570170175151E-3</v>
      </c>
      <c r="H325" s="725">
        <f t="shared" ref="H325:H388" si="17">IF(ISNUMBER(G325),F325*G325,"N/A")</f>
        <v>2.3611782220389849E-4</v>
      </c>
    </row>
    <row r="326" spans="1:8" ht="15.6">
      <c r="A326" s="3" t="s">
        <v>2626</v>
      </c>
      <c r="B326" s="3" t="s">
        <v>2289</v>
      </c>
      <c r="C326" s="721">
        <v>5794.15</v>
      </c>
      <c r="D326" s="722">
        <v>0</v>
      </c>
      <c r="E326" s="723" t="s">
        <v>4148</v>
      </c>
      <c r="F326" s="724" t="str">
        <f t="shared" si="15"/>
        <v>N/A</v>
      </c>
      <c r="G326" s="724" t="str">
        <f t="shared" si="16"/>
        <v>N/A</v>
      </c>
      <c r="H326" s="725" t="str">
        <f t="shared" si="17"/>
        <v>N/A</v>
      </c>
    </row>
    <row r="327" spans="1:8" ht="15.6">
      <c r="A327" s="3" t="s">
        <v>2627</v>
      </c>
      <c r="B327" s="3" t="s">
        <v>1928</v>
      </c>
      <c r="C327" s="721">
        <v>30215.8</v>
      </c>
      <c r="D327" s="722">
        <v>1.3000000000000001E-2</v>
      </c>
      <c r="E327" s="723">
        <v>0.08</v>
      </c>
      <c r="F327" s="724">
        <f t="shared" si="15"/>
        <v>9.3520000000000006E-2</v>
      </c>
      <c r="G327" s="724">
        <f t="shared" si="16"/>
        <v>9.1842209719517163E-4</v>
      </c>
      <c r="H327" s="725">
        <f t="shared" si="17"/>
        <v>8.5890834529692454E-5</v>
      </c>
    </row>
    <row r="328" spans="1:8" ht="15.6">
      <c r="A328" s="3" t="s">
        <v>4316</v>
      </c>
      <c r="B328" s="3" t="s">
        <v>4317</v>
      </c>
      <c r="C328" s="721">
        <v>13603.84</v>
      </c>
      <c r="D328" s="722">
        <v>1.11E-2</v>
      </c>
      <c r="E328" s="723">
        <v>0.12</v>
      </c>
      <c r="F328" s="724">
        <f t="shared" si="15"/>
        <v>0.13176599999999999</v>
      </c>
      <c r="G328" s="724">
        <f t="shared" si="16"/>
        <v>4.1349450495130243E-4</v>
      </c>
      <c r="H328" s="725">
        <f t="shared" si="17"/>
        <v>5.4484516939413315E-5</v>
      </c>
    </row>
    <row r="329" spans="1:8" ht="15.6">
      <c r="A329" s="3" t="s">
        <v>2628</v>
      </c>
      <c r="B329" s="3" t="s">
        <v>201</v>
      </c>
      <c r="C329" s="721">
        <v>168199.5</v>
      </c>
      <c r="D329" s="722">
        <v>2.1600000000000001E-2</v>
      </c>
      <c r="E329" s="723">
        <v>0.105</v>
      </c>
      <c r="F329" s="724">
        <f t="shared" si="15"/>
        <v>0.12773399999999999</v>
      </c>
      <c r="G329" s="724">
        <f t="shared" si="16"/>
        <v>5.112495367892933E-3</v>
      </c>
      <c r="H329" s="725">
        <f t="shared" si="17"/>
        <v>6.5303948332243579E-4</v>
      </c>
    </row>
    <row r="330" spans="1:8" ht="15.6">
      <c r="A330" s="3" t="s">
        <v>3001</v>
      </c>
      <c r="B330" s="3" t="s">
        <v>1931</v>
      </c>
      <c r="C330" s="721">
        <v>37524.76</v>
      </c>
      <c r="D330" s="722">
        <v>4.6500000000000007E-2</v>
      </c>
      <c r="E330" s="723">
        <v>9.5000000000000001E-2</v>
      </c>
      <c r="F330" s="724">
        <f t="shared" si="15"/>
        <v>0.14370875</v>
      </c>
      <c r="G330" s="724">
        <f t="shared" si="16"/>
        <v>1.1405810462058092E-3</v>
      </c>
      <c r="H330" s="725">
        <f t="shared" si="17"/>
        <v>1.6391147642392907E-4</v>
      </c>
    </row>
    <row r="331" spans="1:8" ht="15.6">
      <c r="A331" s="3" t="s">
        <v>2629</v>
      </c>
      <c r="B331" s="3" t="s">
        <v>1933</v>
      </c>
      <c r="C331" s="721">
        <v>132598.20000000001</v>
      </c>
      <c r="D331" s="722">
        <v>0</v>
      </c>
      <c r="E331" s="723">
        <v>0.14499999999999999</v>
      </c>
      <c r="F331" s="724">
        <f t="shared" si="15"/>
        <v>0.14499999999999999</v>
      </c>
      <c r="G331" s="724">
        <f t="shared" si="16"/>
        <v>4.030378706779394E-3</v>
      </c>
      <c r="H331" s="725">
        <f t="shared" si="17"/>
        <v>5.8440491248301207E-4</v>
      </c>
    </row>
    <row r="332" spans="1:8" ht="15.6">
      <c r="A332" s="3" t="s">
        <v>2630</v>
      </c>
      <c r="B332" s="3" t="s">
        <v>214</v>
      </c>
      <c r="C332" s="721">
        <v>11186.68</v>
      </c>
      <c r="D332" s="722">
        <v>3.5200000000000002E-2</v>
      </c>
      <c r="E332" s="723">
        <v>0.08</v>
      </c>
      <c r="F332" s="724">
        <f t="shared" si="15"/>
        <v>0.116608</v>
      </c>
      <c r="G332" s="724">
        <f t="shared" si="16"/>
        <v>3.4002389829993856E-4</v>
      </c>
      <c r="H332" s="725">
        <f t="shared" si="17"/>
        <v>3.9649506732959236E-5</v>
      </c>
    </row>
    <row r="333" spans="1:8" ht="15.6">
      <c r="A333" s="3" t="s">
        <v>2631</v>
      </c>
      <c r="B333" s="3" t="s">
        <v>1936</v>
      </c>
      <c r="C333" s="721">
        <v>181079.9</v>
      </c>
      <c r="D333" s="722">
        <v>1.18E-2</v>
      </c>
      <c r="E333" s="723">
        <v>0.23499999999999999</v>
      </c>
      <c r="F333" s="724">
        <f t="shared" si="15"/>
        <v>0.24818649999999998</v>
      </c>
      <c r="G333" s="724">
        <f t="shared" si="16"/>
        <v>5.5040006062355446E-3</v>
      </c>
      <c r="H333" s="725">
        <f t="shared" si="17"/>
        <v>1.3660186464594778E-3</v>
      </c>
    </row>
    <row r="334" spans="1:8" ht="15.6">
      <c r="A334" s="3" t="s">
        <v>2632</v>
      </c>
      <c r="B334" s="3" t="s">
        <v>1938</v>
      </c>
      <c r="C334" s="721">
        <v>83024.31</v>
      </c>
      <c r="D334" s="722">
        <v>1.2800000000000001E-2</v>
      </c>
      <c r="E334" s="723">
        <v>6.5000000000000002E-2</v>
      </c>
      <c r="F334" s="724">
        <f t="shared" si="15"/>
        <v>7.8216000000000008E-2</v>
      </c>
      <c r="G334" s="724">
        <f t="shared" si="16"/>
        <v>2.5235592275690884E-3</v>
      </c>
      <c r="H334" s="725">
        <f t="shared" si="17"/>
        <v>1.9738270854354384E-4</v>
      </c>
    </row>
    <row r="335" spans="1:8" ht="15.6">
      <c r="A335" s="3" t="s">
        <v>2964</v>
      </c>
      <c r="B335" s="3" t="s">
        <v>2965</v>
      </c>
      <c r="C335" s="721">
        <v>79308.86</v>
      </c>
      <c r="D335" s="722">
        <v>0</v>
      </c>
      <c r="E335" s="723">
        <v>0.45500000000000002</v>
      </c>
      <c r="F335" s="724">
        <f t="shared" si="15"/>
        <v>0.45500000000000002</v>
      </c>
      <c r="G335" s="724">
        <f t="shared" si="16"/>
        <v>2.4106265439723011E-3</v>
      </c>
      <c r="H335" s="725">
        <f t="shared" si="17"/>
        <v>1.096835077507397E-3</v>
      </c>
    </row>
    <row r="336" spans="1:8" ht="15.6">
      <c r="A336" s="3" t="s">
        <v>2633</v>
      </c>
      <c r="B336" s="3" t="s">
        <v>1449</v>
      </c>
      <c r="C336" s="721">
        <v>7525.49</v>
      </c>
      <c r="D336" s="722">
        <v>4.3200000000000002E-2</v>
      </c>
      <c r="E336" s="723">
        <v>-0.105</v>
      </c>
      <c r="F336" s="724">
        <f t="shared" si="15"/>
        <v>-6.4067999999999986E-2</v>
      </c>
      <c r="G336" s="724">
        <f t="shared" si="16"/>
        <v>2.2874047048965416E-4</v>
      </c>
      <c r="H336" s="725">
        <f t="shared" si="17"/>
        <v>-1.465494446333116E-5</v>
      </c>
    </row>
    <row r="337" spans="1:8" ht="15.6">
      <c r="A337" s="3" t="s">
        <v>2634</v>
      </c>
      <c r="B337" s="3" t="s">
        <v>1941</v>
      </c>
      <c r="C337" s="721">
        <v>57114.51</v>
      </c>
      <c r="D337" s="722">
        <v>2.0099999999999996E-2</v>
      </c>
      <c r="E337" s="723">
        <v>0.105</v>
      </c>
      <c r="F337" s="724">
        <f t="shared" si="15"/>
        <v>0.12615525</v>
      </c>
      <c r="G337" s="724">
        <f t="shared" si="16"/>
        <v>1.7360198324874604E-3</v>
      </c>
      <c r="H337" s="725">
        <f t="shared" si="17"/>
        <v>2.1900801597241369E-4</v>
      </c>
    </row>
    <row r="338" spans="1:8" ht="15.6">
      <c r="A338" s="3" t="s">
        <v>2635</v>
      </c>
      <c r="B338" s="3" t="s">
        <v>1943</v>
      </c>
      <c r="C338" s="721">
        <v>13030.85</v>
      </c>
      <c r="D338" s="722">
        <v>3.3300000000000003E-2</v>
      </c>
      <c r="E338" s="723">
        <v>8.5000000000000006E-2</v>
      </c>
      <c r="F338" s="724">
        <f t="shared" si="15"/>
        <v>0.11971525000000001</v>
      </c>
      <c r="G338" s="724">
        <f t="shared" si="16"/>
        <v>3.9607823010596121E-4</v>
      </c>
      <c r="H338" s="725">
        <f t="shared" si="17"/>
        <v>4.7416604336692676E-5</v>
      </c>
    </row>
    <row r="339" spans="1:8" ht="15.6">
      <c r="A339" s="3" t="s">
        <v>2636</v>
      </c>
      <c r="B339" s="3" t="s">
        <v>1945</v>
      </c>
      <c r="C339" s="721">
        <v>18538.599999999999</v>
      </c>
      <c r="D339" s="722">
        <v>3.3700000000000001E-2</v>
      </c>
      <c r="E339" s="723">
        <v>0.08</v>
      </c>
      <c r="F339" s="724">
        <f t="shared" si="15"/>
        <v>0.11504800000000001</v>
      </c>
      <c r="G339" s="724">
        <f t="shared" si="16"/>
        <v>5.6348863478916352E-4</v>
      </c>
      <c r="H339" s="725">
        <f t="shared" si="17"/>
        <v>6.4828240455223695E-5</v>
      </c>
    </row>
    <row r="340" spans="1:8" ht="15.6">
      <c r="A340" s="3" t="s">
        <v>2637</v>
      </c>
      <c r="B340" s="3" t="s">
        <v>1947</v>
      </c>
      <c r="C340" s="721">
        <v>35262.11</v>
      </c>
      <c r="D340" s="722">
        <v>1.4999999999999999E-2</v>
      </c>
      <c r="E340" s="723">
        <v>2.5000000000000001E-2</v>
      </c>
      <c r="F340" s="724">
        <f t="shared" si="15"/>
        <v>4.0187500000000001E-2</v>
      </c>
      <c r="G340" s="724">
        <f t="shared" si="16"/>
        <v>1.0718068367452404E-3</v>
      </c>
      <c r="H340" s="725">
        <f t="shared" si="17"/>
        <v>4.3073237251699351E-5</v>
      </c>
    </row>
    <row r="341" spans="1:8" ht="15.6">
      <c r="A341" s="3" t="s">
        <v>2638</v>
      </c>
      <c r="B341" s="3" t="s">
        <v>1949</v>
      </c>
      <c r="C341" s="721">
        <v>407244.7</v>
      </c>
      <c r="D341" s="722">
        <v>1E-3</v>
      </c>
      <c r="E341" s="723">
        <v>0.22</v>
      </c>
      <c r="F341" s="724">
        <f t="shared" si="15"/>
        <v>0.22111</v>
      </c>
      <c r="G341" s="724">
        <f t="shared" si="16"/>
        <v>1.2378375930659408E-2</v>
      </c>
      <c r="H341" s="725">
        <f t="shared" si="17"/>
        <v>2.7369827020281017E-3</v>
      </c>
    </row>
    <row r="342" spans="1:8" ht="15.6">
      <c r="A342" s="3" t="s">
        <v>2922</v>
      </c>
      <c r="B342" s="3" t="s">
        <v>2923</v>
      </c>
      <c r="C342" s="721">
        <v>15112.33</v>
      </c>
      <c r="D342" s="722">
        <v>0</v>
      </c>
      <c r="E342" s="723">
        <v>5.5E-2</v>
      </c>
      <c r="F342" s="724">
        <f t="shared" si="15"/>
        <v>5.5E-2</v>
      </c>
      <c r="G342" s="724">
        <f t="shared" si="16"/>
        <v>4.593457003324588E-4</v>
      </c>
      <c r="H342" s="725">
        <f t="shared" si="17"/>
        <v>2.5264013518285233E-5</v>
      </c>
    </row>
    <row r="343" spans="1:8" ht="15.6">
      <c r="A343" s="3" t="s">
        <v>2640</v>
      </c>
      <c r="B343" s="3" t="s">
        <v>1950</v>
      </c>
      <c r="C343" s="721">
        <v>5331.3</v>
      </c>
      <c r="D343" s="722">
        <v>7.1399999999999991E-2</v>
      </c>
      <c r="E343" s="723" t="s">
        <v>4148</v>
      </c>
      <c r="F343" s="724" t="str">
        <f t="shared" si="15"/>
        <v>N/A</v>
      </c>
      <c r="G343" s="724" t="str">
        <f t="shared" si="16"/>
        <v>N/A</v>
      </c>
      <c r="H343" s="725" t="str">
        <f t="shared" si="17"/>
        <v>N/A</v>
      </c>
    </row>
    <row r="344" spans="1:8" ht="15.6">
      <c r="A344" s="3" t="s">
        <v>2641</v>
      </c>
      <c r="B344" s="3" t="s">
        <v>3998</v>
      </c>
      <c r="C344" s="721">
        <v>10260.530000000001</v>
      </c>
      <c r="D344" s="722">
        <v>1.1299999999999999E-2</v>
      </c>
      <c r="E344" s="723" t="s">
        <v>4148</v>
      </c>
      <c r="F344" s="724" t="str">
        <f t="shared" si="15"/>
        <v>N/A</v>
      </c>
      <c r="G344" s="724" t="str">
        <f t="shared" si="16"/>
        <v>N/A</v>
      </c>
      <c r="H344" s="725" t="str">
        <f t="shared" si="17"/>
        <v>N/A</v>
      </c>
    </row>
    <row r="345" spans="1:8" ht="15.6">
      <c r="A345" s="3" t="s">
        <v>4000</v>
      </c>
      <c r="B345" s="3" t="s">
        <v>4001</v>
      </c>
      <c r="C345" s="721">
        <v>43300.78</v>
      </c>
      <c r="D345" s="722">
        <v>2.07E-2</v>
      </c>
      <c r="E345" s="723">
        <v>0.12</v>
      </c>
      <c r="F345" s="724">
        <f t="shared" si="15"/>
        <v>0.14194199999999998</v>
      </c>
      <c r="G345" s="724">
        <f t="shared" si="16"/>
        <v>1.3161456316823233E-3</v>
      </c>
      <c r="H345" s="725">
        <f t="shared" si="17"/>
        <v>1.8681634325225233E-4</v>
      </c>
    </row>
    <row r="346" spans="1:8" ht="15.6">
      <c r="A346" s="3" t="s">
        <v>2642</v>
      </c>
      <c r="B346" s="3" t="s">
        <v>1952</v>
      </c>
      <c r="C346" s="721">
        <v>37982.67</v>
      </c>
      <c r="D346" s="722">
        <v>4.8600000000000004E-2</v>
      </c>
      <c r="E346" s="723">
        <v>0.06</v>
      </c>
      <c r="F346" s="724">
        <f t="shared" si="15"/>
        <v>0.110058</v>
      </c>
      <c r="G346" s="724">
        <f t="shared" si="16"/>
        <v>1.1544994154870012E-3</v>
      </c>
      <c r="H346" s="725">
        <f t="shared" si="17"/>
        <v>1.2706189666966837E-4</v>
      </c>
    </row>
    <row r="347" spans="1:8" ht="15.6">
      <c r="A347" s="3" t="s">
        <v>2967</v>
      </c>
      <c r="B347" s="3" t="s">
        <v>2968</v>
      </c>
      <c r="C347" s="721">
        <v>31878.48</v>
      </c>
      <c r="D347" s="722">
        <v>4.5000000000000005E-3</v>
      </c>
      <c r="E347" s="723">
        <v>0.105</v>
      </c>
      <c r="F347" s="724">
        <f t="shared" si="15"/>
        <v>0.10973624999999999</v>
      </c>
      <c r="G347" s="724">
        <f t="shared" si="16"/>
        <v>9.6895996323096974E-4</v>
      </c>
      <c r="H347" s="725">
        <f t="shared" si="17"/>
        <v>1.0633003276510449E-4</v>
      </c>
    </row>
    <row r="348" spans="1:8" ht="15.6">
      <c r="A348" s="3" t="s">
        <v>4003</v>
      </c>
      <c r="B348" s="3" t="s">
        <v>4004</v>
      </c>
      <c r="C348" s="721">
        <v>7068.78</v>
      </c>
      <c r="D348" s="722">
        <v>4.0300000000000002E-2</v>
      </c>
      <c r="E348" s="723" t="s">
        <v>4148</v>
      </c>
      <c r="F348" s="724" t="str">
        <f t="shared" si="15"/>
        <v>N/A</v>
      </c>
      <c r="G348" s="724" t="str">
        <f t="shared" si="16"/>
        <v>N/A</v>
      </c>
      <c r="H348" s="725" t="str">
        <f t="shared" si="17"/>
        <v>N/A</v>
      </c>
    </row>
    <row r="349" spans="1:8" ht="15.6">
      <c r="A349" s="3" t="s">
        <v>2643</v>
      </c>
      <c r="B349" s="3" t="s">
        <v>1954</v>
      </c>
      <c r="C349" s="721">
        <v>29056.09</v>
      </c>
      <c r="D349" s="722">
        <v>6.2300000000000001E-2</v>
      </c>
      <c r="E349" s="723">
        <v>0.115</v>
      </c>
      <c r="F349" s="724">
        <f t="shared" si="15"/>
        <v>0.18088225000000002</v>
      </c>
      <c r="G349" s="724">
        <f t="shared" si="16"/>
        <v>8.831722183126595E-4</v>
      </c>
      <c r="H349" s="725">
        <f t="shared" si="17"/>
        <v>1.5975017798588507E-4</v>
      </c>
    </row>
    <row r="350" spans="1:8" ht="15.6">
      <c r="A350" s="3" t="s">
        <v>2644</v>
      </c>
      <c r="B350" s="3" t="s">
        <v>1956</v>
      </c>
      <c r="C350" s="721">
        <v>16062.46</v>
      </c>
      <c r="D350" s="722">
        <v>3.6799999999999999E-2</v>
      </c>
      <c r="E350" s="723">
        <v>6.5000000000000002E-2</v>
      </c>
      <c r="F350" s="724">
        <f t="shared" si="15"/>
        <v>0.102996</v>
      </c>
      <c r="G350" s="724">
        <f t="shared" si="16"/>
        <v>4.8822530594303497E-4</v>
      </c>
      <c r="H350" s="725">
        <f t="shared" si="17"/>
        <v>5.0285253610908835E-5</v>
      </c>
    </row>
    <row r="351" spans="1:8" ht="15.6">
      <c r="A351" s="3" t="s">
        <v>4319</v>
      </c>
      <c r="B351" s="3" t="s">
        <v>4320</v>
      </c>
      <c r="C351" s="721">
        <v>28123.75</v>
      </c>
      <c r="D351" s="722">
        <v>0</v>
      </c>
      <c r="E351" s="723">
        <v>0.185</v>
      </c>
      <c r="F351" s="724">
        <f t="shared" si="15"/>
        <v>0.185</v>
      </c>
      <c r="G351" s="724">
        <f t="shared" si="16"/>
        <v>8.5483334732135868E-4</v>
      </c>
      <c r="H351" s="725">
        <f t="shared" si="17"/>
        <v>1.5814416925445137E-4</v>
      </c>
    </row>
    <row r="352" spans="1:8" ht="15.6">
      <c r="A352" s="3" t="s">
        <v>2645</v>
      </c>
      <c r="B352" s="3" t="s">
        <v>1958</v>
      </c>
      <c r="C352" s="721">
        <v>219642.5</v>
      </c>
      <c r="D352" s="722">
        <v>1.5700000000000002E-2</v>
      </c>
      <c r="E352" s="723">
        <v>0.1</v>
      </c>
      <c r="F352" s="724">
        <f t="shared" si="15"/>
        <v>0.11648500000000001</v>
      </c>
      <c r="G352" s="724">
        <f t="shared" si="16"/>
        <v>6.6761272408207128E-3</v>
      </c>
      <c r="H352" s="725">
        <f t="shared" si="17"/>
        <v>7.776686816470008E-4</v>
      </c>
    </row>
    <row r="353" spans="1:8" ht="15.6">
      <c r="A353" s="3" t="s">
        <v>2646</v>
      </c>
      <c r="B353" s="3" t="s">
        <v>1960</v>
      </c>
      <c r="C353" s="721">
        <v>52350.5</v>
      </c>
      <c r="D353" s="722">
        <v>0</v>
      </c>
      <c r="E353" s="723">
        <v>0.13</v>
      </c>
      <c r="F353" s="724">
        <f t="shared" si="15"/>
        <v>0.13</v>
      </c>
      <c r="G353" s="724">
        <f t="shared" si="16"/>
        <v>1.5912157215501768E-3</v>
      </c>
      <c r="H353" s="725">
        <f t="shared" si="17"/>
        <v>2.0685804380152299E-4</v>
      </c>
    </row>
    <row r="354" spans="1:8" ht="15.6">
      <c r="A354" s="3" t="s">
        <v>3003</v>
      </c>
      <c r="B354" s="3" t="s">
        <v>3004</v>
      </c>
      <c r="C354" s="721">
        <v>32923.9</v>
      </c>
      <c r="D354" s="722">
        <v>1.47E-2</v>
      </c>
      <c r="E354" s="723" t="s">
        <v>4148</v>
      </c>
      <c r="F354" s="724" t="str">
        <f t="shared" si="15"/>
        <v>N/A</v>
      </c>
      <c r="G354" s="724" t="str">
        <f t="shared" si="16"/>
        <v>N/A</v>
      </c>
      <c r="H354" s="725" t="str">
        <f t="shared" si="17"/>
        <v>N/A</v>
      </c>
    </row>
    <row r="355" spans="1:8" ht="15.6">
      <c r="A355" s="3" t="s">
        <v>2647</v>
      </c>
      <c r="B355" s="3" t="s">
        <v>1962</v>
      </c>
      <c r="C355" s="721">
        <v>57871.81</v>
      </c>
      <c r="D355" s="722">
        <v>1.15E-2</v>
      </c>
      <c r="E355" s="723" t="s">
        <v>4148</v>
      </c>
      <c r="F355" s="724" t="str">
        <f t="shared" si="15"/>
        <v>N/A</v>
      </c>
      <c r="G355" s="724" t="str">
        <f t="shared" si="16"/>
        <v>N/A</v>
      </c>
      <c r="H355" s="725" t="str">
        <f t="shared" si="17"/>
        <v>N/A</v>
      </c>
    </row>
    <row r="356" spans="1:8" ht="15.6">
      <c r="A356" s="3" t="s">
        <v>4322</v>
      </c>
      <c r="B356" s="3" t="s">
        <v>4323</v>
      </c>
      <c r="C356" s="721">
        <v>10955.12</v>
      </c>
      <c r="D356" s="722">
        <v>5.6900000000000006E-2</v>
      </c>
      <c r="E356" s="723">
        <v>7.4999999999999997E-2</v>
      </c>
      <c r="F356" s="724">
        <f t="shared" si="15"/>
        <v>0.13403375000000001</v>
      </c>
      <c r="G356" s="724">
        <f t="shared" si="16"/>
        <v>3.3298553357596916E-4</v>
      </c>
      <c r="H356" s="725">
        <f t="shared" si="17"/>
        <v>4.4631299760938057E-5</v>
      </c>
    </row>
    <row r="357" spans="1:8" ht="15.6">
      <c r="A357" s="3" t="s">
        <v>3006</v>
      </c>
      <c r="B357" s="3" t="s">
        <v>3007</v>
      </c>
      <c r="C357" s="721">
        <v>17959.599999999999</v>
      </c>
      <c r="D357" s="722">
        <v>0</v>
      </c>
      <c r="E357" s="723">
        <v>0.19500000000000001</v>
      </c>
      <c r="F357" s="724">
        <f t="shared" si="15"/>
        <v>0.19500000000000001</v>
      </c>
      <c r="G357" s="724">
        <f t="shared" si="16"/>
        <v>5.4588968343669214E-4</v>
      </c>
      <c r="H357" s="725">
        <f t="shared" si="17"/>
        <v>1.0644848827015497E-4</v>
      </c>
    </row>
    <row r="358" spans="1:8" ht="15.6">
      <c r="A358" s="3" t="s">
        <v>2648</v>
      </c>
      <c r="B358" s="3" t="s">
        <v>1964</v>
      </c>
      <c r="C358" s="721">
        <v>41363.11</v>
      </c>
      <c r="D358" s="722">
        <v>2.9399999999999999E-2</v>
      </c>
      <c r="E358" s="723">
        <v>0.105</v>
      </c>
      <c r="F358" s="724">
        <f t="shared" si="15"/>
        <v>0.13594349999999999</v>
      </c>
      <c r="G358" s="724">
        <f t="shared" si="16"/>
        <v>1.2572493275939932E-3</v>
      </c>
      <c r="H358" s="725">
        <f t="shared" si="17"/>
        <v>1.70914873965774E-4</v>
      </c>
    </row>
    <row r="359" spans="1:8" ht="15.6">
      <c r="A359" s="3" t="s">
        <v>2649</v>
      </c>
      <c r="B359" s="3" t="s">
        <v>1966</v>
      </c>
      <c r="C359" s="721">
        <v>35139.69</v>
      </c>
      <c r="D359" s="722">
        <v>2.9500000000000002E-2</v>
      </c>
      <c r="E359" s="723">
        <v>0.115</v>
      </c>
      <c r="F359" s="724">
        <f t="shared" si="15"/>
        <v>0.14619625</v>
      </c>
      <c r="G359" s="724">
        <f t="shared" si="16"/>
        <v>1.0680858287580738E-3</v>
      </c>
      <c r="H359" s="725">
        <f t="shared" si="17"/>
        <v>1.5615014284257254E-4</v>
      </c>
    </row>
    <row r="360" spans="1:8" ht="15.6">
      <c r="A360" s="3" t="s">
        <v>4325</v>
      </c>
      <c r="B360" s="3" t="s">
        <v>4326</v>
      </c>
      <c r="C360" s="721" t="s">
        <v>4148</v>
      </c>
      <c r="D360" s="722">
        <v>0</v>
      </c>
      <c r="E360" s="723" t="s">
        <v>4148</v>
      </c>
      <c r="F360" s="724" t="str">
        <f t="shared" si="15"/>
        <v>N/A</v>
      </c>
      <c r="G360" s="724" t="str">
        <f t="shared" si="16"/>
        <v>N/A</v>
      </c>
      <c r="H360" s="725" t="str">
        <f t="shared" si="17"/>
        <v>N/A</v>
      </c>
    </row>
    <row r="361" spans="1:8" ht="15.6">
      <c r="A361" s="3" t="s">
        <v>2970</v>
      </c>
      <c r="B361" s="3" t="s">
        <v>2971</v>
      </c>
      <c r="C361" s="721">
        <v>13493.6</v>
      </c>
      <c r="D361" s="722">
        <v>4.7899999999999998E-2</v>
      </c>
      <c r="E361" s="723">
        <v>0.17</v>
      </c>
      <c r="F361" s="724">
        <f t="shared" si="15"/>
        <v>0.22197150000000002</v>
      </c>
      <c r="G361" s="724">
        <f t="shared" si="16"/>
        <v>4.1014371324647265E-4</v>
      </c>
      <c r="H361" s="725">
        <f t="shared" si="17"/>
        <v>9.1040215244889413E-5</v>
      </c>
    </row>
    <row r="362" spans="1:8" ht="15.6">
      <c r="A362" s="3" t="s">
        <v>2650</v>
      </c>
      <c r="B362" s="3" t="s">
        <v>215</v>
      </c>
      <c r="C362" s="721">
        <v>30068.5</v>
      </c>
      <c r="D362" s="722">
        <v>3.7200000000000004E-2</v>
      </c>
      <c r="E362" s="723">
        <v>0.04</v>
      </c>
      <c r="F362" s="724">
        <f t="shared" si="15"/>
        <v>7.7944000000000013E-2</v>
      </c>
      <c r="G362" s="724">
        <f t="shared" si="16"/>
        <v>9.1394485102208177E-4</v>
      </c>
      <c r="H362" s="725">
        <f t="shared" si="17"/>
        <v>7.123651746806515E-5</v>
      </c>
    </row>
    <row r="363" spans="1:8" ht="15.6">
      <c r="A363" s="3" t="s">
        <v>2651</v>
      </c>
      <c r="B363" s="3" t="s">
        <v>1968</v>
      </c>
      <c r="C363" s="721">
        <v>251667.5</v>
      </c>
      <c r="D363" s="722">
        <v>2.52E-2</v>
      </c>
      <c r="E363" s="723">
        <v>0.06</v>
      </c>
      <c r="F363" s="724">
        <f t="shared" si="15"/>
        <v>8.5956000000000005E-2</v>
      </c>
      <c r="G363" s="724">
        <f t="shared" si="16"/>
        <v>7.6495407417928986E-3</v>
      </c>
      <c r="H363" s="725">
        <f t="shared" si="17"/>
        <v>6.5752392400155043E-4</v>
      </c>
    </row>
    <row r="364" spans="1:8" ht="15.6">
      <c r="A364" s="3" t="s">
        <v>2652</v>
      </c>
      <c r="B364" s="3" t="s">
        <v>1970</v>
      </c>
      <c r="C364" s="721">
        <v>289915.90000000002</v>
      </c>
      <c r="D364" s="722">
        <v>3.1800000000000002E-2</v>
      </c>
      <c r="E364" s="723">
        <v>6.5000000000000002E-2</v>
      </c>
      <c r="F364" s="724">
        <f t="shared" si="15"/>
        <v>9.7833500000000004E-2</v>
      </c>
      <c r="G364" s="724">
        <f t="shared" si="16"/>
        <v>8.8121171336924941E-3</v>
      </c>
      <c r="H364" s="725">
        <f t="shared" si="17"/>
        <v>8.6212026159910465E-4</v>
      </c>
    </row>
    <row r="365" spans="1:8" ht="15.6">
      <c r="A365" s="3" t="s">
        <v>2653</v>
      </c>
      <c r="B365" s="3" t="s">
        <v>1971</v>
      </c>
      <c r="C365" s="721">
        <v>21115.279999999999</v>
      </c>
      <c r="D365" s="722">
        <v>2.9700000000000001E-2</v>
      </c>
      <c r="E365" s="723">
        <v>6.5000000000000002E-2</v>
      </c>
      <c r="F365" s="724">
        <f t="shared" si="15"/>
        <v>9.5665250000000007E-2</v>
      </c>
      <c r="G365" s="724">
        <f t="shared" si="16"/>
        <v>6.4180791971297341E-4</v>
      </c>
      <c r="H365" s="725">
        <f t="shared" si="17"/>
        <v>6.1398715091321536E-5</v>
      </c>
    </row>
    <row r="366" spans="1:8" ht="15.6">
      <c r="A366" s="3" t="s">
        <v>2654</v>
      </c>
      <c r="B366" s="3" t="s">
        <v>1973</v>
      </c>
      <c r="C366" s="721">
        <v>359814.8</v>
      </c>
      <c r="D366" s="722">
        <v>2.4E-2</v>
      </c>
      <c r="E366" s="723">
        <v>6.5000000000000002E-2</v>
      </c>
      <c r="F366" s="724">
        <f t="shared" si="15"/>
        <v>8.9779999999999999E-2</v>
      </c>
      <c r="G366" s="724">
        <f t="shared" si="16"/>
        <v>1.0936723939722306E-2</v>
      </c>
      <c r="H366" s="725">
        <f t="shared" si="17"/>
        <v>9.8189907530826857E-4</v>
      </c>
    </row>
    <row r="367" spans="1:8" ht="15.6">
      <c r="A367" s="3" t="s">
        <v>2655</v>
      </c>
      <c r="B367" s="3" t="s">
        <v>1975</v>
      </c>
      <c r="C367" s="721">
        <v>75548.11</v>
      </c>
      <c r="D367" s="722">
        <v>3.0999999999999999E-3</v>
      </c>
      <c r="E367" s="723">
        <v>6.5000000000000002E-2</v>
      </c>
      <c r="F367" s="724">
        <f t="shared" si="15"/>
        <v>6.8200750000000004E-2</v>
      </c>
      <c r="G367" s="724">
        <f t="shared" si="16"/>
        <v>2.2963169476013052E-3</v>
      </c>
      <c r="H367" s="725">
        <f t="shared" si="17"/>
        <v>1.5661053806411971E-4</v>
      </c>
    </row>
    <row r="368" spans="1:8" ht="15.6">
      <c r="A368" s="3" t="s">
        <v>2656</v>
      </c>
      <c r="B368" s="3" t="s">
        <v>1977</v>
      </c>
      <c r="C368" s="721">
        <v>37525.370000000003</v>
      </c>
      <c r="D368" s="722">
        <v>1.8200000000000001E-2</v>
      </c>
      <c r="E368" s="723">
        <v>0.14000000000000001</v>
      </c>
      <c r="F368" s="724">
        <f t="shared" si="15"/>
        <v>0.159474</v>
      </c>
      <c r="G368" s="724">
        <f t="shared" si="16"/>
        <v>1.1405995874153516E-3</v>
      </c>
      <c r="H368" s="725">
        <f t="shared" si="17"/>
        <v>1.8189597860347577E-4</v>
      </c>
    </row>
    <row r="369" spans="1:8" ht="15.6">
      <c r="A369" s="3" t="s">
        <v>2657</v>
      </c>
      <c r="B369" s="3" t="s">
        <v>1979</v>
      </c>
      <c r="C369" s="721">
        <v>10443.9</v>
      </c>
      <c r="D369" s="722">
        <v>1.3999999999999999E-2</v>
      </c>
      <c r="E369" s="723">
        <v>7.0000000000000007E-2</v>
      </c>
      <c r="F369" s="724">
        <f t="shared" si="15"/>
        <v>8.449000000000001E-2</v>
      </c>
      <c r="G369" s="724">
        <f t="shared" si="16"/>
        <v>3.1744678416247967E-4</v>
      </c>
      <c r="H369" s="725">
        <f t="shared" si="17"/>
        <v>2.6821078793887911E-5</v>
      </c>
    </row>
    <row r="370" spans="1:8" ht="15.6">
      <c r="A370" s="3" t="s">
        <v>2658</v>
      </c>
      <c r="B370" s="3" t="s">
        <v>2265</v>
      </c>
      <c r="C370" s="721">
        <v>11905.46</v>
      </c>
      <c r="D370" s="722">
        <v>3.8900000000000004E-2</v>
      </c>
      <c r="E370" s="723">
        <v>0.11</v>
      </c>
      <c r="F370" s="724">
        <f t="shared" si="15"/>
        <v>0.15103949999999999</v>
      </c>
      <c r="G370" s="724">
        <f t="shared" si="16"/>
        <v>3.6187152222589598E-4</v>
      </c>
      <c r="H370" s="725">
        <f t="shared" si="17"/>
        <v>5.4656893781238216E-5</v>
      </c>
    </row>
    <row r="371" spans="1:8" ht="15.6">
      <c r="A371" s="3" t="s">
        <v>2659</v>
      </c>
      <c r="B371" s="3" t="s">
        <v>1981</v>
      </c>
      <c r="C371" s="721">
        <v>17942.169999999998</v>
      </c>
      <c r="D371" s="722">
        <v>2E-3</v>
      </c>
      <c r="E371" s="723">
        <v>0.04</v>
      </c>
      <c r="F371" s="724">
        <f t="shared" si="15"/>
        <v>4.2040000000000001E-2</v>
      </c>
      <c r="G371" s="724">
        <f t="shared" si="16"/>
        <v>5.4535989117058929E-4</v>
      </c>
      <c r="H371" s="725">
        <f t="shared" si="17"/>
        <v>2.2926929824811575E-5</v>
      </c>
    </row>
    <row r="372" spans="1:8" ht="15.6">
      <c r="A372" s="3" t="s">
        <v>2660</v>
      </c>
      <c r="B372" s="3" t="s">
        <v>1983</v>
      </c>
      <c r="C372" s="721">
        <v>84295.89</v>
      </c>
      <c r="D372" s="722">
        <v>2.9500000000000002E-2</v>
      </c>
      <c r="E372" s="723">
        <v>0.06</v>
      </c>
      <c r="F372" s="724">
        <f t="shared" si="15"/>
        <v>9.0384999999999993E-2</v>
      </c>
      <c r="G372" s="724">
        <f t="shared" si="16"/>
        <v>2.5622094426999615E-3</v>
      </c>
      <c r="H372" s="725">
        <f t="shared" si="17"/>
        <v>2.31585300478436E-4</v>
      </c>
    </row>
    <row r="373" spans="1:8" ht="15.6">
      <c r="A373" s="3" t="s">
        <v>2661</v>
      </c>
      <c r="B373" s="3" t="s">
        <v>1985</v>
      </c>
      <c r="C373" s="721">
        <v>155825.4</v>
      </c>
      <c r="D373" s="722">
        <v>5.0499999999999996E-2</v>
      </c>
      <c r="E373" s="723">
        <v>0.05</v>
      </c>
      <c r="F373" s="724">
        <f t="shared" si="15"/>
        <v>0.10176249999999999</v>
      </c>
      <c r="G373" s="724">
        <f t="shared" si="16"/>
        <v>4.7363793334704524E-3</v>
      </c>
      <c r="H373" s="725">
        <f t="shared" si="17"/>
        <v>4.8198580192228686E-4</v>
      </c>
    </row>
    <row r="374" spans="1:8" ht="15.6">
      <c r="A374" s="3" t="s">
        <v>2662</v>
      </c>
      <c r="B374" s="3" t="s">
        <v>1987</v>
      </c>
      <c r="C374" s="721">
        <v>62175.6</v>
      </c>
      <c r="D374" s="722">
        <v>4.0899999999999999E-2</v>
      </c>
      <c r="E374" s="723">
        <v>0.12</v>
      </c>
      <c r="F374" s="724">
        <f t="shared" si="15"/>
        <v>0.163354</v>
      </c>
      <c r="G374" s="724">
        <f t="shared" si="16"/>
        <v>1.889853816426112E-3</v>
      </c>
      <c r="H374" s="725">
        <f t="shared" si="17"/>
        <v>3.0871518032847111E-4</v>
      </c>
    </row>
    <row r="375" spans="1:8" ht="15.6">
      <c r="A375" s="3" t="s">
        <v>2663</v>
      </c>
      <c r="B375" s="3" t="s">
        <v>1989</v>
      </c>
      <c r="C375" s="721">
        <v>7328.39</v>
      </c>
      <c r="D375" s="722">
        <v>1.9799999999999998E-2</v>
      </c>
      <c r="E375" s="723">
        <v>0.12</v>
      </c>
      <c r="F375" s="724">
        <f t="shared" si="15"/>
        <v>0.140988</v>
      </c>
      <c r="G375" s="724">
        <f t="shared" si="16"/>
        <v>2.227495321276989E-4</v>
      </c>
      <c r="H375" s="725">
        <f t="shared" si="17"/>
        <v>3.1405011035620011E-5</v>
      </c>
    </row>
    <row r="376" spans="1:8" ht="15.6">
      <c r="A376" s="3" t="s">
        <v>2664</v>
      </c>
      <c r="B376" s="3" t="s">
        <v>202</v>
      </c>
      <c r="C376" s="721">
        <v>8757.5</v>
      </c>
      <c r="D376" s="722">
        <v>4.5199999999999997E-2</v>
      </c>
      <c r="E376" s="723">
        <v>5.0000000000000001E-3</v>
      </c>
      <c r="F376" s="724">
        <f t="shared" si="15"/>
        <v>5.031299999999999E-2</v>
      </c>
      <c r="G376" s="724">
        <f t="shared" si="16"/>
        <v>2.6618793863431435E-4</v>
      </c>
      <c r="H376" s="725">
        <f t="shared" si="17"/>
        <v>1.3392713756508255E-5</v>
      </c>
    </row>
    <row r="377" spans="1:8" ht="15.6">
      <c r="A377" s="3" t="s">
        <v>3949</v>
      </c>
      <c r="B377" s="3" t="s">
        <v>3910</v>
      </c>
      <c r="C377" s="721">
        <v>12172.35</v>
      </c>
      <c r="D377" s="722">
        <v>1.2800000000000001E-2</v>
      </c>
      <c r="E377" s="723">
        <v>0.14000000000000001</v>
      </c>
      <c r="F377" s="724">
        <f t="shared" si="15"/>
        <v>0.15369600000000003</v>
      </c>
      <c r="G377" s="724">
        <f t="shared" si="16"/>
        <v>3.6998375733204641E-4</v>
      </c>
      <c r="H377" s="725">
        <f t="shared" si="17"/>
        <v>5.6865023566906217E-5</v>
      </c>
    </row>
    <row r="378" spans="1:8" ht="15.6">
      <c r="A378" s="3" t="s">
        <v>2665</v>
      </c>
      <c r="B378" s="3" t="s">
        <v>1992</v>
      </c>
      <c r="C378" s="721">
        <v>29883.68</v>
      </c>
      <c r="D378" s="722">
        <v>1.95E-2</v>
      </c>
      <c r="E378" s="723">
        <v>0.04</v>
      </c>
      <c r="F378" s="724">
        <f t="shared" si="15"/>
        <v>5.9889999999999999E-2</v>
      </c>
      <c r="G378" s="724">
        <f t="shared" si="16"/>
        <v>9.0832716848501143E-4</v>
      </c>
      <c r="H378" s="725">
        <f t="shared" si="17"/>
        <v>5.4399714120567332E-5</v>
      </c>
    </row>
    <row r="379" spans="1:8" ht="15.6">
      <c r="A379" s="3" t="s">
        <v>2666</v>
      </c>
      <c r="B379" s="3" t="s">
        <v>203</v>
      </c>
      <c r="C379" s="721">
        <v>21647.54</v>
      </c>
      <c r="D379" s="722">
        <v>3.0600000000000002E-2</v>
      </c>
      <c r="E379" s="723">
        <v>0.03</v>
      </c>
      <c r="F379" s="724">
        <f t="shared" si="15"/>
        <v>6.1059000000000002E-2</v>
      </c>
      <c r="G379" s="724">
        <f t="shared" si="16"/>
        <v>6.5798618887854589E-4</v>
      </c>
      <c r="H379" s="725">
        <f t="shared" si="17"/>
        <v>4.0175978706735136E-5</v>
      </c>
    </row>
    <row r="380" spans="1:8" ht="15.6">
      <c r="A380" s="3" t="s">
        <v>2667</v>
      </c>
      <c r="B380" s="3" t="s">
        <v>1995</v>
      </c>
      <c r="C380" s="721">
        <v>37043.68</v>
      </c>
      <c r="D380" s="722">
        <v>4.9299999999999997E-2</v>
      </c>
      <c r="E380" s="723">
        <v>0.05</v>
      </c>
      <c r="F380" s="724">
        <f t="shared" si="15"/>
        <v>0.1005325</v>
      </c>
      <c r="G380" s="724">
        <f t="shared" si="16"/>
        <v>1.1259584149162635E-3</v>
      </c>
      <c r="H380" s="725">
        <f t="shared" si="17"/>
        <v>1.1319541434756925E-4</v>
      </c>
    </row>
    <row r="381" spans="1:8" ht="15.6">
      <c r="A381" s="3" t="s">
        <v>2668</v>
      </c>
      <c r="B381" s="3" t="s">
        <v>1997</v>
      </c>
      <c r="C381" s="721">
        <v>49523.67</v>
      </c>
      <c r="D381" s="722">
        <v>2.8199999999999999E-2</v>
      </c>
      <c r="E381" s="723">
        <v>0.08</v>
      </c>
      <c r="F381" s="724">
        <f t="shared" si="15"/>
        <v>0.10932800000000001</v>
      </c>
      <c r="G381" s="724">
        <f t="shared" si="16"/>
        <v>1.5052930209427386E-3</v>
      </c>
      <c r="H381" s="725">
        <f t="shared" si="17"/>
        <v>1.6457067539362775E-4</v>
      </c>
    </row>
    <row r="382" spans="1:8" ht="15.6">
      <c r="A382" s="3" t="s">
        <v>2669</v>
      </c>
      <c r="B382" s="3" t="s">
        <v>1999</v>
      </c>
      <c r="C382" s="721">
        <v>48846.52</v>
      </c>
      <c r="D382" s="722">
        <v>3.85E-2</v>
      </c>
      <c r="E382" s="723">
        <v>0.86499999999999999</v>
      </c>
      <c r="F382" s="724">
        <f t="shared" si="15"/>
        <v>0.92015124999999998</v>
      </c>
      <c r="G382" s="724">
        <f t="shared" si="16"/>
        <v>1.4847107585794813E-3</v>
      </c>
      <c r="H382" s="725">
        <f t="shared" si="17"/>
        <v>1.366158460395358E-3</v>
      </c>
    </row>
    <row r="383" spans="1:8" ht="15.6">
      <c r="A383" s="3" t="s">
        <v>4006</v>
      </c>
      <c r="B383" s="3" t="s">
        <v>4007</v>
      </c>
      <c r="C383" s="721">
        <v>14518.85</v>
      </c>
      <c r="D383" s="722">
        <v>0</v>
      </c>
      <c r="E383" s="723">
        <v>0.34499999999999997</v>
      </c>
      <c r="F383" s="724">
        <f t="shared" si="15"/>
        <v>0.34499999999999997</v>
      </c>
      <c r="G383" s="724">
        <f t="shared" si="16"/>
        <v>4.4130662321904823E-4</v>
      </c>
      <c r="H383" s="725">
        <f t="shared" si="17"/>
        <v>1.5225078501057162E-4</v>
      </c>
    </row>
    <row r="384" spans="1:8" ht="15.6">
      <c r="A384" s="3" t="s">
        <v>2670</v>
      </c>
      <c r="B384" s="3" t="s">
        <v>2001</v>
      </c>
      <c r="C384" s="721">
        <v>20688.18</v>
      </c>
      <c r="D384" s="722">
        <v>2.2000000000000001E-3</v>
      </c>
      <c r="E384" s="723">
        <v>0.16500000000000001</v>
      </c>
      <c r="F384" s="724">
        <f t="shared" si="15"/>
        <v>0.16738150000000002</v>
      </c>
      <c r="G384" s="724">
        <f t="shared" si="16"/>
        <v>6.2882603349079648E-4</v>
      </c>
      <c r="H384" s="725">
        <f t="shared" si="17"/>
        <v>1.0525384472473976E-4</v>
      </c>
    </row>
    <row r="385" spans="1:8" ht="15.6">
      <c r="A385" s="3" t="s">
        <v>2671</v>
      </c>
      <c r="B385" s="3" t="s">
        <v>2003</v>
      </c>
      <c r="C385" s="721">
        <v>53623.73</v>
      </c>
      <c r="D385" s="722">
        <v>9.2699999999999991E-2</v>
      </c>
      <c r="E385" s="723">
        <v>0.21</v>
      </c>
      <c r="F385" s="724">
        <f t="shared" si="15"/>
        <v>0.31243349999999998</v>
      </c>
      <c r="G385" s="724">
        <f t="shared" si="16"/>
        <v>1.6299160891330908E-3</v>
      </c>
      <c r="H385" s="725">
        <f t="shared" si="17"/>
        <v>5.0924038843416352E-4</v>
      </c>
    </row>
    <row r="386" spans="1:8" ht="15.6">
      <c r="A386" s="3" t="s">
        <v>2672</v>
      </c>
      <c r="B386" s="3" t="s">
        <v>2005</v>
      </c>
      <c r="C386" s="721">
        <v>79383.88</v>
      </c>
      <c r="D386" s="722">
        <v>0</v>
      </c>
      <c r="E386" s="723">
        <v>0.12</v>
      </c>
      <c r="F386" s="724">
        <f t="shared" si="15"/>
        <v>0.12</v>
      </c>
      <c r="G386" s="724">
        <f t="shared" si="16"/>
        <v>2.412906808791753E-3</v>
      </c>
      <c r="H386" s="725">
        <f t="shared" si="17"/>
        <v>2.8954881705501033E-4</v>
      </c>
    </row>
    <row r="387" spans="1:8" ht="15.6">
      <c r="A387" s="3" t="s">
        <v>2673</v>
      </c>
      <c r="B387" s="3" t="s">
        <v>2007</v>
      </c>
      <c r="C387" s="721">
        <v>128570</v>
      </c>
      <c r="D387" s="722">
        <v>2.6200000000000001E-2</v>
      </c>
      <c r="E387" s="723">
        <v>0.18</v>
      </c>
      <c r="F387" s="724">
        <f t="shared" si="15"/>
        <v>0.20855799999999999</v>
      </c>
      <c r="G387" s="724">
        <f t="shared" si="16"/>
        <v>3.9079398538639787E-3</v>
      </c>
      <c r="H387" s="725">
        <f t="shared" si="17"/>
        <v>8.1503212004216364E-4</v>
      </c>
    </row>
    <row r="388" spans="1:8" ht="15.6">
      <c r="A388" s="3" t="s">
        <v>2674</v>
      </c>
      <c r="B388" s="3" t="s">
        <v>2009</v>
      </c>
      <c r="C388" s="721">
        <v>9509.02</v>
      </c>
      <c r="D388" s="722">
        <v>0</v>
      </c>
      <c r="E388" s="723">
        <v>0.15</v>
      </c>
      <c r="F388" s="724">
        <f t="shared" ref="F388:F451" si="18">IFERROR(D388*(1+0.5*E388)+E388,"N/A")</f>
        <v>0.15</v>
      </c>
      <c r="G388" s="724">
        <f t="shared" ref="G388:G451" si="19">IF(F388="N/A","N/A",C388/$C$504)</f>
        <v>2.8903070879046167E-4</v>
      </c>
      <c r="H388" s="725">
        <f t="shared" si="17"/>
        <v>4.335460631856925E-5</v>
      </c>
    </row>
    <row r="389" spans="1:8" ht="15.6">
      <c r="A389" s="3" t="s">
        <v>2675</v>
      </c>
      <c r="B389" s="3" t="s">
        <v>2011</v>
      </c>
      <c r="C389" s="721">
        <v>13220.88</v>
      </c>
      <c r="D389" s="722">
        <v>0</v>
      </c>
      <c r="E389" s="723" t="s">
        <v>4148</v>
      </c>
      <c r="F389" s="724" t="str">
        <f t="shared" si="18"/>
        <v>N/A</v>
      </c>
      <c r="G389" s="724" t="str">
        <f t="shared" si="19"/>
        <v>N/A</v>
      </c>
      <c r="H389" s="725" t="str">
        <f t="shared" ref="H389:H452" si="20">IF(ISNUMBER(G389),F389*G389,"N/A")</f>
        <v>N/A</v>
      </c>
    </row>
    <row r="390" spans="1:8" ht="15.6">
      <c r="A390" s="3" t="s">
        <v>2676</v>
      </c>
      <c r="B390" s="3" t="s">
        <v>2267</v>
      </c>
      <c r="C390" s="721">
        <v>13107.49</v>
      </c>
      <c r="D390" s="722">
        <v>1.9900000000000001E-2</v>
      </c>
      <c r="E390" s="723">
        <v>9.5000000000000001E-2</v>
      </c>
      <c r="F390" s="724">
        <f t="shared" si="18"/>
        <v>0.11584525000000001</v>
      </c>
      <c r="G390" s="724">
        <f t="shared" si="19"/>
        <v>3.9840773551468901E-4</v>
      </c>
      <c r="H390" s="725">
        <f t="shared" si="20"/>
        <v>4.6153643722633029E-5</v>
      </c>
    </row>
    <row r="391" spans="1:8" ht="15.6">
      <c r="A391" s="3" t="s">
        <v>2678</v>
      </c>
      <c r="B391" s="3" t="s">
        <v>2230</v>
      </c>
      <c r="C391" s="721">
        <v>10675.77</v>
      </c>
      <c r="D391" s="722">
        <v>4.1599999999999998E-2</v>
      </c>
      <c r="E391" s="723">
        <v>0.125</v>
      </c>
      <c r="F391" s="724">
        <f t="shared" si="18"/>
        <v>0.16919999999999999</v>
      </c>
      <c r="G391" s="724">
        <f t="shared" si="19"/>
        <v>3.2449457146834762E-4</v>
      </c>
      <c r="H391" s="725">
        <f t="shared" si="20"/>
        <v>5.4904481492444414E-5</v>
      </c>
    </row>
    <row r="392" spans="1:8" ht="15.6">
      <c r="A392" s="3" t="s">
        <v>2679</v>
      </c>
      <c r="B392" s="3" t="s">
        <v>2013</v>
      </c>
      <c r="C392" s="721">
        <v>80097.47</v>
      </c>
      <c r="D392" s="722">
        <v>0</v>
      </c>
      <c r="E392" s="723">
        <v>0.05</v>
      </c>
      <c r="F392" s="724">
        <f t="shared" si="18"/>
        <v>0.05</v>
      </c>
      <c r="G392" s="724">
        <f t="shared" si="19"/>
        <v>2.4345966804594733E-3</v>
      </c>
      <c r="H392" s="725">
        <f t="shared" si="20"/>
        <v>1.2172983402297368E-4</v>
      </c>
    </row>
    <row r="393" spans="1:8" ht="15.6">
      <c r="A393" s="3" t="s">
        <v>2680</v>
      </c>
      <c r="B393" s="3" t="s">
        <v>2015</v>
      </c>
      <c r="C393" s="721">
        <v>19660.45</v>
      </c>
      <c r="D393" s="722">
        <v>3.95E-2</v>
      </c>
      <c r="E393" s="723">
        <v>0.115</v>
      </c>
      <c r="F393" s="724">
        <f t="shared" si="18"/>
        <v>0.15677125</v>
      </c>
      <c r="G393" s="724">
        <f t="shared" si="19"/>
        <v>5.9758774286303238E-4</v>
      </c>
      <c r="H393" s="725">
        <f t="shared" si="20"/>
        <v>9.3684577433316162E-5</v>
      </c>
    </row>
    <row r="394" spans="1:8" ht="15.6">
      <c r="A394" s="3" t="s">
        <v>2681</v>
      </c>
      <c r="B394" s="3" t="s">
        <v>2017</v>
      </c>
      <c r="C394" s="721">
        <v>7937.71</v>
      </c>
      <c r="D394" s="722">
        <v>2.6200000000000001E-2</v>
      </c>
      <c r="E394" s="723">
        <v>0.105</v>
      </c>
      <c r="F394" s="724">
        <f t="shared" si="18"/>
        <v>0.13257549999999999</v>
      </c>
      <c r="G394" s="724">
        <f t="shared" si="19"/>
        <v>2.4127007278070036E-4</v>
      </c>
      <c r="H394" s="725">
        <f t="shared" si="20"/>
        <v>3.1986500533937738E-5</v>
      </c>
    </row>
    <row r="395" spans="1:8" ht="15.6">
      <c r="A395" s="3" t="s">
        <v>2682</v>
      </c>
      <c r="B395" s="3" t="s">
        <v>2232</v>
      </c>
      <c r="C395" s="721">
        <v>23000.12</v>
      </c>
      <c r="D395" s="722">
        <v>1.5700000000000002E-2</v>
      </c>
      <c r="E395" s="723">
        <v>0.15</v>
      </c>
      <c r="F395" s="724">
        <f t="shared" si="18"/>
        <v>0.16687749999999998</v>
      </c>
      <c r="G395" s="724">
        <f t="shared" si="19"/>
        <v>6.9909843347323625E-4</v>
      </c>
      <c r="H395" s="725">
        <f t="shared" si="20"/>
        <v>1.1666379883192997E-4</v>
      </c>
    </row>
    <row r="396" spans="1:8" ht="15.6">
      <c r="A396" s="3" t="s">
        <v>2683</v>
      </c>
      <c r="B396" s="3" t="s">
        <v>2019</v>
      </c>
      <c r="C396" s="721">
        <v>6850.78</v>
      </c>
      <c r="D396" s="722">
        <v>2.8999999999999998E-2</v>
      </c>
      <c r="E396" s="723">
        <v>0.12</v>
      </c>
      <c r="F396" s="724">
        <f t="shared" si="18"/>
        <v>0.15073999999999999</v>
      </c>
      <c r="G396" s="724">
        <f t="shared" si="19"/>
        <v>2.0823237296456614E-4</v>
      </c>
      <c r="H396" s="725">
        <f t="shared" si="20"/>
        <v>3.1388947900678697E-5</v>
      </c>
    </row>
    <row r="397" spans="1:8" ht="15.6">
      <c r="A397" s="3" t="s">
        <v>2684</v>
      </c>
      <c r="B397" s="3" t="s">
        <v>2269</v>
      </c>
      <c r="C397" s="721">
        <v>30776.9</v>
      </c>
      <c r="D397" s="722">
        <v>8.3999999999999995E-3</v>
      </c>
      <c r="E397" s="723">
        <v>0.12</v>
      </c>
      <c r="F397" s="724">
        <f t="shared" si="18"/>
        <v>0.12890399999999999</v>
      </c>
      <c r="G397" s="724">
        <f t="shared" si="19"/>
        <v>9.3547697043156494E-4</v>
      </c>
      <c r="H397" s="725">
        <f t="shared" si="20"/>
        <v>1.2058672339651043E-4</v>
      </c>
    </row>
    <row r="398" spans="1:8" ht="15.6">
      <c r="A398" s="3" t="s">
        <v>2685</v>
      </c>
      <c r="B398" s="3" t="s">
        <v>2021</v>
      </c>
      <c r="C398" s="721">
        <v>29878.27</v>
      </c>
      <c r="D398" s="722">
        <v>1.8200000000000001E-2</v>
      </c>
      <c r="E398" s="723">
        <v>0.105</v>
      </c>
      <c r="F398" s="724">
        <f t="shared" si="18"/>
        <v>0.1241555</v>
      </c>
      <c r="G398" s="724">
        <f t="shared" si="19"/>
        <v>9.0816272923316876E-4</v>
      </c>
      <c r="H398" s="725">
        <f t="shared" si="20"/>
        <v>1.1275339772930869E-4</v>
      </c>
    </row>
    <row r="399" spans="1:8" ht="15.6">
      <c r="A399" s="3" t="s">
        <v>2687</v>
      </c>
      <c r="B399" s="3" t="s">
        <v>2688</v>
      </c>
      <c r="C399" s="721">
        <v>18413.53</v>
      </c>
      <c r="D399" s="722">
        <v>1.3899999999999999E-2</v>
      </c>
      <c r="E399" s="723">
        <v>0.105</v>
      </c>
      <c r="F399" s="724">
        <f t="shared" si="18"/>
        <v>0.11962974999999999</v>
      </c>
      <c r="G399" s="724">
        <f t="shared" si="19"/>
        <v>5.5968707892447688E-4</v>
      </c>
      <c r="H399" s="725">
        <f t="shared" si="20"/>
        <v>6.6955225329965433E-5</v>
      </c>
    </row>
    <row r="400" spans="1:8" ht="15.6">
      <c r="A400" s="3" t="s">
        <v>2689</v>
      </c>
      <c r="B400" s="3" t="s">
        <v>2023</v>
      </c>
      <c r="C400" s="721">
        <v>45691.45</v>
      </c>
      <c r="D400" s="722">
        <v>6.3E-3</v>
      </c>
      <c r="E400" s="723">
        <v>3.5000000000000003E-2</v>
      </c>
      <c r="F400" s="724">
        <f t="shared" si="18"/>
        <v>4.1410250000000003E-2</v>
      </c>
      <c r="G400" s="724">
        <f t="shared" si="19"/>
        <v>1.3888110635127424E-3</v>
      </c>
      <c r="H400" s="725">
        <f t="shared" si="20"/>
        <v>5.7511013342828543E-5</v>
      </c>
    </row>
    <row r="401" spans="1:8" ht="15.6">
      <c r="A401" s="3" t="s">
        <v>2690</v>
      </c>
      <c r="B401" s="3" t="s">
        <v>2025</v>
      </c>
      <c r="C401" s="721">
        <v>39697.75</v>
      </c>
      <c r="D401" s="722">
        <v>1.15E-2</v>
      </c>
      <c r="E401" s="723">
        <v>0.125</v>
      </c>
      <c r="F401" s="724">
        <f t="shared" si="18"/>
        <v>0.13721875</v>
      </c>
      <c r="G401" s="724">
        <f t="shared" si="19"/>
        <v>1.2066300018179106E-3</v>
      </c>
      <c r="H401" s="725">
        <f t="shared" si="20"/>
        <v>1.6557226056195142E-4</v>
      </c>
    </row>
    <row r="402" spans="1:8" ht="15.6">
      <c r="A402" s="3" t="s">
        <v>2691</v>
      </c>
      <c r="B402" s="3" t="s">
        <v>2027</v>
      </c>
      <c r="C402" s="721">
        <v>41547.68</v>
      </c>
      <c r="D402" s="722">
        <v>1.5100000000000001E-2</v>
      </c>
      <c r="E402" s="723">
        <v>0.125</v>
      </c>
      <c r="F402" s="724">
        <f t="shared" si="18"/>
        <v>0.14104375</v>
      </c>
      <c r="G402" s="724">
        <f t="shared" si="19"/>
        <v>1.2628594112746936E-3</v>
      </c>
      <c r="H402" s="725">
        <f t="shared" si="20"/>
        <v>1.7811842708897506E-4</v>
      </c>
    </row>
    <row r="403" spans="1:8" ht="15.6">
      <c r="A403" s="3" t="s">
        <v>3009</v>
      </c>
      <c r="B403" s="3" t="s">
        <v>3010</v>
      </c>
      <c r="C403" s="721">
        <v>146653.29999999999</v>
      </c>
      <c r="D403" s="722">
        <v>2.2099999999999998E-2</v>
      </c>
      <c r="E403" s="723">
        <v>0.08</v>
      </c>
      <c r="F403" s="724">
        <f t="shared" si="18"/>
        <v>0.10298399999999999</v>
      </c>
      <c r="G403" s="724">
        <f t="shared" si="19"/>
        <v>4.457589451432451E-3</v>
      </c>
      <c r="H403" s="725">
        <f t="shared" si="20"/>
        <v>4.5906039206631947E-4</v>
      </c>
    </row>
    <row r="404" spans="1:8" ht="15.6">
      <c r="A404" s="3" t="s">
        <v>2692</v>
      </c>
      <c r="B404" s="3" t="s">
        <v>2291</v>
      </c>
      <c r="C404" s="721">
        <v>30303.34</v>
      </c>
      <c r="D404" s="722">
        <v>1.15E-2</v>
      </c>
      <c r="E404" s="723">
        <v>0.35499999999999998</v>
      </c>
      <c r="F404" s="724">
        <f t="shared" si="18"/>
        <v>0.36854124999999999</v>
      </c>
      <c r="G404" s="724">
        <f t="shared" si="19"/>
        <v>9.2108291274162299E-4</v>
      </c>
      <c r="H404" s="725">
        <f t="shared" si="20"/>
        <v>3.3945704801543867E-4</v>
      </c>
    </row>
    <row r="405" spans="1:8" ht="15.6">
      <c r="A405" s="3" t="s">
        <v>4328</v>
      </c>
      <c r="B405" s="3" t="s">
        <v>4329</v>
      </c>
      <c r="C405" s="721">
        <v>7251.71</v>
      </c>
      <c r="D405" s="722">
        <v>1.9400000000000001E-2</v>
      </c>
      <c r="E405" s="723">
        <v>0.16500000000000001</v>
      </c>
      <c r="F405" s="724">
        <f t="shared" si="18"/>
        <v>0.18600050000000001</v>
      </c>
      <c r="G405" s="724">
        <f t="shared" si="19"/>
        <v>2.204188109019519E-4</v>
      </c>
      <c r="H405" s="725">
        <f t="shared" si="20"/>
        <v>4.0998009037168504E-5</v>
      </c>
    </row>
    <row r="406" spans="1:8" ht="15.6">
      <c r="A406" s="3" t="s">
        <v>2693</v>
      </c>
      <c r="B406" s="3" t="s">
        <v>2029</v>
      </c>
      <c r="C406" s="721">
        <v>113263.3</v>
      </c>
      <c r="D406" s="722">
        <v>2.1499999999999998E-2</v>
      </c>
      <c r="E406" s="723">
        <v>0.16</v>
      </c>
      <c r="F406" s="724">
        <f t="shared" si="18"/>
        <v>0.18321999999999999</v>
      </c>
      <c r="G406" s="724">
        <f t="shared" si="19"/>
        <v>3.4426861946811236E-3</v>
      </c>
      <c r="H406" s="725">
        <f t="shared" si="20"/>
        <v>6.3076896458947544E-4</v>
      </c>
    </row>
    <row r="407" spans="1:8" ht="15.6">
      <c r="A407" s="3" t="s">
        <v>2694</v>
      </c>
      <c r="B407" s="3" t="s">
        <v>2031</v>
      </c>
      <c r="C407" s="721">
        <v>152432.9</v>
      </c>
      <c r="D407" s="722">
        <v>1.11E-2</v>
      </c>
      <c r="E407" s="723">
        <v>0.09</v>
      </c>
      <c r="F407" s="724">
        <f t="shared" si="18"/>
        <v>0.1015995</v>
      </c>
      <c r="G407" s="724">
        <f t="shared" si="19"/>
        <v>4.6332628525321811E-3</v>
      </c>
      <c r="H407" s="725">
        <f t="shared" si="20"/>
        <v>4.707371891858433E-4</v>
      </c>
    </row>
    <row r="408" spans="1:8" ht="15.6">
      <c r="A408" s="3" t="s">
        <v>4331</v>
      </c>
      <c r="B408" s="3" t="s">
        <v>4332</v>
      </c>
      <c r="C408" s="721">
        <v>18062.7</v>
      </c>
      <c r="D408" s="722">
        <v>0</v>
      </c>
      <c r="E408" s="723">
        <v>0.22</v>
      </c>
      <c r="F408" s="724">
        <f t="shared" si="18"/>
        <v>0.22</v>
      </c>
      <c r="G408" s="724">
        <f t="shared" si="19"/>
        <v>5.4902345180360033E-4</v>
      </c>
      <c r="H408" s="725">
        <f t="shared" si="20"/>
        <v>1.2078515939679207E-4</v>
      </c>
    </row>
    <row r="409" spans="1:8" ht="15.6">
      <c r="A409" s="3" t="s">
        <v>2695</v>
      </c>
      <c r="B409" s="3" t="s">
        <v>2033</v>
      </c>
      <c r="C409" s="721">
        <v>7273.2</v>
      </c>
      <c r="D409" s="722">
        <v>1.5900000000000001E-2</v>
      </c>
      <c r="E409" s="723">
        <v>0.1</v>
      </c>
      <c r="F409" s="724">
        <f t="shared" si="18"/>
        <v>0.11669500000000001</v>
      </c>
      <c r="G409" s="724">
        <f t="shared" si="19"/>
        <v>2.2107200859550045E-4</v>
      </c>
      <c r="H409" s="725">
        <f t="shared" si="20"/>
        <v>2.5797998043051927E-5</v>
      </c>
    </row>
    <row r="410" spans="1:8" ht="15.6">
      <c r="A410" s="3" t="s">
        <v>2696</v>
      </c>
      <c r="B410" s="3" t="s">
        <v>186</v>
      </c>
      <c r="C410" s="721">
        <v>62767.02</v>
      </c>
      <c r="D410" s="722">
        <v>1.0700000000000001E-2</v>
      </c>
      <c r="E410" s="723">
        <v>0.115</v>
      </c>
      <c r="F410" s="724">
        <f t="shared" si="18"/>
        <v>0.12631525000000002</v>
      </c>
      <c r="G410" s="724">
        <f t="shared" si="19"/>
        <v>1.9078302789630353E-3</v>
      </c>
      <c r="H410" s="725">
        <f t="shared" si="20"/>
        <v>2.4098805864478557E-4</v>
      </c>
    </row>
    <row r="411" spans="1:8" ht="15.6">
      <c r="A411" s="3" t="s">
        <v>2697</v>
      </c>
      <c r="B411" s="3" t="s">
        <v>2314</v>
      </c>
      <c r="C411" s="721">
        <v>12846.25</v>
      </c>
      <c r="D411" s="722">
        <v>0</v>
      </c>
      <c r="E411" s="723">
        <v>8.5000000000000006E-2</v>
      </c>
      <c r="F411" s="724">
        <f t="shared" si="18"/>
        <v>8.5000000000000006E-2</v>
      </c>
      <c r="G411" s="724">
        <f t="shared" si="19"/>
        <v>3.9046723456249624E-4</v>
      </c>
      <c r="H411" s="725">
        <f t="shared" si="20"/>
        <v>3.3189714937812182E-5</v>
      </c>
    </row>
    <row r="412" spans="1:8" ht="15.6">
      <c r="A412" s="3" t="s">
        <v>3033</v>
      </c>
      <c r="B412" s="3" t="s">
        <v>2036</v>
      </c>
      <c r="C412" s="721">
        <v>16840.669999999998</v>
      </c>
      <c r="D412" s="722">
        <v>2.58E-2</v>
      </c>
      <c r="E412" s="723">
        <v>0.04</v>
      </c>
      <c r="F412" s="724">
        <f t="shared" si="18"/>
        <v>6.6316E-2</v>
      </c>
      <c r="G412" s="724">
        <f t="shared" si="19"/>
        <v>5.1187933000522272E-4</v>
      </c>
      <c r="H412" s="725">
        <f t="shared" si="20"/>
        <v>3.3945789648626348E-5</v>
      </c>
    </row>
    <row r="413" spans="1:8" ht="15.6">
      <c r="A413" s="3" t="s">
        <v>4552</v>
      </c>
      <c r="B413" s="3" t="s">
        <v>2038</v>
      </c>
      <c r="C413" s="721">
        <v>75593.259999999995</v>
      </c>
      <c r="D413" s="722">
        <v>1.3300000000000001E-2</v>
      </c>
      <c r="E413" s="723">
        <v>0.23499999999999999</v>
      </c>
      <c r="F413" s="724">
        <f t="shared" si="18"/>
        <v>0.24986274999999999</v>
      </c>
      <c r="G413" s="724">
        <f t="shared" si="19"/>
        <v>2.297689301061692E-3</v>
      </c>
      <c r="H413" s="725">
        <f t="shared" si="20"/>
        <v>5.7410696740885225E-4</v>
      </c>
    </row>
    <row r="414" spans="1:8" ht="15.6">
      <c r="A414" s="3" t="s">
        <v>2698</v>
      </c>
      <c r="B414" s="3" t="s">
        <v>2040</v>
      </c>
      <c r="C414" s="721">
        <v>12185.02</v>
      </c>
      <c r="D414" s="722">
        <v>2.8300000000000002E-2</v>
      </c>
      <c r="E414" s="723">
        <v>5.5E-2</v>
      </c>
      <c r="F414" s="724">
        <f t="shared" si="18"/>
        <v>8.4078250000000007E-2</v>
      </c>
      <c r="G414" s="724">
        <f t="shared" si="19"/>
        <v>3.7036886737286818E-4</v>
      </c>
      <c r="H414" s="725">
        <f t="shared" si="20"/>
        <v>3.1139966223192853E-5</v>
      </c>
    </row>
    <row r="415" spans="1:8" ht="15.6">
      <c r="A415" s="3" t="s">
        <v>2699</v>
      </c>
      <c r="B415" s="3" t="s">
        <v>2234</v>
      </c>
      <c r="C415" s="721">
        <v>50524.98</v>
      </c>
      <c r="D415" s="722">
        <v>0</v>
      </c>
      <c r="E415" s="723">
        <v>0.13500000000000001</v>
      </c>
      <c r="F415" s="724">
        <f t="shared" si="18"/>
        <v>0.13500000000000001</v>
      </c>
      <c r="G415" s="724">
        <f t="shared" si="19"/>
        <v>1.5357282644293418E-3</v>
      </c>
      <c r="H415" s="725">
        <f t="shared" si="20"/>
        <v>2.0732331569796116E-4</v>
      </c>
    </row>
    <row r="416" spans="1:8" ht="15.6">
      <c r="A416" s="3" t="s">
        <v>2700</v>
      </c>
      <c r="B416" s="3" t="s">
        <v>204</v>
      </c>
      <c r="C416" s="721">
        <v>77001.84</v>
      </c>
      <c r="D416" s="722">
        <v>3.85E-2</v>
      </c>
      <c r="E416" s="723">
        <v>6.5000000000000002E-2</v>
      </c>
      <c r="F416" s="724">
        <f t="shared" si="18"/>
        <v>0.10475125</v>
      </c>
      <c r="G416" s="724">
        <f t="shared" si="19"/>
        <v>2.3405036894832191E-3</v>
      </c>
      <c r="H416" s="725">
        <f t="shared" si="20"/>
        <v>2.4517068710297907E-4</v>
      </c>
    </row>
    <row r="417" spans="1:8" ht="15.6">
      <c r="A417" s="3" t="s">
        <v>2701</v>
      </c>
      <c r="B417" s="3" t="s">
        <v>2043</v>
      </c>
      <c r="C417" s="721">
        <v>38296.93</v>
      </c>
      <c r="D417" s="722">
        <v>6.6100000000000006E-2</v>
      </c>
      <c r="E417" s="723">
        <v>0.03</v>
      </c>
      <c r="F417" s="724">
        <f t="shared" si="18"/>
        <v>9.7091499999999997E-2</v>
      </c>
      <c r="G417" s="724">
        <f t="shared" si="19"/>
        <v>1.1640514818981025E-3</v>
      </c>
      <c r="H417" s="725">
        <f t="shared" si="20"/>
        <v>1.1301950445470962E-4</v>
      </c>
    </row>
    <row r="418" spans="1:8" ht="15.6">
      <c r="A418" s="3" t="s">
        <v>2702</v>
      </c>
      <c r="B418" s="3" t="s">
        <v>2045</v>
      </c>
      <c r="C418" s="721">
        <v>109941.2</v>
      </c>
      <c r="D418" s="722">
        <v>1.01E-2</v>
      </c>
      <c r="E418" s="723">
        <v>6.5000000000000002E-2</v>
      </c>
      <c r="F418" s="724">
        <f t="shared" si="18"/>
        <v>7.5428250000000002E-2</v>
      </c>
      <c r="G418" s="724">
        <f t="shared" si="19"/>
        <v>3.3417095516965895E-3</v>
      </c>
      <c r="H418" s="725">
        <f t="shared" si="20"/>
        <v>2.5205930349275828E-4</v>
      </c>
    </row>
    <row r="419" spans="1:8" ht="15.6">
      <c r="A419" s="3" t="s">
        <v>2703</v>
      </c>
      <c r="B419" s="3" t="s">
        <v>216</v>
      </c>
      <c r="C419" s="721">
        <v>49216.36</v>
      </c>
      <c r="D419" s="722">
        <v>3.0299999999999997E-2</v>
      </c>
      <c r="E419" s="723">
        <v>7.0000000000000007E-2</v>
      </c>
      <c r="F419" s="724">
        <f t="shared" si="18"/>
        <v>0.10136049999999999</v>
      </c>
      <c r="G419" s="724">
        <f t="shared" si="19"/>
        <v>1.4959522027387182E-3</v>
      </c>
      <c r="H419" s="725">
        <f t="shared" si="20"/>
        <v>1.5163046324569783E-4</v>
      </c>
    </row>
    <row r="420" spans="1:8" ht="15.6">
      <c r="A420" s="3" t="s">
        <v>2973</v>
      </c>
      <c r="B420" s="3" t="s">
        <v>2974</v>
      </c>
      <c r="C420" s="721">
        <v>18124.05</v>
      </c>
      <c r="D420" s="722">
        <v>1.04E-2</v>
      </c>
      <c r="E420" s="723">
        <v>0.1</v>
      </c>
      <c r="F420" s="724">
        <f t="shared" si="18"/>
        <v>0.11092</v>
      </c>
      <c r="G420" s="724">
        <f t="shared" si="19"/>
        <v>5.5088821115675075E-4</v>
      </c>
      <c r="H420" s="725">
        <f t="shared" si="20"/>
        <v>6.1104520381506796E-5</v>
      </c>
    </row>
    <row r="421" spans="1:8" ht="15.6">
      <c r="A421" s="3" t="s">
        <v>4554</v>
      </c>
      <c r="B421" s="3" t="s">
        <v>4555</v>
      </c>
      <c r="C421" s="721">
        <v>18507.439999999999</v>
      </c>
      <c r="D421" s="722">
        <v>1.32E-2</v>
      </c>
      <c r="E421" s="723">
        <v>3.5000000000000003E-2</v>
      </c>
      <c r="F421" s="724">
        <f t="shared" si="18"/>
        <v>4.8431000000000002E-2</v>
      </c>
      <c r="G421" s="724">
        <f t="shared" si="19"/>
        <v>5.6254151333123088E-4</v>
      </c>
      <c r="H421" s="725">
        <f t="shared" si="20"/>
        <v>2.7244448032144844E-5</v>
      </c>
    </row>
    <row r="422" spans="1:8" ht="15.6">
      <c r="A422" s="3" t="s">
        <v>2704</v>
      </c>
      <c r="B422" s="3" t="s">
        <v>2048</v>
      </c>
      <c r="C422" s="721">
        <v>28962.76</v>
      </c>
      <c r="D422" s="722">
        <v>3.2799999999999996E-2</v>
      </c>
      <c r="E422" s="723">
        <v>8.5000000000000006E-2</v>
      </c>
      <c r="F422" s="724">
        <f t="shared" si="18"/>
        <v>0.11919399999999999</v>
      </c>
      <c r="G422" s="724">
        <f t="shared" si="19"/>
        <v>8.8033541325268326E-4</v>
      </c>
      <c r="H422" s="725">
        <f t="shared" si="20"/>
        <v>1.0493069924724032E-4</v>
      </c>
    </row>
    <row r="423" spans="1:8" ht="15.6">
      <c r="A423" s="3" t="s">
        <v>4008</v>
      </c>
      <c r="B423" s="3" t="s">
        <v>2050</v>
      </c>
      <c r="C423" s="721">
        <v>10371.24</v>
      </c>
      <c r="D423" s="722">
        <v>5.57E-2</v>
      </c>
      <c r="E423" s="723">
        <v>0.1</v>
      </c>
      <c r="F423" s="724">
        <f t="shared" si="18"/>
        <v>0.15848500000000001</v>
      </c>
      <c r="G423" s="724">
        <f t="shared" si="19"/>
        <v>3.1523825254715915E-4</v>
      </c>
      <c r="H423" s="725">
        <f t="shared" si="20"/>
        <v>4.9960534454936521E-5</v>
      </c>
    </row>
    <row r="424" spans="1:8" ht="15.6">
      <c r="A424" s="3" t="s">
        <v>2705</v>
      </c>
      <c r="B424" s="3" t="s">
        <v>2052</v>
      </c>
      <c r="C424" s="721">
        <v>44307.23</v>
      </c>
      <c r="D424" s="722">
        <v>1.37E-2</v>
      </c>
      <c r="E424" s="723">
        <v>0.05</v>
      </c>
      <c r="F424" s="724">
        <f t="shared" si="18"/>
        <v>6.4042500000000002E-2</v>
      </c>
      <c r="G424" s="724">
        <f t="shared" si="19"/>
        <v>1.3467371076558896E-3</v>
      </c>
      <c r="H424" s="725">
        <f t="shared" si="20"/>
        <v>8.6248411217052317E-5</v>
      </c>
    </row>
    <row r="425" spans="1:8" ht="15.6">
      <c r="A425" s="3" t="s">
        <v>2706</v>
      </c>
      <c r="B425" s="3" t="s">
        <v>2054</v>
      </c>
      <c r="C425" s="721">
        <v>10839.34</v>
      </c>
      <c r="D425" s="722">
        <v>4.3700000000000003E-2</v>
      </c>
      <c r="E425" s="723">
        <v>0.06</v>
      </c>
      <c r="F425" s="724">
        <f t="shared" si="18"/>
        <v>0.10501099999999999</v>
      </c>
      <c r="G425" s="724">
        <f t="shared" si="19"/>
        <v>3.2946635121398448E-4</v>
      </c>
      <c r="H425" s="725">
        <f t="shared" si="20"/>
        <v>3.4597591007331725E-5</v>
      </c>
    </row>
    <row r="426" spans="1:8" ht="15.6">
      <c r="A426" s="3" t="s">
        <v>2707</v>
      </c>
      <c r="B426" s="3" t="s">
        <v>2056</v>
      </c>
      <c r="C426" s="721">
        <v>14718.79</v>
      </c>
      <c r="D426" s="722">
        <v>2.7000000000000003E-2</v>
      </c>
      <c r="E426" s="723">
        <v>0.09</v>
      </c>
      <c r="F426" s="724">
        <f t="shared" si="18"/>
        <v>0.118215</v>
      </c>
      <c r="G426" s="724">
        <f t="shared" si="19"/>
        <v>4.4738388458936458E-4</v>
      </c>
      <c r="H426" s="725">
        <f t="shared" si="20"/>
        <v>5.2887485916731735E-5</v>
      </c>
    </row>
    <row r="427" spans="1:8" ht="15.6">
      <c r="A427" s="3" t="s">
        <v>2708</v>
      </c>
      <c r="B427" s="3" t="s">
        <v>2058</v>
      </c>
      <c r="C427" s="721">
        <v>15272.33</v>
      </c>
      <c r="D427" s="722">
        <v>2.76E-2</v>
      </c>
      <c r="E427" s="723">
        <v>0.06</v>
      </c>
      <c r="F427" s="724">
        <f t="shared" si="18"/>
        <v>8.8428000000000007E-2</v>
      </c>
      <c r="G427" s="724">
        <f t="shared" si="19"/>
        <v>4.6420896840913481E-4</v>
      </c>
      <c r="H427" s="725">
        <f t="shared" si="20"/>
        <v>4.1049070658482977E-5</v>
      </c>
    </row>
    <row r="428" spans="1:8" ht="15.6">
      <c r="A428" s="3" t="s">
        <v>2709</v>
      </c>
      <c r="B428" s="3" t="s">
        <v>2060</v>
      </c>
      <c r="C428" s="721">
        <v>91398.74</v>
      </c>
      <c r="D428" s="722">
        <v>1.24E-2</v>
      </c>
      <c r="E428" s="723">
        <v>8.5000000000000006E-2</v>
      </c>
      <c r="F428" s="724">
        <f t="shared" si="18"/>
        <v>9.7927E-2</v>
      </c>
      <c r="G428" s="724">
        <f t="shared" si="19"/>
        <v>2.7781035905650761E-3</v>
      </c>
      <c r="H428" s="725">
        <f t="shared" si="20"/>
        <v>2.7205135031326623E-4</v>
      </c>
    </row>
    <row r="429" spans="1:8" ht="15.6">
      <c r="A429" s="3" t="s">
        <v>2710</v>
      </c>
      <c r="B429" s="3" t="s">
        <v>2062</v>
      </c>
      <c r="C429" s="721">
        <v>39091.46</v>
      </c>
      <c r="D429" s="722">
        <v>2.5399999999999999E-2</v>
      </c>
      <c r="E429" s="723">
        <v>0.215</v>
      </c>
      <c r="F429" s="724">
        <f t="shared" si="18"/>
        <v>0.2431305</v>
      </c>
      <c r="G429" s="724">
        <f t="shared" si="19"/>
        <v>1.1882015593041113E-3</v>
      </c>
      <c r="H429" s="725">
        <f t="shared" si="20"/>
        <v>2.8888803921438825E-4</v>
      </c>
    </row>
    <row r="430" spans="1:8" ht="15.6">
      <c r="A430" s="3" t="s">
        <v>2711</v>
      </c>
      <c r="B430" s="3" t="s">
        <v>2064</v>
      </c>
      <c r="C430" s="721">
        <v>129340.3</v>
      </c>
      <c r="D430" s="722">
        <v>6.1200000000000004E-2</v>
      </c>
      <c r="E430" s="723">
        <v>0.01</v>
      </c>
      <c r="F430" s="724">
        <f t="shared" si="18"/>
        <v>7.1506E-2</v>
      </c>
      <c r="G430" s="724">
        <f t="shared" si="19"/>
        <v>3.9313534501106261E-3</v>
      </c>
      <c r="H430" s="725">
        <f t="shared" si="20"/>
        <v>2.8111535980361043E-4</v>
      </c>
    </row>
    <row r="431" spans="1:8" ht="15.6">
      <c r="A431" s="3" t="s">
        <v>3011</v>
      </c>
      <c r="B431" s="3" t="s">
        <v>2066</v>
      </c>
      <c r="C431" s="721">
        <v>11663.71</v>
      </c>
      <c r="D431" s="722">
        <v>3.1099999999999999E-2</v>
      </c>
      <c r="E431" s="723">
        <v>0.495</v>
      </c>
      <c r="F431" s="724">
        <f t="shared" si="18"/>
        <v>0.53379725</v>
      </c>
      <c r="G431" s="724">
        <f t="shared" si="19"/>
        <v>3.5452342811629326E-4</v>
      </c>
      <c r="H431" s="725">
        <f t="shared" si="20"/>
        <v>1.8924363098905004E-4</v>
      </c>
    </row>
    <row r="432" spans="1:8" ht="15.6">
      <c r="A432" s="3" t="s">
        <v>2712</v>
      </c>
      <c r="B432" s="3" t="s">
        <v>2068</v>
      </c>
      <c r="C432" s="721">
        <v>34127.300000000003</v>
      </c>
      <c r="D432" s="722">
        <v>0</v>
      </c>
      <c r="E432" s="723">
        <v>0.23499999999999999</v>
      </c>
      <c r="F432" s="724">
        <f t="shared" si="18"/>
        <v>0.23499999999999999</v>
      </c>
      <c r="G432" s="724">
        <f t="shared" si="19"/>
        <v>1.037313803957161E-3</v>
      </c>
      <c r="H432" s="725">
        <f t="shared" si="20"/>
        <v>2.4376874392993282E-4</v>
      </c>
    </row>
    <row r="433" spans="1:8" ht="15.6">
      <c r="A433" s="3" t="s">
        <v>3035</v>
      </c>
      <c r="B433" s="3" t="s">
        <v>3036</v>
      </c>
      <c r="C433" s="721">
        <v>18731.259999999998</v>
      </c>
      <c r="D433" s="722">
        <v>0</v>
      </c>
      <c r="E433" s="723">
        <v>0.115</v>
      </c>
      <c r="F433" s="724">
        <f t="shared" si="18"/>
        <v>0.115</v>
      </c>
      <c r="G433" s="724">
        <f t="shared" si="19"/>
        <v>5.693446174619911E-4</v>
      </c>
      <c r="H433" s="725">
        <f t="shared" si="20"/>
        <v>6.5474631008128985E-5</v>
      </c>
    </row>
    <row r="434" spans="1:8" ht="15.6">
      <c r="A434" s="3" t="s">
        <v>4048</v>
      </c>
      <c r="B434" s="3" t="s">
        <v>4049</v>
      </c>
      <c r="C434" s="721">
        <v>13051.7</v>
      </c>
      <c r="D434" s="722">
        <v>4.0000000000000001E-3</v>
      </c>
      <c r="E434" s="723">
        <v>0.14499999999999999</v>
      </c>
      <c r="F434" s="724">
        <f t="shared" si="18"/>
        <v>0.14928999999999998</v>
      </c>
      <c r="G434" s="724">
        <f t="shared" si="19"/>
        <v>3.9671197472720309E-4</v>
      </c>
      <c r="H434" s="725">
        <f t="shared" si="20"/>
        <v>5.9225130707024139E-5</v>
      </c>
    </row>
    <row r="435" spans="1:8" ht="15.6">
      <c r="A435" s="3" t="s">
        <v>2713</v>
      </c>
      <c r="B435" s="3" t="s">
        <v>2070</v>
      </c>
      <c r="C435" s="721">
        <v>37006.89</v>
      </c>
      <c r="D435" s="722">
        <v>1.9400000000000001E-2</v>
      </c>
      <c r="E435" s="723">
        <v>9.5000000000000001E-2</v>
      </c>
      <c r="F435" s="724">
        <f t="shared" si="18"/>
        <v>0.11532150000000001</v>
      </c>
      <c r="G435" s="724">
        <f t="shared" si="19"/>
        <v>1.1248401672128829E-3</v>
      </c>
      <c r="H435" s="725">
        <f t="shared" si="20"/>
        <v>1.2971825534324047E-4</v>
      </c>
    </row>
    <row r="436" spans="1:8" ht="15.6">
      <c r="A436" s="3" t="s">
        <v>3920</v>
      </c>
      <c r="B436" s="3" t="s">
        <v>3921</v>
      </c>
      <c r="C436" s="721">
        <v>13981.43</v>
      </c>
      <c r="D436" s="722">
        <v>4.8999999999999998E-3</v>
      </c>
      <c r="E436" s="723">
        <v>0.115</v>
      </c>
      <c r="F436" s="724">
        <f t="shared" si="18"/>
        <v>0.12018175</v>
      </c>
      <c r="G436" s="724">
        <f t="shared" si="19"/>
        <v>4.2497151365800308E-4</v>
      </c>
      <c r="H436" s="725">
        <f t="shared" si="20"/>
        <v>5.1073820211567716E-5</v>
      </c>
    </row>
    <row r="437" spans="1:8" ht="15.6">
      <c r="A437" s="3" t="s">
        <v>2976</v>
      </c>
      <c r="B437" s="3" t="s">
        <v>2977</v>
      </c>
      <c r="C437" s="721">
        <v>55392.480000000003</v>
      </c>
      <c r="D437" s="722">
        <v>5.0799999999999998E-2</v>
      </c>
      <c r="E437" s="723">
        <v>5.5E-2</v>
      </c>
      <c r="F437" s="724">
        <f t="shared" si="18"/>
        <v>0.107197</v>
      </c>
      <c r="G437" s="724">
        <f t="shared" si="19"/>
        <v>1.6836779979494704E-3</v>
      </c>
      <c r="H437" s="725">
        <f t="shared" si="20"/>
        <v>1.8048523034618939E-4</v>
      </c>
    </row>
    <row r="438" spans="1:8" ht="15.6">
      <c r="A438" s="3" t="s">
        <v>2715</v>
      </c>
      <c r="B438" s="3" t="s">
        <v>2716</v>
      </c>
      <c r="C438" s="721">
        <v>11875.46</v>
      </c>
      <c r="D438" s="722">
        <v>5.5000000000000005E-3</v>
      </c>
      <c r="E438" s="723">
        <v>0.1</v>
      </c>
      <c r="F438" s="724">
        <f t="shared" si="18"/>
        <v>0.10577500000000001</v>
      </c>
      <c r="G438" s="724">
        <f t="shared" si="19"/>
        <v>3.6095965946151924E-4</v>
      </c>
      <c r="H438" s="725">
        <f t="shared" si="20"/>
        <v>3.8180507979542203E-5</v>
      </c>
    </row>
    <row r="439" spans="1:8" ht="15.6">
      <c r="A439" s="3" t="s">
        <v>2717</v>
      </c>
      <c r="B439" s="3" t="s">
        <v>1307</v>
      </c>
      <c r="C439" s="721">
        <v>65500.4</v>
      </c>
      <c r="D439" s="722">
        <v>3.04E-2</v>
      </c>
      <c r="E439" s="723">
        <v>0.115</v>
      </c>
      <c r="F439" s="724">
        <f t="shared" si="18"/>
        <v>0.147148</v>
      </c>
      <c r="G439" s="724">
        <f t="shared" si="19"/>
        <v>1.99091252705944E-3</v>
      </c>
      <c r="H439" s="725">
        <f t="shared" si="20"/>
        <v>2.9295879653174248E-4</v>
      </c>
    </row>
    <row r="440" spans="1:8" ht="15.6">
      <c r="A440" s="3" t="s">
        <v>2718</v>
      </c>
      <c r="B440" s="3" t="s">
        <v>1306</v>
      </c>
      <c r="C440" s="721">
        <v>91159.77</v>
      </c>
      <c r="D440" s="722">
        <v>1.4999999999999999E-2</v>
      </c>
      <c r="E440" s="723">
        <v>0.17</v>
      </c>
      <c r="F440" s="724">
        <f t="shared" si="18"/>
        <v>0.18627500000000002</v>
      </c>
      <c r="G440" s="724">
        <f t="shared" si="19"/>
        <v>2.7708399957383058E-3</v>
      </c>
      <c r="H440" s="725">
        <f t="shared" si="20"/>
        <v>5.1613822020615298E-4</v>
      </c>
    </row>
    <row r="441" spans="1:8" ht="15.6">
      <c r="A441" s="3" t="s">
        <v>2719</v>
      </c>
      <c r="B441" s="3" t="s">
        <v>2074</v>
      </c>
      <c r="C441" s="721">
        <v>211742.7</v>
      </c>
      <c r="D441" s="722">
        <v>2.2000000000000001E-3</v>
      </c>
      <c r="E441" s="723">
        <v>0.105</v>
      </c>
      <c r="F441" s="724">
        <f t="shared" si="18"/>
        <v>0.10731549999999999</v>
      </c>
      <c r="G441" s="724">
        <f t="shared" si="19"/>
        <v>6.4360094586199297E-3</v>
      </c>
      <c r="H441" s="725">
        <f t="shared" si="20"/>
        <v>6.9068357305652702E-4</v>
      </c>
    </row>
    <row r="442" spans="1:8" ht="15.6">
      <c r="A442" s="3" t="s">
        <v>2925</v>
      </c>
      <c r="B442" s="3" t="s">
        <v>2926</v>
      </c>
      <c r="C442" s="721">
        <v>176852.2</v>
      </c>
      <c r="D442" s="722">
        <v>0</v>
      </c>
      <c r="E442" s="723">
        <v>0.16500000000000001</v>
      </c>
      <c r="F442" s="724">
        <f t="shared" si="18"/>
        <v>0.16500000000000001</v>
      </c>
      <c r="G442" s="724">
        <f t="shared" si="19"/>
        <v>5.3754978659370243E-3</v>
      </c>
      <c r="H442" s="725">
        <f t="shared" si="20"/>
        <v>8.8695714787960902E-4</v>
      </c>
    </row>
    <row r="443" spans="1:8" ht="15.6">
      <c r="A443" s="3" t="s">
        <v>2720</v>
      </c>
      <c r="B443" s="3" t="s">
        <v>2300</v>
      </c>
      <c r="C443" s="721">
        <v>8951.85</v>
      </c>
      <c r="D443" s="722">
        <v>3.2300000000000002E-2</v>
      </c>
      <c r="E443" s="723">
        <v>0.17</v>
      </c>
      <c r="F443" s="724">
        <f t="shared" si="18"/>
        <v>0.20504550000000002</v>
      </c>
      <c r="G443" s="724">
        <f t="shared" si="19"/>
        <v>2.7209528957620181E-4</v>
      </c>
      <c r="H443" s="725">
        <f t="shared" si="20"/>
        <v>5.5791914698797094E-5</v>
      </c>
    </row>
    <row r="444" spans="1:8" ht="15.6">
      <c r="A444" s="3" t="s">
        <v>4334</v>
      </c>
      <c r="B444" s="3" t="s">
        <v>4335</v>
      </c>
      <c r="C444" s="721">
        <v>16308.68</v>
      </c>
      <c r="D444" s="722">
        <v>2.5000000000000001E-2</v>
      </c>
      <c r="E444" s="723" t="s">
        <v>4148</v>
      </c>
      <c r="F444" s="724" t="str">
        <f t="shared" si="18"/>
        <v>N/A</v>
      </c>
      <c r="G444" s="724" t="str">
        <f t="shared" si="19"/>
        <v>N/A</v>
      </c>
      <c r="H444" s="725" t="str">
        <f t="shared" si="20"/>
        <v>N/A</v>
      </c>
    </row>
    <row r="445" spans="1:8" ht="15.6">
      <c r="A445" s="3" t="s">
        <v>3951</v>
      </c>
      <c r="B445" s="3" t="s">
        <v>3952</v>
      </c>
      <c r="C445" s="721">
        <v>12283.14</v>
      </c>
      <c r="D445" s="722">
        <v>0</v>
      </c>
      <c r="E445" s="723">
        <v>0.1</v>
      </c>
      <c r="F445" s="724">
        <f t="shared" si="18"/>
        <v>0.1</v>
      </c>
      <c r="G445" s="724">
        <f t="shared" si="19"/>
        <v>3.7335126652088973E-4</v>
      </c>
      <c r="H445" s="725">
        <f t="shared" si="20"/>
        <v>3.7335126652088977E-5</v>
      </c>
    </row>
    <row r="446" spans="1:8" ht="15.6">
      <c r="A446" s="3" t="s">
        <v>2721</v>
      </c>
      <c r="B446" s="3" t="s">
        <v>2076</v>
      </c>
      <c r="C446" s="721">
        <v>25314.16</v>
      </c>
      <c r="D446" s="722">
        <v>4.3499999999999997E-2</v>
      </c>
      <c r="E446" s="723">
        <v>4.4999999999999998E-2</v>
      </c>
      <c r="F446" s="724">
        <f t="shared" si="18"/>
        <v>8.9478749999999996E-2</v>
      </c>
      <c r="G446" s="724">
        <f t="shared" si="19"/>
        <v>7.6943466384918238E-4</v>
      </c>
      <c r="H446" s="725">
        <f t="shared" si="20"/>
        <v>6.8848051927895024E-5</v>
      </c>
    </row>
    <row r="447" spans="1:8" ht="15.6">
      <c r="A447" s="3" t="s">
        <v>2722</v>
      </c>
      <c r="B447" s="3" t="s">
        <v>2078</v>
      </c>
      <c r="C447" s="721">
        <v>44381.11</v>
      </c>
      <c r="D447" s="722">
        <v>1.9599999999999999E-2</v>
      </c>
      <c r="E447" s="723">
        <v>6.5000000000000002E-2</v>
      </c>
      <c r="F447" s="724">
        <f t="shared" si="18"/>
        <v>8.5237000000000007E-2</v>
      </c>
      <c r="G447" s="724">
        <f t="shared" si="19"/>
        <v>1.3489827216902946E-3</v>
      </c>
      <c r="H447" s="725">
        <f t="shared" si="20"/>
        <v>1.1498324024871565E-4</v>
      </c>
    </row>
    <row r="448" spans="1:8" ht="15.6">
      <c r="A448" s="3" t="s">
        <v>2723</v>
      </c>
      <c r="B448" s="3" t="s">
        <v>2080</v>
      </c>
      <c r="C448" s="721">
        <v>23693.27</v>
      </c>
      <c r="D448" s="722">
        <v>1.8700000000000001E-2</v>
      </c>
      <c r="E448" s="723">
        <v>0.13</v>
      </c>
      <c r="F448" s="724">
        <f t="shared" si="18"/>
        <v>0.14991550000000001</v>
      </c>
      <c r="G448" s="724">
        <f t="shared" si="19"/>
        <v>7.2016702264416114E-4</v>
      </c>
      <c r="H448" s="725">
        <f t="shared" si="20"/>
        <v>1.0796419928321074E-4</v>
      </c>
    </row>
    <row r="449" spans="1:8" ht="15.6">
      <c r="A449" s="3" t="s">
        <v>3954</v>
      </c>
      <c r="B449" s="3" t="s">
        <v>3955</v>
      </c>
      <c r="C449" s="721">
        <v>434446.1</v>
      </c>
      <c r="D449" s="722">
        <v>0</v>
      </c>
      <c r="E449" s="723">
        <v>0.59499999999999997</v>
      </c>
      <c r="F449" s="724">
        <f t="shared" si="18"/>
        <v>0.59499999999999997</v>
      </c>
      <c r="G449" s="724">
        <f t="shared" si="19"/>
        <v>1.3205174057290003E-2</v>
      </c>
      <c r="H449" s="725">
        <f t="shared" si="20"/>
        <v>7.857078564087551E-3</v>
      </c>
    </row>
    <row r="450" spans="1:8" ht="15.6">
      <c r="A450" s="3" t="s">
        <v>2724</v>
      </c>
      <c r="B450" s="3" t="s">
        <v>2082</v>
      </c>
      <c r="C450" s="721">
        <v>21873.599999999999</v>
      </c>
      <c r="D450" s="722">
        <v>3.1600000000000003E-2</v>
      </c>
      <c r="E450" s="723">
        <v>4.4999999999999998E-2</v>
      </c>
      <c r="F450" s="724">
        <f t="shared" si="18"/>
        <v>7.7310999999999991E-2</v>
      </c>
      <c r="G450" s="724">
        <f t="shared" si="19"/>
        <v>6.6485737876237946E-4</v>
      </c>
      <c r="H450" s="725">
        <f t="shared" si="20"/>
        <v>5.1400788809498313E-5</v>
      </c>
    </row>
    <row r="451" spans="1:8" ht="15.6">
      <c r="A451" s="3" t="s">
        <v>3013</v>
      </c>
      <c r="B451" s="3" t="s">
        <v>3014</v>
      </c>
      <c r="C451" s="721">
        <v>39373.279999999999</v>
      </c>
      <c r="D451" s="722">
        <v>1.5700000000000002E-2</v>
      </c>
      <c r="E451" s="723" t="s">
        <v>4148</v>
      </c>
      <c r="F451" s="724" t="str">
        <f t="shared" si="18"/>
        <v>N/A</v>
      </c>
      <c r="G451" s="724" t="str">
        <f t="shared" si="19"/>
        <v>N/A</v>
      </c>
      <c r="H451" s="725" t="str">
        <f t="shared" si="20"/>
        <v>N/A</v>
      </c>
    </row>
    <row r="452" spans="1:8" ht="15.6">
      <c r="A452" s="3" t="s">
        <v>2725</v>
      </c>
      <c r="B452" s="3" t="s">
        <v>2316</v>
      </c>
      <c r="C452" s="721">
        <v>16729.900000000001</v>
      </c>
      <c r="D452" s="722">
        <v>0</v>
      </c>
      <c r="E452" s="723">
        <v>0.08</v>
      </c>
      <c r="F452" s="724">
        <f t="shared" ref="F452:F503" si="21">IFERROR(D452*(1+0.5*E452)+E452,"N/A")</f>
        <v>0.08</v>
      </c>
      <c r="G452" s="724">
        <f t="shared" ref="G452:G503" si="22">IF(F452="N/A","N/A",C452/$C$504)</f>
        <v>5.0851242872488906E-4</v>
      </c>
      <c r="H452" s="725">
        <f t="shared" si="20"/>
        <v>4.0680994297991127E-5</v>
      </c>
    </row>
    <row r="453" spans="1:8" ht="15.6">
      <c r="A453" s="3" t="s">
        <v>2726</v>
      </c>
      <c r="B453" s="3" t="s">
        <v>2084</v>
      </c>
      <c r="C453" s="721">
        <v>153544.29999999999</v>
      </c>
      <c r="D453" s="722">
        <v>2.9399999999999999E-2</v>
      </c>
      <c r="E453" s="723">
        <v>7.4999999999999997E-2</v>
      </c>
      <c r="F453" s="724">
        <f t="shared" si="21"/>
        <v>0.1055025</v>
      </c>
      <c r="G453" s="724">
        <f t="shared" si="22"/>
        <v>4.6670443284097919E-3</v>
      </c>
      <c r="H453" s="725">
        <f t="shared" ref="H453:H503" si="23">IF(ISNUMBER(G453),F453*G453,"N/A")</f>
        <v>4.923848442580541E-4</v>
      </c>
    </row>
    <row r="454" spans="1:8" ht="15.6">
      <c r="A454" s="3" t="s">
        <v>2727</v>
      </c>
      <c r="B454" s="3" t="s">
        <v>2086</v>
      </c>
      <c r="C454" s="721">
        <v>14862.57</v>
      </c>
      <c r="D454" s="722">
        <v>1.1000000000000001E-3</v>
      </c>
      <c r="E454" s="723">
        <v>0.12</v>
      </c>
      <c r="F454" s="724">
        <f t="shared" si="21"/>
        <v>0.121166</v>
      </c>
      <c r="G454" s="724">
        <f t="shared" si="22"/>
        <v>4.5175413886476752E-4</v>
      </c>
      <c r="H454" s="725">
        <f t="shared" si="23"/>
        <v>5.4737241989688421E-5</v>
      </c>
    </row>
    <row r="455" spans="1:8" ht="15.6">
      <c r="A455" s="3" t="s">
        <v>3038</v>
      </c>
      <c r="B455" s="3" t="s">
        <v>3039</v>
      </c>
      <c r="C455" s="721">
        <v>13719.77</v>
      </c>
      <c r="D455" s="722">
        <v>0</v>
      </c>
      <c r="E455" s="723">
        <v>0.12</v>
      </c>
      <c r="F455" s="724">
        <f t="shared" si="21"/>
        <v>0.12</v>
      </c>
      <c r="G455" s="724">
        <f t="shared" si="22"/>
        <v>4.1701824662710899E-4</v>
      </c>
      <c r="H455" s="725">
        <f t="shared" si="23"/>
        <v>5.0042189595253078E-5</v>
      </c>
    </row>
    <row r="456" spans="1:8" ht="15.6">
      <c r="A456" s="3" t="s">
        <v>2927</v>
      </c>
      <c r="B456" s="3" t="s">
        <v>2087</v>
      </c>
      <c r="C456" s="721">
        <v>12750.15</v>
      </c>
      <c r="D456" s="722">
        <v>0</v>
      </c>
      <c r="E456" s="723" t="s">
        <v>4148</v>
      </c>
      <c r="F456" s="724" t="str">
        <f t="shared" si="21"/>
        <v>N/A</v>
      </c>
      <c r="G456" s="724" t="str">
        <f t="shared" si="22"/>
        <v>N/A</v>
      </c>
      <c r="H456" s="725" t="str">
        <f t="shared" si="23"/>
        <v>N/A</v>
      </c>
    </row>
    <row r="457" spans="1:8" ht="15.6">
      <c r="A457" s="3" t="s">
        <v>2729</v>
      </c>
      <c r="B457" s="3" t="s">
        <v>2089</v>
      </c>
      <c r="C457" s="721">
        <v>12175.6</v>
      </c>
      <c r="D457" s="722">
        <v>4.3400000000000001E-2</v>
      </c>
      <c r="E457" s="723">
        <v>0.105</v>
      </c>
      <c r="F457" s="724">
        <f t="shared" si="21"/>
        <v>0.15067849999999999</v>
      </c>
      <c r="G457" s="724">
        <f t="shared" si="22"/>
        <v>3.7008254246485389E-4</v>
      </c>
      <c r="H457" s="725">
        <f t="shared" si="23"/>
        <v>5.5763482374790483E-5</v>
      </c>
    </row>
    <row r="458" spans="1:8" ht="15.6">
      <c r="A458" s="3" t="s">
        <v>2730</v>
      </c>
      <c r="B458" s="3" t="s">
        <v>2091</v>
      </c>
      <c r="C458" s="721">
        <v>10140.219999999999</v>
      </c>
      <c r="D458" s="722">
        <v>5.6000000000000008E-3</v>
      </c>
      <c r="E458" s="723">
        <v>0.06</v>
      </c>
      <c r="F458" s="724">
        <f t="shared" si="21"/>
        <v>6.5767999999999993E-2</v>
      </c>
      <c r="G458" s="724">
        <f t="shared" si="22"/>
        <v>3.0821630135294855E-4</v>
      </c>
      <c r="H458" s="725">
        <f t="shared" si="23"/>
        <v>2.0270769707380719E-5</v>
      </c>
    </row>
    <row r="459" spans="1:8" ht="15.6">
      <c r="A459" s="3" t="s">
        <v>2731</v>
      </c>
      <c r="B459" s="3" t="s">
        <v>2093</v>
      </c>
      <c r="C459" s="721">
        <v>23079.9</v>
      </c>
      <c r="D459" s="722">
        <v>0</v>
      </c>
      <c r="E459" s="723">
        <v>0.155</v>
      </c>
      <c r="F459" s="724">
        <f t="shared" si="21"/>
        <v>0.155</v>
      </c>
      <c r="G459" s="724">
        <f t="shared" si="22"/>
        <v>7.0152338051796882E-4</v>
      </c>
      <c r="H459" s="725">
        <f t="shared" si="23"/>
        <v>1.0873612398028517E-4</v>
      </c>
    </row>
    <row r="460" spans="1:8" ht="15.6">
      <c r="A460" s="3" t="s">
        <v>2732</v>
      </c>
      <c r="B460" s="3" t="s">
        <v>2095</v>
      </c>
      <c r="C460" s="721">
        <v>493249.9</v>
      </c>
      <c r="D460" s="722">
        <v>1.2500000000000001E-2</v>
      </c>
      <c r="E460" s="723">
        <v>0.12</v>
      </c>
      <c r="F460" s="724">
        <f t="shared" si="21"/>
        <v>0.13325000000000001</v>
      </c>
      <c r="G460" s="724">
        <f t="shared" si="22"/>
        <v>1.4992540578085264E-2</v>
      </c>
      <c r="H460" s="725">
        <f t="shared" si="23"/>
        <v>1.9977560320298617E-3</v>
      </c>
    </row>
    <row r="461" spans="1:8" ht="15.6">
      <c r="A461" s="3" t="s">
        <v>2733</v>
      </c>
      <c r="B461" s="3" t="s">
        <v>2097</v>
      </c>
      <c r="C461" s="721">
        <v>128342.8</v>
      </c>
      <c r="D461" s="722">
        <v>2.5000000000000001E-2</v>
      </c>
      <c r="E461" s="723">
        <v>9.5000000000000001E-2</v>
      </c>
      <c r="F461" s="724">
        <f t="shared" si="21"/>
        <v>0.1211875</v>
      </c>
      <c r="G461" s="724">
        <f t="shared" si="22"/>
        <v>3.9010340131950994E-3</v>
      </c>
      <c r="H461" s="725">
        <f t="shared" si="23"/>
        <v>4.7275655947408112E-4</v>
      </c>
    </row>
    <row r="462" spans="1:8" ht="15.6">
      <c r="A462" s="3" t="s">
        <v>2734</v>
      </c>
      <c r="B462" s="3" t="s">
        <v>2099</v>
      </c>
      <c r="C462" s="721">
        <v>152792.9</v>
      </c>
      <c r="D462" s="722">
        <v>3.44E-2</v>
      </c>
      <c r="E462" s="723">
        <v>8.5000000000000006E-2</v>
      </c>
      <c r="F462" s="724">
        <f t="shared" si="21"/>
        <v>0.120862</v>
      </c>
      <c r="G462" s="724">
        <f t="shared" si="22"/>
        <v>4.6442052057047017E-3</v>
      </c>
      <c r="H462" s="725">
        <f t="shared" si="23"/>
        <v>5.6130792957188164E-4</v>
      </c>
    </row>
    <row r="463" spans="1:8" ht="15.6">
      <c r="A463" s="3" t="s">
        <v>2735</v>
      </c>
      <c r="B463" s="3" t="s">
        <v>2101</v>
      </c>
      <c r="C463" s="721">
        <v>24939.1</v>
      </c>
      <c r="D463" s="722">
        <v>0</v>
      </c>
      <c r="E463" s="723">
        <v>0.18</v>
      </c>
      <c r="F463" s="724">
        <f t="shared" si="21"/>
        <v>0.18</v>
      </c>
      <c r="G463" s="724">
        <f t="shared" si="22"/>
        <v>7.5803455556894424E-4</v>
      </c>
      <c r="H463" s="725">
        <f t="shared" si="23"/>
        <v>1.3644622000240995E-4</v>
      </c>
    </row>
    <row r="464" spans="1:8" ht="15.6">
      <c r="A464" s="3" t="s">
        <v>2736</v>
      </c>
      <c r="B464" s="3" t="s">
        <v>2103</v>
      </c>
      <c r="C464" s="721">
        <v>63458.69</v>
      </c>
      <c r="D464" s="722">
        <v>4.5400000000000003E-2</v>
      </c>
      <c r="E464" s="723">
        <v>0.06</v>
      </c>
      <c r="F464" s="724">
        <f t="shared" si="21"/>
        <v>0.106762</v>
      </c>
      <c r="G464" s="724">
        <f t="shared" si="22"/>
        <v>1.9288538829042511E-3</v>
      </c>
      <c r="H464" s="725">
        <f t="shared" si="23"/>
        <v>2.0592829824662366E-4</v>
      </c>
    </row>
    <row r="465" spans="1:8" ht="15.6">
      <c r="A465" s="3" t="s">
        <v>2737</v>
      </c>
      <c r="B465" s="3" t="s">
        <v>2105</v>
      </c>
      <c r="C465" s="721">
        <v>391284.5</v>
      </c>
      <c r="D465" s="722">
        <v>8.6999999999999994E-3</v>
      </c>
      <c r="E465" s="723">
        <v>0.13500000000000001</v>
      </c>
      <c r="F465" s="724">
        <f t="shared" si="21"/>
        <v>0.14428725000000001</v>
      </c>
      <c r="G465" s="724">
        <f t="shared" si="22"/>
        <v>1.1893258860925878E-2</v>
      </c>
      <c r="H465" s="725">
        <f t="shared" si="23"/>
        <v>1.7160456145811273E-3</v>
      </c>
    </row>
    <row r="466" spans="1:8" ht="15.6">
      <c r="A466" s="3" t="s">
        <v>2738</v>
      </c>
      <c r="B466" s="3" t="s">
        <v>2107</v>
      </c>
      <c r="C466" s="721">
        <v>9892.9699999999993</v>
      </c>
      <c r="D466" s="722">
        <v>8.0100000000000005E-2</v>
      </c>
      <c r="E466" s="723">
        <v>9.5000000000000001E-2</v>
      </c>
      <c r="F466" s="724">
        <f t="shared" si="21"/>
        <v>0.17890475</v>
      </c>
      <c r="G466" s="724">
        <f t="shared" si="22"/>
        <v>3.0070103240321011E-4</v>
      </c>
      <c r="H466" s="725">
        <f t="shared" si="23"/>
        <v>5.3796843026838202E-5</v>
      </c>
    </row>
    <row r="467" spans="1:8" ht="15.6">
      <c r="A467" s="3" t="s">
        <v>4337</v>
      </c>
      <c r="B467" s="3" t="s">
        <v>4338</v>
      </c>
      <c r="C467" s="721">
        <v>20616.72</v>
      </c>
      <c r="D467" s="722">
        <v>4.7599999999999996E-2</v>
      </c>
      <c r="E467" s="723">
        <v>8.5000000000000006E-2</v>
      </c>
      <c r="F467" s="724">
        <f t="shared" si="21"/>
        <v>0.13462299999999999</v>
      </c>
      <c r="G467" s="724">
        <f t="shared" si="22"/>
        <v>6.2665397638605102E-4</v>
      </c>
      <c r="H467" s="725">
        <f t="shared" si="23"/>
        <v>8.4362038263019343E-5</v>
      </c>
    </row>
    <row r="468" spans="1:8" ht="15.6">
      <c r="A468" s="3" t="s">
        <v>2739</v>
      </c>
      <c r="B468" s="3" t="s">
        <v>2109</v>
      </c>
      <c r="C468" s="721">
        <v>47295.96</v>
      </c>
      <c r="D468" s="722">
        <v>3.2000000000000001E-2</v>
      </c>
      <c r="E468" s="723">
        <v>0.31</v>
      </c>
      <c r="F468" s="724">
        <f t="shared" si="21"/>
        <v>0.34695999999999999</v>
      </c>
      <c r="G468" s="724">
        <f t="shared" si="22"/>
        <v>1.4375808276484141E-3</v>
      </c>
      <c r="H468" s="725">
        <f t="shared" si="23"/>
        <v>4.9878304396089377E-4</v>
      </c>
    </row>
    <row r="469" spans="1:8" ht="15.6">
      <c r="A469" s="3" t="s">
        <v>2740</v>
      </c>
      <c r="B469" s="3" t="s">
        <v>2111</v>
      </c>
      <c r="C469" s="721">
        <v>23385.08</v>
      </c>
      <c r="D469" s="722">
        <v>9.1000000000000004E-3</v>
      </c>
      <c r="E469" s="723">
        <v>8.5000000000000006E-2</v>
      </c>
      <c r="F469" s="724">
        <f t="shared" si="21"/>
        <v>9.4486750000000008E-2</v>
      </c>
      <c r="G469" s="724">
        <f t="shared" si="22"/>
        <v>7.1079945646571876E-4</v>
      </c>
      <c r="H469" s="725">
        <f t="shared" si="23"/>
        <v>6.7161130543212256E-5</v>
      </c>
    </row>
    <row r="470" spans="1:8" ht="15.6">
      <c r="A470" s="3" t="s">
        <v>2741</v>
      </c>
      <c r="B470" s="3" t="s">
        <v>2113</v>
      </c>
      <c r="C470" s="721">
        <v>4043.5</v>
      </c>
      <c r="D470" s="722">
        <v>0.10060000000000001</v>
      </c>
      <c r="E470" s="723">
        <v>-0.20499999999999999</v>
      </c>
      <c r="F470" s="724">
        <f t="shared" si="21"/>
        <v>-0.11471149999999998</v>
      </c>
      <c r="G470" s="724">
        <f t="shared" si="22"/>
        <v>1.2290390292524694E-4</v>
      </c>
      <c r="H470" s="725">
        <f t="shared" si="23"/>
        <v>-1.4098491060409462E-5</v>
      </c>
    </row>
    <row r="471" spans="1:8" ht="15.6">
      <c r="A471" s="3" t="s">
        <v>2742</v>
      </c>
      <c r="B471" s="3" t="s">
        <v>1397</v>
      </c>
      <c r="C471" s="721">
        <v>27623.01</v>
      </c>
      <c r="D471" s="722">
        <v>6.9999999999999993E-3</v>
      </c>
      <c r="E471" s="723">
        <v>9.5000000000000001E-2</v>
      </c>
      <c r="F471" s="724">
        <f t="shared" si="21"/>
        <v>0.10233250000000001</v>
      </c>
      <c r="G471" s="724">
        <f t="shared" si="22"/>
        <v>8.3961314196689138E-4</v>
      </c>
      <c r="H471" s="725">
        <f t="shared" si="23"/>
        <v>8.5919711850326923E-5</v>
      </c>
    </row>
    <row r="472" spans="1:8" ht="15.6">
      <c r="A472" s="3" t="s">
        <v>2743</v>
      </c>
      <c r="B472" s="3" t="s">
        <v>2116</v>
      </c>
      <c r="C472" s="721">
        <v>21771.3</v>
      </c>
      <c r="D472" s="722">
        <v>0</v>
      </c>
      <c r="E472" s="723">
        <v>0.11</v>
      </c>
      <c r="F472" s="724">
        <f t="shared" si="21"/>
        <v>0.11</v>
      </c>
      <c r="G472" s="724">
        <f t="shared" si="22"/>
        <v>6.617479267358548E-4</v>
      </c>
      <c r="H472" s="725">
        <f t="shared" si="23"/>
        <v>7.2792271940944024E-5</v>
      </c>
    </row>
    <row r="473" spans="1:8" ht="15.6">
      <c r="A473" s="3" t="s">
        <v>2744</v>
      </c>
      <c r="B473" s="3" t="s">
        <v>2118</v>
      </c>
      <c r="C473" s="721">
        <v>74568.490000000005</v>
      </c>
      <c r="D473" s="722">
        <v>0</v>
      </c>
      <c r="E473" s="723">
        <v>0.13500000000000001</v>
      </c>
      <c r="F473" s="724">
        <f t="shared" si="21"/>
        <v>0.13500000000000001</v>
      </c>
      <c r="G473" s="724">
        <f t="shared" si="22"/>
        <v>2.2665409808933471E-3</v>
      </c>
      <c r="H473" s="725">
        <f t="shared" si="23"/>
        <v>3.0598303242060186E-4</v>
      </c>
    </row>
    <row r="474" spans="1:8" ht="15.6">
      <c r="A474" s="3" t="s">
        <v>2745</v>
      </c>
      <c r="B474" s="3" t="s">
        <v>2120</v>
      </c>
      <c r="C474" s="721">
        <v>17909.990000000002</v>
      </c>
      <c r="D474" s="722">
        <v>4.2800000000000005E-2</v>
      </c>
      <c r="E474" s="723">
        <v>0.105</v>
      </c>
      <c r="F474" s="724">
        <f t="shared" si="21"/>
        <v>0.15004699999999999</v>
      </c>
      <c r="G474" s="724">
        <f t="shared" si="22"/>
        <v>5.4438176637866792E-4</v>
      </c>
      <c r="H474" s="725">
        <f t="shared" si="23"/>
        <v>8.1682850899819973E-5</v>
      </c>
    </row>
    <row r="475" spans="1:8" ht="15.6">
      <c r="A475" s="3" t="s">
        <v>3957</v>
      </c>
      <c r="B475" s="3" t="s">
        <v>3958</v>
      </c>
      <c r="C475" s="721">
        <v>13157.29</v>
      </c>
      <c r="D475" s="722">
        <v>4.4199999999999996E-2</v>
      </c>
      <c r="E475" s="723" t="s">
        <v>4148</v>
      </c>
      <c r="F475" s="724" t="str">
        <f t="shared" si="21"/>
        <v>N/A</v>
      </c>
      <c r="G475" s="724" t="str">
        <f t="shared" si="22"/>
        <v>N/A</v>
      </c>
      <c r="H475" s="725" t="str">
        <f t="shared" si="23"/>
        <v>N/A</v>
      </c>
    </row>
    <row r="476" spans="1:8" ht="15.6">
      <c r="A476" s="3" t="s">
        <v>2746</v>
      </c>
      <c r="B476" s="3" t="s">
        <v>2122</v>
      </c>
      <c r="C476" s="721">
        <v>158669.1</v>
      </c>
      <c r="D476" s="722">
        <v>6.9099999999999995E-2</v>
      </c>
      <c r="E476" s="723">
        <v>2.5000000000000001E-2</v>
      </c>
      <c r="F476" s="724">
        <f t="shared" si="21"/>
        <v>9.4963749999999986E-2</v>
      </c>
      <c r="G476" s="724">
        <f t="shared" si="22"/>
        <v>4.8228148049057253E-3</v>
      </c>
      <c r="H476" s="725">
        <f t="shared" si="23"/>
        <v>4.5799257942936598E-4</v>
      </c>
    </row>
    <row r="477" spans="1:8" ht="15.6">
      <c r="A477" s="3" t="s">
        <v>2978</v>
      </c>
      <c r="B477" s="3" t="s">
        <v>2748</v>
      </c>
      <c r="C477" s="721">
        <v>18464.669999999998</v>
      </c>
      <c r="D477" s="722">
        <v>5.8999999999999999E-3</v>
      </c>
      <c r="E477" s="723">
        <v>9.5000000000000001E-2</v>
      </c>
      <c r="F477" s="724">
        <f t="shared" si="21"/>
        <v>0.10118025</v>
      </c>
      <c r="G477" s="724">
        <f t="shared" si="22"/>
        <v>5.6124150098348438E-4</v>
      </c>
      <c r="H477" s="725">
        <f t="shared" si="23"/>
        <v>5.6786555379884193E-5</v>
      </c>
    </row>
    <row r="478" spans="1:8" ht="15.6">
      <c r="A478" s="3" t="s">
        <v>2749</v>
      </c>
      <c r="B478" s="3" t="s">
        <v>2124</v>
      </c>
      <c r="C478" s="721">
        <v>20645.2</v>
      </c>
      <c r="D478" s="722">
        <v>0</v>
      </c>
      <c r="E478" s="723">
        <v>0.19</v>
      </c>
      <c r="F478" s="724">
        <f t="shared" si="21"/>
        <v>0.19</v>
      </c>
      <c r="G478" s="724">
        <f t="shared" si="22"/>
        <v>6.2751963810369932E-4</v>
      </c>
      <c r="H478" s="725">
        <f t="shared" si="23"/>
        <v>1.1922873123970287E-4</v>
      </c>
    </row>
    <row r="479" spans="1:8" ht="15.6">
      <c r="A479" s="3" t="s">
        <v>2750</v>
      </c>
      <c r="B479" s="3" t="s">
        <v>2126</v>
      </c>
      <c r="C479" s="721">
        <v>33360.28</v>
      </c>
      <c r="D479" s="722">
        <v>4.9699999999999994E-2</v>
      </c>
      <c r="E479" s="723">
        <v>0.05</v>
      </c>
      <c r="F479" s="724">
        <f t="shared" si="21"/>
        <v>0.10094249999999999</v>
      </c>
      <c r="G479" s="724">
        <f t="shared" si="22"/>
        <v>1.0139999047060855E-3</v>
      </c>
      <c r="H479" s="725">
        <f t="shared" si="23"/>
        <v>1.0235568538079402E-4</v>
      </c>
    </row>
    <row r="480" spans="1:8" ht="15.6">
      <c r="A480" s="3" t="s">
        <v>4340</v>
      </c>
      <c r="B480" s="3" t="s">
        <v>4341</v>
      </c>
      <c r="C480" s="721">
        <v>21949.119999999999</v>
      </c>
      <c r="D480" s="722">
        <v>0</v>
      </c>
      <c r="E480" s="723" t="s">
        <v>4148</v>
      </c>
      <c r="F480" s="724" t="str">
        <f t="shared" si="21"/>
        <v>N/A</v>
      </c>
      <c r="G480" s="724" t="str">
        <f t="shared" si="22"/>
        <v>N/A</v>
      </c>
      <c r="H480" s="725" t="str">
        <f t="shared" si="23"/>
        <v>N/A</v>
      </c>
    </row>
    <row r="481" spans="1:8" ht="15.6">
      <c r="A481" s="3" t="s">
        <v>2751</v>
      </c>
      <c r="B481" s="3" t="s">
        <v>2128</v>
      </c>
      <c r="C481" s="721">
        <v>9978.84</v>
      </c>
      <c r="D481" s="722">
        <v>0</v>
      </c>
      <c r="E481" s="723">
        <v>6.5000000000000002E-2</v>
      </c>
      <c r="F481" s="724">
        <f t="shared" si="21"/>
        <v>6.5000000000000002E-2</v>
      </c>
      <c r="G481" s="724">
        <f t="shared" si="22"/>
        <v>3.0331108758911121E-4</v>
      </c>
      <c r="H481" s="725">
        <f t="shared" si="23"/>
        <v>1.9715220693292231E-5</v>
      </c>
    </row>
    <row r="482" spans="1:8" ht="15.6">
      <c r="A482" s="3" t="s">
        <v>2752</v>
      </c>
      <c r="B482" s="3" t="s">
        <v>217</v>
      </c>
      <c r="C482" s="721">
        <v>29934.78</v>
      </c>
      <c r="D482" s="722">
        <v>3.2899999999999999E-2</v>
      </c>
      <c r="E482" s="723">
        <v>0.06</v>
      </c>
      <c r="F482" s="724">
        <f t="shared" si="21"/>
        <v>9.3886999999999998E-2</v>
      </c>
      <c r="G482" s="724">
        <f t="shared" si="22"/>
        <v>9.0988037472699982E-4</v>
      </c>
      <c r="H482" s="725">
        <f t="shared" si="23"/>
        <v>8.5425938741993837E-5</v>
      </c>
    </row>
    <row r="483" spans="1:8" ht="15.6">
      <c r="A483" s="3" t="s">
        <v>2753</v>
      </c>
      <c r="B483" s="3" t="s">
        <v>2318</v>
      </c>
      <c r="C483" s="721">
        <v>28609.94</v>
      </c>
      <c r="D483" s="722">
        <v>4.0599999999999997E-2</v>
      </c>
      <c r="E483" s="723">
        <v>2.5000000000000001E-2</v>
      </c>
      <c r="F483" s="724">
        <f t="shared" si="21"/>
        <v>6.61075E-2</v>
      </c>
      <c r="G483" s="724">
        <f t="shared" si="22"/>
        <v>8.6961129923510312E-4</v>
      </c>
      <c r="H483" s="725">
        <f t="shared" si="23"/>
        <v>5.7487828964184582E-5</v>
      </c>
    </row>
    <row r="484" spans="1:8" ht="15.6">
      <c r="A484" s="3" t="s">
        <v>2754</v>
      </c>
      <c r="B484" s="3" t="s">
        <v>2131</v>
      </c>
      <c r="C484" s="721">
        <v>156068.5</v>
      </c>
      <c r="D484" s="722">
        <v>3.04E-2</v>
      </c>
      <c r="E484" s="723">
        <v>0.12</v>
      </c>
      <c r="F484" s="724">
        <f t="shared" si="21"/>
        <v>0.152224</v>
      </c>
      <c r="G484" s="724">
        <f t="shared" si="22"/>
        <v>4.7437684614044526E-3</v>
      </c>
      <c r="H484" s="725">
        <f t="shared" si="23"/>
        <v>7.2211541026883134E-4</v>
      </c>
    </row>
    <row r="485" spans="1:8" ht="15.6">
      <c r="A485" s="3" t="s">
        <v>2755</v>
      </c>
      <c r="B485" s="3" t="s">
        <v>2133</v>
      </c>
      <c r="C485" s="721">
        <v>7625.34</v>
      </c>
      <c r="D485" s="722">
        <v>4.9599999999999998E-2</v>
      </c>
      <c r="E485" s="723">
        <v>0.05</v>
      </c>
      <c r="F485" s="724">
        <f t="shared" si="21"/>
        <v>0.10084</v>
      </c>
      <c r="G485" s="724">
        <f t="shared" si="22"/>
        <v>2.3177545372375481E-4</v>
      </c>
      <c r="H485" s="725">
        <f t="shared" si="23"/>
        <v>2.3372236753503435E-5</v>
      </c>
    </row>
    <row r="486" spans="1:8" ht="15.6">
      <c r="A486" s="3" t="s">
        <v>2757</v>
      </c>
      <c r="B486" s="3" t="s">
        <v>2135</v>
      </c>
      <c r="C486" s="721">
        <v>65386.7</v>
      </c>
      <c r="D486" s="722">
        <v>1.6299999999999999E-2</v>
      </c>
      <c r="E486" s="723">
        <v>0.08</v>
      </c>
      <c r="F486" s="724">
        <f t="shared" si="21"/>
        <v>9.6951999999999997E-2</v>
      </c>
      <c r="G486" s="724">
        <f t="shared" si="22"/>
        <v>1.9874565671824519E-3</v>
      </c>
      <c r="H486" s="725">
        <f t="shared" si="23"/>
        <v>1.9268788910147306E-4</v>
      </c>
    </row>
    <row r="487" spans="1:8" ht="15.6">
      <c r="A487" s="3" t="s">
        <v>2758</v>
      </c>
      <c r="B487" s="3" t="s">
        <v>2137</v>
      </c>
      <c r="C487" s="721">
        <v>40157.46</v>
      </c>
      <c r="D487" s="722">
        <v>5.16E-2</v>
      </c>
      <c r="E487" s="723">
        <v>0.12</v>
      </c>
      <c r="F487" s="724">
        <f t="shared" si="21"/>
        <v>0.17469599999999999</v>
      </c>
      <c r="G487" s="724">
        <f t="shared" si="22"/>
        <v>1.2206030828649653E-3</v>
      </c>
      <c r="H487" s="725">
        <f t="shared" si="23"/>
        <v>2.1323447616417796E-4</v>
      </c>
    </row>
    <row r="488" spans="1:8" ht="15.6">
      <c r="A488" s="3" t="s">
        <v>2759</v>
      </c>
      <c r="B488" s="3" t="s">
        <v>2139</v>
      </c>
      <c r="C488" s="721">
        <v>392131.2</v>
      </c>
      <c r="D488" s="722">
        <v>1.54E-2</v>
      </c>
      <c r="E488" s="723">
        <v>7.4999999999999997E-2</v>
      </c>
      <c r="F488" s="724">
        <f t="shared" si="21"/>
        <v>9.0977500000000003E-2</v>
      </c>
      <c r="G488" s="724">
        <f t="shared" si="22"/>
        <v>1.1918994667679138E-2</v>
      </c>
      <c r="H488" s="725">
        <f t="shared" si="23"/>
        <v>1.0843603373787789E-3</v>
      </c>
    </row>
    <row r="489" spans="1:8" ht="15.6">
      <c r="A489" s="3" t="s">
        <v>3040</v>
      </c>
      <c r="B489" s="3" t="s">
        <v>2980</v>
      </c>
      <c r="C489" s="721">
        <v>19634.79</v>
      </c>
      <c r="D489" s="722">
        <v>5.4000000000000003E-3</v>
      </c>
      <c r="E489" s="723">
        <v>0.17</v>
      </c>
      <c r="F489" s="724">
        <f t="shared" si="21"/>
        <v>0.17585900000000002</v>
      </c>
      <c r="G489" s="724">
        <f t="shared" si="22"/>
        <v>5.9680779624523542E-4</v>
      </c>
      <c r="H489" s="725">
        <f t="shared" si="23"/>
        <v>1.0495402223989086E-4</v>
      </c>
    </row>
    <row r="490" spans="1:8" ht="15.6">
      <c r="A490" s="3" t="s">
        <v>2760</v>
      </c>
      <c r="B490" s="3" t="s">
        <v>2141</v>
      </c>
      <c r="C490" s="721">
        <v>8967.6</v>
      </c>
      <c r="D490" s="722">
        <v>3.1200000000000002E-2</v>
      </c>
      <c r="E490" s="723">
        <v>0.15</v>
      </c>
      <c r="F490" s="724">
        <f t="shared" si="21"/>
        <v>0.18353999999999998</v>
      </c>
      <c r="G490" s="724">
        <f t="shared" si="22"/>
        <v>2.7257401752749956E-4</v>
      </c>
      <c r="H490" s="725">
        <f t="shared" si="23"/>
        <v>5.0028235176997264E-5</v>
      </c>
    </row>
    <row r="491" spans="1:8" ht="15.6">
      <c r="A491" s="3" t="s">
        <v>3042</v>
      </c>
      <c r="B491" s="3" t="s">
        <v>3019</v>
      </c>
      <c r="C491" s="721">
        <v>17366.32</v>
      </c>
      <c r="D491" s="722">
        <v>3.2000000000000002E-3</v>
      </c>
      <c r="E491" s="723">
        <v>9.5000000000000001E-2</v>
      </c>
      <c r="F491" s="724">
        <f t="shared" si="21"/>
        <v>9.8351999999999995E-2</v>
      </c>
      <c r="G491" s="724">
        <f t="shared" si="22"/>
        <v>5.2785668540837757E-4</v>
      </c>
      <c r="H491" s="725">
        <f t="shared" si="23"/>
        <v>5.1915760723284746E-5</v>
      </c>
    </row>
    <row r="492" spans="1:8" ht="15.6">
      <c r="A492" s="3" t="s">
        <v>2756</v>
      </c>
      <c r="B492" s="3" t="s">
        <v>4343</v>
      </c>
      <c r="C492" s="721">
        <v>26470.06</v>
      </c>
      <c r="D492" s="722">
        <v>1.4800000000000001E-2</v>
      </c>
      <c r="E492" s="723">
        <v>8.5000000000000006E-2</v>
      </c>
      <c r="F492" s="724">
        <f t="shared" si="21"/>
        <v>0.100429</v>
      </c>
      <c r="G492" s="724">
        <f t="shared" si="22"/>
        <v>8.0456873616061887E-4</v>
      </c>
      <c r="H492" s="725">
        <f t="shared" si="23"/>
        <v>8.0802033603874799E-5</v>
      </c>
    </row>
    <row r="493" spans="1:8" ht="15.6">
      <c r="A493" s="3" t="s">
        <v>2761</v>
      </c>
      <c r="B493" s="3" t="s">
        <v>2144</v>
      </c>
      <c r="C493" s="721">
        <v>22945.09</v>
      </c>
      <c r="D493" s="722">
        <v>2.3099999999999999E-2</v>
      </c>
      <c r="E493" s="723">
        <v>5.5E-2</v>
      </c>
      <c r="F493" s="724">
        <f t="shared" si="21"/>
        <v>7.8735250000000007E-2</v>
      </c>
      <c r="G493" s="724">
        <f t="shared" si="22"/>
        <v>6.9742577320911446E-4</v>
      </c>
      <c r="H493" s="725">
        <f t="shared" si="23"/>
        <v>5.4911992610062934E-5</v>
      </c>
    </row>
    <row r="494" spans="1:8" ht="15.6">
      <c r="A494" s="3" t="s">
        <v>2762</v>
      </c>
      <c r="B494" s="3" t="s">
        <v>2146</v>
      </c>
      <c r="C494" s="721">
        <v>9364.61</v>
      </c>
      <c r="D494" s="722">
        <v>0</v>
      </c>
      <c r="E494" s="723" t="s">
        <v>4148</v>
      </c>
      <c r="F494" s="724" t="str">
        <f t="shared" si="21"/>
        <v>N/A</v>
      </c>
      <c r="G494" s="724" t="str">
        <f t="shared" si="22"/>
        <v>N/A</v>
      </c>
      <c r="H494" s="725" t="str">
        <f t="shared" si="23"/>
        <v>N/A</v>
      </c>
    </row>
    <row r="495" spans="1:8" ht="15.6">
      <c r="A495" s="3" t="s">
        <v>2763</v>
      </c>
      <c r="B495" s="3" t="s">
        <v>218</v>
      </c>
      <c r="C495" s="721">
        <v>38514.699999999997</v>
      </c>
      <c r="D495" s="722">
        <v>2.9100000000000001E-2</v>
      </c>
      <c r="E495" s="723">
        <v>0.06</v>
      </c>
      <c r="F495" s="724">
        <f t="shared" si="21"/>
        <v>8.9972999999999997E-2</v>
      </c>
      <c r="G495" s="724">
        <f t="shared" si="22"/>
        <v>1.1706706937047132E-3</v>
      </c>
      <c r="H495" s="725">
        <f t="shared" si="23"/>
        <v>1.0532875432469416E-4</v>
      </c>
    </row>
    <row r="496" spans="1:8" ht="15.6">
      <c r="A496" s="3" t="s">
        <v>2764</v>
      </c>
      <c r="B496" s="3" t="s">
        <v>2148</v>
      </c>
      <c r="C496" s="721">
        <v>444991.1</v>
      </c>
      <c r="D496" s="722">
        <v>3.3700000000000001E-2</v>
      </c>
      <c r="E496" s="723">
        <v>0.315</v>
      </c>
      <c r="F496" s="724">
        <f t="shared" si="21"/>
        <v>0.35400775000000001</v>
      </c>
      <c r="G496" s="724">
        <f t="shared" si="22"/>
        <v>1.3525693818968431E-2</v>
      </c>
      <c r="H496" s="725">
        <f t="shared" si="23"/>
        <v>4.7882004360419216E-3</v>
      </c>
    </row>
    <row r="497" spans="1:8" ht="15.6">
      <c r="A497" s="3" t="s">
        <v>2765</v>
      </c>
      <c r="B497" s="3" t="s">
        <v>2150</v>
      </c>
      <c r="C497" s="721">
        <v>6732.82</v>
      </c>
      <c r="D497" s="722">
        <v>1.6E-2</v>
      </c>
      <c r="E497" s="723">
        <v>0.09</v>
      </c>
      <c r="F497" s="724">
        <f t="shared" si="21"/>
        <v>0.10672</v>
      </c>
      <c r="G497" s="724">
        <f t="shared" si="22"/>
        <v>2.0464692857503675E-4</v>
      </c>
      <c r="H497" s="725">
        <f t="shared" si="23"/>
        <v>2.1839920217527919E-5</v>
      </c>
    </row>
    <row r="498" spans="1:8" ht="15.6">
      <c r="A498" s="3" t="s">
        <v>2766</v>
      </c>
      <c r="B498" s="3" t="s">
        <v>2152</v>
      </c>
      <c r="C498" s="721">
        <v>20029.23</v>
      </c>
      <c r="D498" s="722">
        <v>1.0800000000000001E-2</v>
      </c>
      <c r="E498" s="723">
        <v>0.09</v>
      </c>
      <c r="F498" s="724">
        <f t="shared" si="21"/>
        <v>0.101286</v>
      </c>
      <c r="G498" s="724">
        <f t="shared" si="22"/>
        <v>6.0879696787126099E-4</v>
      </c>
      <c r="H498" s="725">
        <f t="shared" si="23"/>
        <v>6.1662609687808547E-5</v>
      </c>
    </row>
    <row r="499" spans="1:8" ht="15.6">
      <c r="A499" s="3" t="s">
        <v>2767</v>
      </c>
      <c r="B499" s="3" t="s">
        <v>2154</v>
      </c>
      <c r="C499" s="721">
        <v>36573.519999999997</v>
      </c>
      <c r="D499" s="722">
        <v>1.77E-2</v>
      </c>
      <c r="E499" s="723">
        <v>0.105</v>
      </c>
      <c r="F499" s="724">
        <f t="shared" si="21"/>
        <v>0.12362925</v>
      </c>
      <c r="G499" s="724">
        <f t="shared" si="22"/>
        <v>1.1116677016729509E-3</v>
      </c>
      <c r="H499" s="725">
        <f t="shared" si="23"/>
        <v>1.3743464420705066E-4</v>
      </c>
    </row>
    <row r="500" spans="1:8" ht="15.6">
      <c r="A500" s="3" t="s">
        <v>2768</v>
      </c>
      <c r="B500" s="3" t="s">
        <v>2156</v>
      </c>
      <c r="C500" s="721">
        <v>26661.38</v>
      </c>
      <c r="D500" s="722">
        <v>7.9000000000000008E-3</v>
      </c>
      <c r="E500" s="723">
        <v>5.5E-2</v>
      </c>
      <c r="F500" s="724">
        <f t="shared" si="21"/>
        <v>6.311725E-2</v>
      </c>
      <c r="G500" s="724">
        <f t="shared" si="22"/>
        <v>8.1038398896330418E-4</v>
      </c>
      <c r="H500" s="725">
        <f t="shared" si="23"/>
        <v>5.1149208827394112E-5</v>
      </c>
    </row>
    <row r="501" spans="1:8" ht="15.6">
      <c r="A501" s="3" t="s">
        <v>2982</v>
      </c>
      <c r="B501" s="3" t="s">
        <v>2983</v>
      </c>
      <c r="C501" s="721">
        <v>12997.53</v>
      </c>
      <c r="D501" s="722">
        <v>0</v>
      </c>
      <c r="E501" s="723">
        <v>0.115</v>
      </c>
      <c r="F501" s="724">
        <f t="shared" si="21"/>
        <v>0.115</v>
      </c>
      <c r="G501" s="724">
        <f t="shared" si="22"/>
        <v>3.9506545452899344E-4</v>
      </c>
      <c r="H501" s="725">
        <f t="shared" si="23"/>
        <v>4.5432527270834248E-5</v>
      </c>
    </row>
    <row r="502" spans="1:8" ht="15.6">
      <c r="A502" s="3" t="s">
        <v>2769</v>
      </c>
      <c r="B502" s="3" t="s">
        <v>2158</v>
      </c>
      <c r="C502" s="721">
        <v>7117</v>
      </c>
      <c r="D502" s="722">
        <v>3.5099999999999999E-2</v>
      </c>
      <c r="E502" s="723">
        <v>6.5000000000000002E-2</v>
      </c>
      <c r="F502" s="724">
        <f t="shared" si="21"/>
        <v>0.10124074999999999</v>
      </c>
      <c r="G502" s="724">
        <f t="shared" si="22"/>
        <v>2.1632424313564548E-4</v>
      </c>
      <c r="H502" s="725">
        <f t="shared" si="23"/>
        <v>2.19008286182351E-5</v>
      </c>
    </row>
    <row r="503" spans="1:8" ht="15.6">
      <c r="A503" s="3" t="s">
        <v>2770</v>
      </c>
      <c r="B503" s="3" t="s">
        <v>2160</v>
      </c>
      <c r="C503" s="721">
        <v>67596.78</v>
      </c>
      <c r="D503" s="722">
        <v>1.04E-2</v>
      </c>
      <c r="E503" s="723">
        <v>0.11</v>
      </c>
      <c r="F503" s="724">
        <f t="shared" si="21"/>
        <v>0.120972</v>
      </c>
      <c r="G503" s="724">
        <f t="shared" si="22"/>
        <v>2.0546328891255777E-3</v>
      </c>
      <c r="H503" s="725">
        <f t="shared" si="23"/>
        <v>2.4855304986329935E-4</v>
      </c>
    </row>
    <row r="504" spans="1:8">
      <c r="A504" s="122"/>
      <c r="B504" s="122"/>
      <c r="C504" s="726">
        <f>SUMIF(F4:F503, "&lt;&gt;n/a", C4:C503)</f>
        <v>32899687.510000005</v>
      </c>
      <c r="D504" s="727"/>
      <c r="E504" s="727"/>
      <c r="F504" s="727"/>
      <c r="G504" s="727"/>
      <c r="H504" s="728">
        <f>SUM(H4:H503)</f>
        <v>0.15671050750081153</v>
      </c>
    </row>
    <row r="505" spans="1:8">
      <c r="A505" s="122"/>
      <c r="B505" s="122"/>
    </row>
    <row r="506" spans="1:8">
      <c r="A506" s="122"/>
      <c r="B506" s="122"/>
    </row>
    <row r="507" spans="1:8">
      <c r="A507" s="122"/>
      <c r="B507" s="122"/>
    </row>
  </sheetData>
  <conditionalFormatting sqref="A4:A498">
    <cfRule type="duplicateValues" dxfId="17" priority="1"/>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O65"/>
  <sheetViews>
    <sheetView topLeftCell="E1" zoomScale="59" zoomScaleNormal="85" workbookViewId="0">
      <selection activeCell="I41" sqref="I41:L45"/>
    </sheetView>
  </sheetViews>
  <sheetFormatPr defaultColWidth="9" defaultRowHeight="15"/>
  <cols>
    <col min="1" max="1" width="18.33203125" style="562" customWidth="1"/>
    <col min="2" max="2" width="33.33203125" style="562" customWidth="1"/>
    <col min="3" max="3" width="12.33203125" style="562" customWidth="1"/>
    <col min="4" max="4" width="21.33203125" style="562" customWidth="1"/>
    <col min="5" max="5" width="20.33203125" style="562" customWidth="1"/>
    <col min="6" max="6" width="33" style="562" bestFit="1" customWidth="1"/>
    <col min="7" max="7" width="14" style="562" customWidth="1"/>
    <col min="8" max="8" width="9.88671875" style="562" customWidth="1"/>
    <col min="9" max="9" width="19.5546875" style="562" customWidth="1"/>
    <col min="10" max="10" width="18.33203125" style="562" customWidth="1"/>
    <col min="11" max="11" width="10" style="562" customWidth="1"/>
    <col min="12" max="12" width="16.33203125" style="562" customWidth="1"/>
    <col min="13" max="13" width="9.33203125" style="562" customWidth="1"/>
    <col min="14" max="14" width="17.5546875" style="562" customWidth="1"/>
    <col min="15" max="15" width="12.33203125" style="562" customWidth="1"/>
    <col min="16" max="16384" width="9" style="562"/>
  </cols>
  <sheetData>
    <row r="1" spans="1:15" s="551" customFormat="1" ht="13.8">
      <c r="A1" s="548" t="s">
        <v>1319</v>
      </c>
      <c r="B1" s="549">
        <f>'MRP WP2'!B1</f>
        <v>44925</v>
      </c>
      <c r="C1" s="550"/>
      <c r="D1" s="550"/>
      <c r="E1" s="550"/>
      <c r="F1" s="550"/>
      <c r="G1" s="550"/>
      <c r="H1" s="550"/>
    </row>
    <row r="2" spans="1:15" s="551" customFormat="1" ht="13.8">
      <c r="A2" s="550"/>
      <c r="B2" s="550" t="s">
        <v>1318</v>
      </c>
      <c r="C2" s="550" t="s">
        <v>173</v>
      </c>
      <c r="D2" s="550" t="s">
        <v>1317</v>
      </c>
      <c r="E2" s="550" t="s">
        <v>1316</v>
      </c>
      <c r="F2" s="550" t="s">
        <v>1315</v>
      </c>
      <c r="G2" s="550" t="s">
        <v>1314</v>
      </c>
      <c r="H2" s="550" t="s">
        <v>1302</v>
      </c>
      <c r="J2" s="552" t="s">
        <v>2281</v>
      </c>
      <c r="K2" s="553" t="s">
        <v>2282</v>
      </c>
      <c r="L2" s="553" t="s">
        <v>2283</v>
      </c>
      <c r="M2" s="554" t="s">
        <v>2284</v>
      </c>
      <c r="N2" s="554" t="s">
        <v>2280</v>
      </c>
      <c r="O2" s="555" t="s">
        <v>2285</v>
      </c>
    </row>
    <row r="3" spans="1:15" s="551" customFormat="1" ht="13.8">
      <c r="A3" s="550" t="s">
        <v>1508</v>
      </c>
      <c r="B3" s="550" t="s">
        <v>2348</v>
      </c>
      <c r="C3" s="550" t="s">
        <v>205</v>
      </c>
      <c r="D3" s="550">
        <f>VLOOKUP($C3,'MRP WP2'!$C$3:$H$502,2,FALSE)</f>
        <v>22974314196.599998</v>
      </c>
      <c r="E3" s="550">
        <f>VLOOKUP($C3,'MRP WP2'!$C$3:$H$502,3,FALSE)</f>
        <v>2.6461988304093569</v>
      </c>
      <c r="F3" s="550">
        <f>VLOOKUP($C3,'MRP WP2'!$C$3:$H$502,4,FALSE)</f>
        <v>7.3550000000000004</v>
      </c>
      <c r="G3" s="550">
        <f>VLOOKUP($C3,'MRP WP2'!$C$3:$H$502,5,FALSE)</f>
        <v>258.37059999999997</v>
      </c>
      <c r="H3" s="550">
        <f>VLOOKUP($C3,'MRP WP2'!$C$3:$H$502,6,FALSE)</f>
        <v>88.92</v>
      </c>
      <c r="J3" s="552">
        <f>D3/1000000</f>
        <v>22974.3141966</v>
      </c>
      <c r="K3" s="553">
        <f>IFERROR(E3/100,"N/A")</f>
        <v>2.6461988304093569E-2</v>
      </c>
      <c r="L3" s="553">
        <f>IFERROR(F3/100,"N/A")</f>
        <v>7.3550000000000004E-2</v>
      </c>
      <c r="M3" s="554">
        <f>IFERROR(K3*(1+0.5*L3)+L3,"N/A")</f>
        <v>0.10098512792397661</v>
      </c>
      <c r="N3" s="556">
        <f t="shared" ref="N3:N32" si="0">IF(L3="N/A","N/A",J3/$J$33)</f>
        <v>2.7522299887774583E-2</v>
      </c>
      <c r="O3" s="555">
        <f>IF(AND(ISNUMBER(J3),ISNUMBER(M3)),M3*N3,"N/A")</f>
        <v>2.7793429749289633E-3</v>
      </c>
    </row>
    <row r="4" spans="1:15" s="551" customFormat="1" ht="13.8">
      <c r="A4" s="550" t="s">
        <v>1509</v>
      </c>
      <c r="B4" s="550" t="s">
        <v>2349</v>
      </c>
      <c r="C4" s="550" t="s">
        <v>198</v>
      </c>
      <c r="D4" s="550">
        <f>VLOOKUP($C4,'MRP WP2'!$C$3:$H$502,2,FALSE)</f>
        <v>48791356226.100006</v>
      </c>
      <c r="E4" s="550">
        <f>VLOOKUP($C4,'MRP WP2'!$C$3:$H$502,3,FALSE)</f>
        <v>3.3301737756714056</v>
      </c>
      <c r="F4" s="550">
        <f>VLOOKUP($C4,'MRP WP2'!$C$3:$H$502,4,FALSE)</f>
        <v>6.13</v>
      </c>
      <c r="G4" s="550">
        <f>VLOOKUP($C4,'MRP WP2'!$C$3:$H$502,5,FALSE)</f>
        <v>513.86369999999999</v>
      </c>
      <c r="H4" s="550">
        <f>VLOOKUP($C4,'MRP WP2'!$C$3:$H$502,6,FALSE)</f>
        <v>94.95</v>
      </c>
      <c r="J4" s="552">
        <f t="shared" ref="J4:J32" si="1">D4/1000000</f>
        <v>48791.356226100004</v>
      </c>
      <c r="K4" s="553">
        <f t="shared" ref="K4:K32" si="2">IFERROR(E4/100,"N/A")</f>
        <v>3.3301737756714057E-2</v>
      </c>
      <c r="L4" s="553">
        <f t="shared" ref="L4:L32" si="3">IFERROR(F4/100,"N/A")</f>
        <v>6.13E-2</v>
      </c>
      <c r="M4" s="554">
        <f t="shared" ref="M4:M32" si="4">IFERROR(K4*(1+0.5*L4)+L4,"N/A")</f>
        <v>9.5622436018957341E-2</v>
      </c>
      <c r="N4" s="556">
        <f t="shared" si="0"/>
        <v>5.8450072828928758E-2</v>
      </c>
      <c r="O4" s="555">
        <f t="shared" ref="O4:O32" si="5">IF(AND(ISNUMBER(J4),ISNUMBER(M4)),M4*N4,"N/A")</f>
        <v>5.5891383493876373E-3</v>
      </c>
    </row>
    <row r="5" spans="1:15" s="551" customFormat="1" ht="13.8">
      <c r="A5" s="550" t="s">
        <v>1510</v>
      </c>
      <c r="B5" s="550" t="s">
        <v>2990</v>
      </c>
      <c r="C5" s="550" t="s">
        <v>1448</v>
      </c>
      <c r="D5" s="550">
        <f>VLOOKUP($C5,'MRP WP2'!$C$3:$H$502,2,FALSE)</f>
        <v>19210235615.280003</v>
      </c>
      <c r="E5" s="550">
        <f>VLOOKUP($C5,'MRP WP2'!$C$3:$H$502,3,FALSE)</f>
        <v>2.2009735744089012</v>
      </c>
      <c r="F5" s="550" t="str">
        <f>VLOOKUP($C5,'MRP WP2'!$C$3:$H$502,4,FALSE)</f>
        <v>#N/A N/A</v>
      </c>
      <c r="G5" s="550">
        <f>VLOOKUP($C5,'MRP WP2'!$C$3:$H$502,5,FALSE)</f>
        <v>667.94979999999998</v>
      </c>
      <c r="H5" s="550">
        <f>VLOOKUP($C5,'MRP WP2'!$C$3:$H$502,6,FALSE)</f>
        <v>28.76</v>
      </c>
      <c r="J5" s="552">
        <f t="shared" si="1"/>
        <v>19210.235615280002</v>
      </c>
      <c r="K5" s="553">
        <f t="shared" si="2"/>
        <v>2.2009735744089012E-2</v>
      </c>
      <c r="L5" s="553" t="str">
        <f t="shared" si="3"/>
        <v>N/A</v>
      </c>
      <c r="M5" s="554" t="str">
        <f t="shared" si="4"/>
        <v>N/A</v>
      </c>
      <c r="N5" s="556" t="str">
        <f t="shared" si="0"/>
        <v>N/A</v>
      </c>
      <c r="O5" s="555" t="str">
        <f t="shared" si="5"/>
        <v>N/A</v>
      </c>
    </row>
    <row r="6" spans="1:15" s="551" customFormat="1" ht="13.8">
      <c r="A6" s="550" t="s">
        <v>2375</v>
      </c>
      <c r="B6" s="550" t="s">
        <v>2376</v>
      </c>
      <c r="C6" s="550" t="s">
        <v>2333</v>
      </c>
      <c r="D6" s="550">
        <f>VLOOKUP($C6,'MRP WP2'!$C$3:$H$502,2,FALSE)</f>
        <v>15803660206.179998</v>
      </c>
      <c r="E6" s="550">
        <f>VLOOKUP($C6,'MRP WP2'!$C$3:$H$502,3,FALSE)</f>
        <v>2.6081913090033018</v>
      </c>
      <c r="F6" s="550" t="str">
        <f>VLOOKUP($C6,'MRP WP2'!$C$3:$H$502,4,FALSE)</f>
        <v>#N/A N/A</v>
      </c>
      <c r="G6" s="550">
        <f>VLOOKUP($C6,'MRP WP2'!$C$3:$H$502,5,FALSE)</f>
        <v>141.01599999999999</v>
      </c>
      <c r="H6" s="550">
        <f>VLOOKUP($C6,'MRP WP2'!$C$3:$H$502,6,FALSE)</f>
        <v>112.07</v>
      </c>
      <c r="J6" s="552">
        <f t="shared" si="1"/>
        <v>15803.660206179999</v>
      </c>
      <c r="K6" s="553">
        <f t="shared" si="2"/>
        <v>2.6081913090033017E-2</v>
      </c>
      <c r="L6" s="553" t="str">
        <f t="shared" si="3"/>
        <v>N/A</v>
      </c>
      <c r="M6" s="554" t="str">
        <f t="shared" si="4"/>
        <v>N/A</v>
      </c>
      <c r="N6" s="556" t="str">
        <f t="shared" si="0"/>
        <v>N/A</v>
      </c>
      <c r="O6" s="555" t="str">
        <f t="shared" si="5"/>
        <v>N/A</v>
      </c>
    </row>
    <row r="7" spans="1:15" s="551" customFormat="1" ht="13.8">
      <c r="A7" s="550" t="s">
        <v>1556</v>
      </c>
      <c r="B7" s="550" t="s">
        <v>2381</v>
      </c>
      <c r="C7" s="550" t="s">
        <v>156</v>
      </c>
      <c r="D7" s="550">
        <f>VLOOKUP($C7,'MRP WP2'!$C$3:$H$502,2,FALSE)</f>
        <v>27714204555.079998</v>
      </c>
      <c r="E7" s="550">
        <f>VLOOKUP($C7,'MRP WP2'!$C$3:$H$502,3,FALSE)</f>
        <v>1.6874425928355858</v>
      </c>
      <c r="F7" s="550">
        <f>VLOOKUP($C7,'MRP WP2'!$C$3:$H$502,4,FALSE)</f>
        <v>7</v>
      </c>
      <c r="G7" s="550">
        <f>VLOOKUP($C7,'MRP WP2'!$C$3:$H$502,5,FALSE)</f>
        <v>181.8279</v>
      </c>
      <c r="H7" s="550">
        <f>VLOOKUP($C7,'MRP WP2'!$C$3:$H$502,6,FALSE)</f>
        <v>152.41999999999999</v>
      </c>
      <c r="J7" s="552">
        <f t="shared" si="1"/>
        <v>27714.204555079999</v>
      </c>
      <c r="K7" s="553">
        <f t="shared" si="2"/>
        <v>1.6874425928355859E-2</v>
      </c>
      <c r="L7" s="553">
        <f t="shared" si="3"/>
        <v>7.0000000000000007E-2</v>
      </c>
      <c r="M7" s="554">
        <f t="shared" si="4"/>
        <v>8.746503083584832E-2</v>
      </c>
      <c r="N7" s="556">
        <f t="shared" si="0"/>
        <v>3.3200496971914913E-2</v>
      </c>
      <c r="O7" s="555">
        <f t="shared" si="5"/>
        <v>2.9038824914140266E-3</v>
      </c>
    </row>
    <row r="8" spans="1:15" s="551" customFormat="1" ht="13.8">
      <c r="A8" s="550" t="s">
        <v>4277</v>
      </c>
      <c r="B8" s="550" t="s">
        <v>4278</v>
      </c>
      <c r="C8" s="550" t="s">
        <v>4240</v>
      </c>
      <c r="D8" s="550">
        <f>VLOOKUP($C8,'MRP WP2'!$C$3:$H$502,2,FALSE)</f>
        <v>28161698008.769997</v>
      </c>
      <c r="E8" s="550">
        <f>VLOOKUP($C8,'MRP WP2'!$C$3:$H$502,3,FALSE)</f>
        <v>0.64377682403433489</v>
      </c>
      <c r="F8" s="550" t="str">
        <f>VLOOKUP($C8,'MRP WP2'!$C$3:$H$502,4,FALSE)</f>
        <v>#N/A N/A</v>
      </c>
      <c r="G8" s="550">
        <f>VLOOKUP($C8,'MRP WP2'!$C$3:$H$502,5,FALSE)</f>
        <v>326.66390000000001</v>
      </c>
      <c r="H8" s="550">
        <f>VLOOKUP($C8,'MRP WP2'!$C$3:$H$502,6,FALSE)</f>
        <v>86.21</v>
      </c>
      <c r="J8" s="552">
        <f t="shared" ref="J8" si="6">D8/1000000</f>
        <v>28161.698008769996</v>
      </c>
      <c r="K8" s="553">
        <f t="shared" ref="K8" si="7">IFERROR(E8/100,"N/A")</f>
        <v>6.4377682403433494E-3</v>
      </c>
      <c r="L8" s="553" t="str">
        <f t="shared" ref="L8" si="8">IFERROR(F8/100,"N/A")</f>
        <v>N/A</v>
      </c>
      <c r="M8" s="554" t="str">
        <f t="shared" ref="M8" si="9">IFERROR(K8*(1+0.5*L8)+L8,"N/A")</f>
        <v>N/A</v>
      </c>
      <c r="N8" s="556" t="str">
        <f t="shared" si="0"/>
        <v>N/A</v>
      </c>
      <c r="O8" s="555" t="str">
        <f t="shared" ref="O8" si="10">IF(AND(ISNUMBER(J8),ISNUMBER(M8)),M8*N8,"N/A")</f>
        <v>N/A</v>
      </c>
    </row>
    <row r="9" spans="1:15" s="551" customFormat="1" ht="13.8">
      <c r="A9" s="550" t="s">
        <v>1632</v>
      </c>
      <c r="B9" s="550" t="s">
        <v>2431</v>
      </c>
      <c r="C9" s="550" t="s">
        <v>207</v>
      </c>
      <c r="D9" s="550">
        <f>VLOOKUP($C9,'MRP WP2'!$C$3:$H$502,2,FALSE)</f>
        <v>18381633954.66</v>
      </c>
      <c r="E9" s="550">
        <f>VLOOKUP($C9,'MRP WP2'!$C$3:$H$502,3,FALSE)</f>
        <v>2.9148902573819679</v>
      </c>
      <c r="F9" s="550">
        <f>VLOOKUP($C9,'MRP WP2'!$C$3:$H$502,4,FALSE)</f>
        <v>8.09</v>
      </c>
      <c r="G9" s="550">
        <f>VLOOKUP($C9,'MRP WP2'!$C$3:$H$502,5,FALSE)</f>
        <v>290.2516</v>
      </c>
      <c r="H9" s="550">
        <f>VLOOKUP($C9,'MRP WP2'!$C$3:$H$502,6,FALSE)</f>
        <v>63.33</v>
      </c>
      <c r="J9" s="552">
        <f t="shared" si="1"/>
        <v>18381.633954659999</v>
      </c>
      <c r="K9" s="553">
        <f t="shared" si="2"/>
        <v>2.914890257381968E-2</v>
      </c>
      <c r="L9" s="553">
        <f t="shared" si="3"/>
        <v>8.09E-2</v>
      </c>
      <c r="M9" s="554">
        <f t="shared" si="4"/>
        <v>0.11122797568293069</v>
      </c>
      <c r="N9" s="556">
        <f t="shared" si="0"/>
        <v>2.2020454573670013E-2</v>
      </c>
      <c r="O9" s="555">
        <f t="shared" si="5"/>
        <v>2.4492905858472481E-3</v>
      </c>
    </row>
    <row r="10" spans="1:15" s="551" customFormat="1" ht="13.8">
      <c r="A10" s="550" t="s">
        <v>1635</v>
      </c>
      <c r="B10" s="550" t="s">
        <v>2433</v>
      </c>
      <c r="C10" s="550" t="s">
        <v>206</v>
      </c>
      <c r="D10" s="550">
        <f>VLOOKUP($C10,'MRP WP2'!$C$3:$H$502,2,FALSE)</f>
        <v>18876677855.940002</v>
      </c>
      <c r="E10" s="550">
        <f>VLOOKUP($C10,'MRP WP2'!$C$3:$H$502,3,FALSE)</f>
        <v>2.2674224741580526</v>
      </c>
      <c r="F10" s="550" t="str">
        <f>VLOOKUP($C10,'MRP WP2'!$C$3:$H$502,4,FALSE)</f>
        <v>#N/A N/A</v>
      </c>
      <c r="G10" s="550">
        <f>VLOOKUP($C10,'MRP WP2'!$C$3:$H$502,5,FALSE)</f>
        <v>629.43239999999992</v>
      </c>
      <c r="H10" s="550">
        <f>VLOOKUP($C10,'MRP WP2'!$C$3:$H$502,6,FALSE)</f>
        <v>29.99</v>
      </c>
      <c r="J10" s="552">
        <f t="shared" si="1"/>
        <v>18876.677855940001</v>
      </c>
      <c r="K10" s="553">
        <f t="shared" si="2"/>
        <v>2.2674224741580526E-2</v>
      </c>
      <c r="L10" s="553" t="str">
        <f t="shared" si="3"/>
        <v>N/A</v>
      </c>
      <c r="M10" s="554" t="str">
        <f t="shared" si="4"/>
        <v>N/A</v>
      </c>
      <c r="N10" s="556" t="str">
        <f t="shared" si="0"/>
        <v>N/A</v>
      </c>
      <c r="O10" s="555" t="str">
        <f t="shared" si="5"/>
        <v>N/A</v>
      </c>
    </row>
    <row r="11" spans="1:15" s="551" customFormat="1" ht="13.8">
      <c r="A11" s="550" t="s">
        <v>1660</v>
      </c>
      <c r="B11" s="550" t="s">
        <v>2447</v>
      </c>
      <c r="C11" s="550" t="s">
        <v>209</v>
      </c>
      <c r="D11" s="550">
        <f>VLOOKUP($C11,'MRP WP2'!$C$3:$H$502,2,FALSE)</f>
        <v>51096435570.599998</v>
      </c>
      <c r="E11" s="550">
        <f>VLOOKUP($C11,'MRP WP2'!$C$3:$H$502,3,FALSE)</f>
        <v>4.3770384866275283</v>
      </c>
      <c r="F11" s="550">
        <f>VLOOKUP($C11,'MRP WP2'!$C$3:$H$502,4,FALSE)</f>
        <v>6.4630000000000001</v>
      </c>
      <c r="G11" s="550">
        <f>VLOOKUP($C11,'MRP WP2'!$C$3:$H$502,5,FALSE)</f>
        <v>833.27519999999993</v>
      </c>
      <c r="H11" s="550">
        <f>VLOOKUP($C11,'MRP WP2'!$C$3:$H$502,6,FALSE)</f>
        <v>61.32</v>
      </c>
      <c r="J11" s="552">
        <f t="shared" si="1"/>
        <v>51096.435570599999</v>
      </c>
      <c r="K11" s="553">
        <f t="shared" si="2"/>
        <v>4.3770384866275283E-2</v>
      </c>
      <c r="L11" s="553">
        <f t="shared" si="3"/>
        <v>6.4630000000000007E-2</v>
      </c>
      <c r="M11" s="554">
        <f t="shared" si="4"/>
        <v>0.10981482485322898</v>
      </c>
      <c r="N11" s="556">
        <f t="shared" si="0"/>
        <v>6.1211464722569366E-2</v>
      </c>
      <c r="O11" s="555">
        <f t="shared" si="5"/>
        <v>6.7219262775185589E-3</v>
      </c>
    </row>
    <row r="12" spans="1:15" s="551" customFormat="1" ht="13.8">
      <c r="A12" s="550" t="s">
        <v>1685</v>
      </c>
      <c r="B12" s="550" t="s">
        <v>2464</v>
      </c>
      <c r="C12" s="550" t="s">
        <v>210</v>
      </c>
      <c r="D12" s="550">
        <f>VLOOKUP($C12,'MRP WP2'!$C$3:$H$502,2,FALSE)</f>
        <v>22770481981.100002</v>
      </c>
      <c r="E12" s="550">
        <f>VLOOKUP($C12,'MRP WP2'!$C$3:$H$502,3,FALSE)</f>
        <v>3.0273121756147368</v>
      </c>
      <c r="F12" s="550">
        <f>VLOOKUP($C12,'MRP WP2'!$C$3:$H$502,4,FALSE)</f>
        <v>6.133</v>
      </c>
      <c r="G12" s="550">
        <f>VLOOKUP($C12,'MRP WP2'!$C$3:$H$502,5,FALSE)</f>
        <v>193.74189999999999</v>
      </c>
      <c r="H12" s="550">
        <f>VLOOKUP($C12,'MRP WP2'!$C$3:$H$502,6,FALSE)</f>
        <v>117.53</v>
      </c>
      <c r="J12" s="552">
        <f t="shared" si="1"/>
        <v>22770.481981100002</v>
      </c>
      <c r="K12" s="553">
        <f t="shared" si="2"/>
        <v>3.0273121756147367E-2</v>
      </c>
      <c r="L12" s="553">
        <f t="shared" si="3"/>
        <v>6.1330000000000003E-2</v>
      </c>
      <c r="M12" s="554">
        <f t="shared" si="4"/>
        <v>9.2531447034799624E-2</v>
      </c>
      <c r="N12" s="556">
        <f t="shared" si="0"/>
        <v>2.7278117131598528E-2</v>
      </c>
      <c r="O12" s="555">
        <f t="shared" si="5"/>
        <v>2.5240836505715696E-3</v>
      </c>
    </row>
    <row r="13" spans="1:15" s="551" customFormat="1" ht="13.8">
      <c r="A13" s="550" t="s">
        <v>1686</v>
      </c>
      <c r="B13" s="550" t="s">
        <v>2465</v>
      </c>
      <c r="C13" s="550" t="s">
        <v>211</v>
      </c>
      <c r="D13" s="550">
        <f>VLOOKUP($C13,'MRP WP2'!$C$3:$H$502,2,FALSE)</f>
        <v>79302300000</v>
      </c>
      <c r="E13" s="550">
        <f>VLOOKUP($C13,'MRP WP2'!$C$3:$H$502,3,FALSE)</f>
        <v>3.863481891445772</v>
      </c>
      <c r="F13" s="550">
        <f>VLOOKUP($C13,'MRP WP2'!$C$3:$H$502,4,FALSE)</f>
        <v>4.92</v>
      </c>
      <c r="G13" s="550">
        <f>VLOOKUP($C13,'MRP WP2'!$C$3:$H$502,5,FALSE)</f>
        <v>770</v>
      </c>
      <c r="H13" s="550">
        <f>VLOOKUP($C13,'MRP WP2'!$C$3:$H$502,6,FALSE)</f>
        <v>102.99</v>
      </c>
      <c r="J13" s="552">
        <f t="shared" si="1"/>
        <v>79302.3</v>
      </c>
      <c r="K13" s="553">
        <f t="shared" si="2"/>
        <v>3.8634818914457719E-2</v>
      </c>
      <c r="L13" s="553">
        <f t="shared" si="3"/>
        <v>4.9200000000000001E-2</v>
      </c>
      <c r="M13" s="554">
        <f t="shared" si="4"/>
        <v>8.8785235459753378E-2</v>
      </c>
      <c r="N13" s="556">
        <f t="shared" si="0"/>
        <v>9.5000950353210961E-2</v>
      </c>
      <c r="O13" s="555">
        <f t="shared" si="5"/>
        <v>8.4346817460101767E-3</v>
      </c>
    </row>
    <row r="14" spans="1:15" s="551" customFormat="1" ht="13.8">
      <c r="A14" s="550" t="s">
        <v>1697</v>
      </c>
      <c r="B14" s="550" t="s">
        <v>2472</v>
      </c>
      <c r="C14" s="550" t="s">
        <v>208</v>
      </c>
      <c r="D14" s="550">
        <f>VLOOKUP($C14,'MRP WP2'!$C$3:$H$502,2,FALSE)</f>
        <v>33821978042.880001</v>
      </c>
      <c r="E14" s="550">
        <f>VLOOKUP($C14,'MRP WP2'!$C$3:$H$502,3,FALSE)</f>
        <v>3.3343825411814079</v>
      </c>
      <c r="F14" s="550">
        <f>VLOOKUP($C14,'MRP WP2'!$C$3:$H$502,4,FALSE)</f>
        <v>3.9</v>
      </c>
      <c r="G14" s="550">
        <f>VLOOKUP($C14,'MRP WP2'!$C$3:$H$502,5,FALSE)</f>
        <v>354.86279999999999</v>
      </c>
      <c r="H14" s="550">
        <f>VLOOKUP($C14,'MRP WP2'!$C$3:$H$502,6,FALSE)</f>
        <v>95.31</v>
      </c>
      <c r="J14" s="552">
        <f t="shared" si="1"/>
        <v>33821.97804288</v>
      </c>
      <c r="K14" s="553">
        <f t="shared" si="2"/>
        <v>3.3343825411814076E-2</v>
      </c>
      <c r="L14" s="553">
        <f t="shared" si="3"/>
        <v>3.9E-2</v>
      </c>
      <c r="M14" s="554">
        <f t="shared" si="4"/>
        <v>7.2994030007344446E-2</v>
      </c>
      <c r="N14" s="556">
        <f t="shared" si="0"/>
        <v>4.0517362761219207E-2</v>
      </c>
      <c r="O14" s="555">
        <f t="shared" si="5"/>
        <v>2.9575255932108952E-3</v>
      </c>
    </row>
    <row r="15" spans="1:15" s="551" customFormat="1" ht="13.8">
      <c r="A15" s="550" t="s">
        <v>1700</v>
      </c>
      <c r="B15" s="550" t="s">
        <v>2474</v>
      </c>
      <c r="C15" s="550" t="s">
        <v>199</v>
      </c>
      <c r="D15" s="550">
        <f>VLOOKUP($C15,'MRP WP2'!$C$3:$H$502,2,FALSE)</f>
        <v>24294866759.880001</v>
      </c>
      <c r="E15" s="550">
        <f>VLOOKUP($C15,'MRP WP2'!$C$3:$H$502,3,FALSE)</f>
        <v>4.4199937126689726</v>
      </c>
      <c r="F15" s="550">
        <f>VLOOKUP($C15,'MRP WP2'!$C$3:$H$502,4,FALSE)</f>
        <v>3.2850000000000001</v>
      </c>
      <c r="G15" s="550">
        <f>VLOOKUP($C15,'MRP WP2'!$C$3:$H$502,5,FALSE)</f>
        <v>381.87469999999996</v>
      </c>
      <c r="H15" s="550">
        <f>VLOOKUP($C15,'MRP WP2'!$C$3:$H$502,6,FALSE)</f>
        <v>63.62</v>
      </c>
      <c r="J15" s="552">
        <f t="shared" si="1"/>
        <v>24294.866759880002</v>
      </c>
      <c r="K15" s="553">
        <f t="shared" si="2"/>
        <v>4.4199937126689723E-2</v>
      </c>
      <c r="L15" s="553">
        <f t="shared" si="3"/>
        <v>3.2850000000000004E-2</v>
      </c>
      <c r="M15" s="554">
        <f t="shared" si="4"/>
        <v>7.7775921093995601E-2</v>
      </c>
      <c r="N15" s="556">
        <f t="shared" si="0"/>
        <v>2.9104268487713914E-2</v>
      </c>
      <c r="O15" s="555">
        <f t="shared" si="5"/>
        <v>2.2636112893988998E-3</v>
      </c>
    </row>
    <row r="16" spans="1:15" s="551" customFormat="1" ht="13.8">
      <c r="A16" s="550" t="s">
        <v>1713</v>
      </c>
      <c r="B16" s="550" t="s">
        <v>2481</v>
      </c>
      <c r="C16" s="550" t="s">
        <v>1359</v>
      </c>
      <c r="D16" s="550">
        <f>VLOOKUP($C16,'MRP WP2'!$C$3:$H$502,2,FALSE)</f>
        <v>29202093757.440002</v>
      </c>
      <c r="E16" s="550">
        <f>VLOOKUP($C16,'MRP WP2'!$C$3:$H$502,3,FALSE)</f>
        <v>3.0450858778625949</v>
      </c>
      <c r="F16" s="550">
        <f>VLOOKUP($C16,'MRP WP2'!$C$3:$H$502,4,FALSE)</f>
        <v>6.0600000000000005</v>
      </c>
      <c r="G16" s="550">
        <f>VLOOKUP($C16,'MRP WP2'!$C$3:$H$502,5,FALSE)</f>
        <v>348.30739999999997</v>
      </c>
      <c r="H16" s="550">
        <f>VLOOKUP($C16,'MRP WP2'!$C$3:$H$502,6,FALSE)</f>
        <v>83.84</v>
      </c>
      <c r="J16" s="552">
        <f t="shared" si="1"/>
        <v>29202.093757440001</v>
      </c>
      <c r="K16" s="553">
        <f t="shared" si="2"/>
        <v>3.0450858778625949E-2</v>
      </c>
      <c r="L16" s="553">
        <f t="shared" si="3"/>
        <v>6.0600000000000008E-2</v>
      </c>
      <c r="M16" s="554">
        <f t="shared" si="4"/>
        <v>9.197351979961832E-2</v>
      </c>
      <c r="N16" s="556">
        <f t="shared" si="0"/>
        <v>3.4982928102468266E-2</v>
      </c>
      <c r="O16" s="555">
        <f t="shared" si="5"/>
        <v>3.2175030304809893E-3</v>
      </c>
    </row>
    <row r="17" spans="1:15" s="551" customFormat="1" ht="13.8">
      <c r="A17" s="550" t="s">
        <v>1718</v>
      </c>
      <c r="B17" s="550" t="s">
        <v>2484</v>
      </c>
      <c r="C17" s="550" t="s">
        <v>212</v>
      </c>
      <c r="D17" s="550">
        <f>VLOOKUP($C17,'MRP WP2'!$C$3:$H$502,2,FALSE)</f>
        <v>22891911750</v>
      </c>
      <c r="E17" s="550">
        <f>VLOOKUP($C17,'MRP WP2'!$C$3:$H$502,3,FALSE)</f>
        <v>3.6364444444444448</v>
      </c>
      <c r="F17" s="550">
        <f>VLOOKUP($C17,'MRP WP2'!$C$3:$H$502,4,FALSE)</f>
        <v>6</v>
      </c>
      <c r="G17" s="550">
        <f>VLOOKUP($C17,'MRP WP2'!$C$3:$H$502,5,FALSE)</f>
        <v>203.4837</v>
      </c>
      <c r="H17" s="550">
        <f>VLOOKUP($C17,'MRP WP2'!$C$3:$H$502,6,FALSE)</f>
        <v>112.5</v>
      </c>
      <c r="J17" s="552">
        <f t="shared" si="1"/>
        <v>22891.911749999999</v>
      </c>
      <c r="K17" s="553">
        <f t="shared" si="2"/>
        <v>3.6364444444444449E-2</v>
      </c>
      <c r="L17" s="553">
        <f t="shared" si="3"/>
        <v>0.06</v>
      </c>
      <c r="M17" s="554">
        <f t="shared" si="4"/>
        <v>9.7455377777777782E-2</v>
      </c>
      <c r="N17" s="556">
        <f t="shared" si="0"/>
        <v>2.7423585087088729E-2</v>
      </c>
      <c r="O17" s="555">
        <f t="shared" si="5"/>
        <v>2.6725758446832651E-3</v>
      </c>
    </row>
    <row r="18" spans="1:15" s="551" customFormat="1" ht="13.8">
      <c r="A18" s="550" t="s">
        <v>2485</v>
      </c>
      <c r="B18" s="550" t="s">
        <v>2486</v>
      </c>
      <c r="C18" s="550" t="s">
        <v>2334</v>
      </c>
      <c r="D18" s="550">
        <f>VLOOKUP($C18,'MRP WP2'!$C$3:$H$502,2,FALSE)</f>
        <v>14441067908.679998</v>
      </c>
      <c r="E18" s="550">
        <f>VLOOKUP($C18,'MRP WP2'!$C$3:$H$502,3,FALSE)</f>
        <v>3.6945812807881779</v>
      </c>
      <c r="F18" s="550">
        <f>VLOOKUP($C18,'MRP WP2'!$C$3:$H$502,4,FALSE)</f>
        <v>5.12</v>
      </c>
      <c r="G18" s="550">
        <f>VLOOKUP($C18,'MRP WP2'!$C$3:$H$502,5,FALSE)</f>
        <v>229.47829999999999</v>
      </c>
      <c r="H18" s="550">
        <f>VLOOKUP($C18,'MRP WP2'!$C$3:$H$502,6,FALSE)</f>
        <v>62.93</v>
      </c>
      <c r="J18" s="552">
        <f t="shared" si="1"/>
        <v>14441.067908679999</v>
      </c>
      <c r="K18" s="553">
        <f t="shared" si="2"/>
        <v>3.6945812807881777E-2</v>
      </c>
      <c r="L18" s="553">
        <f t="shared" si="3"/>
        <v>5.1200000000000002E-2</v>
      </c>
      <c r="M18" s="554">
        <f t="shared" si="4"/>
        <v>8.9091625615763559E-2</v>
      </c>
      <c r="N18" s="556">
        <f t="shared" si="0"/>
        <v>1.7299815710765724E-2</v>
      </c>
      <c r="O18" s="555">
        <f t="shared" si="5"/>
        <v>1.5412687045252445E-3</v>
      </c>
    </row>
    <row r="19" spans="1:15" s="551" customFormat="1" ht="13.8">
      <c r="A19" s="550" t="s">
        <v>2901</v>
      </c>
      <c r="B19" s="550" t="s">
        <v>2488</v>
      </c>
      <c r="C19" s="550" t="s">
        <v>213</v>
      </c>
      <c r="D19" s="550">
        <f>VLOOKUP($C19,'MRP WP2'!$C$3:$H$502,2,FALSE)</f>
        <v>42873656406.899994</v>
      </c>
      <c r="E19" s="550">
        <f>VLOOKUP($C19,'MRP WP2'!$C$3:$H$502,3,FALSE)</f>
        <v>3.2338653712699519</v>
      </c>
      <c r="F19" s="550" t="str">
        <f>VLOOKUP($C19,'MRP WP2'!$C$3:$H$502,4,FALSE)</f>
        <v>#N/A N/A</v>
      </c>
      <c r="G19" s="550">
        <f>VLOOKUP($C19,'MRP WP2'!$C$3:$H$502,5,FALSE)</f>
        <v>991.75699999999995</v>
      </c>
      <c r="H19" s="550">
        <f>VLOOKUP($C19,'MRP WP2'!$C$3:$H$502,6,FALSE)</f>
        <v>43.23</v>
      </c>
      <c r="J19" s="552">
        <f t="shared" si="1"/>
        <v>42873.656406899994</v>
      </c>
      <c r="K19" s="553">
        <f t="shared" si="2"/>
        <v>3.2338653712699519E-2</v>
      </c>
      <c r="L19" s="553" t="str">
        <f t="shared" si="3"/>
        <v>N/A</v>
      </c>
      <c r="M19" s="554" t="str">
        <f t="shared" si="4"/>
        <v>N/A</v>
      </c>
      <c r="N19" s="556" t="str">
        <f t="shared" si="0"/>
        <v>N/A</v>
      </c>
      <c r="O19" s="555" t="str">
        <f t="shared" si="5"/>
        <v>N/A</v>
      </c>
    </row>
    <row r="20" spans="1:15" s="551" customFormat="1" ht="13.8">
      <c r="A20" s="550" t="s">
        <v>1735</v>
      </c>
      <c r="B20" s="550" t="s">
        <v>2498</v>
      </c>
      <c r="C20" s="550" t="s">
        <v>200</v>
      </c>
      <c r="D20" s="550">
        <f>VLOOKUP($C20,'MRP WP2'!$C$3:$H$502,2,FALSE)</f>
        <v>23979328998.299999</v>
      </c>
      <c r="E20" s="550">
        <f>VLOOKUP($C20,'MRP WP2'!$C$3:$H$502,3,FALSE)</f>
        <v>3.7315212207916071</v>
      </c>
      <c r="F20" s="550">
        <f>VLOOKUP($C20,'MRP WP2'!$C$3:$H$502,4,FALSE)</f>
        <v>6</v>
      </c>
      <c r="G20" s="550">
        <f>VLOOKUP($C20,'MRP WP2'!$C$3:$H$502,5,FALSE)</f>
        <v>571.75319999999999</v>
      </c>
      <c r="H20" s="550">
        <f>VLOOKUP($C20,'MRP WP2'!$C$3:$H$502,6,FALSE)</f>
        <v>41.94</v>
      </c>
      <c r="J20" s="552">
        <f t="shared" si="1"/>
        <v>23979.3289983</v>
      </c>
      <c r="K20" s="553">
        <f t="shared" si="2"/>
        <v>3.7315212207916074E-2</v>
      </c>
      <c r="L20" s="553">
        <f t="shared" si="3"/>
        <v>0.06</v>
      </c>
      <c r="M20" s="554">
        <f t="shared" si="4"/>
        <v>9.8434668574153561E-2</v>
      </c>
      <c r="N20" s="556">
        <f t="shared" si="0"/>
        <v>2.872626700197611E-2</v>
      </c>
      <c r="O20" s="555">
        <f t="shared" si="5"/>
        <v>2.8276605717121621E-3</v>
      </c>
    </row>
    <row r="21" spans="1:15" s="551" customFormat="1" ht="13.8">
      <c r="A21" s="550" t="s">
        <v>2587</v>
      </c>
      <c r="B21" s="550" t="s">
        <v>2588</v>
      </c>
      <c r="C21" s="550" t="s">
        <v>1355</v>
      </c>
      <c r="D21" s="550">
        <f>VLOOKUP($C21,'MRP WP2'!$C$3:$H$502,2,FALSE)</f>
        <v>13858915234.300001</v>
      </c>
      <c r="E21" s="550">
        <f>VLOOKUP($C21,'MRP WP2'!$C$3:$H$502,3,FALSE)</f>
        <v>3.0972649882267707</v>
      </c>
      <c r="F21" s="550">
        <f>VLOOKUP($C21,'MRP WP2'!$C$3:$H$502,4,FALSE)</f>
        <v>6.3</v>
      </c>
      <c r="G21" s="550">
        <f>VLOOKUP($C21,'MRP WP2'!$C$3:$H$502,5,FALSE)</f>
        <v>251.02179999999998</v>
      </c>
      <c r="H21" s="550">
        <f>VLOOKUP($C21,'MRP WP2'!$C$3:$H$502,6,FALSE)</f>
        <v>55.21</v>
      </c>
      <c r="J21" s="552">
        <f t="shared" si="1"/>
        <v>13858.915234300001</v>
      </c>
      <c r="K21" s="553">
        <f t="shared" si="2"/>
        <v>3.0972649882267708E-2</v>
      </c>
      <c r="L21" s="553">
        <f t="shared" si="3"/>
        <v>6.3E-2</v>
      </c>
      <c r="M21" s="554">
        <f t="shared" si="4"/>
        <v>9.4948288353559146E-2</v>
      </c>
      <c r="N21" s="556">
        <f t="shared" si="0"/>
        <v>1.6602420334884276E-2</v>
      </c>
      <c r="O21" s="555">
        <f t="shared" si="5"/>
        <v>1.5763713933235862E-3</v>
      </c>
    </row>
    <row r="22" spans="1:15" s="551" customFormat="1" ht="13.8">
      <c r="A22" s="550" t="s">
        <v>1929</v>
      </c>
      <c r="B22" s="550" t="s">
        <v>2628</v>
      </c>
      <c r="C22" s="550" t="s">
        <v>201</v>
      </c>
      <c r="D22" s="550">
        <f>VLOOKUP($C22,'MRP WP2'!$C$3:$H$502,2,FALSE)</f>
        <v>166126881307.19998</v>
      </c>
      <c r="E22" s="550">
        <f>VLOOKUP($C22,'MRP WP2'!$C$3:$H$502,3,FALSE)</f>
        <v>2.0275119617224884</v>
      </c>
      <c r="F22" s="550">
        <f>VLOOKUP($C22,'MRP WP2'!$C$3:$H$502,4,FALSE)</f>
        <v>8</v>
      </c>
      <c r="G22" s="550">
        <f>VLOOKUP($C22,'MRP WP2'!$C$3:$H$502,5,FALSE)</f>
        <v>1987.164</v>
      </c>
      <c r="H22" s="550">
        <f>VLOOKUP($C22,'MRP WP2'!$C$3:$H$502,6,FALSE)</f>
        <v>83.6</v>
      </c>
      <c r="J22" s="552">
        <f t="shared" si="1"/>
        <v>166126.88130719998</v>
      </c>
      <c r="K22" s="553">
        <f t="shared" si="2"/>
        <v>2.0275119617224883E-2</v>
      </c>
      <c r="L22" s="553">
        <f t="shared" si="3"/>
        <v>0.08</v>
      </c>
      <c r="M22" s="554">
        <f t="shared" si="4"/>
        <v>0.10108612440191388</v>
      </c>
      <c r="N22" s="556">
        <f t="shared" si="0"/>
        <v>0.19901328969524307</v>
      </c>
      <c r="O22" s="555">
        <f t="shared" si="5"/>
        <v>2.0117482159767466E-2</v>
      </c>
    </row>
    <row r="23" spans="1:15" s="551" customFormat="1" ht="13.8">
      <c r="A23" s="550" t="s">
        <v>1934</v>
      </c>
      <c r="B23" s="550" t="s">
        <v>2630</v>
      </c>
      <c r="C23" s="550" t="s">
        <v>214</v>
      </c>
      <c r="D23" s="550">
        <f>VLOOKUP($C23,'MRP WP2'!$C$3:$H$502,2,FALSE)</f>
        <v>11136203657.640001</v>
      </c>
      <c r="E23" s="550">
        <f>VLOOKUP($C23,'MRP WP2'!$C$3:$H$502,3,FALSE)</f>
        <v>3.450036469730124</v>
      </c>
      <c r="F23" s="550">
        <f>VLOOKUP($C23,'MRP WP2'!$C$3:$H$502,4,FALSE)</f>
        <v>7.65</v>
      </c>
      <c r="G23" s="550">
        <f>VLOOKUP($C23,'MRP WP2'!$C$3:$H$502,5,FALSE)</f>
        <v>406.1343</v>
      </c>
      <c r="H23" s="550">
        <f>VLOOKUP($C23,'MRP WP2'!$C$3:$H$502,6,FALSE)</f>
        <v>27.42</v>
      </c>
      <c r="J23" s="552">
        <f t="shared" si="1"/>
        <v>11136.203657640001</v>
      </c>
      <c r="K23" s="553">
        <f t="shared" si="2"/>
        <v>3.4500364697301243E-2</v>
      </c>
      <c r="L23" s="553">
        <f t="shared" si="3"/>
        <v>7.6499999999999999E-2</v>
      </c>
      <c r="M23" s="554">
        <f t="shared" si="4"/>
        <v>0.112320003646973</v>
      </c>
      <c r="N23" s="556">
        <f t="shared" si="0"/>
        <v>1.3340721905956119E-2</v>
      </c>
      <c r="O23" s="555">
        <f t="shared" si="5"/>
        <v>1.498429933130244E-3</v>
      </c>
    </row>
    <row r="24" spans="1:15" s="551" customFormat="1" ht="13.8">
      <c r="A24" s="550" t="s">
        <v>1939</v>
      </c>
      <c r="B24" s="550" t="s">
        <v>2633</v>
      </c>
      <c r="C24" s="550" t="s">
        <v>1449</v>
      </c>
      <c r="D24" s="550">
        <f>VLOOKUP($C24,'MRP WP2'!$C$3:$H$502,2,FALSE)</f>
        <v>6790032538.7799997</v>
      </c>
      <c r="E24" s="550">
        <f>VLOOKUP($C24,'MRP WP2'!$C$3:$H$502,3,FALSE)</f>
        <v>4.3997485857950975</v>
      </c>
      <c r="F24" s="550">
        <f>VLOOKUP($C24,'MRP WP2'!$C$3:$H$502,4,FALSE)</f>
        <v>-3.45</v>
      </c>
      <c r="G24" s="550">
        <f>VLOOKUP($C24,'MRP WP2'!$C$3:$H$502,5,FALSE)</f>
        <v>213.3888</v>
      </c>
      <c r="H24" s="550">
        <f>VLOOKUP($C24,'MRP WP2'!$C$3:$H$502,6,FALSE)</f>
        <v>31.82</v>
      </c>
      <c r="J24" s="552">
        <f t="shared" si="1"/>
        <v>6790.0325387799994</v>
      </c>
      <c r="K24" s="553">
        <f t="shared" si="2"/>
        <v>4.3997485857950977E-2</v>
      </c>
      <c r="L24" s="553">
        <f t="shared" si="3"/>
        <v>-3.4500000000000003E-2</v>
      </c>
      <c r="M24" s="554">
        <f t="shared" si="4"/>
        <v>8.738529226901319E-3</v>
      </c>
      <c r="N24" s="556">
        <f t="shared" si="0"/>
        <v>8.1341845584973656E-3</v>
      </c>
      <c r="O24" s="555">
        <f t="shared" si="5"/>
        <v>7.1080809501438636E-5</v>
      </c>
    </row>
    <row r="25" spans="1:15" s="551" customFormat="1" ht="13.8">
      <c r="A25" s="550" t="s">
        <v>4324</v>
      </c>
      <c r="B25" s="550" t="s">
        <v>4396</v>
      </c>
      <c r="C25" s="550" t="s">
        <v>4326</v>
      </c>
      <c r="D25" s="550">
        <f>VLOOKUP($C25,'MRP WP2'!$C$3:$H$502,2,FALSE)</f>
        <v>32320003382.100002</v>
      </c>
      <c r="E25" s="550">
        <f>VLOOKUP($C25,'MRP WP2'!$C$3:$H$502,3,FALSE)</f>
        <v>0</v>
      </c>
      <c r="F25" s="550">
        <f>VLOOKUP($C25,'MRP WP2'!$C$3:$H$502,4,FALSE)</f>
        <v>6.2549999999999999</v>
      </c>
      <c r="G25" s="550">
        <f>VLOOKUP($C25,'MRP WP2'!$C$3:$H$502,5,FALSE)</f>
        <v>1987.6999999999998</v>
      </c>
      <c r="H25" s="550">
        <f>VLOOKUP($C25,'MRP WP2'!$C$3:$H$502,6,FALSE)</f>
        <v>16.260000000000002</v>
      </c>
      <c r="J25" s="552">
        <f t="shared" ref="J25" si="11">D25/1000000</f>
        <v>32320.003382100003</v>
      </c>
      <c r="K25" s="553">
        <f t="shared" ref="K25" si="12">IFERROR(E25/100,"N/A")</f>
        <v>0</v>
      </c>
      <c r="L25" s="553">
        <f t="shared" ref="L25" si="13">IFERROR(F25/100,"N/A")</f>
        <v>6.2549999999999994E-2</v>
      </c>
      <c r="M25" s="554">
        <f t="shared" ref="M25" si="14">IFERROR(K25*(1+0.5*L25)+L25,"N/A")</f>
        <v>6.2549999999999994E-2</v>
      </c>
      <c r="N25" s="556">
        <f t="shared" ref="N25" si="15">IF(L25="N/A","N/A",J25/$J$33)</f>
        <v>3.8718057820750378E-2</v>
      </c>
      <c r="O25" s="555">
        <f t="shared" ref="O25" si="16">IF(AND(ISNUMBER(J25),ISNUMBER(M25)),M25*N25,"N/A")</f>
        <v>2.4218145166879359E-3</v>
      </c>
    </row>
    <row r="26" spans="1:15" s="551" customFormat="1" ht="13.8">
      <c r="A26" s="550" t="s">
        <v>1967</v>
      </c>
      <c r="B26" s="550" t="s">
        <v>2650</v>
      </c>
      <c r="C26" s="550" t="s">
        <v>215</v>
      </c>
      <c r="D26" s="550">
        <f>VLOOKUP($C26,'MRP WP2'!$C$3:$H$502,2,FALSE)</f>
        <v>30570650814.880001</v>
      </c>
      <c r="E26" s="550">
        <f>VLOOKUP($C26,'MRP WP2'!$C$3:$H$502,3,FALSE)</f>
        <v>3.520483107556716</v>
      </c>
      <c r="F26" s="550">
        <f>VLOOKUP($C26,'MRP WP2'!$C$3:$H$502,4,FALSE)</f>
        <v>4.6500000000000004</v>
      </c>
      <c r="G26" s="550">
        <f>VLOOKUP($C26,'MRP WP2'!$C$3:$H$502,5,FALSE)</f>
        <v>498.94969999999995</v>
      </c>
      <c r="H26" s="550">
        <f>VLOOKUP($C26,'MRP WP2'!$C$3:$H$502,6,FALSE)</f>
        <v>61.27</v>
      </c>
      <c r="J26" s="552">
        <f t="shared" si="1"/>
        <v>30570.650814880002</v>
      </c>
      <c r="K26" s="553">
        <f t="shared" si="2"/>
        <v>3.5204831075567163E-2</v>
      </c>
      <c r="L26" s="553">
        <f t="shared" si="3"/>
        <v>4.6500000000000007E-2</v>
      </c>
      <c r="M26" s="554">
        <f t="shared" si="4"/>
        <v>8.25233433980741E-2</v>
      </c>
      <c r="N26" s="556">
        <f t="shared" si="0"/>
        <v>3.662240414628281E-2</v>
      </c>
      <c r="O26" s="555">
        <f t="shared" si="5"/>
        <v>3.0222032334267491E-3</v>
      </c>
    </row>
    <row r="27" spans="1:15" s="551" customFormat="1" ht="13.8">
      <c r="A27" s="550" t="s">
        <v>1990</v>
      </c>
      <c r="B27" s="550" t="s">
        <v>2664</v>
      </c>
      <c r="C27" s="550" t="s">
        <v>202</v>
      </c>
      <c r="D27" s="550">
        <f>VLOOKUP($C27,'MRP WP2'!$C$3:$H$502,2,FALSE)</f>
        <v>8603181036.1200008</v>
      </c>
      <c r="E27" s="550">
        <f>VLOOKUP($C27,'MRP WP2'!$C$3:$H$502,3,FALSE)</f>
        <v>4.4871120462914247</v>
      </c>
      <c r="F27" s="550">
        <f>VLOOKUP($C27,'MRP WP2'!$C$3:$H$502,4,FALSE)</f>
        <v>-2.1</v>
      </c>
      <c r="G27" s="550">
        <f>VLOOKUP($C27,'MRP WP2'!$C$3:$H$502,5,FALSE)</f>
        <v>113.14019999999999</v>
      </c>
      <c r="H27" s="550">
        <f>VLOOKUP($C27,'MRP WP2'!$C$3:$H$502,6,FALSE)</f>
        <v>76.040000000000006</v>
      </c>
      <c r="J27" s="552">
        <f t="shared" si="1"/>
        <v>8603.1810361200005</v>
      </c>
      <c r="K27" s="553">
        <f t="shared" si="2"/>
        <v>4.4871120462914249E-2</v>
      </c>
      <c r="L27" s="553">
        <f t="shared" si="3"/>
        <v>-2.1000000000000001E-2</v>
      </c>
      <c r="M27" s="554">
        <f t="shared" si="4"/>
        <v>2.3399973698053651E-2</v>
      </c>
      <c r="N27" s="556">
        <f t="shared" si="0"/>
        <v>1.0306263178900514E-2</v>
      </c>
      <c r="O27" s="555">
        <f t="shared" si="5"/>
        <v>2.4116628731149083E-4</v>
      </c>
    </row>
    <row r="28" spans="1:15" s="551" customFormat="1" ht="13.8">
      <c r="A28" s="550" t="s">
        <v>1993</v>
      </c>
      <c r="B28" s="550" t="s">
        <v>2666</v>
      </c>
      <c r="C28" s="550" t="s">
        <v>203</v>
      </c>
      <c r="D28" s="550">
        <f>VLOOKUP($C28,'MRP WP2'!$C$3:$H$502,2,FALSE)</f>
        <v>21515220258.479996</v>
      </c>
      <c r="E28" s="550">
        <f>VLOOKUP($C28,'MRP WP2'!$C$3:$H$502,3,FALSE)</f>
        <v>3.0595482546201236</v>
      </c>
      <c r="F28" s="550" t="str">
        <f>VLOOKUP($C28,'MRP WP2'!$C$3:$H$502,4,FALSE)</f>
        <v>#N/A N/A</v>
      </c>
      <c r="G28" s="550">
        <f>VLOOKUP($C28,'MRP WP2'!$C$3:$H$502,5,FALSE)</f>
        <v>736.31830000000002</v>
      </c>
      <c r="H28" s="550">
        <f>VLOOKUP($C28,'MRP WP2'!$C$3:$H$502,6,FALSE)</f>
        <v>29.22</v>
      </c>
      <c r="J28" s="552">
        <f t="shared" si="1"/>
        <v>21515.220258479996</v>
      </c>
      <c r="K28" s="553">
        <f t="shared" si="2"/>
        <v>3.0595482546201237E-2</v>
      </c>
      <c r="L28" s="553" t="str">
        <f t="shared" si="3"/>
        <v>N/A</v>
      </c>
      <c r="M28" s="554" t="str">
        <f t="shared" si="4"/>
        <v>N/A</v>
      </c>
      <c r="N28" s="556" t="str">
        <f t="shared" si="0"/>
        <v>N/A</v>
      </c>
      <c r="O28" s="555" t="str">
        <f t="shared" si="5"/>
        <v>N/A</v>
      </c>
    </row>
    <row r="29" spans="1:15" s="551" customFormat="1" ht="13.8">
      <c r="A29" s="550" t="s">
        <v>2041</v>
      </c>
      <c r="B29" s="550" t="s">
        <v>2700</v>
      </c>
      <c r="C29" s="550" t="s">
        <v>204</v>
      </c>
      <c r="D29" s="550">
        <f>VLOOKUP($C29,'MRP WP2'!$C$3:$H$502,2,FALSE)</f>
        <v>77742126647.479996</v>
      </c>
      <c r="E29" s="550">
        <f>VLOOKUP($C29,'MRP WP2'!$C$3:$H$502,3,FALSE)</f>
        <v>3.7837837837837838</v>
      </c>
      <c r="F29" s="550">
        <f>VLOOKUP($C29,'MRP WP2'!$C$3:$H$502,4,FALSE)</f>
        <v>5.0330000000000004</v>
      </c>
      <c r="G29" s="550">
        <f>VLOOKUP($C29,'MRP WP2'!$C$3:$H$502,5,FALSE)</f>
        <v>1088.673</v>
      </c>
      <c r="H29" s="550">
        <f>VLOOKUP($C29,'MRP WP2'!$C$3:$H$502,6,FALSE)</f>
        <v>71.41</v>
      </c>
      <c r="J29" s="552">
        <f t="shared" si="1"/>
        <v>77742.126647479992</v>
      </c>
      <c r="K29" s="553">
        <f t="shared" si="2"/>
        <v>3.783783783783784E-2</v>
      </c>
      <c r="L29" s="553">
        <f t="shared" si="3"/>
        <v>5.0330000000000007E-2</v>
      </c>
      <c r="M29" s="554">
        <f t="shared" si="4"/>
        <v>8.9120027027027038E-2</v>
      </c>
      <c r="N29" s="556">
        <f t="shared" si="0"/>
        <v>9.3131925732170259E-2</v>
      </c>
      <c r="O29" s="555">
        <f t="shared" si="5"/>
        <v>8.2999197383300891E-3</v>
      </c>
    </row>
    <row r="30" spans="1:15" s="551" customFormat="1" ht="13.8">
      <c r="A30" s="550" t="s">
        <v>2046</v>
      </c>
      <c r="B30" s="550" t="s">
        <v>2703</v>
      </c>
      <c r="C30" s="550" t="s">
        <v>216</v>
      </c>
      <c r="D30" s="550">
        <f>VLOOKUP($C30,'MRP WP2'!$C$3:$H$502,2,FALSE)</f>
        <v>48577077918.019997</v>
      </c>
      <c r="E30" s="550">
        <f>VLOOKUP($C30,'MRP WP2'!$C$3:$H$502,3,FALSE)</f>
        <v>2.9772227255079593</v>
      </c>
      <c r="F30" s="550" t="str">
        <f>VLOOKUP($C30,'MRP WP2'!$C$3:$H$502,4,FALSE)</f>
        <v>#N/A N/A</v>
      </c>
      <c r="G30" s="550">
        <f>VLOOKUP($C30,'MRP WP2'!$C$3:$H$502,5,FALSE)</f>
        <v>314.33339999999998</v>
      </c>
      <c r="H30" s="550">
        <f>VLOOKUP($C30,'MRP WP2'!$C$3:$H$502,6,FALSE)</f>
        <v>154.54</v>
      </c>
      <c r="J30" s="552">
        <f t="shared" si="1"/>
        <v>48577.077918019997</v>
      </c>
      <c r="K30" s="553">
        <f t="shared" si="2"/>
        <v>2.9772227255079595E-2</v>
      </c>
      <c r="L30" s="553" t="str">
        <f t="shared" si="3"/>
        <v>N/A</v>
      </c>
      <c r="M30" s="554" t="str">
        <f t="shared" si="4"/>
        <v>N/A</v>
      </c>
      <c r="N30" s="556" t="str">
        <f t="shared" si="0"/>
        <v>N/A</v>
      </c>
      <c r="O30" s="555" t="str">
        <f t="shared" si="5"/>
        <v>N/A</v>
      </c>
    </row>
    <row r="31" spans="1:15" s="551" customFormat="1" ht="13.8">
      <c r="A31" s="550" t="s">
        <v>2129</v>
      </c>
      <c r="B31" s="550" t="s">
        <v>2752</v>
      </c>
      <c r="C31" s="550" t="s">
        <v>217</v>
      </c>
      <c r="D31" s="550">
        <f>VLOOKUP($C31,'MRP WP2'!$C$3:$H$502,2,FALSE)</f>
        <v>29575141626.560001</v>
      </c>
      <c r="E31" s="550">
        <f>VLOOKUP($C31,'MRP WP2'!$C$3:$H$502,3,FALSE)</f>
        <v>3.1015358361774745</v>
      </c>
      <c r="F31" s="550">
        <f>VLOOKUP($C31,'MRP WP2'!$C$3:$H$502,4,FALSE)</f>
        <v>6.7700000000000005</v>
      </c>
      <c r="G31" s="550">
        <f>VLOOKUP($C31,'MRP WP2'!$C$3:$H$502,5,FALSE)</f>
        <v>315.43450000000001</v>
      </c>
      <c r="H31" s="550">
        <f>VLOOKUP($C31,'MRP WP2'!$C$3:$H$502,6,FALSE)</f>
        <v>93.76</v>
      </c>
      <c r="J31" s="552">
        <f t="shared" si="1"/>
        <v>29575.141626560002</v>
      </c>
      <c r="K31" s="553">
        <f t="shared" si="2"/>
        <v>3.1015358361774745E-2</v>
      </c>
      <c r="L31" s="553">
        <f t="shared" si="3"/>
        <v>6.770000000000001E-2</v>
      </c>
      <c r="M31" s="554">
        <f t="shared" si="4"/>
        <v>9.9765228242320828E-2</v>
      </c>
      <c r="N31" s="556">
        <f t="shared" si="0"/>
        <v>3.5429824372735841E-2</v>
      </c>
      <c r="O31" s="555">
        <f t="shared" si="5"/>
        <v>3.5346645151313324E-3</v>
      </c>
    </row>
    <row r="32" spans="1:15" s="551" customFormat="1" ht="13.8">
      <c r="A32" s="550" t="s">
        <v>2308</v>
      </c>
      <c r="B32" s="550" t="s">
        <v>2763</v>
      </c>
      <c r="C32" s="550" t="s">
        <v>218</v>
      </c>
      <c r="D32" s="550">
        <f>VLOOKUP($C32,'MRP WP2'!$C$3:$H$502,2,FALSE)</f>
        <v>38367592054.560005</v>
      </c>
      <c r="E32" s="550">
        <f>VLOOKUP($C32,'MRP WP2'!$C$3:$H$502,3,FALSE)</f>
        <v>2.7742119526458424</v>
      </c>
      <c r="F32" s="550">
        <f>VLOOKUP($C32,'MRP WP2'!$C$3:$H$502,4,FALSE)</f>
        <v>6.4649999999999999</v>
      </c>
      <c r="G32" s="550">
        <f>VLOOKUP($C32,'MRP WP2'!$C$3:$H$502,5,FALSE)</f>
        <v>547.24849999999992</v>
      </c>
      <c r="H32" s="550">
        <f>VLOOKUP($C32,'MRP WP2'!$C$3:$H$502,6,FALSE)</f>
        <v>70.11</v>
      </c>
      <c r="J32" s="552">
        <f t="shared" si="1"/>
        <v>38367.592054560002</v>
      </c>
      <c r="K32" s="553">
        <f t="shared" si="2"/>
        <v>2.7742119526458425E-2</v>
      </c>
      <c r="L32" s="553">
        <f t="shared" si="3"/>
        <v>6.4649999999999999E-2</v>
      </c>
      <c r="M32" s="554">
        <f t="shared" si="4"/>
        <v>9.3288883540151191E-2</v>
      </c>
      <c r="N32" s="556">
        <f t="shared" si="0"/>
        <v>4.5962824633680309E-2</v>
      </c>
      <c r="O32" s="555">
        <f t="shared" si="5"/>
        <v>4.2878205944277947E-3</v>
      </c>
    </row>
    <row r="33" spans="1:15" s="551" customFormat="1" ht="13.8">
      <c r="A33" s="557" t="s">
        <v>1418</v>
      </c>
      <c r="B33" s="557" t="s">
        <v>1418</v>
      </c>
      <c r="C33" s="557"/>
      <c r="D33" s="550"/>
      <c r="E33" s="550"/>
      <c r="F33" s="550"/>
      <c r="G33" s="550"/>
      <c r="H33" s="550"/>
      <c r="J33" s="558">
        <f>SUMIF(M3:M32,"&lt;&gt;n/a",J3:J32)</f>
        <v>834752.70200093999</v>
      </c>
      <c r="N33" s="559"/>
      <c r="O33" s="560">
        <f>SUM(O3:O32)</f>
        <v>9.1953444290727784E-2</v>
      </c>
    </row>
    <row r="34" spans="1:15">
      <c r="A34" s="561"/>
      <c r="B34" s="561"/>
      <c r="C34" s="561"/>
      <c r="D34" s="561"/>
      <c r="E34" s="561"/>
      <c r="F34" s="561"/>
      <c r="G34" s="561"/>
      <c r="H34" s="561"/>
    </row>
    <row r="35" spans="1:15">
      <c r="A35" s="561"/>
      <c r="B35" s="561"/>
      <c r="C35" s="561"/>
      <c r="D35" s="561"/>
      <c r="E35" s="561"/>
      <c r="F35" s="561"/>
      <c r="G35" s="561"/>
      <c r="H35" s="561"/>
      <c r="I35" s="561"/>
      <c r="J35" s="561"/>
      <c r="K35" s="561"/>
      <c r="L35" s="561"/>
      <c r="M35" s="561"/>
      <c r="N35" s="561"/>
      <c r="O35" s="561"/>
    </row>
    <row r="36" spans="1:15">
      <c r="A36" s="561"/>
      <c r="B36" s="561"/>
      <c r="C36" s="561"/>
      <c r="D36" s="561"/>
      <c r="E36" s="561"/>
      <c r="F36" s="561"/>
      <c r="G36" s="561"/>
      <c r="H36" s="561"/>
      <c r="J36" s="561"/>
      <c r="K36" s="561"/>
      <c r="L36" s="561"/>
      <c r="M36" s="561"/>
      <c r="N36" s="561"/>
      <c r="O36" s="561"/>
    </row>
    <row r="37" spans="1:15">
      <c r="A37" s="561"/>
      <c r="B37" s="561"/>
      <c r="C37" s="561"/>
      <c r="D37" s="561"/>
      <c r="E37" s="561"/>
      <c r="F37" s="561"/>
      <c r="G37" s="561"/>
      <c r="H37" s="561"/>
      <c r="J37" s="561"/>
      <c r="K37" s="561"/>
      <c r="L37" s="561"/>
      <c r="M37" s="561"/>
      <c r="N37" s="561"/>
      <c r="O37" s="561"/>
    </row>
    <row r="38" spans="1:15">
      <c r="A38" s="561"/>
      <c r="B38" s="561"/>
      <c r="C38" s="561"/>
      <c r="D38" s="561"/>
      <c r="E38" s="561"/>
      <c r="F38" s="561"/>
      <c r="G38" s="561"/>
      <c r="H38" s="561"/>
      <c r="J38" s="561"/>
      <c r="K38" s="561"/>
      <c r="L38" s="561"/>
      <c r="M38" s="561"/>
      <c r="N38" s="561"/>
      <c r="O38" s="561"/>
    </row>
    <row r="39" spans="1:15">
      <c r="A39" s="561"/>
      <c r="B39" s="561"/>
      <c r="C39" s="561"/>
      <c r="D39" s="561"/>
      <c r="E39" s="561"/>
      <c r="F39" s="561"/>
      <c r="G39" s="561"/>
      <c r="H39" s="561"/>
      <c r="J39" s="561"/>
      <c r="K39" s="561"/>
      <c r="L39" s="561"/>
      <c r="M39" s="561"/>
      <c r="N39" s="561"/>
      <c r="O39" s="561"/>
    </row>
    <row r="40" spans="1:15">
      <c r="A40" s="561"/>
      <c r="B40" s="561"/>
      <c r="C40" s="561"/>
      <c r="D40" s="561"/>
      <c r="E40" s="561"/>
      <c r="F40" s="561"/>
      <c r="G40" s="561"/>
      <c r="H40" s="561"/>
      <c r="J40" s="561"/>
      <c r="K40" s="561"/>
      <c r="L40" s="561"/>
      <c r="M40" s="561"/>
      <c r="N40" s="561"/>
      <c r="O40" s="561"/>
    </row>
    <row r="41" spans="1:15">
      <c r="A41" s="561"/>
      <c r="B41" s="561"/>
      <c r="C41" s="561"/>
      <c r="D41" s="561"/>
      <c r="E41" s="561"/>
      <c r="F41" s="561"/>
      <c r="G41" s="561"/>
      <c r="H41" s="561"/>
      <c r="J41" s="561"/>
      <c r="K41" s="561"/>
      <c r="L41" s="561"/>
      <c r="M41" s="561"/>
      <c r="N41" s="561"/>
      <c r="O41" s="561"/>
    </row>
    <row r="42" spans="1:15">
      <c r="A42" s="561"/>
      <c r="B42" s="561"/>
      <c r="C42" s="561"/>
      <c r="D42" s="561"/>
      <c r="E42" s="561"/>
      <c r="F42" s="561"/>
      <c r="G42" s="561"/>
      <c r="H42" s="561"/>
      <c r="J42" s="561"/>
      <c r="K42" s="561"/>
      <c r="L42" s="561"/>
      <c r="M42" s="561"/>
      <c r="N42" s="561"/>
      <c r="O42" s="561"/>
    </row>
    <row r="43" spans="1:15">
      <c r="A43" s="561"/>
      <c r="B43" s="561"/>
      <c r="C43" s="561"/>
      <c r="D43" s="561"/>
      <c r="E43" s="561"/>
      <c r="F43" s="561"/>
      <c r="G43" s="561"/>
      <c r="H43" s="561"/>
      <c r="J43" s="561"/>
      <c r="K43" s="561"/>
      <c r="L43" s="561"/>
      <c r="M43" s="561"/>
      <c r="N43" s="561"/>
      <c r="O43" s="561"/>
    </row>
    <row r="44" spans="1:15">
      <c r="A44" s="561"/>
      <c r="B44" s="561"/>
      <c r="C44" s="561"/>
      <c r="D44" s="561"/>
      <c r="E44" s="561"/>
      <c r="F44" s="561"/>
      <c r="G44" s="561"/>
      <c r="H44" s="561"/>
      <c r="J44" s="561"/>
      <c r="K44" s="561"/>
      <c r="L44" s="561"/>
      <c r="M44" s="561"/>
      <c r="N44" s="561"/>
      <c r="O44" s="561"/>
    </row>
    <row r="45" spans="1:15">
      <c r="A45" s="561"/>
      <c r="B45" s="561"/>
      <c r="C45" s="561"/>
      <c r="D45" s="561"/>
      <c r="E45" s="561"/>
      <c r="F45" s="561"/>
      <c r="G45" s="561"/>
      <c r="H45" s="561"/>
      <c r="J45" s="561"/>
      <c r="K45" s="561"/>
      <c r="L45" s="561"/>
      <c r="M45" s="561"/>
      <c r="N45" s="561"/>
      <c r="O45" s="561"/>
    </row>
    <row r="46" spans="1:15">
      <c r="B46" s="561"/>
      <c r="C46" s="561"/>
      <c r="D46" s="561"/>
      <c r="E46" s="561"/>
      <c r="F46" s="561"/>
      <c r="G46" s="561"/>
      <c r="H46" s="561"/>
      <c r="J46" s="561"/>
      <c r="K46" s="561"/>
      <c r="L46" s="561"/>
      <c r="M46" s="561"/>
      <c r="N46" s="561"/>
      <c r="O46" s="561"/>
    </row>
    <row r="47" spans="1:15">
      <c r="B47" s="561"/>
      <c r="C47" s="561"/>
      <c r="D47" s="561"/>
      <c r="E47" s="561"/>
      <c r="F47" s="561"/>
      <c r="G47" s="561"/>
      <c r="H47" s="561"/>
      <c r="J47" s="561"/>
      <c r="K47" s="561"/>
      <c r="L47" s="561"/>
      <c r="M47" s="561"/>
      <c r="N47" s="561"/>
      <c r="O47" s="561"/>
    </row>
    <row r="48" spans="1:15">
      <c r="B48" s="561"/>
      <c r="C48" s="561"/>
      <c r="D48" s="561"/>
      <c r="E48" s="561"/>
      <c r="F48" s="561"/>
      <c r="G48" s="561"/>
      <c r="H48" s="561"/>
      <c r="J48" s="561"/>
      <c r="K48" s="561"/>
      <c r="L48" s="561"/>
      <c r="M48" s="561"/>
      <c r="N48" s="561"/>
      <c r="O48" s="561"/>
    </row>
    <row r="49" spans="1:15">
      <c r="B49" s="561"/>
      <c r="C49" s="561"/>
      <c r="D49" s="561"/>
      <c r="E49" s="561"/>
      <c r="F49" s="561"/>
      <c r="G49" s="561"/>
      <c r="H49" s="561"/>
      <c r="J49" s="561"/>
      <c r="K49" s="561"/>
      <c r="L49" s="561"/>
      <c r="M49" s="561"/>
      <c r="N49" s="561"/>
      <c r="O49" s="561"/>
    </row>
    <row r="50" spans="1:15">
      <c r="B50" s="561"/>
      <c r="C50" s="561"/>
      <c r="D50" s="561"/>
      <c r="E50" s="561"/>
      <c r="F50" s="561"/>
      <c r="G50" s="561"/>
      <c r="H50" s="561"/>
      <c r="J50" s="561"/>
      <c r="K50" s="561"/>
      <c r="L50" s="561"/>
      <c r="M50" s="561"/>
      <c r="N50" s="561"/>
      <c r="O50" s="561"/>
    </row>
    <row r="51" spans="1:15">
      <c r="B51" s="561"/>
      <c r="C51" s="561"/>
      <c r="D51" s="561"/>
      <c r="E51" s="561"/>
      <c r="F51" s="561"/>
      <c r="G51" s="561"/>
      <c r="H51" s="561"/>
      <c r="J51" s="561"/>
      <c r="K51" s="561"/>
      <c r="L51" s="561"/>
      <c r="M51" s="561"/>
      <c r="N51" s="561"/>
      <c r="O51" s="561"/>
    </row>
    <row r="52" spans="1:15">
      <c r="B52" s="561"/>
      <c r="C52" s="561"/>
      <c r="D52" s="561"/>
      <c r="E52" s="561"/>
      <c r="F52" s="561"/>
      <c r="G52" s="561"/>
      <c r="H52" s="561"/>
      <c r="J52" s="561"/>
      <c r="K52" s="561"/>
      <c r="L52" s="561"/>
      <c r="M52" s="561"/>
      <c r="N52" s="561"/>
      <c r="O52" s="561"/>
    </row>
    <row r="53" spans="1:15">
      <c r="B53" s="561"/>
      <c r="C53" s="561"/>
      <c r="D53" s="561"/>
      <c r="E53" s="561"/>
      <c r="F53" s="561"/>
      <c r="G53" s="561"/>
      <c r="H53" s="561"/>
      <c r="J53" s="561"/>
      <c r="K53" s="561"/>
      <c r="L53" s="561"/>
      <c r="M53" s="561"/>
      <c r="N53" s="561"/>
      <c r="O53" s="561"/>
    </row>
    <row r="54" spans="1:15">
      <c r="B54" s="561"/>
      <c r="C54" s="561"/>
      <c r="D54" s="561"/>
      <c r="E54" s="561"/>
      <c r="F54" s="561"/>
      <c r="G54" s="561"/>
      <c r="H54" s="561"/>
      <c r="J54" s="561"/>
      <c r="K54" s="561"/>
      <c r="L54" s="561"/>
      <c r="M54" s="561"/>
      <c r="N54" s="561"/>
      <c r="O54" s="561"/>
    </row>
    <row r="55" spans="1:15">
      <c r="B55" s="561"/>
      <c r="C55" s="561"/>
      <c r="D55" s="561"/>
      <c r="E55" s="561"/>
      <c r="F55" s="561"/>
      <c r="G55" s="561"/>
      <c r="H55" s="561"/>
      <c r="J55" s="561"/>
      <c r="K55" s="561"/>
      <c r="L55" s="561"/>
      <c r="M55" s="561"/>
      <c r="N55" s="561"/>
      <c r="O55" s="561"/>
    </row>
    <row r="56" spans="1:15">
      <c r="B56" s="561"/>
      <c r="C56" s="561"/>
      <c r="D56" s="561"/>
      <c r="E56" s="561"/>
      <c r="F56" s="561"/>
      <c r="G56" s="561"/>
      <c r="H56" s="561"/>
      <c r="J56" s="561"/>
      <c r="K56" s="561"/>
      <c r="L56" s="561"/>
      <c r="M56" s="561"/>
      <c r="N56" s="561"/>
      <c r="O56" s="561"/>
    </row>
    <row r="57" spans="1:15">
      <c r="B57" s="561"/>
      <c r="C57" s="561"/>
      <c r="D57" s="561"/>
      <c r="E57" s="561"/>
      <c r="F57" s="561"/>
      <c r="G57" s="561"/>
      <c r="H57" s="561"/>
      <c r="J57" s="561"/>
      <c r="K57" s="561"/>
      <c r="L57" s="561"/>
      <c r="M57" s="561"/>
      <c r="N57" s="561"/>
      <c r="O57" s="561"/>
    </row>
    <row r="58" spans="1:15">
      <c r="B58" s="561"/>
      <c r="C58" s="561"/>
      <c r="D58" s="561"/>
      <c r="E58" s="561"/>
      <c r="F58" s="561"/>
      <c r="G58" s="561"/>
      <c r="H58" s="561"/>
      <c r="J58" s="561"/>
      <c r="K58" s="561"/>
      <c r="L58" s="561"/>
      <c r="M58" s="561"/>
      <c r="N58" s="561"/>
      <c r="O58" s="561"/>
    </row>
    <row r="59" spans="1:15">
      <c r="B59" s="561"/>
      <c r="C59" s="561"/>
      <c r="D59" s="561"/>
      <c r="E59" s="561"/>
      <c r="F59" s="561"/>
      <c r="G59" s="561"/>
      <c r="H59" s="561"/>
      <c r="J59" s="561"/>
      <c r="K59" s="561"/>
      <c r="L59" s="561"/>
      <c r="M59" s="561"/>
      <c r="N59" s="561"/>
      <c r="O59" s="561"/>
    </row>
    <row r="60" spans="1:15">
      <c r="B60" s="561"/>
      <c r="C60" s="561"/>
      <c r="D60" s="561"/>
      <c r="E60" s="561"/>
      <c r="F60" s="561"/>
      <c r="G60" s="561"/>
      <c r="H60" s="561"/>
      <c r="J60" s="561"/>
      <c r="K60" s="561"/>
      <c r="L60" s="561"/>
      <c r="M60" s="561"/>
      <c r="N60" s="561"/>
      <c r="O60" s="561"/>
    </row>
    <row r="61" spans="1:15">
      <c r="B61" s="561"/>
      <c r="C61" s="561"/>
      <c r="D61" s="561"/>
      <c r="E61" s="561"/>
      <c r="F61" s="561"/>
      <c r="G61" s="561"/>
      <c r="H61" s="561"/>
      <c r="J61" s="561"/>
      <c r="K61" s="561"/>
      <c r="L61" s="561"/>
      <c r="M61" s="561"/>
      <c r="N61" s="561"/>
      <c r="O61" s="561"/>
    </row>
    <row r="62" spans="1:15">
      <c r="B62" s="561"/>
      <c r="C62" s="561"/>
      <c r="D62" s="561"/>
      <c r="E62" s="561"/>
      <c r="F62" s="561"/>
      <c r="G62" s="561"/>
      <c r="H62" s="561"/>
      <c r="J62" s="561"/>
      <c r="K62" s="561"/>
      <c r="L62" s="561"/>
      <c r="M62" s="561"/>
      <c r="N62" s="561"/>
      <c r="O62" s="561"/>
    </row>
    <row r="63" spans="1:15">
      <c r="A63" s="562" t="s">
        <v>1418</v>
      </c>
      <c r="C63" s="561"/>
      <c r="D63" s="561"/>
      <c r="E63" s="561"/>
      <c r="F63" s="561"/>
      <c r="G63" s="561"/>
      <c r="H63" s="561"/>
    </row>
    <row r="64" spans="1:15">
      <c r="D64" s="561"/>
      <c r="E64" s="561"/>
      <c r="F64" s="561"/>
      <c r="G64" s="561"/>
      <c r="H64" s="561"/>
    </row>
    <row r="65" spans="4:8">
      <c r="D65" s="561"/>
      <c r="E65" s="561"/>
      <c r="F65" s="561"/>
      <c r="G65" s="561"/>
      <c r="H65" s="561"/>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37"/>
  <sheetViews>
    <sheetView zoomScale="85" zoomScaleNormal="85" workbookViewId="0">
      <selection activeCell="C34" sqref="C34"/>
    </sheetView>
  </sheetViews>
  <sheetFormatPr defaultColWidth="8.5546875" defaultRowHeight="13.8"/>
  <cols>
    <col min="1" max="1" width="35" style="324" customWidth="1"/>
    <col min="2" max="2" width="9" style="324" customWidth="1"/>
    <col min="3" max="3" width="22.5546875" style="324" customWidth="1"/>
    <col min="4" max="5" width="11.5546875" style="324" customWidth="1"/>
    <col min="6" max="6" width="13" style="324" customWidth="1"/>
    <col min="7" max="7" width="12.5546875" style="324" customWidth="1"/>
    <col min="8" max="8" width="11" style="324" customWidth="1"/>
    <col min="9" max="9" width="8.5546875" style="324"/>
    <col min="10" max="10" width="14" style="324" bestFit="1" customWidth="1"/>
    <col min="11" max="13" width="8.5546875" style="324"/>
    <col min="14" max="14" width="11" style="324" bestFit="1" customWidth="1"/>
    <col min="15" max="16384" width="8.5546875" style="324"/>
  </cols>
  <sheetData>
    <row r="1" spans="1:8">
      <c r="A1" s="324" t="s">
        <v>2236</v>
      </c>
      <c r="C1" s="539">
        <f>'MRP WP3'!C1</f>
        <v>44925</v>
      </c>
    </row>
    <row r="3" spans="1:8" ht="39.6">
      <c r="A3" s="563" t="s">
        <v>155</v>
      </c>
      <c r="B3" s="563" t="s">
        <v>181</v>
      </c>
      <c r="C3" s="563" t="s">
        <v>2237</v>
      </c>
      <c r="D3" s="564" t="s">
        <v>2238</v>
      </c>
      <c r="E3" s="565" t="s">
        <v>2239</v>
      </c>
      <c r="F3" s="564" t="s">
        <v>2203</v>
      </c>
      <c r="G3" s="564" t="s">
        <v>2200</v>
      </c>
      <c r="H3" s="564" t="s">
        <v>2240</v>
      </c>
    </row>
    <row r="4" spans="1:8">
      <c r="A4" s="88" t="s">
        <v>2348</v>
      </c>
      <c r="B4" s="88" t="s">
        <v>205</v>
      </c>
      <c r="C4" s="566">
        <f>VLOOKUP($B4,'MRP WP3'!$B$4:$E$503,2,FALSE)</f>
        <v>22903.1</v>
      </c>
      <c r="D4" s="547">
        <f>VLOOKUP($B4,'MRP WP3'!$B$4:$E$503,3,FALSE)</f>
        <v>2.7999999999999997E-2</v>
      </c>
      <c r="E4" s="547">
        <f>VLOOKUP($B4,'MRP WP3'!$B$4:$E$503,4,FALSE)</f>
        <v>6.5000000000000002E-2</v>
      </c>
      <c r="F4" s="567">
        <f>IFERROR(D4*(1+0.5*E4)+E4,"N/A")</f>
        <v>9.3909999999999993E-2</v>
      </c>
      <c r="G4" s="567">
        <f>IF(F4="N/A","N/A",C4/$C$34)</f>
        <v>2.405422125268708E-2</v>
      </c>
      <c r="H4" s="568">
        <f>IF(ISNUMBER(G4),F4*G4,"N/A")</f>
        <v>2.2589319178398437E-3</v>
      </c>
    </row>
    <row r="5" spans="1:8">
      <c r="A5" s="88" t="s">
        <v>2349</v>
      </c>
      <c r="B5" s="88" t="s">
        <v>198</v>
      </c>
      <c r="C5" s="566">
        <f>VLOOKUP($B5,'MRP WP3'!$B$4:$E$503,2,FALSE)</f>
        <v>48983.02</v>
      </c>
      <c r="D5" s="547">
        <f>VLOOKUP($B5,'MRP WP3'!$B$4:$E$503,3,FALSE)</f>
        <v>3.4799999999999998E-2</v>
      </c>
      <c r="E5" s="547">
        <f>VLOOKUP($B5,'MRP WP3'!$B$4:$E$503,4,FALSE)</f>
        <v>6.5000000000000002E-2</v>
      </c>
      <c r="F5" s="567">
        <f t="shared" ref="F5:F33" si="0">IFERROR(D5*(1+0.5*E5)+E5,"N/A")</f>
        <v>0.10093099999999999</v>
      </c>
      <c r="G5" s="567">
        <f t="shared" ref="G5:G33" si="1">IF(F5="N/A","N/A",C5/$C$34)</f>
        <v>5.1444931066309638E-2</v>
      </c>
      <c r="H5" s="568">
        <f t="shared" ref="H5:H33" si="2">IF(ISNUMBER(G5),F5*G5,"N/A")</f>
        <v>5.1923883374536978E-3</v>
      </c>
    </row>
    <row r="6" spans="1:8">
      <c r="A6" s="88" t="s">
        <v>2990</v>
      </c>
      <c r="B6" s="88" t="s">
        <v>1448</v>
      </c>
      <c r="C6" s="566">
        <f>VLOOKUP($B6,'MRP WP3'!$B$4:$E$503,2,FALSE)</f>
        <v>19196.88</v>
      </c>
      <c r="D6" s="547">
        <f>VLOOKUP($B6,'MRP WP3'!$B$4:$E$503,3,FALSE)</f>
        <v>2.3099999999999999E-2</v>
      </c>
      <c r="E6" s="547" t="str">
        <f>VLOOKUP($B6,'MRP WP3'!$B$4:$E$503,4,FALSE)</f>
        <v>N/A</v>
      </c>
      <c r="F6" s="567" t="str">
        <f t="shared" si="0"/>
        <v>N/A</v>
      </c>
      <c r="G6" s="567" t="str">
        <f t="shared" si="1"/>
        <v>N/A</v>
      </c>
      <c r="H6" s="568" t="str">
        <f t="shared" si="2"/>
        <v>N/A</v>
      </c>
    </row>
    <row r="7" spans="1:8">
      <c r="A7" s="88" t="s">
        <v>2376</v>
      </c>
      <c r="B7" s="88" t="s">
        <v>2333</v>
      </c>
      <c r="C7" s="566">
        <f>VLOOKUP($B7,'MRP WP3'!$B$4:$E$503,2,FALSE)</f>
        <v>16028.48</v>
      </c>
      <c r="D7" s="547">
        <f>VLOOKUP($B7,'MRP WP3'!$B$4:$E$503,3,FALSE)</f>
        <v>2.64E-2</v>
      </c>
      <c r="E7" s="547">
        <f>VLOOKUP($B7,'MRP WP3'!$B$4:$E$503,4,FALSE)</f>
        <v>7.4999999999999997E-2</v>
      </c>
      <c r="F7" s="567">
        <f t="shared" si="0"/>
        <v>0.10238999999999999</v>
      </c>
      <c r="G7" s="567">
        <f t="shared" si="1"/>
        <v>1.6834079415636739E-2</v>
      </c>
      <c r="H7" s="568">
        <f t="shared" si="2"/>
        <v>1.7236413913670455E-3</v>
      </c>
    </row>
    <row r="8" spans="1:8">
      <c r="A8" s="88" t="s">
        <v>2381</v>
      </c>
      <c r="B8" s="88" t="s">
        <v>156</v>
      </c>
      <c r="C8" s="566">
        <f>VLOOKUP($B8,'MRP WP3'!$B$4:$E$503,2,FALSE)</f>
        <v>27734.07</v>
      </c>
      <c r="D8" s="547">
        <f>VLOOKUP($B8,'MRP WP3'!$B$4:$E$503,3,FALSE)</f>
        <v>1.78E-2</v>
      </c>
      <c r="E8" s="547">
        <f>VLOOKUP($B8,'MRP WP3'!$B$4:$E$503,4,FALSE)</f>
        <v>0.03</v>
      </c>
      <c r="F8" s="567">
        <f t="shared" si="0"/>
        <v>4.8066999999999999E-2</v>
      </c>
      <c r="G8" s="567">
        <f t="shared" si="1"/>
        <v>2.9127998219346342E-2</v>
      </c>
      <c r="H8" s="568">
        <f t="shared" si="2"/>
        <v>1.4000954904093206E-3</v>
      </c>
    </row>
    <row r="9" spans="1:8">
      <c r="A9" s="88" t="s">
        <v>4278</v>
      </c>
      <c r="B9" s="569" t="s">
        <v>4240</v>
      </c>
      <c r="C9" s="566">
        <f>VLOOKUP($B9,'MRP WP3'!$B$4:$E$503,2,FALSE)</f>
        <v>29315.55</v>
      </c>
      <c r="D9" s="547">
        <f>VLOOKUP($B9,'MRP WP3'!$B$4:$E$503,3,FALSE)</f>
        <v>6.3E-3</v>
      </c>
      <c r="E9" s="547" t="str">
        <f>VLOOKUP($B9,'MRP WP3'!$B$4:$E$503,4,FALSE)</f>
        <v>N/A</v>
      </c>
      <c r="F9" s="567" t="str">
        <f t="shared" ref="F9" si="3">IFERROR(D9*(1+0.5*E9)+E9,"N/A")</f>
        <v>N/A</v>
      </c>
      <c r="G9" s="567" t="str">
        <f t="shared" ref="G9" si="4">IF(F9="N/A","N/A",C9/$C$34)</f>
        <v>N/A</v>
      </c>
      <c r="H9" s="568" t="str">
        <f t="shared" ref="H9" si="5">IF(ISNUMBER(G9),F9*G9,"N/A")</f>
        <v>N/A</v>
      </c>
    </row>
    <row r="10" spans="1:8">
      <c r="A10" s="88" t="s">
        <v>2431</v>
      </c>
      <c r="B10" s="88" t="s">
        <v>207</v>
      </c>
      <c r="C10" s="566">
        <f>VLOOKUP($B10,'MRP WP3'!$B$4:$E$503,2,FALSE)</f>
        <v>18190.2</v>
      </c>
      <c r="D10" s="547">
        <f>VLOOKUP($B10,'MRP WP3'!$B$4:$E$503,3,FALSE)</f>
        <v>2.9399999999999999E-2</v>
      </c>
      <c r="E10" s="547">
        <f>VLOOKUP($B10,'MRP WP3'!$B$4:$E$503,4,FALSE)</f>
        <v>6.5000000000000002E-2</v>
      </c>
      <c r="F10" s="567">
        <f t="shared" si="0"/>
        <v>9.5355499999999996E-2</v>
      </c>
      <c r="G10" s="567">
        <f t="shared" si="1"/>
        <v>1.9104448543237753E-2</v>
      </c>
      <c r="H10" s="568">
        <f t="shared" si="2"/>
        <v>1.8217142430647076E-3</v>
      </c>
    </row>
    <row r="11" spans="1:8">
      <c r="A11" s="88" t="s">
        <v>2433</v>
      </c>
      <c r="B11" s="88" t="s">
        <v>206</v>
      </c>
      <c r="C11" s="566">
        <f>VLOOKUP($B11,'MRP WP3'!$B$4:$E$503,2,FALSE)</f>
        <v>19219.61</v>
      </c>
      <c r="D11" s="547">
        <f>VLOOKUP($B11,'MRP WP3'!$B$4:$E$503,3,FALSE)</f>
        <v>2.4900000000000002E-2</v>
      </c>
      <c r="E11" s="547">
        <f>VLOOKUP($B11,'MRP WP3'!$B$4:$E$503,4,FALSE)</f>
        <v>6.5000000000000002E-2</v>
      </c>
      <c r="F11" s="567">
        <f t="shared" si="0"/>
        <v>9.0709250000000005E-2</v>
      </c>
      <c r="G11" s="567">
        <f t="shared" si="1"/>
        <v>2.0185597204324182E-2</v>
      </c>
      <c r="H11" s="568">
        <f t="shared" si="2"/>
        <v>1.8310203832063434E-3</v>
      </c>
    </row>
    <row r="12" spans="1:8">
      <c r="A12" s="88" t="s">
        <v>2447</v>
      </c>
      <c r="B12" s="88" t="s">
        <v>209</v>
      </c>
      <c r="C12" s="566">
        <f>VLOOKUP($B12,'MRP WP3'!$B$4:$E$503,2,FALSE)</f>
        <v>50021.65</v>
      </c>
      <c r="D12" s="547">
        <f>VLOOKUP($B12,'MRP WP3'!$B$4:$E$503,3,FALSE)</f>
        <v>4.6500000000000007E-2</v>
      </c>
      <c r="E12" s="547">
        <f>VLOOKUP($B12,'MRP WP3'!$B$4:$E$503,4,FALSE)</f>
        <v>5.5E-2</v>
      </c>
      <c r="F12" s="567">
        <f t="shared" si="0"/>
        <v>0.10277875</v>
      </c>
      <c r="G12" s="567">
        <f t="shared" si="1"/>
        <v>5.2535763129204119E-2</v>
      </c>
      <c r="H12" s="568">
        <f t="shared" si="2"/>
        <v>5.399560064715688E-3</v>
      </c>
    </row>
    <row r="13" spans="1:8">
      <c r="A13" s="88" t="s">
        <v>2464</v>
      </c>
      <c r="B13" s="88" t="s">
        <v>210</v>
      </c>
      <c r="C13" s="566">
        <f>VLOOKUP($B13,'MRP WP3'!$B$4:$E$503,2,FALSE)</f>
        <v>22751.119999999999</v>
      </c>
      <c r="D13" s="547">
        <f>VLOOKUP($B13,'MRP WP3'!$B$4:$E$503,3,FALSE)</f>
        <v>3.2400000000000005E-2</v>
      </c>
      <c r="E13" s="547">
        <f>VLOOKUP($B13,'MRP WP3'!$B$4:$E$503,4,FALSE)</f>
        <v>4.4999999999999998E-2</v>
      </c>
      <c r="F13" s="567">
        <f t="shared" si="0"/>
        <v>7.8129000000000004E-2</v>
      </c>
      <c r="G13" s="567">
        <f t="shared" si="1"/>
        <v>2.3894602661929349E-2</v>
      </c>
      <c r="H13" s="568">
        <f t="shared" si="2"/>
        <v>1.8668614113738781E-3</v>
      </c>
    </row>
    <row r="14" spans="1:8">
      <c r="A14" s="88" t="s">
        <v>2465</v>
      </c>
      <c r="B14" s="88" t="s">
        <v>211</v>
      </c>
      <c r="C14" s="566">
        <f>VLOOKUP($B14,'MRP WP3'!$B$4:$E$503,2,FALSE)</f>
        <v>78478.399999999994</v>
      </c>
      <c r="D14" s="547">
        <f>VLOOKUP($B14,'MRP WP3'!$B$4:$E$503,3,FALSE)</f>
        <v>3.9399999999999998E-2</v>
      </c>
      <c r="E14" s="547">
        <f>VLOOKUP($B14,'MRP WP3'!$B$4:$E$503,4,FALSE)</f>
        <v>0.04</v>
      </c>
      <c r="F14" s="567">
        <f t="shared" si="0"/>
        <v>8.0188000000000009E-2</v>
      </c>
      <c r="G14" s="567">
        <f t="shared" si="1"/>
        <v>8.2422763606537011E-2</v>
      </c>
      <c r="H14" s="568">
        <f t="shared" si="2"/>
        <v>6.6093165680809907E-3</v>
      </c>
    </row>
    <row r="15" spans="1:8">
      <c r="A15" s="88" t="s">
        <v>2472</v>
      </c>
      <c r="B15" s="88" t="s">
        <v>208</v>
      </c>
      <c r="C15" s="566">
        <f>VLOOKUP($B15,'MRP WP3'!$B$4:$E$503,2,FALSE)</f>
        <v>33980.6</v>
      </c>
      <c r="D15" s="547">
        <f>VLOOKUP($B15,'MRP WP3'!$B$4:$E$503,3,FALSE)</f>
        <v>3.3599999999999998E-2</v>
      </c>
      <c r="E15" s="547">
        <f>VLOOKUP($B15,'MRP WP3'!$B$4:$E$503,4,FALSE)</f>
        <v>0.04</v>
      </c>
      <c r="F15" s="567">
        <f t="shared" si="0"/>
        <v>7.4272000000000005E-2</v>
      </c>
      <c r="G15" s="567">
        <f t="shared" si="1"/>
        <v>3.568848193908504E-2</v>
      </c>
      <c r="H15" s="568">
        <f t="shared" si="2"/>
        <v>2.6506549305797241E-3</v>
      </c>
    </row>
    <row r="16" spans="1:8">
      <c r="A16" s="88" t="s">
        <v>2474</v>
      </c>
      <c r="B16" s="88" t="s">
        <v>199</v>
      </c>
      <c r="C16" s="566">
        <f>VLOOKUP($B16,'MRP WP3'!$B$4:$E$503,2,FALSE)</f>
        <v>24905.759999999998</v>
      </c>
      <c r="D16" s="547">
        <f>VLOOKUP($B16,'MRP WP3'!$B$4:$E$503,3,FALSE)</f>
        <v>4.5199999999999997E-2</v>
      </c>
      <c r="E16" s="547">
        <f>VLOOKUP($B16,'MRP WP3'!$B$4:$E$503,4,FALSE)</f>
        <v>0.16</v>
      </c>
      <c r="F16" s="567">
        <f t="shared" si="0"/>
        <v>0.208816</v>
      </c>
      <c r="G16" s="567">
        <f t="shared" si="1"/>
        <v>2.6157535945191865E-2</v>
      </c>
      <c r="H16" s="568">
        <f t="shared" si="2"/>
        <v>5.4621120259311842E-3</v>
      </c>
    </row>
    <row r="17" spans="1:8">
      <c r="A17" s="88" t="s">
        <v>2481</v>
      </c>
      <c r="B17" s="88" t="s">
        <v>1359</v>
      </c>
      <c r="C17" s="566">
        <f>VLOOKUP($B17,'MRP WP3'!$B$4:$E$503,2,FALSE)</f>
        <v>29170.37</v>
      </c>
      <c r="D17" s="547">
        <f>VLOOKUP($B17,'MRP WP3'!$B$4:$E$503,3,FALSE)</f>
        <v>3.1699999999999999E-2</v>
      </c>
      <c r="E17" s="547">
        <f>VLOOKUP($B17,'MRP WP3'!$B$4:$E$503,4,FALSE)</f>
        <v>6.5000000000000002E-2</v>
      </c>
      <c r="F17" s="567">
        <f t="shared" si="0"/>
        <v>9.7730249999999991E-2</v>
      </c>
      <c r="G17" s="567">
        <f t="shared" si="1"/>
        <v>3.0636487375191378E-2</v>
      </c>
      <c r="H17" s="568">
        <f t="shared" si="2"/>
        <v>2.9941115702992968E-3</v>
      </c>
    </row>
    <row r="18" spans="1:8">
      <c r="A18" s="88" t="s">
        <v>2484</v>
      </c>
      <c r="B18" s="88" t="s">
        <v>212</v>
      </c>
      <c r="C18" s="566">
        <f>VLOOKUP($B18,'MRP WP3'!$B$4:$E$503,2,FALSE)</f>
        <v>23217.3</v>
      </c>
      <c r="D18" s="547">
        <f>VLOOKUP($B18,'MRP WP3'!$B$4:$E$503,3,FALSE)</f>
        <v>3.7499999999999999E-2</v>
      </c>
      <c r="E18" s="547">
        <f>VLOOKUP($B18,'MRP WP3'!$B$4:$E$503,4,FALSE)</f>
        <v>0.04</v>
      </c>
      <c r="F18" s="567">
        <f t="shared" si="0"/>
        <v>7.825E-2</v>
      </c>
      <c r="G18" s="567">
        <f t="shared" si="1"/>
        <v>2.4384213101720367E-2</v>
      </c>
      <c r="H18" s="568">
        <f t="shared" si="2"/>
        <v>1.9080646752096186E-3</v>
      </c>
    </row>
    <row r="19" spans="1:8">
      <c r="A19" s="88" t="s">
        <v>2486</v>
      </c>
      <c r="B19" s="88" t="s">
        <v>2334</v>
      </c>
      <c r="C19" s="566">
        <f>VLOOKUP($B19,'MRP WP3'!$B$4:$E$503,2,FALSE)</f>
        <v>14465.11</v>
      </c>
      <c r="D19" s="547">
        <f>VLOOKUP($B19,'MRP WP3'!$B$4:$E$503,3,FALSE)</f>
        <v>3.8900000000000004E-2</v>
      </c>
      <c r="E19" s="547">
        <f>VLOOKUP($B19,'MRP WP3'!$B$4:$E$503,4,FALSE)</f>
        <v>7.4999999999999997E-2</v>
      </c>
      <c r="F19" s="567">
        <f t="shared" si="0"/>
        <v>0.11535875000000001</v>
      </c>
      <c r="G19" s="567">
        <f t="shared" si="1"/>
        <v>1.5192133658083685E-2</v>
      </c>
      <c r="H19" s="568">
        <f t="shared" si="2"/>
        <v>1.7525455486294614E-3</v>
      </c>
    </row>
    <row r="20" spans="1:8">
      <c r="A20" s="88" t="s">
        <v>2488</v>
      </c>
      <c r="B20" s="88" t="s">
        <v>213</v>
      </c>
      <c r="C20" s="566">
        <f>VLOOKUP($B20,'MRP WP3'!$B$4:$E$503,2,FALSE)</f>
        <v>42363.22</v>
      </c>
      <c r="D20" s="547">
        <f>VLOOKUP($B20,'MRP WP3'!$B$4:$E$503,3,FALSE)</f>
        <v>3.2799999999999996E-2</v>
      </c>
      <c r="E20" s="547">
        <f>VLOOKUP($B20,'MRP WP3'!$B$4:$E$503,4,FALSE)</f>
        <v>-0.01</v>
      </c>
      <c r="F20" s="567">
        <f t="shared" si="0"/>
        <v>2.2635999999999996E-2</v>
      </c>
      <c r="G20" s="567">
        <f t="shared" si="1"/>
        <v>4.4492416609815198E-2</v>
      </c>
      <c r="H20" s="568">
        <f t="shared" si="2"/>
        <v>1.0071303423797766E-3</v>
      </c>
    </row>
    <row r="21" spans="1:8">
      <c r="A21" s="88" t="s">
        <v>2498</v>
      </c>
      <c r="B21" s="88" t="s">
        <v>200</v>
      </c>
      <c r="C21" s="566">
        <f>VLOOKUP($B21,'MRP WP3'!$B$4:$E$503,2,FALSE)</f>
        <v>23853.54</v>
      </c>
      <c r="D21" s="547">
        <f>VLOOKUP($B21,'MRP WP3'!$B$4:$E$503,3,FALSE)</f>
        <v>3.7400000000000003E-2</v>
      </c>
      <c r="E21" s="547">
        <f>VLOOKUP($B21,'MRP WP3'!$B$4:$E$503,4,FALSE)</f>
        <v>0.03</v>
      </c>
      <c r="F21" s="567">
        <f t="shared" si="0"/>
        <v>6.7960999999999994E-2</v>
      </c>
      <c r="G21" s="567">
        <f t="shared" si="1"/>
        <v>2.5052430842105278E-2</v>
      </c>
      <c r="H21" s="568">
        <f t="shared" si="2"/>
        <v>1.7025882524603166E-3</v>
      </c>
    </row>
    <row r="22" spans="1:8">
      <c r="A22" s="88" t="s">
        <v>2588</v>
      </c>
      <c r="B22" s="88" t="s">
        <v>1355</v>
      </c>
      <c r="C22" s="566">
        <f>VLOOKUP($B22,'MRP WP3'!$B$4:$E$503,2,FALSE)</f>
        <v>13826.29</v>
      </c>
      <c r="D22" s="547">
        <f>VLOOKUP($B22,'MRP WP3'!$B$4:$E$503,3,FALSE)</f>
        <v>3.2000000000000001E-2</v>
      </c>
      <c r="E22" s="547">
        <f>VLOOKUP($B22,'MRP WP3'!$B$4:$E$503,4,FALSE)</f>
        <v>0.06</v>
      </c>
      <c r="F22" s="567">
        <f t="shared" si="0"/>
        <v>9.2960000000000001E-2</v>
      </c>
      <c r="G22" s="567">
        <f t="shared" si="1"/>
        <v>1.4521206245609323E-2</v>
      </c>
      <c r="H22" s="568">
        <f t="shared" si="2"/>
        <v>1.3498913325918427E-3</v>
      </c>
    </row>
    <row r="23" spans="1:8">
      <c r="A23" s="88" t="s">
        <v>2628</v>
      </c>
      <c r="B23" s="88" t="s">
        <v>201</v>
      </c>
      <c r="C23" s="566">
        <f>VLOOKUP($B23,'MRP WP3'!$B$4:$E$503,2,FALSE)</f>
        <v>168199.5</v>
      </c>
      <c r="D23" s="547">
        <f>VLOOKUP($B23,'MRP WP3'!$B$4:$E$503,3,FALSE)</f>
        <v>2.1600000000000001E-2</v>
      </c>
      <c r="E23" s="547">
        <f>VLOOKUP($B23,'MRP WP3'!$B$4:$E$503,4,FALSE)</f>
        <v>0.105</v>
      </c>
      <c r="F23" s="567">
        <f t="shared" si="0"/>
        <v>0.12773399999999999</v>
      </c>
      <c r="G23" s="567">
        <f t="shared" si="1"/>
        <v>0.17665329093403692</v>
      </c>
      <c r="H23" s="568">
        <f t="shared" si="2"/>
        <v>2.2564631464168271E-2</v>
      </c>
    </row>
    <row r="24" spans="1:8">
      <c r="A24" s="88" t="s">
        <v>2630</v>
      </c>
      <c r="B24" s="88" t="s">
        <v>214</v>
      </c>
      <c r="C24" s="566">
        <f>VLOOKUP($B24,'MRP WP3'!$B$4:$E$503,2,FALSE)</f>
        <v>11186.68</v>
      </c>
      <c r="D24" s="547">
        <f>VLOOKUP($B24,'MRP WP3'!$B$4:$E$503,3,FALSE)</f>
        <v>3.5200000000000002E-2</v>
      </c>
      <c r="E24" s="547">
        <f>VLOOKUP($B24,'MRP WP3'!$B$4:$E$503,4,FALSE)</f>
        <v>0.08</v>
      </c>
      <c r="F24" s="567">
        <f t="shared" si="0"/>
        <v>0.116608</v>
      </c>
      <c r="G24" s="567">
        <f t="shared" si="1"/>
        <v>1.174892812776478E-2</v>
      </c>
      <c r="H24" s="568">
        <f t="shared" si="2"/>
        <v>1.3700190111223954E-3</v>
      </c>
    </row>
    <row r="25" spans="1:8">
      <c r="A25" s="88" t="s">
        <v>2633</v>
      </c>
      <c r="B25" s="88" t="s">
        <v>1449</v>
      </c>
      <c r="C25" s="566">
        <f>VLOOKUP($B25,'MRP WP3'!$B$4:$E$503,2,FALSE)</f>
        <v>7525.49</v>
      </c>
      <c r="D25" s="547">
        <f>VLOOKUP($B25,'MRP WP3'!$B$4:$E$503,3,FALSE)</f>
        <v>4.3200000000000002E-2</v>
      </c>
      <c r="E25" s="547">
        <f>VLOOKUP($B25,'MRP WP3'!$B$4:$E$503,4,FALSE)</f>
        <v>-0.105</v>
      </c>
      <c r="F25" s="567">
        <f t="shared" si="0"/>
        <v>-6.4067999999999986E-2</v>
      </c>
      <c r="G25" s="567">
        <f t="shared" si="1"/>
        <v>7.9037248885471447E-3</v>
      </c>
      <c r="H25" s="568">
        <f t="shared" si="2"/>
        <v>-5.063758461594384E-4</v>
      </c>
    </row>
    <row r="26" spans="1:8">
      <c r="A26" s="88" t="s">
        <v>4396</v>
      </c>
      <c r="B26" s="88" t="s">
        <v>4326</v>
      </c>
      <c r="C26" s="656" t="str">
        <f>VLOOKUP($B26,'MRP WP3'!$B$4:$E$503,2,FALSE)</f>
        <v>N/A</v>
      </c>
      <c r="D26" s="657">
        <f>VLOOKUP($B26,'MRP WP3'!$B$4:$E$503,3,FALSE)</f>
        <v>0</v>
      </c>
      <c r="E26" s="657" t="str">
        <f>VLOOKUP($B26,'MRP WP3'!$B$4:$E$503,4,FALSE)</f>
        <v>N/A</v>
      </c>
      <c r="F26" s="658" t="str">
        <f t="shared" ref="F26" si="6">IFERROR(D26*(1+0.5*E26)+E26,"N/A")</f>
        <v>N/A</v>
      </c>
      <c r="G26" s="658" t="str">
        <f t="shared" ref="G26" si="7">IF(F26="N/A","N/A",C26/$C$34)</f>
        <v>N/A</v>
      </c>
      <c r="H26" s="659" t="str">
        <f t="shared" ref="H26" si="8">IF(ISNUMBER(G26),F26*G26,"N/A")</f>
        <v>N/A</v>
      </c>
    </row>
    <row r="27" spans="1:8">
      <c r="A27" s="88" t="s">
        <v>2650</v>
      </c>
      <c r="B27" s="88" t="s">
        <v>215</v>
      </c>
      <c r="C27" s="566">
        <f>VLOOKUP($B27,'MRP WP3'!$B$4:$E$503,2,FALSE)</f>
        <v>30068.5</v>
      </c>
      <c r="D27" s="547">
        <f>VLOOKUP($B27,'MRP WP3'!$B$4:$E$503,3,FALSE)</f>
        <v>3.7200000000000004E-2</v>
      </c>
      <c r="E27" s="547">
        <f>VLOOKUP($B27,'MRP WP3'!$B$4:$E$503,4,FALSE)</f>
        <v>0.04</v>
      </c>
      <c r="F27" s="567">
        <f t="shared" si="0"/>
        <v>7.7944000000000013E-2</v>
      </c>
      <c r="G27" s="567">
        <f t="shared" si="1"/>
        <v>3.157975783786568E-2</v>
      </c>
      <c r="H27" s="568">
        <f t="shared" si="2"/>
        <v>2.4614526449146029E-3</v>
      </c>
    </row>
    <row r="28" spans="1:8">
      <c r="A28" s="88" t="s">
        <v>2664</v>
      </c>
      <c r="B28" s="88" t="s">
        <v>202</v>
      </c>
      <c r="C28" s="566">
        <f>VLOOKUP($B28,'MRP WP3'!$B$4:$E$503,2,FALSE)</f>
        <v>8757.5</v>
      </c>
      <c r="D28" s="547">
        <f>VLOOKUP($B28,'MRP WP3'!$B$4:$E$503,3,FALSE)</f>
        <v>4.5199999999999997E-2</v>
      </c>
      <c r="E28" s="547">
        <f>VLOOKUP($B28,'MRP WP3'!$B$4:$E$503,4,FALSE)</f>
        <v>5.0000000000000001E-3</v>
      </c>
      <c r="F28" s="567">
        <f t="shared" si="0"/>
        <v>5.031299999999999E-2</v>
      </c>
      <c r="G28" s="567">
        <f t="shared" si="1"/>
        <v>9.1976563268905565E-3</v>
      </c>
      <c r="H28" s="568">
        <f t="shared" si="2"/>
        <v>4.6276168277484449E-4</v>
      </c>
    </row>
    <row r="29" spans="1:8">
      <c r="A29" s="88" t="s">
        <v>2666</v>
      </c>
      <c r="B29" s="88" t="s">
        <v>203</v>
      </c>
      <c r="C29" s="566">
        <f>VLOOKUP($B29,'MRP WP3'!$B$4:$E$503,2,FALSE)</f>
        <v>21647.54</v>
      </c>
      <c r="D29" s="547">
        <f>VLOOKUP($B29,'MRP WP3'!$B$4:$E$503,3,FALSE)</f>
        <v>3.0600000000000002E-2</v>
      </c>
      <c r="E29" s="547">
        <f>VLOOKUP($B29,'MRP WP3'!$B$4:$E$503,4,FALSE)</f>
        <v>0.03</v>
      </c>
      <c r="F29" s="567">
        <f t="shared" si="0"/>
        <v>6.1059000000000002E-2</v>
      </c>
      <c r="G29" s="567">
        <f t="shared" si="1"/>
        <v>2.2735556179573669E-2</v>
      </c>
      <c r="H29" s="568">
        <f t="shared" si="2"/>
        <v>1.3882103247685887E-3</v>
      </c>
    </row>
    <row r="30" spans="1:8">
      <c r="A30" s="88" t="s">
        <v>2700</v>
      </c>
      <c r="B30" s="88" t="s">
        <v>204</v>
      </c>
      <c r="C30" s="566">
        <f>VLOOKUP($B30,'MRP WP3'!$B$4:$E$503,2,FALSE)</f>
        <v>77001.84</v>
      </c>
      <c r="D30" s="547">
        <f>VLOOKUP($B30,'MRP WP3'!$B$4:$E$503,3,FALSE)</f>
        <v>3.85E-2</v>
      </c>
      <c r="E30" s="547">
        <f>VLOOKUP($B30,'MRP WP3'!$B$4:$E$503,4,FALSE)</f>
        <v>6.5000000000000002E-2</v>
      </c>
      <c r="F30" s="567">
        <f t="shared" si="0"/>
        <v>0.10475125</v>
      </c>
      <c r="G30" s="567">
        <f t="shared" si="1"/>
        <v>8.0871990962970527E-2</v>
      </c>
      <c r="H30" s="568">
        <f t="shared" si="2"/>
        <v>8.4714421433598665E-3</v>
      </c>
    </row>
    <row r="31" spans="1:8">
      <c r="A31" s="88" t="s">
        <v>2703</v>
      </c>
      <c r="B31" s="88" t="s">
        <v>216</v>
      </c>
      <c r="C31" s="566">
        <f>VLOOKUP($B31,'MRP WP3'!$B$4:$E$503,2,FALSE)</f>
        <v>49216.36</v>
      </c>
      <c r="D31" s="547">
        <f>VLOOKUP($B31,'MRP WP3'!$B$4:$E$503,3,FALSE)</f>
        <v>3.0299999999999997E-2</v>
      </c>
      <c r="E31" s="547">
        <f>VLOOKUP($B31,'MRP WP3'!$B$4:$E$503,4,FALSE)</f>
        <v>7.0000000000000007E-2</v>
      </c>
      <c r="F31" s="567">
        <f t="shared" si="0"/>
        <v>0.10136049999999999</v>
      </c>
      <c r="G31" s="567">
        <f t="shared" si="1"/>
        <v>5.1689998851330098E-2</v>
      </c>
      <c r="H31" s="568">
        <f t="shared" si="2"/>
        <v>5.2393241285702439E-3</v>
      </c>
    </row>
    <row r="32" spans="1:8">
      <c r="A32" s="88" t="s">
        <v>2752</v>
      </c>
      <c r="B32" s="88" t="s">
        <v>217</v>
      </c>
      <c r="C32" s="566">
        <f>VLOOKUP($B32,'MRP WP3'!$B$4:$E$503,2,FALSE)</f>
        <v>29934.78</v>
      </c>
      <c r="D32" s="547">
        <f>VLOOKUP($B32,'MRP WP3'!$B$4:$E$503,3,FALSE)</f>
        <v>3.2899999999999999E-2</v>
      </c>
      <c r="E32" s="547">
        <f>VLOOKUP($B32,'MRP WP3'!$B$4:$E$503,4,FALSE)</f>
        <v>0.06</v>
      </c>
      <c r="F32" s="567">
        <f t="shared" si="0"/>
        <v>9.3886999999999998E-2</v>
      </c>
      <c r="G32" s="567">
        <f t="shared" si="1"/>
        <v>3.1439317003834073E-2</v>
      </c>
      <c r="H32" s="568">
        <f t="shared" si="2"/>
        <v>2.9517431555389695E-3</v>
      </c>
    </row>
    <row r="33" spans="1:15">
      <c r="A33" s="88" t="s">
        <v>2763</v>
      </c>
      <c r="B33" s="88" t="s">
        <v>218</v>
      </c>
      <c r="C33" s="566">
        <f>VLOOKUP($B33,'MRP WP3'!$B$4:$E$503,2,FALSE)</f>
        <v>38514.699999999997</v>
      </c>
      <c r="D33" s="547">
        <f>VLOOKUP($B33,'MRP WP3'!$B$4:$E$503,3,FALSE)</f>
        <v>2.9100000000000001E-2</v>
      </c>
      <c r="E33" s="547">
        <f>VLOOKUP($B33,'MRP WP3'!$B$4:$E$503,4,FALSE)</f>
        <v>0.06</v>
      </c>
      <c r="F33" s="567">
        <f t="shared" si="0"/>
        <v>8.9972999999999997E-2</v>
      </c>
      <c r="G33" s="567">
        <f t="shared" si="1"/>
        <v>4.0450468071172335E-2</v>
      </c>
      <c r="H33" s="568">
        <f t="shared" si="2"/>
        <v>3.6394499637675882E-3</v>
      </c>
    </row>
    <row r="34" spans="1:15">
      <c r="A34" s="519"/>
      <c r="B34" s="519"/>
      <c r="C34" s="570">
        <f>SUMIF(F4:F33,"&lt;&gt;n/a",C4:C33)</f>
        <v>952144.72999999986</v>
      </c>
      <c r="D34" s="571"/>
      <c r="E34" s="571"/>
      <c r="F34" s="571"/>
      <c r="G34" s="572"/>
      <c r="H34" s="573">
        <f>SUM(H4:H33)</f>
        <v>9.4973287158418643E-2</v>
      </c>
      <c r="O34" s="574"/>
    </row>
    <row r="35" spans="1:15">
      <c r="A35" s="519"/>
      <c r="B35" s="519"/>
    </row>
    <row r="36" spans="1:15">
      <c r="A36" s="519"/>
      <c r="B36" s="519"/>
    </row>
    <row r="37" spans="1:15">
      <c r="A37" s="519"/>
      <c r="B37" s="519"/>
    </row>
  </sheetData>
  <sortState ref="J4:J33">
    <sortCondition ref="J4"/>
  </sortStat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Y1156"/>
  <sheetViews>
    <sheetView topLeftCell="Y29" zoomScale="76" zoomScaleNormal="78" workbookViewId="0">
      <selection activeCell="AS42" sqref="AS42"/>
    </sheetView>
  </sheetViews>
  <sheetFormatPr defaultColWidth="10.33203125" defaultRowHeight="13.8"/>
  <cols>
    <col min="1" max="1" width="15" style="575" bestFit="1" customWidth="1"/>
    <col min="2" max="2" width="17.33203125" style="577" customWidth="1"/>
    <col min="3" max="3" width="14" style="577" customWidth="1"/>
    <col min="4" max="4" width="15" style="577" bestFit="1" customWidth="1"/>
    <col min="5" max="6" width="11.88671875" style="577" customWidth="1"/>
    <col min="7" max="7" width="17.33203125" style="577" bestFit="1" customWidth="1"/>
    <col min="8" max="8" width="11.88671875" style="577" customWidth="1"/>
    <col min="9" max="11" width="12.33203125" style="577" bestFit="1" customWidth="1"/>
    <col min="12" max="12" width="20.33203125" style="575" bestFit="1" customWidth="1"/>
    <col min="13" max="13" width="20" style="575" bestFit="1" customWidth="1"/>
    <col min="14" max="14" width="24.33203125" style="575" bestFit="1" customWidth="1"/>
    <col min="15" max="16" width="24" style="575" customWidth="1"/>
    <col min="17" max="17" width="22.33203125" style="575" bestFit="1" customWidth="1"/>
    <col min="18" max="18" width="18.33203125" style="575" bestFit="1" customWidth="1"/>
    <col min="19" max="19" width="10.33203125" style="575" bestFit="1" customWidth="1"/>
    <col min="20" max="20" width="10.33203125" style="575"/>
    <col min="21" max="22" width="10.33203125" style="575" bestFit="1" customWidth="1"/>
    <col min="23" max="23" width="16" style="575" bestFit="1" customWidth="1"/>
    <col min="24" max="24" width="10.33203125" style="575" bestFit="1" customWidth="1"/>
    <col min="25" max="26" width="15" style="575" bestFit="1" customWidth="1"/>
    <col min="27" max="29" width="10.33203125" style="575" bestFit="1" customWidth="1"/>
    <col min="30" max="30" width="10.33203125" style="575"/>
    <col min="31" max="34" width="10.33203125" style="575" bestFit="1" customWidth="1"/>
    <col min="35" max="36" width="15" style="575" bestFit="1" customWidth="1"/>
    <col min="37" max="39" width="10.33203125" style="575" bestFit="1" customWidth="1"/>
    <col min="40" max="40" width="10.33203125" style="575"/>
    <col min="41" max="44" width="10.33203125" style="575" bestFit="1" customWidth="1"/>
    <col min="45" max="45" width="15" style="575" bestFit="1" customWidth="1"/>
    <col min="46" max="49" width="10.33203125" style="575" bestFit="1" customWidth="1"/>
    <col min="50" max="16384" width="10.33203125" style="575"/>
  </cols>
  <sheetData>
    <row r="1" spans="1:49" ht="14.4" thickBot="1">
      <c r="A1" s="575" t="s">
        <v>1481</v>
      </c>
      <c r="B1" s="576"/>
      <c r="C1" s="577" t="s">
        <v>1480</v>
      </c>
      <c r="I1" s="1068"/>
      <c r="J1" s="1068"/>
      <c r="U1" s="88" t="s">
        <v>2162</v>
      </c>
      <c r="V1" s="88"/>
      <c r="W1" s="88"/>
      <c r="X1" s="88"/>
      <c r="Y1" s="88"/>
      <c r="Z1" s="88"/>
      <c r="AA1" s="88"/>
      <c r="AB1" s="88"/>
      <c r="AC1" s="88"/>
      <c r="AE1" s="88" t="s">
        <v>2162</v>
      </c>
      <c r="AF1" s="88"/>
      <c r="AG1" s="88"/>
      <c r="AH1" s="88"/>
      <c r="AI1" s="88"/>
      <c r="AJ1" s="88"/>
      <c r="AK1" s="88"/>
      <c r="AL1" s="88"/>
      <c r="AM1" s="88"/>
      <c r="AO1" s="88" t="s">
        <v>2162</v>
      </c>
      <c r="AP1" s="88"/>
      <c r="AQ1" s="88"/>
      <c r="AR1" s="88"/>
      <c r="AS1" s="88"/>
      <c r="AT1" s="88"/>
      <c r="AU1" s="88"/>
      <c r="AV1" s="88"/>
      <c r="AW1" s="88"/>
    </row>
    <row r="2" spans="1:49" ht="14.4" thickBot="1">
      <c r="A2" s="575" t="s">
        <v>1479</v>
      </c>
      <c r="B2" s="578"/>
      <c r="C2" s="577" t="s">
        <v>1478</v>
      </c>
      <c r="I2" s="1068"/>
      <c r="J2" s="1068"/>
      <c r="U2" s="88"/>
      <c r="V2" s="88"/>
      <c r="W2" s="88"/>
      <c r="X2" s="88"/>
      <c r="Y2" s="88"/>
      <c r="Z2" s="88"/>
      <c r="AA2" s="88"/>
      <c r="AB2" s="88"/>
      <c r="AC2" s="88"/>
      <c r="AE2" s="88"/>
      <c r="AF2" s="88"/>
      <c r="AG2" s="88"/>
      <c r="AH2" s="88"/>
      <c r="AI2" s="88"/>
      <c r="AJ2" s="88"/>
      <c r="AK2" s="88"/>
      <c r="AL2" s="88"/>
      <c r="AM2" s="88"/>
      <c r="AO2" s="88"/>
      <c r="AP2" s="88"/>
      <c r="AQ2" s="88"/>
      <c r="AR2" s="88"/>
      <c r="AS2" s="88"/>
      <c r="AT2" s="88"/>
      <c r="AU2" s="88"/>
      <c r="AV2" s="88"/>
      <c r="AW2" s="88"/>
    </row>
    <row r="3" spans="1:49">
      <c r="I3" s="1068"/>
      <c r="J3" s="1068"/>
      <c r="U3" s="579" t="s">
        <v>2163</v>
      </c>
      <c r="V3" s="579"/>
      <c r="W3" s="88"/>
      <c r="X3" s="88"/>
      <c r="Y3" s="88"/>
      <c r="Z3" s="88"/>
      <c r="AA3" s="88"/>
      <c r="AB3" s="88"/>
      <c r="AC3" s="88"/>
      <c r="AE3" s="579" t="s">
        <v>2163</v>
      </c>
      <c r="AF3" s="579"/>
      <c r="AG3" s="88"/>
      <c r="AH3" s="88"/>
      <c r="AI3" s="88"/>
      <c r="AJ3" s="88"/>
      <c r="AK3" s="88"/>
      <c r="AL3" s="88"/>
      <c r="AM3" s="88"/>
      <c r="AO3" s="579" t="s">
        <v>2163</v>
      </c>
      <c r="AP3" s="579"/>
      <c r="AQ3" s="88"/>
      <c r="AR3" s="88"/>
      <c r="AS3" s="88"/>
      <c r="AT3" s="88"/>
      <c r="AU3" s="88"/>
      <c r="AV3" s="88"/>
      <c r="AW3" s="88"/>
    </row>
    <row r="4" spans="1:49" ht="27.6">
      <c r="B4" s="577" t="s">
        <v>1477</v>
      </c>
      <c r="C4" s="577" t="s">
        <v>1476</v>
      </c>
      <c r="D4" s="577" t="s">
        <v>1475</v>
      </c>
      <c r="E4" s="577" t="s">
        <v>1474</v>
      </c>
      <c r="F4" s="577" t="s">
        <v>1473</v>
      </c>
      <c r="G4" s="580" t="s">
        <v>1472</v>
      </c>
      <c r="H4" s="577" t="s">
        <v>1471</v>
      </c>
      <c r="I4" s="577" t="s">
        <v>1470</v>
      </c>
      <c r="J4" s="577" t="s">
        <v>1469</v>
      </c>
      <c r="K4" s="577" t="s">
        <v>1468</v>
      </c>
      <c r="L4" s="575" t="s">
        <v>2164</v>
      </c>
      <c r="M4" s="575" t="s">
        <v>2165</v>
      </c>
      <c r="N4" s="575" t="s">
        <v>2166</v>
      </c>
      <c r="O4" s="575" t="s">
        <v>2167</v>
      </c>
      <c r="P4" s="575" t="s">
        <v>2168</v>
      </c>
      <c r="Q4" s="575" t="s">
        <v>2169</v>
      </c>
      <c r="R4" s="575" t="s">
        <v>2170</v>
      </c>
      <c r="S4" s="575" t="s">
        <v>2171</v>
      </c>
      <c r="U4" s="88" t="s">
        <v>2172</v>
      </c>
      <c r="V4" s="88">
        <v>0.14137827820019411</v>
      </c>
      <c r="W4" s="88"/>
      <c r="X4" s="88"/>
      <c r="Y4" s="88"/>
      <c r="Z4" s="88"/>
      <c r="AA4" s="88"/>
      <c r="AB4" s="88"/>
      <c r="AC4" s="88"/>
      <c r="AE4" s="88" t="s">
        <v>2172</v>
      </c>
      <c r="AF4" s="88">
        <v>0.17054177502691326</v>
      </c>
      <c r="AG4" s="88"/>
      <c r="AH4" s="88"/>
      <c r="AI4" s="88"/>
      <c r="AJ4" s="88"/>
      <c r="AK4" s="88"/>
      <c r="AL4" s="88"/>
      <c r="AM4" s="88"/>
      <c r="AO4" s="88" t="s">
        <v>2172</v>
      </c>
      <c r="AP4" s="88">
        <v>0.11587490136180022</v>
      </c>
      <c r="AQ4" s="88"/>
      <c r="AR4" s="88"/>
      <c r="AS4" s="88"/>
      <c r="AT4" s="88"/>
      <c r="AU4" s="88"/>
      <c r="AV4" s="88"/>
      <c r="AW4" s="88"/>
    </row>
    <row r="5" spans="1:49">
      <c r="A5" s="581">
        <v>9498</v>
      </c>
      <c r="B5" s="582">
        <v>0</v>
      </c>
      <c r="D5" s="577">
        <v>3.0999999999999999E-3</v>
      </c>
      <c r="U5" s="88" t="s">
        <v>2173</v>
      </c>
      <c r="V5" s="88">
        <v>1.9987817546851482E-2</v>
      </c>
      <c r="W5" s="88"/>
      <c r="X5" s="88"/>
      <c r="Y5" s="88"/>
      <c r="Z5" s="88"/>
      <c r="AA5" s="88"/>
      <c r="AB5" s="88"/>
      <c r="AC5" s="88"/>
      <c r="AE5" s="88" t="s">
        <v>2173</v>
      </c>
      <c r="AF5" s="88">
        <v>2.9084497029330296E-2</v>
      </c>
      <c r="AG5" s="88"/>
      <c r="AH5" s="88"/>
      <c r="AI5" s="88"/>
      <c r="AJ5" s="88"/>
      <c r="AK5" s="88"/>
      <c r="AL5" s="88"/>
      <c r="AM5" s="88"/>
      <c r="AO5" s="88" t="s">
        <v>2173</v>
      </c>
      <c r="AP5" s="88">
        <v>1.3426992765606931E-2</v>
      </c>
      <c r="AQ5" s="88"/>
      <c r="AR5" s="88"/>
      <c r="AS5" s="88"/>
      <c r="AT5" s="88"/>
      <c r="AU5" s="88"/>
      <c r="AV5" s="88"/>
      <c r="AW5" s="88"/>
    </row>
    <row r="6" spans="1:49">
      <c r="A6" s="581">
        <v>9529</v>
      </c>
      <c r="B6" s="582">
        <v>-3.85E-2</v>
      </c>
      <c r="D6" s="577">
        <v>2.8E-3</v>
      </c>
      <c r="I6" s="577">
        <f t="shared" ref="I6:I69" si="0">B6-D6</f>
        <v>-4.1299999999999996E-2</v>
      </c>
      <c r="U6" s="88" t="s">
        <v>2174</v>
      </c>
      <c r="V6" s="88">
        <v>1.9127402988069087E-2</v>
      </c>
      <c r="W6" s="88"/>
      <c r="X6" s="88"/>
      <c r="Y6" s="88"/>
      <c r="Z6" s="88"/>
      <c r="AA6" s="88"/>
      <c r="AB6" s="88"/>
      <c r="AC6" s="88"/>
      <c r="AE6" s="88" t="s">
        <v>2174</v>
      </c>
      <c r="AF6" s="88">
        <v>2.8213720793482163E-2</v>
      </c>
      <c r="AG6" s="88"/>
      <c r="AH6" s="88"/>
      <c r="AI6" s="88"/>
      <c r="AJ6" s="88"/>
      <c r="AK6" s="88"/>
      <c r="AL6" s="88"/>
      <c r="AM6" s="88"/>
      <c r="AO6" s="88" t="s">
        <v>2174</v>
      </c>
      <c r="AP6" s="88">
        <v>1.2542173925037968E-2</v>
      </c>
      <c r="AQ6" s="88"/>
      <c r="AR6" s="88"/>
      <c r="AS6" s="88"/>
      <c r="AT6" s="88"/>
      <c r="AU6" s="88"/>
      <c r="AV6" s="88"/>
      <c r="AW6" s="88"/>
    </row>
    <row r="7" spans="1:49">
      <c r="A7" s="581">
        <v>9557</v>
      </c>
      <c r="B7" s="582">
        <v>-5.7500000000000002E-2</v>
      </c>
      <c r="D7" s="577">
        <v>3.2000000000000002E-3</v>
      </c>
      <c r="I7" s="577">
        <f t="shared" si="0"/>
        <v>-6.0700000000000004E-2</v>
      </c>
      <c r="U7" s="88" t="s">
        <v>2175</v>
      </c>
      <c r="V7" s="88">
        <v>0.21015764843621795</v>
      </c>
      <c r="W7" s="88"/>
      <c r="X7" s="88"/>
      <c r="Y7" s="88"/>
      <c r="Z7" s="88"/>
      <c r="AA7" s="88"/>
      <c r="AB7" s="88"/>
      <c r="AC7" s="88"/>
      <c r="AE7" s="88" t="s">
        <v>2175</v>
      </c>
      <c r="AF7" s="88">
        <v>0.20984436613618665</v>
      </c>
      <c r="AG7" s="88"/>
      <c r="AH7" s="88"/>
      <c r="AI7" s="88"/>
      <c r="AJ7" s="88"/>
      <c r="AK7" s="88"/>
      <c r="AL7" s="88"/>
      <c r="AM7" s="88"/>
      <c r="AO7" s="88" t="s">
        <v>2175</v>
      </c>
      <c r="AP7" s="88">
        <v>0.21818068428572543</v>
      </c>
      <c r="AQ7" s="88"/>
      <c r="AR7" s="88"/>
      <c r="AS7" s="88"/>
      <c r="AT7" s="88"/>
      <c r="AU7" s="88"/>
      <c r="AV7" s="88"/>
      <c r="AW7" s="88"/>
    </row>
    <row r="8" spans="1:49" ht="14.4" thickBot="1">
      <c r="A8" s="581">
        <v>9588</v>
      </c>
      <c r="B8" s="582">
        <v>2.53E-2</v>
      </c>
      <c r="D8" s="577">
        <v>3.0000000000000001E-3</v>
      </c>
      <c r="I8" s="577">
        <f t="shared" si="0"/>
        <v>2.23E-2</v>
      </c>
      <c r="U8" s="583" t="s">
        <v>2176</v>
      </c>
      <c r="V8" s="583">
        <v>1141</v>
      </c>
      <c r="W8" s="88"/>
      <c r="X8" s="88"/>
      <c r="Y8" s="88"/>
      <c r="Z8" s="88"/>
      <c r="AA8" s="88"/>
      <c r="AB8" s="88"/>
      <c r="AC8" s="88"/>
      <c r="AE8" s="583" t="s">
        <v>2176</v>
      </c>
      <c r="AF8" s="583">
        <v>1117</v>
      </c>
      <c r="AG8" s="88"/>
      <c r="AH8" s="88"/>
      <c r="AI8" s="88"/>
      <c r="AJ8" s="88"/>
      <c r="AK8" s="88"/>
      <c r="AL8" s="88"/>
      <c r="AM8" s="88"/>
      <c r="AO8" s="583" t="s">
        <v>2176</v>
      </c>
      <c r="AP8" s="583">
        <v>1117</v>
      </c>
      <c r="AQ8" s="88"/>
      <c r="AR8" s="88"/>
      <c r="AS8" s="88"/>
      <c r="AT8" s="88"/>
      <c r="AU8" s="88"/>
      <c r="AV8" s="88"/>
      <c r="AW8" s="88"/>
    </row>
    <row r="9" spans="1:49">
      <c r="A9" s="581">
        <v>9618</v>
      </c>
      <c r="B9" s="582">
        <v>1.7899999999999999E-2</v>
      </c>
      <c r="D9" s="577">
        <v>2.8E-3</v>
      </c>
      <c r="I9" s="577">
        <f t="shared" si="0"/>
        <v>1.5099999999999999E-2</v>
      </c>
      <c r="U9" s="88"/>
      <c r="V9" s="88"/>
      <c r="W9" s="88"/>
      <c r="X9" s="88"/>
      <c r="Y9" s="88"/>
      <c r="Z9" s="88"/>
      <c r="AA9" s="88"/>
      <c r="AB9" s="88"/>
      <c r="AC9" s="88"/>
      <c r="AE9" s="88"/>
      <c r="AF9" s="88"/>
      <c r="AG9" s="88"/>
      <c r="AH9" s="88"/>
      <c r="AI9" s="88"/>
      <c r="AJ9" s="88"/>
      <c r="AK9" s="88"/>
      <c r="AL9" s="88"/>
      <c r="AM9" s="88"/>
      <c r="AO9" s="88"/>
      <c r="AP9" s="88"/>
      <c r="AQ9" s="88"/>
      <c r="AR9" s="88"/>
      <c r="AS9" s="88"/>
      <c r="AT9" s="88"/>
      <c r="AU9" s="88"/>
      <c r="AV9" s="88"/>
      <c r="AW9" s="88"/>
    </row>
    <row r="10" spans="1:49" ht="14.4" thickBot="1">
      <c r="A10" s="581">
        <v>9649</v>
      </c>
      <c r="B10" s="582">
        <v>4.5699999999999998E-2</v>
      </c>
      <c r="D10" s="577">
        <v>3.3E-3</v>
      </c>
      <c r="I10" s="577">
        <f t="shared" si="0"/>
        <v>4.24E-2</v>
      </c>
      <c r="U10" s="88" t="s">
        <v>2177</v>
      </c>
      <c r="V10" s="88"/>
      <c r="W10" s="88"/>
      <c r="X10" s="88"/>
      <c r="Y10" s="88"/>
      <c r="Z10" s="88"/>
      <c r="AA10" s="88"/>
      <c r="AB10" s="88"/>
      <c r="AC10" s="88"/>
      <c r="AE10" s="88" t="s">
        <v>2177</v>
      </c>
      <c r="AF10" s="88"/>
      <c r="AG10" s="88"/>
      <c r="AH10" s="88"/>
      <c r="AI10" s="88"/>
      <c r="AJ10" s="88"/>
      <c r="AK10" s="88"/>
      <c r="AL10" s="88"/>
      <c r="AM10" s="88"/>
      <c r="AO10" s="88" t="s">
        <v>2177</v>
      </c>
      <c r="AP10" s="88"/>
      <c r="AQ10" s="88"/>
      <c r="AR10" s="88"/>
      <c r="AS10" s="88"/>
      <c r="AT10" s="88"/>
      <c r="AU10" s="88"/>
      <c r="AV10" s="88"/>
      <c r="AW10" s="88"/>
    </row>
    <row r="11" spans="1:49">
      <c r="A11" s="581">
        <v>9679</v>
      </c>
      <c r="B11" s="582">
        <v>4.7899999999999998E-2</v>
      </c>
      <c r="D11" s="577">
        <v>3.0999999999999999E-3</v>
      </c>
      <c r="I11" s="577">
        <f t="shared" si="0"/>
        <v>4.48E-2</v>
      </c>
      <c r="U11" s="584"/>
      <c r="V11" s="584" t="s">
        <v>2178</v>
      </c>
      <c r="W11" s="584" t="s">
        <v>2179</v>
      </c>
      <c r="X11" s="584" t="s">
        <v>1916</v>
      </c>
      <c r="Y11" s="584" t="s">
        <v>1728</v>
      </c>
      <c r="Z11" s="584" t="s">
        <v>2180</v>
      </c>
      <c r="AA11" s="88"/>
      <c r="AB11" s="88"/>
      <c r="AC11" s="88"/>
      <c r="AE11" s="584"/>
      <c r="AF11" s="584" t="s">
        <v>2178</v>
      </c>
      <c r="AG11" s="584" t="s">
        <v>2179</v>
      </c>
      <c r="AH11" s="584" t="s">
        <v>1916</v>
      </c>
      <c r="AI11" s="584" t="s">
        <v>1728</v>
      </c>
      <c r="AJ11" s="584" t="s">
        <v>2180</v>
      </c>
      <c r="AK11" s="88"/>
      <c r="AL11" s="88"/>
      <c r="AM11" s="88"/>
      <c r="AO11" s="584"/>
      <c r="AP11" s="584" t="s">
        <v>2178</v>
      </c>
      <c r="AQ11" s="584" t="s">
        <v>2179</v>
      </c>
      <c r="AR11" s="584" t="s">
        <v>1916</v>
      </c>
      <c r="AS11" s="584" t="s">
        <v>1728</v>
      </c>
      <c r="AT11" s="584" t="s">
        <v>2180</v>
      </c>
      <c r="AU11" s="88"/>
      <c r="AV11" s="88"/>
      <c r="AW11" s="88"/>
    </row>
    <row r="12" spans="1:49">
      <c r="A12" s="581">
        <v>9710</v>
      </c>
      <c r="B12" s="582">
        <v>2.4799999999999999E-2</v>
      </c>
      <c r="D12" s="577">
        <v>3.0999999999999999E-3</v>
      </c>
      <c r="I12" s="577">
        <f t="shared" si="0"/>
        <v>2.1700000000000001E-2</v>
      </c>
      <c r="U12" s="88" t="s">
        <v>2181</v>
      </c>
      <c r="V12" s="88">
        <v>1</v>
      </c>
      <c r="W12" s="88">
        <v>1.0260015730773944</v>
      </c>
      <c r="X12" s="88">
        <v>1.0260015730773944</v>
      </c>
      <c r="Y12" s="88">
        <v>23.230450185706971</v>
      </c>
      <c r="Z12" s="88">
        <v>1.6313039750711962E-6</v>
      </c>
      <c r="AA12" s="88"/>
      <c r="AB12" s="88"/>
      <c r="AC12" s="88"/>
      <c r="AE12" s="88" t="s">
        <v>2181</v>
      </c>
      <c r="AF12" s="88">
        <v>1</v>
      </c>
      <c r="AG12" s="88">
        <v>1.4707864397733772</v>
      </c>
      <c r="AH12" s="88">
        <v>1.4707864397733772</v>
      </c>
      <c r="AI12" s="88">
        <v>33.400655451973897</v>
      </c>
      <c r="AJ12" s="88">
        <v>9.7251222674767674E-9</v>
      </c>
      <c r="AK12" s="88"/>
      <c r="AL12" s="88"/>
      <c r="AM12" s="88"/>
      <c r="AO12" s="88" t="s">
        <v>2181</v>
      </c>
      <c r="AP12" s="88">
        <v>1</v>
      </c>
      <c r="AQ12" s="88">
        <v>0.72236549398814986</v>
      </c>
      <c r="AR12" s="88">
        <v>0.72236549398814986</v>
      </c>
      <c r="AS12" s="88">
        <v>15.174849528489935</v>
      </c>
      <c r="AT12" s="88">
        <v>1.0382943838091716E-4</v>
      </c>
      <c r="AU12" s="88"/>
      <c r="AV12" s="88"/>
      <c r="AW12" s="88"/>
    </row>
    <row r="13" spans="1:49">
      <c r="A13" s="581">
        <v>9741</v>
      </c>
      <c r="B13" s="582">
        <v>2.52E-2</v>
      </c>
      <c r="D13" s="577">
        <v>3.0000000000000001E-3</v>
      </c>
      <c r="I13" s="577">
        <f t="shared" si="0"/>
        <v>2.2200000000000001E-2</v>
      </c>
      <c r="U13" s="88" t="s">
        <v>2182</v>
      </c>
      <c r="V13" s="88">
        <v>1139</v>
      </c>
      <c r="W13" s="88">
        <v>50.305344166518474</v>
      </c>
      <c r="X13" s="88">
        <v>4.4166237196240979E-2</v>
      </c>
      <c r="Y13" s="88"/>
      <c r="Z13" s="88"/>
      <c r="AA13" s="88"/>
      <c r="AB13" s="88"/>
      <c r="AC13" s="88"/>
      <c r="AE13" s="88" t="s">
        <v>2182</v>
      </c>
      <c r="AF13" s="88">
        <v>1115</v>
      </c>
      <c r="AG13" s="88">
        <v>49.098643668994221</v>
      </c>
      <c r="AH13" s="88">
        <v>4.4034657999097955E-2</v>
      </c>
      <c r="AI13" s="88"/>
      <c r="AJ13" s="88"/>
      <c r="AK13" s="88"/>
      <c r="AL13" s="88"/>
      <c r="AM13" s="88"/>
      <c r="AO13" s="88" t="s">
        <v>2182</v>
      </c>
      <c r="AP13" s="88">
        <v>1115</v>
      </c>
      <c r="AQ13" s="88">
        <v>53.07713425985694</v>
      </c>
      <c r="AR13" s="88">
        <v>4.7602810995387393E-2</v>
      </c>
      <c r="AS13" s="88"/>
      <c r="AT13" s="88"/>
      <c r="AU13" s="88"/>
      <c r="AV13" s="88"/>
      <c r="AW13" s="88"/>
    </row>
    <row r="14" spans="1:49" ht="14.4" thickBot="1">
      <c r="A14" s="581">
        <v>9771</v>
      </c>
      <c r="B14" s="582">
        <v>-2.8400000000000002E-2</v>
      </c>
      <c r="D14" s="577">
        <v>3.0000000000000001E-3</v>
      </c>
      <c r="I14" s="577">
        <f t="shared" si="0"/>
        <v>-3.1400000000000004E-2</v>
      </c>
      <c r="U14" s="583" t="s">
        <v>86</v>
      </c>
      <c r="V14" s="583">
        <v>1140</v>
      </c>
      <c r="W14" s="583">
        <v>51.331345739595868</v>
      </c>
      <c r="X14" s="583"/>
      <c r="Y14" s="583"/>
      <c r="Z14" s="583"/>
      <c r="AA14" s="88"/>
      <c r="AB14" s="88"/>
      <c r="AC14" s="88"/>
      <c r="AE14" s="583" t="s">
        <v>86</v>
      </c>
      <c r="AF14" s="583">
        <v>1116</v>
      </c>
      <c r="AG14" s="583">
        <v>50.569430108767598</v>
      </c>
      <c r="AH14" s="583"/>
      <c r="AI14" s="583"/>
      <c r="AJ14" s="583"/>
      <c r="AK14" s="88"/>
      <c r="AL14" s="88"/>
      <c r="AM14" s="88"/>
      <c r="AO14" s="583" t="s">
        <v>86</v>
      </c>
      <c r="AP14" s="583">
        <v>1116</v>
      </c>
      <c r="AQ14" s="583">
        <v>53.79949975384509</v>
      </c>
      <c r="AR14" s="583"/>
      <c r="AS14" s="583"/>
      <c r="AT14" s="583"/>
      <c r="AU14" s="88"/>
      <c r="AV14" s="88"/>
      <c r="AW14" s="88"/>
    </row>
    <row r="15" spans="1:49" ht="14.4" thickBot="1">
      <c r="A15" s="581">
        <v>9802</v>
      </c>
      <c r="B15" s="582">
        <v>3.4700000000000002E-2</v>
      </c>
      <c r="D15" s="577">
        <v>3.0999999999999999E-3</v>
      </c>
      <c r="I15" s="577">
        <f t="shared" si="0"/>
        <v>3.1600000000000003E-2</v>
      </c>
      <c r="U15" s="88"/>
      <c r="V15" s="88"/>
      <c r="W15" s="88"/>
      <c r="X15" s="88"/>
      <c r="Y15" s="88"/>
      <c r="Z15" s="88"/>
      <c r="AA15" s="88"/>
      <c r="AB15" s="88"/>
      <c r="AC15" s="88"/>
      <c r="AE15" s="88"/>
      <c r="AF15" s="88"/>
      <c r="AG15" s="88"/>
      <c r="AH15" s="88"/>
      <c r="AI15" s="88"/>
      <c r="AJ15" s="88"/>
      <c r="AK15" s="88"/>
      <c r="AL15" s="88"/>
      <c r="AM15" s="88"/>
      <c r="AO15" s="88"/>
      <c r="AP15" s="88"/>
      <c r="AQ15" s="88"/>
      <c r="AR15" s="88"/>
      <c r="AS15" s="88"/>
      <c r="AT15" s="88"/>
      <c r="AU15" s="88"/>
      <c r="AV15" s="88"/>
      <c r="AW15" s="88"/>
    </row>
    <row r="16" spans="1:49">
      <c r="A16" s="581">
        <v>9832</v>
      </c>
      <c r="B16" s="582">
        <v>1.9599999999999999E-2</v>
      </c>
      <c r="D16" s="577">
        <v>3.0000000000000001E-3</v>
      </c>
      <c r="I16" s="577">
        <f t="shared" si="0"/>
        <v>1.66E-2</v>
      </c>
      <c r="L16" s="585">
        <f t="shared" ref="L16:L79" si="1">((1+B5)*(1+B6)*(1+B7)*(1+B8)*(1+B9)*(1+B10)*(1+B11)*(1+B12)*(1+B13)*(1+B14)*(1+B15)*(1+B16))-1</f>
        <v>0.11607444428240954</v>
      </c>
      <c r="M16" s="585">
        <f t="shared" ref="M16:M79" si="2">D16*12</f>
        <v>3.6000000000000004E-2</v>
      </c>
      <c r="O16" s="586">
        <f t="shared" ref="O16:O79" si="3">L16-M16</f>
        <v>8.0074444282409535E-2</v>
      </c>
      <c r="U16" s="584"/>
      <c r="V16" s="584" t="s">
        <v>2183</v>
      </c>
      <c r="W16" s="584" t="s">
        <v>2175</v>
      </c>
      <c r="X16" s="584" t="s">
        <v>2184</v>
      </c>
      <c r="Y16" s="584" t="s">
        <v>2185</v>
      </c>
      <c r="Z16" s="584" t="s">
        <v>2186</v>
      </c>
      <c r="AA16" s="584" t="s">
        <v>2187</v>
      </c>
      <c r="AB16" s="584" t="s">
        <v>2188</v>
      </c>
      <c r="AC16" s="584" t="s">
        <v>2189</v>
      </c>
      <c r="AE16" s="584"/>
      <c r="AF16" s="584" t="s">
        <v>2183</v>
      </c>
      <c r="AG16" s="584" t="s">
        <v>2175</v>
      </c>
      <c r="AH16" s="584" t="s">
        <v>2184</v>
      </c>
      <c r="AI16" s="584" t="s">
        <v>2185</v>
      </c>
      <c r="AJ16" s="584" t="s">
        <v>2186</v>
      </c>
      <c r="AK16" s="584" t="s">
        <v>2187</v>
      </c>
      <c r="AL16" s="584" t="s">
        <v>2188</v>
      </c>
      <c r="AM16" s="584" t="s">
        <v>2189</v>
      </c>
      <c r="AO16" s="584"/>
      <c r="AP16" s="584" t="s">
        <v>2183</v>
      </c>
      <c r="AQ16" s="584" t="s">
        <v>2175</v>
      </c>
      <c r="AR16" s="584" t="s">
        <v>2184</v>
      </c>
      <c r="AS16" s="584" t="s">
        <v>2185</v>
      </c>
      <c r="AT16" s="584" t="s">
        <v>2186</v>
      </c>
      <c r="AU16" s="584" t="s">
        <v>2187</v>
      </c>
      <c r="AV16" s="584" t="s">
        <v>2188</v>
      </c>
      <c r="AW16" s="584" t="s">
        <v>2189</v>
      </c>
    </row>
    <row r="17" spans="1:49">
      <c r="A17" s="581">
        <v>9863</v>
      </c>
      <c r="B17" s="582">
        <v>-1.9300000000000001E-2</v>
      </c>
      <c r="D17" s="577">
        <v>3.0000000000000001E-3</v>
      </c>
      <c r="I17" s="577">
        <f t="shared" si="0"/>
        <v>-2.23E-2</v>
      </c>
      <c r="L17" s="585">
        <f t="shared" si="1"/>
        <v>9.4534207507759094E-2</v>
      </c>
      <c r="M17" s="585">
        <f t="shared" si="2"/>
        <v>3.6000000000000004E-2</v>
      </c>
      <c r="O17" s="586">
        <f t="shared" si="3"/>
        <v>5.853420750775909E-2</v>
      </c>
      <c r="U17" s="88" t="s">
        <v>2190</v>
      </c>
      <c r="V17" s="88">
        <v>0.13005216995553287</v>
      </c>
      <c r="W17" s="88">
        <v>1.2829129177081134E-2</v>
      </c>
      <c r="X17" s="88">
        <v>10.137256251801352</v>
      </c>
      <c r="Y17" s="88">
        <v>3.5122169755247214E-23</v>
      </c>
      <c r="Z17" s="88">
        <v>0.10488079079914295</v>
      </c>
      <c r="AA17" s="88">
        <v>0.15522354911192279</v>
      </c>
      <c r="AB17" s="88">
        <v>0.10488079079914295</v>
      </c>
      <c r="AC17" s="88">
        <v>0.15522354911192279</v>
      </c>
      <c r="AE17" s="88" t="s">
        <v>2190</v>
      </c>
      <c r="AF17" s="88">
        <v>0.13686801073194149</v>
      </c>
      <c r="AG17" s="88">
        <v>1.4305697713513402E-2</v>
      </c>
      <c r="AH17" s="88">
        <v>9.5673775213811254</v>
      </c>
      <c r="AI17" s="88">
        <v>6.7741806780173036E-21</v>
      </c>
      <c r="AJ17" s="88">
        <v>0.10879888916814542</v>
      </c>
      <c r="AK17" s="88">
        <v>0.16493713229573756</v>
      </c>
      <c r="AL17" s="88">
        <v>0.10879888916814542</v>
      </c>
      <c r="AM17" s="88">
        <v>0.16493713229573756</v>
      </c>
      <c r="AO17" s="88" t="s">
        <v>2190</v>
      </c>
      <c r="AP17" s="88">
        <v>9.6548660100842426E-2</v>
      </c>
      <c r="AQ17" s="88">
        <v>1.4830271168172248E-2</v>
      </c>
      <c r="AR17" s="88">
        <v>6.51024239584026</v>
      </c>
      <c r="AS17" s="88">
        <v>1.1320394189100312E-10</v>
      </c>
      <c r="AT17" s="88">
        <v>6.7450276185581262E-2</v>
      </c>
      <c r="AU17" s="88">
        <v>0.12564704401610358</v>
      </c>
      <c r="AV17" s="88">
        <v>6.7450276185581262E-2</v>
      </c>
      <c r="AW17" s="88">
        <v>0.12564704401610358</v>
      </c>
    </row>
    <row r="18" spans="1:49" ht="14.4" thickBot="1">
      <c r="A18" s="581">
        <v>9894</v>
      </c>
      <c r="B18" s="582">
        <v>5.3699999999999998E-2</v>
      </c>
      <c r="D18" s="577">
        <v>2.7000000000000001E-3</v>
      </c>
      <c r="I18" s="577">
        <f t="shared" si="0"/>
        <v>5.0999999999999997E-2</v>
      </c>
      <c r="L18" s="585">
        <f t="shared" si="1"/>
        <v>0.19949110187303742</v>
      </c>
      <c r="M18" s="585">
        <f t="shared" si="2"/>
        <v>3.2399999999999998E-2</v>
      </c>
      <c r="O18" s="586">
        <f t="shared" si="3"/>
        <v>0.16709110187303744</v>
      </c>
      <c r="U18" s="583" t="s">
        <v>2191</v>
      </c>
      <c r="V18" s="583">
        <v>-1.0993159443314597</v>
      </c>
      <c r="W18" s="583">
        <v>0.22808341869535081</v>
      </c>
      <c r="X18" s="583">
        <v>-4.819797732862849</v>
      </c>
      <c r="Y18" s="583">
        <v>1.6313039750687874E-6</v>
      </c>
      <c r="Z18" s="583">
        <v>-1.5468267716074646</v>
      </c>
      <c r="AA18" s="583">
        <v>-0.65180511705545485</v>
      </c>
      <c r="AB18" s="583">
        <v>-1.5468267716074646</v>
      </c>
      <c r="AC18" s="583">
        <v>-0.65180511705545485</v>
      </c>
      <c r="AE18" s="583" t="s">
        <v>2191</v>
      </c>
      <c r="AF18" s="583">
        <v>-1.2729845005080282</v>
      </c>
      <c r="AG18" s="583">
        <v>0.22026506474595575</v>
      </c>
      <c r="AH18" s="583">
        <v>-5.7793300175687587</v>
      </c>
      <c r="AI18" s="583">
        <v>9.7251222674895308E-9</v>
      </c>
      <c r="AJ18" s="583">
        <v>-1.7051652303420868</v>
      </c>
      <c r="AK18" s="583">
        <v>-0.84080377067396972</v>
      </c>
      <c r="AL18" s="583">
        <v>-1.7051652303420868</v>
      </c>
      <c r="AM18" s="583">
        <v>-0.84080377067396972</v>
      </c>
      <c r="AO18" s="583" t="s">
        <v>2191</v>
      </c>
      <c r="AP18" s="583">
        <v>-0.82546130326479006</v>
      </c>
      <c r="AQ18" s="583">
        <v>0.2119017396405663</v>
      </c>
      <c r="AR18" s="583">
        <v>-3.895490922655759</v>
      </c>
      <c r="AS18" s="583">
        <v>1.0382943838072405E-4</v>
      </c>
      <c r="AT18" s="583">
        <v>-1.2412324043088474</v>
      </c>
      <c r="AU18" s="583">
        <v>-0.40969020222073277</v>
      </c>
      <c r="AV18" s="583">
        <v>-1.2412324043088474</v>
      </c>
      <c r="AW18" s="583">
        <v>-0.40969020222073277</v>
      </c>
    </row>
    <row r="19" spans="1:49">
      <c r="A19" s="581">
        <v>9922</v>
      </c>
      <c r="B19" s="582">
        <v>8.6999999999999994E-3</v>
      </c>
      <c r="D19" s="577">
        <v>2.8999999999999998E-3</v>
      </c>
      <c r="I19" s="577">
        <f t="shared" si="0"/>
        <v>5.7999999999999996E-3</v>
      </c>
      <c r="L19" s="585">
        <f t="shared" si="1"/>
        <v>0.28374182966507422</v>
      </c>
      <c r="M19" s="585">
        <f t="shared" si="2"/>
        <v>3.4799999999999998E-2</v>
      </c>
      <c r="O19" s="586">
        <f t="shared" si="3"/>
        <v>0.24894182966507422</v>
      </c>
      <c r="U19" s="88"/>
      <c r="V19" s="88"/>
      <c r="W19" s="88"/>
      <c r="X19" s="88"/>
      <c r="Y19" s="88"/>
      <c r="Z19" s="88"/>
      <c r="AA19" s="88"/>
      <c r="AB19" s="88"/>
      <c r="AC19" s="88"/>
      <c r="AE19" s="88"/>
      <c r="AF19" s="88"/>
      <c r="AG19" s="88"/>
      <c r="AH19" s="88"/>
      <c r="AI19" s="88"/>
      <c r="AJ19" s="88"/>
      <c r="AK19" s="88"/>
      <c r="AL19" s="88"/>
      <c r="AM19" s="88"/>
      <c r="AO19" s="88"/>
      <c r="AP19" s="88"/>
      <c r="AQ19" s="88"/>
      <c r="AR19" s="88"/>
      <c r="AS19" s="88"/>
      <c r="AT19" s="88"/>
      <c r="AU19" s="88"/>
      <c r="AV19" s="88"/>
      <c r="AW19" s="88"/>
    </row>
    <row r="20" spans="1:49">
      <c r="A20" s="581">
        <v>9953</v>
      </c>
      <c r="B20" s="582">
        <v>2.01E-2</v>
      </c>
      <c r="D20" s="577">
        <v>2.7000000000000001E-3</v>
      </c>
      <c r="I20" s="577">
        <f t="shared" si="0"/>
        <v>1.7399999999999999E-2</v>
      </c>
      <c r="L20" s="585">
        <f t="shared" si="1"/>
        <v>0.27723109376898725</v>
      </c>
      <c r="M20" s="585">
        <f t="shared" si="2"/>
        <v>3.2399999999999998E-2</v>
      </c>
      <c r="O20" s="586">
        <f t="shared" si="3"/>
        <v>0.24483109376898726</v>
      </c>
      <c r="U20" s="88"/>
      <c r="V20" s="88"/>
      <c r="W20" s="88"/>
      <c r="X20" s="88"/>
      <c r="Y20" s="88"/>
      <c r="Z20" s="88"/>
      <c r="AA20" s="88"/>
      <c r="AB20" s="88"/>
      <c r="AC20" s="88"/>
      <c r="AE20" s="88"/>
      <c r="AF20" s="88"/>
      <c r="AG20" s="88"/>
      <c r="AH20" s="88"/>
      <c r="AI20" s="88"/>
      <c r="AJ20" s="88"/>
      <c r="AK20" s="88"/>
      <c r="AL20" s="88"/>
      <c r="AM20" s="88"/>
      <c r="AO20" s="88"/>
      <c r="AP20" s="88"/>
      <c r="AQ20" s="88"/>
      <c r="AR20" s="88"/>
      <c r="AS20" s="88"/>
      <c r="AT20" s="88"/>
      <c r="AU20" s="88"/>
      <c r="AV20" s="88"/>
      <c r="AW20" s="88"/>
    </row>
    <row r="21" spans="1:49">
      <c r="A21" s="581">
        <v>9983</v>
      </c>
      <c r="B21" s="582">
        <v>6.0699999999999997E-2</v>
      </c>
      <c r="D21" s="577">
        <v>2.7999999999999995E-3</v>
      </c>
      <c r="I21" s="577">
        <f t="shared" si="0"/>
        <v>5.79E-2</v>
      </c>
      <c r="L21" s="585">
        <f t="shared" si="1"/>
        <v>0.33093527965494141</v>
      </c>
      <c r="M21" s="585">
        <f t="shared" si="2"/>
        <v>3.3599999999999991E-2</v>
      </c>
      <c r="O21" s="586">
        <f t="shared" si="3"/>
        <v>0.29733527965494144</v>
      </c>
      <c r="U21" s="88"/>
      <c r="V21" s="88"/>
      <c r="W21" s="88"/>
      <c r="X21" s="88"/>
      <c r="Y21" s="88"/>
      <c r="Z21" s="88"/>
      <c r="AA21" s="88"/>
      <c r="AB21" s="88"/>
      <c r="AC21" s="88"/>
      <c r="AE21" s="88"/>
      <c r="AF21" s="88"/>
      <c r="AG21" s="88"/>
      <c r="AH21" s="88"/>
      <c r="AI21" s="88"/>
      <c r="AJ21" s="88"/>
      <c r="AK21" s="88"/>
      <c r="AL21" s="88"/>
      <c r="AM21" s="88"/>
      <c r="AO21" s="88"/>
      <c r="AP21" s="88"/>
      <c r="AQ21" s="88"/>
      <c r="AR21" s="88"/>
      <c r="AS21" s="88"/>
      <c r="AT21" s="88"/>
      <c r="AU21" s="88"/>
      <c r="AV21" s="88"/>
      <c r="AW21" s="88"/>
    </row>
    <row r="22" spans="1:49">
      <c r="A22" s="581">
        <v>10014</v>
      </c>
      <c r="B22" s="582">
        <v>-6.7000000000000002E-3</v>
      </c>
      <c r="D22" s="577">
        <v>2.7000000000000001E-3</v>
      </c>
      <c r="I22" s="577">
        <f t="shared" si="0"/>
        <v>-9.4000000000000004E-3</v>
      </c>
      <c r="L22" s="585">
        <f t="shared" si="1"/>
        <v>0.26424214715621375</v>
      </c>
      <c r="M22" s="585">
        <f t="shared" si="2"/>
        <v>3.2399999999999998E-2</v>
      </c>
      <c r="O22" s="586">
        <f t="shared" si="3"/>
        <v>0.23184214715621376</v>
      </c>
      <c r="U22" s="587"/>
      <c r="V22" s="587"/>
      <c r="W22" s="587"/>
      <c r="X22" s="587"/>
      <c r="Y22" s="587"/>
      <c r="Z22" s="587"/>
      <c r="AA22" s="587"/>
      <c r="AB22" s="587"/>
      <c r="AC22" s="587"/>
      <c r="AE22" s="587"/>
      <c r="AF22" s="587"/>
      <c r="AG22" s="587"/>
      <c r="AH22" s="587"/>
      <c r="AI22" s="587"/>
      <c r="AJ22" s="587"/>
      <c r="AK22" s="587"/>
      <c r="AL22" s="587"/>
      <c r="AM22" s="587"/>
      <c r="AO22" s="587"/>
      <c r="AP22" s="587"/>
      <c r="AQ22" s="587"/>
      <c r="AR22" s="587"/>
      <c r="AS22" s="587"/>
      <c r="AT22" s="587"/>
      <c r="AU22" s="587"/>
      <c r="AV22" s="587"/>
      <c r="AW22" s="587"/>
    </row>
    <row r="23" spans="1:49" ht="14.4" thickBot="1">
      <c r="A23" s="581">
        <v>10044</v>
      </c>
      <c r="B23" s="582">
        <v>6.7000000000000004E-2</v>
      </c>
      <c r="D23" s="577">
        <v>2.7000000000000001E-3</v>
      </c>
      <c r="I23" s="577">
        <f t="shared" si="0"/>
        <v>6.430000000000001E-2</v>
      </c>
      <c r="L23" s="585">
        <f t="shared" si="1"/>
        <v>0.28728540033942163</v>
      </c>
      <c r="M23" s="585">
        <f t="shared" si="2"/>
        <v>3.2399999999999998E-2</v>
      </c>
      <c r="O23" s="586">
        <f t="shared" si="3"/>
        <v>0.25488540033942164</v>
      </c>
      <c r="U23" s="587"/>
      <c r="V23" s="587"/>
      <c r="W23" s="587"/>
      <c r="X23" s="587"/>
      <c r="Y23" s="587"/>
      <c r="Z23" s="587"/>
      <c r="AA23" s="587"/>
      <c r="AB23" s="587"/>
      <c r="AC23" s="587"/>
      <c r="AE23" s="587"/>
      <c r="AF23" s="587"/>
      <c r="AG23" s="587"/>
      <c r="AH23" s="587"/>
      <c r="AI23" s="587"/>
      <c r="AJ23" s="587"/>
      <c r="AK23" s="587"/>
      <c r="AL23" s="587"/>
      <c r="AM23" s="587"/>
      <c r="AO23" s="587"/>
      <c r="AP23" s="587"/>
      <c r="AQ23" s="587"/>
      <c r="AR23" s="587"/>
      <c r="AS23" s="587"/>
      <c r="AT23" s="587"/>
      <c r="AU23" s="587"/>
      <c r="AV23" s="587"/>
      <c r="AW23" s="587"/>
    </row>
    <row r="24" spans="1:49">
      <c r="A24" s="581">
        <v>10075</v>
      </c>
      <c r="B24" s="582">
        <v>5.1499999999999997E-2</v>
      </c>
      <c r="D24" s="577">
        <v>2.8999999999999998E-3</v>
      </c>
      <c r="I24" s="577">
        <f t="shared" si="0"/>
        <v>4.8599999999999997E-2</v>
      </c>
      <c r="L24" s="585">
        <f t="shared" si="1"/>
        <v>0.32082415930611119</v>
      </c>
      <c r="M24" s="585">
        <f t="shared" si="2"/>
        <v>3.4799999999999998E-2</v>
      </c>
      <c r="O24" s="586">
        <f t="shared" si="3"/>
        <v>0.28602415930611119</v>
      </c>
      <c r="U24" s="588"/>
      <c r="V24" s="588"/>
      <c r="W24" s="588"/>
      <c r="X24" s="587"/>
      <c r="Y24" s="587"/>
      <c r="Z24" s="587"/>
      <c r="AA24" s="587"/>
      <c r="AB24" s="587"/>
      <c r="AC24" s="587"/>
      <c r="AE24" s="588"/>
      <c r="AF24" s="588"/>
      <c r="AG24" s="588"/>
      <c r="AH24" s="587"/>
      <c r="AI24" s="587"/>
      <c r="AJ24" s="587"/>
      <c r="AK24" s="587"/>
      <c r="AL24" s="587"/>
      <c r="AM24" s="587"/>
      <c r="AO24" s="588"/>
      <c r="AP24" s="588"/>
      <c r="AQ24" s="588"/>
      <c r="AR24" s="587"/>
      <c r="AS24" s="587"/>
      <c r="AT24" s="587"/>
      <c r="AU24" s="587"/>
      <c r="AV24" s="587"/>
      <c r="AW24" s="587"/>
    </row>
    <row r="25" spans="1:49">
      <c r="A25" s="581">
        <v>10106</v>
      </c>
      <c r="B25" s="582">
        <v>4.4999999999999998E-2</v>
      </c>
      <c r="D25" s="577">
        <v>2.7000000000000001E-3</v>
      </c>
      <c r="I25" s="577">
        <f t="shared" si="0"/>
        <v>4.2299999999999997E-2</v>
      </c>
      <c r="L25" s="585">
        <f t="shared" si="1"/>
        <v>0.34633363877768808</v>
      </c>
      <c r="M25" s="585">
        <f t="shared" si="2"/>
        <v>3.2399999999999998E-2</v>
      </c>
      <c r="O25" s="586">
        <f t="shared" si="3"/>
        <v>0.3139336387776881</v>
      </c>
      <c r="U25" s="587"/>
      <c r="V25" s="587"/>
      <c r="W25" s="587"/>
      <c r="X25" s="587"/>
      <c r="Y25" s="587"/>
      <c r="Z25" s="587"/>
      <c r="AA25" s="587"/>
      <c r="AB25" s="587"/>
      <c r="AC25" s="587"/>
      <c r="AE25" s="587"/>
      <c r="AF25" s="587"/>
      <c r="AG25" s="587"/>
      <c r="AH25" s="587"/>
      <c r="AI25" s="587"/>
      <c r="AJ25" s="587"/>
      <c r="AK25" s="587"/>
      <c r="AL25" s="587"/>
      <c r="AM25" s="587"/>
      <c r="AO25" s="587"/>
      <c r="AP25" s="587"/>
      <c r="AQ25" s="587"/>
      <c r="AR25" s="587"/>
      <c r="AS25" s="587"/>
      <c r="AT25" s="587"/>
      <c r="AU25" s="587"/>
      <c r="AV25" s="587"/>
      <c r="AW25" s="587"/>
    </row>
    <row r="26" spans="1:49">
      <c r="A26" s="581">
        <v>10136</v>
      </c>
      <c r="B26" s="582">
        <v>-5.0200000000000002E-2</v>
      </c>
      <c r="D26" s="577">
        <v>2.7999999999999995E-3</v>
      </c>
      <c r="I26" s="577">
        <f t="shared" si="0"/>
        <v>-5.2999999999999999E-2</v>
      </c>
      <c r="L26" s="585">
        <f t="shared" si="1"/>
        <v>0.31612565882158083</v>
      </c>
      <c r="M26" s="585">
        <f t="shared" si="2"/>
        <v>3.3599999999999991E-2</v>
      </c>
      <c r="O26" s="586">
        <f t="shared" si="3"/>
        <v>0.28252565882158087</v>
      </c>
      <c r="U26" s="587"/>
      <c r="V26" s="587"/>
      <c r="W26" s="587"/>
      <c r="X26" s="587"/>
      <c r="Y26" s="587"/>
      <c r="Z26" s="587"/>
      <c r="AA26" s="587"/>
      <c r="AB26" s="587"/>
      <c r="AC26" s="587"/>
      <c r="AE26" s="587"/>
      <c r="AF26" s="587"/>
      <c r="AG26" s="587"/>
      <c r="AH26" s="587"/>
      <c r="AI26" s="587"/>
      <c r="AJ26" s="587"/>
      <c r="AK26" s="587"/>
      <c r="AL26" s="587"/>
      <c r="AM26" s="587"/>
      <c r="AO26" s="587"/>
      <c r="AP26" s="587"/>
      <c r="AQ26" s="587"/>
      <c r="AR26" s="587"/>
      <c r="AS26" s="587"/>
      <c r="AT26" s="587"/>
      <c r="AU26" s="587"/>
      <c r="AV26" s="587"/>
      <c r="AW26" s="587"/>
    </row>
    <row r="27" spans="1:49">
      <c r="A27" s="581">
        <v>10167</v>
      </c>
      <c r="B27" s="582">
        <v>7.2099999999999997E-2</v>
      </c>
      <c r="D27" s="577">
        <v>2.7000000000000001E-3</v>
      </c>
      <c r="I27" s="577">
        <f t="shared" si="0"/>
        <v>6.9400000000000003E-2</v>
      </c>
      <c r="L27" s="585">
        <f t="shared" si="1"/>
        <v>0.36369799828222393</v>
      </c>
      <c r="M27" s="585">
        <f t="shared" si="2"/>
        <v>3.2399999999999998E-2</v>
      </c>
      <c r="O27" s="586">
        <f t="shared" si="3"/>
        <v>0.33129799828222395</v>
      </c>
      <c r="U27" s="587"/>
      <c r="V27" s="587"/>
      <c r="W27" s="587"/>
      <c r="X27" s="587"/>
      <c r="Y27" s="587"/>
      <c r="Z27" s="587"/>
      <c r="AA27" s="587"/>
      <c r="AB27" s="587"/>
      <c r="AC27" s="587"/>
      <c r="AE27" s="587"/>
      <c r="AF27" s="587"/>
      <c r="AG27" s="587"/>
      <c r="AH27" s="587"/>
      <c r="AI27" s="587"/>
      <c r="AJ27" s="587"/>
      <c r="AK27" s="587"/>
      <c r="AL27" s="587"/>
      <c r="AM27" s="587"/>
      <c r="AO27" s="587"/>
      <c r="AP27" s="587"/>
      <c r="AQ27" s="587"/>
      <c r="AR27" s="587"/>
      <c r="AS27" s="587"/>
      <c r="AT27" s="587"/>
      <c r="AU27" s="587"/>
      <c r="AV27" s="587"/>
      <c r="AW27" s="587"/>
    </row>
    <row r="28" spans="1:49">
      <c r="A28" s="581">
        <v>10197</v>
      </c>
      <c r="B28" s="582">
        <v>2.7900000000000001E-2</v>
      </c>
      <c r="D28" s="577">
        <v>2.7000000000000001E-3</v>
      </c>
      <c r="I28" s="577">
        <f t="shared" si="0"/>
        <v>2.52E-2</v>
      </c>
      <c r="L28" s="585">
        <f t="shared" si="1"/>
        <v>0.37479910988063758</v>
      </c>
      <c r="M28" s="585">
        <f t="shared" si="2"/>
        <v>3.2399999999999998E-2</v>
      </c>
      <c r="O28" s="586">
        <f t="shared" si="3"/>
        <v>0.3423991098806376</v>
      </c>
      <c r="U28" s="587"/>
      <c r="V28" s="587"/>
      <c r="W28" s="587"/>
      <c r="X28" s="587"/>
      <c r="Y28" s="587"/>
      <c r="Z28" s="587"/>
      <c r="AA28" s="587"/>
      <c r="AB28" s="587"/>
      <c r="AC28" s="587"/>
      <c r="AE28" s="587"/>
      <c r="AF28" s="587"/>
      <c r="AG28" s="587"/>
      <c r="AH28" s="587"/>
      <c r="AI28" s="587"/>
      <c r="AJ28" s="587"/>
      <c r="AK28" s="587"/>
      <c r="AL28" s="587"/>
      <c r="AM28" s="587"/>
      <c r="AO28" s="587"/>
      <c r="AP28" s="587"/>
      <c r="AQ28" s="587"/>
      <c r="AR28" s="587"/>
      <c r="AS28" s="587"/>
      <c r="AT28" s="587"/>
      <c r="AU28" s="587"/>
      <c r="AV28" s="587"/>
      <c r="AW28" s="587"/>
    </row>
    <row r="29" spans="1:49">
      <c r="A29" s="581">
        <v>10228</v>
      </c>
      <c r="B29" s="582">
        <v>-4.0000000000000001E-3</v>
      </c>
      <c r="C29" s="577">
        <v>3.7499999999999999E-2</v>
      </c>
      <c r="D29" s="577">
        <v>2.7000000000000001E-3</v>
      </c>
      <c r="E29" s="577">
        <v>3.7166666666666663E-3</v>
      </c>
      <c r="F29" s="577">
        <v>3.8416666666666673E-3</v>
      </c>
      <c r="G29" s="577">
        <v>3.7791666666666668E-3</v>
      </c>
      <c r="H29" s="577">
        <v>4.0416666666666665E-3</v>
      </c>
      <c r="I29" s="577">
        <f t="shared" si="0"/>
        <v>-6.7000000000000002E-3</v>
      </c>
      <c r="J29" s="577">
        <f t="shared" ref="J29:J92" si="4">B29-G29</f>
        <v>-7.7791666666666669E-3</v>
      </c>
      <c r="K29" s="577">
        <f t="shared" ref="K29:K92" si="5">$C29-H29</f>
        <v>3.3458333333333333E-2</v>
      </c>
      <c r="L29" s="585">
        <f t="shared" si="1"/>
        <v>0.39624748999807768</v>
      </c>
      <c r="M29" s="585">
        <f t="shared" si="2"/>
        <v>3.2399999999999998E-2</v>
      </c>
      <c r="O29" s="586">
        <f t="shared" si="3"/>
        <v>0.3638474899980777</v>
      </c>
      <c r="U29" s="587"/>
      <c r="V29" s="587"/>
      <c r="W29" s="587"/>
      <c r="X29" s="587"/>
      <c r="Y29" s="587"/>
      <c r="Z29" s="587"/>
      <c r="AA29" s="587"/>
      <c r="AB29" s="587"/>
      <c r="AC29" s="587"/>
      <c r="AE29" s="587"/>
      <c r="AF29" s="587"/>
      <c r="AG29" s="587"/>
      <c r="AH29" s="587"/>
      <c r="AI29" s="587"/>
      <c r="AJ29" s="587"/>
      <c r="AK29" s="587"/>
      <c r="AL29" s="587"/>
      <c r="AM29" s="587"/>
      <c r="AO29" s="587"/>
      <c r="AP29" s="587"/>
      <c r="AQ29" s="587"/>
      <c r="AR29" s="587"/>
      <c r="AS29" s="587"/>
      <c r="AT29" s="587"/>
      <c r="AU29" s="587"/>
      <c r="AV29" s="587"/>
      <c r="AW29" s="587"/>
    </row>
    <row r="30" spans="1:49">
      <c r="A30" s="581">
        <v>10259</v>
      </c>
      <c r="B30" s="582">
        <v>-1.2500000000000001E-2</v>
      </c>
      <c r="C30" s="577">
        <v>-8.0000000000000002E-3</v>
      </c>
      <c r="D30" s="577">
        <v>2.5000000000000001E-3</v>
      </c>
      <c r="E30" s="577">
        <v>3.7166666666666663E-3</v>
      </c>
      <c r="F30" s="577">
        <v>3.8416666666666673E-3</v>
      </c>
      <c r="G30" s="577">
        <v>3.7791666666666668E-3</v>
      </c>
      <c r="H30" s="577">
        <v>4.0416666666666665E-3</v>
      </c>
      <c r="I30" s="577">
        <f t="shared" si="0"/>
        <v>-1.5000000000000001E-2</v>
      </c>
      <c r="J30" s="577">
        <f t="shared" si="4"/>
        <v>-1.6279166666666667E-2</v>
      </c>
      <c r="K30" s="577">
        <f t="shared" si="5"/>
        <v>-1.2041666666666666E-2</v>
      </c>
      <c r="L30" s="585">
        <f t="shared" si="1"/>
        <v>0.30852652213447995</v>
      </c>
      <c r="M30" s="585">
        <f t="shared" si="2"/>
        <v>0.03</v>
      </c>
      <c r="O30" s="586">
        <f t="shared" si="3"/>
        <v>0.27852652213447993</v>
      </c>
      <c r="U30" s="587"/>
      <c r="V30" s="587"/>
      <c r="W30" s="587"/>
      <c r="X30" s="587"/>
      <c r="Y30" s="587"/>
      <c r="Z30" s="587"/>
      <c r="AA30" s="587"/>
      <c r="AB30" s="587"/>
      <c r="AC30" s="587"/>
      <c r="AE30" s="587"/>
      <c r="AF30" s="587"/>
      <c r="AG30" s="587"/>
      <c r="AH30" s="587"/>
      <c r="AI30" s="587"/>
      <c r="AJ30" s="587"/>
      <c r="AK30" s="587"/>
      <c r="AL30" s="587"/>
      <c r="AM30" s="587"/>
      <c r="AO30" s="587"/>
      <c r="AP30" s="587"/>
      <c r="AQ30" s="587"/>
      <c r="AR30" s="587"/>
      <c r="AS30" s="587"/>
      <c r="AT30" s="587"/>
      <c r="AU30" s="587"/>
      <c r="AV30" s="587"/>
      <c r="AW30" s="587"/>
    </row>
    <row r="31" spans="1:49">
      <c r="A31" s="581">
        <v>10288</v>
      </c>
      <c r="B31" s="582">
        <v>0.1101</v>
      </c>
      <c r="C31" s="577">
        <v>7.2299999999999989E-2</v>
      </c>
      <c r="D31" s="577">
        <v>2.7000000000000001E-3</v>
      </c>
      <c r="E31" s="577">
        <v>3.7166666666666663E-3</v>
      </c>
      <c r="F31" s="577">
        <v>3.8250000000000003E-3</v>
      </c>
      <c r="G31" s="577">
        <v>3.7708333333333331E-3</v>
      </c>
      <c r="H31" s="577">
        <v>4.0166666666666666E-3</v>
      </c>
      <c r="I31" s="577">
        <f t="shared" si="0"/>
        <v>0.10740000000000001</v>
      </c>
      <c r="J31" s="577">
        <f t="shared" si="4"/>
        <v>0.10632916666666667</v>
      </c>
      <c r="K31" s="577">
        <f t="shared" si="5"/>
        <v>6.8283333333333321E-2</v>
      </c>
      <c r="L31" s="585">
        <f t="shared" si="1"/>
        <v>0.44006671182857837</v>
      </c>
      <c r="M31" s="585">
        <f t="shared" si="2"/>
        <v>3.2399999999999998E-2</v>
      </c>
      <c r="O31" s="586">
        <f t="shared" si="3"/>
        <v>0.40766671182857839</v>
      </c>
      <c r="U31" s="587"/>
      <c r="V31" s="587"/>
      <c r="W31" s="587"/>
      <c r="X31" s="587"/>
      <c r="Y31" s="587"/>
      <c r="Z31" s="587"/>
      <c r="AA31" s="587"/>
      <c r="AB31" s="587"/>
      <c r="AC31" s="587"/>
      <c r="AE31" s="587"/>
      <c r="AF31" s="587"/>
      <c r="AG31" s="587"/>
      <c r="AH31" s="587"/>
      <c r="AI31" s="587"/>
      <c r="AJ31" s="587"/>
      <c r="AK31" s="587"/>
      <c r="AL31" s="587"/>
      <c r="AM31" s="587"/>
      <c r="AO31" s="587"/>
      <c r="AP31" s="587"/>
      <c r="AQ31" s="587"/>
      <c r="AR31" s="587"/>
      <c r="AS31" s="587"/>
      <c r="AT31" s="587"/>
      <c r="AU31" s="587"/>
      <c r="AV31" s="587"/>
      <c r="AW31" s="587"/>
    </row>
    <row r="32" spans="1:49">
      <c r="A32" s="581">
        <v>10319</v>
      </c>
      <c r="B32" s="582">
        <v>3.4500000000000003E-2</v>
      </c>
      <c r="C32" s="577">
        <v>9.8600000000000007E-2</v>
      </c>
      <c r="D32" s="577">
        <v>2.5999999999999999E-3</v>
      </c>
      <c r="E32" s="577">
        <v>3.7166666666666663E-3</v>
      </c>
      <c r="F32" s="577">
        <v>3.8333333333333331E-3</v>
      </c>
      <c r="G32" s="577">
        <v>3.7749999999999993E-3</v>
      </c>
      <c r="H32" s="577">
        <v>4.0166666666666666E-3</v>
      </c>
      <c r="I32" s="577">
        <f t="shared" si="0"/>
        <v>3.1900000000000005E-2</v>
      </c>
      <c r="J32" s="577">
        <f t="shared" si="4"/>
        <v>3.0725000000000002E-2</v>
      </c>
      <c r="K32" s="577">
        <f t="shared" si="5"/>
        <v>9.4583333333333339E-2</v>
      </c>
      <c r="L32" s="585">
        <f t="shared" si="1"/>
        <v>0.46039507243080435</v>
      </c>
      <c r="M32" s="585">
        <f t="shared" si="2"/>
        <v>3.1199999999999999E-2</v>
      </c>
      <c r="O32" s="586">
        <f t="shared" si="3"/>
        <v>0.42919507243080435</v>
      </c>
      <c r="U32" s="587"/>
      <c r="V32" s="587"/>
      <c r="W32" s="587"/>
      <c r="X32" s="587"/>
      <c r="Y32" s="587"/>
      <c r="Z32" s="587"/>
      <c r="AA32" s="587"/>
      <c r="AB32" s="587"/>
      <c r="AC32" s="587"/>
      <c r="AE32" s="587"/>
      <c r="AF32" s="587"/>
      <c r="AG32" s="587"/>
      <c r="AH32" s="587"/>
      <c r="AI32" s="587"/>
      <c r="AJ32" s="587"/>
      <c r="AK32" s="587"/>
      <c r="AL32" s="587"/>
      <c r="AM32" s="587"/>
      <c r="AO32" s="587"/>
      <c r="AP32" s="587"/>
      <c r="AQ32" s="587"/>
      <c r="AR32" s="587"/>
      <c r="AS32" s="587"/>
      <c r="AT32" s="587"/>
      <c r="AU32" s="587"/>
      <c r="AV32" s="587"/>
      <c r="AW32" s="587"/>
    </row>
    <row r="33" spans="1:51">
      <c r="A33" s="581">
        <v>10349</v>
      </c>
      <c r="B33" s="582">
        <v>1.9699999999999999E-2</v>
      </c>
      <c r="C33" s="577">
        <v>2.0799999999999999E-2</v>
      </c>
      <c r="D33" s="577">
        <v>2.7000000000000001E-3</v>
      </c>
      <c r="E33" s="577">
        <v>3.741666666666667E-3</v>
      </c>
      <c r="F33" s="577">
        <v>3.8666666666666667E-3</v>
      </c>
      <c r="G33" s="577">
        <v>3.8041666666666666E-3</v>
      </c>
      <c r="H33" s="577">
        <v>4.0583333333333331E-3</v>
      </c>
      <c r="I33" s="577">
        <f t="shared" si="0"/>
        <v>1.6999999999999998E-2</v>
      </c>
      <c r="J33" s="577">
        <f t="shared" si="4"/>
        <v>1.5895833333333331E-2</v>
      </c>
      <c r="K33" s="577">
        <f t="shared" si="5"/>
        <v>1.6741666666666665E-2</v>
      </c>
      <c r="L33" s="585">
        <f t="shared" si="1"/>
        <v>0.4039453713186496</v>
      </c>
      <c r="M33" s="585">
        <f t="shared" si="2"/>
        <v>3.2399999999999998E-2</v>
      </c>
      <c r="O33" s="586">
        <f t="shared" si="3"/>
        <v>0.37154537131864962</v>
      </c>
      <c r="U33" s="587"/>
      <c r="V33" s="587"/>
      <c r="W33" s="587"/>
      <c r="X33" s="587"/>
      <c r="Y33" s="587"/>
      <c r="Z33" s="587"/>
      <c r="AA33" s="587"/>
      <c r="AB33" s="587"/>
      <c r="AC33" s="587"/>
      <c r="AE33" s="587"/>
      <c r="AF33" s="587"/>
      <c r="AG33" s="587"/>
      <c r="AH33" s="587"/>
      <c r="AI33" s="587"/>
      <c r="AJ33" s="587"/>
      <c r="AK33" s="587"/>
      <c r="AL33" s="587"/>
      <c r="AM33" s="587"/>
      <c r="AO33" s="587"/>
      <c r="AP33" s="587"/>
      <c r="AQ33" s="587"/>
      <c r="AR33" s="587"/>
      <c r="AS33" s="587"/>
      <c r="AT33" s="587"/>
      <c r="AU33" s="587"/>
      <c r="AV33" s="587"/>
      <c r="AW33" s="587"/>
    </row>
    <row r="34" spans="1:51">
      <c r="A34" s="581">
        <v>10380</v>
      </c>
      <c r="B34" s="582">
        <v>-3.85E-2</v>
      </c>
      <c r="C34" s="577">
        <v>-4.0099999999999997E-2</v>
      </c>
      <c r="D34" s="577">
        <v>2.7000000000000001E-3</v>
      </c>
      <c r="E34" s="577">
        <v>3.8083333333333337E-3</v>
      </c>
      <c r="F34" s="577">
        <v>3.9583333333333328E-3</v>
      </c>
      <c r="G34" s="577">
        <v>3.8833333333333333E-3</v>
      </c>
      <c r="H34" s="577">
        <v>4.1583333333333333E-3</v>
      </c>
      <c r="I34" s="577">
        <f t="shared" si="0"/>
        <v>-4.1200000000000001E-2</v>
      </c>
      <c r="J34" s="577">
        <f t="shared" si="4"/>
        <v>-4.2383333333333335E-2</v>
      </c>
      <c r="K34" s="577">
        <f t="shared" si="5"/>
        <v>-4.425833333333333E-2</v>
      </c>
      <c r="L34" s="585">
        <f t="shared" si="1"/>
        <v>0.35899876625680216</v>
      </c>
      <c r="M34" s="585">
        <f t="shared" si="2"/>
        <v>3.2399999999999998E-2</v>
      </c>
      <c r="O34" s="586">
        <f t="shared" si="3"/>
        <v>0.32659876625680218</v>
      </c>
      <c r="U34" s="587"/>
      <c r="V34" s="587"/>
      <c r="W34" s="587"/>
      <c r="X34" s="587"/>
      <c r="Y34" s="587"/>
      <c r="Z34" s="587"/>
      <c r="AA34" s="587"/>
      <c r="AB34" s="587"/>
      <c r="AC34" s="587"/>
      <c r="AE34" s="587"/>
      <c r="AF34" s="587"/>
      <c r="AG34" s="587"/>
      <c r="AH34" s="587"/>
      <c r="AI34" s="587"/>
      <c r="AJ34" s="587"/>
      <c r="AK34" s="587"/>
      <c r="AL34" s="587"/>
      <c r="AM34" s="587"/>
      <c r="AO34" s="587"/>
      <c r="AP34" s="587"/>
      <c r="AQ34" s="587"/>
      <c r="AR34" s="587"/>
      <c r="AS34" s="587"/>
      <c r="AT34" s="587"/>
      <c r="AU34" s="587"/>
      <c r="AV34" s="587"/>
      <c r="AW34" s="587"/>
    </row>
    <row r="35" spans="1:51">
      <c r="A35" s="581">
        <v>10410</v>
      </c>
      <c r="B35" s="582">
        <v>1.41E-2</v>
      </c>
      <c r="C35" s="577">
        <v>-7.6000000000000009E-3</v>
      </c>
      <c r="D35" s="577">
        <v>2.7000000000000001E-3</v>
      </c>
      <c r="E35" s="577">
        <v>3.8416666666666673E-3</v>
      </c>
      <c r="F35" s="577">
        <v>3.9916666666666668E-3</v>
      </c>
      <c r="G35" s="577">
        <v>3.9166666666666673E-3</v>
      </c>
      <c r="H35" s="577">
        <v>4.1999999999999997E-3</v>
      </c>
      <c r="I35" s="577">
        <f t="shared" si="0"/>
        <v>1.14E-2</v>
      </c>
      <c r="J35" s="577">
        <f t="shared" si="4"/>
        <v>1.0183333333333332E-2</v>
      </c>
      <c r="K35" s="577">
        <f t="shared" si="5"/>
        <v>-1.1800000000000001E-2</v>
      </c>
      <c r="L35" s="585">
        <f t="shared" si="1"/>
        <v>0.29162197643957199</v>
      </c>
      <c r="M35" s="585">
        <f t="shared" si="2"/>
        <v>3.2399999999999998E-2</v>
      </c>
      <c r="O35" s="586">
        <f t="shared" si="3"/>
        <v>0.25922197643957201</v>
      </c>
      <c r="U35" s="587"/>
      <c r="V35" s="587"/>
      <c r="W35" s="587"/>
      <c r="X35" s="587"/>
      <c r="Y35" s="587"/>
      <c r="Z35" s="587"/>
      <c r="AA35" s="587"/>
      <c r="AB35" s="587"/>
      <c r="AC35" s="587"/>
      <c r="AE35" s="587"/>
      <c r="AF35" s="587"/>
      <c r="AG35" s="587"/>
      <c r="AH35" s="587"/>
      <c r="AI35" s="587"/>
      <c r="AJ35" s="587"/>
      <c r="AK35" s="587"/>
      <c r="AL35" s="587"/>
      <c r="AM35" s="587"/>
      <c r="AO35" s="587"/>
      <c r="AP35" s="587"/>
      <c r="AQ35" s="587"/>
      <c r="AR35" s="587"/>
      <c r="AS35" s="587"/>
      <c r="AT35" s="587"/>
      <c r="AU35" s="587"/>
      <c r="AV35" s="587"/>
      <c r="AW35" s="587"/>
    </row>
    <row r="36" spans="1:51">
      <c r="A36" s="581">
        <v>10441</v>
      </c>
      <c r="B36" s="582">
        <v>8.0299999999999996E-2</v>
      </c>
      <c r="C36" s="577">
        <v>6.8199999999999997E-2</v>
      </c>
      <c r="D36" s="577">
        <v>2.8999999999999998E-3</v>
      </c>
      <c r="E36" s="577">
        <v>3.8666666666666667E-3</v>
      </c>
      <c r="F36" s="577">
        <v>4.0166666666666666E-3</v>
      </c>
      <c r="G36" s="577">
        <v>3.9416666666666662E-3</v>
      </c>
      <c r="H36" s="577">
        <v>4.2333333333333337E-3</v>
      </c>
      <c r="I36" s="577">
        <f t="shared" si="0"/>
        <v>7.7399999999999997E-2</v>
      </c>
      <c r="J36" s="577">
        <f t="shared" si="4"/>
        <v>7.6358333333333334E-2</v>
      </c>
      <c r="K36" s="577">
        <f t="shared" si="5"/>
        <v>6.3966666666666658E-2</v>
      </c>
      <c r="L36" s="585">
        <f t="shared" si="1"/>
        <v>0.32699878378285274</v>
      </c>
      <c r="M36" s="585">
        <f t="shared" si="2"/>
        <v>3.4799999999999998E-2</v>
      </c>
      <c r="O36" s="586">
        <f t="shared" si="3"/>
        <v>0.29219878378285274</v>
      </c>
      <c r="U36" s="587"/>
      <c r="V36" s="587"/>
      <c r="W36" s="587"/>
      <c r="X36" s="587"/>
      <c r="Y36" s="587"/>
      <c r="Z36" s="587"/>
      <c r="AA36" s="587"/>
      <c r="AB36" s="587"/>
      <c r="AC36" s="587"/>
      <c r="AE36" s="587"/>
      <c r="AF36" s="587"/>
      <c r="AG36" s="587"/>
      <c r="AH36" s="587"/>
      <c r="AI36" s="587"/>
      <c r="AJ36" s="587"/>
      <c r="AK36" s="587"/>
      <c r="AL36" s="587"/>
      <c r="AM36" s="587"/>
      <c r="AO36" s="587"/>
      <c r="AP36" s="587"/>
      <c r="AQ36" s="587"/>
      <c r="AR36" s="587"/>
      <c r="AS36" s="587"/>
      <c r="AT36" s="587"/>
      <c r="AU36" s="587"/>
      <c r="AV36" s="587"/>
      <c r="AW36" s="587"/>
    </row>
    <row r="37" spans="1:51">
      <c r="A37" s="581">
        <v>10472</v>
      </c>
      <c r="B37" s="582">
        <v>2.5899999999999999E-2</v>
      </c>
      <c r="C37" s="577">
        <v>2.87E-2</v>
      </c>
      <c r="D37" s="577">
        <v>2.7000000000000001E-3</v>
      </c>
      <c r="E37" s="577">
        <v>3.8416666666666673E-3</v>
      </c>
      <c r="F37" s="577">
        <v>3.9916666666666668E-3</v>
      </c>
      <c r="G37" s="577">
        <v>3.9166666666666673E-3</v>
      </c>
      <c r="H37" s="577">
        <v>4.208333333333333E-3</v>
      </c>
      <c r="I37" s="577">
        <f t="shared" si="0"/>
        <v>2.3199999999999998E-2</v>
      </c>
      <c r="J37" s="577">
        <f t="shared" si="4"/>
        <v>2.1983333333333334E-2</v>
      </c>
      <c r="K37" s="577">
        <f t="shared" si="5"/>
        <v>2.4491666666666669E-2</v>
      </c>
      <c r="L37" s="585">
        <f t="shared" si="1"/>
        <v>0.30274454763907088</v>
      </c>
      <c r="M37" s="585">
        <f t="shared" si="2"/>
        <v>3.2399999999999998E-2</v>
      </c>
      <c r="O37" s="586">
        <f t="shared" si="3"/>
        <v>0.2703445476390709</v>
      </c>
      <c r="U37" s="587"/>
      <c r="V37" s="587"/>
      <c r="W37" s="587"/>
      <c r="X37" s="587"/>
      <c r="Y37" s="587"/>
      <c r="Z37" s="587"/>
      <c r="AA37" s="587"/>
      <c r="AB37" s="587"/>
      <c r="AC37" s="587"/>
      <c r="AE37" s="587"/>
      <c r="AF37" s="587"/>
      <c r="AG37" s="587"/>
      <c r="AH37" s="587"/>
      <c r="AI37" s="587"/>
      <c r="AJ37" s="587"/>
      <c r="AK37" s="587"/>
      <c r="AL37" s="587"/>
      <c r="AM37" s="587"/>
      <c r="AO37" s="587"/>
      <c r="AP37" s="587"/>
      <c r="AQ37" s="587"/>
      <c r="AR37" s="587"/>
      <c r="AS37" s="587"/>
      <c r="AT37" s="587"/>
      <c r="AU37" s="587"/>
      <c r="AV37" s="587"/>
      <c r="AW37" s="587"/>
    </row>
    <row r="38" spans="1:51">
      <c r="A38" s="581">
        <v>10502</v>
      </c>
      <c r="B38" s="582">
        <v>1.6799999999999999E-2</v>
      </c>
      <c r="C38" s="577">
        <v>-9.1999999999999998E-3</v>
      </c>
      <c r="D38" s="577">
        <v>3.0000000000000001E-3</v>
      </c>
      <c r="E38" s="577">
        <v>3.8416666666666673E-3</v>
      </c>
      <c r="F38" s="577">
        <v>3.9833333333333335E-3</v>
      </c>
      <c r="G38" s="577">
        <v>3.9125000000000002E-3</v>
      </c>
      <c r="H38" s="577">
        <v>4.1583333333333333E-3</v>
      </c>
      <c r="I38" s="577">
        <f t="shared" si="0"/>
        <v>1.38E-2</v>
      </c>
      <c r="J38" s="577">
        <f t="shared" si="4"/>
        <v>1.28875E-2</v>
      </c>
      <c r="K38" s="577">
        <f t="shared" si="5"/>
        <v>-1.3358333333333333E-2</v>
      </c>
      <c r="L38" s="585">
        <f t="shared" si="1"/>
        <v>0.3946416677610094</v>
      </c>
      <c r="M38" s="585">
        <f t="shared" si="2"/>
        <v>3.6000000000000004E-2</v>
      </c>
      <c r="O38" s="586">
        <f t="shared" si="3"/>
        <v>0.35864166776100936</v>
      </c>
      <c r="U38" s="587"/>
      <c r="V38" s="587"/>
      <c r="W38" s="587"/>
      <c r="X38" s="587"/>
      <c r="Y38" s="587"/>
      <c r="Z38" s="587"/>
      <c r="AA38" s="587"/>
      <c r="AB38" s="587"/>
      <c r="AC38" s="587"/>
      <c r="AE38" s="587"/>
      <c r="AF38" s="587"/>
      <c r="AG38" s="587"/>
      <c r="AH38" s="587"/>
      <c r="AI38" s="587"/>
      <c r="AJ38" s="587"/>
      <c r="AK38" s="587"/>
      <c r="AL38" s="587"/>
      <c r="AM38" s="587"/>
      <c r="AO38" s="587"/>
      <c r="AP38" s="587"/>
      <c r="AQ38" s="587"/>
      <c r="AR38" s="587"/>
      <c r="AS38" s="587"/>
      <c r="AT38" s="587"/>
      <c r="AU38" s="587"/>
      <c r="AV38" s="587"/>
      <c r="AW38" s="587"/>
    </row>
    <row r="39" spans="1:51">
      <c r="A39" s="581">
        <v>10533</v>
      </c>
      <c r="B39" s="582">
        <v>0.12920000000000001</v>
      </c>
      <c r="C39" s="577">
        <v>0.2147</v>
      </c>
      <c r="D39" s="577">
        <v>2.7000000000000001E-3</v>
      </c>
      <c r="E39" s="577">
        <v>3.8166666666666666E-3</v>
      </c>
      <c r="F39" s="577">
        <v>3.933333333333333E-3</v>
      </c>
      <c r="G39" s="577">
        <v>3.8749999999999995E-3</v>
      </c>
      <c r="H39" s="577">
        <v>4.15E-3</v>
      </c>
      <c r="I39" s="577">
        <f t="shared" si="0"/>
        <v>0.1265</v>
      </c>
      <c r="J39" s="577">
        <f t="shared" si="4"/>
        <v>0.12532500000000002</v>
      </c>
      <c r="K39" s="577">
        <f t="shared" si="5"/>
        <v>0.21055000000000001</v>
      </c>
      <c r="L39" s="585">
        <f t="shared" si="1"/>
        <v>0.46892022314684367</v>
      </c>
      <c r="M39" s="585">
        <f t="shared" si="2"/>
        <v>3.2399999999999998E-2</v>
      </c>
      <c r="O39" s="586">
        <f t="shared" si="3"/>
        <v>0.43652022314684369</v>
      </c>
      <c r="U39" s="587"/>
      <c r="V39" s="587"/>
      <c r="W39" s="587"/>
      <c r="X39" s="587"/>
      <c r="Y39" s="587"/>
      <c r="Z39" s="587"/>
      <c r="AA39" s="587"/>
      <c r="AB39" s="587"/>
      <c r="AC39" s="587"/>
      <c r="AE39" s="587"/>
      <c r="AF39" s="587"/>
      <c r="AG39" s="587"/>
      <c r="AH39" s="587"/>
      <c r="AI39" s="587"/>
      <c r="AJ39" s="587"/>
      <c r="AK39" s="587"/>
      <c r="AL39" s="587"/>
      <c r="AM39" s="587"/>
      <c r="AO39" s="587"/>
      <c r="AP39" s="587"/>
      <c r="AQ39" s="587"/>
      <c r="AR39" s="587"/>
      <c r="AS39" s="587"/>
      <c r="AT39" s="587"/>
      <c r="AU39" s="587"/>
      <c r="AV39" s="587"/>
      <c r="AW39" s="587"/>
    </row>
    <row r="40" spans="1:51">
      <c r="A40" s="581">
        <v>10563</v>
      </c>
      <c r="B40" s="582">
        <v>4.8999999999999998E-3</v>
      </c>
      <c r="C40" s="577">
        <v>0.01</v>
      </c>
      <c r="D40" s="577">
        <v>2.8999999999999998E-3</v>
      </c>
      <c r="E40" s="577">
        <v>3.8416666666666673E-3</v>
      </c>
      <c r="F40" s="577">
        <v>3.9749999999999994E-3</v>
      </c>
      <c r="G40" s="577">
        <v>3.908333333333334E-3</v>
      </c>
      <c r="H40" s="577">
        <v>4.208333333333333E-3</v>
      </c>
      <c r="I40" s="577">
        <f t="shared" si="0"/>
        <v>2E-3</v>
      </c>
      <c r="J40" s="577">
        <f t="shared" si="4"/>
        <v>9.9166666666666587E-4</v>
      </c>
      <c r="K40" s="577">
        <f t="shared" si="5"/>
        <v>5.7916666666666672E-3</v>
      </c>
      <c r="L40" s="585">
        <f t="shared" si="1"/>
        <v>0.43605207922975375</v>
      </c>
      <c r="M40" s="585">
        <f t="shared" si="2"/>
        <v>3.4799999999999998E-2</v>
      </c>
      <c r="N40" s="585">
        <f t="shared" ref="N40:N103" si="6">G40*12</f>
        <v>4.6900000000000011E-2</v>
      </c>
      <c r="O40" s="586">
        <f t="shared" si="3"/>
        <v>0.40125207922975376</v>
      </c>
      <c r="P40" s="585">
        <f t="shared" ref="P40:P103" si="7">L40-N40</f>
        <v>0.38915207922975376</v>
      </c>
      <c r="Q40" s="585">
        <f t="shared" ref="Q40:Q103" si="8">((1+C29)*(1+C30)*(1+C31)*(1+C32)*(1+C33)*(1+C34)*(1+C35)*(1+C36)*(1+C37)*(1+C38)*(1+C39)*(1+C40))-1</f>
        <v>0.57480506712921131</v>
      </c>
      <c r="R40" s="585">
        <f t="shared" ref="R40:R103" si="9">H40*12</f>
        <v>5.0499999999999996E-2</v>
      </c>
      <c r="S40" s="586">
        <f t="shared" ref="S40:S103" si="10">Q40-R40</f>
        <v>0.52430506712921132</v>
      </c>
      <c r="U40" s="587"/>
      <c r="V40" s="587"/>
      <c r="W40" s="587"/>
      <c r="X40" s="587"/>
      <c r="Y40" s="587"/>
      <c r="Z40" s="587"/>
      <c r="AA40" s="587"/>
      <c r="AB40" s="587"/>
      <c r="AC40" s="587"/>
      <c r="AE40" s="587"/>
      <c r="AF40" s="587"/>
      <c r="AG40" s="587"/>
      <c r="AH40" s="587"/>
      <c r="AI40" s="587"/>
      <c r="AJ40" s="587"/>
      <c r="AK40" s="587"/>
      <c r="AL40" s="587"/>
      <c r="AM40" s="587"/>
      <c r="AO40" s="587"/>
      <c r="AP40" s="587"/>
      <c r="AQ40" s="587"/>
      <c r="AR40" s="587"/>
      <c r="AS40" s="587"/>
      <c r="AT40" s="587"/>
      <c r="AU40" s="587"/>
      <c r="AV40" s="587"/>
      <c r="AW40" s="587"/>
    </row>
    <row r="41" spans="1:51">
      <c r="A41" s="581">
        <v>10594</v>
      </c>
      <c r="B41" s="582">
        <v>5.8299999999999998E-2</v>
      </c>
      <c r="C41" s="577">
        <v>0.13250000000000001</v>
      </c>
      <c r="D41" s="577">
        <v>2.8999999999999998E-3</v>
      </c>
      <c r="E41" s="577">
        <v>3.8500000000000001E-3</v>
      </c>
      <c r="F41" s="577">
        <v>3.9916666666666668E-3</v>
      </c>
      <c r="G41" s="577">
        <v>3.9208333333333335E-3</v>
      </c>
      <c r="H41" s="577">
        <v>4.208333333333333E-3</v>
      </c>
      <c r="I41" s="577">
        <f t="shared" si="0"/>
        <v>5.5399999999999998E-2</v>
      </c>
      <c r="J41" s="577">
        <f t="shared" si="4"/>
        <v>5.4379166666666666E-2</v>
      </c>
      <c r="K41" s="577">
        <f t="shared" si="5"/>
        <v>0.12829166666666666</v>
      </c>
      <c r="L41" s="585">
        <f t="shared" si="1"/>
        <v>0.5258774251494458</v>
      </c>
      <c r="M41" s="585">
        <f t="shared" si="2"/>
        <v>3.4799999999999998E-2</v>
      </c>
      <c r="N41" s="585">
        <f t="shared" si="6"/>
        <v>4.7050000000000002E-2</v>
      </c>
      <c r="O41" s="586">
        <f t="shared" si="3"/>
        <v>0.4910774251494458</v>
      </c>
      <c r="P41" s="585">
        <f t="shared" si="7"/>
        <v>0.47882742514944582</v>
      </c>
      <c r="Q41" s="585">
        <f t="shared" si="8"/>
        <v>0.71900408532417592</v>
      </c>
      <c r="R41" s="585">
        <f t="shared" si="9"/>
        <v>5.0499999999999996E-2</v>
      </c>
      <c r="S41" s="586">
        <f t="shared" si="10"/>
        <v>0.66850408532417593</v>
      </c>
      <c r="U41" s="587"/>
      <c r="V41" s="587"/>
      <c r="W41" s="587"/>
      <c r="X41" s="587"/>
      <c r="Y41" s="587" t="s">
        <v>2192</v>
      </c>
      <c r="Z41" s="587"/>
      <c r="AA41" s="587" t="s">
        <v>1482</v>
      </c>
      <c r="AB41" s="587"/>
      <c r="AC41" s="587"/>
      <c r="AE41" s="587"/>
      <c r="AF41" s="587"/>
      <c r="AG41" s="587"/>
      <c r="AH41" s="587"/>
      <c r="AI41" s="587" t="s">
        <v>2193</v>
      </c>
      <c r="AJ41" s="587"/>
      <c r="AK41" s="587" t="s">
        <v>1482</v>
      </c>
      <c r="AL41" s="587"/>
      <c r="AM41" s="587"/>
      <c r="AO41" s="587"/>
      <c r="AP41" s="587"/>
      <c r="AQ41" s="587"/>
      <c r="AR41" s="587"/>
      <c r="AS41" s="587" t="s">
        <v>2194</v>
      </c>
      <c r="AT41" s="587"/>
      <c r="AU41" s="587" t="s">
        <v>1482</v>
      </c>
      <c r="AV41" s="587"/>
      <c r="AW41" s="587"/>
    </row>
    <row r="42" spans="1:51">
      <c r="A42" s="581">
        <v>10625</v>
      </c>
      <c r="B42" s="582">
        <v>-1.9E-3</v>
      </c>
      <c r="C42" s="577">
        <v>-2.3199999999999998E-2</v>
      </c>
      <c r="D42" s="577">
        <v>2.7000000000000001E-3</v>
      </c>
      <c r="E42" s="577">
        <v>3.8833333333333337E-3</v>
      </c>
      <c r="F42" s="577">
        <v>4.0500000000000006E-3</v>
      </c>
      <c r="G42" s="577">
        <v>3.966666666666667E-3</v>
      </c>
      <c r="H42" s="577">
        <v>4.2500000000000003E-3</v>
      </c>
      <c r="I42" s="577">
        <f t="shared" si="0"/>
        <v>-4.5999999999999999E-3</v>
      </c>
      <c r="J42" s="577">
        <f t="shared" si="4"/>
        <v>-5.8666666666666667E-3</v>
      </c>
      <c r="K42" s="577">
        <f t="shared" si="5"/>
        <v>-2.7449999999999999E-2</v>
      </c>
      <c r="L42" s="585">
        <f t="shared" si="1"/>
        <v>0.54225646383965787</v>
      </c>
      <c r="M42" s="585">
        <f t="shared" si="2"/>
        <v>3.2399999999999998E-2</v>
      </c>
      <c r="N42" s="585">
        <f t="shared" si="6"/>
        <v>4.7600000000000003E-2</v>
      </c>
      <c r="O42" s="586">
        <f t="shared" si="3"/>
        <v>0.50985646383965788</v>
      </c>
      <c r="P42" s="585">
        <f t="shared" si="7"/>
        <v>0.49465646383965789</v>
      </c>
      <c r="Q42" s="585">
        <f t="shared" si="8"/>
        <v>0.69266450659743395</v>
      </c>
      <c r="R42" s="585">
        <f t="shared" si="9"/>
        <v>5.1000000000000004E-2</v>
      </c>
      <c r="S42" s="586">
        <f t="shared" si="10"/>
        <v>0.6416645065974339</v>
      </c>
      <c r="U42" s="587"/>
      <c r="V42" s="587"/>
      <c r="W42" s="587"/>
      <c r="X42" s="587"/>
      <c r="Y42" s="589">
        <f>'MRP WP1'!F37/100</f>
        <v>3.9100000000000003E-2</v>
      </c>
      <c r="Z42" s="589"/>
      <c r="AA42" s="589">
        <f>Y42*V18+V17</f>
        <v>8.7068916532172788E-2</v>
      </c>
      <c r="AB42" s="587"/>
      <c r="AC42" s="587"/>
      <c r="AE42" s="587"/>
      <c r="AF42" s="587"/>
      <c r="AG42" s="587"/>
      <c r="AH42" s="587"/>
      <c r="AI42" s="589">
        <f>'MRP WP1'!M37/100</f>
        <v>5.0499999999999996E-2</v>
      </c>
      <c r="AJ42" s="589"/>
      <c r="AK42" s="589">
        <f>AI42*AF18+AF17</f>
        <v>7.2582293456286071E-2</v>
      </c>
      <c r="AL42" s="587"/>
      <c r="AM42" s="587"/>
      <c r="AO42" s="587"/>
      <c r="AP42" s="587"/>
      <c r="AQ42" s="587"/>
      <c r="AR42" s="587"/>
      <c r="AS42" s="589">
        <f>'4.3 Risk Premium Summary'!G18/100</f>
        <v>5.8799999999999998E-2</v>
      </c>
      <c r="AT42" s="589"/>
      <c r="AU42" s="589">
        <f>AS42*AP18+AP17</f>
        <v>4.8011535468872775E-2</v>
      </c>
      <c r="AV42" s="587"/>
      <c r="AW42" s="587"/>
    </row>
    <row r="43" spans="1:51">
      <c r="A43" s="581">
        <v>10653</v>
      </c>
      <c r="B43" s="582">
        <v>-1.1999999999999999E-3</v>
      </c>
      <c r="C43" s="577">
        <v>-1.1000000000000001E-2</v>
      </c>
      <c r="D43" s="577">
        <v>2.7999999999999995E-3</v>
      </c>
      <c r="E43" s="577">
        <v>3.9166666666666664E-3</v>
      </c>
      <c r="F43" s="577">
        <v>4.0999999999999995E-3</v>
      </c>
      <c r="G43" s="577">
        <v>4.0083333333333334E-3</v>
      </c>
      <c r="H43" s="577">
        <v>4.2833333333333326E-3</v>
      </c>
      <c r="I43" s="577">
        <f t="shared" si="0"/>
        <v>-3.9999999999999992E-3</v>
      </c>
      <c r="J43" s="577">
        <f t="shared" si="4"/>
        <v>-5.208333333333333E-3</v>
      </c>
      <c r="K43" s="577">
        <f t="shared" si="5"/>
        <v>-1.5283333333333333E-2</v>
      </c>
      <c r="L43" s="585">
        <f t="shared" si="1"/>
        <v>0.38762792188365869</v>
      </c>
      <c r="M43" s="585">
        <f t="shared" si="2"/>
        <v>3.3599999999999991E-2</v>
      </c>
      <c r="N43" s="585">
        <f t="shared" si="6"/>
        <v>4.8100000000000004E-2</v>
      </c>
      <c r="O43" s="586">
        <f t="shared" si="3"/>
        <v>0.35402792188365872</v>
      </c>
      <c r="P43" s="585">
        <f t="shared" si="7"/>
        <v>0.33952792188365866</v>
      </c>
      <c r="Q43" s="585">
        <f t="shared" si="8"/>
        <v>0.56117243031321684</v>
      </c>
      <c r="R43" s="585">
        <f t="shared" si="9"/>
        <v>5.1399999999999987E-2</v>
      </c>
      <c r="S43" s="586">
        <f t="shared" si="10"/>
        <v>0.50977243031321684</v>
      </c>
      <c r="U43" s="587"/>
      <c r="V43" s="587"/>
      <c r="W43" s="587"/>
      <c r="X43" s="587"/>
      <c r="Y43" s="587"/>
      <c r="Z43" s="587"/>
      <c r="AA43" s="587"/>
      <c r="AB43" s="587"/>
      <c r="AC43" s="587"/>
      <c r="AE43" s="587"/>
      <c r="AF43" s="587"/>
      <c r="AG43" s="587"/>
      <c r="AH43" s="587"/>
      <c r="AI43" s="587"/>
      <c r="AJ43" s="587"/>
      <c r="AK43" s="587"/>
      <c r="AL43" s="587"/>
      <c r="AM43" s="587"/>
      <c r="AO43" s="587"/>
      <c r="AP43" s="587"/>
      <c r="AQ43" s="587"/>
      <c r="AR43" s="587"/>
      <c r="AS43" s="587"/>
      <c r="AT43" s="587"/>
      <c r="AU43" s="587"/>
      <c r="AV43" s="587"/>
      <c r="AW43" s="587"/>
    </row>
    <row r="44" spans="1:51">
      <c r="A44" s="634">
        <v>10684</v>
      </c>
      <c r="B44" s="635">
        <v>1.7600000000000001E-2</v>
      </c>
      <c r="C44" s="636">
        <v>3.4700000000000002E-2</v>
      </c>
      <c r="D44" s="636">
        <v>3.3999999999999998E-3</v>
      </c>
      <c r="E44" s="636">
        <v>3.908333333333334E-3</v>
      </c>
      <c r="F44" s="636">
        <v>4.0916666666666671E-3</v>
      </c>
      <c r="G44" s="636">
        <v>4.0000000000000001E-3</v>
      </c>
      <c r="H44" s="636">
        <v>4.2833333333333326E-3</v>
      </c>
      <c r="I44" s="636">
        <f t="shared" si="0"/>
        <v>1.4200000000000001E-2</v>
      </c>
      <c r="J44" s="636">
        <f t="shared" si="4"/>
        <v>1.3600000000000001E-2</v>
      </c>
      <c r="K44" s="636">
        <f t="shared" ref="K44:K46" si="11">$D44-H44</f>
        <v>-8.8333333333333276E-4</v>
      </c>
      <c r="L44" s="637">
        <f t="shared" si="1"/>
        <v>0.36495908488043649</v>
      </c>
      <c r="M44" s="637">
        <f t="shared" si="2"/>
        <v>4.0799999999999996E-2</v>
      </c>
      <c r="N44" s="637">
        <f t="shared" si="6"/>
        <v>4.8000000000000001E-2</v>
      </c>
      <c r="O44" s="638">
        <f t="shared" si="3"/>
        <v>0.32415908488043649</v>
      </c>
      <c r="P44" s="637">
        <f t="shared" si="7"/>
        <v>0.3169590848804365</v>
      </c>
      <c r="Q44" s="585">
        <f t="shared" si="8"/>
        <v>0.47036693395693163</v>
      </c>
      <c r="R44" s="637">
        <f t="shared" si="9"/>
        <v>5.1399999999999987E-2</v>
      </c>
      <c r="S44" s="638">
        <f t="shared" si="10"/>
        <v>0.41896693395693163</v>
      </c>
      <c r="U44" s="587"/>
      <c r="V44" s="587"/>
      <c r="W44" s="587"/>
      <c r="X44" s="587"/>
      <c r="Y44" s="587"/>
      <c r="Z44" s="587"/>
      <c r="AA44" s="587"/>
      <c r="AB44" s="587"/>
      <c r="AC44" s="587"/>
      <c r="AE44" s="587"/>
      <c r="AF44" s="587"/>
      <c r="AG44" s="587"/>
      <c r="AH44" s="587"/>
      <c r="AI44" s="587"/>
      <c r="AJ44" s="587"/>
      <c r="AK44" s="587"/>
      <c r="AL44" s="587"/>
      <c r="AM44" s="587"/>
      <c r="AO44" s="587"/>
      <c r="AP44" s="587"/>
      <c r="AQ44" s="587"/>
      <c r="AR44" s="587"/>
      <c r="AS44" s="587"/>
      <c r="AT44" s="587"/>
      <c r="AU44" s="587"/>
      <c r="AV44" s="587"/>
      <c r="AW44" s="587"/>
    </row>
    <row r="45" spans="1:51">
      <c r="A45" s="634">
        <v>10714</v>
      </c>
      <c r="B45" s="635">
        <v>-3.6200000000000003E-2</v>
      </c>
      <c r="C45" s="636">
        <v>4.7E-2</v>
      </c>
      <c r="D45" s="636">
        <v>3.0000000000000001E-3</v>
      </c>
      <c r="E45" s="636">
        <v>3.9166666666666664E-3</v>
      </c>
      <c r="F45" s="636">
        <v>4.0916666666666671E-3</v>
      </c>
      <c r="G45" s="636">
        <v>4.0041666666666663E-3</v>
      </c>
      <c r="H45" s="636">
        <v>4.2833333333333326E-3</v>
      </c>
      <c r="I45" s="636">
        <f t="shared" si="0"/>
        <v>-3.9200000000000006E-2</v>
      </c>
      <c r="J45" s="636">
        <f t="shared" si="4"/>
        <v>-4.0204166666666666E-2</v>
      </c>
      <c r="K45" s="636">
        <f t="shared" si="11"/>
        <v>-1.2833333333333325E-3</v>
      </c>
      <c r="L45" s="637">
        <f t="shared" si="1"/>
        <v>0.29013196627220239</v>
      </c>
      <c r="M45" s="637">
        <f t="shared" si="2"/>
        <v>3.6000000000000004E-2</v>
      </c>
      <c r="N45" s="637">
        <f t="shared" si="6"/>
        <v>4.8049999999999995E-2</v>
      </c>
      <c r="O45" s="638">
        <f t="shared" si="3"/>
        <v>0.25413196627220236</v>
      </c>
      <c r="P45" s="637">
        <f t="shared" si="7"/>
        <v>0.24208196627220241</v>
      </c>
      <c r="Q45" s="585">
        <f t="shared" si="8"/>
        <v>0.50810558371170389</v>
      </c>
      <c r="R45" s="637">
        <f t="shared" si="9"/>
        <v>5.1399999999999987E-2</v>
      </c>
      <c r="S45" s="638">
        <f t="shared" si="10"/>
        <v>0.45670558371170389</v>
      </c>
      <c r="U45" s="587"/>
      <c r="V45" s="587"/>
      <c r="W45" s="587"/>
      <c r="X45" s="587"/>
      <c r="Y45" s="587"/>
      <c r="Z45" s="587"/>
      <c r="AA45" s="587"/>
      <c r="AB45" s="587"/>
      <c r="AC45" s="587"/>
      <c r="AE45" s="587"/>
      <c r="AF45" s="587"/>
      <c r="AG45" s="587"/>
      <c r="AH45" s="587"/>
      <c r="AI45" s="587"/>
      <c r="AJ45" s="587"/>
      <c r="AK45" s="587"/>
      <c r="AL45" s="587"/>
      <c r="AM45" s="587"/>
      <c r="AO45" s="587"/>
      <c r="AP45" s="587"/>
      <c r="AQ45" s="587"/>
      <c r="AR45" s="587"/>
      <c r="AS45" s="587"/>
      <c r="AT45" s="587"/>
      <c r="AU45" s="587"/>
      <c r="AV45" s="587"/>
      <c r="AW45" s="587"/>
    </row>
    <row r="46" spans="1:51">
      <c r="A46" s="634">
        <v>10745</v>
      </c>
      <c r="B46" s="635">
        <v>0.114</v>
      </c>
      <c r="C46" s="636">
        <v>0.21780000000000002</v>
      </c>
      <c r="D46" s="636">
        <v>2.8999999999999998E-3</v>
      </c>
      <c r="E46" s="636">
        <v>3.9749999999999994E-3</v>
      </c>
      <c r="F46" s="636">
        <v>4.15E-3</v>
      </c>
      <c r="G46" s="636">
        <v>4.0625000000000001E-3</v>
      </c>
      <c r="H46" s="636">
        <v>4.3583333333333339E-3</v>
      </c>
      <c r="I46" s="636">
        <f t="shared" si="0"/>
        <v>0.1111</v>
      </c>
      <c r="J46" s="636">
        <f t="shared" si="4"/>
        <v>0.10993750000000001</v>
      </c>
      <c r="K46" s="636">
        <f t="shared" si="11"/>
        <v>-1.4583333333333341E-3</v>
      </c>
      <c r="L46" s="637">
        <f t="shared" si="1"/>
        <v>0.49475508104756472</v>
      </c>
      <c r="M46" s="637">
        <f t="shared" si="2"/>
        <v>3.4799999999999998E-2</v>
      </c>
      <c r="N46" s="637">
        <f t="shared" si="6"/>
        <v>4.8750000000000002E-2</v>
      </c>
      <c r="O46" s="638">
        <f t="shared" si="3"/>
        <v>0.45995508104756472</v>
      </c>
      <c r="P46" s="637">
        <f t="shared" si="7"/>
        <v>0.4460050810475647</v>
      </c>
      <c r="Q46" s="585">
        <f t="shared" si="8"/>
        <v>0.91329407213679858</v>
      </c>
      <c r="R46" s="637">
        <f t="shared" si="9"/>
        <v>5.2300000000000006E-2</v>
      </c>
      <c r="S46" s="638">
        <f t="shared" si="10"/>
        <v>0.86099407213679857</v>
      </c>
      <c r="U46" s="587"/>
      <c r="V46" s="587"/>
      <c r="W46" s="587"/>
      <c r="X46" s="587"/>
      <c r="Y46" s="587"/>
      <c r="Z46" s="587"/>
      <c r="AA46" s="587"/>
      <c r="AB46" s="587"/>
      <c r="AC46" s="587"/>
      <c r="AE46" s="587"/>
      <c r="AF46" s="587"/>
      <c r="AG46" s="587"/>
      <c r="AH46" s="587"/>
      <c r="AI46" s="587"/>
      <c r="AJ46" s="587"/>
      <c r="AK46" s="587"/>
      <c r="AL46" s="587"/>
      <c r="AM46" s="587"/>
      <c r="AO46" s="587"/>
      <c r="AP46" s="587"/>
      <c r="AQ46" s="587"/>
      <c r="AR46" s="587"/>
      <c r="AS46" s="587"/>
      <c r="AT46" s="587"/>
      <c r="AU46" s="587"/>
      <c r="AV46" s="587"/>
      <c r="AW46" s="587"/>
    </row>
    <row r="47" spans="1:51">
      <c r="A47" s="581">
        <v>10775</v>
      </c>
      <c r="B47" s="582">
        <v>4.7100000000000003E-2</v>
      </c>
      <c r="C47" s="577">
        <v>9.0499999999999983E-2</v>
      </c>
      <c r="D47" s="577">
        <v>3.2000000000000002E-3</v>
      </c>
      <c r="E47" s="577">
        <v>3.9749999999999994E-3</v>
      </c>
      <c r="F47" s="577">
        <v>4.1416666666666659E-3</v>
      </c>
      <c r="G47" s="577">
        <v>4.0583333333333331E-3</v>
      </c>
      <c r="H47" s="577">
        <v>4.3666666666666671E-3</v>
      </c>
      <c r="I47" s="577">
        <f t="shared" si="0"/>
        <v>4.3900000000000002E-2</v>
      </c>
      <c r="J47" s="577">
        <f t="shared" si="4"/>
        <v>4.3041666666666673E-2</v>
      </c>
      <c r="K47" s="577">
        <f t="shared" si="5"/>
        <v>8.6133333333333312E-2</v>
      </c>
      <c r="L47" s="637">
        <f t="shared" si="1"/>
        <v>0.54339615951573328</v>
      </c>
      <c r="M47" s="585">
        <f t="shared" si="2"/>
        <v>3.8400000000000004E-2</v>
      </c>
      <c r="N47" s="585">
        <f t="shared" si="6"/>
        <v>4.8699999999999993E-2</v>
      </c>
      <c r="O47" s="586">
        <f>L47-M47</f>
        <v>0.50499615951573329</v>
      </c>
      <c r="P47" s="585">
        <f t="shared" si="7"/>
        <v>0.49469615951573331</v>
      </c>
      <c r="Q47" s="585">
        <f t="shared" si="8"/>
        <v>1.102425620380068</v>
      </c>
      <c r="R47" s="585">
        <f t="shared" si="9"/>
        <v>5.2400000000000002E-2</v>
      </c>
      <c r="S47" s="586">
        <f t="shared" si="10"/>
        <v>1.050025620380068</v>
      </c>
      <c r="U47" s="436"/>
      <c r="V47" s="436"/>
      <c r="W47" s="436"/>
      <c r="X47" s="436"/>
      <c r="Y47" s="590"/>
      <c r="Z47" s="590"/>
      <c r="AA47" s="590"/>
      <c r="AB47" s="590"/>
      <c r="AC47" s="590"/>
      <c r="AE47" s="590"/>
      <c r="AF47" s="590"/>
      <c r="AG47" s="590"/>
      <c r="AH47" s="590"/>
      <c r="AI47" s="590"/>
      <c r="AJ47" s="590"/>
      <c r="AK47" s="590"/>
      <c r="AL47" s="590"/>
      <c r="AM47" s="590"/>
      <c r="AO47" s="587"/>
      <c r="AP47" s="587"/>
      <c r="AQ47" s="590"/>
      <c r="AR47" s="590"/>
      <c r="AS47" s="590"/>
      <c r="AT47" s="590"/>
      <c r="AU47" s="590"/>
      <c r="AV47" s="590"/>
      <c r="AW47" s="590"/>
      <c r="AX47" s="590"/>
      <c r="AY47" s="590"/>
    </row>
    <row r="48" spans="1:51">
      <c r="A48" s="581">
        <v>10806</v>
      </c>
      <c r="B48" s="582">
        <v>0.1028</v>
      </c>
      <c r="C48" s="577">
        <v>0.1033</v>
      </c>
      <c r="D48" s="577">
        <v>3.0000000000000001E-3</v>
      </c>
      <c r="E48" s="577">
        <v>3.9916666666666668E-3</v>
      </c>
      <c r="F48" s="577">
        <v>4.1583333333333333E-3</v>
      </c>
      <c r="G48" s="577">
        <v>4.0749999999999996E-3</v>
      </c>
      <c r="H48" s="577">
        <v>4.4166666666666668E-3</v>
      </c>
      <c r="I48" s="577">
        <f t="shared" si="0"/>
        <v>9.98E-2</v>
      </c>
      <c r="J48" s="577">
        <f t="shared" si="4"/>
        <v>9.8725000000000007E-2</v>
      </c>
      <c r="K48" s="577">
        <f t="shared" si="5"/>
        <v>9.8883333333333337E-2</v>
      </c>
      <c r="L48" s="637">
        <f t="shared" si="1"/>
        <v>0.5755413169619088</v>
      </c>
      <c r="M48" s="585">
        <f t="shared" si="2"/>
        <v>3.6000000000000004E-2</v>
      </c>
      <c r="N48" s="585">
        <f t="shared" si="6"/>
        <v>4.8899999999999999E-2</v>
      </c>
      <c r="O48" s="586">
        <f t="shared" si="3"/>
        <v>0.53954131696190877</v>
      </c>
      <c r="P48" s="585">
        <f t="shared" si="7"/>
        <v>0.52664131696190886</v>
      </c>
      <c r="Q48" s="585">
        <f t="shared" si="8"/>
        <v>1.171509255724891</v>
      </c>
      <c r="R48" s="585">
        <f t="shared" si="9"/>
        <v>5.3000000000000005E-2</v>
      </c>
      <c r="S48" s="586">
        <f t="shared" si="10"/>
        <v>1.118509255724891</v>
      </c>
      <c r="U48" s="591"/>
      <c r="V48" s="591"/>
      <c r="W48" s="436"/>
      <c r="X48" s="436"/>
      <c r="Y48" s="436"/>
      <c r="Z48" s="436"/>
      <c r="AA48" s="436"/>
      <c r="AB48" s="436"/>
      <c r="AC48" s="436"/>
      <c r="AE48" s="591"/>
      <c r="AF48" s="591"/>
      <c r="AG48" s="436"/>
      <c r="AH48" s="436"/>
      <c r="AI48" s="436"/>
      <c r="AJ48" s="436"/>
      <c r="AK48" s="436"/>
      <c r="AL48" s="436"/>
      <c r="AM48" s="436"/>
      <c r="AO48" s="587"/>
      <c r="AP48" s="587"/>
      <c r="AQ48" s="436"/>
      <c r="AR48" s="436"/>
      <c r="AS48" s="436"/>
      <c r="AT48" s="436"/>
      <c r="AU48" s="436"/>
      <c r="AV48" s="436"/>
      <c r="AW48" s="436"/>
      <c r="AX48" s="436"/>
      <c r="AY48" s="436"/>
    </row>
    <row r="49" spans="1:51">
      <c r="A49" s="581">
        <v>10837</v>
      </c>
      <c r="B49" s="582">
        <v>-4.7600000000000003E-2</v>
      </c>
      <c r="C49" s="577">
        <v>3.9999999999999996E-4</v>
      </c>
      <c r="D49" s="577">
        <v>3.2000000000000002E-3</v>
      </c>
      <c r="E49" s="577">
        <v>4.0000000000000001E-3</v>
      </c>
      <c r="F49" s="577">
        <v>4.1749999999999999E-3</v>
      </c>
      <c r="G49" s="577">
        <v>4.0874999999999991E-3</v>
      </c>
      <c r="H49" s="577">
        <v>4.4833333333333331E-3</v>
      </c>
      <c r="I49" s="577">
        <f t="shared" si="0"/>
        <v>-5.0800000000000005E-2</v>
      </c>
      <c r="J49" s="577">
        <f t="shared" si="4"/>
        <v>-5.1687500000000004E-2</v>
      </c>
      <c r="K49" s="577">
        <f t="shared" si="5"/>
        <v>-4.0833333333333329E-3</v>
      </c>
      <c r="L49" s="637">
        <f t="shared" si="1"/>
        <v>0.46266258921388248</v>
      </c>
      <c r="M49" s="585">
        <f t="shared" si="2"/>
        <v>3.8400000000000004E-2</v>
      </c>
      <c r="N49" s="585">
        <f t="shared" si="6"/>
        <v>4.9049999999999989E-2</v>
      </c>
      <c r="O49" s="586">
        <f t="shared" si="3"/>
        <v>0.42426258921388249</v>
      </c>
      <c r="P49" s="585">
        <f t="shared" si="7"/>
        <v>0.4136125892138825</v>
      </c>
      <c r="Q49" s="585">
        <f t="shared" si="8"/>
        <v>1.1117700587413051</v>
      </c>
      <c r="R49" s="585">
        <f t="shared" si="9"/>
        <v>5.3800000000000001E-2</v>
      </c>
      <c r="S49" s="586">
        <f t="shared" si="10"/>
        <v>1.057970058741305</v>
      </c>
      <c r="U49" s="436"/>
      <c r="V49" s="436"/>
      <c r="W49" s="436"/>
      <c r="X49" s="436"/>
      <c r="Y49" s="436"/>
      <c r="Z49" s="436"/>
      <c r="AA49" s="436"/>
      <c r="AB49" s="436"/>
      <c r="AC49" s="436"/>
      <c r="AE49" s="436"/>
      <c r="AF49" s="436"/>
      <c r="AG49" s="436"/>
      <c r="AH49" s="436"/>
      <c r="AI49" s="436"/>
      <c r="AJ49" s="436"/>
      <c r="AK49" s="436"/>
      <c r="AL49" s="436"/>
      <c r="AM49" s="436"/>
      <c r="AO49" s="587"/>
      <c r="AP49" s="587"/>
      <c r="AQ49" s="591"/>
      <c r="AR49" s="591"/>
      <c r="AS49" s="436"/>
      <c r="AT49" s="436"/>
      <c r="AU49" s="436"/>
      <c r="AV49" s="436"/>
      <c r="AW49" s="436"/>
      <c r="AX49" s="436"/>
      <c r="AY49" s="436"/>
    </row>
    <row r="50" spans="1:51">
      <c r="A50" s="581">
        <v>10867</v>
      </c>
      <c r="B50" s="582">
        <v>-0.1973</v>
      </c>
      <c r="C50" s="577">
        <v>-0.30220000000000002</v>
      </c>
      <c r="D50" s="577">
        <v>3.0999999999999999E-3</v>
      </c>
      <c r="E50" s="577">
        <v>3.9749999999999994E-3</v>
      </c>
      <c r="F50" s="577">
        <v>4.1749999999999999E-3</v>
      </c>
      <c r="G50" s="577">
        <v>4.0749999999999996E-3</v>
      </c>
      <c r="H50" s="577">
        <v>4.45E-3</v>
      </c>
      <c r="I50" s="577">
        <f t="shared" si="0"/>
        <v>-0.20039999999999999</v>
      </c>
      <c r="J50" s="577">
        <f t="shared" si="4"/>
        <v>-0.201375</v>
      </c>
      <c r="K50" s="577">
        <f t="shared" si="5"/>
        <v>-0.30665000000000003</v>
      </c>
      <c r="L50" s="637">
        <f t="shared" si="1"/>
        <v>0.15468062584774178</v>
      </c>
      <c r="M50" s="585">
        <f t="shared" si="2"/>
        <v>3.7199999999999997E-2</v>
      </c>
      <c r="N50" s="585">
        <f t="shared" si="6"/>
        <v>4.8899999999999999E-2</v>
      </c>
      <c r="O50" s="586">
        <f t="shared" si="3"/>
        <v>0.11748062584774178</v>
      </c>
      <c r="P50" s="585">
        <f t="shared" si="7"/>
        <v>0.10578062584774178</v>
      </c>
      <c r="Q50" s="585">
        <f t="shared" si="8"/>
        <v>0.48727608698999036</v>
      </c>
      <c r="R50" s="585">
        <f t="shared" si="9"/>
        <v>5.3400000000000003E-2</v>
      </c>
      <c r="S50" s="586">
        <f t="shared" si="10"/>
        <v>0.43387608698999036</v>
      </c>
      <c r="U50" s="436"/>
      <c r="V50" s="436"/>
      <c r="W50" s="436"/>
      <c r="X50" s="436"/>
      <c r="Y50" s="436"/>
      <c r="Z50" s="436"/>
      <c r="AA50" s="436"/>
      <c r="AB50" s="436"/>
      <c r="AC50" s="436"/>
      <c r="AE50" s="436"/>
      <c r="AF50" s="436"/>
      <c r="AG50" s="436"/>
      <c r="AH50" s="436"/>
      <c r="AI50" s="436"/>
      <c r="AJ50" s="436"/>
      <c r="AK50" s="436"/>
      <c r="AL50" s="436"/>
      <c r="AM50" s="436"/>
      <c r="AO50" s="587"/>
      <c r="AP50" s="587"/>
      <c r="AQ50" s="436"/>
      <c r="AR50" s="436"/>
      <c r="AS50" s="436"/>
      <c r="AT50" s="436"/>
      <c r="AU50" s="436"/>
      <c r="AV50" s="436"/>
      <c r="AW50" s="436"/>
      <c r="AX50" s="436"/>
      <c r="AY50" s="436"/>
    </row>
    <row r="51" spans="1:51">
      <c r="A51" s="581">
        <v>10898</v>
      </c>
      <c r="B51" s="582">
        <v>-0.1246</v>
      </c>
      <c r="C51" s="577">
        <v>-0.1424</v>
      </c>
      <c r="D51" s="577">
        <v>2.5999999999999999E-3</v>
      </c>
      <c r="E51" s="577">
        <v>3.966666666666667E-3</v>
      </c>
      <c r="F51" s="577">
        <v>4.1166666666666669E-3</v>
      </c>
      <c r="G51" s="577">
        <v>4.0416666666666665E-3</v>
      </c>
      <c r="H51" s="577">
        <v>4.4083333333333335E-3</v>
      </c>
      <c r="I51" s="577">
        <f t="shared" si="0"/>
        <v>-0.12720000000000001</v>
      </c>
      <c r="J51" s="577">
        <f t="shared" si="4"/>
        <v>-0.12864166666666668</v>
      </c>
      <c r="K51" s="577">
        <f t="shared" si="5"/>
        <v>-0.14680833333333332</v>
      </c>
      <c r="L51" s="637">
        <f t="shared" si="1"/>
        <v>-0.10484642236351993</v>
      </c>
      <c r="M51" s="585">
        <f t="shared" si="2"/>
        <v>3.1199999999999999E-2</v>
      </c>
      <c r="N51" s="585">
        <f t="shared" si="6"/>
        <v>4.8500000000000001E-2</v>
      </c>
      <c r="O51" s="586">
        <f t="shared" si="3"/>
        <v>-0.13604642236351994</v>
      </c>
      <c r="P51" s="585">
        <f t="shared" si="7"/>
        <v>-0.15334642236351992</v>
      </c>
      <c r="Q51" s="585">
        <f t="shared" si="8"/>
        <v>5.0043609288396906E-2</v>
      </c>
      <c r="R51" s="585">
        <f t="shared" si="9"/>
        <v>5.2900000000000003E-2</v>
      </c>
      <c r="S51" s="586">
        <f t="shared" si="10"/>
        <v>-2.8563907116030962E-3</v>
      </c>
      <c r="U51" s="436"/>
      <c r="V51" s="436"/>
      <c r="W51" s="436"/>
      <c r="X51" s="436"/>
      <c r="Y51" s="436"/>
      <c r="Z51" s="436"/>
      <c r="AA51" s="436"/>
      <c r="AB51" s="436"/>
      <c r="AC51" s="436"/>
      <c r="AE51" s="436"/>
      <c r="AF51" s="436"/>
      <c r="AG51" s="436"/>
      <c r="AH51" s="436"/>
      <c r="AI51" s="436"/>
      <c r="AJ51" s="436"/>
      <c r="AK51" s="436"/>
      <c r="AL51" s="436"/>
      <c r="AM51" s="436"/>
      <c r="AO51" s="587"/>
      <c r="AP51" s="587"/>
      <c r="AQ51" s="436"/>
      <c r="AR51" s="436"/>
      <c r="AS51" s="436"/>
      <c r="AT51" s="436"/>
      <c r="AU51" s="436"/>
      <c r="AV51" s="436"/>
      <c r="AW51" s="436"/>
      <c r="AX51" s="436"/>
      <c r="AY51" s="436"/>
    </row>
    <row r="52" spans="1:51">
      <c r="A52" s="581">
        <v>10928</v>
      </c>
      <c r="B52" s="582">
        <v>2.8199999999999999E-2</v>
      </c>
      <c r="C52" s="577">
        <v>6.7999999999999991E-2</v>
      </c>
      <c r="D52" s="577">
        <v>3.0999999999999999E-3</v>
      </c>
      <c r="E52" s="577">
        <v>3.8916666666666665E-3</v>
      </c>
      <c r="F52" s="577">
        <v>4.0333333333333332E-3</v>
      </c>
      <c r="G52" s="577">
        <v>3.9624999999999999E-3</v>
      </c>
      <c r="H52" s="577">
        <v>4.3583333333333339E-3</v>
      </c>
      <c r="I52" s="577">
        <f t="shared" si="0"/>
        <v>2.5100000000000001E-2</v>
      </c>
      <c r="J52" s="577">
        <f t="shared" si="4"/>
        <v>2.4237499999999999E-2</v>
      </c>
      <c r="K52" s="577">
        <f t="shared" si="5"/>
        <v>6.3641666666666652E-2</v>
      </c>
      <c r="L52" s="637">
        <f t="shared" si="1"/>
        <v>-8.4091045351946891E-2</v>
      </c>
      <c r="M52" s="585">
        <f t="shared" si="2"/>
        <v>3.7199999999999997E-2</v>
      </c>
      <c r="N52" s="585">
        <f t="shared" si="6"/>
        <v>4.7549999999999995E-2</v>
      </c>
      <c r="O52" s="586">
        <f t="shared" si="3"/>
        <v>-0.12129104535194689</v>
      </c>
      <c r="P52" s="585">
        <f t="shared" si="7"/>
        <v>-0.13164104535194687</v>
      </c>
      <c r="Q52" s="585">
        <f t="shared" si="8"/>
        <v>0.11034314328713646</v>
      </c>
      <c r="R52" s="585">
        <f t="shared" si="9"/>
        <v>5.2300000000000006E-2</v>
      </c>
      <c r="S52" s="586">
        <f t="shared" si="10"/>
        <v>5.8043143287136452E-2</v>
      </c>
      <c r="U52" s="436"/>
      <c r="V52" s="436"/>
      <c r="W52" s="436"/>
      <c r="X52" s="436"/>
      <c r="Y52" s="436"/>
      <c r="Z52" s="436"/>
      <c r="AA52" s="436"/>
      <c r="AB52" s="436"/>
      <c r="AC52" s="436"/>
      <c r="AE52" s="436"/>
      <c r="AF52" s="436"/>
      <c r="AG52" s="436"/>
      <c r="AH52" s="436"/>
      <c r="AI52" s="436"/>
      <c r="AJ52" s="436"/>
      <c r="AK52" s="436"/>
      <c r="AL52" s="436"/>
      <c r="AM52" s="436"/>
      <c r="AO52" s="587"/>
      <c r="AP52" s="587"/>
      <c r="AQ52" s="436"/>
      <c r="AR52" s="436"/>
      <c r="AS52" s="436"/>
      <c r="AT52" s="436"/>
      <c r="AU52" s="436"/>
      <c r="AV52" s="436"/>
      <c r="AW52" s="436"/>
      <c r="AX52" s="436"/>
      <c r="AY52" s="436"/>
    </row>
    <row r="53" spans="1:51">
      <c r="A53" s="581">
        <v>10959</v>
      </c>
      <c r="B53" s="582">
        <v>6.3899999999999998E-2</v>
      </c>
      <c r="C53" s="577">
        <v>7.3999999999999996E-2</v>
      </c>
      <c r="D53" s="577">
        <v>2.8999999999999998E-3</v>
      </c>
      <c r="E53" s="577">
        <v>3.8833333333333337E-3</v>
      </c>
      <c r="F53" s="577">
        <v>4.0500000000000006E-3</v>
      </c>
      <c r="G53" s="577">
        <v>3.966666666666667E-3</v>
      </c>
      <c r="H53" s="577">
        <v>4.3833333333333328E-3</v>
      </c>
      <c r="I53" s="577">
        <f t="shared" si="0"/>
        <v>6.0999999999999999E-2</v>
      </c>
      <c r="J53" s="577">
        <f t="shared" si="4"/>
        <v>5.9933333333333332E-2</v>
      </c>
      <c r="K53" s="577">
        <f t="shared" si="5"/>
        <v>6.961666666666666E-2</v>
      </c>
      <c r="L53" s="637">
        <f t="shared" si="1"/>
        <v>-7.9244508315162165E-2</v>
      </c>
      <c r="M53" s="585">
        <f t="shared" si="2"/>
        <v>3.4799999999999998E-2</v>
      </c>
      <c r="N53" s="585">
        <f t="shared" si="6"/>
        <v>4.7600000000000003E-2</v>
      </c>
      <c r="O53" s="586">
        <f t="shared" si="3"/>
        <v>-0.11404450831516216</v>
      </c>
      <c r="P53" s="585">
        <f t="shared" si="7"/>
        <v>-0.12684450831516217</v>
      </c>
      <c r="Q53" s="585">
        <f t="shared" si="8"/>
        <v>5.2987669660384151E-2</v>
      </c>
      <c r="R53" s="585">
        <f t="shared" si="9"/>
        <v>5.2599999999999994E-2</v>
      </c>
      <c r="S53" s="586">
        <f t="shared" si="10"/>
        <v>3.8766966038415729E-4</v>
      </c>
      <c r="U53" s="436"/>
      <c r="V53" s="436"/>
      <c r="W53" s="436"/>
      <c r="X53" s="436"/>
      <c r="Y53" s="436"/>
      <c r="Z53" s="436"/>
      <c r="AA53" s="436"/>
      <c r="AB53" s="436"/>
      <c r="AC53" s="436"/>
      <c r="AE53" s="436"/>
      <c r="AF53" s="436"/>
      <c r="AG53" s="436"/>
      <c r="AH53" s="436"/>
      <c r="AI53" s="436"/>
      <c r="AJ53" s="436"/>
      <c r="AK53" s="436"/>
      <c r="AL53" s="436"/>
      <c r="AM53" s="436"/>
      <c r="AO53" s="587"/>
      <c r="AP53" s="587"/>
      <c r="AQ53" s="436"/>
      <c r="AR53" s="436"/>
      <c r="AS53" s="436"/>
      <c r="AT53" s="436"/>
      <c r="AU53" s="436"/>
      <c r="AV53" s="436"/>
      <c r="AW53" s="436"/>
      <c r="AX53" s="436"/>
      <c r="AY53" s="436"/>
    </row>
    <row r="54" spans="1:51">
      <c r="A54" s="581">
        <v>10990</v>
      </c>
      <c r="B54" s="582">
        <v>2.5899999999999999E-2</v>
      </c>
      <c r="C54" s="577">
        <v>8.8499999999999995E-2</v>
      </c>
      <c r="D54" s="577">
        <v>2.5999999999999999E-3</v>
      </c>
      <c r="E54" s="577">
        <v>3.908333333333334E-3</v>
      </c>
      <c r="F54" s="577">
        <v>4.0749999999999996E-3</v>
      </c>
      <c r="G54" s="577">
        <v>3.9916666666666668E-3</v>
      </c>
      <c r="H54" s="577">
        <v>4.4083333333333335E-3</v>
      </c>
      <c r="I54" s="577">
        <f t="shared" si="0"/>
        <v>2.3300000000000001E-2</v>
      </c>
      <c r="J54" s="577">
        <f t="shared" si="4"/>
        <v>2.1908333333333332E-2</v>
      </c>
      <c r="K54" s="577">
        <f t="shared" si="5"/>
        <v>8.4091666666666662E-2</v>
      </c>
      <c r="L54" s="637">
        <f t="shared" si="1"/>
        <v>-5.3598778760169385E-2</v>
      </c>
      <c r="M54" s="585">
        <f t="shared" si="2"/>
        <v>3.1199999999999999E-2</v>
      </c>
      <c r="N54" s="585">
        <f t="shared" si="6"/>
        <v>4.7899999999999998E-2</v>
      </c>
      <c r="O54" s="586">
        <f t="shared" si="3"/>
        <v>-8.4798778760169391E-2</v>
      </c>
      <c r="P54" s="585">
        <f t="shared" si="7"/>
        <v>-0.10149877876016938</v>
      </c>
      <c r="Q54" s="585">
        <f t="shared" si="8"/>
        <v>0.17339995743788683</v>
      </c>
      <c r="R54" s="585">
        <f t="shared" si="9"/>
        <v>5.2900000000000003E-2</v>
      </c>
      <c r="S54" s="586">
        <f t="shared" si="10"/>
        <v>0.12049995743788683</v>
      </c>
      <c r="U54" s="436"/>
      <c r="V54" s="436"/>
      <c r="W54" s="436"/>
      <c r="X54" s="436"/>
      <c r="Y54" s="436"/>
      <c r="Z54" s="436"/>
      <c r="AA54" s="436"/>
      <c r="AB54" s="436"/>
      <c r="AC54" s="436"/>
      <c r="AE54" s="436"/>
      <c r="AF54" s="436"/>
      <c r="AG54" s="436"/>
      <c r="AH54" s="436"/>
      <c r="AI54" s="436"/>
      <c r="AJ54" s="436"/>
      <c r="AK54" s="436"/>
      <c r="AL54" s="436"/>
      <c r="AM54" s="436"/>
      <c r="AO54" s="587"/>
      <c r="AP54" s="587"/>
      <c r="AQ54" s="436"/>
      <c r="AR54" s="436"/>
      <c r="AS54" s="436"/>
      <c r="AT54" s="436"/>
      <c r="AU54" s="436"/>
      <c r="AV54" s="436"/>
      <c r="AW54" s="436"/>
      <c r="AX54" s="436"/>
      <c r="AY54" s="436"/>
    </row>
    <row r="55" spans="1:51">
      <c r="A55" s="581">
        <v>11018</v>
      </c>
      <c r="B55" s="582">
        <v>8.1199999999999994E-2</v>
      </c>
      <c r="C55" s="577">
        <v>8.9099999999999999E-2</v>
      </c>
      <c r="D55" s="577">
        <v>2.8999999999999998E-3</v>
      </c>
      <c r="E55" s="577">
        <v>3.8500000000000001E-3</v>
      </c>
      <c r="F55" s="577">
        <v>4.0000000000000001E-3</v>
      </c>
      <c r="G55" s="577">
        <v>3.9249999999999997E-3</v>
      </c>
      <c r="H55" s="577">
        <v>4.3166666666666666E-3</v>
      </c>
      <c r="I55" s="577">
        <f t="shared" si="0"/>
        <v>7.8299999999999995E-2</v>
      </c>
      <c r="J55" s="577">
        <f t="shared" si="4"/>
        <v>7.7274999999999996E-2</v>
      </c>
      <c r="K55" s="577">
        <f t="shared" si="5"/>
        <v>8.4783333333333336E-2</v>
      </c>
      <c r="L55" s="637">
        <f t="shared" si="1"/>
        <v>2.4478374453849705E-2</v>
      </c>
      <c r="M55" s="585">
        <f t="shared" si="2"/>
        <v>3.4799999999999998E-2</v>
      </c>
      <c r="N55" s="585">
        <f t="shared" si="6"/>
        <v>4.7099999999999996E-2</v>
      </c>
      <c r="O55" s="586">
        <f t="shared" si="3"/>
        <v>-1.0321625546150293E-2</v>
      </c>
      <c r="P55" s="585">
        <f t="shared" si="7"/>
        <v>-2.2621625546150291E-2</v>
      </c>
      <c r="Q55" s="585">
        <f t="shared" si="8"/>
        <v>0.29216369428271283</v>
      </c>
      <c r="R55" s="585">
        <f t="shared" si="9"/>
        <v>5.1799999999999999E-2</v>
      </c>
      <c r="S55" s="586">
        <f t="shared" si="10"/>
        <v>0.24036369428271281</v>
      </c>
      <c r="U55" s="436"/>
      <c r="V55" s="436"/>
      <c r="W55" s="436"/>
      <c r="X55" s="436"/>
      <c r="Y55" s="436"/>
      <c r="Z55" s="436"/>
      <c r="AA55" s="436"/>
      <c r="AB55" s="436"/>
      <c r="AC55" s="436"/>
      <c r="AE55" s="436"/>
      <c r="AF55" s="436"/>
      <c r="AG55" s="436"/>
      <c r="AH55" s="436"/>
      <c r="AI55" s="436"/>
      <c r="AJ55" s="436"/>
      <c r="AK55" s="436"/>
      <c r="AL55" s="436"/>
      <c r="AM55" s="436"/>
      <c r="AO55" s="587"/>
      <c r="AP55" s="587"/>
      <c r="AQ55" s="436"/>
      <c r="AR55" s="436"/>
      <c r="AS55" s="436"/>
      <c r="AT55" s="436"/>
      <c r="AU55" s="436"/>
      <c r="AV55" s="436"/>
      <c r="AW55" s="436"/>
      <c r="AX55" s="436"/>
      <c r="AY55" s="436"/>
    </row>
    <row r="56" spans="1:51">
      <c r="A56" s="581">
        <v>11049</v>
      </c>
      <c r="B56" s="582">
        <v>-8.0000000000000002E-3</v>
      </c>
      <c r="C56" s="577">
        <v>3.4099999999999998E-2</v>
      </c>
      <c r="D56" s="577">
        <v>2.7000000000000001E-3</v>
      </c>
      <c r="E56" s="577">
        <v>3.8333333333333331E-3</v>
      </c>
      <c r="F56" s="577">
        <v>3.9833333333333335E-3</v>
      </c>
      <c r="G56" s="577">
        <v>3.908333333333334E-3</v>
      </c>
      <c r="H56" s="577">
        <v>4.2916666666666667E-3</v>
      </c>
      <c r="I56" s="577">
        <f t="shared" si="0"/>
        <v>-1.0700000000000001E-2</v>
      </c>
      <c r="J56" s="577">
        <f t="shared" si="4"/>
        <v>-1.1908333333333333E-2</v>
      </c>
      <c r="K56" s="577">
        <f t="shared" si="5"/>
        <v>2.9808333333333333E-2</v>
      </c>
      <c r="L56" s="637">
        <f t="shared" si="1"/>
        <v>-1.2946664129139807E-3</v>
      </c>
      <c r="M56" s="585">
        <f t="shared" si="2"/>
        <v>3.2399999999999998E-2</v>
      </c>
      <c r="N56" s="585">
        <f t="shared" si="6"/>
        <v>4.6900000000000011E-2</v>
      </c>
      <c r="O56" s="586">
        <f t="shared" si="3"/>
        <v>-3.3694666412913979E-2</v>
      </c>
      <c r="P56" s="585">
        <f t="shared" si="7"/>
        <v>-4.8194666412913992E-2</v>
      </c>
      <c r="Q56" s="585">
        <f t="shared" si="8"/>
        <v>0.29141439669252267</v>
      </c>
      <c r="R56" s="585">
        <f t="shared" si="9"/>
        <v>5.1500000000000004E-2</v>
      </c>
      <c r="S56" s="586">
        <f t="shared" si="10"/>
        <v>0.23991439669252268</v>
      </c>
      <c r="U56" s="592"/>
      <c r="V56" s="592"/>
      <c r="W56" s="592"/>
      <c r="X56" s="592"/>
      <c r="Y56" s="592"/>
      <c r="Z56" s="592"/>
      <c r="AA56" s="436"/>
      <c r="AB56" s="436"/>
      <c r="AC56" s="436"/>
      <c r="AE56" s="592"/>
      <c r="AF56" s="592"/>
      <c r="AG56" s="592"/>
      <c r="AH56" s="592"/>
      <c r="AI56" s="592"/>
      <c r="AJ56" s="592"/>
      <c r="AK56" s="436"/>
      <c r="AL56" s="436"/>
      <c r="AM56" s="436"/>
      <c r="AO56" s="587"/>
      <c r="AP56" s="587"/>
      <c r="AQ56" s="436"/>
      <c r="AR56" s="436"/>
      <c r="AS56" s="436"/>
      <c r="AT56" s="436"/>
      <c r="AU56" s="436"/>
      <c r="AV56" s="436"/>
      <c r="AW56" s="436"/>
      <c r="AX56" s="436"/>
      <c r="AY56" s="436"/>
    </row>
    <row r="57" spans="1:51">
      <c r="A57" s="581">
        <v>11079</v>
      </c>
      <c r="B57" s="582">
        <v>-9.5999999999999992E-3</v>
      </c>
      <c r="C57" s="577">
        <v>-2.3600000000000003E-2</v>
      </c>
      <c r="D57" s="577">
        <v>2.7000000000000001E-3</v>
      </c>
      <c r="E57" s="577">
        <v>3.8333333333333331E-3</v>
      </c>
      <c r="F57" s="577">
        <v>3.9749999999999994E-3</v>
      </c>
      <c r="G57" s="577">
        <v>3.9041666666666665E-3</v>
      </c>
      <c r="H57" s="577">
        <v>4.1999999999999997E-3</v>
      </c>
      <c r="I57" s="577">
        <f t="shared" si="0"/>
        <v>-1.2299999999999998E-2</v>
      </c>
      <c r="J57" s="577">
        <f t="shared" si="4"/>
        <v>-1.3504166666666666E-2</v>
      </c>
      <c r="K57" s="577">
        <f t="shared" si="5"/>
        <v>-2.7800000000000002E-2</v>
      </c>
      <c r="L57" s="637">
        <f t="shared" si="1"/>
        <v>2.6268688923687389E-2</v>
      </c>
      <c r="M57" s="585">
        <f t="shared" si="2"/>
        <v>3.2399999999999998E-2</v>
      </c>
      <c r="N57" s="585">
        <f t="shared" si="6"/>
        <v>4.6849999999999996E-2</v>
      </c>
      <c r="O57" s="586">
        <f t="shared" si="3"/>
        <v>-6.1313110763126094E-3</v>
      </c>
      <c r="P57" s="585">
        <f t="shared" si="7"/>
        <v>-2.0581311076312607E-2</v>
      </c>
      <c r="Q57" s="585">
        <f t="shared" si="8"/>
        <v>0.20433334950389614</v>
      </c>
      <c r="R57" s="585">
        <f t="shared" si="9"/>
        <v>5.04E-2</v>
      </c>
      <c r="S57" s="586">
        <f t="shared" si="10"/>
        <v>0.15393334950389614</v>
      </c>
      <c r="U57" s="436"/>
      <c r="V57" s="436"/>
      <c r="W57" s="436"/>
      <c r="X57" s="436"/>
      <c r="Y57" s="436"/>
      <c r="Z57" s="436"/>
      <c r="AA57" s="436"/>
      <c r="AB57" s="436"/>
      <c r="AC57" s="436"/>
      <c r="AE57" s="436"/>
      <c r="AF57" s="436"/>
      <c r="AG57" s="436"/>
      <c r="AH57" s="436"/>
      <c r="AI57" s="436"/>
      <c r="AJ57" s="436"/>
      <c r="AK57" s="436"/>
      <c r="AL57" s="436"/>
      <c r="AM57" s="436"/>
      <c r="AO57" s="587"/>
      <c r="AP57" s="587"/>
      <c r="AQ57" s="592"/>
      <c r="AR57" s="592"/>
      <c r="AS57" s="592"/>
      <c r="AT57" s="592"/>
      <c r="AU57" s="592"/>
      <c r="AV57" s="592"/>
      <c r="AW57" s="436"/>
      <c r="AX57" s="436"/>
      <c r="AY57" s="436"/>
    </row>
    <row r="58" spans="1:51">
      <c r="A58" s="581">
        <v>11110</v>
      </c>
      <c r="B58" s="582">
        <v>-0.16250000000000001</v>
      </c>
      <c r="C58" s="577">
        <v>-0.19030000000000002</v>
      </c>
      <c r="D58" s="577">
        <v>2.8999999999999998E-3</v>
      </c>
      <c r="E58" s="577">
        <v>3.8083333333333337E-3</v>
      </c>
      <c r="F58" s="577">
        <v>3.966666666666667E-3</v>
      </c>
      <c r="G58" s="577">
        <v>3.8875000000000003E-3</v>
      </c>
      <c r="H58" s="577">
        <v>4.1749999999999999E-3</v>
      </c>
      <c r="I58" s="577">
        <f t="shared" si="0"/>
        <v>-0.16539999999999999</v>
      </c>
      <c r="J58" s="577">
        <f t="shared" si="4"/>
        <v>-0.16638749999999999</v>
      </c>
      <c r="K58" s="577">
        <f t="shared" si="5"/>
        <v>-0.19447500000000004</v>
      </c>
      <c r="L58" s="637">
        <f t="shared" si="1"/>
        <v>-0.22845599014938212</v>
      </c>
      <c r="M58" s="585">
        <f t="shared" si="2"/>
        <v>3.4799999999999998E-2</v>
      </c>
      <c r="N58" s="585">
        <f t="shared" si="6"/>
        <v>4.6650000000000004E-2</v>
      </c>
      <c r="O58" s="586">
        <f t="shared" si="3"/>
        <v>-0.26325599014938211</v>
      </c>
      <c r="P58" s="585">
        <f t="shared" si="7"/>
        <v>-0.27510599014938214</v>
      </c>
      <c r="Q58" s="585">
        <f t="shared" si="8"/>
        <v>-0.19925380760937395</v>
      </c>
      <c r="R58" s="585">
        <f t="shared" si="9"/>
        <v>5.0099999999999999E-2</v>
      </c>
      <c r="S58" s="586">
        <f t="shared" si="10"/>
        <v>-0.24935380760937395</v>
      </c>
      <c r="U58" s="436"/>
      <c r="V58" s="436"/>
      <c r="W58" s="436"/>
      <c r="X58" s="436"/>
      <c r="Y58" s="436"/>
      <c r="Z58" s="436"/>
      <c r="AA58" s="436"/>
      <c r="AB58" s="436"/>
      <c r="AC58" s="436"/>
      <c r="AE58" s="436"/>
      <c r="AF58" s="436"/>
      <c r="AG58" s="436"/>
      <c r="AH58" s="436"/>
      <c r="AI58" s="436"/>
      <c r="AJ58" s="436"/>
      <c r="AK58" s="436"/>
      <c r="AL58" s="436"/>
      <c r="AM58" s="436"/>
      <c r="AO58" s="587"/>
      <c r="AP58" s="587"/>
      <c r="AQ58" s="436"/>
      <c r="AR58" s="436"/>
      <c r="AS58" s="436"/>
      <c r="AT58" s="436"/>
      <c r="AU58" s="436"/>
      <c r="AV58" s="436"/>
      <c r="AW58" s="436"/>
      <c r="AX58" s="436"/>
      <c r="AY58" s="436"/>
    </row>
    <row r="59" spans="1:51">
      <c r="A59" s="581">
        <v>11140</v>
      </c>
      <c r="B59" s="582">
        <v>3.8600000000000002E-2</v>
      </c>
      <c r="C59" s="577">
        <v>1.7599999999999998E-2</v>
      </c>
      <c r="D59" s="577">
        <v>2.7999999999999995E-3</v>
      </c>
      <c r="E59" s="577">
        <v>3.7666666666666664E-3</v>
      </c>
      <c r="F59" s="577">
        <v>3.9500000000000004E-3</v>
      </c>
      <c r="G59" s="577">
        <v>3.8583333333333334E-3</v>
      </c>
      <c r="H59" s="577">
        <v>4.1583333333333333E-3</v>
      </c>
      <c r="I59" s="577">
        <f t="shared" si="0"/>
        <v>3.5800000000000005E-2</v>
      </c>
      <c r="J59" s="577">
        <f t="shared" si="4"/>
        <v>3.4741666666666671E-2</v>
      </c>
      <c r="K59" s="577">
        <f t="shared" si="5"/>
        <v>1.3441666666666664E-2</v>
      </c>
      <c r="L59" s="637">
        <f t="shared" si="1"/>
        <v>-0.23471912078039192</v>
      </c>
      <c r="M59" s="585">
        <f t="shared" si="2"/>
        <v>3.3599999999999991E-2</v>
      </c>
      <c r="N59" s="585">
        <f t="shared" si="6"/>
        <v>4.6300000000000001E-2</v>
      </c>
      <c r="O59" s="586">
        <f t="shared" si="3"/>
        <v>-0.26831912078039188</v>
      </c>
      <c r="P59" s="585">
        <f t="shared" si="7"/>
        <v>-0.28101912078039193</v>
      </c>
      <c r="Q59" s="585">
        <f t="shared" si="8"/>
        <v>-0.25278374564263972</v>
      </c>
      <c r="R59" s="585">
        <f t="shared" si="9"/>
        <v>4.99E-2</v>
      </c>
      <c r="S59" s="586">
        <f t="shared" si="10"/>
        <v>-0.30268374564263972</v>
      </c>
      <c r="U59" s="436"/>
      <c r="V59" s="436"/>
      <c r="W59" s="436"/>
      <c r="X59" s="436"/>
      <c r="Y59" s="436"/>
      <c r="Z59" s="436"/>
      <c r="AA59" s="436"/>
      <c r="AB59" s="436"/>
      <c r="AC59" s="436"/>
      <c r="AE59" s="436"/>
      <c r="AF59" s="436"/>
      <c r="AG59" s="436"/>
      <c r="AH59" s="436"/>
      <c r="AI59" s="436"/>
      <c r="AJ59" s="436"/>
      <c r="AK59" s="436"/>
      <c r="AL59" s="436"/>
      <c r="AM59" s="436"/>
      <c r="AO59" s="587"/>
      <c r="AP59" s="587"/>
      <c r="AQ59" s="436"/>
      <c r="AR59" s="436"/>
      <c r="AS59" s="436"/>
      <c r="AT59" s="436"/>
      <c r="AU59" s="436"/>
      <c r="AV59" s="436"/>
      <c r="AW59" s="436"/>
      <c r="AX59" s="436"/>
      <c r="AY59" s="436"/>
    </row>
    <row r="60" spans="1:51">
      <c r="A60" s="581">
        <v>11171</v>
      </c>
      <c r="B60" s="582">
        <v>1.41E-2</v>
      </c>
      <c r="C60" s="577">
        <v>7.6000000000000009E-3</v>
      </c>
      <c r="D60" s="577">
        <v>2.5999999999999999E-3</v>
      </c>
      <c r="E60" s="577">
        <v>3.725E-3</v>
      </c>
      <c r="F60" s="577">
        <v>3.8999999999999994E-3</v>
      </c>
      <c r="G60" s="577">
        <v>3.8124999999999999E-3</v>
      </c>
      <c r="H60" s="577">
        <v>4.1250000000000002E-3</v>
      </c>
      <c r="I60" s="577">
        <f t="shared" si="0"/>
        <v>1.15E-2</v>
      </c>
      <c r="J60" s="577">
        <f t="shared" si="4"/>
        <v>1.02875E-2</v>
      </c>
      <c r="K60" s="577">
        <f t="shared" si="5"/>
        <v>3.4750000000000007E-3</v>
      </c>
      <c r="L60" s="637">
        <f t="shared" si="1"/>
        <v>-0.29627190821853056</v>
      </c>
      <c r="M60" s="585">
        <f t="shared" si="2"/>
        <v>3.1199999999999999E-2</v>
      </c>
      <c r="N60" s="585">
        <f t="shared" si="6"/>
        <v>4.5749999999999999E-2</v>
      </c>
      <c r="O60" s="586">
        <f t="shared" si="3"/>
        <v>-0.32747190821853056</v>
      </c>
      <c r="P60" s="585">
        <f t="shared" si="7"/>
        <v>-0.34202190821853057</v>
      </c>
      <c r="Q60" s="585">
        <f t="shared" si="8"/>
        <v>-0.31759711964970894</v>
      </c>
      <c r="R60" s="585">
        <f t="shared" si="9"/>
        <v>4.9500000000000002E-2</v>
      </c>
      <c r="S60" s="586">
        <f t="shared" si="10"/>
        <v>-0.36709711964970893</v>
      </c>
      <c r="U60" s="436"/>
      <c r="V60" s="436"/>
      <c r="W60" s="436"/>
      <c r="X60" s="436"/>
      <c r="Y60" s="436"/>
      <c r="Z60" s="436"/>
      <c r="AA60" s="436"/>
      <c r="AB60" s="436"/>
      <c r="AC60" s="436"/>
      <c r="AE60" s="436"/>
      <c r="AF60" s="436"/>
      <c r="AG60" s="436"/>
      <c r="AH60" s="436"/>
      <c r="AI60" s="436"/>
      <c r="AJ60" s="436"/>
      <c r="AK60" s="436"/>
      <c r="AL60" s="436"/>
      <c r="AM60" s="436"/>
      <c r="AO60" s="587"/>
      <c r="AP60" s="587"/>
      <c r="AQ60" s="436"/>
      <c r="AR60" s="436"/>
      <c r="AS60" s="436"/>
      <c r="AT60" s="436"/>
      <c r="AU60" s="436"/>
      <c r="AV60" s="436"/>
      <c r="AW60" s="436"/>
      <c r="AX60" s="436"/>
      <c r="AY60" s="436"/>
    </row>
    <row r="61" spans="1:51">
      <c r="A61" s="581">
        <v>11202</v>
      </c>
      <c r="B61" s="582">
        <v>-0.12820000000000001</v>
      </c>
      <c r="C61" s="577">
        <v>-0.1108</v>
      </c>
      <c r="D61" s="577">
        <v>2.8999999999999998E-3</v>
      </c>
      <c r="E61" s="577">
        <v>3.6833333333333336E-3</v>
      </c>
      <c r="F61" s="577">
        <v>3.875E-3</v>
      </c>
      <c r="G61" s="577">
        <v>3.7791666666666668E-3</v>
      </c>
      <c r="H61" s="577">
        <v>4.0500000000000006E-3</v>
      </c>
      <c r="I61" s="577">
        <f t="shared" si="0"/>
        <v>-0.13109999999999999</v>
      </c>
      <c r="J61" s="577">
        <f t="shared" si="4"/>
        <v>-0.13197916666666668</v>
      </c>
      <c r="K61" s="577">
        <f t="shared" si="5"/>
        <v>-0.11484999999999999</v>
      </c>
      <c r="L61" s="637">
        <f t="shared" si="1"/>
        <v>-0.35582722551965029</v>
      </c>
      <c r="M61" s="585">
        <f t="shared" si="2"/>
        <v>3.4799999999999998E-2</v>
      </c>
      <c r="N61" s="585">
        <f t="shared" si="6"/>
        <v>4.5350000000000001E-2</v>
      </c>
      <c r="O61" s="586">
        <f t="shared" si="3"/>
        <v>-0.39062722551965029</v>
      </c>
      <c r="P61" s="585">
        <f t="shared" si="7"/>
        <v>-0.40117722551965029</v>
      </c>
      <c r="Q61" s="585">
        <f t="shared" si="8"/>
        <v>-0.39344997880100063</v>
      </c>
      <c r="R61" s="585">
        <f t="shared" si="9"/>
        <v>4.8600000000000004E-2</v>
      </c>
      <c r="S61" s="586">
        <f t="shared" si="10"/>
        <v>-0.44204997880100061</v>
      </c>
      <c r="U61" s="592"/>
      <c r="V61" s="592"/>
      <c r="W61" s="592"/>
      <c r="X61" s="592"/>
      <c r="Y61" s="592"/>
      <c r="Z61" s="592"/>
      <c r="AA61" s="592"/>
      <c r="AB61" s="592"/>
      <c r="AC61" s="592"/>
      <c r="AE61" s="592"/>
      <c r="AF61" s="592"/>
      <c r="AG61" s="592"/>
      <c r="AH61" s="592"/>
      <c r="AI61" s="592"/>
      <c r="AJ61" s="592"/>
      <c r="AK61" s="592"/>
      <c r="AL61" s="592"/>
      <c r="AM61" s="592"/>
      <c r="AO61" s="587"/>
      <c r="AP61" s="587"/>
      <c r="AQ61" s="436"/>
      <c r="AR61" s="436"/>
      <c r="AS61" s="436"/>
      <c r="AT61" s="436"/>
      <c r="AU61" s="436"/>
      <c r="AV61" s="436"/>
      <c r="AW61" s="436"/>
      <c r="AX61" s="436"/>
      <c r="AY61" s="436"/>
    </row>
    <row r="62" spans="1:51">
      <c r="A62" s="581">
        <v>11232</v>
      </c>
      <c r="B62" s="582">
        <v>-8.5500000000000007E-2</v>
      </c>
      <c r="C62" s="577">
        <v>-8.1799999999999998E-2</v>
      </c>
      <c r="D62" s="577">
        <v>2.7000000000000001E-3</v>
      </c>
      <c r="E62" s="577">
        <v>3.6833333333333336E-3</v>
      </c>
      <c r="F62" s="577">
        <v>3.8916666666666665E-3</v>
      </c>
      <c r="G62" s="577">
        <v>3.7875000000000005E-3</v>
      </c>
      <c r="H62" s="577">
        <v>4.0666666666666663E-3</v>
      </c>
      <c r="I62" s="577">
        <f t="shared" si="0"/>
        <v>-8.8200000000000001E-2</v>
      </c>
      <c r="J62" s="577">
        <f t="shared" si="4"/>
        <v>-8.9287500000000006E-2</v>
      </c>
      <c r="K62" s="577">
        <f t="shared" si="5"/>
        <v>-8.5866666666666661E-2</v>
      </c>
      <c r="L62" s="637">
        <f t="shared" si="1"/>
        <v>-0.26610688643044766</v>
      </c>
      <c r="M62" s="585">
        <f t="shared" si="2"/>
        <v>3.2399999999999998E-2</v>
      </c>
      <c r="N62" s="585">
        <f t="shared" si="6"/>
        <v>4.5450000000000004E-2</v>
      </c>
      <c r="O62" s="586">
        <f t="shared" si="3"/>
        <v>-0.29850688643044765</v>
      </c>
      <c r="P62" s="585">
        <f t="shared" si="7"/>
        <v>-0.31155688643044765</v>
      </c>
      <c r="Q62" s="585">
        <f t="shared" si="8"/>
        <v>-0.20187126760544427</v>
      </c>
      <c r="R62" s="585">
        <f t="shared" si="9"/>
        <v>4.8799999999999996E-2</v>
      </c>
      <c r="S62" s="586">
        <f t="shared" si="10"/>
        <v>-0.25067126760544428</v>
      </c>
      <c r="U62" s="436"/>
      <c r="V62" s="436"/>
      <c r="W62" s="436"/>
      <c r="X62" s="436"/>
      <c r="Y62" s="436"/>
      <c r="Z62" s="436"/>
      <c r="AA62" s="436"/>
      <c r="AB62" s="436"/>
      <c r="AC62" s="436"/>
      <c r="AE62" s="436"/>
      <c r="AF62" s="436"/>
      <c r="AG62" s="436"/>
      <c r="AH62" s="436"/>
      <c r="AI62" s="436"/>
      <c r="AJ62" s="436"/>
      <c r="AK62" s="436"/>
      <c r="AL62" s="436"/>
      <c r="AM62" s="436"/>
      <c r="AO62" s="587"/>
      <c r="AP62" s="587"/>
      <c r="AQ62" s="592"/>
      <c r="AR62" s="592"/>
      <c r="AS62" s="592"/>
      <c r="AT62" s="592"/>
      <c r="AU62" s="592"/>
      <c r="AV62" s="592"/>
      <c r="AW62" s="592"/>
      <c r="AX62" s="592"/>
      <c r="AY62" s="592"/>
    </row>
    <row r="63" spans="1:51">
      <c r="A63" s="581">
        <v>11263</v>
      </c>
      <c r="B63" s="582">
        <v>-8.8999999999999999E-3</v>
      </c>
      <c r="C63" s="577">
        <v>-7.3000000000000009E-2</v>
      </c>
      <c r="D63" s="577">
        <v>2.5999999999999999E-3</v>
      </c>
      <c r="E63" s="577">
        <v>3.725E-3</v>
      </c>
      <c r="F63" s="577">
        <v>3.9583333333333328E-3</v>
      </c>
      <c r="G63" s="577">
        <v>3.8416666666666664E-3</v>
      </c>
      <c r="H63" s="577">
        <v>4.1333333333333335E-3</v>
      </c>
      <c r="I63" s="577">
        <f t="shared" si="0"/>
        <v>-1.15E-2</v>
      </c>
      <c r="J63" s="577">
        <f t="shared" si="4"/>
        <v>-1.2741666666666667E-2</v>
      </c>
      <c r="K63" s="577">
        <f t="shared" si="5"/>
        <v>-7.7133333333333345E-2</v>
      </c>
      <c r="L63" s="637">
        <f t="shared" si="1"/>
        <v>-0.16910959006307591</v>
      </c>
      <c r="M63" s="585">
        <f t="shared" si="2"/>
        <v>3.1199999999999999E-2</v>
      </c>
      <c r="N63" s="585">
        <f t="shared" si="6"/>
        <v>4.6099999999999995E-2</v>
      </c>
      <c r="O63" s="586">
        <f t="shared" si="3"/>
        <v>-0.20030959006307592</v>
      </c>
      <c r="P63" s="585">
        <f t="shared" si="7"/>
        <v>-0.21520959006307591</v>
      </c>
      <c r="Q63" s="585">
        <f t="shared" si="8"/>
        <v>-0.13728389117332884</v>
      </c>
      <c r="R63" s="585">
        <f t="shared" si="9"/>
        <v>4.9600000000000005E-2</v>
      </c>
      <c r="S63" s="586">
        <f t="shared" si="10"/>
        <v>-0.18688389117332885</v>
      </c>
      <c r="U63" s="436"/>
      <c r="V63" s="436"/>
      <c r="W63" s="436"/>
      <c r="X63" s="436"/>
      <c r="Y63" s="436"/>
      <c r="Z63" s="436"/>
      <c r="AA63" s="436"/>
      <c r="AB63" s="436"/>
      <c r="AC63" s="436"/>
      <c r="AE63" s="436"/>
      <c r="AF63" s="436"/>
      <c r="AG63" s="436"/>
      <c r="AH63" s="436"/>
      <c r="AI63" s="436"/>
      <c r="AJ63" s="436"/>
      <c r="AK63" s="436"/>
      <c r="AL63" s="436"/>
      <c r="AM63" s="436"/>
      <c r="AO63" s="587"/>
      <c r="AP63" s="587"/>
      <c r="AQ63" s="436"/>
      <c r="AR63" s="436"/>
      <c r="AS63" s="436"/>
      <c r="AT63" s="436"/>
      <c r="AU63" s="436"/>
      <c r="AV63" s="436"/>
      <c r="AW63" s="436"/>
      <c r="AX63" s="436"/>
      <c r="AY63" s="436"/>
    </row>
    <row r="64" spans="1:51">
      <c r="A64" s="581">
        <v>11293</v>
      </c>
      <c r="B64" s="582">
        <v>-7.0599999999999996E-2</v>
      </c>
      <c r="C64" s="577">
        <v>-3.39E-2</v>
      </c>
      <c r="D64" s="577">
        <v>2.7999999999999995E-3</v>
      </c>
      <c r="E64" s="577">
        <v>3.7666666666666664E-3</v>
      </c>
      <c r="F64" s="577">
        <v>4.0416666666666665E-3</v>
      </c>
      <c r="G64" s="577">
        <v>3.9041666666666665E-3</v>
      </c>
      <c r="H64" s="577">
        <v>4.2583333333333336E-3</v>
      </c>
      <c r="I64" s="577">
        <f t="shared" si="0"/>
        <v>-7.3399999999999993E-2</v>
      </c>
      <c r="J64" s="577">
        <f t="shared" si="4"/>
        <v>-7.4504166666666663E-2</v>
      </c>
      <c r="K64" s="577">
        <f t="shared" si="5"/>
        <v>-3.8158333333333336E-2</v>
      </c>
      <c r="L64" s="637">
        <f t="shared" si="1"/>
        <v>-0.24895006127662178</v>
      </c>
      <c r="M64" s="585">
        <f t="shared" si="2"/>
        <v>3.3599999999999991E-2</v>
      </c>
      <c r="N64" s="585">
        <f t="shared" si="6"/>
        <v>4.6849999999999996E-2</v>
      </c>
      <c r="O64" s="586">
        <f t="shared" si="3"/>
        <v>-0.28255006127662174</v>
      </c>
      <c r="P64" s="585">
        <f t="shared" si="7"/>
        <v>-0.29580006127662178</v>
      </c>
      <c r="Q64" s="585">
        <f t="shared" si="8"/>
        <v>-0.2195973476241132</v>
      </c>
      <c r="R64" s="585">
        <f t="shared" si="9"/>
        <v>5.1100000000000007E-2</v>
      </c>
      <c r="S64" s="586">
        <f t="shared" si="10"/>
        <v>-0.27069734762411324</v>
      </c>
      <c r="U64" s="436"/>
      <c r="V64" s="436"/>
      <c r="W64" s="436"/>
      <c r="X64" s="436"/>
      <c r="Y64" s="436"/>
      <c r="Z64" s="436"/>
      <c r="AA64" s="436"/>
      <c r="AB64" s="436"/>
      <c r="AC64" s="436"/>
      <c r="AE64" s="436"/>
      <c r="AF64" s="436"/>
      <c r="AG64" s="436"/>
      <c r="AH64" s="436"/>
      <c r="AI64" s="436"/>
      <c r="AJ64" s="436"/>
      <c r="AK64" s="436"/>
      <c r="AL64" s="436"/>
      <c r="AM64" s="436"/>
      <c r="AO64" s="587"/>
      <c r="AP64" s="587"/>
      <c r="AQ64" s="436"/>
      <c r="AR64" s="436"/>
      <c r="AS64" s="436"/>
      <c r="AT64" s="436"/>
      <c r="AU64" s="436"/>
      <c r="AV64" s="436"/>
      <c r="AW64" s="436"/>
      <c r="AX64" s="436"/>
      <c r="AY64" s="436"/>
    </row>
    <row r="65" spans="1:51">
      <c r="A65" s="581">
        <v>11324</v>
      </c>
      <c r="B65" s="582">
        <v>5.0200000000000002E-2</v>
      </c>
      <c r="C65" s="577">
        <v>5.4000000000000006E-2</v>
      </c>
      <c r="D65" s="577">
        <v>2.7999999999999995E-3</v>
      </c>
      <c r="E65" s="577">
        <v>3.6833333333333336E-3</v>
      </c>
      <c r="F65" s="577">
        <v>3.9166666666666664E-3</v>
      </c>
      <c r="G65" s="577">
        <v>3.8E-3</v>
      </c>
      <c r="H65" s="577">
        <v>4.1749999999999999E-3</v>
      </c>
      <c r="I65" s="577">
        <f t="shared" si="0"/>
        <v>4.7400000000000005E-2</v>
      </c>
      <c r="J65" s="577">
        <f t="shared" si="4"/>
        <v>4.6400000000000004E-2</v>
      </c>
      <c r="K65" s="577">
        <f t="shared" si="5"/>
        <v>4.9825000000000008E-2</v>
      </c>
      <c r="L65" s="637">
        <f t="shared" si="1"/>
        <v>-0.25862144407623688</v>
      </c>
      <c r="M65" s="585">
        <f t="shared" si="2"/>
        <v>3.3599999999999991E-2</v>
      </c>
      <c r="N65" s="585">
        <f t="shared" si="6"/>
        <v>4.5600000000000002E-2</v>
      </c>
      <c r="O65" s="586">
        <f t="shared" si="3"/>
        <v>-0.29222144407623685</v>
      </c>
      <c r="P65" s="585">
        <f t="shared" si="7"/>
        <v>-0.30422144407623686</v>
      </c>
      <c r="Q65" s="585">
        <f t="shared" si="8"/>
        <v>-0.23412998547096386</v>
      </c>
      <c r="R65" s="585">
        <f t="shared" si="9"/>
        <v>5.0099999999999999E-2</v>
      </c>
      <c r="S65" s="586">
        <f t="shared" si="10"/>
        <v>-0.28422998547096384</v>
      </c>
      <c r="U65" s="436"/>
      <c r="V65" s="436"/>
      <c r="W65" s="436"/>
      <c r="X65" s="436"/>
      <c r="Y65" s="436"/>
      <c r="Z65" s="436"/>
      <c r="AA65" s="436"/>
      <c r="AB65" s="436"/>
      <c r="AC65" s="436"/>
      <c r="AE65" s="436"/>
      <c r="AF65" s="436"/>
      <c r="AG65" s="436"/>
      <c r="AH65" s="436"/>
      <c r="AI65" s="436"/>
      <c r="AJ65" s="436"/>
      <c r="AK65" s="436"/>
      <c r="AL65" s="436"/>
      <c r="AM65" s="436"/>
      <c r="AO65" s="587"/>
      <c r="AP65" s="587"/>
      <c r="AQ65" s="436"/>
      <c r="AR65" s="436"/>
      <c r="AS65" s="436"/>
      <c r="AT65" s="436"/>
      <c r="AU65" s="436"/>
      <c r="AV65" s="436"/>
      <c r="AW65" s="436"/>
      <c r="AX65" s="436"/>
      <c r="AY65" s="436"/>
    </row>
    <row r="66" spans="1:51">
      <c r="A66" s="581">
        <v>11355</v>
      </c>
      <c r="B66" s="582">
        <v>0.1193</v>
      </c>
      <c r="C66" s="577">
        <v>0.15240000000000001</v>
      </c>
      <c r="D66" s="577">
        <v>2.5999999999999999E-3</v>
      </c>
      <c r="E66" s="577">
        <v>3.6916666666666664E-3</v>
      </c>
      <c r="F66" s="577">
        <v>3.9166666666666664E-3</v>
      </c>
      <c r="G66" s="577">
        <v>3.8041666666666662E-3</v>
      </c>
      <c r="H66" s="577">
        <v>4.1749999999999999E-3</v>
      </c>
      <c r="I66" s="577">
        <f t="shared" si="0"/>
        <v>0.1167</v>
      </c>
      <c r="J66" s="577">
        <f t="shared" si="4"/>
        <v>0.11549583333333334</v>
      </c>
      <c r="K66" s="577">
        <f t="shared" si="5"/>
        <v>0.148225</v>
      </c>
      <c r="L66" s="637">
        <f t="shared" si="1"/>
        <v>-0.19112484877135394</v>
      </c>
      <c r="M66" s="585">
        <f t="shared" si="2"/>
        <v>3.1199999999999999E-2</v>
      </c>
      <c r="N66" s="585">
        <f t="shared" si="6"/>
        <v>4.5649999999999996E-2</v>
      </c>
      <c r="O66" s="586">
        <f t="shared" si="3"/>
        <v>-0.22232484877135394</v>
      </c>
      <c r="P66" s="585">
        <f t="shared" si="7"/>
        <v>-0.23677484877135394</v>
      </c>
      <c r="Q66" s="585">
        <f t="shared" si="8"/>
        <v>-0.18916986243154688</v>
      </c>
      <c r="R66" s="585">
        <f t="shared" si="9"/>
        <v>5.0099999999999999E-2</v>
      </c>
      <c r="S66" s="586">
        <f t="shared" si="10"/>
        <v>-0.23926986243154688</v>
      </c>
      <c r="U66" s="436"/>
      <c r="V66" s="436"/>
      <c r="W66" s="436"/>
      <c r="X66" s="436"/>
      <c r="Y66" s="436"/>
      <c r="Z66" s="436"/>
      <c r="AA66" s="436"/>
      <c r="AB66" s="436"/>
      <c r="AC66" s="436"/>
      <c r="AE66" s="436"/>
      <c r="AF66" s="436"/>
      <c r="AG66" s="436"/>
      <c r="AH66" s="436"/>
      <c r="AI66" s="436"/>
      <c r="AJ66" s="436"/>
      <c r="AK66" s="436"/>
      <c r="AL66" s="436"/>
      <c r="AM66" s="436"/>
      <c r="AO66" s="587"/>
      <c r="AP66" s="587"/>
      <c r="AQ66" s="436"/>
      <c r="AR66" s="436"/>
      <c r="AS66" s="436"/>
      <c r="AT66" s="436"/>
      <c r="AU66" s="436"/>
      <c r="AV66" s="436"/>
      <c r="AW66" s="436"/>
      <c r="AX66" s="436"/>
      <c r="AY66" s="436"/>
    </row>
    <row r="67" spans="1:51">
      <c r="A67" s="581">
        <v>11383</v>
      </c>
      <c r="B67" s="582">
        <v>-6.7500000000000004E-2</v>
      </c>
      <c r="C67" s="577">
        <v>-2.3900000000000001E-2</v>
      </c>
      <c r="D67" s="577">
        <v>2.8999999999999998E-3</v>
      </c>
      <c r="E67" s="577">
        <v>3.6583333333333329E-3</v>
      </c>
      <c r="F67" s="577">
        <v>3.8916666666666665E-3</v>
      </c>
      <c r="G67" s="577">
        <v>3.7749999999999993E-3</v>
      </c>
      <c r="H67" s="577">
        <v>4.15E-3</v>
      </c>
      <c r="I67" s="577">
        <f t="shared" si="0"/>
        <v>-7.0400000000000004E-2</v>
      </c>
      <c r="J67" s="577">
        <f t="shared" si="4"/>
        <v>-7.1275000000000005E-2</v>
      </c>
      <c r="K67" s="577">
        <f t="shared" si="5"/>
        <v>-2.8050000000000002E-2</v>
      </c>
      <c r="L67" s="637">
        <f t="shared" si="1"/>
        <v>-0.30237136651802388</v>
      </c>
      <c r="M67" s="585">
        <f t="shared" si="2"/>
        <v>3.4799999999999998E-2</v>
      </c>
      <c r="N67" s="585">
        <f t="shared" si="6"/>
        <v>4.5299999999999993E-2</v>
      </c>
      <c r="O67" s="586">
        <f t="shared" si="3"/>
        <v>-0.33717136651802387</v>
      </c>
      <c r="P67" s="585">
        <f t="shared" si="7"/>
        <v>-0.34767136651802388</v>
      </c>
      <c r="Q67" s="585">
        <f t="shared" si="8"/>
        <v>-0.27329786311581405</v>
      </c>
      <c r="R67" s="585">
        <f t="shared" si="9"/>
        <v>4.9799999999999997E-2</v>
      </c>
      <c r="S67" s="586">
        <f t="shared" si="10"/>
        <v>-0.32309786311581407</v>
      </c>
      <c r="U67" s="587"/>
      <c r="V67" s="587"/>
      <c r="W67" s="587"/>
      <c r="X67" s="587"/>
      <c r="Y67" s="587"/>
      <c r="Z67" s="587"/>
      <c r="AA67" s="587"/>
      <c r="AB67" s="587"/>
      <c r="AC67" s="587"/>
      <c r="AE67" s="587"/>
      <c r="AF67" s="587"/>
      <c r="AG67" s="587"/>
      <c r="AH67" s="587"/>
      <c r="AI67" s="587"/>
      <c r="AJ67" s="587"/>
      <c r="AK67" s="587"/>
      <c r="AL67" s="587"/>
      <c r="AM67" s="587"/>
      <c r="AO67" s="587"/>
      <c r="AP67" s="587"/>
      <c r="AQ67" s="436"/>
      <c r="AR67" s="436"/>
      <c r="AS67" s="436"/>
      <c r="AT67" s="436"/>
      <c r="AU67" s="436"/>
      <c r="AV67" s="436"/>
      <c r="AW67" s="436"/>
      <c r="AX67" s="436"/>
      <c r="AY67" s="436"/>
    </row>
    <row r="68" spans="1:51">
      <c r="A68" s="581">
        <v>11414</v>
      </c>
      <c r="B68" s="582">
        <v>-9.35E-2</v>
      </c>
      <c r="C68" s="577">
        <v>-0.10540000000000001</v>
      </c>
      <c r="D68" s="577">
        <v>2.7000000000000001E-3</v>
      </c>
      <c r="E68" s="577">
        <v>3.666666666666667E-3</v>
      </c>
      <c r="F68" s="577">
        <v>3.966666666666667E-3</v>
      </c>
      <c r="G68" s="577">
        <v>3.816666666666667E-3</v>
      </c>
      <c r="H68" s="577">
        <v>4.0500000000000006E-3</v>
      </c>
      <c r="I68" s="577">
        <f t="shared" si="0"/>
        <v>-9.6199999999999994E-2</v>
      </c>
      <c r="J68" s="577">
        <f t="shared" si="4"/>
        <v>-9.7316666666666662E-2</v>
      </c>
      <c r="K68" s="577">
        <f t="shared" si="5"/>
        <v>-0.10945000000000001</v>
      </c>
      <c r="L68" s="637">
        <f t="shared" si="1"/>
        <v>-0.36249964087559328</v>
      </c>
      <c r="M68" s="585">
        <f t="shared" si="2"/>
        <v>3.2399999999999998E-2</v>
      </c>
      <c r="N68" s="585">
        <f t="shared" si="6"/>
        <v>4.5800000000000007E-2</v>
      </c>
      <c r="O68" s="586">
        <f t="shared" si="3"/>
        <v>-0.39489964087559326</v>
      </c>
      <c r="P68" s="585">
        <f t="shared" si="7"/>
        <v>-0.40829964087559328</v>
      </c>
      <c r="Q68" s="585">
        <f t="shared" si="8"/>
        <v>-0.37132991813500349</v>
      </c>
      <c r="R68" s="585">
        <f t="shared" si="9"/>
        <v>4.8600000000000004E-2</v>
      </c>
      <c r="S68" s="586">
        <f t="shared" si="10"/>
        <v>-0.41992991813500347</v>
      </c>
      <c r="U68" s="587"/>
      <c r="V68" s="587"/>
      <c r="W68" s="587"/>
      <c r="X68" s="587"/>
      <c r="Y68" s="587"/>
      <c r="Z68" s="587"/>
      <c r="AA68" s="587"/>
      <c r="AB68" s="587"/>
      <c r="AC68" s="587"/>
      <c r="AE68" s="587"/>
      <c r="AF68" s="587"/>
      <c r="AG68" s="587"/>
      <c r="AH68" s="587"/>
      <c r="AI68" s="587"/>
      <c r="AJ68" s="587"/>
      <c r="AK68" s="587"/>
      <c r="AL68" s="587"/>
      <c r="AM68" s="587"/>
      <c r="AO68" s="587"/>
      <c r="AP68" s="587"/>
      <c r="AQ68" s="587"/>
      <c r="AR68" s="587"/>
      <c r="AS68" s="587"/>
      <c r="AT68" s="587"/>
      <c r="AU68" s="587"/>
      <c r="AV68" s="587"/>
      <c r="AW68" s="587"/>
    </row>
    <row r="69" spans="1:51">
      <c r="A69" s="581">
        <v>11444</v>
      </c>
      <c r="B69" s="582">
        <v>-0.12790000000000001</v>
      </c>
      <c r="C69" s="577">
        <v>-0.10289999999999999</v>
      </c>
      <c r="D69" s="577">
        <v>2.5999999999999999E-3</v>
      </c>
      <c r="E69" s="577">
        <v>3.6416666666666667E-3</v>
      </c>
      <c r="F69" s="577">
        <v>3.966666666666667E-3</v>
      </c>
      <c r="G69" s="577">
        <v>3.8041666666666666E-3</v>
      </c>
      <c r="H69" s="577">
        <v>4.0333333333333332E-3</v>
      </c>
      <c r="I69" s="577">
        <f t="shared" si="0"/>
        <v>-0.1305</v>
      </c>
      <c r="J69" s="577">
        <f t="shared" si="4"/>
        <v>-0.13170416666666668</v>
      </c>
      <c r="K69" s="577">
        <f t="shared" si="5"/>
        <v>-0.10693333333333332</v>
      </c>
      <c r="L69" s="637">
        <f t="shared" si="1"/>
        <v>-0.43864694750363986</v>
      </c>
      <c r="M69" s="585">
        <f t="shared" si="2"/>
        <v>3.1199999999999999E-2</v>
      </c>
      <c r="N69" s="585">
        <f t="shared" si="6"/>
        <v>4.5649999999999996E-2</v>
      </c>
      <c r="O69" s="586">
        <f t="shared" si="3"/>
        <v>-0.46984694750363987</v>
      </c>
      <c r="P69" s="585">
        <f t="shared" si="7"/>
        <v>-0.48429694750363983</v>
      </c>
      <c r="Q69" s="585">
        <f t="shared" si="8"/>
        <v>-0.42238843666418657</v>
      </c>
      <c r="R69" s="585">
        <f t="shared" si="9"/>
        <v>4.8399999999999999E-2</v>
      </c>
      <c r="S69" s="586">
        <f t="shared" si="10"/>
        <v>-0.47078843666418657</v>
      </c>
      <c r="U69" s="587"/>
      <c r="V69" s="587"/>
      <c r="W69" s="587"/>
      <c r="X69" s="587"/>
      <c r="Y69" s="587"/>
      <c r="Z69" s="587"/>
      <c r="AA69" s="587"/>
      <c r="AB69" s="587"/>
      <c r="AC69" s="587"/>
      <c r="AE69" s="587"/>
      <c r="AF69" s="587"/>
      <c r="AG69" s="587"/>
      <c r="AH69" s="587"/>
      <c r="AI69" s="587"/>
      <c r="AJ69" s="587"/>
      <c r="AK69" s="587"/>
      <c r="AL69" s="587"/>
      <c r="AM69" s="587"/>
      <c r="AO69" s="587"/>
      <c r="AP69" s="587"/>
      <c r="AQ69" s="587"/>
      <c r="AR69" s="587"/>
      <c r="AS69" s="587"/>
      <c r="AT69" s="587"/>
      <c r="AU69" s="587"/>
      <c r="AV69" s="587"/>
      <c r="AW69" s="587"/>
    </row>
    <row r="70" spans="1:51">
      <c r="A70" s="581">
        <v>11475</v>
      </c>
      <c r="B70" s="582">
        <v>0.1421</v>
      </c>
      <c r="C70" s="577">
        <v>0.13730000000000001</v>
      </c>
      <c r="D70" s="577">
        <v>2.7999999999999995E-3</v>
      </c>
      <c r="E70" s="577">
        <v>3.6333333333333335E-3</v>
      </c>
      <c r="F70" s="577">
        <v>4.0083333333333334E-3</v>
      </c>
      <c r="G70" s="577">
        <v>3.8208333333333332E-3</v>
      </c>
      <c r="H70" s="577">
        <v>4.0583333333333331E-3</v>
      </c>
      <c r="I70" s="577">
        <f t="shared" ref="I70:I133" si="12">B70-D70</f>
        <v>0.13930000000000001</v>
      </c>
      <c r="J70" s="577">
        <f t="shared" si="4"/>
        <v>0.13827916666666668</v>
      </c>
      <c r="K70" s="577">
        <f t="shared" si="5"/>
        <v>0.13324166666666667</v>
      </c>
      <c r="L70" s="637">
        <f t="shared" si="1"/>
        <v>-0.23448200447033651</v>
      </c>
      <c r="M70" s="585">
        <f t="shared" si="2"/>
        <v>3.3599999999999991E-2</v>
      </c>
      <c r="N70" s="585">
        <f t="shared" si="6"/>
        <v>4.5850000000000002E-2</v>
      </c>
      <c r="O70" s="586">
        <f t="shared" si="3"/>
        <v>-0.26808200447033648</v>
      </c>
      <c r="P70" s="585">
        <f t="shared" si="7"/>
        <v>-0.28033200447033652</v>
      </c>
      <c r="Q70" s="585">
        <f t="shared" si="8"/>
        <v>-0.18869009388437619</v>
      </c>
      <c r="R70" s="585">
        <f t="shared" si="9"/>
        <v>4.8699999999999993E-2</v>
      </c>
      <c r="S70" s="586">
        <f t="shared" si="10"/>
        <v>-0.23739009388437618</v>
      </c>
      <c r="U70" s="587"/>
      <c r="V70" s="587"/>
      <c r="W70" s="587"/>
      <c r="X70" s="587"/>
      <c r="Y70" s="587"/>
      <c r="Z70" s="587"/>
      <c r="AA70" s="587"/>
      <c r="AB70" s="587"/>
      <c r="AC70" s="587"/>
      <c r="AE70" s="587"/>
      <c r="AF70" s="587"/>
      <c r="AG70" s="587"/>
      <c r="AH70" s="587"/>
      <c r="AI70" s="587"/>
      <c r="AJ70" s="587"/>
      <c r="AK70" s="587"/>
      <c r="AL70" s="587"/>
      <c r="AM70" s="587"/>
      <c r="AO70" s="587"/>
      <c r="AP70" s="587"/>
      <c r="AQ70" s="587"/>
      <c r="AR70" s="587"/>
      <c r="AS70" s="587"/>
      <c r="AT70" s="587"/>
      <c r="AU70" s="587"/>
      <c r="AV70" s="587"/>
      <c r="AW70" s="587"/>
    </row>
    <row r="71" spans="1:51">
      <c r="A71" s="581">
        <v>11505</v>
      </c>
      <c r="B71" s="582">
        <v>-7.22E-2</v>
      </c>
      <c r="C71" s="577">
        <v>-6.2199999999999991E-2</v>
      </c>
      <c r="D71" s="577">
        <v>2.7000000000000001E-3</v>
      </c>
      <c r="E71" s="577">
        <v>3.6333333333333335E-3</v>
      </c>
      <c r="F71" s="577">
        <v>4.0083333333333334E-3</v>
      </c>
      <c r="G71" s="577">
        <v>3.8208333333333332E-3</v>
      </c>
      <c r="H71" s="577">
        <v>4.0249999999999999E-3</v>
      </c>
      <c r="I71" s="577">
        <f t="shared" si="12"/>
        <v>-7.4899999999999994E-2</v>
      </c>
      <c r="J71" s="577">
        <f t="shared" si="4"/>
        <v>-7.6020833333333329E-2</v>
      </c>
      <c r="K71" s="577">
        <f t="shared" si="5"/>
        <v>-6.6224999999999992E-2</v>
      </c>
      <c r="L71" s="637">
        <f t="shared" si="1"/>
        <v>-0.31614905040205898</v>
      </c>
      <c r="M71" s="585">
        <f t="shared" si="2"/>
        <v>3.2399999999999998E-2</v>
      </c>
      <c r="N71" s="585">
        <f t="shared" si="6"/>
        <v>4.5850000000000002E-2</v>
      </c>
      <c r="O71" s="586">
        <f t="shared" si="3"/>
        <v>-0.34854905040205897</v>
      </c>
      <c r="P71" s="585">
        <f t="shared" si="7"/>
        <v>-0.36199905040205899</v>
      </c>
      <c r="Q71" s="585">
        <f t="shared" si="8"/>
        <v>-0.25231286364462269</v>
      </c>
      <c r="R71" s="585">
        <f t="shared" si="9"/>
        <v>4.8299999999999996E-2</v>
      </c>
      <c r="S71" s="586">
        <f t="shared" si="10"/>
        <v>-0.3006128636446227</v>
      </c>
      <c r="U71" s="587"/>
      <c r="V71" s="587"/>
      <c r="W71" s="587"/>
      <c r="X71" s="587"/>
      <c r="Y71" s="587"/>
      <c r="Z71" s="587"/>
      <c r="AA71" s="587"/>
      <c r="AB71" s="587"/>
      <c r="AC71" s="587"/>
      <c r="AE71" s="587"/>
      <c r="AF71" s="587"/>
      <c r="AG71" s="587"/>
      <c r="AH71" s="587"/>
      <c r="AI71" s="587"/>
      <c r="AJ71" s="587"/>
      <c r="AK71" s="587"/>
      <c r="AL71" s="587"/>
      <c r="AM71" s="587"/>
      <c r="AO71" s="587"/>
      <c r="AP71" s="587"/>
      <c r="AQ71" s="587"/>
      <c r="AR71" s="587"/>
      <c r="AS71" s="587"/>
      <c r="AT71" s="587"/>
      <c r="AU71" s="587"/>
      <c r="AV71" s="587"/>
      <c r="AW71" s="587"/>
    </row>
    <row r="72" spans="1:51">
      <c r="A72" s="581">
        <v>11536</v>
      </c>
      <c r="B72" s="582">
        <v>1.8200000000000001E-2</v>
      </c>
      <c r="C72" s="577">
        <v>2.5599999999999998E-2</v>
      </c>
      <c r="D72" s="577">
        <v>2.7000000000000001E-3</v>
      </c>
      <c r="E72" s="577">
        <v>3.666666666666667E-3</v>
      </c>
      <c r="F72" s="577">
        <v>4.0416666666666665E-3</v>
      </c>
      <c r="G72" s="577">
        <v>3.8541666666666663E-3</v>
      </c>
      <c r="H72" s="577">
        <v>4.0083333333333334E-3</v>
      </c>
      <c r="I72" s="577">
        <f t="shared" si="12"/>
        <v>1.55E-2</v>
      </c>
      <c r="J72" s="577">
        <f t="shared" si="4"/>
        <v>1.4345833333333335E-2</v>
      </c>
      <c r="K72" s="577">
        <f t="shared" si="5"/>
        <v>2.1591666666666665E-2</v>
      </c>
      <c r="L72" s="637">
        <f t="shared" si="1"/>
        <v>-0.31338424526119368</v>
      </c>
      <c r="M72" s="585">
        <f t="shared" si="2"/>
        <v>3.2399999999999998E-2</v>
      </c>
      <c r="N72" s="585">
        <f t="shared" si="6"/>
        <v>4.6249999999999999E-2</v>
      </c>
      <c r="O72" s="586">
        <f t="shared" si="3"/>
        <v>-0.34578424526119367</v>
      </c>
      <c r="P72" s="585">
        <f t="shared" si="7"/>
        <v>-0.3596342452611937</v>
      </c>
      <c r="Q72" s="585">
        <f t="shared" si="8"/>
        <v>-0.23895600729845656</v>
      </c>
      <c r="R72" s="585">
        <f t="shared" si="9"/>
        <v>4.8100000000000004E-2</v>
      </c>
      <c r="S72" s="586">
        <f t="shared" si="10"/>
        <v>-0.28705600729845659</v>
      </c>
      <c r="U72" s="587"/>
      <c r="V72" s="587"/>
      <c r="W72" s="587"/>
      <c r="X72" s="587"/>
      <c r="Y72" s="587"/>
      <c r="Z72" s="587"/>
      <c r="AA72" s="587"/>
      <c r="AB72" s="587"/>
      <c r="AC72" s="587"/>
      <c r="AE72" s="587"/>
      <c r="AF72" s="587"/>
      <c r="AG72" s="587"/>
      <c r="AH72" s="587"/>
      <c r="AI72" s="587"/>
      <c r="AJ72" s="587"/>
      <c r="AK72" s="587"/>
      <c r="AL72" s="587"/>
      <c r="AM72" s="587"/>
      <c r="AO72" s="587"/>
      <c r="AP72" s="587"/>
      <c r="AQ72" s="587"/>
      <c r="AR72" s="587"/>
      <c r="AS72" s="587"/>
      <c r="AT72" s="587"/>
      <c r="AU72" s="587"/>
      <c r="AV72" s="587"/>
      <c r="AW72" s="587"/>
    </row>
    <row r="73" spans="1:51">
      <c r="A73" s="581">
        <v>11567</v>
      </c>
      <c r="B73" s="582">
        <v>-0.29730000000000001</v>
      </c>
      <c r="C73" s="577">
        <v>-0.31490000000000001</v>
      </c>
      <c r="D73" s="577">
        <v>2.7000000000000001E-3</v>
      </c>
      <c r="E73" s="577">
        <v>3.7916666666666667E-3</v>
      </c>
      <c r="F73" s="577">
        <v>4.2333333333333337E-3</v>
      </c>
      <c r="G73" s="577">
        <v>4.0124999999999996E-3</v>
      </c>
      <c r="H73" s="577">
        <v>4.208333333333333E-3</v>
      </c>
      <c r="I73" s="577">
        <f t="shared" si="12"/>
        <v>-0.3</v>
      </c>
      <c r="J73" s="577">
        <f t="shared" si="4"/>
        <v>-0.30131249999999998</v>
      </c>
      <c r="K73" s="577">
        <f t="shared" si="5"/>
        <v>-0.31910833333333333</v>
      </c>
      <c r="L73" s="637">
        <f t="shared" si="1"/>
        <v>-0.44656470422693362</v>
      </c>
      <c r="M73" s="585">
        <f t="shared" si="2"/>
        <v>3.2399999999999998E-2</v>
      </c>
      <c r="N73" s="585">
        <f t="shared" si="6"/>
        <v>4.8149999999999998E-2</v>
      </c>
      <c r="O73" s="586">
        <f t="shared" si="3"/>
        <v>-0.4789647042269336</v>
      </c>
      <c r="P73" s="585">
        <f t="shared" si="7"/>
        <v>-0.49471470422693364</v>
      </c>
      <c r="Q73" s="585">
        <f t="shared" si="8"/>
        <v>-0.41364008164661792</v>
      </c>
      <c r="R73" s="585">
        <f t="shared" si="9"/>
        <v>5.0499999999999996E-2</v>
      </c>
      <c r="S73" s="586">
        <f t="shared" si="10"/>
        <v>-0.46414008164661791</v>
      </c>
      <c r="U73" s="587"/>
      <c r="V73" s="587"/>
      <c r="W73" s="587"/>
      <c r="X73" s="587"/>
      <c r="Y73" s="587"/>
      <c r="Z73" s="587"/>
      <c r="AA73" s="587"/>
      <c r="AB73" s="587"/>
      <c r="AC73" s="587"/>
      <c r="AE73" s="587"/>
      <c r="AF73" s="587"/>
      <c r="AG73" s="587"/>
      <c r="AH73" s="587"/>
      <c r="AI73" s="587"/>
      <c r="AJ73" s="587"/>
      <c r="AK73" s="587"/>
      <c r="AL73" s="587"/>
      <c r="AM73" s="587"/>
      <c r="AO73" s="587"/>
      <c r="AP73" s="587"/>
      <c r="AQ73" s="587"/>
      <c r="AR73" s="587"/>
      <c r="AS73" s="587"/>
      <c r="AT73" s="587"/>
      <c r="AU73" s="587"/>
      <c r="AV73" s="587"/>
      <c r="AW73" s="587"/>
    </row>
    <row r="74" spans="1:51">
      <c r="A74" s="581">
        <v>11597</v>
      </c>
      <c r="B74" s="582">
        <v>8.9599999999999999E-2</v>
      </c>
      <c r="C74" s="577">
        <v>9.9000000000000005E-2</v>
      </c>
      <c r="D74" s="577">
        <v>2.8999999999999998E-3</v>
      </c>
      <c r="E74" s="577">
        <v>4.1583333333333333E-3</v>
      </c>
      <c r="F74" s="577">
        <v>4.6416666666666663E-3</v>
      </c>
      <c r="G74" s="577">
        <v>4.4000000000000003E-3</v>
      </c>
      <c r="H74" s="577">
        <v>4.6166666666666665E-3</v>
      </c>
      <c r="I74" s="577">
        <f t="shared" si="12"/>
        <v>8.6699999999999999E-2</v>
      </c>
      <c r="J74" s="577">
        <f t="shared" si="4"/>
        <v>8.5199999999999998E-2</v>
      </c>
      <c r="K74" s="577">
        <f t="shared" si="5"/>
        <v>9.4383333333333333E-2</v>
      </c>
      <c r="L74" s="637">
        <f t="shared" si="1"/>
        <v>-0.34059803359832364</v>
      </c>
      <c r="M74" s="585">
        <f t="shared" si="2"/>
        <v>3.4799999999999998E-2</v>
      </c>
      <c r="N74" s="585">
        <f t="shared" si="6"/>
        <v>5.28E-2</v>
      </c>
      <c r="O74" s="586">
        <f t="shared" si="3"/>
        <v>-0.37539803359832363</v>
      </c>
      <c r="P74" s="585">
        <f t="shared" si="7"/>
        <v>-0.39339803359832365</v>
      </c>
      <c r="Q74" s="585">
        <f t="shared" si="8"/>
        <v>-0.29818171392902748</v>
      </c>
      <c r="R74" s="585">
        <f t="shared" si="9"/>
        <v>5.5399999999999998E-2</v>
      </c>
      <c r="S74" s="586">
        <f t="shared" si="10"/>
        <v>-0.35358171392902749</v>
      </c>
      <c r="U74" s="587"/>
      <c r="V74" s="587"/>
      <c r="W74" s="587"/>
      <c r="X74" s="587"/>
      <c r="Y74" s="587"/>
      <c r="Z74" s="587"/>
      <c r="AA74" s="587"/>
      <c r="AB74" s="587"/>
      <c r="AC74" s="587"/>
      <c r="AE74" s="587"/>
      <c r="AF74" s="587"/>
      <c r="AG74" s="587"/>
      <c r="AH74" s="587"/>
      <c r="AI74" s="587"/>
      <c r="AJ74" s="587"/>
      <c r="AK74" s="587"/>
      <c r="AL74" s="587"/>
      <c r="AM74" s="587"/>
      <c r="AO74" s="587"/>
      <c r="AP74" s="587"/>
      <c r="AQ74" s="587"/>
      <c r="AR74" s="587"/>
      <c r="AS74" s="587"/>
      <c r="AT74" s="587"/>
      <c r="AU74" s="587"/>
      <c r="AV74" s="587"/>
      <c r="AW74" s="587"/>
    </row>
    <row r="75" spans="1:51">
      <c r="A75" s="581">
        <v>11628</v>
      </c>
      <c r="B75" s="582">
        <v>-7.9799999999999996E-2</v>
      </c>
      <c r="C75" s="577">
        <v>-6.1400000000000003E-2</v>
      </c>
      <c r="D75" s="577">
        <v>3.0999999999999999E-3</v>
      </c>
      <c r="E75" s="577">
        <v>4.1166666666666669E-3</v>
      </c>
      <c r="F75" s="577">
        <v>4.6750000000000003E-3</v>
      </c>
      <c r="G75" s="577">
        <v>4.3958333333333332E-3</v>
      </c>
      <c r="H75" s="577">
        <v>4.5916666666666666E-3</v>
      </c>
      <c r="I75" s="577">
        <f t="shared" si="12"/>
        <v>-8.2900000000000001E-2</v>
      </c>
      <c r="J75" s="577">
        <f t="shared" si="4"/>
        <v>-8.4195833333333331E-2</v>
      </c>
      <c r="K75" s="577">
        <f t="shared" si="5"/>
        <v>-6.5991666666666671E-2</v>
      </c>
      <c r="L75" s="637">
        <f t="shared" si="1"/>
        <v>-0.38776945869960389</v>
      </c>
      <c r="M75" s="585">
        <f t="shared" si="2"/>
        <v>3.7199999999999997E-2</v>
      </c>
      <c r="N75" s="585">
        <f t="shared" si="6"/>
        <v>5.2749999999999998E-2</v>
      </c>
      <c r="O75" s="586">
        <f t="shared" si="3"/>
        <v>-0.4249694586996039</v>
      </c>
      <c r="P75" s="585">
        <f t="shared" si="7"/>
        <v>-0.44051945869960391</v>
      </c>
      <c r="Q75" s="585">
        <f t="shared" si="8"/>
        <v>-0.28939952178401851</v>
      </c>
      <c r="R75" s="585">
        <f t="shared" si="9"/>
        <v>5.5099999999999996E-2</v>
      </c>
      <c r="S75" s="586">
        <f t="shared" si="10"/>
        <v>-0.34449952178401849</v>
      </c>
      <c r="U75" s="587"/>
      <c r="V75" s="587"/>
      <c r="W75" s="587"/>
      <c r="X75" s="587"/>
      <c r="Y75" s="587"/>
      <c r="Z75" s="587"/>
      <c r="AA75" s="587"/>
      <c r="AB75" s="587"/>
      <c r="AC75" s="587"/>
      <c r="AE75" s="587"/>
      <c r="AF75" s="587"/>
      <c r="AG75" s="587"/>
      <c r="AH75" s="587"/>
      <c r="AI75" s="587"/>
      <c r="AJ75" s="587"/>
      <c r="AK75" s="587"/>
      <c r="AL75" s="587"/>
      <c r="AM75" s="587"/>
      <c r="AO75" s="587"/>
      <c r="AP75" s="587"/>
      <c r="AQ75" s="587"/>
      <c r="AR75" s="587"/>
      <c r="AS75" s="587"/>
      <c r="AT75" s="587"/>
      <c r="AU75" s="587"/>
      <c r="AV75" s="587"/>
      <c r="AW75" s="587"/>
    </row>
    <row r="76" spans="1:51">
      <c r="A76" s="581">
        <v>11658</v>
      </c>
      <c r="B76" s="582">
        <v>-0.14000000000000001</v>
      </c>
      <c r="C76" s="577">
        <v>-0.1283</v>
      </c>
      <c r="D76" s="577">
        <v>3.2000000000000002E-3</v>
      </c>
      <c r="E76" s="577">
        <v>4.4333333333333334E-3</v>
      </c>
      <c r="F76" s="577">
        <v>5.2166666666666663E-3</v>
      </c>
      <c r="G76" s="577">
        <v>4.8249999999999994E-3</v>
      </c>
      <c r="H76" s="577">
        <v>5.1999999999999998E-3</v>
      </c>
      <c r="I76" s="577">
        <f t="shared" si="12"/>
        <v>-0.14320000000000002</v>
      </c>
      <c r="J76" s="577">
        <f t="shared" si="4"/>
        <v>-0.14482500000000001</v>
      </c>
      <c r="K76" s="577">
        <f t="shared" si="5"/>
        <v>-0.13350000000000001</v>
      </c>
      <c r="L76" s="637">
        <f t="shared" si="1"/>
        <v>-0.43348583438956245</v>
      </c>
      <c r="M76" s="585">
        <f t="shared" si="2"/>
        <v>3.8400000000000004E-2</v>
      </c>
      <c r="N76" s="585">
        <f t="shared" si="6"/>
        <v>5.7899999999999993E-2</v>
      </c>
      <c r="O76" s="586">
        <f t="shared" si="3"/>
        <v>-0.47188583438956244</v>
      </c>
      <c r="P76" s="585">
        <f t="shared" si="7"/>
        <v>-0.49138583438956246</v>
      </c>
      <c r="Q76" s="585">
        <f t="shared" si="8"/>
        <v>-0.35883403699319849</v>
      </c>
      <c r="R76" s="585">
        <f t="shared" si="9"/>
        <v>6.2399999999999997E-2</v>
      </c>
      <c r="S76" s="586">
        <f t="shared" si="10"/>
        <v>-0.4212340369931985</v>
      </c>
      <c r="U76" s="587"/>
      <c r="V76" s="587"/>
      <c r="W76" s="587"/>
      <c r="X76" s="587"/>
      <c r="Y76" s="587"/>
      <c r="Z76" s="587"/>
      <c r="AA76" s="587"/>
      <c r="AB76" s="587"/>
      <c r="AC76" s="587"/>
      <c r="AE76" s="587"/>
      <c r="AF76" s="587"/>
      <c r="AG76" s="587"/>
      <c r="AH76" s="587"/>
      <c r="AI76" s="587"/>
      <c r="AJ76" s="587"/>
      <c r="AK76" s="587"/>
      <c r="AL76" s="587"/>
      <c r="AM76" s="587"/>
      <c r="AO76" s="587"/>
      <c r="AP76" s="587"/>
      <c r="AQ76" s="587"/>
      <c r="AR76" s="587"/>
      <c r="AS76" s="587"/>
      <c r="AT76" s="587"/>
      <c r="AU76" s="587"/>
      <c r="AV76" s="587"/>
      <c r="AW76" s="587"/>
    </row>
    <row r="77" spans="1:51">
      <c r="A77" s="581">
        <v>11689</v>
      </c>
      <c r="B77" s="582">
        <v>-2.7099999999999999E-2</v>
      </c>
      <c r="C77" s="577">
        <v>-1.9999999999999997E-2</v>
      </c>
      <c r="D77" s="577">
        <v>3.2000000000000002E-3</v>
      </c>
      <c r="E77" s="577">
        <v>4.3333333333333331E-3</v>
      </c>
      <c r="F77" s="577">
        <v>5.0666666666666672E-3</v>
      </c>
      <c r="G77" s="577">
        <v>4.7000000000000002E-3</v>
      </c>
      <c r="H77" s="577">
        <v>5.1416666666666668E-3</v>
      </c>
      <c r="I77" s="577">
        <f t="shared" si="12"/>
        <v>-3.0300000000000001E-2</v>
      </c>
      <c r="J77" s="577">
        <f t="shared" si="4"/>
        <v>-3.1800000000000002E-2</v>
      </c>
      <c r="K77" s="577">
        <f t="shared" si="5"/>
        <v>-2.5141666666666663E-2</v>
      </c>
      <c r="L77" s="637">
        <f t="shared" si="1"/>
        <v>-0.47518412519292075</v>
      </c>
      <c r="M77" s="585">
        <f t="shared" si="2"/>
        <v>3.8400000000000004E-2</v>
      </c>
      <c r="N77" s="585">
        <f t="shared" si="6"/>
        <v>5.6400000000000006E-2</v>
      </c>
      <c r="O77" s="586">
        <f t="shared" si="3"/>
        <v>-0.51358412519292074</v>
      </c>
      <c r="P77" s="585">
        <f t="shared" si="7"/>
        <v>-0.53158412519292075</v>
      </c>
      <c r="Q77" s="585">
        <f t="shared" si="8"/>
        <v>-0.40384948411132304</v>
      </c>
      <c r="R77" s="585">
        <f t="shared" si="9"/>
        <v>6.1700000000000005E-2</v>
      </c>
      <c r="S77" s="586">
        <f t="shared" si="10"/>
        <v>-0.46554948411132302</v>
      </c>
      <c r="U77" s="587"/>
      <c r="V77" s="587"/>
      <c r="W77" s="587"/>
      <c r="X77" s="587"/>
      <c r="Y77" s="587"/>
      <c r="Z77" s="587"/>
      <c r="AA77" s="587"/>
      <c r="AB77" s="587"/>
      <c r="AC77" s="587"/>
      <c r="AE77" s="587"/>
      <c r="AF77" s="587"/>
      <c r="AG77" s="587"/>
      <c r="AH77" s="587"/>
      <c r="AI77" s="587"/>
      <c r="AJ77" s="587"/>
      <c r="AK77" s="587"/>
      <c r="AL77" s="587"/>
      <c r="AM77" s="587"/>
      <c r="AO77" s="587"/>
      <c r="AP77" s="587"/>
      <c r="AQ77" s="587"/>
      <c r="AR77" s="587"/>
      <c r="AS77" s="587"/>
      <c r="AT77" s="587"/>
      <c r="AU77" s="587"/>
      <c r="AV77" s="587"/>
      <c r="AW77" s="587"/>
    </row>
    <row r="78" spans="1:51">
      <c r="A78" s="581">
        <v>11720</v>
      </c>
      <c r="B78" s="582">
        <v>5.7000000000000002E-2</v>
      </c>
      <c r="C78" s="577">
        <v>7.9899999999999999E-2</v>
      </c>
      <c r="D78" s="577">
        <v>3.2000000000000002E-3</v>
      </c>
      <c r="E78" s="577">
        <v>4.3583333333333339E-3</v>
      </c>
      <c r="F78" s="577">
        <v>5.1083333333333336E-3</v>
      </c>
      <c r="G78" s="577">
        <v>4.7333333333333342E-3</v>
      </c>
      <c r="H78" s="577">
        <v>5.3416666666666664E-3</v>
      </c>
      <c r="I78" s="577">
        <f t="shared" si="12"/>
        <v>5.3800000000000001E-2</v>
      </c>
      <c r="J78" s="577">
        <f t="shared" si="4"/>
        <v>5.226666666666667E-2</v>
      </c>
      <c r="K78" s="577">
        <f t="shared" si="5"/>
        <v>7.4558333333333338E-2</v>
      </c>
      <c r="L78" s="637">
        <f t="shared" si="1"/>
        <v>-0.50439526519156352</v>
      </c>
      <c r="M78" s="585">
        <f t="shared" si="2"/>
        <v>3.8400000000000004E-2</v>
      </c>
      <c r="N78" s="585">
        <f t="shared" si="6"/>
        <v>5.680000000000001E-2</v>
      </c>
      <c r="O78" s="586">
        <f t="shared" si="3"/>
        <v>-0.54279526519156351</v>
      </c>
      <c r="P78" s="585">
        <f t="shared" si="7"/>
        <v>-0.56119526519156349</v>
      </c>
      <c r="Q78" s="585">
        <f t="shared" si="8"/>
        <v>-0.44135461462323655</v>
      </c>
      <c r="R78" s="585">
        <f t="shared" si="9"/>
        <v>6.409999999999999E-2</v>
      </c>
      <c r="S78" s="586">
        <f t="shared" si="10"/>
        <v>-0.5054546146232366</v>
      </c>
      <c r="U78" s="587"/>
      <c r="V78" s="587"/>
      <c r="W78" s="587"/>
      <c r="X78" s="587"/>
      <c r="Y78" s="587"/>
      <c r="Z78" s="587"/>
      <c r="AA78" s="587"/>
      <c r="AB78" s="587"/>
      <c r="AC78" s="587"/>
      <c r="AE78" s="587"/>
      <c r="AF78" s="587"/>
      <c r="AG78" s="587"/>
      <c r="AH78" s="587"/>
      <c r="AI78" s="587"/>
      <c r="AJ78" s="587"/>
      <c r="AK78" s="587"/>
      <c r="AL78" s="587"/>
      <c r="AM78" s="587"/>
      <c r="AO78" s="587"/>
      <c r="AP78" s="587"/>
      <c r="AQ78" s="587"/>
      <c r="AR78" s="587"/>
      <c r="AS78" s="587"/>
      <c r="AT78" s="587"/>
      <c r="AU78" s="587"/>
      <c r="AV78" s="587"/>
      <c r="AW78" s="587"/>
    </row>
    <row r="79" spans="1:51">
      <c r="A79" s="581">
        <v>11749</v>
      </c>
      <c r="B79" s="582">
        <v>-0.1158</v>
      </c>
      <c r="C79" s="577">
        <v>-0.10580000000000001</v>
      </c>
      <c r="D79" s="577">
        <v>3.0999999999999999E-3</v>
      </c>
      <c r="E79" s="577">
        <v>4.15E-3</v>
      </c>
      <c r="F79" s="577">
        <v>4.875E-3</v>
      </c>
      <c r="G79" s="577">
        <v>4.5125E-3</v>
      </c>
      <c r="H79" s="577">
        <v>5.0499999999999998E-3</v>
      </c>
      <c r="I79" s="577">
        <f t="shared" si="12"/>
        <v>-0.11890000000000001</v>
      </c>
      <c r="J79" s="577">
        <f t="shared" si="4"/>
        <v>-0.1203125</v>
      </c>
      <c r="K79" s="577">
        <f t="shared" si="5"/>
        <v>-0.11085</v>
      </c>
      <c r="L79" s="637">
        <f t="shared" si="1"/>
        <v>-0.53006573027601145</v>
      </c>
      <c r="M79" s="585">
        <f t="shared" si="2"/>
        <v>3.7199999999999997E-2</v>
      </c>
      <c r="N79" s="585">
        <f t="shared" si="6"/>
        <v>5.4150000000000004E-2</v>
      </c>
      <c r="O79" s="586">
        <f t="shared" si="3"/>
        <v>-0.56726573027601146</v>
      </c>
      <c r="P79" s="585">
        <f t="shared" si="7"/>
        <v>-0.58421573027601148</v>
      </c>
      <c r="Q79" s="585">
        <f t="shared" si="8"/>
        <v>-0.48822794426400784</v>
      </c>
      <c r="R79" s="585">
        <f t="shared" si="9"/>
        <v>6.0600000000000001E-2</v>
      </c>
      <c r="S79" s="586">
        <f t="shared" si="10"/>
        <v>-0.54882794426400783</v>
      </c>
      <c r="U79" s="587"/>
      <c r="V79" s="587"/>
      <c r="W79" s="587"/>
      <c r="X79" s="587"/>
      <c r="Y79" s="587"/>
      <c r="Z79" s="587"/>
      <c r="AA79" s="587"/>
      <c r="AB79" s="587"/>
      <c r="AC79" s="587"/>
      <c r="AE79" s="587"/>
      <c r="AF79" s="587"/>
      <c r="AG79" s="587"/>
      <c r="AH79" s="587"/>
      <c r="AI79" s="587"/>
      <c r="AJ79" s="587"/>
      <c r="AK79" s="587"/>
      <c r="AL79" s="587"/>
      <c r="AM79" s="587"/>
      <c r="AO79" s="587"/>
      <c r="AP79" s="587"/>
      <c r="AQ79" s="587"/>
      <c r="AR79" s="587"/>
      <c r="AS79" s="587"/>
      <c r="AT79" s="587"/>
      <c r="AU79" s="587"/>
      <c r="AV79" s="587"/>
      <c r="AW79" s="587"/>
    </row>
    <row r="80" spans="1:51">
      <c r="A80" s="581">
        <v>11780</v>
      </c>
      <c r="B80" s="582">
        <v>-0.19969999999999999</v>
      </c>
      <c r="C80" s="577">
        <v>-0.1535</v>
      </c>
      <c r="D80" s="577">
        <v>3.0000000000000001E-3</v>
      </c>
      <c r="E80" s="577">
        <v>4.3083333333333333E-3</v>
      </c>
      <c r="F80" s="577">
        <v>5.0916666666666662E-3</v>
      </c>
      <c r="G80" s="577">
        <v>4.6999999999999993E-3</v>
      </c>
      <c r="H80" s="577">
        <v>5.6916666666666669E-3</v>
      </c>
      <c r="I80" s="577">
        <f t="shared" si="12"/>
        <v>-0.20269999999999999</v>
      </c>
      <c r="J80" s="577">
        <f t="shared" si="4"/>
        <v>-0.2044</v>
      </c>
      <c r="K80" s="577">
        <f t="shared" si="5"/>
        <v>-0.15919166666666668</v>
      </c>
      <c r="L80" s="637">
        <f t="shared" ref="L80:L83" si="13">((1+B69)*(1+B70)*(1+B71)*(1+B72)*(1+B73)*(1+B74)*(1+B75)*(1+B76)*(1+B77)*(1+B78)*(1+B79)*(1+B80))-1</f>
        <v>-0.58512035735233514</v>
      </c>
      <c r="M80" s="585">
        <f t="shared" ref="M80:M143" si="14">D80*12</f>
        <v>3.6000000000000004E-2</v>
      </c>
      <c r="N80" s="585">
        <f t="shared" si="6"/>
        <v>5.6399999999999992E-2</v>
      </c>
      <c r="O80" s="586">
        <f t="shared" ref="O80:O143" si="15">L80-M80</f>
        <v>-0.62112035735233517</v>
      </c>
      <c r="P80" s="585">
        <f t="shared" si="7"/>
        <v>-0.64152035735233515</v>
      </c>
      <c r="Q80" s="585">
        <f t="shared" si="8"/>
        <v>-0.51574441629720846</v>
      </c>
      <c r="R80" s="585">
        <f t="shared" si="9"/>
        <v>6.83E-2</v>
      </c>
      <c r="S80" s="586">
        <f t="shared" si="10"/>
        <v>-0.58404441629720849</v>
      </c>
      <c r="U80" s="587"/>
      <c r="V80" s="587"/>
      <c r="W80" s="587"/>
      <c r="X80" s="587"/>
      <c r="Y80" s="587"/>
      <c r="Z80" s="587"/>
      <c r="AA80" s="587"/>
      <c r="AB80" s="587"/>
      <c r="AC80" s="587"/>
      <c r="AE80" s="587"/>
      <c r="AF80" s="587"/>
      <c r="AG80" s="587"/>
      <c r="AH80" s="587"/>
      <c r="AI80" s="587"/>
      <c r="AJ80" s="587"/>
      <c r="AK80" s="587"/>
      <c r="AL80" s="587"/>
      <c r="AM80" s="587"/>
      <c r="AO80" s="587"/>
      <c r="AP80" s="587"/>
      <c r="AQ80" s="587"/>
      <c r="AR80" s="587"/>
      <c r="AS80" s="587"/>
      <c r="AT80" s="587"/>
      <c r="AU80" s="587"/>
      <c r="AV80" s="587"/>
      <c r="AW80" s="587"/>
    </row>
    <row r="81" spans="1:49">
      <c r="A81" s="581">
        <v>11810</v>
      </c>
      <c r="B81" s="582">
        <v>-0.21959999999999999</v>
      </c>
      <c r="C81" s="577">
        <v>-0.28059999999999996</v>
      </c>
      <c r="D81" s="577">
        <v>2.7999999999999995E-3</v>
      </c>
      <c r="E81" s="577">
        <v>4.4666666666666674E-3</v>
      </c>
      <c r="F81" s="577">
        <v>5.3166666666666666E-3</v>
      </c>
      <c r="G81" s="577">
        <v>4.8916666666666666E-3</v>
      </c>
      <c r="H81" s="577">
        <v>6.1333333333333344E-3</v>
      </c>
      <c r="I81" s="577">
        <f t="shared" si="12"/>
        <v>-0.22239999999999999</v>
      </c>
      <c r="J81" s="577">
        <f t="shared" si="4"/>
        <v>-0.22449166666666664</v>
      </c>
      <c r="K81" s="577">
        <f t="shared" si="5"/>
        <v>-0.28673333333333328</v>
      </c>
      <c r="L81" s="637">
        <f t="shared" si="13"/>
        <v>-0.62874432619855791</v>
      </c>
      <c r="M81" s="585">
        <f t="shared" si="14"/>
        <v>3.3599999999999991E-2</v>
      </c>
      <c r="N81" s="585">
        <f t="shared" si="6"/>
        <v>5.8700000000000002E-2</v>
      </c>
      <c r="O81" s="586">
        <f t="shared" si="15"/>
        <v>-0.66234432619855788</v>
      </c>
      <c r="P81" s="585">
        <f t="shared" si="7"/>
        <v>-0.68744432619855789</v>
      </c>
      <c r="Q81" s="585">
        <f t="shared" si="8"/>
        <v>-0.61166707511337837</v>
      </c>
      <c r="R81" s="585">
        <f t="shared" si="9"/>
        <v>7.3600000000000013E-2</v>
      </c>
      <c r="S81" s="586">
        <f t="shared" si="10"/>
        <v>-0.68526707511337837</v>
      </c>
      <c r="U81" s="587"/>
      <c r="V81" s="587"/>
      <c r="W81" s="587"/>
      <c r="X81" s="587"/>
      <c r="Y81" s="587"/>
      <c r="Z81" s="587"/>
      <c r="AA81" s="587"/>
      <c r="AB81" s="587"/>
      <c r="AC81" s="587"/>
      <c r="AE81" s="587"/>
      <c r="AF81" s="587"/>
      <c r="AG81" s="587"/>
      <c r="AH81" s="587"/>
      <c r="AI81" s="587"/>
      <c r="AJ81" s="587"/>
      <c r="AK81" s="587"/>
      <c r="AL81" s="587"/>
      <c r="AM81" s="587"/>
      <c r="AO81" s="587"/>
      <c r="AP81" s="587"/>
      <c r="AQ81" s="587"/>
      <c r="AR81" s="587"/>
      <c r="AS81" s="587"/>
      <c r="AT81" s="587"/>
      <c r="AU81" s="587"/>
      <c r="AV81" s="587"/>
      <c r="AW81" s="587"/>
    </row>
    <row r="82" spans="1:49">
      <c r="A82" s="581">
        <v>11841</v>
      </c>
      <c r="B82" s="582">
        <v>-2.2000000000000001E-3</v>
      </c>
      <c r="C82" s="577">
        <v>8.9999999999999993E-3</v>
      </c>
      <c r="D82" s="577">
        <v>2.7999999999999995E-3</v>
      </c>
      <c r="E82" s="577">
        <v>4.5083333333333338E-3</v>
      </c>
      <c r="F82" s="577">
        <v>5.4999999999999997E-3</v>
      </c>
      <c r="G82" s="577">
        <v>5.0041666666666663E-3</v>
      </c>
      <c r="H82" s="577">
        <v>6.3083333333333333E-3</v>
      </c>
      <c r="I82" s="577">
        <f t="shared" si="12"/>
        <v>-4.9999999999999992E-3</v>
      </c>
      <c r="J82" s="577">
        <f t="shared" si="4"/>
        <v>-7.204166666666666E-3</v>
      </c>
      <c r="K82" s="577">
        <f t="shared" si="5"/>
        <v>2.691666666666666E-3</v>
      </c>
      <c r="L82" s="637">
        <f t="shared" si="13"/>
        <v>-0.67565107143062886</v>
      </c>
      <c r="M82" s="585">
        <f t="shared" si="14"/>
        <v>3.3599999999999991E-2</v>
      </c>
      <c r="N82" s="585">
        <f t="shared" si="6"/>
        <v>6.0049999999999992E-2</v>
      </c>
      <c r="O82" s="586">
        <f t="shared" si="15"/>
        <v>-0.70925107143062882</v>
      </c>
      <c r="P82" s="585">
        <f t="shared" si="7"/>
        <v>-0.73570107143062891</v>
      </c>
      <c r="Q82" s="585">
        <f t="shared" si="8"/>
        <v>-0.65547531767290845</v>
      </c>
      <c r="R82" s="585">
        <f t="shared" si="9"/>
        <v>7.5700000000000003E-2</v>
      </c>
      <c r="S82" s="586">
        <f t="shared" si="10"/>
        <v>-0.73117531767290844</v>
      </c>
      <c r="U82" s="587"/>
      <c r="V82" s="587"/>
      <c r="W82" s="587"/>
      <c r="X82" s="587"/>
      <c r="Y82" s="587"/>
      <c r="Z82" s="587"/>
      <c r="AA82" s="587"/>
      <c r="AB82" s="587"/>
      <c r="AC82" s="587"/>
      <c r="AE82" s="587"/>
      <c r="AF82" s="587"/>
      <c r="AG82" s="587"/>
      <c r="AH82" s="587"/>
      <c r="AI82" s="587"/>
      <c r="AJ82" s="587"/>
      <c r="AK82" s="587"/>
      <c r="AL82" s="587"/>
      <c r="AM82" s="587"/>
      <c r="AO82" s="587"/>
      <c r="AP82" s="587"/>
      <c r="AQ82" s="587"/>
      <c r="AR82" s="587"/>
      <c r="AS82" s="587"/>
      <c r="AT82" s="587"/>
      <c r="AU82" s="587"/>
      <c r="AV82" s="587"/>
      <c r="AW82" s="587"/>
    </row>
    <row r="83" spans="1:49">
      <c r="A83" s="581">
        <v>11871</v>
      </c>
      <c r="B83" s="582">
        <v>0.38150000000000001</v>
      </c>
      <c r="C83" s="577">
        <v>0.33179999999999998</v>
      </c>
      <c r="D83" s="577">
        <v>2.7999999999999995E-3</v>
      </c>
      <c r="E83" s="577">
        <v>4.3833333333333328E-3</v>
      </c>
      <c r="F83" s="577">
        <v>5.4250000000000001E-3</v>
      </c>
      <c r="G83" s="577">
        <v>4.904166666666666E-3</v>
      </c>
      <c r="H83" s="577">
        <v>6.0666666666666673E-3</v>
      </c>
      <c r="I83" s="577">
        <f t="shared" si="12"/>
        <v>0.37869999999999998</v>
      </c>
      <c r="J83" s="577">
        <f t="shared" si="4"/>
        <v>0.37659583333333335</v>
      </c>
      <c r="K83" s="577">
        <f t="shared" si="5"/>
        <v>0.32573333333333332</v>
      </c>
      <c r="L83" s="637">
        <f t="shared" si="13"/>
        <v>-0.5170424177424161</v>
      </c>
      <c r="M83" s="585">
        <f t="shared" si="14"/>
        <v>3.3599999999999991E-2</v>
      </c>
      <c r="N83" s="585">
        <f t="shared" si="6"/>
        <v>5.8849999999999993E-2</v>
      </c>
      <c r="O83" s="586">
        <f t="shared" si="15"/>
        <v>-0.55064241774241607</v>
      </c>
      <c r="P83" s="585">
        <f t="shared" si="7"/>
        <v>-0.57589241774241606</v>
      </c>
      <c r="Q83" s="585">
        <f t="shared" si="8"/>
        <v>-0.51072939654167149</v>
      </c>
      <c r="R83" s="585">
        <f t="shared" si="9"/>
        <v>7.2800000000000004E-2</v>
      </c>
      <c r="S83" s="586">
        <f t="shared" si="10"/>
        <v>-0.58352939654167146</v>
      </c>
      <c r="U83" s="587"/>
      <c r="V83" s="587"/>
      <c r="W83" s="587"/>
      <c r="X83" s="587"/>
      <c r="Y83" s="587"/>
      <c r="Z83" s="587"/>
      <c r="AA83" s="587"/>
      <c r="AB83" s="587"/>
      <c r="AC83" s="587"/>
      <c r="AE83" s="587"/>
      <c r="AF83" s="587"/>
      <c r="AG83" s="587"/>
      <c r="AH83" s="587"/>
      <c r="AI83" s="587"/>
      <c r="AJ83" s="587"/>
      <c r="AK83" s="587"/>
      <c r="AL83" s="587"/>
      <c r="AM83" s="587"/>
      <c r="AO83" s="587"/>
      <c r="AP83" s="587"/>
      <c r="AQ83" s="587"/>
      <c r="AR83" s="587"/>
      <c r="AS83" s="587"/>
      <c r="AT83" s="587"/>
      <c r="AU83" s="587"/>
      <c r="AV83" s="587"/>
      <c r="AW83" s="587"/>
    </row>
    <row r="84" spans="1:49">
      <c r="A84" s="581">
        <v>11902</v>
      </c>
      <c r="B84" s="582">
        <v>0.38690000000000002</v>
      </c>
      <c r="C84" s="577">
        <v>0.40300000000000002</v>
      </c>
      <c r="D84" s="577">
        <v>2.7999999999999995E-3</v>
      </c>
      <c r="E84" s="577">
        <v>4.0916666666666671E-3</v>
      </c>
      <c r="F84" s="577">
        <v>4.8583333333333334E-3</v>
      </c>
      <c r="G84" s="577">
        <v>4.4749999999999998E-3</v>
      </c>
      <c r="H84" s="577">
        <v>5.2916666666666667E-3</v>
      </c>
      <c r="I84" s="577">
        <f t="shared" si="12"/>
        <v>0.3841</v>
      </c>
      <c r="J84" s="577">
        <f t="shared" si="4"/>
        <v>0.38242500000000001</v>
      </c>
      <c r="K84" s="577">
        <f t="shared" si="5"/>
        <v>0.39770833333333333</v>
      </c>
      <c r="L84" s="585">
        <f t="shared" ref="L84:L143" si="16">((1+B73)*(1+B74)*(1+B75)*(1+B76)*(1+B77)*(1+B78)*(1+B79)*(1+B80)*(1+B81)*(1+B82)*(1+B83)*(1+B84))-1</f>
        <v>-0.34215883830972005</v>
      </c>
      <c r="M84" s="585">
        <f t="shared" si="14"/>
        <v>3.3599999999999991E-2</v>
      </c>
      <c r="N84" s="585">
        <f t="shared" si="6"/>
        <v>5.3699999999999998E-2</v>
      </c>
      <c r="O84" s="586">
        <f t="shared" si="15"/>
        <v>-0.37575883830972001</v>
      </c>
      <c r="P84" s="585">
        <f t="shared" si="7"/>
        <v>-0.39585883830972002</v>
      </c>
      <c r="Q84" s="585">
        <f t="shared" si="8"/>
        <v>-0.330687737273757</v>
      </c>
      <c r="R84" s="585">
        <f t="shared" si="9"/>
        <v>6.3500000000000001E-2</v>
      </c>
      <c r="S84" s="586">
        <f t="shared" si="10"/>
        <v>-0.394187737273757</v>
      </c>
      <c r="U84" s="587"/>
      <c r="V84" s="587"/>
      <c r="W84" s="587"/>
      <c r="X84" s="587"/>
      <c r="Y84" s="587"/>
      <c r="Z84" s="587"/>
      <c r="AA84" s="587"/>
      <c r="AB84" s="587"/>
      <c r="AC84" s="587"/>
      <c r="AE84" s="587"/>
      <c r="AF84" s="587"/>
      <c r="AG84" s="587"/>
      <c r="AH84" s="587"/>
      <c r="AI84" s="587"/>
      <c r="AJ84" s="587"/>
      <c r="AK84" s="587"/>
      <c r="AL84" s="587"/>
      <c r="AM84" s="587"/>
      <c r="AO84" s="587"/>
      <c r="AP84" s="587"/>
      <c r="AQ84" s="587"/>
      <c r="AR84" s="587"/>
      <c r="AS84" s="587"/>
      <c r="AT84" s="587"/>
      <c r="AU84" s="587"/>
      <c r="AV84" s="587"/>
      <c r="AW84" s="587"/>
    </row>
    <row r="85" spans="1:49">
      <c r="A85" s="581">
        <v>11933</v>
      </c>
      <c r="B85" s="582">
        <v>-3.4599999999999999E-2</v>
      </c>
      <c r="C85" s="577">
        <v>-2.7000000000000003E-2</v>
      </c>
      <c r="D85" s="577">
        <v>2.5999999999999999E-3</v>
      </c>
      <c r="E85" s="577">
        <v>3.9166666666666664E-3</v>
      </c>
      <c r="F85" s="577">
        <v>4.6166666666666665E-3</v>
      </c>
      <c r="G85" s="577">
        <v>4.266666666666666E-3</v>
      </c>
      <c r="H85" s="577">
        <v>4.9249999999999997E-3</v>
      </c>
      <c r="I85" s="577">
        <f t="shared" si="12"/>
        <v>-3.7199999999999997E-2</v>
      </c>
      <c r="J85" s="577">
        <f t="shared" si="4"/>
        <v>-3.8866666666666667E-2</v>
      </c>
      <c r="K85" s="577">
        <f t="shared" si="5"/>
        <v>-3.1925000000000002E-2</v>
      </c>
      <c r="L85" s="585">
        <f t="shared" si="16"/>
        <v>-9.6229034444576089E-2</v>
      </c>
      <c r="M85" s="585">
        <f t="shared" si="14"/>
        <v>3.1199999999999999E-2</v>
      </c>
      <c r="N85" s="585">
        <f t="shared" si="6"/>
        <v>5.1199999999999996E-2</v>
      </c>
      <c r="O85" s="586">
        <f t="shared" si="15"/>
        <v>-0.12742903444457609</v>
      </c>
      <c r="P85" s="585">
        <f t="shared" si="7"/>
        <v>-0.14742903444457608</v>
      </c>
      <c r="Q85" s="585">
        <f t="shared" si="8"/>
        <v>-4.9422227948278441E-2</v>
      </c>
      <c r="R85" s="585">
        <f t="shared" si="9"/>
        <v>5.91E-2</v>
      </c>
      <c r="S85" s="586">
        <f t="shared" si="10"/>
        <v>-0.10852222794827844</v>
      </c>
      <c r="U85" s="587"/>
      <c r="V85" s="587"/>
      <c r="W85" s="587"/>
      <c r="X85" s="587"/>
      <c r="Y85" s="587"/>
      <c r="Z85" s="587"/>
      <c r="AA85" s="587"/>
      <c r="AB85" s="587"/>
      <c r="AC85" s="587"/>
      <c r="AE85" s="587"/>
      <c r="AF85" s="587"/>
      <c r="AG85" s="587"/>
      <c r="AH85" s="587"/>
      <c r="AI85" s="587"/>
      <c r="AJ85" s="587"/>
      <c r="AK85" s="587"/>
      <c r="AL85" s="587"/>
      <c r="AM85" s="587"/>
      <c r="AO85" s="587"/>
      <c r="AP85" s="587"/>
      <c r="AQ85" s="587"/>
      <c r="AR85" s="587"/>
      <c r="AS85" s="587"/>
      <c r="AT85" s="587"/>
      <c r="AU85" s="587"/>
      <c r="AV85" s="587"/>
      <c r="AW85" s="587"/>
    </row>
    <row r="86" spans="1:49">
      <c r="A86" s="581">
        <v>11963</v>
      </c>
      <c r="B86" s="582">
        <v>-0.13489999999999999</v>
      </c>
      <c r="C86" s="577">
        <v>-0.1047</v>
      </c>
      <c r="D86" s="577">
        <v>2.7000000000000001E-3</v>
      </c>
      <c r="E86" s="577">
        <v>3.8666666666666667E-3</v>
      </c>
      <c r="F86" s="577">
        <v>4.5916666666666666E-3</v>
      </c>
      <c r="G86" s="577">
        <v>4.2291666666666667E-3</v>
      </c>
      <c r="H86" s="577">
        <v>4.8416666666666669E-3</v>
      </c>
      <c r="I86" s="577">
        <f t="shared" si="12"/>
        <v>-0.1376</v>
      </c>
      <c r="J86" s="577">
        <f t="shared" si="4"/>
        <v>-0.13912916666666666</v>
      </c>
      <c r="K86" s="577">
        <f t="shared" si="5"/>
        <v>-0.10954166666666666</v>
      </c>
      <c r="L86" s="585">
        <f t="shared" si="16"/>
        <v>-0.28244102211637556</v>
      </c>
      <c r="M86" s="585">
        <f t="shared" si="14"/>
        <v>3.2399999999999998E-2</v>
      </c>
      <c r="N86" s="585">
        <f t="shared" si="6"/>
        <v>5.0750000000000003E-2</v>
      </c>
      <c r="O86" s="586">
        <f t="shared" si="15"/>
        <v>-0.31484102211637555</v>
      </c>
      <c r="P86" s="585">
        <f t="shared" si="7"/>
        <v>-0.33319102211637558</v>
      </c>
      <c r="Q86" s="585">
        <f t="shared" si="8"/>
        <v>-0.22561212072983938</v>
      </c>
      <c r="R86" s="585">
        <f t="shared" si="9"/>
        <v>5.8099999999999999E-2</v>
      </c>
      <c r="S86" s="586">
        <f t="shared" si="10"/>
        <v>-0.28371212072983937</v>
      </c>
      <c r="U86" s="587"/>
      <c r="V86" s="587"/>
      <c r="W86" s="587"/>
      <c r="X86" s="587"/>
      <c r="Y86" s="587"/>
      <c r="Z86" s="587"/>
      <c r="AA86" s="587"/>
      <c r="AB86" s="587"/>
      <c r="AC86" s="587"/>
      <c r="AE86" s="587"/>
      <c r="AF86" s="587"/>
      <c r="AG86" s="587"/>
      <c r="AH86" s="587"/>
      <c r="AI86" s="587"/>
      <c r="AJ86" s="587"/>
      <c r="AK86" s="587"/>
      <c r="AL86" s="587"/>
      <c r="AM86" s="587"/>
      <c r="AO86" s="587"/>
      <c r="AP86" s="587"/>
      <c r="AQ86" s="587"/>
      <c r="AR86" s="587"/>
      <c r="AS86" s="587"/>
      <c r="AT86" s="587"/>
      <c r="AU86" s="587"/>
      <c r="AV86" s="587"/>
      <c r="AW86" s="587"/>
    </row>
    <row r="87" spans="1:49">
      <c r="A87" s="581">
        <v>11994</v>
      </c>
      <c r="B87" s="582">
        <v>-4.1700000000000001E-2</v>
      </c>
      <c r="C87" s="577">
        <v>-3.5400000000000001E-2</v>
      </c>
      <c r="D87" s="577">
        <v>2.5999999999999999E-3</v>
      </c>
      <c r="E87" s="577">
        <v>3.858333333333333E-3</v>
      </c>
      <c r="F87" s="577">
        <v>4.6416666666666663E-3</v>
      </c>
      <c r="G87" s="577">
        <v>4.2500000000000003E-3</v>
      </c>
      <c r="H87" s="577">
        <v>4.8999999999999998E-3</v>
      </c>
      <c r="I87" s="577">
        <f t="shared" si="12"/>
        <v>-4.4299999999999999E-2</v>
      </c>
      <c r="J87" s="577">
        <f t="shared" si="4"/>
        <v>-4.5950000000000005E-2</v>
      </c>
      <c r="K87" s="577">
        <f t="shared" si="5"/>
        <v>-4.0300000000000002E-2</v>
      </c>
      <c r="L87" s="585">
        <f t="shared" si="16"/>
        <v>-0.25273117962847502</v>
      </c>
      <c r="M87" s="585">
        <f t="shared" si="14"/>
        <v>3.1199999999999999E-2</v>
      </c>
      <c r="N87" s="585">
        <f t="shared" si="6"/>
        <v>5.1000000000000004E-2</v>
      </c>
      <c r="O87" s="586">
        <f t="shared" si="15"/>
        <v>-0.28393117962847503</v>
      </c>
      <c r="P87" s="585">
        <f t="shared" si="7"/>
        <v>-0.30373117962847501</v>
      </c>
      <c r="Q87" s="585">
        <f t="shared" si="8"/>
        <v>-0.20416093293842219</v>
      </c>
      <c r="R87" s="585">
        <f t="shared" si="9"/>
        <v>5.8799999999999998E-2</v>
      </c>
      <c r="S87" s="586">
        <f t="shared" si="10"/>
        <v>-0.26296093293842221</v>
      </c>
      <c r="U87" s="587"/>
      <c r="V87" s="587"/>
      <c r="W87" s="587"/>
      <c r="X87" s="587"/>
      <c r="Y87" s="587"/>
      <c r="Z87" s="587"/>
      <c r="AA87" s="587"/>
      <c r="AB87" s="587"/>
      <c r="AC87" s="587"/>
      <c r="AE87" s="587"/>
      <c r="AF87" s="587"/>
      <c r="AG87" s="587"/>
      <c r="AH87" s="587"/>
      <c r="AI87" s="587"/>
      <c r="AJ87" s="587"/>
      <c r="AK87" s="587"/>
      <c r="AL87" s="587"/>
      <c r="AM87" s="587"/>
      <c r="AO87" s="587"/>
      <c r="AP87" s="587"/>
      <c r="AQ87" s="587"/>
      <c r="AR87" s="587"/>
      <c r="AS87" s="587"/>
      <c r="AT87" s="587"/>
      <c r="AU87" s="587"/>
      <c r="AV87" s="587"/>
      <c r="AW87" s="587"/>
    </row>
    <row r="88" spans="1:49">
      <c r="A88" s="581">
        <v>12024</v>
      </c>
      <c r="B88" s="593">
        <v>5.6500000000000002E-2</v>
      </c>
      <c r="C88" s="577">
        <v>8.929999999999999E-2</v>
      </c>
      <c r="D88" s="577">
        <v>2.7000000000000001E-3</v>
      </c>
      <c r="E88" s="577">
        <v>3.8250000000000003E-3</v>
      </c>
      <c r="F88" s="577">
        <v>4.6666666666666662E-3</v>
      </c>
      <c r="G88" s="577">
        <v>4.2458333333333332E-3</v>
      </c>
      <c r="H88" s="577">
        <v>4.8750000000000009E-3</v>
      </c>
      <c r="I88" s="577">
        <f t="shared" si="12"/>
        <v>5.3800000000000001E-2</v>
      </c>
      <c r="J88" s="577">
        <f t="shared" si="4"/>
        <v>5.2254166666666671E-2</v>
      </c>
      <c r="K88" s="577">
        <f t="shared" si="5"/>
        <v>8.4424999999999986E-2</v>
      </c>
      <c r="L88" s="585">
        <f t="shared" si="16"/>
        <v>-8.1988943345911225E-2</v>
      </c>
      <c r="M88" s="585">
        <f t="shared" si="14"/>
        <v>3.2399999999999998E-2</v>
      </c>
      <c r="N88" s="585">
        <f t="shared" si="6"/>
        <v>5.0949999999999995E-2</v>
      </c>
      <c r="O88" s="586">
        <f t="shared" si="15"/>
        <v>-0.11438894334591122</v>
      </c>
      <c r="P88" s="585">
        <f t="shared" si="7"/>
        <v>-0.13293894334591122</v>
      </c>
      <c r="Q88" s="585">
        <f t="shared" si="8"/>
        <v>-5.4978825855496183E-3</v>
      </c>
      <c r="R88" s="585">
        <f t="shared" si="9"/>
        <v>5.850000000000001E-2</v>
      </c>
      <c r="S88" s="586">
        <f t="shared" si="10"/>
        <v>-6.3997882585549629E-2</v>
      </c>
      <c r="U88" s="587"/>
      <c r="V88" s="587"/>
      <c r="W88" s="587"/>
      <c r="X88" s="587"/>
      <c r="Y88" s="587"/>
      <c r="Z88" s="587"/>
      <c r="AA88" s="587"/>
      <c r="AB88" s="587"/>
      <c r="AC88" s="587"/>
      <c r="AE88" s="587"/>
      <c r="AF88" s="587"/>
      <c r="AG88" s="587"/>
      <c r="AH88" s="587"/>
      <c r="AI88" s="587"/>
      <c r="AJ88" s="587"/>
      <c r="AK88" s="587"/>
      <c r="AL88" s="587"/>
      <c r="AM88" s="587"/>
      <c r="AO88" s="587"/>
      <c r="AP88" s="587"/>
      <c r="AQ88" s="587"/>
      <c r="AR88" s="587"/>
      <c r="AS88" s="587"/>
      <c r="AT88" s="587"/>
      <c r="AU88" s="587"/>
      <c r="AV88" s="587"/>
      <c r="AW88" s="587"/>
    </row>
    <row r="89" spans="1:49">
      <c r="A89" s="581">
        <v>12055</v>
      </c>
      <c r="B89" s="594">
        <v>8.6999999999999994E-3</v>
      </c>
      <c r="C89" s="577">
        <v>-3.1099999999999996E-2</v>
      </c>
      <c r="D89" s="595">
        <v>2.7000000000000001E-3</v>
      </c>
      <c r="E89" s="595">
        <v>3.7000000000000006E-3</v>
      </c>
      <c r="F89" s="577">
        <v>4.4166666666666668E-3</v>
      </c>
      <c r="G89" s="577">
        <v>4.0583333333333339E-3</v>
      </c>
      <c r="H89" s="595">
        <v>4.4916666666666664E-3</v>
      </c>
      <c r="I89" s="577">
        <f t="shared" si="12"/>
        <v>5.9999999999999993E-3</v>
      </c>
      <c r="J89" s="577">
        <f t="shared" si="4"/>
        <v>4.6416666666666655E-3</v>
      </c>
      <c r="K89" s="577">
        <f t="shared" si="5"/>
        <v>-3.559166666666666E-2</v>
      </c>
      <c r="L89" s="585">
        <f t="shared" si="16"/>
        <v>-4.8208703004441134E-2</v>
      </c>
      <c r="M89" s="585">
        <f t="shared" si="14"/>
        <v>3.2399999999999998E-2</v>
      </c>
      <c r="N89" s="585">
        <f t="shared" si="6"/>
        <v>4.8700000000000007E-2</v>
      </c>
      <c r="O89" s="586">
        <f t="shared" si="15"/>
        <v>-8.0608703004441132E-2</v>
      </c>
      <c r="P89" s="585">
        <f t="shared" si="7"/>
        <v>-9.6908703004441141E-2</v>
      </c>
      <c r="Q89" s="585">
        <f t="shared" si="8"/>
        <v>-1.6762141262386954E-2</v>
      </c>
      <c r="R89" s="585">
        <f t="shared" si="9"/>
        <v>5.3899999999999997E-2</v>
      </c>
      <c r="S89" s="586">
        <f t="shared" si="10"/>
        <v>-7.0662141262386957E-2</v>
      </c>
      <c r="U89" s="587"/>
      <c r="V89" s="587"/>
      <c r="W89" s="587"/>
      <c r="X89" s="587"/>
      <c r="Y89" s="587"/>
      <c r="Z89" s="587"/>
      <c r="AA89" s="587"/>
      <c r="AB89" s="587"/>
      <c r="AC89" s="587"/>
      <c r="AE89" s="587"/>
      <c r="AF89" s="587"/>
      <c r="AG89" s="587"/>
      <c r="AH89" s="587"/>
      <c r="AI89" s="587"/>
      <c r="AJ89" s="587"/>
      <c r="AK89" s="587"/>
      <c r="AL89" s="587"/>
      <c r="AM89" s="587"/>
      <c r="AO89" s="587"/>
      <c r="AP89" s="587"/>
      <c r="AQ89" s="587"/>
      <c r="AR89" s="587"/>
      <c r="AS89" s="587"/>
      <c r="AT89" s="587"/>
      <c r="AU89" s="587"/>
      <c r="AV89" s="587"/>
      <c r="AW89" s="587"/>
    </row>
    <row r="90" spans="1:49">
      <c r="A90" s="581">
        <v>12086</v>
      </c>
      <c r="B90" s="594">
        <v>-0.1772</v>
      </c>
      <c r="C90" s="577">
        <v>-0.19839999999999999</v>
      </c>
      <c r="D90" s="596">
        <v>2.3E-3</v>
      </c>
      <c r="E90" s="596">
        <v>3.7333333333333333E-3</v>
      </c>
      <c r="F90" s="577">
        <v>4.4583333333333332E-3</v>
      </c>
      <c r="G90" s="577">
        <v>4.0958333333333333E-3</v>
      </c>
      <c r="H90" s="596">
        <v>4.8083333333333337E-3</v>
      </c>
      <c r="I90" s="577">
        <f t="shared" si="12"/>
        <v>-0.17949999999999999</v>
      </c>
      <c r="J90" s="577">
        <f t="shared" si="4"/>
        <v>-0.18129583333333332</v>
      </c>
      <c r="K90" s="577">
        <f t="shared" si="5"/>
        <v>-0.20320833333333332</v>
      </c>
      <c r="L90" s="585">
        <f t="shared" si="16"/>
        <v>-0.25909755991679684</v>
      </c>
      <c r="M90" s="585">
        <f t="shared" si="14"/>
        <v>2.76E-2</v>
      </c>
      <c r="N90" s="585">
        <f t="shared" si="6"/>
        <v>4.9149999999999999E-2</v>
      </c>
      <c r="O90" s="586">
        <f t="shared" si="15"/>
        <v>-0.28669755991679685</v>
      </c>
      <c r="P90" s="585">
        <f t="shared" si="7"/>
        <v>-0.30824755991679686</v>
      </c>
      <c r="Q90" s="585">
        <f t="shared" si="8"/>
        <v>-0.27015143294372557</v>
      </c>
      <c r="R90" s="585">
        <f t="shared" si="9"/>
        <v>5.7700000000000001E-2</v>
      </c>
      <c r="S90" s="586">
        <f t="shared" si="10"/>
        <v>-0.32785143294372554</v>
      </c>
      <c r="U90" s="587"/>
      <c r="V90" s="587"/>
      <c r="W90" s="587"/>
      <c r="X90" s="587"/>
      <c r="Y90" s="587"/>
      <c r="Z90" s="587"/>
      <c r="AA90" s="587"/>
      <c r="AB90" s="587"/>
      <c r="AC90" s="587"/>
      <c r="AE90" s="587"/>
      <c r="AF90" s="587"/>
      <c r="AG90" s="587"/>
      <c r="AH90" s="587"/>
      <c r="AI90" s="587"/>
      <c r="AJ90" s="587"/>
      <c r="AK90" s="587"/>
      <c r="AL90" s="587"/>
      <c r="AM90" s="587"/>
      <c r="AO90" s="587"/>
      <c r="AP90" s="587"/>
      <c r="AQ90" s="587"/>
      <c r="AR90" s="587"/>
      <c r="AS90" s="587"/>
      <c r="AT90" s="587"/>
      <c r="AU90" s="587"/>
      <c r="AV90" s="587"/>
      <c r="AW90" s="587"/>
    </row>
    <row r="91" spans="1:49">
      <c r="A91" s="581">
        <v>12114</v>
      </c>
      <c r="B91" s="594">
        <v>3.5299999999999998E-2</v>
      </c>
      <c r="C91" s="577">
        <v>-0.10800000000000001</v>
      </c>
      <c r="D91" s="596">
        <v>2.7000000000000001E-3</v>
      </c>
      <c r="E91" s="596">
        <v>3.8999999999999994E-3</v>
      </c>
      <c r="F91" s="577">
        <v>4.6750000000000003E-3</v>
      </c>
      <c r="G91" s="577">
        <v>4.2874999999999996E-3</v>
      </c>
      <c r="H91" s="596">
        <v>5.2833333333333335E-3</v>
      </c>
      <c r="I91" s="577">
        <f t="shared" si="12"/>
        <v>3.2599999999999997E-2</v>
      </c>
      <c r="J91" s="577">
        <f t="shared" si="4"/>
        <v>3.1012499999999998E-2</v>
      </c>
      <c r="K91" s="577">
        <f t="shared" si="5"/>
        <v>-0.11328333333333335</v>
      </c>
      <c r="L91" s="585">
        <f t="shared" si="16"/>
        <v>-0.13248552791434054</v>
      </c>
      <c r="M91" s="585">
        <f t="shared" si="14"/>
        <v>3.2399999999999998E-2</v>
      </c>
      <c r="N91" s="585">
        <f t="shared" si="6"/>
        <v>5.1449999999999996E-2</v>
      </c>
      <c r="O91" s="586">
        <f t="shared" si="15"/>
        <v>-0.16488552791434052</v>
      </c>
      <c r="P91" s="585">
        <f t="shared" si="7"/>
        <v>-0.18393552791434054</v>
      </c>
      <c r="Q91" s="585">
        <f t="shared" si="8"/>
        <v>-0.27194707916104133</v>
      </c>
      <c r="R91" s="585">
        <f t="shared" si="9"/>
        <v>6.3399999999999998E-2</v>
      </c>
      <c r="S91" s="586">
        <f t="shared" si="10"/>
        <v>-0.33534707916104134</v>
      </c>
      <c r="U91" s="587"/>
      <c r="V91" s="587"/>
      <c r="W91" s="587"/>
      <c r="X91" s="587"/>
      <c r="Y91" s="587"/>
      <c r="Z91" s="587"/>
      <c r="AA91" s="587"/>
      <c r="AB91" s="587"/>
      <c r="AC91" s="587"/>
      <c r="AE91" s="587"/>
      <c r="AF91" s="587"/>
      <c r="AG91" s="587"/>
      <c r="AH91" s="587"/>
      <c r="AI91" s="587"/>
      <c r="AJ91" s="587"/>
      <c r="AK91" s="587"/>
      <c r="AL91" s="587"/>
      <c r="AM91" s="587"/>
      <c r="AO91" s="587"/>
      <c r="AP91" s="587"/>
      <c r="AQ91" s="587"/>
      <c r="AR91" s="587"/>
      <c r="AS91" s="587"/>
      <c r="AT91" s="587"/>
      <c r="AU91" s="587"/>
      <c r="AV91" s="587"/>
      <c r="AW91" s="587"/>
    </row>
    <row r="92" spans="1:49">
      <c r="A92" s="581">
        <v>12145</v>
      </c>
      <c r="B92" s="594">
        <v>0.42559999999999998</v>
      </c>
      <c r="C92" s="577">
        <v>0.26349999999999996</v>
      </c>
      <c r="D92" s="596">
        <v>2.5000000000000001E-3</v>
      </c>
      <c r="E92" s="596">
        <v>3.9833333333333335E-3</v>
      </c>
      <c r="F92" s="577">
        <v>4.841666666666666E-3</v>
      </c>
      <c r="G92" s="577">
        <v>4.4125000000000006E-3</v>
      </c>
      <c r="H92" s="596">
        <v>5.7416666666666675E-3</v>
      </c>
      <c r="I92" s="577">
        <f t="shared" si="12"/>
        <v>0.42309999999999998</v>
      </c>
      <c r="J92" s="577">
        <f t="shared" si="4"/>
        <v>0.42118749999999999</v>
      </c>
      <c r="K92" s="577">
        <f t="shared" si="5"/>
        <v>0.25775833333333331</v>
      </c>
      <c r="L92" s="585">
        <f t="shared" si="16"/>
        <v>0.54533129002288661</v>
      </c>
      <c r="M92" s="585">
        <f t="shared" si="14"/>
        <v>0.03</v>
      </c>
      <c r="N92" s="585">
        <f t="shared" si="6"/>
        <v>5.2950000000000011E-2</v>
      </c>
      <c r="O92" s="586">
        <f t="shared" si="15"/>
        <v>0.51533129002288658</v>
      </c>
      <c r="P92" s="585">
        <f t="shared" si="7"/>
        <v>0.49238129002288661</v>
      </c>
      <c r="Q92" s="585">
        <f t="shared" si="8"/>
        <v>8.6703916692290717E-2</v>
      </c>
      <c r="R92" s="585">
        <f t="shared" si="9"/>
        <v>6.8900000000000017E-2</v>
      </c>
      <c r="S92" s="586">
        <f t="shared" si="10"/>
        <v>1.78039166922907E-2</v>
      </c>
      <c r="U92" s="587"/>
      <c r="V92" s="587"/>
      <c r="W92" s="587"/>
      <c r="X92" s="587"/>
      <c r="Y92" s="587"/>
      <c r="Z92" s="587"/>
      <c r="AA92" s="587"/>
      <c r="AB92" s="587"/>
      <c r="AC92" s="587"/>
      <c r="AE92" s="587"/>
      <c r="AF92" s="587"/>
      <c r="AG92" s="587"/>
      <c r="AH92" s="587"/>
      <c r="AI92" s="587"/>
      <c r="AJ92" s="587"/>
      <c r="AK92" s="587"/>
      <c r="AL92" s="587"/>
      <c r="AM92" s="587"/>
      <c r="AO92" s="587"/>
      <c r="AP92" s="587"/>
      <c r="AQ92" s="587"/>
      <c r="AR92" s="587"/>
      <c r="AS92" s="587"/>
      <c r="AT92" s="587"/>
      <c r="AU92" s="587"/>
      <c r="AV92" s="587"/>
      <c r="AW92" s="587"/>
    </row>
    <row r="93" spans="1:49">
      <c r="A93" s="581">
        <v>12175</v>
      </c>
      <c r="B93" s="594">
        <v>0.16830000000000001</v>
      </c>
      <c r="C93" s="577">
        <v>0.17319999999999999</v>
      </c>
      <c r="D93" s="596">
        <v>2.7999999999999995E-3</v>
      </c>
      <c r="E93" s="596">
        <v>3.858333333333333E-3</v>
      </c>
      <c r="F93" s="577">
        <v>4.5000000000000005E-3</v>
      </c>
      <c r="G93" s="577">
        <v>4.179166666666667E-3</v>
      </c>
      <c r="H93" s="596">
        <v>5.416666666666666E-3</v>
      </c>
      <c r="I93" s="577">
        <f t="shared" si="12"/>
        <v>0.16550000000000001</v>
      </c>
      <c r="J93" s="577">
        <f t="shared" ref="J93:J156" si="17">B93-G93</f>
        <v>0.16412083333333333</v>
      </c>
      <c r="K93" s="577">
        <f t="shared" ref="K93:K156" si="18">$C93-H93</f>
        <v>0.16778333333333334</v>
      </c>
      <c r="L93" s="585">
        <f t="shared" si="16"/>
        <v>1.3134425245178605</v>
      </c>
      <c r="M93" s="585">
        <f t="shared" si="14"/>
        <v>3.3599999999999991E-2</v>
      </c>
      <c r="N93" s="585">
        <f t="shared" si="6"/>
        <v>5.015E-2</v>
      </c>
      <c r="O93" s="586">
        <f t="shared" si="15"/>
        <v>1.2798425245178604</v>
      </c>
      <c r="P93" s="585">
        <f t="shared" si="7"/>
        <v>1.2632925245178606</v>
      </c>
      <c r="Q93" s="585">
        <f t="shared" si="8"/>
        <v>0.77220049355490117</v>
      </c>
      <c r="R93" s="585">
        <f t="shared" si="9"/>
        <v>6.4999999999999988E-2</v>
      </c>
      <c r="S93" s="586">
        <f t="shared" si="10"/>
        <v>0.70720049355490122</v>
      </c>
      <c r="U93" s="587"/>
      <c r="V93" s="587"/>
      <c r="W93" s="587"/>
      <c r="X93" s="587"/>
      <c r="Y93" s="587"/>
      <c r="Z93" s="587"/>
      <c r="AA93" s="587"/>
      <c r="AB93" s="587"/>
      <c r="AC93" s="587"/>
      <c r="AE93" s="587"/>
      <c r="AF93" s="587"/>
      <c r="AG93" s="587"/>
      <c r="AH93" s="587"/>
      <c r="AI93" s="587"/>
      <c r="AJ93" s="587"/>
      <c r="AK93" s="587"/>
      <c r="AL93" s="587"/>
      <c r="AM93" s="587"/>
      <c r="AO93" s="587"/>
      <c r="AP93" s="587"/>
      <c r="AQ93" s="587"/>
      <c r="AR93" s="587"/>
      <c r="AS93" s="587"/>
      <c r="AT93" s="587"/>
      <c r="AU93" s="587"/>
      <c r="AV93" s="587"/>
      <c r="AW93" s="587"/>
    </row>
    <row r="94" spans="1:49">
      <c r="A94" s="581">
        <v>12206</v>
      </c>
      <c r="B94" s="594">
        <v>0.1338</v>
      </c>
      <c r="C94" s="577">
        <v>0.14259999999999998</v>
      </c>
      <c r="D94" s="596">
        <v>2.5000000000000001E-3</v>
      </c>
      <c r="E94" s="596">
        <v>3.7166666666666663E-3</v>
      </c>
      <c r="F94" s="577">
        <v>4.2416666666666662E-3</v>
      </c>
      <c r="G94" s="577">
        <v>3.9791666666666664E-3</v>
      </c>
      <c r="H94" s="596">
        <v>5.0916666666666662E-3</v>
      </c>
      <c r="I94" s="577">
        <f t="shared" si="12"/>
        <v>0.1313</v>
      </c>
      <c r="J94" s="577">
        <f t="shared" si="17"/>
        <v>0.12982083333333333</v>
      </c>
      <c r="K94" s="577">
        <f t="shared" si="18"/>
        <v>0.13750833333333332</v>
      </c>
      <c r="L94" s="585">
        <f t="shared" si="16"/>
        <v>1.6287644160135799</v>
      </c>
      <c r="M94" s="585">
        <f t="shared" si="14"/>
        <v>0.03</v>
      </c>
      <c r="N94" s="585">
        <f t="shared" si="6"/>
        <v>4.7750000000000001E-2</v>
      </c>
      <c r="O94" s="586">
        <f t="shared" si="15"/>
        <v>1.5987644160135799</v>
      </c>
      <c r="P94" s="585">
        <f t="shared" si="7"/>
        <v>1.5810144160135799</v>
      </c>
      <c r="Q94" s="585">
        <f t="shared" si="8"/>
        <v>1.0068545926024082</v>
      </c>
      <c r="R94" s="585">
        <f t="shared" si="9"/>
        <v>6.1099999999999995E-2</v>
      </c>
      <c r="S94" s="586">
        <f t="shared" si="10"/>
        <v>0.94575459260240813</v>
      </c>
      <c r="U94" s="587"/>
      <c r="V94" s="587"/>
      <c r="W94" s="587"/>
      <c r="X94" s="587"/>
      <c r="Y94" s="587"/>
      <c r="Z94" s="587"/>
      <c r="AA94" s="587"/>
      <c r="AB94" s="587"/>
      <c r="AC94" s="587"/>
      <c r="AE94" s="587"/>
      <c r="AF94" s="587"/>
      <c r="AG94" s="587"/>
      <c r="AH94" s="587"/>
      <c r="AI94" s="587"/>
      <c r="AJ94" s="587"/>
      <c r="AK94" s="587"/>
      <c r="AL94" s="587"/>
      <c r="AM94" s="587"/>
      <c r="AO94" s="587"/>
      <c r="AP94" s="587"/>
      <c r="AQ94" s="587"/>
      <c r="AR94" s="587"/>
      <c r="AS94" s="587"/>
      <c r="AT94" s="587"/>
      <c r="AU94" s="587"/>
      <c r="AV94" s="587"/>
      <c r="AW94" s="587"/>
    </row>
    <row r="95" spans="1:49">
      <c r="A95" s="581">
        <v>12236</v>
      </c>
      <c r="B95" s="594">
        <v>-8.6199999999999999E-2</v>
      </c>
      <c r="C95" s="577">
        <v>-0.12039999999999999</v>
      </c>
      <c r="D95" s="596">
        <v>2.5999999999999999E-3</v>
      </c>
      <c r="E95" s="596">
        <v>3.6333333333333335E-3</v>
      </c>
      <c r="F95" s="577">
        <v>4.0249999999999999E-3</v>
      </c>
      <c r="G95" s="577">
        <v>3.8291666666666669E-3</v>
      </c>
      <c r="H95" s="596">
        <v>4.9249999999999997E-3</v>
      </c>
      <c r="I95" s="577">
        <f t="shared" si="12"/>
        <v>-8.8800000000000004E-2</v>
      </c>
      <c r="J95" s="577">
        <f t="shared" si="17"/>
        <v>-9.002916666666666E-2</v>
      </c>
      <c r="K95" s="577">
        <f t="shared" si="18"/>
        <v>-0.12532499999999999</v>
      </c>
      <c r="L95" s="585">
        <f t="shared" si="16"/>
        <v>0.73880920981050235</v>
      </c>
      <c r="M95" s="585">
        <f t="shared" si="14"/>
        <v>3.1199999999999999E-2</v>
      </c>
      <c r="N95" s="585">
        <f t="shared" si="6"/>
        <v>4.5950000000000005E-2</v>
      </c>
      <c r="O95" s="586">
        <f t="shared" si="15"/>
        <v>0.70760920981050235</v>
      </c>
      <c r="P95" s="585">
        <f t="shared" si="7"/>
        <v>0.69285920981050231</v>
      </c>
      <c r="Q95" s="585">
        <f t="shared" si="8"/>
        <v>0.32544623791340954</v>
      </c>
      <c r="R95" s="585">
        <f t="shared" si="9"/>
        <v>5.91E-2</v>
      </c>
      <c r="S95" s="586">
        <f t="shared" si="10"/>
        <v>0.26634623791340956</v>
      </c>
      <c r="U95" s="587"/>
      <c r="V95" s="587"/>
      <c r="W95" s="587"/>
      <c r="X95" s="587"/>
      <c r="Y95" s="587"/>
      <c r="Z95" s="587"/>
      <c r="AA95" s="587"/>
      <c r="AB95" s="587"/>
      <c r="AC95" s="587"/>
      <c r="AE95" s="587"/>
      <c r="AF95" s="587"/>
      <c r="AG95" s="587"/>
      <c r="AH95" s="587"/>
      <c r="AI95" s="587"/>
      <c r="AJ95" s="587"/>
      <c r="AK95" s="587"/>
      <c r="AL95" s="587"/>
      <c r="AM95" s="587"/>
      <c r="AO95" s="587"/>
      <c r="AP95" s="587"/>
      <c r="AQ95" s="587"/>
      <c r="AR95" s="587"/>
      <c r="AS95" s="587"/>
      <c r="AT95" s="587"/>
      <c r="AU95" s="587"/>
      <c r="AV95" s="587"/>
      <c r="AW95" s="587"/>
    </row>
    <row r="96" spans="1:49">
      <c r="A96" s="581">
        <v>12267</v>
      </c>
      <c r="B96" s="594">
        <v>0.1206</v>
      </c>
      <c r="C96" s="577">
        <v>-5.5999999999999991E-3</v>
      </c>
      <c r="D96" s="596">
        <v>2.5999999999999999E-3</v>
      </c>
      <c r="E96" s="596">
        <v>3.5833333333333333E-3</v>
      </c>
      <c r="F96" s="577">
        <v>3.9749999999999994E-3</v>
      </c>
      <c r="G96" s="577">
        <v>3.7791666666666668E-3</v>
      </c>
      <c r="H96" s="596">
        <v>4.9833333333333335E-3</v>
      </c>
      <c r="I96" s="577">
        <f t="shared" si="12"/>
        <v>0.11799999999999999</v>
      </c>
      <c r="J96" s="577">
        <f t="shared" si="17"/>
        <v>0.11682083333333333</v>
      </c>
      <c r="K96" s="577">
        <f t="shared" si="18"/>
        <v>-1.0583333333333333E-2</v>
      </c>
      <c r="L96" s="585">
        <f t="shared" si="16"/>
        <v>0.40493878470953137</v>
      </c>
      <c r="M96" s="585">
        <f t="shared" si="14"/>
        <v>3.1199999999999999E-2</v>
      </c>
      <c r="N96" s="585">
        <f t="shared" si="6"/>
        <v>4.5350000000000001E-2</v>
      </c>
      <c r="O96" s="586">
        <f t="shared" si="15"/>
        <v>0.37373878470953137</v>
      </c>
      <c r="P96" s="585">
        <f t="shared" si="7"/>
        <v>0.35958878470953137</v>
      </c>
      <c r="Q96" s="585">
        <f t="shared" si="8"/>
        <v>-6.0567541709840134E-2</v>
      </c>
      <c r="R96" s="585">
        <f t="shared" si="9"/>
        <v>5.9800000000000006E-2</v>
      </c>
      <c r="S96" s="586">
        <f t="shared" si="10"/>
        <v>-0.12036754170984014</v>
      </c>
      <c r="U96" s="587"/>
      <c r="V96" s="587"/>
      <c r="W96" s="587"/>
      <c r="X96" s="587"/>
      <c r="Y96" s="587"/>
      <c r="Z96" s="587"/>
      <c r="AA96" s="587"/>
      <c r="AB96" s="587"/>
      <c r="AC96" s="587"/>
      <c r="AE96" s="587"/>
      <c r="AF96" s="587"/>
      <c r="AG96" s="587"/>
      <c r="AH96" s="587"/>
      <c r="AI96" s="587"/>
      <c r="AJ96" s="587"/>
      <c r="AK96" s="587"/>
      <c r="AL96" s="587"/>
      <c r="AM96" s="587"/>
      <c r="AO96" s="587"/>
      <c r="AP96" s="587"/>
      <c r="AQ96" s="587"/>
      <c r="AR96" s="587"/>
      <c r="AS96" s="587"/>
      <c r="AT96" s="587"/>
      <c r="AU96" s="587"/>
      <c r="AV96" s="587"/>
      <c r="AW96" s="587"/>
    </row>
    <row r="97" spans="1:49">
      <c r="A97" s="581">
        <v>12298</v>
      </c>
      <c r="B97" s="594">
        <v>-0.1118</v>
      </c>
      <c r="C97" s="577">
        <v>-0.1759</v>
      </c>
      <c r="D97" s="596">
        <v>2.5000000000000001E-3</v>
      </c>
      <c r="E97" s="596">
        <v>3.6333333333333335E-3</v>
      </c>
      <c r="F97" s="577">
        <v>4.1333333333333335E-3</v>
      </c>
      <c r="G97" s="577">
        <v>3.8833333333333333E-3</v>
      </c>
      <c r="H97" s="596">
        <v>5.3E-3</v>
      </c>
      <c r="I97" s="577">
        <f t="shared" si="12"/>
        <v>-0.1143</v>
      </c>
      <c r="J97" s="577">
        <f t="shared" si="17"/>
        <v>-0.11568333333333333</v>
      </c>
      <c r="K97" s="577">
        <f t="shared" si="18"/>
        <v>-0.1812</v>
      </c>
      <c r="L97" s="585">
        <f t="shared" si="16"/>
        <v>0.29259025127305338</v>
      </c>
      <c r="M97" s="585">
        <f t="shared" si="14"/>
        <v>0.03</v>
      </c>
      <c r="N97" s="585">
        <f t="shared" si="6"/>
        <v>4.6600000000000003E-2</v>
      </c>
      <c r="O97" s="586">
        <f t="shared" si="15"/>
        <v>0.26259025127305335</v>
      </c>
      <c r="P97" s="585">
        <f t="shared" si="7"/>
        <v>0.24599025127305338</v>
      </c>
      <c r="Q97" s="585">
        <f t="shared" si="8"/>
        <v>-0.20433063835876586</v>
      </c>
      <c r="R97" s="585">
        <f t="shared" si="9"/>
        <v>6.3600000000000004E-2</v>
      </c>
      <c r="S97" s="586">
        <f t="shared" si="10"/>
        <v>-0.26793063835876585</v>
      </c>
      <c r="U97" s="587"/>
      <c r="V97" s="587"/>
      <c r="W97" s="587"/>
      <c r="X97" s="587"/>
      <c r="Y97" s="587"/>
      <c r="Z97" s="587"/>
      <c r="AA97" s="587"/>
      <c r="AB97" s="587"/>
      <c r="AC97" s="587"/>
      <c r="AE97" s="587"/>
      <c r="AF97" s="587"/>
      <c r="AG97" s="587"/>
      <c r="AH97" s="587"/>
      <c r="AI97" s="587"/>
      <c r="AJ97" s="587"/>
      <c r="AK97" s="587"/>
      <c r="AL97" s="587"/>
      <c r="AM97" s="587"/>
      <c r="AO97" s="587"/>
      <c r="AP97" s="587"/>
      <c r="AQ97" s="587"/>
      <c r="AR97" s="587"/>
      <c r="AS97" s="587"/>
      <c r="AT97" s="587"/>
      <c r="AU97" s="587"/>
      <c r="AV97" s="587"/>
      <c r="AW97" s="587"/>
    </row>
    <row r="98" spans="1:49">
      <c r="A98" s="581">
        <v>12328</v>
      </c>
      <c r="B98" s="594">
        <v>-8.5500000000000007E-2</v>
      </c>
      <c r="C98" s="577">
        <v>-7.1200000000000013E-2</v>
      </c>
      <c r="D98" s="596">
        <v>2.5999999999999999E-3</v>
      </c>
      <c r="E98" s="596">
        <v>3.6166666666666665E-3</v>
      </c>
      <c r="F98" s="577">
        <v>4.1416666666666659E-3</v>
      </c>
      <c r="G98" s="577">
        <v>3.8791666666666662E-3</v>
      </c>
      <c r="H98" s="596">
        <v>5.3E-3</v>
      </c>
      <c r="I98" s="577">
        <f t="shared" si="12"/>
        <v>-8.8100000000000012E-2</v>
      </c>
      <c r="J98" s="577">
        <f t="shared" si="17"/>
        <v>-8.9379166666666676E-2</v>
      </c>
      <c r="K98" s="577">
        <f t="shared" si="18"/>
        <v>-7.6500000000000012E-2</v>
      </c>
      <c r="L98" s="585">
        <f t="shared" si="16"/>
        <v>0.36640132330274788</v>
      </c>
      <c r="M98" s="585">
        <f t="shared" si="14"/>
        <v>3.1199999999999999E-2</v>
      </c>
      <c r="N98" s="585">
        <f t="shared" si="6"/>
        <v>4.6549999999999994E-2</v>
      </c>
      <c r="O98" s="586">
        <f t="shared" si="15"/>
        <v>0.33520132330274788</v>
      </c>
      <c r="P98" s="585">
        <f t="shared" si="7"/>
        <v>0.3198513233027479</v>
      </c>
      <c r="Q98" s="585">
        <f t="shared" si="8"/>
        <v>-0.17455858026094262</v>
      </c>
      <c r="R98" s="585">
        <f t="shared" si="9"/>
        <v>6.3600000000000004E-2</v>
      </c>
      <c r="S98" s="586">
        <f t="shared" si="10"/>
        <v>-0.23815858026094261</v>
      </c>
      <c r="U98" s="587"/>
      <c r="V98" s="587"/>
      <c r="W98" s="587"/>
      <c r="X98" s="587"/>
      <c r="Y98" s="587"/>
      <c r="Z98" s="587"/>
      <c r="AA98" s="587"/>
      <c r="AB98" s="587"/>
      <c r="AC98" s="587"/>
      <c r="AE98" s="587"/>
      <c r="AF98" s="587"/>
      <c r="AG98" s="587"/>
      <c r="AH98" s="587"/>
      <c r="AI98" s="587"/>
      <c r="AJ98" s="587"/>
      <c r="AK98" s="587"/>
      <c r="AL98" s="587"/>
      <c r="AM98" s="587"/>
      <c r="AO98" s="587"/>
      <c r="AP98" s="587"/>
      <c r="AQ98" s="587"/>
      <c r="AR98" s="587"/>
      <c r="AS98" s="587"/>
      <c r="AT98" s="587"/>
      <c r="AU98" s="587"/>
      <c r="AV98" s="587"/>
      <c r="AW98" s="587"/>
    </row>
    <row r="99" spans="1:49">
      <c r="A99" s="581">
        <v>12359</v>
      </c>
      <c r="B99" s="594">
        <v>0.11269999999999999</v>
      </c>
      <c r="C99" s="577">
        <v>-1.7999999999999999E-2</v>
      </c>
      <c r="D99" s="596">
        <v>2.5000000000000001E-3</v>
      </c>
      <c r="E99" s="596">
        <v>3.7833333333333334E-3</v>
      </c>
      <c r="F99" s="577">
        <v>4.4583333333333332E-3</v>
      </c>
      <c r="G99" s="577">
        <v>4.120833333333334E-3</v>
      </c>
      <c r="H99" s="596">
        <v>5.8833333333333342E-3</v>
      </c>
      <c r="I99" s="577">
        <f t="shared" si="12"/>
        <v>0.11019999999999999</v>
      </c>
      <c r="J99" s="577">
        <f t="shared" si="17"/>
        <v>0.10857916666666666</v>
      </c>
      <c r="K99" s="577">
        <f t="shared" si="18"/>
        <v>-2.3883333333333333E-2</v>
      </c>
      <c r="L99" s="585">
        <f t="shared" si="16"/>
        <v>0.58655405659915205</v>
      </c>
      <c r="M99" s="585">
        <f t="shared" si="14"/>
        <v>0.03</v>
      </c>
      <c r="N99" s="585">
        <f t="shared" si="6"/>
        <v>4.9450000000000008E-2</v>
      </c>
      <c r="O99" s="586">
        <f t="shared" si="15"/>
        <v>0.55655405659915202</v>
      </c>
      <c r="P99" s="585">
        <f t="shared" si="7"/>
        <v>0.53710405659915206</v>
      </c>
      <c r="Q99" s="585">
        <f t="shared" si="8"/>
        <v>-0.15966880138528483</v>
      </c>
      <c r="R99" s="585">
        <f t="shared" si="9"/>
        <v>7.060000000000001E-2</v>
      </c>
      <c r="S99" s="586">
        <f t="shared" si="10"/>
        <v>-0.23026880138528483</v>
      </c>
      <c r="U99" s="587"/>
      <c r="V99" s="587"/>
      <c r="W99" s="587"/>
      <c r="X99" s="587"/>
      <c r="Y99" s="587"/>
      <c r="Z99" s="587"/>
      <c r="AA99" s="587"/>
      <c r="AB99" s="587"/>
      <c r="AC99" s="587"/>
      <c r="AE99" s="587"/>
      <c r="AF99" s="587"/>
      <c r="AG99" s="587"/>
      <c r="AH99" s="587"/>
      <c r="AI99" s="587"/>
      <c r="AJ99" s="587"/>
      <c r="AK99" s="587"/>
      <c r="AL99" s="587"/>
      <c r="AM99" s="587"/>
      <c r="AO99" s="587"/>
      <c r="AP99" s="587"/>
      <c r="AQ99" s="587"/>
      <c r="AR99" s="587"/>
      <c r="AS99" s="587"/>
      <c r="AT99" s="587"/>
      <c r="AU99" s="587"/>
      <c r="AV99" s="587"/>
      <c r="AW99" s="587"/>
    </row>
    <row r="100" spans="1:49">
      <c r="A100" s="581">
        <v>12389</v>
      </c>
      <c r="B100" s="594">
        <v>2.53E-2</v>
      </c>
      <c r="C100" s="577">
        <v>1.26E-2</v>
      </c>
      <c r="D100" s="596">
        <v>2.7999999999999995E-3</v>
      </c>
      <c r="E100" s="596">
        <v>3.7499999999999999E-3</v>
      </c>
      <c r="F100" s="577">
        <v>4.3916666666666661E-3</v>
      </c>
      <c r="G100" s="577">
        <v>4.0708333333333334E-3</v>
      </c>
      <c r="H100" s="596">
        <v>6.0166666666666667E-3</v>
      </c>
      <c r="I100" s="577">
        <f t="shared" si="12"/>
        <v>2.2499999999999999E-2</v>
      </c>
      <c r="J100" s="577">
        <f t="shared" si="17"/>
        <v>2.1229166666666667E-2</v>
      </c>
      <c r="K100" s="577">
        <f t="shared" si="18"/>
        <v>6.5833333333333334E-3</v>
      </c>
      <c r="L100" s="585">
        <f t="shared" si="16"/>
        <v>0.53970078015249512</v>
      </c>
      <c r="M100" s="585">
        <f t="shared" si="14"/>
        <v>3.3599999999999991E-2</v>
      </c>
      <c r="N100" s="585">
        <f t="shared" si="6"/>
        <v>4.8850000000000005E-2</v>
      </c>
      <c r="O100" s="586">
        <f t="shared" si="15"/>
        <v>0.50610078015249516</v>
      </c>
      <c r="P100" s="585">
        <f t="shared" si="7"/>
        <v>0.49085078015249511</v>
      </c>
      <c r="Q100" s="585">
        <f t="shared" si="8"/>
        <v>-0.21883836251054711</v>
      </c>
      <c r="R100" s="585">
        <f t="shared" si="9"/>
        <v>7.22E-2</v>
      </c>
      <c r="S100" s="586">
        <f t="shared" si="10"/>
        <v>-0.2910383625105471</v>
      </c>
      <c r="U100" s="587"/>
      <c r="V100" s="587"/>
      <c r="W100" s="587"/>
      <c r="X100" s="587"/>
      <c r="Y100" s="587"/>
      <c r="Z100" s="587"/>
      <c r="AA100" s="587"/>
      <c r="AB100" s="587"/>
      <c r="AC100" s="587"/>
      <c r="AE100" s="587"/>
      <c r="AF100" s="587"/>
      <c r="AG100" s="587"/>
      <c r="AH100" s="587"/>
      <c r="AI100" s="587"/>
      <c r="AJ100" s="587"/>
      <c r="AK100" s="587"/>
      <c r="AL100" s="587"/>
      <c r="AM100" s="587"/>
      <c r="AO100" s="587"/>
      <c r="AP100" s="587"/>
      <c r="AQ100" s="587"/>
      <c r="AR100" s="587"/>
      <c r="AS100" s="587"/>
      <c r="AT100" s="587"/>
      <c r="AU100" s="587"/>
      <c r="AV100" s="587"/>
      <c r="AW100" s="587"/>
    </row>
    <row r="101" spans="1:49">
      <c r="A101" s="581">
        <v>12420</v>
      </c>
      <c r="B101" s="594">
        <v>0.1069</v>
      </c>
      <c r="C101" s="577">
        <v>0.17460000000000001</v>
      </c>
      <c r="D101" s="577">
        <v>2.8999999999999998E-3</v>
      </c>
      <c r="E101" s="577">
        <v>3.6249999999999998E-3</v>
      </c>
      <c r="F101" s="577">
        <v>4.1666666666666666E-3</v>
      </c>
      <c r="G101" s="577">
        <v>3.8958333333333332E-3</v>
      </c>
      <c r="H101" s="577">
        <v>5.4666666666666674E-3</v>
      </c>
      <c r="I101" s="577">
        <f t="shared" si="12"/>
        <v>0.104</v>
      </c>
      <c r="J101" s="577">
        <f t="shared" si="17"/>
        <v>0.10300416666666666</v>
      </c>
      <c r="K101" s="577">
        <f t="shared" si="18"/>
        <v>0.16913333333333333</v>
      </c>
      <c r="L101" s="585">
        <f t="shared" si="16"/>
        <v>0.68959531431624588</v>
      </c>
      <c r="M101" s="585">
        <f t="shared" si="14"/>
        <v>3.4799999999999998E-2</v>
      </c>
      <c r="N101" s="585">
        <f t="shared" si="6"/>
        <v>4.675E-2</v>
      </c>
      <c r="O101" s="586">
        <f t="shared" si="15"/>
        <v>0.65479531431624594</v>
      </c>
      <c r="P101" s="585">
        <f t="shared" si="7"/>
        <v>0.64284531431624592</v>
      </c>
      <c r="Q101" s="585">
        <f t="shared" si="8"/>
        <v>-5.2995707095560562E-2</v>
      </c>
      <c r="R101" s="585">
        <f t="shared" si="9"/>
        <v>6.5600000000000006E-2</v>
      </c>
      <c r="S101" s="586">
        <f t="shared" si="10"/>
        <v>-0.11859570709556057</v>
      </c>
      <c r="U101" s="587"/>
      <c r="V101" s="587"/>
      <c r="W101" s="587"/>
      <c r="X101" s="587"/>
      <c r="Y101" s="587"/>
      <c r="Z101" s="587"/>
      <c r="AA101" s="587"/>
      <c r="AB101" s="587"/>
      <c r="AC101" s="587"/>
      <c r="AE101" s="587"/>
      <c r="AF101" s="587"/>
      <c r="AG101" s="587"/>
      <c r="AH101" s="587"/>
      <c r="AI101" s="587"/>
      <c r="AJ101" s="587"/>
      <c r="AK101" s="587"/>
      <c r="AL101" s="587"/>
      <c r="AM101" s="587"/>
      <c r="AO101" s="587"/>
      <c r="AP101" s="587"/>
      <c r="AQ101" s="587"/>
      <c r="AR101" s="587"/>
      <c r="AS101" s="587"/>
      <c r="AT101" s="587"/>
      <c r="AU101" s="587"/>
      <c r="AV101" s="587"/>
      <c r="AW101" s="587"/>
    </row>
    <row r="102" spans="1:49">
      <c r="A102" s="581">
        <v>12451</v>
      </c>
      <c r="B102" s="594">
        <v>-3.2199999999999999E-2</v>
      </c>
      <c r="C102" s="577">
        <v>-2.4199999999999999E-2</v>
      </c>
      <c r="D102" s="577">
        <v>2.3999999999999998E-3</v>
      </c>
      <c r="E102" s="577">
        <v>3.5000000000000005E-3</v>
      </c>
      <c r="F102" s="577">
        <v>3.9166666666666664E-3</v>
      </c>
      <c r="G102" s="577">
        <v>3.7083333333333334E-3</v>
      </c>
      <c r="H102" s="577">
        <v>4.816666666666667E-3</v>
      </c>
      <c r="I102" s="577">
        <f t="shared" si="12"/>
        <v>-3.4599999999999999E-2</v>
      </c>
      <c r="J102" s="577">
        <f t="shared" si="17"/>
        <v>-3.5908333333333334E-2</v>
      </c>
      <c r="K102" s="577">
        <f t="shared" si="18"/>
        <v>-2.9016666666666666E-2</v>
      </c>
      <c r="L102" s="585">
        <f t="shared" si="16"/>
        <v>0.98734849926502455</v>
      </c>
      <c r="M102" s="585">
        <f t="shared" si="14"/>
        <v>2.8799999999999999E-2</v>
      </c>
      <c r="N102" s="585">
        <f t="shared" si="6"/>
        <v>4.4499999999999998E-2</v>
      </c>
      <c r="O102" s="586">
        <f t="shared" si="15"/>
        <v>0.9585484992650245</v>
      </c>
      <c r="P102" s="585">
        <f t="shared" si="7"/>
        <v>0.94284849926502456</v>
      </c>
      <c r="Q102" s="585">
        <f t="shared" si="8"/>
        <v>0.15280288050917146</v>
      </c>
      <c r="R102" s="585">
        <f t="shared" si="9"/>
        <v>5.7800000000000004E-2</v>
      </c>
      <c r="S102" s="586">
        <f t="shared" si="10"/>
        <v>9.5002880509171453E-2</v>
      </c>
      <c r="U102" s="587"/>
      <c r="V102" s="587"/>
      <c r="W102" s="587"/>
      <c r="X102" s="587"/>
      <c r="Y102" s="587"/>
      <c r="Z102" s="587"/>
      <c r="AA102" s="587"/>
      <c r="AB102" s="587"/>
      <c r="AC102" s="587"/>
      <c r="AE102" s="587"/>
      <c r="AF102" s="587"/>
      <c r="AG102" s="587"/>
      <c r="AH102" s="587"/>
      <c r="AI102" s="587"/>
      <c r="AJ102" s="587"/>
      <c r="AK102" s="587"/>
      <c r="AL102" s="587"/>
      <c r="AM102" s="587"/>
      <c r="AO102" s="587"/>
      <c r="AP102" s="587"/>
      <c r="AQ102" s="587"/>
      <c r="AR102" s="587"/>
      <c r="AS102" s="587"/>
      <c r="AT102" s="587"/>
      <c r="AU102" s="587"/>
      <c r="AV102" s="587"/>
      <c r="AW102" s="587"/>
    </row>
    <row r="103" spans="1:49">
      <c r="A103" s="581">
        <v>12479</v>
      </c>
      <c r="B103" s="594">
        <v>0</v>
      </c>
      <c r="C103" s="577">
        <v>-1.1099999999999999E-2</v>
      </c>
      <c r="D103" s="577">
        <v>2.7000000000000001E-3</v>
      </c>
      <c r="E103" s="577">
        <v>3.4416666666666667E-3</v>
      </c>
      <c r="F103" s="577">
        <v>3.7916666666666667E-3</v>
      </c>
      <c r="G103" s="577">
        <v>3.6166666666666669E-3</v>
      </c>
      <c r="H103" s="577">
        <v>4.7166666666666668E-3</v>
      </c>
      <c r="I103" s="577">
        <f t="shared" si="12"/>
        <v>-2.7000000000000001E-3</v>
      </c>
      <c r="J103" s="577">
        <f t="shared" si="17"/>
        <v>-3.6166666666666669E-3</v>
      </c>
      <c r="K103" s="577">
        <f t="shared" si="18"/>
        <v>-1.5816666666666666E-2</v>
      </c>
      <c r="L103" s="585">
        <f t="shared" si="16"/>
        <v>0.91958707549987984</v>
      </c>
      <c r="M103" s="585">
        <f t="shared" si="14"/>
        <v>3.2399999999999998E-2</v>
      </c>
      <c r="N103" s="585">
        <f t="shared" si="6"/>
        <v>4.3400000000000001E-2</v>
      </c>
      <c r="O103" s="586">
        <f t="shared" si="15"/>
        <v>0.88718707549987985</v>
      </c>
      <c r="P103" s="585">
        <f t="shared" si="7"/>
        <v>0.87618707549987984</v>
      </c>
      <c r="Q103" s="585">
        <f t="shared" si="8"/>
        <v>0.278034493873901</v>
      </c>
      <c r="R103" s="585">
        <f t="shared" si="9"/>
        <v>5.6599999999999998E-2</v>
      </c>
      <c r="S103" s="586">
        <f t="shared" si="10"/>
        <v>0.22143449387390102</v>
      </c>
      <c r="U103" s="587"/>
      <c r="V103" s="587"/>
      <c r="W103" s="587"/>
      <c r="X103" s="587"/>
      <c r="Y103" s="587"/>
      <c r="Z103" s="587"/>
      <c r="AA103" s="587"/>
      <c r="AB103" s="587"/>
      <c r="AC103" s="587"/>
      <c r="AE103" s="587"/>
      <c r="AF103" s="587"/>
      <c r="AG103" s="587"/>
      <c r="AH103" s="587"/>
      <c r="AI103" s="587"/>
      <c r="AJ103" s="587"/>
      <c r="AK103" s="587"/>
      <c r="AL103" s="587"/>
      <c r="AM103" s="587"/>
      <c r="AO103" s="587"/>
      <c r="AP103" s="587"/>
      <c r="AQ103" s="587"/>
      <c r="AR103" s="587"/>
      <c r="AS103" s="587"/>
      <c r="AT103" s="587"/>
      <c r="AU103" s="587"/>
      <c r="AV103" s="587"/>
      <c r="AW103" s="587"/>
    </row>
    <row r="104" spans="1:49">
      <c r="A104" s="581">
        <v>12510</v>
      </c>
      <c r="B104" s="594">
        <v>-2.5100000000000001E-2</v>
      </c>
      <c r="C104" s="577">
        <v>-3.5099999999999999E-2</v>
      </c>
      <c r="D104" s="577">
        <v>2.5000000000000001E-3</v>
      </c>
      <c r="E104" s="577">
        <v>3.3916666666666665E-3</v>
      </c>
      <c r="F104" s="577">
        <v>3.6916666666666664E-3</v>
      </c>
      <c r="G104" s="577">
        <v>3.5416666666666665E-3</v>
      </c>
      <c r="H104" s="577">
        <v>4.5333333333333337E-3</v>
      </c>
      <c r="I104" s="577">
        <f t="shared" si="12"/>
        <v>-2.76E-2</v>
      </c>
      <c r="J104" s="577">
        <f t="shared" si="17"/>
        <v>-2.8641666666666666E-2</v>
      </c>
      <c r="K104" s="577">
        <f t="shared" si="18"/>
        <v>-3.9633333333333333E-2</v>
      </c>
      <c r="L104" s="585">
        <f t="shared" si="16"/>
        <v>0.31271425358083071</v>
      </c>
      <c r="M104" s="585">
        <f t="shared" si="14"/>
        <v>0.03</v>
      </c>
      <c r="N104" s="585">
        <f t="shared" ref="N104:N167" si="19">G104*12</f>
        <v>4.2499999999999996E-2</v>
      </c>
      <c r="O104" s="586">
        <f t="shared" si="15"/>
        <v>0.28271425358083069</v>
      </c>
      <c r="P104" s="585">
        <f t="shared" ref="P104:P167" si="20">L104-N104</f>
        <v>0.27021425358083073</v>
      </c>
      <c r="Q104" s="585">
        <f t="shared" ref="Q104:Q167" si="21">((1+C93)*(1+C94)*(1+C95)*(1+C96)*(1+C97)*(1+C98)*(1+C99)*(1+C100)*(1+C101)*(1+C102)*(1+C103)*(1+C104))-1</f>
        <v>-2.4000409070892847E-2</v>
      </c>
      <c r="R104" s="585">
        <f t="shared" ref="R104:R167" si="22">H104*12</f>
        <v>5.4400000000000004E-2</v>
      </c>
      <c r="S104" s="586">
        <f t="shared" ref="S104:S167" si="23">Q104-R104</f>
        <v>-7.8400409070892851E-2</v>
      </c>
      <c r="U104" s="587"/>
      <c r="V104" s="587"/>
      <c r="W104" s="587"/>
      <c r="X104" s="587"/>
      <c r="Y104" s="587"/>
      <c r="Z104" s="587"/>
      <c r="AA104" s="587"/>
      <c r="AB104" s="587"/>
      <c r="AC104" s="587"/>
      <c r="AE104" s="587"/>
      <c r="AF104" s="587"/>
      <c r="AG104" s="587"/>
      <c r="AH104" s="587"/>
      <c r="AI104" s="587"/>
      <c r="AJ104" s="587"/>
      <c r="AK104" s="587"/>
      <c r="AL104" s="587"/>
      <c r="AM104" s="587"/>
      <c r="AO104" s="587"/>
      <c r="AP104" s="587"/>
      <c r="AQ104" s="587"/>
      <c r="AR104" s="587"/>
      <c r="AS104" s="587"/>
      <c r="AT104" s="587"/>
      <c r="AU104" s="587"/>
      <c r="AV104" s="587"/>
      <c r="AW104" s="587"/>
    </row>
    <row r="105" spans="1:49">
      <c r="A105" s="581">
        <v>12540</v>
      </c>
      <c r="B105" s="594">
        <v>-7.3599999999999999E-2</v>
      </c>
      <c r="C105" s="577">
        <v>-7.6499999999999999E-2</v>
      </c>
      <c r="D105" s="577">
        <v>2.5000000000000001E-3</v>
      </c>
      <c r="E105" s="577">
        <v>3.3416666666666668E-3</v>
      </c>
      <c r="F105" s="577">
        <v>3.6416666666666667E-3</v>
      </c>
      <c r="G105" s="577">
        <v>3.4916666666666668E-3</v>
      </c>
      <c r="H105" s="577">
        <v>4.4916666666666664E-3</v>
      </c>
      <c r="I105" s="577">
        <f t="shared" si="12"/>
        <v>-7.6100000000000001E-2</v>
      </c>
      <c r="J105" s="577">
        <f t="shared" si="17"/>
        <v>-7.7091666666666669E-2</v>
      </c>
      <c r="K105" s="577">
        <f t="shared" si="18"/>
        <v>-8.099166666666667E-2</v>
      </c>
      <c r="L105" s="585">
        <f t="shared" si="16"/>
        <v>4.0912851594009814E-2</v>
      </c>
      <c r="M105" s="585">
        <f t="shared" si="14"/>
        <v>0.03</v>
      </c>
      <c r="N105" s="585">
        <f t="shared" si="19"/>
        <v>4.19E-2</v>
      </c>
      <c r="O105" s="586">
        <f t="shared" si="15"/>
        <v>1.0912851594009815E-2</v>
      </c>
      <c r="P105" s="585">
        <f t="shared" si="20"/>
        <v>-9.8714840599018611E-4</v>
      </c>
      <c r="Q105" s="585">
        <f t="shared" si="21"/>
        <v>-0.23172892752895469</v>
      </c>
      <c r="R105" s="585">
        <f t="shared" si="22"/>
        <v>5.3899999999999997E-2</v>
      </c>
      <c r="S105" s="586">
        <f t="shared" si="23"/>
        <v>-0.28562892752895469</v>
      </c>
      <c r="U105" s="587"/>
      <c r="V105" s="587"/>
      <c r="W105" s="587"/>
      <c r="X105" s="587"/>
      <c r="Y105" s="587"/>
      <c r="Z105" s="587"/>
      <c r="AA105" s="587"/>
      <c r="AB105" s="587"/>
      <c r="AC105" s="587"/>
      <c r="AE105" s="587"/>
      <c r="AF105" s="587"/>
      <c r="AG105" s="587"/>
      <c r="AH105" s="587"/>
      <c r="AI105" s="587"/>
      <c r="AJ105" s="587"/>
      <c r="AK105" s="587"/>
      <c r="AL105" s="587"/>
      <c r="AM105" s="587"/>
      <c r="AO105" s="587"/>
      <c r="AP105" s="587"/>
      <c r="AQ105" s="587"/>
      <c r="AR105" s="587"/>
      <c r="AS105" s="587"/>
      <c r="AT105" s="587"/>
      <c r="AU105" s="587"/>
      <c r="AV105" s="587"/>
      <c r="AW105" s="587"/>
    </row>
    <row r="106" spans="1:49">
      <c r="A106" s="581">
        <v>12571</v>
      </c>
      <c r="B106" s="594">
        <v>2.29E-2</v>
      </c>
      <c r="C106" s="577">
        <v>4.7800000000000002E-2</v>
      </c>
      <c r="D106" s="577">
        <v>2.3999999999999998E-3</v>
      </c>
      <c r="E106" s="577">
        <v>3.2750000000000001E-3</v>
      </c>
      <c r="F106" s="577">
        <v>3.5833333333333333E-3</v>
      </c>
      <c r="G106" s="577">
        <v>3.4291666666666663E-3</v>
      </c>
      <c r="H106" s="577">
        <v>4.5000000000000005E-3</v>
      </c>
      <c r="I106" s="577">
        <f t="shared" si="12"/>
        <v>2.0500000000000001E-2</v>
      </c>
      <c r="J106" s="577">
        <f t="shared" si="17"/>
        <v>1.9470833333333333E-2</v>
      </c>
      <c r="K106" s="577">
        <f t="shared" si="18"/>
        <v>4.3300000000000005E-2</v>
      </c>
      <c r="L106" s="585">
        <f t="shared" si="16"/>
        <v>-6.0901608841495092E-2</v>
      </c>
      <c r="M106" s="585">
        <f t="shared" si="14"/>
        <v>2.8799999999999999E-2</v>
      </c>
      <c r="N106" s="585">
        <f t="shared" si="19"/>
        <v>4.1149999999999992E-2</v>
      </c>
      <c r="O106" s="586">
        <f t="shared" si="15"/>
        <v>-8.9701608841495084E-2</v>
      </c>
      <c r="P106" s="585">
        <f t="shared" si="20"/>
        <v>-0.10205160884149508</v>
      </c>
      <c r="Q106" s="585">
        <f t="shared" si="21"/>
        <v>-0.29547135503661714</v>
      </c>
      <c r="R106" s="585">
        <f t="shared" si="22"/>
        <v>5.4000000000000006E-2</v>
      </c>
      <c r="S106" s="586">
        <f t="shared" si="23"/>
        <v>-0.34947135503661714</v>
      </c>
      <c r="U106" s="587"/>
      <c r="V106" s="587"/>
      <c r="W106" s="587"/>
      <c r="X106" s="587"/>
      <c r="Y106" s="587"/>
      <c r="Z106" s="587"/>
      <c r="AA106" s="587"/>
      <c r="AB106" s="587"/>
      <c r="AC106" s="587"/>
      <c r="AE106" s="587"/>
      <c r="AF106" s="587"/>
      <c r="AG106" s="587"/>
      <c r="AH106" s="587"/>
      <c r="AI106" s="587"/>
      <c r="AJ106" s="587"/>
      <c r="AK106" s="587"/>
      <c r="AL106" s="587"/>
      <c r="AM106" s="587"/>
      <c r="AO106" s="587"/>
      <c r="AP106" s="587"/>
      <c r="AQ106" s="587"/>
      <c r="AR106" s="587"/>
      <c r="AS106" s="587"/>
      <c r="AT106" s="587"/>
      <c r="AU106" s="587"/>
      <c r="AV106" s="587"/>
      <c r="AW106" s="587"/>
    </row>
    <row r="107" spans="1:49">
      <c r="A107" s="581">
        <v>12601</v>
      </c>
      <c r="B107" s="594">
        <v>-0.1132</v>
      </c>
      <c r="C107" s="577">
        <v>-0.1603</v>
      </c>
      <c r="D107" s="577">
        <v>2.3999999999999998E-3</v>
      </c>
      <c r="E107" s="577">
        <v>3.2416666666666666E-3</v>
      </c>
      <c r="F107" s="577">
        <v>3.5666666666666668E-3</v>
      </c>
      <c r="G107" s="577">
        <v>3.4041666666666669E-3</v>
      </c>
      <c r="H107" s="577">
        <v>4.4083333333333335E-3</v>
      </c>
      <c r="I107" s="577">
        <f t="shared" si="12"/>
        <v>-0.11559999999999999</v>
      </c>
      <c r="J107" s="577">
        <f t="shared" si="17"/>
        <v>-0.11660416666666666</v>
      </c>
      <c r="K107" s="577">
        <f t="shared" si="18"/>
        <v>-0.16470833333333335</v>
      </c>
      <c r="L107" s="585">
        <f t="shared" si="16"/>
        <v>-8.8649099059573078E-2</v>
      </c>
      <c r="M107" s="585">
        <f t="shared" si="14"/>
        <v>2.8799999999999999E-2</v>
      </c>
      <c r="N107" s="585">
        <f t="shared" si="19"/>
        <v>4.0850000000000004E-2</v>
      </c>
      <c r="O107" s="586">
        <f t="shared" si="15"/>
        <v>-0.11744909905957307</v>
      </c>
      <c r="P107" s="585">
        <f t="shared" si="20"/>
        <v>-0.12949909905957308</v>
      </c>
      <c r="Q107" s="585">
        <f t="shared" si="21"/>
        <v>-0.32742985086885779</v>
      </c>
      <c r="R107" s="585">
        <f t="shared" si="22"/>
        <v>5.2900000000000003E-2</v>
      </c>
      <c r="S107" s="586">
        <f t="shared" si="23"/>
        <v>-0.38032985086885779</v>
      </c>
      <c r="U107" s="587"/>
      <c r="V107" s="587"/>
      <c r="W107" s="587"/>
      <c r="X107" s="587"/>
      <c r="Y107" s="587"/>
      <c r="Z107" s="587"/>
      <c r="AA107" s="587"/>
      <c r="AB107" s="587"/>
      <c r="AC107" s="587"/>
      <c r="AE107" s="587"/>
      <c r="AF107" s="587"/>
      <c r="AG107" s="587"/>
      <c r="AH107" s="587"/>
      <c r="AI107" s="587"/>
      <c r="AJ107" s="587"/>
      <c r="AK107" s="587"/>
      <c r="AL107" s="587"/>
      <c r="AM107" s="587"/>
      <c r="AO107" s="587"/>
      <c r="AP107" s="587"/>
      <c r="AQ107" s="587"/>
      <c r="AR107" s="587"/>
      <c r="AS107" s="587"/>
      <c r="AT107" s="587"/>
      <c r="AU107" s="587"/>
      <c r="AV107" s="587"/>
      <c r="AW107" s="587"/>
    </row>
    <row r="108" spans="1:49">
      <c r="A108" s="581">
        <v>12632</v>
      </c>
      <c r="B108" s="594">
        <v>6.1100000000000002E-2</v>
      </c>
      <c r="C108" s="577">
        <v>2.69E-2</v>
      </c>
      <c r="D108" s="577">
        <v>2.3999999999999998E-3</v>
      </c>
      <c r="E108" s="577">
        <v>3.2750000000000001E-3</v>
      </c>
      <c r="F108" s="577">
        <v>3.6166666666666665E-3</v>
      </c>
      <c r="G108" s="577">
        <v>3.4458333333333337E-3</v>
      </c>
      <c r="H108" s="577">
        <v>4.5249999999999995E-3</v>
      </c>
      <c r="I108" s="577">
        <f t="shared" si="12"/>
        <v>5.8700000000000002E-2</v>
      </c>
      <c r="J108" s="577">
        <f t="shared" si="17"/>
        <v>5.7654166666666666E-2</v>
      </c>
      <c r="K108" s="577">
        <f t="shared" si="18"/>
        <v>2.2374999999999999E-2</v>
      </c>
      <c r="L108" s="585">
        <f t="shared" si="16"/>
        <v>-0.1370386926754531</v>
      </c>
      <c r="M108" s="585">
        <f t="shared" si="14"/>
        <v>2.8799999999999999E-2</v>
      </c>
      <c r="N108" s="585">
        <f t="shared" si="19"/>
        <v>4.1350000000000005E-2</v>
      </c>
      <c r="O108" s="586">
        <f t="shared" si="15"/>
        <v>-0.16583869267545309</v>
      </c>
      <c r="P108" s="585">
        <f t="shared" si="20"/>
        <v>-0.1783886926754531</v>
      </c>
      <c r="Q108" s="585">
        <f t="shared" si="21"/>
        <v>-0.30544822391113235</v>
      </c>
      <c r="R108" s="585">
        <f t="shared" si="22"/>
        <v>5.4299999999999994E-2</v>
      </c>
      <c r="S108" s="586">
        <f t="shared" si="23"/>
        <v>-0.35974822391113237</v>
      </c>
      <c r="U108" s="587"/>
      <c r="V108" s="587"/>
      <c r="W108" s="587"/>
      <c r="X108" s="587"/>
      <c r="Y108" s="587"/>
      <c r="Z108" s="587"/>
      <c r="AA108" s="587"/>
      <c r="AB108" s="587"/>
      <c r="AC108" s="587"/>
      <c r="AE108" s="587"/>
      <c r="AF108" s="587"/>
      <c r="AG108" s="587"/>
      <c r="AH108" s="587"/>
      <c r="AI108" s="587"/>
      <c r="AJ108" s="587"/>
      <c r="AK108" s="587"/>
      <c r="AL108" s="587"/>
      <c r="AM108" s="587"/>
      <c r="AO108" s="587"/>
      <c r="AP108" s="587"/>
      <c r="AQ108" s="587"/>
      <c r="AR108" s="587"/>
      <c r="AS108" s="587"/>
      <c r="AT108" s="587"/>
      <c r="AU108" s="587"/>
      <c r="AV108" s="587"/>
      <c r="AW108" s="587"/>
    </row>
    <row r="109" spans="1:49">
      <c r="A109" s="581">
        <v>12663</v>
      </c>
      <c r="B109" s="594">
        <v>-3.3E-3</v>
      </c>
      <c r="C109" s="577">
        <v>9.4999999999999998E-3</v>
      </c>
      <c r="D109" s="577">
        <v>2.3E-3</v>
      </c>
      <c r="E109" s="577">
        <v>3.3E-3</v>
      </c>
      <c r="F109" s="577">
        <v>3.6833333333333336E-3</v>
      </c>
      <c r="G109" s="577">
        <v>3.4916666666666668E-3</v>
      </c>
      <c r="H109" s="577">
        <v>4.6333333333333339E-3</v>
      </c>
      <c r="I109" s="577">
        <f t="shared" si="12"/>
        <v>-5.5999999999999999E-3</v>
      </c>
      <c r="J109" s="577">
        <f t="shared" si="17"/>
        <v>-6.7916666666666663E-3</v>
      </c>
      <c r="K109" s="577">
        <f t="shared" si="18"/>
        <v>4.8666666666666658E-3</v>
      </c>
      <c r="L109" s="585">
        <f t="shared" si="16"/>
        <v>-3.1621779992822008E-2</v>
      </c>
      <c r="M109" s="585">
        <f t="shared" si="14"/>
        <v>2.76E-2</v>
      </c>
      <c r="N109" s="585">
        <f t="shared" si="19"/>
        <v>4.19E-2</v>
      </c>
      <c r="O109" s="586">
        <f t="shared" si="15"/>
        <v>-5.9221779992822007E-2</v>
      </c>
      <c r="P109" s="585">
        <f t="shared" si="20"/>
        <v>-7.3521779992822001E-2</v>
      </c>
      <c r="Q109" s="585">
        <f t="shared" si="21"/>
        <v>-0.14919303729922118</v>
      </c>
      <c r="R109" s="585">
        <f t="shared" si="22"/>
        <v>5.5600000000000011E-2</v>
      </c>
      <c r="S109" s="586">
        <f t="shared" si="23"/>
        <v>-0.20479303729922119</v>
      </c>
      <c r="U109" s="587"/>
      <c r="V109" s="587"/>
      <c r="W109" s="587"/>
      <c r="X109" s="587"/>
      <c r="Y109" s="587"/>
      <c r="Z109" s="587"/>
      <c r="AA109" s="587"/>
      <c r="AB109" s="587"/>
      <c r="AC109" s="587"/>
      <c r="AE109" s="587"/>
      <c r="AF109" s="587"/>
      <c r="AG109" s="587"/>
      <c r="AH109" s="587"/>
      <c r="AI109" s="587"/>
      <c r="AJ109" s="587"/>
      <c r="AK109" s="587"/>
      <c r="AL109" s="587"/>
      <c r="AM109" s="587"/>
      <c r="AO109" s="587"/>
      <c r="AP109" s="587"/>
      <c r="AQ109" s="587"/>
      <c r="AR109" s="587"/>
      <c r="AS109" s="587"/>
      <c r="AT109" s="587"/>
      <c r="AU109" s="587"/>
      <c r="AV109" s="587"/>
      <c r="AW109" s="587"/>
    </row>
    <row r="110" spans="1:49">
      <c r="A110" s="581">
        <v>12693</v>
      </c>
      <c r="B110" s="594">
        <v>-2.86E-2</v>
      </c>
      <c r="C110" s="577">
        <v>-6.6599999999999993E-2</v>
      </c>
      <c r="D110" s="577">
        <v>2.7000000000000001E-3</v>
      </c>
      <c r="E110" s="577">
        <v>3.2500000000000003E-3</v>
      </c>
      <c r="F110" s="577">
        <v>3.6333333333333335E-3</v>
      </c>
      <c r="G110" s="577">
        <v>3.4416666666666667E-3</v>
      </c>
      <c r="H110" s="577">
        <v>4.5000000000000005E-3</v>
      </c>
      <c r="I110" s="577">
        <f t="shared" si="12"/>
        <v>-3.1300000000000001E-2</v>
      </c>
      <c r="J110" s="577">
        <f t="shared" si="17"/>
        <v>-3.204166666666667E-2</v>
      </c>
      <c r="K110" s="577">
        <f t="shared" si="18"/>
        <v>-7.1099999999999997E-2</v>
      </c>
      <c r="L110" s="585">
        <f t="shared" si="16"/>
        <v>2.8630511662080638E-2</v>
      </c>
      <c r="M110" s="585">
        <f t="shared" si="14"/>
        <v>3.2399999999999998E-2</v>
      </c>
      <c r="N110" s="585">
        <f t="shared" si="19"/>
        <v>4.1300000000000003E-2</v>
      </c>
      <c r="O110" s="586">
        <f t="shared" si="15"/>
        <v>-3.7694883379193606E-3</v>
      </c>
      <c r="P110" s="585">
        <f t="shared" si="20"/>
        <v>-1.2669488337919366E-2</v>
      </c>
      <c r="Q110" s="585">
        <f t="shared" si="21"/>
        <v>-0.1449793077251218</v>
      </c>
      <c r="R110" s="585">
        <f t="shared" si="22"/>
        <v>5.4000000000000006E-2</v>
      </c>
      <c r="S110" s="586">
        <f t="shared" si="23"/>
        <v>-0.19897930772512179</v>
      </c>
      <c r="U110" s="587"/>
      <c r="V110" s="587"/>
      <c r="W110" s="587"/>
      <c r="X110" s="587"/>
      <c r="Y110" s="587"/>
      <c r="Z110" s="587"/>
      <c r="AA110" s="587"/>
      <c r="AB110" s="587"/>
      <c r="AC110" s="587"/>
      <c r="AE110" s="587"/>
      <c r="AF110" s="587"/>
      <c r="AG110" s="587"/>
      <c r="AH110" s="587"/>
      <c r="AI110" s="587"/>
      <c r="AJ110" s="587"/>
      <c r="AK110" s="587"/>
      <c r="AL110" s="587"/>
      <c r="AM110" s="587"/>
      <c r="AO110" s="587"/>
      <c r="AP110" s="587"/>
      <c r="AQ110" s="587"/>
      <c r="AR110" s="587"/>
      <c r="AS110" s="587"/>
      <c r="AT110" s="587"/>
      <c r="AU110" s="587"/>
      <c r="AV110" s="587"/>
      <c r="AW110" s="587"/>
    </row>
    <row r="111" spans="1:49">
      <c r="A111" s="581">
        <v>12724</v>
      </c>
      <c r="B111" s="594">
        <v>9.4200000000000006E-2</v>
      </c>
      <c r="C111" s="577">
        <v>-4.8000000000000004E-3</v>
      </c>
      <c r="D111" s="577">
        <v>2.5000000000000001E-3</v>
      </c>
      <c r="E111" s="577">
        <v>3.2166666666666667E-3</v>
      </c>
      <c r="F111" s="577">
        <v>3.5666666666666668E-3</v>
      </c>
      <c r="G111" s="577">
        <v>3.3916666666666665E-3</v>
      </c>
      <c r="H111" s="577">
        <v>4.4833333333333331E-3</v>
      </c>
      <c r="I111" s="577">
        <f t="shared" si="12"/>
        <v>9.1700000000000004E-2</v>
      </c>
      <c r="J111" s="577">
        <f t="shared" si="17"/>
        <v>9.0808333333333338E-2</v>
      </c>
      <c r="K111" s="577">
        <f t="shared" si="18"/>
        <v>-9.2833333333333344E-3</v>
      </c>
      <c r="L111" s="585">
        <f t="shared" si="16"/>
        <v>1.1528269848700035E-2</v>
      </c>
      <c r="M111" s="585">
        <f t="shared" si="14"/>
        <v>0.03</v>
      </c>
      <c r="N111" s="585">
        <f t="shared" si="19"/>
        <v>4.07E-2</v>
      </c>
      <c r="O111" s="586">
        <f t="shared" si="15"/>
        <v>-1.8471730151299964E-2</v>
      </c>
      <c r="P111" s="585">
        <f t="shared" si="20"/>
        <v>-2.9171730151299965E-2</v>
      </c>
      <c r="Q111" s="585">
        <f t="shared" si="21"/>
        <v>-0.13348615789006235</v>
      </c>
      <c r="R111" s="585">
        <f t="shared" si="22"/>
        <v>5.3800000000000001E-2</v>
      </c>
      <c r="S111" s="586">
        <f t="shared" si="23"/>
        <v>-0.18728615789006237</v>
      </c>
      <c r="U111" s="587"/>
      <c r="V111" s="587"/>
      <c r="W111" s="587"/>
      <c r="X111" s="587"/>
      <c r="Y111" s="587"/>
      <c r="Z111" s="587"/>
      <c r="AA111" s="587"/>
      <c r="AB111" s="587"/>
      <c r="AC111" s="587"/>
      <c r="AE111" s="587"/>
      <c r="AF111" s="587"/>
      <c r="AG111" s="587"/>
      <c r="AH111" s="587"/>
      <c r="AI111" s="587"/>
      <c r="AJ111" s="587"/>
      <c r="AK111" s="587"/>
      <c r="AL111" s="587"/>
      <c r="AM111" s="587"/>
      <c r="AO111" s="587"/>
      <c r="AP111" s="587"/>
      <c r="AQ111" s="587"/>
      <c r="AR111" s="587"/>
      <c r="AS111" s="587"/>
      <c r="AT111" s="587"/>
      <c r="AU111" s="587"/>
      <c r="AV111" s="587"/>
      <c r="AW111" s="587"/>
    </row>
    <row r="112" spans="1:49">
      <c r="A112" s="581">
        <v>12754</v>
      </c>
      <c r="B112" s="594">
        <v>-1E-3</v>
      </c>
      <c r="C112" s="577">
        <v>-7.010000000000001E-2</v>
      </c>
      <c r="D112" s="577">
        <v>2.5000000000000001E-3</v>
      </c>
      <c r="E112" s="577">
        <v>3.1749999999999999E-3</v>
      </c>
      <c r="F112" s="577">
        <v>3.5583333333333326E-3</v>
      </c>
      <c r="G112" s="577">
        <v>3.3666666666666667E-3</v>
      </c>
      <c r="H112" s="577">
        <v>4.4666666666666674E-3</v>
      </c>
      <c r="I112" s="577">
        <f t="shared" si="12"/>
        <v>-3.5000000000000001E-3</v>
      </c>
      <c r="J112" s="577">
        <f t="shared" si="17"/>
        <v>-4.3666666666666663E-3</v>
      </c>
      <c r="K112" s="577">
        <f t="shared" si="18"/>
        <v>-7.456666666666667E-2</v>
      </c>
      <c r="L112" s="585">
        <f t="shared" si="16"/>
        <v>-1.4418471102261021E-2</v>
      </c>
      <c r="M112" s="585">
        <f t="shared" si="14"/>
        <v>0.03</v>
      </c>
      <c r="N112" s="585">
        <f t="shared" si="19"/>
        <v>4.0399999999999998E-2</v>
      </c>
      <c r="O112" s="586">
        <f t="shared" si="15"/>
        <v>-4.441847110226102E-2</v>
      </c>
      <c r="P112" s="585">
        <f t="shared" si="20"/>
        <v>-5.481847110226102E-2</v>
      </c>
      <c r="Q112" s="585">
        <f t="shared" si="21"/>
        <v>-0.20425516316607606</v>
      </c>
      <c r="R112" s="585">
        <f t="shared" si="22"/>
        <v>5.3600000000000009E-2</v>
      </c>
      <c r="S112" s="586">
        <f t="shared" si="23"/>
        <v>-0.25785516316607604</v>
      </c>
      <c r="U112" s="587"/>
      <c r="V112" s="587"/>
      <c r="W112" s="587"/>
      <c r="X112" s="587"/>
      <c r="Y112" s="587"/>
      <c r="Z112" s="587"/>
      <c r="AA112" s="587"/>
      <c r="AB112" s="587"/>
      <c r="AC112" s="587"/>
      <c r="AE112" s="587"/>
      <c r="AF112" s="587"/>
      <c r="AG112" s="587"/>
      <c r="AH112" s="587"/>
      <c r="AI112" s="587"/>
      <c r="AJ112" s="587"/>
      <c r="AK112" s="587"/>
      <c r="AL112" s="587"/>
      <c r="AM112" s="587"/>
      <c r="AO112" s="587"/>
      <c r="AP112" s="587"/>
      <c r="AQ112" s="587"/>
      <c r="AR112" s="587"/>
      <c r="AS112" s="587"/>
      <c r="AT112" s="587"/>
      <c r="AU112" s="587"/>
      <c r="AV112" s="587"/>
      <c r="AW112" s="587"/>
    </row>
    <row r="113" spans="1:49">
      <c r="A113" s="581">
        <v>12785</v>
      </c>
      <c r="B113" s="594">
        <v>-4.1099999999999998E-2</v>
      </c>
      <c r="C113" s="577">
        <v>-2.3099999999999999E-2</v>
      </c>
      <c r="D113" s="577">
        <v>2.5000000000000001E-3</v>
      </c>
      <c r="E113" s="577">
        <v>3.1416666666666663E-3</v>
      </c>
      <c r="F113" s="577">
        <v>3.5083333333333334E-3</v>
      </c>
      <c r="G113" s="577">
        <v>3.3250000000000003E-3</v>
      </c>
      <c r="H113" s="577">
        <v>4.3166666666666666E-3</v>
      </c>
      <c r="I113" s="577">
        <f t="shared" si="12"/>
        <v>-4.36E-2</v>
      </c>
      <c r="J113" s="577">
        <f t="shared" si="17"/>
        <v>-4.4424999999999999E-2</v>
      </c>
      <c r="K113" s="577">
        <f t="shared" si="18"/>
        <v>-2.7416666666666666E-2</v>
      </c>
      <c r="L113" s="585">
        <f t="shared" si="16"/>
        <v>-0.14619737278883216</v>
      </c>
      <c r="M113" s="585">
        <f t="shared" si="14"/>
        <v>0.03</v>
      </c>
      <c r="N113" s="585">
        <f t="shared" si="19"/>
        <v>3.9900000000000005E-2</v>
      </c>
      <c r="O113" s="586">
        <f t="shared" si="15"/>
        <v>-0.17619737278883216</v>
      </c>
      <c r="P113" s="585">
        <f t="shared" si="20"/>
        <v>-0.18609737278883215</v>
      </c>
      <c r="Q113" s="585">
        <f t="shared" si="21"/>
        <v>-0.33818905916647357</v>
      </c>
      <c r="R113" s="585">
        <f t="shared" si="22"/>
        <v>5.1799999999999999E-2</v>
      </c>
      <c r="S113" s="586">
        <f t="shared" si="23"/>
        <v>-0.38998905916647358</v>
      </c>
      <c r="U113" s="587"/>
      <c r="V113" s="587"/>
      <c r="W113" s="587"/>
      <c r="X113" s="587"/>
      <c r="Y113" s="587"/>
      <c r="Z113" s="587"/>
      <c r="AA113" s="587"/>
      <c r="AB113" s="587"/>
      <c r="AC113" s="587"/>
      <c r="AE113" s="587"/>
      <c r="AF113" s="587"/>
      <c r="AG113" s="587"/>
      <c r="AH113" s="587"/>
      <c r="AI113" s="587"/>
      <c r="AJ113" s="587"/>
      <c r="AK113" s="587"/>
      <c r="AL113" s="587"/>
      <c r="AM113" s="587"/>
      <c r="AO113" s="587"/>
      <c r="AP113" s="587"/>
      <c r="AQ113" s="587"/>
      <c r="AR113" s="587"/>
      <c r="AS113" s="587"/>
      <c r="AT113" s="587"/>
      <c r="AU113" s="587"/>
      <c r="AV113" s="587"/>
      <c r="AW113" s="587"/>
    </row>
    <row r="114" spans="1:49">
      <c r="A114" s="581">
        <v>12816</v>
      </c>
      <c r="B114" s="594">
        <v>-3.4099999999999998E-2</v>
      </c>
      <c r="C114" s="577">
        <v>-0.11360000000000001</v>
      </c>
      <c r="D114" s="577">
        <v>2.0999999999999999E-3</v>
      </c>
      <c r="E114" s="577">
        <v>3.075E-3</v>
      </c>
      <c r="F114" s="577">
        <v>3.4416666666666667E-3</v>
      </c>
      <c r="G114" s="577">
        <v>3.2583333333333331E-3</v>
      </c>
      <c r="H114" s="577">
        <v>4.1333333333333335E-3</v>
      </c>
      <c r="I114" s="577">
        <f t="shared" si="12"/>
        <v>-3.6199999999999996E-2</v>
      </c>
      <c r="J114" s="577">
        <f t="shared" si="17"/>
        <v>-3.7358333333333334E-2</v>
      </c>
      <c r="K114" s="577">
        <f t="shared" si="18"/>
        <v>-0.11773333333333334</v>
      </c>
      <c r="L114" s="585">
        <f t="shared" si="16"/>
        <v>-0.14787357137500834</v>
      </c>
      <c r="M114" s="585">
        <f t="shared" si="14"/>
        <v>2.52E-2</v>
      </c>
      <c r="N114" s="585">
        <f t="shared" si="19"/>
        <v>3.9099999999999996E-2</v>
      </c>
      <c r="O114" s="586">
        <f t="shared" si="15"/>
        <v>-0.17307357137500834</v>
      </c>
      <c r="P114" s="585">
        <f t="shared" si="20"/>
        <v>-0.18697357137500834</v>
      </c>
      <c r="Q114" s="585">
        <f t="shared" si="21"/>
        <v>-0.39882228125144725</v>
      </c>
      <c r="R114" s="585">
        <f t="shared" si="22"/>
        <v>4.9600000000000005E-2</v>
      </c>
      <c r="S114" s="586">
        <f t="shared" si="23"/>
        <v>-0.44842228125144723</v>
      </c>
      <c r="U114" s="587"/>
      <c r="V114" s="587"/>
      <c r="W114" s="587"/>
      <c r="X114" s="587"/>
      <c r="Y114" s="587"/>
      <c r="Z114" s="587"/>
      <c r="AA114" s="587"/>
      <c r="AB114" s="587"/>
      <c r="AC114" s="587"/>
      <c r="AE114" s="587"/>
      <c r="AF114" s="587"/>
      <c r="AG114" s="587"/>
      <c r="AH114" s="587"/>
      <c r="AI114" s="587"/>
      <c r="AJ114" s="587"/>
      <c r="AK114" s="587"/>
      <c r="AL114" s="587"/>
      <c r="AM114" s="587"/>
      <c r="AO114" s="587"/>
      <c r="AP114" s="587"/>
      <c r="AQ114" s="587"/>
      <c r="AR114" s="587"/>
      <c r="AS114" s="587"/>
      <c r="AT114" s="587"/>
      <c r="AU114" s="587"/>
      <c r="AV114" s="587"/>
      <c r="AW114" s="587"/>
    </row>
    <row r="115" spans="1:49">
      <c r="A115" s="581">
        <v>12844</v>
      </c>
      <c r="B115" s="594">
        <v>-2.86E-2</v>
      </c>
      <c r="C115" s="577">
        <v>0.1043</v>
      </c>
      <c r="D115" s="577">
        <v>2.2000000000000001E-3</v>
      </c>
      <c r="E115" s="577">
        <v>3.0583333333333335E-3</v>
      </c>
      <c r="F115" s="577">
        <v>3.4250000000000001E-3</v>
      </c>
      <c r="G115" s="577">
        <v>3.241666666666667E-3</v>
      </c>
      <c r="H115" s="577">
        <v>4.0666666666666663E-3</v>
      </c>
      <c r="I115" s="577">
        <f t="shared" si="12"/>
        <v>-3.0800000000000001E-2</v>
      </c>
      <c r="J115" s="577">
        <f t="shared" si="17"/>
        <v>-3.1841666666666671E-2</v>
      </c>
      <c r="K115" s="577">
        <f t="shared" si="18"/>
        <v>0.10023333333333334</v>
      </c>
      <c r="L115" s="585">
        <f t="shared" si="16"/>
        <v>-0.17224438723368307</v>
      </c>
      <c r="M115" s="585">
        <f t="shared" si="14"/>
        <v>2.64E-2</v>
      </c>
      <c r="N115" s="585">
        <f t="shared" si="19"/>
        <v>3.8900000000000004E-2</v>
      </c>
      <c r="O115" s="586">
        <f t="shared" si="15"/>
        <v>-0.19864438723368308</v>
      </c>
      <c r="P115" s="585">
        <f t="shared" si="20"/>
        <v>-0.21114438723368306</v>
      </c>
      <c r="Q115" s="585">
        <f t="shared" si="21"/>
        <v>-0.32866765616945426</v>
      </c>
      <c r="R115" s="585">
        <f t="shared" si="22"/>
        <v>4.8799999999999996E-2</v>
      </c>
      <c r="S115" s="586">
        <f t="shared" si="23"/>
        <v>-0.37746765616945427</v>
      </c>
      <c r="U115" s="587"/>
      <c r="V115" s="587"/>
      <c r="W115" s="587"/>
      <c r="X115" s="587"/>
      <c r="Y115" s="587"/>
      <c r="Z115" s="587"/>
      <c r="AA115" s="587"/>
      <c r="AB115" s="587"/>
      <c r="AC115" s="587"/>
      <c r="AE115" s="587"/>
      <c r="AF115" s="587"/>
      <c r="AG115" s="587"/>
      <c r="AH115" s="587"/>
      <c r="AI115" s="587"/>
      <c r="AJ115" s="587"/>
      <c r="AK115" s="587"/>
      <c r="AL115" s="587"/>
      <c r="AM115" s="587"/>
      <c r="AO115" s="587"/>
      <c r="AP115" s="587"/>
      <c r="AQ115" s="587"/>
      <c r="AR115" s="587"/>
      <c r="AS115" s="587"/>
      <c r="AT115" s="587"/>
      <c r="AU115" s="587"/>
      <c r="AV115" s="587"/>
      <c r="AW115" s="587"/>
    </row>
    <row r="116" spans="1:49">
      <c r="A116" s="581">
        <v>12875</v>
      </c>
      <c r="B116" s="594">
        <v>9.8000000000000004E-2</v>
      </c>
      <c r="C116" s="577">
        <v>0.11779999999999999</v>
      </c>
      <c r="D116" s="577">
        <v>2.3E-3</v>
      </c>
      <c r="E116" s="577">
        <v>3.0499999999999998E-3</v>
      </c>
      <c r="F116" s="577">
        <v>3.4000000000000002E-3</v>
      </c>
      <c r="G116" s="577">
        <v>3.225E-3</v>
      </c>
      <c r="H116" s="577">
        <v>3.9916666666666668E-3</v>
      </c>
      <c r="I116" s="577">
        <f t="shared" si="12"/>
        <v>9.5700000000000007E-2</v>
      </c>
      <c r="J116" s="577">
        <f t="shared" si="17"/>
        <v>9.4774999999999998E-2</v>
      </c>
      <c r="K116" s="577">
        <f t="shared" si="18"/>
        <v>0.11380833333333332</v>
      </c>
      <c r="L116" s="585">
        <f t="shared" si="16"/>
        <v>-6.7724214978545416E-2</v>
      </c>
      <c r="M116" s="585">
        <f t="shared" si="14"/>
        <v>2.76E-2</v>
      </c>
      <c r="N116" s="585">
        <f t="shared" si="19"/>
        <v>3.8699999999999998E-2</v>
      </c>
      <c r="O116" s="586">
        <f t="shared" si="15"/>
        <v>-9.5324214978545416E-2</v>
      </c>
      <c r="P116" s="585">
        <f t="shared" si="20"/>
        <v>-0.10642421497854541</v>
      </c>
      <c r="Q116" s="585">
        <f t="shared" si="21"/>
        <v>-0.22228697903017502</v>
      </c>
      <c r="R116" s="585">
        <f t="shared" si="22"/>
        <v>4.7899999999999998E-2</v>
      </c>
      <c r="S116" s="586">
        <f t="shared" si="23"/>
        <v>-0.27018697903017502</v>
      </c>
      <c r="U116" s="587"/>
      <c r="V116" s="587"/>
      <c r="W116" s="587"/>
      <c r="X116" s="587"/>
      <c r="Y116" s="587"/>
      <c r="Z116" s="587"/>
      <c r="AA116" s="587"/>
      <c r="AB116" s="587"/>
      <c r="AC116" s="587"/>
      <c r="AE116" s="587"/>
      <c r="AF116" s="587"/>
      <c r="AG116" s="587"/>
      <c r="AH116" s="587"/>
      <c r="AI116" s="587"/>
      <c r="AJ116" s="587"/>
      <c r="AK116" s="587"/>
      <c r="AL116" s="587"/>
      <c r="AM116" s="587"/>
      <c r="AO116" s="587"/>
      <c r="AP116" s="587"/>
      <c r="AQ116" s="587"/>
      <c r="AR116" s="587"/>
      <c r="AS116" s="587"/>
      <c r="AT116" s="587"/>
      <c r="AU116" s="587"/>
      <c r="AV116" s="587"/>
      <c r="AW116" s="587"/>
    </row>
    <row r="117" spans="1:49">
      <c r="A117" s="581">
        <v>12905</v>
      </c>
      <c r="B117" s="594">
        <v>4.0899999999999999E-2</v>
      </c>
      <c r="C117" s="577">
        <v>0.1106</v>
      </c>
      <c r="D117" s="577">
        <v>2.3E-3</v>
      </c>
      <c r="E117" s="577">
        <v>3.0416666666666665E-3</v>
      </c>
      <c r="F117" s="577">
        <v>3.3583333333333338E-3</v>
      </c>
      <c r="G117" s="577">
        <v>3.2000000000000002E-3</v>
      </c>
      <c r="H117" s="577">
        <v>3.8416666666666673E-3</v>
      </c>
      <c r="I117" s="577">
        <f t="shared" si="12"/>
        <v>3.8599999999999995E-2</v>
      </c>
      <c r="J117" s="577">
        <f t="shared" si="17"/>
        <v>3.7699999999999997E-2</v>
      </c>
      <c r="K117" s="577">
        <f t="shared" si="18"/>
        <v>0.10675833333333333</v>
      </c>
      <c r="L117" s="585">
        <f t="shared" si="16"/>
        <v>4.7502012768601221E-2</v>
      </c>
      <c r="M117" s="585">
        <f t="shared" si="14"/>
        <v>2.76E-2</v>
      </c>
      <c r="N117" s="585">
        <f t="shared" si="19"/>
        <v>3.8400000000000004E-2</v>
      </c>
      <c r="O117" s="586">
        <f t="shared" si="15"/>
        <v>1.9902012768601221E-2</v>
      </c>
      <c r="P117" s="585">
        <f t="shared" si="20"/>
        <v>9.102012768601217E-3</v>
      </c>
      <c r="Q117" s="585">
        <f t="shared" si="21"/>
        <v>-6.4723247331794576E-2</v>
      </c>
      <c r="R117" s="585">
        <f t="shared" si="22"/>
        <v>4.6100000000000009E-2</v>
      </c>
      <c r="S117" s="586">
        <f t="shared" si="23"/>
        <v>-0.11082324733179458</v>
      </c>
      <c r="U117" s="587"/>
      <c r="V117" s="587"/>
      <c r="W117" s="587"/>
      <c r="X117" s="587"/>
      <c r="Y117" s="587"/>
      <c r="Z117" s="587"/>
      <c r="AA117" s="587"/>
      <c r="AB117" s="587"/>
      <c r="AC117" s="587"/>
      <c r="AE117" s="587"/>
      <c r="AF117" s="587"/>
      <c r="AG117" s="587"/>
      <c r="AH117" s="587"/>
      <c r="AI117" s="587"/>
      <c r="AJ117" s="587"/>
      <c r="AK117" s="587"/>
      <c r="AL117" s="587"/>
      <c r="AM117" s="587"/>
      <c r="AO117" s="587"/>
      <c r="AP117" s="587"/>
      <c r="AQ117" s="587"/>
      <c r="AR117" s="587"/>
      <c r="AS117" s="587"/>
      <c r="AT117" s="587"/>
      <c r="AU117" s="587"/>
      <c r="AV117" s="587"/>
      <c r="AW117" s="587"/>
    </row>
    <row r="118" spans="1:49">
      <c r="A118" s="581">
        <v>12936</v>
      </c>
      <c r="B118" s="594">
        <v>6.9900000000000004E-2</v>
      </c>
      <c r="C118" s="577">
        <v>0.1036</v>
      </c>
      <c r="D118" s="577">
        <v>2.2000000000000001E-3</v>
      </c>
      <c r="E118" s="577">
        <v>3.0083333333333333E-3</v>
      </c>
      <c r="F118" s="577">
        <v>3.3250000000000003E-3</v>
      </c>
      <c r="G118" s="577">
        <v>3.1666666666666666E-3</v>
      </c>
      <c r="H118" s="577">
        <v>3.7750000000000001E-3</v>
      </c>
      <c r="I118" s="577">
        <f t="shared" si="12"/>
        <v>6.770000000000001E-2</v>
      </c>
      <c r="J118" s="577">
        <f t="shared" si="17"/>
        <v>6.6733333333333339E-2</v>
      </c>
      <c r="K118" s="577">
        <f t="shared" si="18"/>
        <v>9.9824999999999997E-2</v>
      </c>
      <c r="L118" s="585">
        <f t="shared" si="16"/>
        <v>9.563242101977365E-2</v>
      </c>
      <c r="M118" s="585">
        <f t="shared" si="14"/>
        <v>2.64E-2</v>
      </c>
      <c r="N118" s="585">
        <f t="shared" si="19"/>
        <v>3.7999999999999999E-2</v>
      </c>
      <c r="O118" s="586">
        <f t="shared" si="15"/>
        <v>6.9232421019773643E-2</v>
      </c>
      <c r="P118" s="585">
        <f t="shared" si="20"/>
        <v>5.7632421019773651E-2</v>
      </c>
      <c r="Q118" s="585">
        <f t="shared" si="21"/>
        <v>-1.4915609615736458E-2</v>
      </c>
      <c r="R118" s="585">
        <f t="shared" si="22"/>
        <v>4.53E-2</v>
      </c>
      <c r="S118" s="586">
        <f t="shared" si="23"/>
        <v>-6.0215609615736458E-2</v>
      </c>
      <c r="U118" s="587"/>
      <c r="V118" s="587"/>
      <c r="W118" s="587"/>
      <c r="X118" s="587"/>
      <c r="Y118" s="587"/>
      <c r="Z118" s="587"/>
      <c r="AA118" s="587"/>
      <c r="AB118" s="587"/>
      <c r="AC118" s="587"/>
      <c r="AE118" s="587"/>
      <c r="AF118" s="587"/>
      <c r="AG118" s="587"/>
      <c r="AH118" s="587"/>
      <c r="AI118" s="587"/>
      <c r="AJ118" s="587"/>
      <c r="AK118" s="587"/>
      <c r="AL118" s="587"/>
      <c r="AM118" s="587"/>
      <c r="AO118" s="587"/>
      <c r="AP118" s="587"/>
      <c r="AQ118" s="587"/>
      <c r="AR118" s="587"/>
      <c r="AS118" s="587"/>
      <c r="AT118" s="587"/>
      <c r="AU118" s="587"/>
      <c r="AV118" s="587"/>
      <c r="AW118" s="587"/>
    </row>
    <row r="119" spans="1:49">
      <c r="A119" s="581">
        <v>12966</v>
      </c>
      <c r="B119" s="594">
        <v>8.5000000000000006E-2</v>
      </c>
      <c r="C119" s="577">
        <v>8.6999999999999994E-2</v>
      </c>
      <c r="D119" s="577">
        <v>2.3999999999999998E-3</v>
      </c>
      <c r="E119" s="577">
        <v>2.9666666666666669E-3</v>
      </c>
      <c r="F119" s="577">
        <v>3.2416666666666666E-3</v>
      </c>
      <c r="G119" s="577">
        <v>3.1041666666666665E-3</v>
      </c>
      <c r="H119" s="577">
        <v>3.6833333333333336E-3</v>
      </c>
      <c r="I119" s="577">
        <f t="shared" si="12"/>
        <v>8.2600000000000007E-2</v>
      </c>
      <c r="J119" s="577">
        <f t="shared" si="17"/>
        <v>8.1895833333333334E-2</v>
      </c>
      <c r="K119" s="577">
        <f t="shared" si="18"/>
        <v>8.3316666666666664E-2</v>
      </c>
      <c r="L119" s="585">
        <f t="shared" si="16"/>
        <v>0.34050651421566802</v>
      </c>
      <c r="M119" s="585">
        <f t="shared" si="14"/>
        <v>2.8799999999999999E-2</v>
      </c>
      <c r="N119" s="585">
        <f t="shared" si="19"/>
        <v>3.7249999999999998E-2</v>
      </c>
      <c r="O119" s="586">
        <f t="shared" si="15"/>
        <v>0.31170651421566803</v>
      </c>
      <c r="P119" s="585">
        <f t="shared" si="20"/>
        <v>0.30325651421566802</v>
      </c>
      <c r="Q119" s="585">
        <f t="shared" si="21"/>
        <v>0.27520153905882383</v>
      </c>
      <c r="R119" s="585">
        <f t="shared" si="22"/>
        <v>4.4200000000000003E-2</v>
      </c>
      <c r="S119" s="586">
        <f t="shared" si="23"/>
        <v>0.23100153905882381</v>
      </c>
      <c r="U119" s="587"/>
      <c r="V119" s="587"/>
      <c r="W119" s="587"/>
      <c r="X119" s="587"/>
      <c r="Y119" s="587"/>
      <c r="Z119" s="587"/>
      <c r="AA119" s="587"/>
      <c r="AB119" s="587"/>
      <c r="AC119" s="587"/>
      <c r="AE119" s="587"/>
      <c r="AF119" s="587"/>
      <c r="AG119" s="587"/>
      <c r="AH119" s="587"/>
      <c r="AI119" s="587"/>
      <c r="AJ119" s="587"/>
      <c r="AK119" s="587"/>
      <c r="AL119" s="587"/>
      <c r="AM119" s="587"/>
      <c r="AO119" s="587"/>
      <c r="AP119" s="587"/>
      <c r="AQ119" s="587"/>
      <c r="AR119" s="587"/>
      <c r="AS119" s="587"/>
      <c r="AT119" s="587"/>
      <c r="AU119" s="587"/>
      <c r="AV119" s="587"/>
      <c r="AW119" s="587"/>
    </row>
    <row r="120" spans="1:49">
      <c r="A120" s="581">
        <v>12997</v>
      </c>
      <c r="B120" s="594">
        <v>2.8000000000000001E-2</v>
      </c>
      <c r="C120" s="577">
        <v>5.6299999999999996E-2</v>
      </c>
      <c r="D120" s="577">
        <v>2.3E-3</v>
      </c>
      <c r="E120" s="577">
        <v>3.0000000000000001E-3</v>
      </c>
      <c r="F120" s="577">
        <v>3.225E-3</v>
      </c>
      <c r="G120" s="577">
        <v>3.1125000000000002E-3</v>
      </c>
      <c r="H120" s="577">
        <v>3.7000000000000006E-3</v>
      </c>
      <c r="I120" s="577">
        <f t="shared" si="12"/>
        <v>2.5700000000000001E-2</v>
      </c>
      <c r="J120" s="577">
        <f t="shared" si="17"/>
        <v>2.48875E-2</v>
      </c>
      <c r="K120" s="577">
        <f t="shared" si="18"/>
        <v>5.2599999999999994E-2</v>
      </c>
      <c r="L120" s="585">
        <f t="shared" si="16"/>
        <v>0.29869069514061519</v>
      </c>
      <c r="M120" s="585">
        <f t="shared" si="14"/>
        <v>2.76E-2</v>
      </c>
      <c r="N120" s="585">
        <f t="shared" si="19"/>
        <v>3.7350000000000001E-2</v>
      </c>
      <c r="O120" s="586">
        <f t="shared" si="15"/>
        <v>0.27109069514061518</v>
      </c>
      <c r="P120" s="585">
        <f t="shared" si="20"/>
        <v>0.2613406951406152</v>
      </c>
      <c r="Q120" s="585">
        <f t="shared" si="21"/>
        <v>0.31171037657789036</v>
      </c>
      <c r="R120" s="585">
        <f t="shared" si="22"/>
        <v>4.4400000000000009E-2</v>
      </c>
      <c r="S120" s="586">
        <f t="shared" si="23"/>
        <v>0.26731037657789036</v>
      </c>
      <c r="U120" s="587"/>
      <c r="V120" s="587"/>
      <c r="W120" s="587"/>
      <c r="X120" s="587"/>
      <c r="Y120" s="587"/>
      <c r="Z120" s="587"/>
      <c r="AA120" s="587"/>
      <c r="AB120" s="587"/>
      <c r="AC120" s="587"/>
      <c r="AE120" s="587"/>
      <c r="AF120" s="587"/>
      <c r="AG120" s="587"/>
      <c r="AH120" s="587"/>
      <c r="AI120" s="587"/>
      <c r="AJ120" s="587"/>
      <c r="AK120" s="587"/>
      <c r="AL120" s="587"/>
      <c r="AM120" s="587"/>
      <c r="AO120" s="587"/>
      <c r="AP120" s="587"/>
      <c r="AQ120" s="587"/>
      <c r="AR120" s="587"/>
      <c r="AS120" s="587"/>
      <c r="AT120" s="587"/>
      <c r="AU120" s="587"/>
      <c r="AV120" s="587"/>
      <c r="AW120" s="587"/>
    </row>
    <row r="121" spans="1:49">
      <c r="A121" s="581">
        <v>13028</v>
      </c>
      <c r="B121" s="594">
        <v>2.5600000000000001E-2</v>
      </c>
      <c r="C121" s="577">
        <v>-1.2199999999999999E-2</v>
      </c>
      <c r="D121" s="577">
        <v>2.3E-3</v>
      </c>
      <c r="E121" s="577">
        <v>2.9916666666666663E-3</v>
      </c>
      <c r="F121" s="577">
        <v>3.2083333333333334E-3</v>
      </c>
      <c r="G121" s="577">
        <v>3.0999999999999999E-3</v>
      </c>
      <c r="H121" s="577">
        <v>3.6916666666666664E-3</v>
      </c>
      <c r="I121" s="577">
        <f t="shared" si="12"/>
        <v>2.3300000000000001E-2</v>
      </c>
      <c r="J121" s="577">
        <f t="shared" si="17"/>
        <v>2.2500000000000003E-2</v>
      </c>
      <c r="K121" s="577">
        <f t="shared" si="18"/>
        <v>-1.5891666666666665E-2</v>
      </c>
      <c r="L121" s="585">
        <f t="shared" si="16"/>
        <v>0.3363471224402681</v>
      </c>
      <c r="M121" s="585">
        <f t="shared" si="14"/>
        <v>2.76E-2</v>
      </c>
      <c r="N121" s="585">
        <f t="shared" si="19"/>
        <v>3.7199999999999997E-2</v>
      </c>
      <c r="O121" s="586">
        <f t="shared" si="15"/>
        <v>0.30874712244026808</v>
      </c>
      <c r="P121" s="585">
        <f t="shared" si="20"/>
        <v>0.29914712244026809</v>
      </c>
      <c r="Q121" s="585">
        <f t="shared" si="21"/>
        <v>0.28351412578864821</v>
      </c>
      <c r="R121" s="585">
        <f t="shared" si="22"/>
        <v>4.4299999999999999E-2</v>
      </c>
      <c r="S121" s="586">
        <f t="shared" si="23"/>
        <v>0.2392141257886482</v>
      </c>
      <c r="U121" s="587"/>
      <c r="V121" s="587"/>
      <c r="W121" s="587"/>
      <c r="X121" s="587"/>
      <c r="Y121" s="587"/>
      <c r="Z121" s="587"/>
      <c r="AA121" s="587"/>
      <c r="AB121" s="587"/>
      <c r="AC121" s="587"/>
      <c r="AE121" s="587"/>
      <c r="AF121" s="587"/>
      <c r="AG121" s="587"/>
      <c r="AH121" s="587"/>
      <c r="AI121" s="587"/>
      <c r="AJ121" s="587"/>
      <c r="AK121" s="587"/>
      <c r="AL121" s="587"/>
      <c r="AM121" s="587"/>
      <c r="AO121" s="587"/>
      <c r="AP121" s="587"/>
      <c r="AQ121" s="587"/>
      <c r="AR121" s="587"/>
      <c r="AS121" s="587"/>
      <c r="AT121" s="587"/>
      <c r="AU121" s="587"/>
      <c r="AV121" s="587"/>
      <c r="AW121" s="587"/>
    </row>
    <row r="122" spans="1:49">
      <c r="A122" s="581">
        <v>13058</v>
      </c>
      <c r="B122" s="594">
        <v>7.7700000000000005E-2</v>
      </c>
      <c r="C122" s="577">
        <v>0.12240000000000001</v>
      </c>
      <c r="D122" s="577">
        <v>2.3E-3</v>
      </c>
      <c r="E122" s="577">
        <v>2.9333333333333334E-3</v>
      </c>
      <c r="F122" s="577">
        <v>3.1833333333333332E-3</v>
      </c>
      <c r="G122" s="577">
        <v>3.058333333333333E-3</v>
      </c>
      <c r="H122" s="577">
        <v>3.666666666666667E-3</v>
      </c>
      <c r="I122" s="577">
        <f t="shared" si="12"/>
        <v>7.5400000000000009E-2</v>
      </c>
      <c r="J122" s="577">
        <f t="shared" si="17"/>
        <v>7.4641666666666676E-2</v>
      </c>
      <c r="K122" s="577">
        <f t="shared" si="18"/>
        <v>0.11873333333333334</v>
      </c>
      <c r="L122" s="585">
        <f t="shared" si="16"/>
        <v>0.48258317258994943</v>
      </c>
      <c r="M122" s="585">
        <f t="shared" si="14"/>
        <v>2.76E-2</v>
      </c>
      <c r="N122" s="585">
        <f t="shared" si="19"/>
        <v>3.6699999999999997E-2</v>
      </c>
      <c r="O122" s="586">
        <f t="shared" si="15"/>
        <v>0.45498317258994941</v>
      </c>
      <c r="P122" s="585">
        <f t="shared" si="20"/>
        <v>0.44588317258994942</v>
      </c>
      <c r="Q122" s="585">
        <f t="shared" si="21"/>
        <v>0.54340717247180015</v>
      </c>
      <c r="R122" s="585">
        <f t="shared" si="22"/>
        <v>4.4000000000000004E-2</v>
      </c>
      <c r="S122" s="586">
        <f t="shared" si="23"/>
        <v>0.49940717247180016</v>
      </c>
      <c r="U122" s="587"/>
      <c r="V122" s="587"/>
      <c r="W122" s="587"/>
      <c r="X122" s="587"/>
      <c r="Y122" s="587"/>
      <c r="Z122" s="587"/>
      <c r="AA122" s="587"/>
      <c r="AB122" s="587"/>
      <c r="AC122" s="587"/>
      <c r="AE122" s="587"/>
      <c r="AF122" s="587"/>
      <c r="AG122" s="587"/>
      <c r="AH122" s="587"/>
      <c r="AI122" s="587"/>
      <c r="AJ122" s="587"/>
      <c r="AK122" s="587"/>
      <c r="AL122" s="587"/>
      <c r="AM122" s="587"/>
      <c r="AO122" s="587"/>
      <c r="AP122" s="587"/>
      <c r="AQ122" s="587"/>
      <c r="AR122" s="587"/>
      <c r="AS122" s="587"/>
      <c r="AT122" s="587"/>
      <c r="AU122" s="587"/>
      <c r="AV122" s="587"/>
      <c r="AW122" s="587"/>
    </row>
    <row r="123" spans="1:49">
      <c r="A123" s="581">
        <v>13089</v>
      </c>
      <c r="B123" s="594">
        <v>4.7399999999999998E-2</v>
      </c>
      <c r="C123" s="577">
        <v>1.0800000000000001E-2</v>
      </c>
      <c r="D123" s="577">
        <v>2.3999999999999998E-3</v>
      </c>
      <c r="E123" s="577">
        <v>2.891666666666667E-3</v>
      </c>
      <c r="F123" s="577">
        <v>3.1083333333333336E-3</v>
      </c>
      <c r="G123" s="577">
        <v>3.0000000000000005E-3</v>
      </c>
      <c r="H123" s="577">
        <v>3.6249999999999998E-3</v>
      </c>
      <c r="I123" s="577">
        <f t="shared" si="12"/>
        <v>4.4999999999999998E-2</v>
      </c>
      <c r="J123" s="577">
        <f t="shared" si="17"/>
        <v>4.4399999999999995E-2</v>
      </c>
      <c r="K123" s="577">
        <f t="shared" si="18"/>
        <v>7.1750000000000008E-3</v>
      </c>
      <c r="L123" s="585">
        <f t="shared" si="16"/>
        <v>0.41917164592461442</v>
      </c>
      <c r="M123" s="585">
        <f t="shared" si="14"/>
        <v>2.8799999999999999E-2</v>
      </c>
      <c r="N123" s="585">
        <f t="shared" si="19"/>
        <v>3.6000000000000004E-2</v>
      </c>
      <c r="O123" s="586">
        <f t="shared" si="15"/>
        <v>0.39037164592461443</v>
      </c>
      <c r="P123" s="585">
        <f t="shared" si="20"/>
        <v>0.38317164592461439</v>
      </c>
      <c r="Q123" s="585">
        <f t="shared" si="21"/>
        <v>0.56760045210459809</v>
      </c>
      <c r="R123" s="585">
        <f t="shared" si="22"/>
        <v>4.3499999999999997E-2</v>
      </c>
      <c r="S123" s="586">
        <f t="shared" si="23"/>
        <v>0.5241004521045981</v>
      </c>
      <c r="U123" s="587"/>
      <c r="V123" s="587"/>
      <c r="W123" s="587"/>
      <c r="X123" s="587"/>
      <c r="Y123" s="587"/>
      <c r="Z123" s="587"/>
      <c r="AA123" s="587"/>
      <c r="AB123" s="587"/>
      <c r="AC123" s="587"/>
      <c r="AE123" s="587"/>
      <c r="AF123" s="587"/>
      <c r="AG123" s="587"/>
      <c r="AH123" s="587"/>
      <c r="AI123" s="587"/>
      <c r="AJ123" s="587"/>
      <c r="AK123" s="587"/>
      <c r="AL123" s="587"/>
      <c r="AM123" s="587"/>
      <c r="AO123" s="587"/>
      <c r="AP123" s="587"/>
      <c r="AQ123" s="587"/>
      <c r="AR123" s="587"/>
      <c r="AS123" s="587"/>
      <c r="AT123" s="587"/>
      <c r="AU123" s="587"/>
      <c r="AV123" s="587"/>
      <c r="AW123" s="587"/>
    </row>
    <row r="124" spans="1:49">
      <c r="A124" s="581">
        <v>13119</v>
      </c>
      <c r="B124" s="594">
        <v>3.9399999999999998E-2</v>
      </c>
      <c r="C124" s="577">
        <v>4.7900000000000012E-2</v>
      </c>
      <c r="D124" s="577">
        <v>2.3999999999999998E-3</v>
      </c>
      <c r="E124" s="577">
        <v>2.8666666666666667E-3</v>
      </c>
      <c r="F124" s="577">
        <v>3.0416666666666665E-3</v>
      </c>
      <c r="G124" s="577">
        <v>2.9541666666666666E-3</v>
      </c>
      <c r="H124" s="577">
        <v>3.5750000000000001E-3</v>
      </c>
      <c r="I124" s="577">
        <f t="shared" si="12"/>
        <v>3.6999999999999998E-2</v>
      </c>
      <c r="J124" s="577">
        <f t="shared" si="17"/>
        <v>3.644583333333333E-2</v>
      </c>
      <c r="K124" s="577">
        <f t="shared" si="18"/>
        <v>4.432500000000001E-2</v>
      </c>
      <c r="L124" s="585">
        <f t="shared" si="16"/>
        <v>0.47656357234639102</v>
      </c>
      <c r="M124" s="585">
        <f t="shared" si="14"/>
        <v>2.8799999999999999E-2</v>
      </c>
      <c r="N124" s="585">
        <f t="shared" si="19"/>
        <v>3.5449999999999995E-2</v>
      </c>
      <c r="O124" s="586">
        <f t="shared" si="15"/>
        <v>0.44776357234639103</v>
      </c>
      <c r="P124" s="585">
        <f t="shared" si="20"/>
        <v>0.44111357234639104</v>
      </c>
      <c r="Q124" s="585">
        <f t="shared" si="21"/>
        <v>0.76652168379439511</v>
      </c>
      <c r="R124" s="585">
        <f t="shared" si="22"/>
        <v>4.2900000000000001E-2</v>
      </c>
      <c r="S124" s="586">
        <f t="shared" si="23"/>
        <v>0.72362168379439507</v>
      </c>
      <c r="U124" s="587"/>
      <c r="V124" s="587"/>
      <c r="W124" s="587"/>
      <c r="X124" s="587"/>
      <c r="Y124" s="587"/>
      <c r="Z124" s="587"/>
      <c r="AA124" s="587"/>
      <c r="AB124" s="587"/>
      <c r="AC124" s="587"/>
      <c r="AE124" s="587"/>
      <c r="AF124" s="587"/>
      <c r="AG124" s="587"/>
      <c r="AH124" s="587"/>
      <c r="AI124" s="587"/>
      <c r="AJ124" s="587"/>
      <c r="AK124" s="587"/>
      <c r="AL124" s="587"/>
      <c r="AM124" s="587"/>
      <c r="AO124" s="587"/>
      <c r="AP124" s="587"/>
      <c r="AQ124" s="587"/>
      <c r="AR124" s="587"/>
      <c r="AS124" s="587"/>
      <c r="AT124" s="587"/>
      <c r="AU124" s="587"/>
      <c r="AV124" s="587"/>
      <c r="AW124" s="587"/>
    </row>
    <row r="125" spans="1:49">
      <c r="A125" s="581">
        <v>13150</v>
      </c>
      <c r="B125" s="594">
        <v>6.7000000000000004E-2</v>
      </c>
      <c r="C125" s="577">
        <v>0.11030000000000001</v>
      </c>
      <c r="D125" s="577">
        <v>2.3999999999999998E-3</v>
      </c>
      <c r="E125" s="577">
        <v>2.8083333333333333E-3</v>
      </c>
      <c r="F125" s="577">
        <v>2.9749999999999998E-3</v>
      </c>
      <c r="G125" s="577">
        <v>2.891666666666667E-3</v>
      </c>
      <c r="H125" s="577">
        <v>3.5083333333333334E-3</v>
      </c>
      <c r="I125" s="577">
        <f t="shared" si="12"/>
        <v>6.4600000000000005E-2</v>
      </c>
      <c r="J125" s="577">
        <f t="shared" si="17"/>
        <v>6.4108333333333337E-2</v>
      </c>
      <c r="K125" s="577">
        <f t="shared" si="18"/>
        <v>0.10679166666666667</v>
      </c>
      <c r="L125" s="585">
        <f t="shared" si="16"/>
        <v>0.64302151600125068</v>
      </c>
      <c r="M125" s="585">
        <f t="shared" si="14"/>
        <v>2.8799999999999999E-2</v>
      </c>
      <c r="N125" s="585">
        <f t="shared" si="19"/>
        <v>3.4700000000000002E-2</v>
      </c>
      <c r="O125" s="586">
        <f t="shared" si="15"/>
        <v>0.61422151600125063</v>
      </c>
      <c r="P125" s="585">
        <f t="shared" si="20"/>
        <v>0.60832151600125073</v>
      </c>
      <c r="Q125" s="585">
        <f t="shared" si="21"/>
        <v>1.0077480044189957</v>
      </c>
      <c r="R125" s="585">
        <f t="shared" si="22"/>
        <v>4.2099999999999999E-2</v>
      </c>
      <c r="S125" s="586">
        <f t="shared" si="23"/>
        <v>0.96564800441899568</v>
      </c>
      <c r="U125" s="587"/>
      <c r="V125" s="587"/>
      <c r="W125" s="587"/>
      <c r="X125" s="587"/>
      <c r="Y125" s="587"/>
      <c r="Z125" s="587"/>
      <c r="AA125" s="587"/>
      <c r="AB125" s="587"/>
      <c r="AC125" s="587"/>
      <c r="AE125" s="587"/>
      <c r="AF125" s="587"/>
      <c r="AG125" s="587"/>
      <c r="AH125" s="587"/>
      <c r="AI125" s="587"/>
      <c r="AJ125" s="587"/>
      <c r="AK125" s="587"/>
      <c r="AL125" s="587"/>
      <c r="AM125" s="587"/>
      <c r="AO125" s="587"/>
      <c r="AP125" s="587"/>
      <c r="AQ125" s="587"/>
      <c r="AR125" s="587"/>
      <c r="AS125" s="587"/>
      <c r="AT125" s="587"/>
      <c r="AU125" s="587"/>
      <c r="AV125" s="587"/>
      <c r="AW125" s="587"/>
    </row>
    <row r="126" spans="1:49">
      <c r="A126" s="581">
        <v>13181</v>
      </c>
      <c r="B126" s="594">
        <v>2.24E-2</v>
      </c>
      <c r="C126" s="577">
        <v>-3.4200000000000001E-2</v>
      </c>
      <c r="D126" s="577">
        <v>2.3E-3</v>
      </c>
      <c r="E126" s="577">
        <v>2.7666666666666668E-3</v>
      </c>
      <c r="F126" s="577">
        <v>2.9583333333333332E-3</v>
      </c>
      <c r="G126" s="577">
        <v>2.8625E-3</v>
      </c>
      <c r="H126" s="577">
        <v>3.4749999999999998E-3</v>
      </c>
      <c r="I126" s="577">
        <f t="shared" si="12"/>
        <v>2.01E-2</v>
      </c>
      <c r="J126" s="577">
        <f t="shared" si="17"/>
        <v>1.9537499999999999E-2</v>
      </c>
      <c r="K126" s="577">
        <f t="shared" si="18"/>
        <v>-3.7675E-2</v>
      </c>
      <c r="L126" s="585">
        <f t="shared" si="16"/>
        <v>0.73912951440074348</v>
      </c>
      <c r="M126" s="585">
        <f t="shared" si="14"/>
        <v>2.76E-2</v>
      </c>
      <c r="N126" s="585">
        <f t="shared" si="19"/>
        <v>3.4349999999999999E-2</v>
      </c>
      <c r="O126" s="586">
        <f t="shared" si="15"/>
        <v>0.71152951440074352</v>
      </c>
      <c r="P126" s="585">
        <f t="shared" si="20"/>
        <v>0.70477951440074349</v>
      </c>
      <c r="Q126" s="585">
        <f t="shared" si="21"/>
        <v>1.1875936627570698</v>
      </c>
      <c r="R126" s="585">
        <f t="shared" si="22"/>
        <v>4.1700000000000001E-2</v>
      </c>
      <c r="S126" s="586">
        <f t="shared" si="23"/>
        <v>1.1458936627570697</v>
      </c>
      <c r="U126" s="587"/>
      <c r="V126" s="587"/>
      <c r="W126" s="587"/>
      <c r="X126" s="587"/>
      <c r="Y126" s="587"/>
      <c r="Z126" s="587"/>
      <c r="AA126" s="587"/>
      <c r="AB126" s="587"/>
      <c r="AC126" s="587"/>
      <c r="AE126" s="587"/>
      <c r="AF126" s="587"/>
      <c r="AG126" s="587"/>
      <c r="AH126" s="587"/>
      <c r="AI126" s="587"/>
      <c r="AJ126" s="587"/>
      <c r="AK126" s="587"/>
      <c r="AL126" s="587"/>
      <c r="AM126" s="587"/>
      <c r="AO126" s="587"/>
      <c r="AP126" s="587"/>
      <c r="AQ126" s="587"/>
      <c r="AR126" s="587"/>
      <c r="AS126" s="587"/>
      <c r="AT126" s="587"/>
      <c r="AU126" s="587"/>
      <c r="AV126" s="587"/>
      <c r="AW126" s="587"/>
    </row>
    <row r="127" spans="1:49">
      <c r="A127" s="581">
        <v>13210</v>
      </c>
      <c r="B127" s="594">
        <v>2.6800000000000001E-2</v>
      </c>
      <c r="C127" s="577">
        <v>3.3E-3</v>
      </c>
      <c r="D127" s="577">
        <v>2.3999999999999998E-3</v>
      </c>
      <c r="E127" s="577">
        <v>2.7416666666666666E-3</v>
      </c>
      <c r="F127" s="577">
        <v>2.9583333333333332E-3</v>
      </c>
      <c r="G127" s="577">
        <v>2.8500000000000001E-3</v>
      </c>
      <c r="H127" s="577">
        <v>3.4749999999999998E-3</v>
      </c>
      <c r="I127" s="577">
        <f t="shared" si="12"/>
        <v>2.4400000000000002E-2</v>
      </c>
      <c r="J127" s="577">
        <f t="shared" si="17"/>
        <v>2.3949999999999999E-2</v>
      </c>
      <c r="K127" s="577">
        <f t="shared" si="18"/>
        <v>-1.7499999999999981E-4</v>
      </c>
      <c r="L127" s="585">
        <f t="shared" si="16"/>
        <v>0.83831396477937314</v>
      </c>
      <c r="M127" s="585">
        <f t="shared" si="14"/>
        <v>2.8799999999999999E-2</v>
      </c>
      <c r="N127" s="585">
        <f t="shared" si="19"/>
        <v>3.4200000000000001E-2</v>
      </c>
      <c r="O127" s="586">
        <f t="shared" si="15"/>
        <v>0.8095139647793731</v>
      </c>
      <c r="P127" s="585">
        <f t="shared" si="20"/>
        <v>0.80411396477937314</v>
      </c>
      <c r="Q127" s="585">
        <f t="shared" si="21"/>
        <v>0.98751491609541597</v>
      </c>
      <c r="R127" s="585">
        <f t="shared" si="22"/>
        <v>4.1700000000000001E-2</v>
      </c>
      <c r="S127" s="586">
        <f t="shared" si="23"/>
        <v>0.94581491609541601</v>
      </c>
      <c r="U127" s="587"/>
      <c r="V127" s="587"/>
      <c r="W127" s="587"/>
      <c r="X127" s="587"/>
      <c r="Y127" s="587"/>
      <c r="Z127" s="587"/>
      <c r="AA127" s="587"/>
      <c r="AB127" s="587"/>
      <c r="AC127" s="587"/>
      <c r="AE127" s="587"/>
      <c r="AF127" s="587"/>
      <c r="AG127" s="587"/>
      <c r="AH127" s="587"/>
      <c r="AI127" s="587"/>
      <c r="AJ127" s="587"/>
      <c r="AK127" s="587"/>
      <c r="AL127" s="587"/>
      <c r="AM127" s="587"/>
      <c r="AO127" s="587"/>
      <c r="AP127" s="587"/>
      <c r="AQ127" s="587"/>
      <c r="AR127" s="587"/>
      <c r="AS127" s="587"/>
      <c r="AT127" s="587"/>
      <c r="AU127" s="587"/>
      <c r="AV127" s="587"/>
      <c r="AW127" s="587"/>
    </row>
    <row r="128" spans="1:49">
      <c r="A128" s="581">
        <v>13241</v>
      </c>
      <c r="B128" s="594">
        <v>-7.51E-2</v>
      </c>
      <c r="C128" s="577">
        <v>-8.14E-2</v>
      </c>
      <c r="D128" s="577">
        <v>2.2000000000000001E-3</v>
      </c>
      <c r="E128" s="577">
        <v>2.7416666666666666E-3</v>
      </c>
      <c r="F128" s="577">
        <v>2.9749999999999998E-3</v>
      </c>
      <c r="G128" s="577">
        <v>2.8583333333333334E-3</v>
      </c>
      <c r="H128" s="577">
        <v>3.4749999999999998E-3</v>
      </c>
      <c r="I128" s="577">
        <f t="shared" si="12"/>
        <v>-7.7299999999999994E-2</v>
      </c>
      <c r="J128" s="577">
        <f t="shared" si="17"/>
        <v>-7.7958333333333338E-2</v>
      </c>
      <c r="K128" s="577">
        <f t="shared" si="18"/>
        <v>-8.4875000000000006E-2</v>
      </c>
      <c r="L128" s="585">
        <f t="shared" si="16"/>
        <v>0.54850326596033061</v>
      </c>
      <c r="M128" s="585">
        <f t="shared" si="14"/>
        <v>2.64E-2</v>
      </c>
      <c r="N128" s="585">
        <f t="shared" si="19"/>
        <v>3.4299999999999997E-2</v>
      </c>
      <c r="O128" s="586">
        <f t="shared" si="15"/>
        <v>0.52210326596033063</v>
      </c>
      <c r="P128" s="585">
        <f t="shared" si="20"/>
        <v>0.51420326596033061</v>
      </c>
      <c r="Q128" s="585">
        <f t="shared" si="21"/>
        <v>0.63332546244878252</v>
      </c>
      <c r="R128" s="585">
        <f t="shared" si="22"/>
        <v>4.1700000000000001E-2</v>
      </c>
      <c r="S128" s="586">
        <f t="shared" si="23"/>
        <v>0.59162546244878256</v>
      </c>
      <c r="U128" s="587"/>
      <c r="V128" s="587"/>
      <c r="W128" s="587"/>
      <c r="X128" s="587"/>
      <c r="Y128" s="587"/>
      <c r="Z128" s="587"/>
      <c r="AA128" s="587"/>
      <c r="AB128" s="587"/>
      <c r="AC128" s="587"/>
      <c r="AE128" s="587"/>
      <c r="AF128" s="587"/>
      <c r="AG128" s="587"/>
      <c r="AH128" s="587"/>
      <c r="AI128" s="587"/>
      <c r="AJ128" s="587"/>
      <c r="AK128" s="587"/>
      <c r="AL128" s="587"/>
      <c r="AM128" s="587"/>
      <c r="AO128" s="587"/>
      <c r="AP128" s="587"/>
      <c r="AQ128" s="587"/>
      <c r="AR128" s="587"/>
      <c r="AS128" s="587"/>
      <c r="AT128" s="587"/>
      <c r="AU128" s="587"/>
      <c r="AV128" s="587"/>
      <c r="AW128" s="587"/>
    </row>
    <row r="129" spans="1:49">
      <c r="A129" s="581">
        <v>13271</v>
      </c>
      <c r="B129" s="594">
        <v>5.45E-2</v>
      </c>
      <c r="C129" s="577">
        <v>7.6100000000000001E-2</v>
      </c>
      <c r="D129" s="577">
        <v>2.2000000000000001E-3</v>
      </c>
      <c r="E129" s="577">
        <v>2.725E-3</v>
      </c>
      <c r="F129" s="577">
        <v>2.9416666666666662E-3</v>
      </c>
      <c r="G129" s="577">
        <v>2.8333333333333331E-3</v>
      </c>
      <c r="H129" s="577">
        <v>3.4499999999999999E-3</v>
      </c>
      <c r="I129" s="577">
        <f t="shared" si="12"/>
        <v>5.2299999999999999E-2</v>
      </c>
      <c r="J129" s="577">
        <f t="shared" si="17"/>
        <v>5.1666666666666666E-2</v>
      </c>
      <c r="K129" s="577">
        <f t="shared" si="18"/>
        <v>7.2650000000000006E-2</v>
      </c>
      <c r="L129" s="585">
        <f t="shared" si="16"/>
        <v>0.56873541546274198</v>
      </c>
      <c r="M129" s="585">
        <f t="shared" si="14"/>
        <v>2.64E-2</v>
      </c>
      <c r="N129" s="585">
        <f t="shared" si="19"/>
        <v>3.3999999999999996E-2</v>
      </c>
      <c r="O129" s="586">
        <f t="shared" si="15"/>
        <v>0.542335415462742</v>
      </c>
      <c r="P129" s="585">
        <f t="shared" si="20"/>
        <v>0.53473541546274195</v>
      </c>
      <c r="Q129" s="585">
        <f t="shared" si="21"/>
        <v>0.58258736731598693</v>
      </c>
      <c r="R129" s="585">
        <f t="shared" si="22"/>
        <v>4.1399999999999999E-2</v>
      </c>
      <c r="S129" s="586">
        <f t="shared" si="23"/>
        <v>0.54118736731598693</v>
      </c>
      <c r="U129" s="587"/>
      <c r="V129" s="587"/>
      <c r="W129" s="587"/>
      <c r="X129" s="587"/>
      <c r="Y129" s="587"/>
      <c r="Z129" s="587"/>
      <c r="AA129" s="587"/>
      <c r="AB129" s="587"/>
      <c r="AC129" s="587"/>
      <c r="AE129" s="587"/>
      <c r="AF129" s="587"/>
      <c r="AG129" s="587"/>
      <c r="AH129" s="587"/>
      <c r="AI129" s="587"/>
      <c r="AJ129" s="587"/>
      <c r="AK129" s="587"/>
      <c r="AL129" s="587"/>
      <c r="AM129" s="587"/>
      <c r="AO129" s="587"/>
      <c r="AP129" s="587"/>
      <c r="AQ129" s="587"/>
      <c r="AR129" s="587"/>
      <c r="AS129" s="587"/>
      <c r="AT129" s="587"/>
      <c r="AU129" s="587"/>
      <c r="AV129" s="587"/>
      <c r="AW129" s="587"/>
    </row>
    <row r="130" spans="1:49">
      <c r="A130" s="581">
        <v>13302</v>
      </c>
      <c r="B130" s="594">
        <v>3.3300000000000003E-2</v>
      </c>
      <c r="C130" s="577">
        <v>3.5000000000000003E-2</v>
      </c>
      <c r="D130" s="577">
        <v>2.3999999999999998E-3</v>
      </c>
      <c r="E130" s="577">
        <v>2.7000000000000001E-3</v>
      </c>
      <c r="F130" s="577">
        <v>2.9249999999999996E-3</v>
      </c>
      <c r="G130" s="577">
        <v>2.8124999999999999E-3</v>
      </c>
      <c r="H130" s="577">
        <v>3.4333333333333334E-3</v>
      </c>
      <c r="I130" s="577">
        <f t="shared" si="12"/>
        <v>3.0900000000000004E-2</v>
      </c>
      <c r="J130" s="577">
        <f t="shared" si="17"/>
        <v>3.0487500000000004E-2</v>
      </c>
      <c r="K130" s="577">
        <f t="shared" si="18"/>
        <v>3.1566666666666673E-2</v>
      </c>
      <c r="L130" s="585">
        <f t="shared" si="16"/>
        <v>0.51507085222698512</v>
      </c>
      <c r="M130" s="585">
        <f t="shared" si="14"/>
        <v>2.8799999999999999E-2</v>
      </c>
      <c r="N130" s="585">
        <f t="shared" si="19"/>
        <v>3.3750000000000002E-2</v>
      </c>
      <c r="O130" s="586">
        <f t="shared" si="15"/>
        <v>0.48627085222698513</v>
      </c>
      <c r="P130" s="585">
        <f t="shared" si="20"/>
        <v>0.48132085222698512</v>
      </c>
      <c r="Q130" s="585">
        <f t="shared" si="21"/>
        <v>0.48421341534255746</v>
      </c>
      <c r="R130" s="585">
        <f t="shared" si="22"/>
        <v>4.1200000000000001E-2</v>
      </c>
      <c r="S130" s="586">
        <f t="shared" si="23"/>
        <v>0.44301341534255745</v>
      </c>
      <c r="U130" s="587"/>
      <c r="V130" s="587"/>
      <c r="W130" s="587"/>
      <c r="X130" s="587"/>
      <c r="Y130" s="587"/>
      <c r="Z130" s="587"/>
      <c r="AA130" s="587"/>
      <c r="AB130" s="587"/>
      <c r="AC130" s="587"/>
      <c r="AE130" s="587"/>
      <c r="AF130" s="587"/>
      <c r="AG130" s="587"/>
      <c r="AH130" s="587"/>
      <c r="AI130" s="587"/>
      <c r="AJ130" s="587"/>
      <c r="AK130" s="587"/>
      <c r="AL130" s="587"/>
      <c r="AM130" s="587"/>
      <c r="AO130" s="587"/>
      <c r="AP130" s="587"/>
      <c r="AQ130" s="587"/>
      <c r="AR130" s="587"/>
      <c r="AS130" s="587"/>
      <c r="AT130" s="587"/>
      <c r="AU130" s="587"/>
      <c r="AV130" s="587"/>
      <c r="AW130" s="587"/>
    </row>
    <row r="131" spans="1:49">
      <c r="A131" s="581">
        <v>13332</v>
      </c>
      <c r="B131" s="594">
        <v>7.0099999999999996E-2</v>
      </c>
      <c r="C131" s="577">
        <v>0.1009</v>
      </c>
      <c r="D131" s="577">
        <v>2.3E-3</v>
      </c>
      <c r="E131" s="577">
        <v>2.6916666666666669E-3</v>
      </c>
      <c r="F131" s="577">
        <v>2.8999999999999998E-3</v>
      </c>
      <c r="G131" s="577">
        <v>2.7958333333333329E-3</v>
      </c>
      <c r="H131" s="577">
        <v>3.3916666666666665E-3</v>
      </c>
      <c r="I131" s="577">
        <f t="shared" si="12"/>
        <v>6.7799999999999999E-2</v>
      </c>
      <c r="J131" s="577">
        <f t="shared" si="17"/>
        <v>6.7304166666666665E-2</v>
      </c>
      <c r="K131" s="577">
        <f t="shared" si="18"/>
        <v>9.7508333333333336E-2</v>
      </c>
      <c r="L131" s="585">
        <f t="shared" si="16"/>
        <v>0.49426481010884515</v>
      </c>
      <c r="M131" s="585">
        <f t="shared" si="14"/>
        <v>2.76E-2</v>
      </c>
      <c r="N131" s="585">
        <f t="shared" si="19"/>
        <v>3.3549999999999996E-2</v>
      </c>
      <c r="O131" s="586">
        <f t="shared" si="15"/>
        <v>0.46666481010884514</v>
      </c>
      <c r="P131" s="585">
        <f t="shared" si="20"/>
        <v>0.46071481010884519</v>
      </c>
      <c r="Q131" s="585">
        <f t="shared" si="21"/>
        <v>0.50319277732347878</v>
      </c>
      <c r="R131" s="585">
        <f t="shared" si="22"/>
        <v>4.07E-2</v>
      </c>
      <c r="S131" s="586">
        <f t="shared" si="23"/>
        <v>0.46249277732347877</v>
      </c>
      <c r="U131" s="587"/>
      <c r="V131" s="587"/>
      <c r="W131" s="587"/>
      <c r="X131" s="587"/>
      <c r="Y131" s="587"/>
      <c r="Z131" s="587"/>
      <c r="AA131" s="587"/>
      <c r="AB131" s="587"/>
      <c r="AC131" s="587"/>
      <c r="AE131" s="587"/>
      <c r="AF131" s="587"/>
      <c r="AG131" s="587"/>
      <c r="AH131" s="587"/>
      <c r="AI131" s="587"/>
      <c r="AJ131" s="587"/>
      <c r="AK131" s="587"/>
      <c r="AL131" s="587"/>
      <c r="AM131" s="587"/>
      <c r="AO131" s="587"/>
      <c r="AP131" s="587"/>
      <c r="AQ131" s="587"/>
      <c r="AR131" s="587"/>
      <c r="AS131" s="587"/>
      <c r="AT131" s="587"/>
      <c r="AU131" s="587"/>
      <c r="AV131" s="587"/>
      <c r="AW131" s="587"/>
    </row>
    <row r="132" spans="1:49">
      <c r="A132" s="581">
        <v>13363</v>
      </c>
      <c r="B132" s="594">
        <v>1.5100000000000001E-2</v>
      </c>
      <c r="C132" s="577">
        <v>-1.8E-3</v>
      </c>
      <c r="D132" s="577">
        <v>2.3E-3</v>
      </c>
      <c r="E132" s="577">
        <v>2.6750000000000003E-3</v>
      </c>
      <c r="F132" s="577">
        <v>2.8666666666666667E-3</v>
      </c>
      <c r="G132" s="577">
        <v>2.7708333333333335E-3</v>
      </c>
      <c r="H132" s="577">
        <v>3.3833333333333332E-3</v>
      </c>
      <c r="I132" s="577">
        <f t="shared" si="12"/>
        <v>1.2800000000000001E-2</v>
      </c>
      <c r="J132" s="577">
        <f t="shared" si="17"/>
        <v>1.2329166666666667E-2</v>
      </c>
      <c r="K132" s="577">
        <f t="shared" si="18"/>
        <v>-5.1833333333333332E-3</v>
      </c>
      <c r="L132" s="585">
        <f t="shared" si="16"/>
        <v>0.4755138217329653</v>
      </c>
      <c r="M132" s="585">
        <f t="shared" si="14"/>
        <v>2.76E-2</v>
      </c>
      <c r="N132" s="585">
        <f t="shared" si="19"/>
        <v>3.3250000000000002E-2</v>
      </c>
      <c r="O132" s="586">
        <f t="shared" si="15"/>
        <v>0.44791382173296529</v>
      </c>
      <c r="P132" s="585">
        <f t="shared" si="20"/>
        <v>0.4422638217329653</v>
      </c>
      <c r="Q132" s="585">
        <f t="shared" si="21"/>
        <v>0.42051219381264482</v>
      </c>
      <c r="R132" s="585">
        <f t="shared" si="22"/>
        <v>4.0599999999999997E-2</v>
      </c>
      <c r="S132" s="586">
        <f t="shared" si="23"/>
        <v>0.37991219381264485</v>
      </c>
      <c r="U132" s="587"/>
      <c r="V132" s="587"/>
      <c r="W132" s="587"/>
      <c r="X132" s="587"/>
      <c r="Y132" s="587"/>
      <c r="Z132" s="587"/>
      <c r="AA132" s="587"/>
      <c r="AB132" s="587"/>
      <c r="AC132" s="587"/>
      <c r="AE132" s="587"/>
      <c r="AF132" s="587"/>
      <c r="AG132" s="587"/>
      <c r="AH132" s="587"/>
      <c r="AI132" s="587"/>
      <c r="AJ132" s="587"/>
      <c r="AK132" s="587"/>
      <c r="AL132" s="587"/>
      <c r="AM132" s="587"/>
      <c r="AO132" s="587"/>
      <c r="AP132" s="587"/>
      <c r="AQ132" s="587"/>
      <c r="AR132" s="587"/>
      <c r="AS132" s="587"/>
      <c r="AT132" s="587"/>
      <c r="AU132" s="587"/>
      <c r="AV132" s="587"/>
      <c r="AW132" s="587"/>
    </row>
    <row r="133" spans="1:49">
      <c r="A133" s="581">
        <v>13394</v>
      </c>
      <c r="B133" s="594">
        <v>3.0999999999999999E-3</v>
      </c>
      <c r="C133" s="577">
        <v>-2.2499999999999999E-2</v>
      </c>
      <c r="D133" s="577">
        <v>2.0999999999999999E-3</v>
      </c>
      <c r="E133" s="577">
        <v>2.65E-3</v>
      </c>
      <c r="F133" s="577">
        <v>2.8416666666666668E-3</v>
      </c>
      <c r="G133" s="577">
        <v>2.7458333333333336E-3</v>
      </c>
      <c r="H133" s="577">
        <v>3.3749999999999995E-3</v>
      </c>
      <c r="I133" s="577">
        <f t="shared" si="12"/>
        <v>1E-3</v>
      </c>
      <c r="J133" s="577">
        <f t="shared" si="17"/>
        <v>3.5416666666666626E-4</v>
      </c>
      <c r="K133" s="577">
        <f t="shared" si="18"/>
        <v>-2.5874999999999999E-2</v>
      </c>
      <c r="L133" s="585">
        <f t="shared" si="16"/>
        <v>0.44314344245352744</v>
      </c>
      <c r="M133" s="585">
        <f t="shared" si="14"/>
        <v>2.52E-2</v>
      </c>
      <c r="N133" s="585">
        <f t="shared" si="19"/>
        <v>3.2950000000000007E-2</v>
      </c>
      <c r="O133" s="586">
        <f t="shared" si="15"/>
        <v>0.41794344245352744</v>
      </c>
      <c r="P133" s="585">
        <f t="shared" si="20"/>
        <v>0.4101934424535274</v>
      </c>
      <c r="Q133" s="585">
        <f t="shared" si="21"/>
        <v>0.40570021203873274</v>
      </c>
      <c r="R133" s="585">
        <f t="shared" si="22"/>
        <v>4.0499999999999994E-2</v>
      </c>
      <c r="S133" s="586">
        <f t="shared" si="23"/>
        <v>0.36520021203873276</v>
      </c>
      <c r="U133" s="587"/>
      <c r="V133" s="587"/>
      <c r="W133" s="587"/>
      <c r="X133" s="587"/>
      <c r="Y133" s="587"/>
      <c r="Z133" s="587"/>
      <c r="AA133" s="587"/>
      <c r="AB133" s="587"/>
      <c r="AC133" s="587"/>
      <c r="AE133" s="587"/>
      <c r="AF133" s="587"/>
      <c r="AG133" s="587"/>
      <c r="AH133" s="587"/>
      <c r="AI133" s="587"/>
      <c r="AJ133" s="587"/>
      <c r="AK133" s="587"/>
      <c r="AL133" s="587"/>
      <c r="AM133" s="587"/>
      <c r="AO133" s="587"/>
      <c r="AP133" s="587"/>
      <c r="AQ133" s="587"/>
      <c r="AR133" s="587"/>
      <c r="AS133" s="587"/>
      <c r="AT133" s="587"/>
      <c r="AU133" s="587"/>
      <c r="AV133" s="587"/>
      <c r="AW133" s="587"/>
    </row>
    <row r="134" spans="1:49">
      <c r="A134" s="581">
        <v>13424</v>
      </c>
      <c r="B134" s="594">
        <v>7.7499999999999999E-2</v>
      </c>
      <c r="C134" s="577">
        <v>5.6600000000000004E-2</v>
      </c>
      <c r="D134" s="577">
        <v>2.3E-3</v>
      </c>
      <c r="E134" s="577">
        <v>2.65E-3</v>
      </c>
      <c r="F134" s="577">
        <v>2.8083333333333333E-3</v>
      </c>
      <c r="G134" s="577">
        <v>2.7291666666666671E-3</v>
      </c>
      <c r="H134" s="577">
        <v>3.3666666666666667E-3</v>
      </c>
      <c r="I134" s="577">
        <f t="shared" ref="I134:I197" si="24">B134-D134</f>
        <v>7.5200000000000003E-2</v>
      </c>
      <c r="J134" s="577">
        <f t="shared" si="17"/>
        <v>7.4770833333333328E-2</v>
      </c>
      <c r="K134" s="577">
        <f t="shared" si="18"/>
        <v>5.3233333333333341E-2</v>
      </c>
      <c r="L134" s="585">
        <f t="shared" si="16"/>
        <v>0.44287562331230923</v>
      </c>
      <c r="M134" s="585">
        <f t="shared" si="14"/>
        <v>2.76E-2</v>
      </c>
      <c r="N134" s="585">
        <f t="shared" si="19"/>
        <v>3.2750000000000001E-2</v>
      </c>
      <c r="O134" s="586">
        <f t="shared" si="15"/>
        <v>0.41527562331230922</v>
      </c>
      <c r="P134" s="585">
        <f t="shared" si="20"/>
        <v>0.41012562331230923</v>
      </c>
      <c r="Q134" s="585">
        <f t="shared" si="21"/>
        <v>0.32329191379198585</v>
      </c>
      <c r="R134" s="585">
        <f t="shared" si="22"/>
        <v>4.0399999999999998E-2</v>
      </c>
      <c r="S134" s="586">
        <f t="shared" si="23"/>
        <v>0.28289191379198586</v>
      </c>
      <c r="U134" s="587"/>
      <c r="V134" s="587"/>
      <c r="W134" s="587"/>
      <c r="X134" s="587"/>
      <c r="Y134" s="587"/>
      <c r="Z134" s="587"/>
      <c r="AA134" s="587"/>
      <c r="AB134" s="587"/>
      <c r="AC134" s="587"/>
      <c r="AE134" s="587"/>
      <c r="AF134" s="587"/>
      <c r="AG134" s="587"/>
      <c r="AH134" s="587"/>
      <c r="AI134" s="587"/>
      <c r="AJ134" s="587"/>
      <c r="AK134" s="587"/>
      <c r="AL134" s="587"/>
      <c r="AM134" s="587"/>
      <c r="AO134" s="587"/>
      <c r="AP134" s="587"/>
      <c r="AQ134" s="587"/>
      <c r="AR134" s="587"/>
      <c r="AS134" s="587"/>
      <c r="AT134" s="587"/>
      <c r="AU134" s="587"/>
      <c r="AV134" s="587"/>
      <c r="AW134" s="587"/>
    </row>
    <row r="135" spans="1:49">
      <c r="A135" s="581">
        <v>13455</v>
      </c>
      <c r="B135" s="594">
        <v>1.34E-2</v>
      </c>
      <c r="C135" s="577">
        <v>-1.6900000000000002E-2</v>
      </c>
      <c r="D135" s="577">
        <v>2.2000000000000001E-3</v>
      </c>
      <c r="E135" s="577">
        <v>2.6250000000000002E-3</v>
      </c>
      <c r="F135" s="577">
        <v>2.7583333333333331E-3</v>
      </c>
      <c r="G135" s="577">
        <v>2.6916666666666669E-3</v>
      </c>
      <c r="H135" s="577">
        <v>3.2916666666666667E-3</v>
      </c>
      <c r="I135" s="577">
        <f t="shared" si="24"/>
        <v>1.12E-2</v>
      </c>
      <c r="J135" s="577">
        <f t="shared" si="17"/>
        <v>1.0708333333333334E-2</v>
      </c>
      <c r="K135" s="577">
        <f t="shared" si="18"/>
        <v>-2.019166666666667E-2</v>
      </c>
      <c r="L135" s="585">
        <f t="shared" si="16"/>
        <v>0.39603795748013604</v>
      </c>
      <c r="M135" s="585">
        <f t="shared" si="14"/>
        <v>2.64E-2</v>
      </c>
      <c r="N135" s="585">
        <f t="shared" si="19"/>
        <v>3.2300000000000002E-2</v>
      </c>
      <c r="O135" s="586">
        <f t="shared" si="15"/>
        <v>0.36963795748013606</v>
      </c>
      <c r="P135" s="585">
        <f t="shared" si="20"/>
        <v>0.36373795748013604</v>
      </c>
      <c r="Q135" s="585">
        <f t="shared" si="21"/>
        <v>0.2870283740095978</v>
      </c>
      <c r="R135" s="585">
        <f t="shared" si="22"/>
        <v>3.95E-2</v>
      </c>
      <c r="S135" s="586">
        <f t="shared" si="23"/>
        <v>0.24752837400959779</v>
      </c>
      <c r="U135" s="587"/>
      <c r="V135" s="587"/>
      <c r="W135" s="587"/>
      <c r="X135" s="587"/>
      <c r="Y135" s="587"/>
      <c r="Z135" s="587"/>
      <c r="AA135" s="587"/>
      <c r="AB135" s="587"/>
      <c r="AC135" s="587"/>
      <c r="AE135" s="587"/>
      <c r="AF135" s="587"/>
      <c r="AG135" s="587"/>
      <c r="AH135" s="587"/>
      <c r="AI135" s="587"/>
      <c r="AJ135" s="587"/>
      <c r="AK135" s="587"/>
      <c r="AL135" s="587"/>
      <c r="AM135" s="587"/>
      <c r="AO135" s="587"/>
      <c r="AP135" s="587"/>
      <c r="AQ135" s="587"/>
      <c r="AR135" s="587"/>
      <c r="AS135" s="587"/>
      <c r="AT135" s="587"/>
      <c r="AU135" s="587"/>
      <c r="AV135" s="587"/>
      <c r="AW135" s="587"/>
    </row>
    <row r="136" spans="1:49">
      <c r="A136" s="581">
        <v>13485</v>
      </c>
      <c r="B136" s="594">
        <v>-2.8999999999999998E-3</v>
      </c>
      <c r="C136" s="577">
        <v>-1.7399999999999999E-2</v>
      </c>
      <c r="D136" s="577">
        <v>2.2000000000000001E-3</v>
      </c>
      <c r="E136" s="577">
        <v>2.5833333333333337E-3</v>
      </c>
      <c r="F136" s="577">
        <v>2.7333333333333333E-3</v>
      </c>
      <c r="G136" s="577">
        <v>2.6583333333333337E-3</v>
      </c>
      <c r="H136" s="577">
        <v>3.1916666666666664E-3</v>
      </c>
      <c r="I136" s="577">
        <f t="shared" si="24"/>
        <v>-5.1000000000000004E-3</v>
      </c>
      <c r="J136" s="577">
        <f t="shared" si="17"/>
        <v>-5.5583333333333335E-3</v>
      </c>
      <c r="K136" s="577">
        <f t="shared" si="18"/>
        <v>-2.0591666666666664E-2</v>
      </c>
      <c r="L136" s="585">
        <f t="shared" si="16"/>
        <v>0.3392240209769517</v>
      </c>
      <c r="M136" s="585">
        <f t="shared" si="14"/>
        <v>2.64E-2</v>
      </c>
      <c r="N136" s="585">
        <f t="shared" si="19"/>
        <v>3.1900000000000005E-2</v>
      </c>
      <c r="O136" s="586">
        <f t="shared" si="15"/>
        <v>0.31282402097695172</v>
      </c>
      <c r="P136" s="585">
        <f t="shared" si="20"/>
        <v>0.30732402097695172</v>
      </c>
      <c r="Q136" s="585">
        <f t="shared" si="21"/>
        <v>0.20682706393914541</v>
      </c>
      <c r="R136" s="585">
        <f t="shared" si="22"/>
        <v>3.8300000000000001E-2</v>
      </c>
      <c r="S136" s="586">
        <f t="shared" si="23"/>
        <v>0.16852706393914541</v>
      </c>
      <c r="U136" s="587"/>
      <c r="V136" s="587"/>
      <c r="W136" s="587"/>
      <c r="X136" s="587"/>
      <c r="Y136" s="587"/>
      <c r="Z136" s="587"/>
      <c r="AA136" s="587"/>
      <c r="AB136" s="587"/>
      <c r="AC136" s="587"/>
      <c r="AE136" s="587"/>
      <c r="AF136" s="587"/>
      <c r="AG136" s="587"/>
      <c r="AH136" s="587"/>
      <c r="AI136" s="587"/>
      <c r="AJ136" s="587"/>
      <c r="AK136" s="587"/>
      <c r="AL136" s="587"/>
      <c r="AM136" s="587"/>
      <c r="AO136" s="587"/>
      <c r="AP136" s="587"/>
      <c r="AQ136" s="587"/>
      <c r="AR136" s="587"/>
      <c r="AS136" s="587"/>
      <c r="AT136" s="587"/>
      <c r="AU136" s="587"/>
      <c r="AV136" s="587"/>
      <c r="AW136" s="587"/>
    </row>
    <row r="137" spans="1:49">
      <c r="A137" s="581">
        <v>13516</v>
      </c>
      <c r="B137" s="594">
        <v>3.9E-2</v>
      </c>
      <c r="C137" s="577">
        <v>1.9500000000000003E-2</v>
      </c>
      <c r="D137" s="577">
        <v>2.0999999999999999E-3</v>
      </c>
      <c r="E137" s="577">
        <v>2.5833333333333337E-3</v>
      </c>
      <c r="F137" s="577">
        <v>2.7499999999999998E-3</v>
      </c>
      <c r="G137" s="577">
        <v>2.6666666666666666E-3</v>
      </c>
      <c r="H137" s="577">
        <v>3.1833333333333336E-3</v>
      </c>
      <c r="I137" s="577">
        <f t="shared" si="24"/>
        <v>3.6900000000000002E-2</v>
      </c>
      <c r="J137" s="577">
        <f t="shared" si="17"/>
        <v>3.6333333333333336E-2</v>
      </c>
      <c r="K137" s="577">
        <f t="shared" si="18"/>
        <v>1.631666666666667E-2</v>
      </c>
      <c r="L137" s="585">
        <f t="shared" si="16"/>
        <v>0.30408037281635614</v>
      </c>
      <c r="M137" s="585">
        <f t="shared" si="14"/>
        <v>2.52E-2</v>
      </c>
      <c r="N137" s="585">
        <f t="shared" si="19"/>
        <v>3.2000000000000001E-2</v>
      </c>
      <c r="O137" s="586">
        <f t="shared" si="15"/>
        <v>0.27888037281635614</v>
      </c>
      <c r="P137" s="585">
        <f t="shared" si="20"/>
        <v>0.27208037281635611</v>
      </c>
      <c r="Q137" s="585">
        <f t="shared" si="21"/>
        <v>0.10813310968743495</v>
      </c>
      <c r="R137" s="585">
        <f t="shared" si="22"/>
        <v>3.8200000000000005E-2</v>
      </c>
      <c r="S137" s="586">
        <f t="shared" si="23"/>
        <v>6.9933109687434936E-2</v>
      </c>
      <c r="U137" s="587"/>
      <c r="V137" s="587"/>
      <c r="W137" s="587"/>
      <c r="X137" s="587"/>
      <c r="Y137" s="587"/>
      <c r="Z137" s="587"/>
      <c r="AA137" s="587"/>
      <c r="AB137" s="587"/>
      <c r="AC137" s="587"/>
      <c r="AE137" s="587"/>
      <c r="AF137" s="587"/>
      <c r="AG137" s="587"/>
      <c r="AH137" s="587"/>
      <c r="AI137" s="587"/>
      <c r="AJ137" s="587"/>
      <c r="AK137" s="587"/>
      <c r="AL137" s="587"/>
      <c r="AM137" s="587"/>
      <c r="AO137" s="587"/>
      <c r="AP137" s="587"/>
      <c r="AQ137" s="587"/>
      <c r="AR137" s="587"/>
      <c r="AS137" s="587"/>
      <c r="AT137" s="587"/>
      <c r="AU137" s="587"/>
      <c r="AV137" s="587"/>
      <c r="AW137" s="587"/>
    </row>
    <row r="138" spans="1:49">
      <c r="A138" s="581">
        <v>13547</v>
      </c>
      <c r="B138" s="594">
        <v>1.9099999999999999E-2</v>
      </c>
      <c r="C138" s="577">
        <v>-3.5299999999999998E-2</v>
      </c>
      <c r="D138" s="577">
        <v>2E-3</v>
      </c>
      <c r="E138" s="577">
        <v>2.6833333333333336E-3</v>
      </c>
      <c r="F138" s="577">
        <v>2.8333333333333331E-3</v>
      </c>
      <c r="G138" s="577">
        <v>2.7583333333333336E-3</v>
      </c>
      <c r="H138" s="577">
        <v>3.2416666666666666E-3</v>
      </c>
      <c r="I138" s="577">
        <f t="shared" si="24"/>
        <v>1.7099999999999997E-2</v>
      </c>
      <c r="J138" s="577">
        <f t="shared" si="17"/>
        <v>1.6341666666666664E-2</v>
      </c>
      <c r="K138" s="577">
        <f t="shared" si="18"/>
        <v>-3.8541666666666662E-2</v>
      </c>
      <c r="L138" s="585">
        <f t="shared" si="16"/>
        <v>0.29987119320926081</v>
      </c>
      <c r="M138" s="585">
        <f t="shared" si="14"/>
        <v>2.4E-2</v>
      </c>
      <c r="N138" s="585">
        <f t="shared" si="19"/>
        <v>3.3100000000000004E-2</v>
      </c>
      <c r="O138" s="586">
        <f t="shared" si="15"/>
        <v>0.27587119320926079</v>
      </c>
      <c r="P138" s="585">
        <f t="shared" si="20"/>
        <v>0.26677119320926079</v>
      </c>
      <c r="Q138" s="585">
        <f t="shared" si="21"/>
        <v>0.10687099908414588</v>
      </c>
      <c r="R138" s="585">
        <f t="shared" si="22"/>
        <v>3.8899999999999997E-2</v>
      </c>
      <c r="S138" s="586">
        <f t="shared" si="23"/>
        <v>6.7970999084145889E-2</v>
      </c>
      <c r="U138" s="587"/>
      <c r="V138" s="587"/>
      <c r="W138" s="587"/>
      <c r="X138" s="587"/>
      <c r="Y138" s="587"/>
      <c r="Z138" s="587"/>
      <c r="AA138" s="587"/>
      <c r="AB138" s="587"/>
      <c r="AC138" s="587"/>
      <c r="AE138" s="587"/>
      <c r="AF138" s="587"/>
      <c r="AG138" s="587"/>
      <c r="AH138" s="587"/>
      <c r="AI138" s="587"/>
      <c r="AJ138" s="587"/>
      <c r="AK138" s="587"/>
      <c r="AL138" s="587"/>
      <c r="AM138" s="587"/>
      <c r="AO138" s="587"/>
      <c r="AP138" s="587"/>
      <c r="AQ138" s="587"/>
      <c r="AR138" s="587"/>
      <c r="AS138" s="587"/>
      <c r="AT138" s="587"/>
      <c r="AU138" s="587"/>
      <c r="AV138" s="587"/>
      <c r="AW138" s="587"/>
    </row>
    <row r="139" spans="1:49">
      <c r="A139" s="581">
        <v>13575</v>
      </c>
      <c r="B139" s="594">
        <v>-7.7000000000000002E-3</v>
      </c>
      <c r="C139" s="577">
        <v>-5.7300000000000004E-2</v>
      </c>
      <c r="D139" s="577">
        <v>2.2000000000000001E-3</v>
      </c>
      <c r="E139" s="577">
        <v>2.7666666666666668E-3</v>
      </c>
      <c r="F139" s="577">
        <v>2.9166666666666668E-3</v>
      </c>
      <c r="G139" s="577">
        <v>2.8416666666666668E-3</v>
      </c>
      <c r="H139" s="577">
        <v>3.3333333333333331E-3</v>
      </c>
      <c r="I139" s="577">
        <f t="shared" si="24"/>
        <v>-9.9000000000000008E-3</v>
      </c>
      <c r="J139" s="577">
        <f t="shared" si="17"/>
        <v>-1.0541666666666668E-2</v>
      </c>
      <c r="K139" s="577">
        <f t="shared" si="18"/>
        <v>-6.0633333333333338E-2</v>
      </c>
      <c r="L139" s="585">
        <f t="shared" si="16"/>
        <v>0.25619612877050035</v>
      </c>
      <c r="M139" s="585">
        <f t="shared" si="14"/>
        <v>2.64E-2</v>
      </c>
      <c r="N139" s="585">
        <f t="shared" si="19"/>
        <v>3.4100000000000005E-2</v>
      </c>
      <c r="O139" s="586">
        <f t="shared" si="15"/>
        <v>0.22979612877050035</v>
      </c>
      <c r="P139" s="585">
        <f t="shared" si="20"/>
        <v>0.22209612877050033</v>
      </c>
      <c r="Q139" s="585">
        <f t="shared" si="21"/>
        <v>4.0015240542833119E-2</v>
      </c>
      <c r="R139" s="585">
        <f t="shared" si="22"/>
        <v>3.9999999999999994E-2</v>
      </c>
      <c r="S139" s="586">
        <f t="shared" si="23"/>
        <v>1.524054283312537E-5</v>
      </c>
      <c r="U139" s="587"/>
      <c r="V139" s="587"/>
      <c r="W139" s="587"/>
      <c r="X139" s="587"/>
      <c r="Y139" s="587"/>
      <c r="Z139" s="587"/>
      <c r="AA139" s="587"/>
      <c r="AB139" s="587"/>
      <c r="AC139" s="587"/>
      <c r="AE139" s="587"/>
      <c r="AF139" s="587"/>
      <c r="AG139" s="587"/>
      <c r="AH139" s="587"/>
      <c r="AI139" s="587"/>
      <c r="AJ139" s="587"/>
      <c r="AK139" s="587"/>
      <c r="AL139" s="587"/>
      <c r="AM139" s="587"/>
      <c r="AO139" s="587"/>
      <c r="AP139" s="587"/>
      <c r="AQ139" s="587"/>
      <c r="AR139" s="587"/>
      <c r="AS139" s="587"/>
      <c r="AT139" s="587"/>
      <c r="AU139" s="587"/>
      <c r="AV139" s="587"/>
      <c r="AW139" s="587"/>
    </row>
    <row r="140" spans="1:49">
      <c r="A140" s="581">
        <v>13606</v>
      </c>
      <c r="B140" s="594">
        <v>-8.09E-2</v>
      </c>
      <c r="C140" s="577">
        <v>-7.3599999999999999E-2</v>
      </c>
      <c r="D140" s="577">
        <v>2.3E-3</v>
      </c>
      <c r="E140" s="577">
        <v>2.8499999999999997E-3</v>
      </c>
      <c r="F140" s="577">
        <v>2.9749999999999998E-3</v>
      </c>
      <c r="G140" s="577">
        <v>2.9125000000000002E-3</v>
      </c>
      <c r="H140" s="577">
        <v>3.3916666666666665E-3</v>
      </c>
      <c r="I140" s="577">
        <f t="shared" si="24"/>
        <v>-8.3199999999999996E-2</v>
      </c>
      <c r="J140" s="577">
        <f t="shared" si="17"/>
        <v>-8.3812499999999998E-2</v>
      </c>
      <c r="K140" s="577">
        <f t="shared" si="18"/>
        <v>-7.6991666666666667E-2</v>
      </c>
      <c r="L140" s="585">
        <f t="shared" si="16"/>
        <v>0.24831858790460259</v>
      </c>
      <c r="M140" s="585">
        <f t="shared" si="14"/>
        <v>2.76E-2</v>
      </c>
      <c r="N140" s="585">
        <f t="shared" si="19"/>
        <v>3.4950000000000002E-2</v>
      </c>
      <c r="O140" s="586">
        <f t="shared" si="15"/>
        <v>0.22071858790460258</v>
      </c>
      <c r="P140" s="585">
        <f t="shared" si="20"/>
        <v>0.21336858790460259</v>
      </c>
      <c r="Q140" s="585">
        <f t="shared" si="21"/>
        <v>4.8846199476247021E-2</v>
      </c>
      <c r="R140" s="585">
        <f t="shared" si="22"/>
        <v>4.07E-2</v>
      </c>
      <c r="S140" s="586">
        <f t="shared" si="23"/>
        <v>8.1461994762470208E-3</v>
      </c>
      <c r="U140" s="587"/>
      <c r="V140" s="587"/>
      <c r="W140" s="587"/>
      <c r="X140" s="587"/>
      <c r="Y140" s="587"/>
      <c r="Z140" s="587"/>
      <c r="AA140" s="587"/>
      <c r="AB140" s="587"/>
      <c r="AC140" s="587"/>
      <c r="AE140" s="587"/>
      <c r="AF140" s="587"/>
      <c r="AG140" s="587"/>
      <c r="AH140" s="587"/>
      <c r="AI140" s="587"/>
      <c r="AJ140" s="587"/>
      <c r="AK140" s="587"/>
      <c r="AL140" s="587"/>
      <c r="AM140" s="587"/>
      <c r="AO140" s="587"/>
      <c r="AP140" s="587"/>
      <c r="AQ140" s="587"/>
      <c r="AR140" s="587"/>
      <c r="AS140" s="587"/>
      <c r="AT140" s="587"/>
      <c r="AU140" s="587"/>
      <c r="AV140" s="587"/>
      <c r="AW140" s="587"/>
    </row>
    <row r="141" spans="1:49">
      <c r="A141" s="581">
        <v>13636</v>
      </c>
      <c r="B141" s="594">
        <v>-2.3999999999999998E-3</v>
      </c>
      <c r="C141" s="577">
        <v>-5.16E-2</v>
      </c>
      <c r="D141" s="577">
        <v>2.2000000000000001E-3</v>
      </c>
      <c r="E141" s="577">
        <v>2.7750000000000001E-3</v>
      </c>
      <c r="F141" s="577">
        <v>2.8999999999999998E-3</v>
      </c>
      <c r="G141" s="577">
        <v>2.8375000000000002E-3</v>
      </c>
      <c r="H141" s="577">
        <v>3.3333333333333331E-3</v>
      </c>
      <c r="I141" s="577">
        <f t="shared" si="24"/>
        <v>-4.5999999999999999E-3</v>
      </c>
      <c r="J141" s="577">
        <f t="shared" si="17"/>
        <v>-5.2375E-3</v>
      </c>
      <c r="K141" s="577">
        <f t="shared" si="18"/>
        <v>-5.4933333333333334E-2</v>
      </c>
      <c r="L141" s="585">
        <f t="shared" si="16"/>
        <v>0.18096028761842731</v>
      </c>
      <c r="M141" s="585">
        <f t="shared" si="14"/>
        <v>2.64E-2</v>
      </c>
      <c r="N141" s="585">
        <f t="shared" si="19"/>
        <v>3.4050000000000004E-2</v>
      </c>
      <c r="O141" s="586">
        <f t="shared" si="15"/>
        <v>0.1545602876184273</v>
      </c>
      <c r="P141" s="585">
        <f t="shared" si="20"/>
        <v>0.14691028761842731</v>
      </c>
      <c r="Q141" s="585">
        <f t="shared" si="21"/>
        <v>-7.5619611947520649E-2</v>
      </c>
      <c r="R141" s="585">
        <f t="shared" si="22"/>
        <v>3.9999999999999994E-2</v>
      </c>
      <c r="S141" s="586">
        <f t="shared" si="23"/>
        <v>-0.11561961194752064</v>
      </c>
      <c r="U141" s="587"/>
      <c r="V141" s="587"/>
      <c r="W141" s="587"/>
      <c r="X141" s="587"/>
      <c r="Y141" s="587"/>
      <c r="Z141" s="587"/>
      <c r="AA141" s="587"/>
      <c r="AB141" s="587"/>
      <c r="AC141" s="587"/>
      <c r="AE141" s="587"/>
      <c r="AF141" s="587"/>
      <c r="AG141" s="587"/>
      <c r="AH141" s="587"/>
      <c r="AI141" s="587"/>
      <c r="AJ141" s="587"/>
      <c r="AK141" s="587"/>
      <c r="AL141" s="587"/>
      <c r="AM141" s="587"/>
      <c r="AO141" s="587"/>
      <c r="AP141" s="587"/>
      <c r="AQ141" s="587"/>
      <c r="AR141" s="587"/>
      <c r="AS141" s="587"/>
      <c r="AT141" s="587"/>
      <c r="AU141" s="587"/>
      <c r="AV141" s="587"/>
      <c r="AW141" s="587"/>
    </row>
    <row r="142" spans="1:49">
      <c r="A142" s="581">
        <v>13667</v>
      </c>
      <c r="B142" s="594">
        <v>-5.04E-2</v>
      </c>
      <c r="C142" s="577">
        <v>-4.6699999999999998E-2</v>
      </c>
      <c r="D142" s="577">
        <v>2.5000000000000001E-3</v>
      </c>
      <c r="E142" s="577">
        <v>2.7333333333333333E-3</v>
      </c>
      <c r="F142" s="577">
        <v>2.8583333333333334E-3</v>
      </c>
      <c r="G142" s="577">
        <v>2.7958333333333329E-3</v>
      </c>
      <c r="H142" s="577">
        <v>3.3250000000000003E-3</v>
      </c>
      <c r="I142" s="577">
        <f t="shared" si="24"/>
        <v>-5.2900000000000003E-2</v>
      </c>
      <c r="J142" s="577">
        <f t="shared" si="17"/>
        <v>-5.3195833333333331E-2</v>
      </c>
      <c r="K142" s="577">
        <f t="shared" si="18"/>
        <v>-5.0025E-2</v>
      </c>
      <c r="L142" s="585">
        <f t="shared" si="16"/>
        <v>8.5299418486846523E-2</v>
      </c>
      <c r="M142" s="585">
        <f t="shared" si="14"/>
        <v>0.03</v>
      </c>
      <c r="N142" s="585">
        <f t="shared" si="19"/>
        <v>3.3549999999999996E-2</v>
      </c>
      <c r="O142" s="586">
        <f t="shared" si="15"/>
        <v>5.5299418486846524E-2</v>
      </c>
      <c r="P142" s="585">
        <f t="shared" si="20"/>
        <v>5.1749418486846527E-2</v>
      </c>
      <c r="Q142" s="585">
        <f t="shared" si="21"/>
        <v>-0.14858760972905438</v>
      </c>
      <c r="R142" s="585">
        <f t="shared" si="22"/>
        <v>3.9900000000000005E-2</v>
      </c>
      <c r="S142" s="586">
        <f t="shared" si="23"/>
        <v>-0.18848760972905437</v>
      </c>
      <c r="U142" s="587"/>
      <c r="V142" s="587"/>
      <c r="W142" s="587"/>
      <c r="X142" s="587"/>
      <c r="Y142" s="587"/>
      <c r="Z142" s="587"/>
      <c r="AA142" s="587"/>
      <c r="AB142" s="587"/>
      <c r="AC142" s="587"/>
      <c r="AE142" s="587"/>
      <c r="AF142" s="587"/>
      <c r="AG142" s="587"/>
      <c r="AH142" s="587"/>
      <c r="AI142" s="587"/>
      <c r="AJ142" s="587"/>
      <c r="AK142" s="587"/>
      <c r="AL142" s="587"/>
      <c r="AM142" s="587"/>
      <c r="AO142" s="587"/>
      <c r="AP142" s="587"/>
      <c r="AQ142" s="587"/>
      <c r="AR142" s="587"/>
      <c r="AS142" s="587"/>
      <c r="AT142" s="587"/>
      <c r="AU142" s="587"/>
      <c r="AV142" s="587"/>
      <c r="AW142" s="587"/>
    </row>
    <row r="143" spans="1:49">
      <c r="A143" s="581">
        <v>13697</v>
      </c>
      <c r="B143" s="594">
        <v>0.1045</v>
      </c>
      <c r="C143" s="577">
        <v>0.1671</v>
      </c>
      <c r="D143" s="577">
        <v>2.3999999999999998E-3</v>
      </c>
      <c r="E143" s="577">
        <v>2.708333333333333E-3</v>
      </c>
      <c r="F143" s="577">
        <v>2.8416666666666668E-3</v>
      </c>
      <c r="G143" s="577">
        <v>2.7749999999999997E-3</v>
      </c>
      <c r="H143" s="577">
        <v>3.283333333333333E-3</v>
      </c>
      <c r="I143" s="577">
        <f t="shared" si="24"/>
        <v>0.1021</v>
      </c>
      <c r="J143" s="577">
        <f t="shared" si="17"/>
        <v>0.101725</v>
      </c>
      <c r="K143" s="577">
        <f t="shared" si="18"/>
        <v>0.16381666666666667</v>
      </c>
      <c r="L143" s="585">
        <f t="shared" si="16"/>
        <v>0.12018802702431697</v>
      </c>
      <c r="M143" s="585">
        <f t="shared" si="14"/>
        <v>2.8799999999999999E-2</v>
      </c>
      <c r="N143" s="585">
        <f t="shared" si="19"/>
        <v>3.3299999999999996E-2</v>
      </c>
      <c r="O143" s="586">
        <f t="shared" si="15"/>
        <v>9.1388027024316976E-2</v>
      </c>
      <c r="P143" s="585">
        <f t="shared" si="20"/>
        <v>8.6888027024316972E-2</v>
      </c>
      <c r="Q143" s="585">
        <f t="shared" si="21"/>
        <v>-9.7389953051848166E-2</v>
      </c>
      <c r="R143" s="585">
        <f t="shared" si="22"/>
        <v>3.9399999999999998E-2</v>
      </c>
      <c r="S143" s="586">
        <f t="shared" si="23"/>
        <v>-0.13678995305184816</v>
      </c>
      <c r="U143" s="587"/>
      <c r="V143" s="587"/>
      <c r="W143" s="587"/>
      <c r="X143" s="587"/>
      <c r="Y143" s="587"/>
      <c r="Z143" s="587"/>
      <c r="AA143" s="587"/>
      <c r="AB143" s="587"/>
      <c r="AC143" s="587"/>
      <c r="AE143" s="587"/>
      <c r="AF143" s="587"/>
      <c r="AG143" s="587"/>
      <c r="AH143" s="587"/>
      <c r="AI143" s="587"/>
      <c r="AJ143" s="587"/>
      <c r="AK143" s="587"/>
      <c r="AL143" s="587"/>
      <c r="AM143" s="587"/>
      <c r="AO143" s="587"/>
      <c r="AP143" s="587"/>
      <c r="AQ143" s="587"/>
      <c r="AR143" s="587"/>
      <c r="AS143" s="587"/>
      <c r="AT143" s="587"/>
      <c r="AU143" s="587"/>
      <c r="AV143" s="587"/>
      <c r="AW143" s="587"/>
    </row>
    <row r="144" spans="1:49">
      <c r="A144" s="581">
        <v>13728</v>
      </c>
      <c r="B144" s="594">
        <v>-4.8300000000000003E-2</v>
      </c>
      <c r="C144" s="577">
        <v>-9.0300000000000005E-2</v>
      </c>
      <c r="D144" s="577">
        <v>2.3E-3</v>
      </c>
      <c r="E144" s="577">
        <v>2.7000000000000001E-3</v>
      </c>
      <c r="F144" s="577">
        <v>2.8416666666666668E-3</v>
      </c>
      <c r="G144" s="577">
        <v>2.7708333333333335E-3</v>
      </c>
      <c r="H144" s="577">
        <v>3.2416666666666666E-3</v>
      </c>
      <c r="I144" s="577">
        <f t="shared" si="24"/>
        <v>-5.0600000000000006E-2</v>
      </c>
      <c r="J144" s="577">
        <f t="shared" si="17"/>
        <v>-5.1070833333333336E-2</v>
      </c>
      <c r="K144" s="577">
        <f t="shared" si="18"/>
        <v>-9.3541666666666676E-2</v>
      </c>
      <c r="L144" s="585">
        <f t="shared" ref="L144:L207" si="25">((1+B133)*(1+B134)*(1+B135)*(1+B136)*(1+B137)*(1+B138)*(1+B139)*(1+B140)*(1+B141)*(1+B142)*(1+B143)*(1+B144))-1</f>
        <v>5.0224554545407196E-2</v>
      </c>
      <c r="M144" s="585">
        <f t="shared" ref="M144:M207" si="26">D144*12</f>
        <v>2.76E-2</v>
      </c>
      <c r="N144" s="585">
        <f t="shared" si="19"/>
        <v>3.3250000000000002E-2</v>
      </c>
      <c r="O144" s="586">
        <f t="shared" ref="O144:O207" si="27">L144-M144</f>
        <v>2.2624554545407197E-2</v>
      </c>
      <c r="P144" s="585">
        <f t="shared" si="20"/>
        <v>1.6974554545407194E-2</v>
      </c>
      <c r="Q144" s="585">
        <f t="shared" si="21"/>
        <v>-0.17741498726834937</v>
      </c>
      <c r="R144" s="585">
        <f t="shared" si="22"/>
        <v>3.8899999999999997E-2</v>
      </c>
      <c r="S144" s="586">
        <f t="shared" si="23"/>
        <v>-0.21631498726834936</v>
      </c>
      <c r="U144" s="587"/>
      <c r="V144" s="587"/>
      <c r="W144" s="587"/>
      <c r="X144" s="587"/>
      <c r="Y144" s="587"/>
      <c r="Z144" s="587"/>
      <c r="AA144" s="587"/>
      <c r="AB144" s="587"/>
      <c r="AC144" s="587"/>
      <c r="AE144" s="587"/>
      <c r="AF144" s="587"/>
      <c r="AG144" s="587"/>
      <c r="AH144" s="587"/>
      <c r="AI144" s="587"/>
      <c r="AJ144" s="587"/>
      <c r="AK144" s="587"/>
      <c r="AL144" s="587"/>
      <c r="AM144" s="587"/>
      <c r="AO144" s="587"/>
      <c r="AP144" s="587"/>
      <c r="AQ144" s="587"/>
      <c r="AR144" s="587"/>
      <c r="AS144" s="587"/>
      <c r="AT144" s="587"/>
      <c r="AU144" s="587"/>
      <c r="AV144" s="587"/>
      <c r="AW144" s="587"/>
    </row>
    <row r="145" spans="1:49">
      <c r="A145" s="581">
        <v>13759</v>
      </c>
      <c r="B145" s="594">
        <v>-0.14030000000000001</v>
      </c>
      <c r="C145" s="577">
        <v>-0.1174</v>
      </c>
      <c r="D145" s="577">
        <v>2.3E-3</v>
      </c>
      <c r="E145" s="577">
        <v>2.7333333333333333E-3</v>
      </c>
      <c r="F145" s="577">
        <v>2.8833333333333332E-3</v>
      </c>
      <c r="G145" s="577">
        <v>2.8083333333333333E-3</v>
      </c>
      <c r="H145" s="577">
        <v>3.3E-3</v>
      </c>
      <c r="I145" s="577">
        <f t="shared" si="24"/>
        <v>-0.1426</v>
      </c>
      <c r="J145" s="577">
        <f t="shared" si="17"/>
        <v>-0.14310833333333334</v>
      </c>
      <c r="K145" s="577">
        <f t="shared" si="18"/>
        <v>-0.1207</v>
      </c>
      <c r="L145" s="585">
        <f t="shared" si="25"/>
        <v>-9.9912222567354769E-2</v>
      </c>
      <c r="M145" s="585">
        <f t="shared" si="26"/>
        <v>2.76E-2</v>
      </c>
      <c r="N145" s="585">
        <f t="shared" si="19"/>
        <v>3.3700000000000001E-2</v>
      </c>
      <c r="O145" s="586">
        <f t="shared" si="27"/>
        <v>-0.12751222256735478</v>
      </c>
      <c r="P145" s="585">
        <f t="shared" si="20"/>
        <v>-0.13361222256735478</v>
      </c>
      <c r="Q145" s="585">
        <f t="shared" si="21"/>
        <v>-0.25727515883687468</v>
      </c>
      <c r="R145" s="585">
        <f t="shared" si="22"/>
        <v>3.9599999999999996E-2</v>
      </c>
      <c r="S145" s="586">
        <f t="shared" si="23"/>
        <v>-0.29687515883687465</v>
      </c>
      <c r="U145" s="587"/>
      <c r="V145" s="587"/>
      <c r="W145" s="587"/>
      <c r="X145" s="587"/>
      <c r="Y145" s="587"/>
      <c r="Z145" s="587"/>
      <c r="AA145" s="587"/>
      <c r="AB145" s="587"/>
      <c r="AC145" s="587"/>
      <c r="AE145" s="587"/>
      <c r="AF145" s="587"/>
      <c r="AG145" s="587"/>
      <c r="AH145" s="587"/>
      <c r="AI145" s="587"/>
      <c r="AJ145" s="587"/>
      <c r="AK145" s="587"/>
      <c r="AL145" s="587"/>
      <c r="AM145" s="587"/>
      <c r="AO145" s="587"/>
      <c r="AP145" s="587"/>
      <c r="AQ145" s="587"/>
      <c r="AR145" s="587"/>
      <c r="AS145" s="587"/>
      <c r="AT145" s="587"/>
      <c r="AU145" s="587"/>
      <c r="AV145" s="587"/>
      <c r="AW145" s="587"/>
    </row>
    <row r="146" spans="1:49">
      <c r="A146" s="581">
        <v>13789</v>
      </c>
      <c r="B146" s="594">
        <v>-9.8100000000000007E-2</v>
      </c>
      <c r="C146" s="577">
        <v>-5.16E-2</v>
      </c>
      <c r="D146" s="577">
        <v>2.3E-3</v>
      </c>
      <c r="E146" s="577">
        <v>2.725E-3</v>
      </c>
      <c r="F146" s="577">
        <v>2.9416666666666662E-3</v>
      </c>
      <c r="G146" s="577">
        <v>2.8333333333333331E-3</v>
      </c>
      <c r="H146" s="577">
        <v>3.4083333333333331E-3</v>
      </c>
      <c r="I146" s="577">
        <f t="shared" si="24"/>
        <v>-0.1004</v>
      </c>
      <c r="J146" s="577">
        <f t="shared" si="17"/>
        <v>-0.10093333333333333</v>
      </c>
      <c r="K146" s="577">
        <f t="shared" si="18"/>
        <v>-5.5008333333333333E-2</v>
      </c>
      <c r="L146" s="585">
        <f t="shared" si="25"/>
        <v>-0.24659938146960281</v>
      </c>
      <c r="M146" s="585">
        <f t="shared" si="26"/>
        <v>2.76E-2</v>
      </c>
      <c r="N146" s="585">
        <f t="shared" si="19"/>
        <v>3.3999999999999996E-2</v>
      </c>
      <c r="O146" s="586">
        <f t="shared" si="27"/>
        <v>-0.27419938146960282</v>
      </c>
      <c r="P146" s="585">
        <f t="shared" si="20"/>
        <v>-0.28059938146960278</v>
      </c>
      <c r="Q146" s="585">
        <f t="shared" si="21"/>
        <v>-0.33333310679622552</v>
      </c>
      <c r="R146" s="585">
        <f t="shared" si="22"/>
        <v>4.0899999999999999E-2</v>
      </c>
      <c r="S146" s="586">
        <f t="shared" si="23"/>
        <v>-0.37423310679622551</v>
      </c>
      <c r="U146" s="587"/>
      <c r="V146" s="587"/>
      <c r="W146" s="587"/>
      <c r="X146" s="587"/>
      <c r="Y146" s="587"/>
      <c r="Z146" s="587"/>
      <c r="AA146" s="587"/>
      <c r="AB146" s="587"/>
      <c r="AC146" s="587"/>
      <c r="AE146" s="587"/>
      <c r="AF146" s="587"/>
      <c r="AG146" s="587"/>
      <c r="AH146" s="587"/>
      <c r="AI146" s="587"/>
      <c r="AJ146" s="587"/>
      <c r="AK146" s="587"/>
      <c r="AL146" s="587"/>
      <c r="AM146" s="587"/>
      <c r="AO146" s="587"/>
      <c r="AP146" s="587"/>
      <c r="AQ146" s="587"/>
      <c r="AR146" s="587"/>
      <c r="AS146" s="587"/>
      <c r="AT146" s="587"/>
      <c r="AU146" s="587"/>
      <c r="AV146" s="587"/>
      <c r="AW146" s="587"/>
    </row>
    <row r="147" spans="1:49">
      <c r="A147" s="581">
        <v>13820</v>
      </c>
      <c r="B147" s="594">
        <v>-8.6599999999999996E-2</v>
      </c>
      <c r="C147" s="577">
        <v>8.0000000000000002E-3</v>
      </c>
      <c r="D147" s="577">
        <v>2.3999999999999998E-3</v>
      </c>
      <c r="E147" s="577">
        <v>2.7000000000000001E-3</v>
      </c>
      <c r="F147" s="577">
        <v>2.9499999999999999E-3</v>
      </c>
      <c r="G147" s="577">
        <v>2.8249999999999998E-3</v>
      </c>
      <c r="H147" s="577">
        <v>3.4000000000000002E-3</v>
      </c>
      <c r="I147" s="577">
        <f t="shared" si="24"/>
        <v>-8.8999999999999996E-2</v>
      </c>
      <c r="J147" s="577">
        <f t="shared" si="17"/>
        <v>-8.9424999999999991E-2</v>
      </c>
      <c r="K147" s="577">
        <f t="shared" si="18"/>
        <v>4.5999999999999999E-3</v>
      </c>
      <c r="L147" s="585">
        <f t="shared" si="25"/>
        <v>-0.32094323567627325</v>
      </c>
      <c r="M147" s="585">
        <f t="shared" si="26"/>
        <v>2.8799999999999999E-2</v>
      </c>
      <c r="N147" s="585">
        <f t="shared" si="19"/>
        <v>3.39E-2</v>
      </c>
      <c r="O147" s="586">
        <f t="shared" si="27"/>
        <v>-0.34974323567627325</v>
      </c>
      <c r="P147" s="585">
        <f t="shared" si="20"/>
        <v>-0.35484323567627324</v>
      </c>
      <c r="Q147" s="585">
        <f t="shared" si="21"/>
        <v>-0.31644773843006335</v>
      </c>
      <c r="R147" s="585">
        <f t="shared" si="22"/>
        <v>4.0800000000000003E-2</v>
      </c>
      <c r="S147" s="586">
        <f t="shared" si="23"/>
        <v>-0.35724773843006336</v>
      </c>
      <c r="U147" s="587"/>
      <c r="V147" s="587"/>
      <c r="W147" s="587"/>
      <c r="X147" s="587"/>
      <c r="Y147" s="587"/>
      <c r="Z147" s="587"/>
      <c r="AA147" s="587"/>
      <c r="AB147" s="587"/>
      <c r="AC147" s="587"/>
      <c r="AE147" s="587"/>
      <c r="AF147" s="587"/>
      <c r="AG147" s="587"/>
      <c r="AH147" s="587"/>
      <c r="AI147" s="587"/>
      <c r="AJ147" s="587"/>
      <c r="AK147" s="587"/>
      <c r="AL147" s="587"/>
      <c r="AM147" s="587"/>
      <c r="AO147" s="587"/>
      <c r="AP147" s="587"/>
      <c r="AQ147" s="587"/>
      <c r="AR147" s="587"/>
      <c r="AS147" s="587"/>
      <c r="AT147" s="587"/>
      <c r="AU147" s="587"/>
      <c r="AV147" s="587"/>
      <c r="AW147" s="587"/>
    </row>
    <row r="148" spans="1:49">
      <c r="A148" s="581">
        <v>13850</v>
      </c>
      <c r="B148" s="594">
        <v>-4.5900000000000003E-2</v>
      </c>
      <c r="C148" s="577">
        <v>-9.5100000000000004E-2</v>
      </c>
      <c r="D148" s="577">
        <v>2.3E-3</v>
      </c>
      <c r="E148" s="577">
        <v>2.6750000000000003E-3</v>
      </c>
      <c r="F148" s="577">
        <v>2.9166666666666668E-3</v>
      </c>
      <c r="G148" s="577">
        <v>2.7958333333333333E-3</v>
      </c>
      <c r="H148" s="577">
        <v>3.3583333333333338E-3</v>
      </c>
      <c r="I148" s="577">
        <f t="shared" si="24"/>
        <v>-4.8200000000000007E-2</v>
      </c>
      <c r="J148" s="577">
        <f t="shared" si="17"/>
        <v>-4.8695833333333334E-2</v>
      </c>
      <c r="K148" s="577">
        <f t="shared" si="18"/>
        <v>-9.8458333333333342E-2</v>
      </c>
      <c r="L148" s="585">
        <f t="shared" si="25"/>
        <v>-0.35022760120221885</v>
      </c>
      <c r="M148" s="585">
        <f t="shared" si="26"/>
        <v>2.76E-2</v>
      </c>
      <c r="N148" s="585">
        <f t="shared" si="19"/>
        <v>3.3549999999999996E-2</v>
      </c>
      <c r="O148" s="586">
        <f t="shared" si="27"/>
        <v>-0.37782760120221887</v>
      </c>
      <c r="P148" s="585">
        <f t="shared" si="20"/>
        <v>-0.38377760120221882</v>
      </c>
      <c r="Q148" s="585">
        <f t="shared" si="21"/>
        <v>-0.37050026308300876</v>
      </c>
      <c r="R148" s="585">
        <f t="shared" si="22"/>
        <v>4.0300000000000002E-2</v>
      </c>
      <c r="S148" s="586">
        <f t="shared" si="23"/>
        <v>-0.41080026308300877</v>
      </c>
      <c r="U148" s="587"/>
      <c r="V148" s="587"/>
      <c r="W148" s="587"/>
      <c r="X148" s="587"/>
      <c r="Y148" s="587"/>
      <c r="Z148" s="587"/>
      <c r="AA148" s="587"/>
      <c r="AB148" s="587"/>
      <c r="AC148" s="587"/>
      <c r="AE148" s="587"/>
      <c r="AF148" s="587"/>
      <c r="AG148" s="587"/>
      <c r="AH148" s="587"/>
      <c r="AI148" s="587"/>
      <c r="AJ148" s="587"/>
      <c r="AK148" s="587"/>
      <c r="AL148" s="587"/>
      <c r="AM148" s="587"/>
      <c r="AO148" s="587"/>
      <c r="AP148" s="587"/>
      <c r="AQ148" s="587"/>
      <c r="AR148" s="587"/>
      <c r="AS148" s="587"/>
      <c r="AT148" s="587"/>
      <c r="AU148" s="587"/>
      <c r="AV148" s="587"/>
      <c r="AW148" s="587"/>
    </row>
    <row r="149" spans="1:49">
      <c r="A149" s="581">
        <v>13881</v>
      </c>
      <c r="B149" s="594">
        <v>1.52E-2</v>
      </c>
      <c r="C149" s="577">
        <v>-3.6799999999999999E-2</v>
      </c>
      <c r="D149" s="577">
        <v>2.3E-3</v>
      </c>
      <c r="E149" s="577">
        <v>2.6416666666666667E-3</v>
      </c>
      <c r="F149" s="577">
        <v>2.9166666666666668E-3</v>
      </c>
      <c r="G149" s="577">
        <v>2.7791666666666672E-3</v>
      </c>
      <c r="H149" s="577">
        <v>3.3416666666666668E-3</v>
      </c>
      <c r="I149" s="577">
        <f t="shared" si="24"/>
        <v>1.29E-2</v>
      </c>
      <c r="J149" s="577">
        <f t="shared" si="17"/>
        <v>1.2420833333333332E-2</v>
      </c>
      <c r="K149" s="577">
        <f t="shared" si="18"/>
        <v>-4.0141666666666666E-2</v>
      </c>
      <c r="L149" s="585">
        <f t="shared" si="25"/>
        <v>-0.36511170427381356</v>
      </c>
      <c r="M149" s="585">
        <f t="shared" si="26"/>
        <v>2.76E-2</v>
      </c>
      <c r="N149" s="585">
        <f t="shared" si="19"/>
        <v>3.3350000000000005E-2</v>
      </c>
      <c r="O149" s="586">
        <f t="shared" si="27"/>
        <v>-0.39271170427381358</v>
      </c>
      <c r="P149" s="585">
        <f t="shared" si="20"/>
        <v>-0.39846170427381356</v>
      </c>
      <c r="Q149" s="585">
        <f t="shared" si="21"/>
        <v>-0.40526322059985675</v>
      </c>
      <c r="R149" s="585">
        <f t="shared" si="22"/>
        <v>4.0100000000000004E-2</v>
      </c>
      <c r="S149" s="586">
        <f t="shared" si="23"/>
        <v>-0.44536322059985678</v>
      </c>
      <c r="U149" s="587"/>
      <c r="V149" s="587"/>
      <c r="W149" s="587"/>
      <c r="X149" s="587"/>
      <c r="Y149" s="587"/>
      <c r="Z149" s="587"/>
      <c r="AA149" s="587"/>
      <c r="AB149" s="587"/>
      <c r="AC149" s="587"/>
      <c r="AE149" s="587"/>
      <c r="AF149" s="587"/>
      <c r="AG149" s="587"/>
      <c r="AH149" s="587"/>
      <c r="AI149" s="587"/>
      <c r="AJ149" s="587"/>
      <c r="AK149" s="587"/>
      <c r="AL149" s="587"/>
      <c r="AM149" s="587"/>
      <c r="AO149" s="587"/>
      <c r="AP149" s="587"/>
      <c r="AQ149" s="587"/>
      <c r="AR149" s="587"/>
      <c r="AS149" s="587"/>
      <c r="AT149" s="587"/>
      <c r="AU149" s="587"/>
      <c r="AV149" s="587"/>
      <c r="AW149" s="587"/>
    </row>
    <row r="150" spans="1:49">
      <c r="A150" s="581">
        <v>13912</v>
      </c>
      <c r="B150" s="594">
        <v>6.7400000000000002E-2</v>
      </c>
      <c r="C150" s="577">
        <v>3.4099999999999998E-2</v>
      </c>
      <c r="D150" s="577">
        <v>2.0999999999999999E-3</v>
      </c>
      <c r="E150" s="577">
        <v>2.6666666666666666E-3</v>
      </c>
      <c r="F150" s="577">
        <v>2.9249999999999996E-3</v>
      </c>
      <c r="G150" s="577">
        <v>2.7958333333333329E-3</v>
      </c>
      <c r="H150" s="577">
        <v>3.3583333333333338E-3</v>
      </c>
      <c r="I150" s="577">
        <f t="shared" si="24"/>
        <v>6.5299999999999997E-2</v>
      </c>
      <c r="J150" s="577">
        <f t="shared" si="17"/>
        <v>6.4604166666666671E-2</v>
      </c>
      <c r="K150" s="577">
        <f t="shared" si="18"/>
        <v>3.0741666666666664E-2</v>
      </c>
      <c r="L150" s="585">
        <f t="shared" si="25"/>
        <v>-0.33502132581873079</v>
      </c>
      <c r="M150" s="585">
        <f t="shared" si="26"/>
        <v>2.52E-2</v>
      </c>
      <c r="N150" s="585">
        <f t="shared" si="19"/>
        <v>3.3549999999999996E-2</v>
      </c>
      <c r="O150" s="586">
        <f t="shared" si="27"/>
        <v>-0.36022132581873079</v>
      </c>
      <c r="P150" s="585">
        <f t="shared" si="20"/>
        <v>-0.36857132581873076</v>
      </c>
      <c r="Q150" s="585">
        <f t="shared" si="21"/>
        <v>-0.36247817603639676</v>
      </c>
      <c r="R150" s="585">
        <f t="shared" si="22"/>
        <v>4.0300000000000002E-2</v>
      </c>
      <c r="S150" s="586">
        <f t="shared" si="23"/>
        <v>-0.40277817603639676</v>
      </c>
      <c r="U150" s="587"/>
      <c r="V150" s="587"/>
      <c r="W150" s="587"/>
      <c r="X150" s="587"/>
      <c r="Y150" s="587"/>
      <c r="Z150" s="587"/>
      <c r="AA150" s="587"/>
      <c r="AB150" s="587"/>
      <c r="AC150" s="587"/>
      <c r="AE150" s="587"/>
      <c r="AF150" s="587"/>
      <c r="AG150" s="587"/>
      <c r="AH150" s="587"/>
      <c r="AI150" s="587"/>
      <c r="AJ150" s="587"/>
      <c r="AK150" s="587"/>
      <c r="AL150" s="587"/>
      <c r="AM150" s="587"/>
      <c r="AO150" s="587"/>
      <c r="AP150" s="587"/>
      <c r="AQ150" s="587"/>
      <c r="AR150" s="587"/>
      <c r="AS150" s="587"/>
      <c r="AT150" s="587"/>
      <c r="AU150" s="587"/>
      <c r="AV150" s="587"/>
      <c r="AW150" s="587"/>
    </row>
    <row r="151" spans="1:49">
      <c r="A151" s="581">
        <v>13940</v>
      </c>
      <c r="B151" s="594">
        <v>-0.2487</v>
      </c>
      <c r="C151" s="577">
        <v>-0.19839999999999999</v>
      </c>
      <c r="D151" s="577">
        <v>2.3E-3</v>
      </c>
      <c r="E151" s="577">
        <v>2.6833333333333336E-3</v>
      </c>
      <c r="F151" s="577">
        <v>2.9666666666666669E-3</v>
      </c>
      <c r="G151" s="577">
        <v>2.8250000000000003E-3</v>
      </c>
      <c r="H151" s="577">
        <v>3.3250000000000003E-3</v>
      </c>
      <c r="I151" s="577">
        <f t="shared" si="24"/>
        <v>-0.251</v>
      </c>
      <c r="J151" s="577">
        <f t="shared" si="17"/>
        <v>-0.251525</v>
      </c>
      <c r="K151" s="577">
        <f t="shared" si="18"/>
        <v>-0.20172499999999999</v>
      </c>
      <c r="L151" s="585">
        <f t="shared" si="25"/>
        <v>-0.49652476276087132</v>
      </c>
      <c r="M151" s="585">
        <f t="shared" si="26"/>
        <v>2.76E-2</v>
      </c>
      <c r="N151" s="585">
        <f t="shared" si="19"/>
        <v>3.39E-2</v>
      </c>
      <c r="O151" s="586">
        <f t="shared" si="27"/>
        <v>-0.52412476276087128</v>
      </c>
      <c r="P151" s="585">
        <f t="shared" si="20"/>
        <v>-0.53042476276087136</v>
      </c>
      <c r="Q151" s="585">
        <f t="shared" si="21"/>
        <v>-0.45790018660313525</v>
      </c>
      <c r="R151" s="585">
        <f t="shared" si="22"/>
        <v>3.9900000000000005E-2</v>
      </c>
      <c r="S151" s="586">
        <f t="shared" si="23"/>
        <v>-0.49780018660313524</v>
      </c>
      <c r="U151" s="587"/>
      <c r="V151" s="587"/>
      <c r="W151" s="587"/>
      <c r="X151" s="587"/>
      <c r="Y151" s="587"/>
      <c r="Z151" s="587"/>
      <c r="AA151" s="587"/>
      <c r="AB151" s="587"/>
      <c r="AC151" s="587"/>
      <c r="AE151" s="587"/>
      <c r="AF151" s="587"/>
      <c r="AG151" s="587"/>
      <c r="AH151" s="587"/>
      <c r="AI151" s="587"/>
      <c r="AJ151" s="587"/>
      <c r="AK151" s="587"/>
      <c r="AL151" s="587"/>
      <c r="AM151" s="587"/>
      <c r="AO151" s="587"/>
      <c r="AP151" s="587"/>
      <c r="AQ151" s="587"/>
      <c r="AR151" s="587"/>
      <c r="AS151" s="587"/>
      <c r="AT151" s="587"/>
      <c r="AU151" s="587"/>
      <c r="AV151" s="587"/>
      <c r="AW151" s="587"/>
    </row>
    <row r="152" spans="1:49">
      <c r="A152" s="581">
        <v>13971</v>
      </c>
      <c r="B152" s="594">
        <v>0.1447</v>
      </c>
      <c r="C152" s="577">
        <v>0.15379999999999999</v>
      </c>
      <c r="D152" s="577">
        <v>2.2000000000000001E-3</v>
      </c>
      <c r="E152" s="577">
        <v>2.7499999999999998E-3</v>
      </c>
      <c r="F152" s="577">
        <v>3.1083333333333336E-3</v>
      </c>
      <c r="G152" s="577">
        <v>2.9291666666666667E-3</v>
      </c>
      <c r="H152" s="577">
        <v>3.4000000000000002E-3</v>
      </c>
      <c r="I152" s="577">
        <f t="shared" si="24"/>
        <v>0.14249999999999999</v>
      </c>
      <c r="J152" s="577">
        <f t="shared" si="17"/>
        <v>0.14177083333333332</v>
      </c>
      <c r="K152" s="577">
        <f t="shared" si="18"/>
        <v>0.15039999999999998</v>
      </c>
      <c r="L152" s="585">
        <f t="shared" si="25"/>
        <v>-0.37294298327969677</v>
      </c>
      <c r="M152" s="585">
        <f t="shared" si="26"/>
        <v>2.64E-2</v>
      </c>
      <c r="N152" s="585">
        <f t="shared" si="19"/>
        <v>3.5150000000000001E-2</v>
      </c>
      <c r="O152" s="586">
        <f t="shared" si="27"/>
        <v>-0.39934298327969675</v>
      </c>
      <c r="P152" s="585">
        <f t="shared" si="20"/>
        <v>-0.40809298327969679</v>
      </c>
      <c r="Q152" s="585">
        <f t="shared" si="21"/>
        <v>-0.32483293966180649</v>
      </c>
      <c r="R152" s="585">
        <f t="shared" si="22"/>
        <v>4.0800000000000003E-2</v>
      </c>
      <c r="S152" s="586">
        <f t="shared" si="23"/>
        <v>-0.36563293966180649</v>
      </c>
      <c r="U152" s="587"/>
      <c r="V152" s="587"/>
      <c r="W152" s="587"/>
      <c r="X152" s="587"/>
      <c r="Y152" s="587"/>
      <c r="Z152" s="587"/>
      <c r="AA152" s="587"/>
      <c r="AB152" s="587"/>
      <c r="AC152" s="587"/>
      <c r="AE152" s="587"/>
      <c r="AF152" s="587"/>
      <c r="AG152" s="587"/>
      <c r="AH152" s="587"/>
      <c r="AI152" s="587"/>
      <c r="AJ152" s="587"/>
      <c r="AK152" s="587"/>
      <c r="AL152" s="587"/>
      <c r="AM152" s="587"/>
      <c r="AO152" s="587"/>
      <c r="AP152" s="587"/>
      <c r="AQ152" s="587"/>
      <c r="AR152" s="587"/>
      <c r="AS152" s="587"/>
      <c r="AT152" s="587"/>
      <c r="AU152" s="587"/>
      <c r="AV152" s="587"/>
      <c r="AW152" s="587"/>
    </row>
    <row r="153" spans="1:49">
      <c r="A153" s="581">
        <v>14001</v>
      </c>
      <c r="B153" s="594">
        <v>-3.3000000000000002E-2</v>
      </c>
      <c r="C153" s="577">
        <v>1.8100000000000002E-2</v>
      </c>
      <c r="D153" s="577">
        <v>2.2000000000000001E-3</v>
      </c>
      <c r="E153" s="577">
        <v>2.6833333333333336E-3</v>
      </c>
      <c r="F153" s="577">
        <v>2.9666666666666669E-3</v>
      </c>
      <c r="G153" s="577">
        <v>2.8250000000000003E-3</v>
      </c>
      <c r="H153" s="577">
        <v>3.2916666666666667E-3</v>
      </c>
      <c r="I153" s="577">
        <f t="shared" si="24"/>
        <v>-3.5200000000000002E-2</v>
      </c>
      <c r="J153" s="577">
        <f t="shared" si="17"/>
        <v>-3.5825000000000003E-2</v>
      </c>
      <c r="K153" s="577">
        <f t="shared" si="18"/>
        <v>1.4808333333333335E-2</v>
      </c>
      <c r="L153" s="585">
        <f t="shared" si="25"/>
        <v>-0.39217708984709976</v>
      </c>
      <c r="M153" s="585">
        <f t="shared" si="26"/>
        <v>2.64E-2</v>
      </c>
      <c r="N153" s="585">
        <f t="shared" si="19"/>
        <v>3.39E-2</v>
      </c>
      <c r="O153" s="586">
        <f t="shared" si="27"/>
        <v>-0.41857708984709974</v>
      </c>
      <c r="P153" s="585">
        <f t="shared" si="20"/>
        <v>-0.42607708984709974</v>
      </c>
      <c r="Q153" s="585">
        <f t="shared" si="21"/>
        <v>-0.27521342879553501</v>
      </c>
      <c r="R153" s="585">
        <f t="shared" si="22"/>
        <v>3.95E-2</v>
      </c>
      <c r="S153" s="586">
        <f t="shared" si="23"/>
        <v>-0.31471342879553499</v>
      </c>
      <c r="U153" s="587"/>
      <c r="V153" s="587"/>
      <c r="W153" s="587"/>
      <c r="X153" s="587"/>
      <c r="Y153" s="587"/>
      <c r="Z153" s="587"/>
      <c r="AA153" s="587"/>
      <c r="AB153" s="587"/>
      <c r="AC153" s="587"/>
      <c r="AE153" s="587"/>
      <c r="AF153" s="587"/>
      <c r="AG153" s="587"/>
      <c r="AH153" s="587"/>
      <c r="AI153" s="587"/>
      <c r="AJ153" s="587"/>
      <c r="AK153" s="587"/>
      <c r="AL153" s="587"/>
      <c r="AM153" s="587"/>
      <c r="AO153" s="587"/>
      <c r="AP153" s="587"/>
      <c r="AQ153" s="587"/>
      <c r="AR153" s="587"/>
      <c r="AS153" s="587"/>
      <c r="AT153" s="587"/>
      <c r="AU153" s="587"/>
      <c r="AV153" s="587"/>
      <c r="AW153" s="587"/>
    </row>
    <row r="154" spans="1:49">
      <c r="A154" s="581">
        <v>14032</v>
      </c>
      <c r="B154" s="594">
        <v>0.25030000000000002</v>
      </c>
      <c r="C154" s="577">
        <v>0.16219999999999998</v>
      </c>
      <c r="D154" s="577">
        <v>2.0999999999999999E-3</v>
      </c>
      <c r="E154" s="577">
        <v>2.7166666666666667E-3</v>
      </c>
      <c r="F154" s="577">
        <v>3.0666666666666672E-3</v>
      </c>
      <c r="G154" s="577">
        <v>2.891666666666667E-3</v>
      </c>
      <c r="H154" s="577">
        <v>3.2916666666666667E-3</v>
      </c>
      <c r="I154" s="577">
        <f t="shared" si="24"/>
        <v>0.24820000000000003</v>
      </c>
      <c r="J154" s="577">
        <f t="shared" si="17"/>
        <v>0.24740833333333337</v>
      </c>
      <c r="K154" s="577">
        <f t="shared" si="18"/>
        <v>0.15890833333333332</v>
      </c>
      <c r="L154" s="585">
        <f t="shared" si="25"/>
        <v>-0.19970410218600354</v>
      </c>
      <c r="M154" s="585">
        <f t="shared" si="26"/>
        <v>2.52E-2</v>
      </c>
      <c r="N154" s="585">
        <f t="shared" si="19"/>
        <v>3.4700000000000002E-2</v>
      </c>
      <c r="O154" s="586">
        <f t="shared" si="27"/>
        <v>-0.22490410218600354</v>
      </c>
      <c r="P154" s="585">
        <f t="shared" si="20"/>
        <v>-0.23440410218600355</v>
      </c>
      <c r="Q154" s="585">
        <f t="shared" si="21"/>
        <v>-0.11638838450243405</v>
      </c>
      <c r="R154" s="585">
        <f t="shared" si="22"/>
        <v>3.95E-2</v>
      </c>
      <c r="S154" s="586">
        <f t="shared" si="23"/>
        <v>-0.15588838450243406</v>
      </c>
      <c r="U154" s="587"/>
      <c r="V154" s="587"/>
      <c r="W154" s="587"/>
      <c r="X154" s="587"/>
      <c r="Y154" s="587"/>
      <c r="Z154" s="587"/>
      <c r="AA154" s="587"/>
      <c r="AB154" s="587"/>
      <c r="AC154" s="587"/>
      <c r="AE154" s="587"/>
      <c r="AF154" s="587"/>
      <c r="AG154" s="587"/>
      <c r="AH154" s="587"/>
      <c r="AI154" s="587"/>
      <c r="AJ154" s="587"/>
      <c r="AK154" s="587"/>
      <c r="AL154" s="587"/>
      <c r="AM154" s="587"/>
      <c r="AO154" s="587"/>
      <c r="AP154" s="587"/>
      <c r="AQ154" s="587"/>
      <c r="AR154" s="587"/>
      <c r="AS154" s="587"/>
      <c r="AT154" s="587"/>
      <c r="AU154" s="587"/>
      <c r="AV154" s="587"/>
      <c r="AW154" s="587"/>
    </row>
    <row r="155" spans="1:49">
      <c r="A155" s="581">
        <v>14062</v>
      </c>
      <c r="B155" s="594">
        <v>7.4399999999999994E-2</v>
      </c>
      <c r="C155" s="577">
        <v>1.4800000000000001E-2</v>
      </c>
      <c r="D155" s="577">
        <v>2.0999999999999999E-3</v>
      </c>
      <c r="E155" s="577">
        <v>2.6833333333333336E-3</v>
      </c>
      <c r="F155" s="577">
        <v>3.0166666666666671E-3</v>
      </c>
      <c r="G155" s="577">
        <v>2.8500000000000001E-3</v>
      </c>
      <c r="H155" s="577">
        <v>3.2166666666666667E-3</v>
      </c>
      <c r="I155" s="577">
        <f t="shared" si="24"/>
        <v>7.2299999999999989E-2</v>
      </c>
      <c r="J155" s="577">
        <f t="shared" si="17"/>
        <v>7.1549999999999989E-2</v>
      </c>
      <c r="K155" s="577">
        <f t="shared" si="18"/>
        <v>1.1583333333333334E-2</v>
      </c>
      <c r="L155" s="585">
        <f t="shared" si="25"/>
        <v>-0.22151388627310309</v>
      </c>
      <c r="M155" s="585">
        <f t="shared" si="26"/>
        <v>2.52E-2</v>
      </c>
      <c r="N155" s="585">
        <f t="shared" si="19"/>
        <v>3.4200000000000001E-2</v>
      </c>
      <c r="O155" s="586">
        <f t="shared" si="27"/>
        <v>-0.24671388627310309</v>
      </c>
      <c r="P155" s="585">
        <f t="shared" si="20"/>
        <v>-0.2557138862731031</v>
      </c>
      <c r="Q155" s="585">
        <f t="shared" si="21"/>
        <v>-0.23169474131871337</v>
      </c>
      <c r="R155" s="585">
        <f t="shared" si="22"/>
        <v>3.8600000000000002E-2</v>
      </c>
      <c r="S155" s="586">
        <f t="shared" si="23"/>
        <v>-0.27029474131871339</v>
      </c>
      <c r="U155" s="587"/>
      <c r="V155" s="587"/>
      <c r="W155" s="587"/>
      <c r="X155" s="587"/>
      <c r="Y155" s="587"/>
      <c r="Z155" s="587"/>
      <c r="AA155" s="587"/>
      <c r="AB155" s="587"/>
      <c r="AC155" s="587"/>
      <c r="AE155" s="587"/>
      <c r="AF155" s="587"/>
      <c r="AG155" s="587"/>
      <c r="AH155" s="587"/>
      <c r="AI155" s="587"/>
      <c r="AJ155" s="587"/>
      <c r="AK155" s="587"/>
      <c r="AL155" s="587"/>
      <c r="AM155" s="587"/>
      <c r="AO155" s="587"/>
      <c r="AP155" s="587"/>
      <c r="AQ155" s="587"/>
      <c r="AR155" s="587"/>
      <c r="AS155" s="587"/>
      <c r="AT155" s="587"/>
      <c r="AU155" s="587"/>
      <c r="AV155" s="587"/>
      <c r="AW155" s="587"/>
    </row>
    <row r="156" spans="1:49">
      <c r="A156" s="581">
        <v>14093</v>
      </c>
      <c r="B156" s="594">
        <v>-2.2599999999999999E-2</v>
      </c>
      <c r="C156" s="577">
        <v>-5.57E-2</v>
      </c>
      <c r="D156" s="577">
        <v>2.2000000000000001E-3</v>
      </c>
      <c r="E156" s="577">
        <v>2.65E-3</v>
      </c>
      <c r="F156" s="577">
        <v>2.9749999999999998E-3</v>
      </c>
      <c r="G156" s="577">
        <v>2.8124999999999999E-3</v>
      </c>
      <c r="H156" s="577">
        <v>3.2000000000000002E-3</v>
      </c>
      <c r="I156" s="577">
        <f t="shared" si="24"/>
        <v>-2.4799999999999999E-2</v>
      </c>
      <c r="J156" s="577">
        <f t="shared" si="17"/>
        <v>-2.5412499999999998E-2</v>
      </c>
      <c r="K156" s="577">
        <f t="shared" si="18"/>
        <v>-5.8900000000000001E-2</v>
      </c>
      <c r="L156" s="585">
        <f t="shared" si="25"/>
        <v>-0.20049140742180394</v>
      </c>
      <c r="M156" s="585">
        <f t="shared" si="26"/>
        <v>2.64E-2</v>
      </c>
      <c r="N156" s="585">
        <f t="shared" si="19"/>
        <v>3.3750000000000002E-2</v>
      </c>
      <c r="O156" s="586">
        <f t="shared" si="27"/>
        <v>-0.22689140742180394</v>
      </c>
      <c r="P156" s="585">
        <f t="shared" si="20"/>
        <v>-0.23424140742180394</v>
      </c>
      <c r="Q156" s="585">
        <f t="shared" si="21"/>
        <v>-0.20247262199325156</v>
      </c>
      <c r="R156" s="585">
        <f t="shared" si="22"/>
        <v>3.8400000000000004E-2</v>
      </c>
      <c r="S156" s="586">
        <f t="shared" si="23"/>
        <v>-0.24087262199325155</v>
      </c>
      <c r="U156" s="587"/>
      <c r="V156" s="587"/>
      <c r="W156" s="587"/>
      <c r="X156" s="587"/>
      <c r="Y156" s="587"/>
      <c r="Z156" s="587"/>
      <c r="AA156" s="587"/>
      <c r="AB156" s="587"/>
      <c r="AC156" s="587"/>
      <c r="AE156" s="587"/>
      <c r="AF156" s="587"/>
      <c r="AG156" s="587"/>
      <c r="AH156" s="587"/>
      <c r="AI156" s="587"/>
      <c r="AJ156" s="587"/>
      <c r="AK156" s="587"/>
      <c r="AL156" s="587"/>
      <c r="AM156" s="587"/>
      <c r="AO156" s="587"/>
      <c r="AP156" s="587"/>
      <c r="AQ156" s="587"/>
      <c r="AR156" s="587"/>
      <c r="AS156" s="587"/>
      <c r="AT156" s="587"/>
      <c r="AU156" s="587"/>
      <c r="AV156" s="587"/>
      <c r="AW156" s="587"/>
    </row>
    <row r="157" spans="1:49">
      <c r="A157" s="581">
        <v>14124</v>
      </c>
      <c r="B157" s="594">
        <v>1.66E-2</v>
      </c>
      <c r="C157" s="577">
        <v>1.9099999999999999E-2</v>
      </c>
      <c r="D157" s="577">
        <v>2.0999999999999999E-3</v>
      </c>
      <c r="E157" s="577">
        <v>2.6750000000000003E-3</v>
      </c>
      <c r="F157" s="577">
        <v>3.0000000000000001E-3</v>
      </c>
      <c r="G157" s="577">
        <v>2.8375000000000002E-3</v>
      </c>
      <c r="H157" s="577">
        <v>3.2333333333333329E-3</v>
      </c>
      <c r="I157" s="577">
        <f t="shared" si="24"/>
        <v>1.4500000000000001E-2</v>
      </c>
      <c r="J157" s="577">
        <f t="shared" ref="J157:J220" si="28">B157-G157</f>
        <v>1.37625E-2</v>
      </c>
      <c r="K157" s="577">
        <f t="shared" ref="K157:K220" si="29">$C157-H157</f>
        <v>1.5866666666666668E-2</v>
      </c>
      <c r="L157" s="585">
        <f t="shared" si="25"/>
        <v>-5.45766718448365E-2</v>
      </c>
      <c r="M157" s="585">
        <f t="shared" si="26"/>
        <v>2.52E-2</v>
      </c>
      <c r="N157" s="585">
        <f t="shared" si="19"/>
        <v>3.4050000000000004E-2</v>
      </c>
      <c r="O157" s="586">
        <f t="shared" si="27"/>
        <v>-7.97766718448365E-2</v>
      </c>
      <c r="P157" s="585">
        <f t="shared" si="20"/>
        <v>-8.8626671844836497E-2</v>
      </c>
      <c r="Q157" s="585">
        <f t="shared" si="21"/>
        <v>-7.9129672641426341E-2</v>
      </c>
      <c r="R157" s="585">
        <f t="shared" si="22"/>
        <v>3.8799999999999994E-2</v>
      </c>
      <c r="S157" s="586">
        <f t="shared" si="23"/>
        <v>-0.11792967264142634</v>
      </c>
      <c r="U157" s="587"/>
      <c r="V157" s="587"/>
      <c r="W157" s="587"/>
      <c r="X157" s="587"/>
      <c r="Y157" s="587"/>
      <c r="Z157" s="587"/>
      <c r="AA157" s="587"/>
      <c r="AB157" s="587"/>
      <c r="AC157" s="587"/>
      <c r="AE157" s="587"/>
      <c r="AF157" s="587"/>
      <c r="AG157" s="587"/>
      <c r="AH157" s="587"/>
      <c r="AI157" s="587"/>
      <c r="AJ157" s="587"/>
      <c r="AK157" s="587"/>
      <c r="AL157" s="587"/>
      <c r="AM157" s="587"/>
      <c r="AO157" s="587"/>
      <c r="AP157" s="587"/>
      <c r="AQ157" s="587"/>
      <c r="AR157" s="587"/>
      <c r="AS157" s="587"/>
      <c r="AT157" s="587"/>
      <c r="AU157" s="587"/>
      <c r="AV157" s="587"/>
      <c r="AW157" s="587"/>
    </row>
    <row r="158" spans="1:49">
      <c r="A158" s="581">
        <v>14154</v>
      </c>
      <c r="B158" s="594">
        <v>7.7600000000000002E-2</v>
      </c>
      <c r="C158" s="577">
        <v>0.18009999999999998</v>
      </c>
      <c r="D158" s="577">
        <v>2.2000000000000001E-3</v>
      </c>
      <c r="E158" s="577">
        <v>2.6250000000000002E-3</v>
      </c>
      <c r="F158" s="577">
        <v>2.9416666666666662E-3</v>
      </c>
      <c r="G158" s="577">
        <v>2.7833333333333334E-3</v>
      </c>
      <c r="H158" s="577">
        <v>3.1583333333333337E-3</v>
      </c>
      <c r="I158" s="577">
        <f t="shared" si="24"/>
        <v>7.5400000000000009E-2</v>
      </c>
      <c r="J158" s="577">
        <f t="shared" si="28"/>
        <v>7.481666666666667E-2</v>
      </c>
      <c r="K158" s="577">
        <f t="shared" si="29"/>
        <v>0.17694166666666664</v>
      </c>
      <c r="L158" s="585">
        <f t="shared" si="25"/>
        <v>0.12960214926267244</v>
      </c>
      <c r="M158" s="585">
        <f t="shared" si="26"/>
        <v>2.64E-2</v>
      </c>
      <c r="N158" s="585">
        <f t="shared" si="19"/>
        <v>3.3399999999999999E-2</v>
      </c>
      <c r="O158" s="586">
        <f t="shared" si="27"/>
        <v>0.10320214926267243</v>
      </c>
      <c r="P158" s="585">
        <f t="shared" si="20"/>
        <v>9.620214926267244E-2</v>
      </c>
      <c r="Q158" s="585">
        <f t="shared" si="21"/>
        <v>0.14584465765062471</v>
      </c>
      <c r="R158" s="585">
        <f t="shared" si="22"/>
        <v>3.7900000000000003E-2</v>
      </c>
      <c r="S158" s="586">
        <f t="shared" si="23"/>
        <v>0.10794465765062471</v>
      </c>
      <c r="U158" s="587"/>
      <c r="V158" s="587"/>
      <c r="W158" s="587"/>
      <c r="X158" s="587"/>
      <c r="Y158" s="587"/>
      <c r="Z158" s="587"/>
      <c r="AA158" s="587"/>
      <c r="AB158" s="587"/>
      <c r="AC158" s="587"/>
      <c r="AE158" s="587"/>
      <c r="AF158" s="587"/>
      <c r="AG158" s="587"/>
      <c r="AH158" s="587"/>
      <c r="AI158" s="587"/>
      <c r="AJ158" s="587"/>
      <c r="AK158" s="587"/>
      <c r="AL158" s="587"/>
      <c r="AM158" s="587"/>
      <c r="AO158" s="587"/>
      <c r="AP158" s="587"/>
      <c r="AQ158" s="587"/>
      <c r="AR158" s="587"/>
      <c r="AS158" s="587"/>
      <c r="AT158" s="587"/>
      <c r="AU158" s="587"/>
      <c r="AV158" s="587"/>
      <c r="AW158" s="587"/>
    </row>
    <row r="159" spans="1:49">
      <c r="A159" s="581">
        <v>14185</v>
      </c>
      <c r="B159" s="594">
        <v>-2.7300000000000001E-2</v>
      </c>
      <c r="C159" s="577">
        <v>-6.2000000000000013E-2</v>
      </c>
      <c r="D159" s="577">
        <v>2.0999999999999999E-3</v>
      </c>
      <c r="E159" s="577">
        <v>2.5833333333333337E-3</v>
      </c>
      <c r="F159" s="577">
        <v>2.8833333333333332E-3</v>
      </c>
      <c r="G159" s="577">
        <v>2.7333333333333333E-3</v>
      </c>
      <c r="H159" s="577">
        <v>3.1083333333333336E-3</v>
      </c>
      <c r="I159" s="577">
        <f t="shared" si="24"/>
        <v>-2.9400000000000003E-2</v>
      </c>
      <c r="J159" s="577">
        <f t="shared" si="28"/>
        <v>-3.0033333333333335E-2</v>
      </c>
      <c r="K159" s="577">
        <f t="shared" si="29"/>
        <v>-6.5108333333333351E-2</v>
      </c>
      <c r="L159" s="585">
        <f t="shared" si="25"/>
        <v>0.2029384832360428</v>
      </c>
      <c r="M159" s="585">
        <f t="shared" si="26"/>
        <v>2.52E-2</v>
      </c>
      <c r="N159" s="585">
        <f t="shared" si="19"/>
        <v>3.2799999999999996E-2</v>
      </c>
      <c r="O159" s="586">
        <f t="shared" si="27"/>
        <v>0.1777384832360428</v>
      </c>
      <c r="P159" s="585">
        <f t="shared" si="20"/>
        <v>0.1701384832360428</v>
      </c>
      <c r="Q159" s="585">
        <f t="shared" si="21"/>
        <v>6.6272111980442583E-2</v>
      </c>
      <c r="R159" s="585">
        <f t="shared" si="22"/>
        <v>3.73E-2</v>
      </c>
      <c r="S159" s="586">
        <f t="shared" si="23"/>
        <v>2.8972111980442583E-2</v>
      </c>
      <c r="U159" s="587"/>
      <c r="V159" s="587"/>
      <c r="W159" s="587"/>
      <c r="X159" s="587"/>
      <c r="Y159" s="587"/>
      <c r="Z159" s="587"/>
      <c r="AA159" s="587"/>
      <c r="AB159" s="587"/>
      <c r="AC159" s="587"/>
      <c r="AE159" s="587"/>
      <c r="AF159" s="587"/>
      <c r="AG159" s="587"/>
      <c r="AH159" s="587"/>
      <c r="AI159" s="587"/>
      <c r="AJ159" s="587"/>
      <c r="AK159" s="587"/>
      <c r="AL159" s="587"/>
      <c r="AM159" s="587"/>
      <c r="AO159" s="587"/>
      <c r="AP159" s="587"/>
      <c r="AQ159" s="587"/>
      <c r="AR159" s="587"/>
      <c r="AS159" s="587"/>
      <c r="AT159" s="587"/>
      <c r="AU159" s="587"/>
      <c r="AV159" s="587"/>
      <c r="AW159" s="587"/>
    </row>
    <row r="160" spans="1:49">
      <c r="A160" s="581">
        <v>14215</v>
      </c>
      <c r="B160" s="594">
        <v>4.0099999999999997E-2</v>
      </c>
      <c r="C160" s="577">
        <v>3.9099999999999996E-2</v>
      </c>
      <c r="D160" s="577">
        <v>2.2000000000000001E-3</v>
      </c>
      <c r="E160" s="577">
        <v>2.5666666666666667E-3</v>
      </c>
      <c r="F160" s="577">
        <v>2.8499999999999997E-3</v>
      </c>
      <c r="G160" s="577">
        <v>2.708333333333333E-3</v>
      </c>
      <c r="H160" s="577">
        <v>3.1166666666666669E-3</v>
      </c>
      <c r="I160" s="577">
        <f t="shared" si="24"/>
        <v>3.7899999999999996E-2</v>
      </c>
      <c r="J160" s="577">
        <f t="shared" si="28"/>
        <v>3.7391666666666663E-2</v>
      </c>
      <c r="K160" s="577">
        <f t="shared" si="29"/>
        <v>3.5983333333333326E-2</v>
      </c>
      <c r="L160" s="585">
        <f t="shared" si="25"/>
        <v>0.3113681127909107</v>
      </c>
      <c r="M160" s="585">
        <f t="shared" si="26"/>
        <v>2.64E-2</v>
      </c>
      <c r="N160" s="585">
        <f t="shared" si="19"/>
        <v>3.2499999999999994E-2</v>
      </c>
      <c r="O160" s="586">
        <f t="shared" si="27"/>
        <v>0.28496811279091072</v>
      </c>
      <c r="P160" s="585">
        <f t="shared" si="20"/>
        <v>0.27886811279091073</v>
      </c>
      <c r="Q160" s="585">
        <f t="shared" si="21"/>
        <v>0.22440419003080758</v>
      </c>
      <c r="R160" s="585">
        <f t="shared" si="22"/>
        <v>3.7400000000000003E-2</v>
      </c>
      <c r="S160" s="586">
        <f t="shared" si="23"/>
        <v>0.18700419003080759</v>
      </c>
      <c r="U160" s="587"/>
      <c r="V160" s="587"/>
      <c r="W160" s="587"/>
      <c r="X160" s="587"/>
      <c r="Y160" s="587"/>
      <c r="Z160" s="587"/>
      <c r="AA160" s="587"/>
      <c r="AB160" s="587"/>
      <c r="AC160" s="587"/>
      <c r="AE160" s="587"/>
      <c r="AF160" s="587"/>
      <c r="AG160" s="587"/>
      <c r="AH160" s="587"/>
      <c r="AI160" s="587"/>
      <c r="AJ160" s="587"/>
      <c r="AK160" s="587"/>
      <c r="AL160" s="587"/>
      <c r="AM160" s="587"/>
      <c r="AO160" s="587"/>
      <c r="AP160" s="587"/>
      <c r="AQ160" s="587"/>
      <c r="AR160" s="587"/>
      <c r="AS160" s="587"/>
      <c r="AT160" s="587"/>
      <c r="AU160" s="587"/>
      <c r="AV160" s="587"/>
      <c r="AW160" s="587"/>
    </row>
    <row r="161" spans="1:49">
      <c r="A161" s="581">
        <v>14246</v>
      </c>
      <c r="B161" s="594">
        <v>-6.7400000000000002E-2</v>
      </c>
      <c r="C161" s="577">
        <v>1.6500000000000001E-2</v>
      </c>
      <c r="D161" s="577">
        <v>2.0999999999999999E-3</v>
      </c>
      <c r="E161" s="577">
        <v>2.5083333333333329E-3</v>
      </c>
      <c r="F161" s="577">
        <v>2.7666666666666668E-3</v>
      </c>
      <c r="G161" s="577">
        <v>2.6374999999999997E-3</v>
      </c>
      <c r="H161" s="577">
        <v>3.0666666666666672E-3</v>
      </c>
      <c r="I161" s="577">
        <f t="shared" si="24"/>
        <v>-6.9500000000000006E-2</v>
      </c>
      <c r="J161" s="577">
        <f t="shared" si="28"/>
        <v>-7.0037500000000003E-2</v>
      </c>
      <c r="K161" s="577">
        <f t="shared" si="29"/>
        <v>1.3433333333333334E-2</v>
      </c>
      <c r="L161" s="585">
        <f t="shared" si="25"/>
        <v>0.2046709042442898</v>
      </c>
      <c r="M161" s="585">
        <f t="shared" si="26"/>
        <v>2.52E-2</v>
      </c>
      <c r="N161" s="585">
        <f t="shared" si="19"/>
        <v>3.1649999999999998E-2</v>
      </c>
      <c r="O161" s="586">
        <f t="shared" si="27"/>
        <v>0.1794709042442898</v>
      </c>
      <c r="P161" s="585">
        <f t="shared" si="20"/>
        <v>0.17302090424428979</v>
      </c>
      <c r="Q161" s="585">
        <f t="shared" si="21"/>
        <v>0.29215828401818511</v>
      </c>
      <c r="R161" s="585">
        <f t="shared" si="22"/>
        <v>3.6800000000000006E-2</v>
      </c>
      <c r="S161" s="586">
        <f t="shared" si="23"/>
        <v>0.25535828401818511</v>
      </c>
      <c r="U161" s="587"/>
      <c r="V161" s="587"/>
      <c r="W161" s="587"/>
      <c r="X161" s="587"/>
      <c r="Y161" s="587"/>
      <c r="Z161" s="587"/>
      <c r="AA161" s="587"/>
      <c r="AB161" s="587"/>
      <c r="AC161" s="587"/>
      <c r="AE161" s="587"/>
      <c r="AF161" s="587"/>
      <c r="AG161" s="587"/>
      <c r="AH161" s="587"/>
      <c r="AI161" s="587"/>
      <c r="AJ161" s="587"/>
      <c r="AK161" s="587"/>
      <c r="AL161" s="587"/>
      <c r="AM161" s="587"/>
      <c r="AO161" s="587"/>
      <c r="AP161" s="587"/>
      <c r="AQ161" s="587"/>
      <c r="AR161" s="587"/>
      <c r="AS161" s="587"/>
      <c r="AT161" s="587"/>
      <c r="AU161" s="587"/>
      <c r="AV161" s="587"/>
      <c r="AW161" s="587"/>
    </row>
    <row r="162" spans="1:49">
      <c r="A162" s="581">
        <v>14277</v>
      </c>
      <c r="B162" s="594">
        <v>3.9E-2</v>
      </c>
      <c r="C162" s="577">
        <v>8.0100000000000005E-2</v>
      </c>
      <c r="D162" s="577">
        <v>1.9E-3</v>
      </c>
      <c r="E162" s="577">
        <v>2.5000000000000001E-3</v>
      </c>
      <c r="F162" s="577">
        <v>2.7166666666666667E-3</v>
      </c>
      <c r="G162" s="577">
        <v>2.6083333333333336E-3</v>
      </c>
      <c r="H162" s="577">
        <v>2.9916666666666663E-3</v>
      </c>
      <c r="I162" s="577">
        <f t="shared" si="24"/>
        <v>3.7100000000000001E-2</v>
      </c>
      <c r="J162" s="577">
        <f t="shared" si="28"/>
        <v>3.6391666666666669E-2</v>
      </c>
      <c r="K162" s="577">
        <f t="shared" si="29"/>
        <v>7.7108333333333334E-2</v>
      </c>
      <c r="L162" s="585">
        <f t="shared" si="25"/>
        <v>0.17261857739349606</v>
      </c>
      <c r="M162" s="585">
        <f t="shared" si="26"/>
        <v>2.2800000000000001E-2</v>
      </c>
      <c r="N162" s="585">
        <f t="shared" si="19"/>
        <v>3.1300000000000001E-2</v>
      </c>
      <c r="O162" s="586">
        <f t="shared" si="27"/>
        <v>0.14981857739349608</v>
      </c>
      <c r="P162" s="585">
        <f t="shared" si="20"/>
        <v>0.14131857739349607</v>
      </c>
      <c r="Q162" s="585">
        <f t="shared" si="21"/>
        <v>0.34963752303262896</v>
      </c>
      <c r="R162" s="585">
        <f t="shared" si="22"/>
        <v>3.5899999999999994E-2</v>
      </c>
      <c r="S162" s="586">
        <f t="shared" si="23"/>
        <v>0.31373752303262897</v>
      </c>
      <c r="U162" s="587"/>
      <c r="V162" s="587"/>
      <c r="W162" s="587"/>
      <c r="X162" s="587"/>
      <c r="Y162" s="587"/>
      <c r="Z162" s="587"/>
      <c r="AA162" s="587"/>
      <c r="AB162" s="587"/>
      <c r="AC162" s="587"/>
      <c r="AE162" s="587"/>
      <c r="AF162" s="587"/>
      <c r="AG162" s="587"/>
      <c r="AH162" s="587"/>
      <c r="AI162" s="587"/>
      <c r="AJ162" s="587"/>
      <c r="AK162" s="587"/>
      <c r="AL162" s="587"/>
      <c r="AM162" s="587"/>
      <c r="AO162" s="587"/>
      <c r="AP162" s="587"/>
      <c r="AQ162" s="587"/>
      <c r="AR162" s="587"/>
      <c r="AS162" s="587"/>
      <c r="AT162" s="587"/>
      <c r="AU162" s="587"/>
      <c r="AV162" s="587"/>
      <c r="AW162" s="587"/>
    </row>
    <row r="163" spans="1:49">
      <c r="A163" s="581">
        <v>14305</v>
      </c>
      <c r="B163" s="594">
        <v>-0.13389999999999999</v>
      </c>
      <c r="C163" s="577">
        <v>-0.13780000000000001</v>
      </c>
      <c r="D163" s="577">
        <v>2.0999999999999999E-3</v>
      </c>
      <c r="E163" s="577">
        <v>2.4916666666666668E-3</v>
      </c>
      <c r="F163" s="577">
        <v>2.6833333333333336E-3</v>
      </c>
      <c r="G163" s="577">
        <v>2.5875000000000004E-3</v>
      </c>
      <c r="H163" s="577">
        <v>2.9499999999999999E-3</v>
      </c>
      <c r="I163" s="577">
        <f t="shared" si="24"/>
        <v>-0.13599999999999998</v>
      </c>
      <c r="J163" s="577">
        <f t="shared" si="28"/>
        <v>-0.13648749999999998</v>
      </c>
      <c r="K163" s="577">
        <f t="shared" si="29"/>
        <v>-0.14075000000000001</v>
      </c>
      <c r="L163" s="585">
        <f t="shared" si="25"/>
        <v>0.35179681868828294</v>
      </c>
      <c r="M163" s="585">
        <f t="shared" si="26"/>
        <v>2.52E-2</v>
      </c>
      <c r="N163" s="585">
        <f t="shared" si="19"/>
        <v>3.1050000000000005E-2</v>
      </c>
      <c r="O163" s="586">
        <f t="shared" si="27"/>
        <v>0.32659681868828294</v>
      </c>
      <c r="P163" s="585">
        <f t="shared" si="20"/>
        <v>0.32074681868828292</v>
      </c>
      <c r="Q163" s="585">
        <f t="shared" si="21"/>
        <v>0.45166850344153286</v>
      </c>
      <c r="R163" s="585">
        <f t="shared" si="22"/>
        <v>3.5400000000000001E-2</v>
      </c>
      <c r="S163" s="586">
        <f t="shared" si="23"/>
        <v>0.41626850344153288</v>
      </c>
      <c r="U163" s="587"/>
      <c r="V163" s="587"/>
      <c r="W163" s="587"/>
      <c r="X163" s="587"/>
      <c r="Y163" s="587"/>
      <c r="Z163" s="587"/>
      <c r="AA163" s="587"/>
      <c r="AB163" s="587"/>
      <c r="AC163" s="587"/>
      <c r="AE163" s="587"/>
      <c r="AF163" s="587"/>
      <c r="AG163" s="587"/>
      <c r="AH163" s="587"/>
      <c r="AI163" s="587"/>
      <c r="AJ163" s="587"/>
      <c r="AK163" s="587"/>
      <c r="AL163" s="587"/>
      <c r="AM163" s="587"/>
      <c r="AO163" s="587"/>
      <c r="AP163" s="587"/>
      <c r="AQ163" s="587"/>
      <c r="AR163" s="587"/>
      <c r="AS163" s="587"/>
      <c r="AT163" s="587"/>
      <c r="AU163" s="587"/>
      <c r="AV163" s="587"/>
      <c r="AW163" s="587"/>
    </row>
    <row r="164" spans="1:49">
      <c r="A164" s="581">
        <v>14336</v>
      </c>
      <c r="B164" s="594">
        <v>-2.7000000000000001E-3</v>
      </c>
      <c r="C164" s="577">
        <v>2.8500000000000001E-2</v>
      </c>
      <c r="D164" s="577">
        <v>1.9E-3</v>
      </c>
      <c r="E164" s="577">
        <v>2.5166666666666666E-3</v>
      </c>
      <c r="F164" s="577">
        <v>2.6833333333333336E-3</v>
      </c>
      <c r="G164" s="577">
        <v>2.5999999999999999E-3</v>
      </c>
      <c r="H164" s="577">
        <v>2.9583333333333332E-3</v>
      </c>
      <c r="I164" s="577">
        <f t="shared" si="24"/>
        <v>-4.5999999999999999E-3</v>
      </c>
      <c r="J164" s="577">
        <f t="shared" si="28"/>
        <v>-5.3E-3</v>
      </c>
      <c r="K164" s="577">
        <f t="shared" si="29"/>
        <v>2.5541666666666667E-2</v>
      </c>
      <c r="L164" s="585">
        <f t="shared" si="25"/>
        <v>0.1777295075371923</v>
      </c>
      <c r="M164" s="585">
        <f t="shared" si="26"/>
        <v>2.2800000000000001E-2</v>
      </c>
      <c r="N164" s="585">
        <f t="shared" si="19"/>
        <v>3.1199999999999999E-2</v>
      </c>
      <c r="O164" s="586">
        <f t="shared" si="27"/>
        <v>0.15492950753719231</v>
      </c>
      <c r="P164" s="585">
        <f t="shared" si="20"/>
        <v>0.14652950753719229</v>
      </c>
      <c r="Q164" s="585">
        <f t="shared" si="21"/>
        <v>0.29402067584470148</v>
      </c>
      <c r="R164" s="585">
        <f t="shared" si="22"/>
        <v>3.5499999999999997E-2</v>
      </c>
      <c r="S164" s="586">
        <f t="shared" si="23"/>
        <v>0.25852067584470151</v>
      </c>
      <c r="U164" s="587"/>
      <c r="V164" s="587"/>
      <c r="W164" s="587"/>
      <c r="X164" s="587"/>
      <c r="Y164" s="587"/>
      <c r="Z164" s="587"/>
      <c r="AA164" s="587"/>
      <c r="AB164" s="587"/>
      <c r="AC164" s="587"/>
      <c r="AE164" s="587"/>
      <c r="AF164" s="587"/>
      <c r="AG164" s="587"/>
      <c r="AH164" s="587"/>
      <c r="AI164" s="587"/>
      <c r="AJ164" s="587"/>
      <c r="AK164" s="587"/>
      <c r="AL164" s="587"/>
      <c r="AM164" s="587"/>
      <c r="AO164" s="587"/>
      <c r="AP164" s="587"/>
      <c r="AQ164" s="587"/>
      <c r="AR164" s="587"/>
      <c r="AS164" s="587"/>
      <c r="AT164" s="587"/>
      <c r="AU164" s="587"/>
      <c r="AV164" s="587"/>
      <c r="AW164" s="587"/>
    </row>
    <row r="165" spans="1:49">
      <c r="A165" s="581">
        <v>14366</v>
      </c>
      <c r="B165" s="594">
        <v>7.3300000000000004E-2</v>
      </c>
      <c r="C165" s="577">
        <v>6.6500000000000004E-2</v>
      </c>
      <c r="D165" s="577">
        <v>2E-3</v>
      </c>
      <c r="E165" s="577">
        <v>2.4750000000000002E-3</v>
      </c>
      <c r="F165" s="577">
        <v>2.6333333333333334E-3</v>
      </c>
      <c r="G165" s="577">
        <v>2.5541666666666668E-3</v>
      </c>
      <c r="H165" s="577">
        <v>2.9166666666666668E-3</v>
      </c>
      <c r="I165" s="577">
        <f t="shared" si="24"/>
        <v>7.1300000000000002E-2</v>
      </c>
      <c r="J165" s="577">
        <f t="shared" si="28"/>
        <v>7.0745833333333341E-2</v>
      </c>
      <c r="K165" s="577">
        <f t="shared" si="29"/>
        <v>6.3583333333333339E-2</v>
      </c>
      <c r="L165" s="585">
        <f t="shared" si="25"/>
        <v>0.30719449890348338</v>
      </c>
      <c r="M165" s="585">
        <f t="shared" si="26"/>
        <v>2.4E-2</v>
      </c>
      <c r="N165" s="585">
        <f t="shared" si="19"/>
        <v>3.0650000000000004E-2</v>
      </c>
      <c r="O165" s="586">
        <f t="shared" si="27"/>
        <v>0.28319449890348336</v>
      </c>
      <c r="P165" s="585">
        <f t="shared" si="20"/>
        <v>0.27654449890348337</v>
      </c>
      <c r="Q165" s="585">
        <f t="shared" si="21"/>
        <v>0.35553781631310688</v>
      </c>
      <c r="R165" s="585">
        <f t="shared" si="22"/>
        <v>3.5000000000000003E-2</v>
      </c>
      <c r="S165" s="586">
        <f t="shared" si="23"/>
        <v>0.32053781631310685</v>
      </c>
      <c r="U165" s="587"/>
      <c r="V165" s="587"/>
      <c r="W165" s="587"/>
      <c r="X165" s="587"/>
      <c r="Y165" s="587"/>
      <c r="Z165" s="587"/>
      <c r="AA165" s="587"/>
      <c r="AB165" s="587"/>
      <c r="AC165" s="587"/>
      <c r="AE165" s="587"/>
      <c r="AF165" s="587"/>
      <c r="AG165" s="587"/>
      <c r="AH165" s="587"/>
      <c r="AI165" s="587"/>
      <c r="AJ165" s="587"/>
      <c r="AK165" s="587"/>
      <c r="AL165" s="587"/>
      <c r="AM165" s="587"/>
      <c r="AO165" s="587"/>
      <c r="AP165" s="587"/>
      <c r="AQ165" s="587"/>
      <c r="AR165" s="587"/>
      <c r="AS165" s="587"/>
      <c r="AT165" s="587"/>
      <c r="AU165" s="587"/>
      <c r="AV165" s="587"/>
      <c r="AW165" s="587"/>
    </row>
    <row r="166" spans="1:49">
      <c r="A166" s="581">
        <v>14397</v>
      </c>
      <c r="B166" s="594">
        <v>-6.1199999999999997E-2</v>
      </c>
      <c r="C166" s="577">
        <v>-4.2299999999999997E-2</v>
      </c>
      <c r="D166" s="577">
        <v>1.8E-3</v>
      </c>
      <c r="E166" s="577">
        <v>2.4333333333333334E-3</v>
      </c>
      <c r="F166" s="577">
        <v>2.6083333333333332E-3</v>
      </c>
      <c r="G166" s="577">
        <v>2.5208333333333333E-3</v>
      </c>
      <c r="H166" s="577">
        <v>2.891666666666667E-3</v>
      </c>
      <c r="I166" s="577">
        <f t="shared" si="24"/>
        <v>-6.3E-2</v>
      </c>
      <c r="J166" s="577">
        <f t="shared" si="28"/>
        <v>-6.3720833333333338E-2</v>
      </c>
      <c r="K166" s="577">
        <f t="shared" si="29"/>
        <v>-4.5191666666666665E-2</v>
      </c>
      <c r="L166" s="585">
        <f t="shared" si="25"/>
        <v>-1.8480208293537137E-2</v>
      </c>
      <c r="M166" s="585">
        <f t="shared" si="26"/>
        <v>2.1600000000000001E-2</v>
      </c>
      <c r="N166" s="585">
        <f t="shared" si="19"/>
        <v>3.0249999999999999E-2</v>
      </c>
      <c r="O166" s="586">
        <f t="shared" si="27"/>
        <v>-4.0080208293537138E-2</v>
      </c>
      <c r="P166" s="585">
        <f t="shared" si="20"/>
        <v>-4.8730208293537136E-2</v>
      </c>
      <c r="Q166" s="585">
        <f t="shared" si="21"/>
        <v>0.11701821259943457</v>
      </c>
      <c r="R166" s="585">
        <f t="shared" si="22"/>
        <v>3.4700000000000002E-2</v>
      </c>
      <c r="S166" s="586">
        <f t="shared" si="23"/>
        <v>8.2318212599434559E-2</v>
      </c>
      <c r="U166" s="587"/>
      <c r="V166" s="587"/>
      <c r="W166" s="587"/>
      <c r="X166" s="587"/>
      <c r="Y166" s="587"/>
      <c r="Z166" s="587"/>
      <c r="AA166" s="587"/>
      <c r="AB166" s="587"/>
      <c r="AC166" s="587"/>
      <c r="AE166" s="587"/>
      <c r="AF166" s="587"/>
      <c r="AG166" s="587"/>
      <c r="AH166" s="587"/>
      <c r="AI166" s="587"/>
      <c r="AJ166" s="587"/>
      <c r="AK166" s="587"/>
      <c r="AL166" s="587"/>
      <c r="AM166" s="587"/>
      <c r="AO166" s="587"/>
      <c r="AP166" s="587"/>
      <c r="AQ166" s="587"/>
      <c r="AR166" s="587"/>
      <c r="AS166" s="587"/>
      <c r="AT166" s="587"/>
      <c r="AU166" s="587"/>
      <c r="AV166" s="587"/>
      <c r="AW166" s="587"/>
    </row>
    <row r="167" spans="1:49">
      <c r="A167" s="581">
        <v>14427</v>
      </c>
      <c r="B167" s="594">
        <v>0.1105</v>
      </c>
      <c r="C167" s="577">
        <v>0.1208</v>
      </c>
      <c r="D167" s="577">
        <v>1.9E-3</v>
      </c>
      <c r="E167" s="577">
        <v>2.4083333333333335E-3</v>
      </c>
      <c r="F167" s="577">
        <v>2.5666666666666667E-3</v>
      </c>
      <c r="G167" s="577">
        <v>2.4875000000000001E-3</v>
      </c>
      <c r="H167" s="577">
        <v>2.8583333333333334E-3</v>
      </c>
      <c r="I167" s="577">
        <f t="shared" si="24"/>
        <v>0.1086</v>
      </c>
      <c r="J167" s="577">
        <f t="shared" si="28"/>
        <v>0.1080125</v>
      </c>
      <c r="K167" s="577">
        <f t="shared" si="29"/>
        <v>0.11794166666666667</v>
      </c>
      <c r="L167" s="585">
        <f t="shared" si="25"/>
        <v>1.4499002876048994E-2</v>
      </c>
      <c r="M167" s="585">
        <f t="shared" si="26"/>
        <v>2.2800000000000001E-2</v>
      </c>
      <c r="N167" s="585">
        <f t="shared" si="19"/>
        <v>2.9850000000000002E-2</v>
      </c>
      <c r="O167" s="586">
        <f t="shared" si="27"/>
        <v>-8.3009971239510066E-3</v>
      </c>
      <c r="P167" s="585">
        <f t="shared" si="20"/>
        <v>-1.5350997123951007E-2</v>
      </c>
      <c r="Q167" s="585">
        <f t="shared" si="21"/>
        <v>0.23369532191707343</v>
      </c>
      <c r="R167" s="585">
        <f t="shared" si="22"/>
        <v>3.4299999999999997E-2</v>
      </c>
      <c r="S167" s="586">
        <f t="shared" si="23"/>
        <v>0.19939532191707343</v>
      </c>
      <c r="U167" s="587"/>
      <c r="V167" s="587"/>
      <c r="W167" s="587"/>
      <c r="X167" s="587"/>
      <c r="Y167" s="587"/>
      <c r="Z167" s="587"/>
      <c r="AA167" s="587"/>
      <c r="AB167" s="587"/>
      <c r="AC167" s="587"/>
      <c r="AE167" s="587"/>
      <c r="AF167" s="587"/>
      <c r="AG167" s="587"/>
      <c r="AH167" s="587"/>
      <c r="AI167" s="587"/>
      <c r="AJ167" s="587"/>
      <c r="AK167" s="587"/>
      <c r="AL167" s="587"/>
      <c r="AM167" s="587"/>
      <c r="AO167" s="587"/>
      <c r="AP167" s="587"/>
      <c r="AQ167" s="587"/>
      <c r="AR167" s="587"/>
      <c r="AS167" s="587"/>
      <c r="AT167" s="587"/>
      <c r="AU167" s="587"/>
      <c r="AV167" s="587"/>
      <c r="AW167" s="587"/>
    </row>
    <row r="168" spans="1:49">
      <c r="A168" s="581">
        <v>14458</v>
      </c>
      <c r="B168" s="594">
        <v>-6.4799999999999996E-2</v>
      </c>
      <c r="C168" s="577">
        <v>-6.4699999999999994E-2</v>
      </c>
      <c r="D168" s="577">
        <v>1.8E-3</v>
      </c>
      <c r="E168" s="577">
        <v>2.4416666666666666E-3</v>
      </c>
      <c r="F168" s="577">
        <v>2.5916666666666666E-3</v>
      </c>
      <c r="G168" s="577">
        <v>2.5166666666666666E-3</v>
      </c>
      <c r="H168" s="577">
        <v>2.8416666666666668E-3</v>
      </c>
      <c r="I168" s="577">
        <f t="shared" si="24"/>
        <v>-6.6599999999999993E-2</v>
      </c>
      <c r="J168" s="577">
        <f t="shared" si="28"/>
        <v>-6.7316666666666664E-2</v>
      </c>
      <c r="K168" s="577">
        <f t="shared" si="29"/>
        <v>-6.7541666666666667E-2</v>
      </c>
      <c r="L168" s="585">
        <f t="shared" si="25"/>
        <v>-2.9302775230529265E-2</v>
      </c>
      <c r="M168" s="585">
        <f t="shared" si="26"/>
        <v>2.1600000000000001E-2</v>
      </c>
      <c r="N168" s="585">
        <f t="shared" ref="N168:N231" si="30">G168*12</f>
        <v>3.0199999999999998E-2</v>
      </c>
      <c r="O168" s="586">
        <f t="shared" si="27"/>
        <v>-5.0902775230529267E-2</v>
      </c>
      <c r="P168" s="585">
        <f t="shared" ref="P168:P231" si="31">L168-N168</f>
        <v>-5.9502775230529263E-2</v>
      </c>
      <c r="Q168" s="585">
        <f t="shared" ref="Q168:Q231" si="32">((1+C157)*(1+C158)*(1+C159)*(1+C160)*(1+C161)*(1+C162)*(1+C163)*(1+C164)*(1+C165)*(1+C166)*(1+C167)*(1+C168))-1</f>
        <v>0.22193713289107153</v>
      </c>
      <c r="R168" s="585">
        <f t="shared" ref="R168:R231" si="33">H168*12</f>
        <v>3.4100000000000005E-2</v>
      </c>
      <c r="S168" s="586">
        <f t="shared" ref="S168:S231" si="34">Q168-R168</f>
        <v>0.18783713289107151</v>
      </c>
      <c r="U168" s="587"/>
      <c r="V168" s="587"/>
      <c r="W168" s="587"/>
      <c r="X168" s="587"/>
      <c r="Y168" s="587"/>
      <c r="Z168" s="587"/>
      <c r="AA168" s="587"/>
      <c r="AB168" s="587"/>
      <c r="AC168" s="587"/>
      <c r="AE168" s="587"/>
      <c r="AF168" s="587"/>
      <c r="AG168" s="587"/>
      <c r="AH168" s="587"/>
      <c r="AI168" s="587"/>
      <c r="AJ168" s="587"/>
      <c r="AK168" s="587"/>
      <c r="AL168" s="587"/>
      <c r="AM168" s="587"/>
      <c r="AO168" s="587"/>
      <c r="AP168" s="587"/>
      <c r="AQ168" s="587"/>
      <c r="AR168" s="587"/>
      <c r="AS168" s="587"/>
      <c r="AT168" s="587"/>
      <c r="AU168" s="587"/>
      <c r="AV168" s="587"/>
      <c r="AW168" s="587"/>
    </row>
    <row r="169" spans="1:49">
      <c r="A169" s="581">
        <v>14489</v>
      </c>
      <c r="B169" s="594">
        <v>0.1673</v>
      </c>
      <c r="C169" s="577">
        <v>4.2100000000000005E-2</v>
      </c>
      <c r="D169" s="577">
        <v>1.9E-3</v>
      </c>
      <c r="E169" s="577">
        <v>2.708333333333333E-3</v>
      </c>
      <c r="F169" s="577">
        <v>2.9083333333333335E-3</v>
      </c>
      <c r="G169" s="577">
        <v>2.8083333333333333E-3</v>
      </c>
      <c r="H169" s="577">
        <v>3.0916666666666666E-3</v>
      </c>
      <c r="I169" s="577">
        <f t="shared" si="24"/>
        <v>0.16539999999999999</v>
      </c>
      <c r="J169" s="577">
        <f t="shared" si="28"/>
        <v>0.16449166666666667</v>
      </c>
      <c r="K169" s="577">
        <f t="shared" si="29"/>
        <v>3.9008333333333339E-2</v>
      </c>
      <c r="L169" s="585">
        <f t="shared" si="25"/>
        <v>0.11459263276943088</v>
      </c>
      <c r="M169" s="585">
        <f t="shared" si="26"/>
        <v>2.2800000000000001E-2</v>
      </c>
      <c r="N169" s="585">
        <f t="shared" si="30"/>
        <v>3.3700000000000001E-2</v>
      </c>
      <c r="O169" s="586">
        <f t="shared" si="27"/>
        <v>9.1792632769430879E-2</v>
      </c>
      <c r="P169" s="585">
        <f t="shared" si="31"/>
        <v>8.0892632769430872E-2</v>
      </c>
      <c r="Q169" s="585">
        <f t="shared" si="32"/>
        <v>0.24951495062877593</v>
      </c>
      <c r="R169" s="585">
        <f t="shared" si="33"/>
        <v>3.7100000000000001E-2</v>
      </c>
      <c r="S169" s="586">
        <f t="shared" si="34"/>
        <v>0.21241495062877594</v>
      </c>
      <c r="U169" s="587"/>
      <c r="V169" s="587"/>
      <c r="W169" s="587"/>
      <c r="X169" s="587"/>
      <c r="Y169" s="587"/>
      <c r="Z169" s="587"/>
      <c r="AA169" s="587"/>
      <c r="AB169" s="587"/>
      <c r="AC169" s="587"/>
      <c r="AE169" s="587"/>
      <c r="AF169" s="587"/>
      <c r="AG169" s="587"/>
      <c r="AH169" s="587"/>
      <c r="AI169" s="587"/>
      <c r="AJ169" s="587"/>
      <c r="AK169" s="587"/>
      <c r="AL169" s="587"/>
      <c r="AM169" s="587"/>
      <c r="AO169" s="587"/>
      <c r="AP169" s="587"/>
      <c r="AQ169" s="587"/>
      <c r="AR169" s="587"/>
      <c r="AS169" s="587"/>
      <c r="AT169" s="587"/>
      <c r="AU169" s="587"/>
      <c r="AV169" s="587"/>
      <c r="AW169" s="587"/>
    </row>
    <row r="170" spans="1:49">
      <c r="A170" s="581">
        <v>14519</v>
      </c>
      <c r="B170" s="594">
        <v>-1.23E-2</v>
      </c>
      <c r="C170" s="577">
        <v>1.3000000000000001E-2</v>
      </c>
      <c r="D170" s="577">
        <v>2.3E-3</v>
      </c>
      <c r="E170" s="577">
        <v>2.6250000000000002E-3</v>
      </c>
      <c r="F170" s="577">
        <v>2.7916666666666667E-3</v>
      </c>
      <c r="G170" s="577">
        <v>2.7083333333333339E-3</v>
      </c>
      <c r="H170" s="577">
        <v>2.9833333333333335E-3</v>
      </c>
      <c r="I170" s="577">
        <f t="shared" si="24"/>
        <v>-1.46E-2</v>
      </c>
      <c r="J170" s="577">
        <f t="shared" si="28"/>
        <v>-1.5008333333333334E-2</v>
      </c>
      <c r="K170" s="577">
        <f t="shared" si="29"/>
        <v>1.0016666666666667E-2</v>
      </c>
      <c r="L170" s="585">
        <f t="shared" si="25"/>
        <v>2.1606480499597902E-2</v>
      </c>
      <c r="M170" s="585">
        <f t="shared" si="26"/>
        <v>2.76E-2</v>
      </c>
      <c r="N170" s="585">
        <f t="shared" si="30"/>
        <v>3.2500000000000008E-2</v>
      </c>
      <c r="O170" s="586">
        <f t="shared" si="27"/>
        <v>-5.9935195004020975E-3</v>
      </c>
      <c r="P170" s="585">
        <f t="shared" si="31"/>
        <v>-1.0893519500402106E-2</v>
      </c>
      <c r="Q170" s="585">
        <f t="shared" si="32"/>
        <v>7.2585920673629012E-2</v>
      </c>
      <c r="R170" s="585">
        <f t="shared" si="33"/>
        <v>3.5799999999999998E-2</v>
      </c>
      <c r="S170" s="586">
        <f t="shared" si="34"/>
        <v>3.6785920673629013E-2</v>
      </c>
      <c r="U170" s="587"/>
      <c r="V170" s="587"/>
      <c r="W170" s="587"/>
      <c r="X170" s="587"/>
      <c r="Y170" s="587"/>
      <c r="Z170" s="587"/>
      <c r="AA170" s="587"/>
      <c r="AB170" s="587"/>
      <c r="AC170" s="587"/>
      <c r="AE170" s="587"/>
      <c r="AF170" s="587"/>
      <c r="AG170" s="587"/>
      <c r="AH170" s="587"/>
      <c r="AI170" s="587"/>
      <c r="AJ170" s="587"/>
      <c r="AK170" s="587"/>
      <c r="AL170" s="587"/>
      <c r="AM170" s="587"/>
      <c r="AO170" s="587"/>
      <c r="AP170" s="587"/>
      <c r="AQ170" s="587"/>
      <c r="AR170" s="587"/>
      <c r="AS170" s="587"/>
      <c r="AT170" s="587"/>
      <c r="AU170" s="587"/>
      <c r="AV170" s="587"/>
      <c r="AW170" s="587"/>
    </row>
    <row r="171" spans="1:49">
      <c r="A171" s="581">
        <v>14550</v>
      </c>
      <c r="B171" s="594">
        <v>-3.9800000000000002E-2</v>
      </c>
      <c r="C171" s="577">
        <v>-1.5699999999999999E-2</v>
      </c>
      <c r="D171" s="577">
        <v>2E-3</v>
      </c>
      <c r="E171" s="577">
        <v>2.5000000000000001E-3</v>
      </c>
      <c r="F171" s="577">
        <v>2.6333333333333334E-3</v>
      </c>
      <c r="G171" s="577">
        <v>2.5666666666666672E-3</v>
      </c>
      <c r="H171" s="577">
        <v>2.8416666666666668E-3</v>
      </c>
      <c r="I171" s="577">
        <f t="shared" si="24"/>
        <v>-4.1800000000000004E-2</v>
      </c>
      <c r="J171" s="577">
        <f t="shared" si="28"/>
        <v>-4.2366666666666671E-2</v>
      </c>
      <c r="K171" s="577">
        <f t="shared" si="29"/>
        <v>-1.8541666666666665E-2</v>
      </c>
      <c r="L171" s="585">
        <f t="shared" si="25"/>
        <v>8.4779917505029001E-3</v>
      </c>
      <c r="M171" s="585">
        <f t="shared" si="26"/>
        <v>2.4E-2</v>
      </c>
      <c r="N171" s="585">
        <f t="shared" si="30"/>
        <v>3.0800000000000008E-2</v>
      </c>
      <c r="O171" s="586">
        <f t="shared" si="27"/>
        <v>-1.55220082494971E-2</v>
      </c>
      <c r="P171" s="585">
        <f t="shared" si="31"/>
        <v>-2.2322008249497108E-2</v>
      </c>
      <c r="Q171" s="585">
        <f t="shared" si="32"/>
        <v>0.12552912763225321</v>
      </c>
      <c r="R171" s="585">
        <f t="shared" si="33"/>
        <v>3.4100000000000005E-2</v>
      </c>
      <c r="S171" s="586">
        <f t="shared" si="34"/>
        <v>9.1429127632253207E-2</v>
      </c>
      <c r="U171" s="587"/>
      <c r="V171" s="587"/>
      <c r="W171" s="587"/>
      <c r="X171" s="587"/>
      <c r="Y171" s="587"/>
      <c r="Z171" s="587"/>
      <c r="AA171" s="587"/>
      <c r="AB171" s="587"/>
      <c r="AC171" s="587"/>
      <c r="AE171" s="587"/>
      <c r="AF171" s="587"/>
      <c r="AG171" s="587"/>
      <c r="AH171" s="587"/>
      <c r="AI171" s="587"/>
      <c r="AJ171" s="587"/>
      <c r="AK171" s="587"/>
      <c r="AL171" s="587"/>
      <c r="AM171" s="587"/>
      <c r="AO171" s="587"/>
      <c r="AP171" s="587"/>
      <c r="AQ171" s="587"/>
      <c r="AR171" s="587"/>
      <c r="AS171" s="587"/>
      <c r="AT171" s="587"/>
      <c r="AU171" s="587"/>
      <c r="AV171" s="587"/>
      <c r="AW171" s="587"/>
    </row>
    <row r="172" spans="1:49">
      <c r="A172" s="581">
        <v>14580</v>
      </c>
      <c r="B172" s="594">
        <v>2.7E-2</v>
      </c>
      <c r="C172" s="577">
        <v>2.7199999999999998E-2</v>
      </c>
      <c r="D172" s="577">
        <v>1.9E-3</v>
      </c>
      <c r="E172" s="577">
        <v>2.4499999999999999E-3</v>
      </c>
      <c r="F172" s="577">
        <v>2.6166666666666664E-3</v>
      </c>
      <c r="G172" s="577">
        <v>2.5333333333333332E-3</v>
      </c>
      <c r="H172" s="577">
        <v>2.816666666666667E-3</v>
      </c>
      <c r="I172" s="577">
        <f t="shared" si="24"/>
        <v>2.5100000000000001E-2</v>
      </c>
      <c r="J172" s="577">
        <f t="shared" si="28"/>
        <v>2.4466666666666668E-2</v>
      </c>
      <c r="K172" s="577">
        <f t="shared" si="29"/>
        <v>2.4383333333333333E-2</v>
      </c>
      <c r="L172" s="585">
        <f t="shared" si="25"/>
        <v>-4.2237308645646232E-3</v>
      </c>
      <c r="M172" s="585">
        <f t="shared" si="26"/>
        <v>2.2800000000000001E-2</v>
      </c>
      <c r="N172" s="585">
        <f t="shared" si="30"/>
        <v>3.0399999999999996E-2</v>
      </c>
      <c r="O172" s="586">
        <f t="shared" si="27"/>
        <v>-2.7023730864564624E-2</v>
      </c>
      <c r="P172" s="585">
        <f t="shared" si="31"/>
        <v>-3.462373086456462E-2</v>
      </c>
      <c r="Q172" s="585">
        <f t="shared" si="32"/>
        <v>0.11263932239808527</v>
      </c>
      <c r="R172" s="585">
        <f t="shared" si="33"/>
        <v>3.3800000000000004E-2</v>
      </c>
      <c r="S172" s="586">
        <f t="shared" si="34"/>
        <v>7.8839322398085276E-2</v>
      </c>
      <c r="U172" s="587"/>
      <c r="V172" s="587"/>
      <c r="W172" s="587"/>
      <c r="X172" s="587"/>
      <c r="Y172" s="587"/>
      <c r="Z172" s="587"/>
      <c r="AA172" s="587"/>
      <c r="AB172" s="587"/>
      <c r="AC172" s="587"/>
      <c r="AE172" s="587"/>
      <c r="AF172" s="587"/>
      <c r="AG172" s="587"/>
      <c r="AH172" s="587"/>
      <c r="AI172" s="587"/>
      <c r="AJ172" s="587"/>
      <c r="AK172" s="587"/>
      <c r="AL172" s="587"/>
      <c r="AM172" s="587"/>
      <c r="AO172" s="587"/>
      <c r="AP172" s="587"/>
      <c r="AQ172" s="587"/>
      <c r="AR172" s="587"/>
      <c r="AS172" s="587"/>
      <c r="AT172" s="587"/>
      <c r="AU172" s="587"/>
      <c r="AV172" s="587"/>
      <c r="AW172" s="587"/>
    </row>
    <row r="173" spans="1:49">
      <c r="A173" s="581">
        <v>14611</v>
      </c>
      <c r="B173" s="594">
        <v>-3.3599999999999998E-2</v>
      </c>
      <c r="C173" s="577">
        <v>6.8999999999999999E-3</v>
      </c>
      <c r="D173" s="577">
        <v>2E-3</v>
      </c>
      <c r="E173" s="577">
        <v>2.3999999999999998E-3</v>
      </c>
      <c r="F173" s="577">
        <v>2.5666666666666667E-3</v>
      </c>
      <c r="G173" s="577">
        <v>2.4833333333333331E-3</v>
      </c>
      <c r="H173" s="577">
        <v>2.7833333333333334E-3</v>
      </c>
      <c r="I173" s="577">
        <f t="shared" si="24"/>
        <v>-3.56E-2</v>
      </c>
      <c r="J173" s="577">
        <f t="shared" si="28"/>
        <v>-3.6083333333333328E-2</v>
      </c>
      <c r="K173" s="577">
        <f t="shared" si="29"/>
        <v>4.116666666666666E-3</v>
      </c>
      <c r="L173" s="585">
        <f t="shared" si="25"/>
        <v>3.1865951632516376E-2</v>
      </c>
      <c r="M173" s="585">
        <f t="shared" si="26"/>
        <v>2.4E-2</v>
      </c>
      <c r="N173" s="585">
        <f t="shared" si="30"/>
        <v>2.9799999999999997E-2</v>
      </c>
      <c r="O173" s="586">
        <f t="shared" si="27"/>
        <v>7.8659516325163756E-3</v>
      </c>
      <c r="P173" s="585">
        <f t="shared" si="31"/>
        <v>2.0659516325163794E-3</v>
      </c>
      <c r="Q173" s="585">
        <f t="shared" si="32"/>
        <v>0.10213136618065133</v>
      </c>
      <c r="R173" s="585">
        <f t="shared" si="33"/>
        <v>3.3399999999999999E-2</v>
      </c>
      <c r="S173" s="586">
        <f t="shared" si="34"/>
        <v>6.8731366180651329E-2</v>
      </c>
      <c r="U173" s="587"/>
      <c r="V173" s="587"/>
      <c r="W173" s="587"/>
      <c r="X173" s="587"/>
      <c r="Y173" s="587"/>
      <c r="Z173" s="587"/>
      <c r="AA173" s="587"/>
      <c r="AB173" s="587"/>
      <c r="AC173" s="587"/>
      <c r="AE173" s="587"/>
      <c r="AF173" s="587"/>
      <c r="AG173" s="587"/>
      <c r="AH173" s="587"/>
      <c r="AI173" s="587"/>
      <c r="AJ173" s="587"/>
      <c r="AK173" s="587"/>
      <c r="AL173" s="587"/>
      <c r="AM173" s="587"/>
      <c r="AO173" s="587"/>
      <c r="AP173" s="587"/>
      <c r="AQ173" s="587"/>
      <c r="AR173" s="587"/>
      <c r="AS173" s="587"/>
      <c r="AT173" s="587"/>
      <c r="AU173" s="587"/>
      <c r="AV173" s="587"/>
      <c r="AW173" s="587"/>
    </row>
    <row r="174" spans="1:49">
      <c r="A174" s="581">
        <v>14642</v>
      </c>
      <c r="B174" s="594">
        <v>1.3299999999999999E-2</v>
      </c>
      <c r="C174" s="577">
        <v>-1.0200000000000001E-2</v>
      </c>
      <c r="D174" s="577">
        <v>1.8E-3</v>
      </c>
      <c r="E174" s="577">
        <v>2.3833333333333332E-3</v>
      </c>
      <c r="F174" s="577">
        <v>2.5416666666666665E-3</v>
      </c>
      <c r="G174" s="577">
        <v>2.4624999999999998E-3</v>
      </c>
      <c r="H174" s="577">
        <v>2.7916666666666667E-3</v>
      </c>
      <c r="I174" s="577">
        <f t="shared" si="24"/>
        <v>1.15E-2</v>
      </c>
      <c r="J174" s="577">
        <f t="shared" si="28"/>
        <v>1.08375E-2</v>
      </c>
      <c r="K174" s="577">
        <f t="shared" si="29"/>
        <v>-1.2991666666666667E-2</v>
      </c>
      <c r="L174" s="585">
        <f t="shared" si="25"/>
        <v>6.3424146190846908E-3</v>
      </c>
      <c r="M174" s="585">
        <f t="shared" si="26"/>
        <v>2.1600000000000001E-2</v>
      </c>
      <c r="N174" s="585">
        <f t="shared" si="30"/>
        <v>2.955E-2</v>
      </c>
      <c r="O174" s="586">
        <f t="shared" si="27"/>
        <v>-1.525758538091531E-2</v>
      </c>
      <c r="P174" s="585">
        <f t="shared" si="31"/>
        <v>-2.3207585380915309E-2</v>
      </c>
      <c r="Q174" s="585">
        <f t="shared" si="32"/>
        <v>9.9894697209599315E-3</v>
      </c>
      <c r="R174" s="585">
        <f t="shared" si="33"/>
        <v>3.3500000000000002E-2</v>
      </c>
      <c r="S174" s="586">
        <f t="shared" si="34"/>
        <v>-2.3510530279040071E-2</v>
      </c>
      <c r="U174" s="587"/>
      <c r="V174" s="587"/>
      <c r="W174" s="587"/>
      <c r="X174" s="587"/>
      <c r="Y174" s="587"/>
      <c r="Z174" s="587"/>
      <c r="AA174" s="587"/>
      <c r="AB174" s="587"/>
      <c r="AC174" s="587"/>
      <c r="AE174" s="587"/>
      <c r="AF174" s="587"/>
      <c r="AG174" s="587"/>
      <c r="AH174" s="587"/>
      <c r="AI174" s="587"/>
      <c r="AJ174" s="587"/>
      <c r="AK174" s="587"/>
      <c r="AL174" s="587"/>
      <c r="AM174" s="587"/>
      <c r="AO174" s="587"/>
      <c r="AP174" s="587"/>
      <c r="AQ174" s="587"/>
      <c r="AR174" s="587"/>
      <c r="AS174" s="587"/>
      <c r="AT174" s="587"/>
      <c r="AU174" s="587"/>
      <c r="AV174" s="587"/>
      <c r="AW174" s="587"/>
    </row>
    <row r="175" spans="1:49">
      <c r="A175" s="581">
        <v>14671</v>
      </c>
      <c r="B175" s="594">
        <v>1.24E-2</v>
      </c>
      <c r="C175" s="577">
        <v>9.3999999999999986E-3</v>
      </c>
      <c r="D175" s="577">
        <v>1.9E-3</v>
      </c>
      <c r="E175" s="577">
        <v>2.3666666666666667E-3</v>
      </c>
      <c r="F175" s="577">
        <v>2.5333333333333336E-3</v>
      </c>
      <c r="G175" s="577">
        <v>2.4499999999999999E-3</v>
      </c>
      <c r="H175" s="577">
        <v>2.7833333333333334E-3</v>
      </c>
      <c r="I175" s="577">
        <f t="shared" si="24"/>
        <v>1.0499999999999999E-2</v>
      </c>
      <c r="J175" s="577">
        <f t="shared" si="28"/>
        <v>9.9500000000000005E-3</v>
      </c>
      <c r="K175" s="577">
        <f t="shared" si="29"/>
        <v>6.6166666666666648E-3</v>
      </c>
      <c r="L175" s="585">
        <f t="shared" si="25"/>
        <v>0.17633190227498141</v>
      </c>
      <c r="M175" s="585">
        <f t="shared" si="26"/>
        <v>2.2800000000000001E-2</v>
      </c>
      <c r="N175" s="585">
        <f t="shared" si="30"/>
        <v>2.9399999999999999E-2</v>
      </c>
      <c r="O175" s="586">
        <f t="shared" si="27"/>
        <v>0.15353190227498142</v>
      </c>
      <c r="P175" s="585">
        <f t="shared" si="31"/>
        <v>0.1469319022749814</v>
      </c>
      <c r="Q175" s="585">
        <f t="shared" si="32"/>
        <v>0.18242098206487722</v>
      </c>
      <c r="R175" s="585">
        <f t="shared" si="33"/>
        <v>3.3399999999999999E-2</v>
      </c>
      <c r="S175" s="586">
        <f t="shared" si="34"/>
        <v>0.14902098206487724</v>
      </c>
      <c r="U175" s="587"/>
      <c r="V175" s="587"/>
      <c r="W175" s="587"/>
      <c r="X175" s="587"/>
      <c r="Y175" s="587"/>
      <c r="Z175" s="587"/>
      <c r="AA175" s="587"/>
      <c r="AB175" s="587"/>
      <c r="AC175" s="587"/>
      <c r="AE175" s="587"/>
      <c r="AF175" s="587"/>
      <c r="AG175" s="587"/>
      <c r="AH175" s="587"/>
      <c r="AI175" s="587"/>
      <c r="AJ175" s="587"/>
      <c r="AK175" s="587"/>
      <c r="AL175" s="587"/>
      <c r="AM175" s="587"/>
      <c r="AO175" s="587"/>
      <c r="AP175" s="587"/>
      <c r="AQ175" s="587"/>
      <c r="AR175" s="587"/>
      <c r="AS175" s="587"/>
      <c r="AT175" s="587"/>
      <c r="AU175" s="587"/>
      <c r="AV175" s="587"/>
      <c r="AW175" s="587"/>
    </row>
    <row r="176" spans="1:49">
      <c r="A176" s="581">
        <v>14702</v>
      </c>
      <c r="B176" s="594">
        <v>-2.3999999999999998E-3</v>
      </c>
      <c r="C176" s="577">
        <v>-9.1999999999999998E-3</v>
      </c>
      <c r="D176" s="577">
        <v>1.8E-3</v>
      </c>
      <c r="E176" s="577">
        <v>2.3499999999999997E-3</v>
      </c>
      <c r="F176" s="577">
        <v>2.4916666666666668E-3</v>
      </c>
      <c r="G176" s="577">
        <v>2.420833333333333E-3</v>
      </c>
      <c r="H176" s="577">
        <v>2.708333333333333E-3</v>
      </c>
      <c r="I176" s="577">
        <f t="shared" si="24"/>
        <v>-4.1999999999999997E-3</v>
      </c>
      <c r="J176" s="577">
        <f t="shared" si="28"/>
        <v>-4.8208333333333332E-3</v>
      </c>
      <c r="K176" s="577">
        <f t="shared" si="29"/>
        <v>-1.1908333333333333E-2</v>
      </c>
      <c r="L176" s="585">
        <f t="shared" si="25"/>
        <v>0.17668575725410784</v>
      </c>
      <c r="M176" s="585">
        <f t="shared" si="26"/>
        <v>2.1600000000000001E-2</v>
      </c>
      <c r="N176" s="585">
        <f t="shared" si="30"/>
        <v>2.9049999999999996E-2</v>
      </c>
      <c r="O176" s="586">
        <f t="shared" si="27"/>
        <v>0.15508575725410784</v>
      </c>
      <c r="P176" s="585">
        <f t="shared" si="31"/>
        <v>0.14763575725410785</v>
      </c>
      <c r="Q176" s="585">
        <f t="shared" si="32"/>
        <v>0.13907895870673825</v>
      </c>
      <c r="R176" s="585">
        <f t="shared" si="33"/>
        <v>3.2499999999999994E-2</v>
      </c>
      <c r="S176" s="586">
        <f t="shared" si="34"/>
        <v>0.10657895870673825</v>
      </c>
      <c r="U176" s="587"/>
      <c r="V176" s="587"/>
      <c r="W176" s="587"/>
      <c r="X176" s="587"/>
      <c r="Y176" s="587"/>
      <c r="Z176" s="587"/>
      <c r="AA176" s="587"/>
      <c r="AB176" s="587"/>
      <c r="AC176" s="587"/>
      <c r="AE176" s="587"/>
      <c r="AF176" s="587"/>
      <c r="AG176" s="587"/>
      <c r="AH176" s="587"/>
      <c r="AI176" s="587"/>
      <c r="AJ176" s="587"/>
      <c r="AK176" s="587"/>
      <c r="AL176" s="587"/>
      <c r="AM176" s="587"/>
      <c r="AO176" s="587"/>
      <c r="AP176" s="587"/>
      <c r="AQ176" s="587"/>
      <c r="AR176" s="587"/>
      <c r="AS176" s="587"/>
      <c r="AT176" s="587"/>
      <c r="AU176" s="587"/>
      <c r="AV176" s="587"/>
      <c r="AW176" s="587"/>
    </row>
    <row r="177" spans="1:49">
      <c r="A177" s="581">
        <v>14732</v>
      </c>
      <c r="B177" s="594">
        <v>-0.22889999999999999</v>
      </c>
      <c r="C177" s="577">
        <v>-0.19640000000000002</v>
      </c>
      <c r="D177" s="577">
        <v>1.9E-3</v>
      </c>
      <c r="E177" s="577">
        <v>2.4416666666666666E-3</v>
      </c>
      <c r="F177" s="577">
        <v>2.5666666666666667E-3</v>
      </c>
      <c r="G177" s="577">
        <v>2.5041666666666667E-3</v>
      </c>
      <c r="H177" s="577">
        <v>2.7500000000000003E-3</v>
      </c>
      <c r="I177" s="577">
        <f t="shared" si="24"/>
        <v>-0.23080000000000001</v>
      </c>
      <c r="J177" s="577">
        <f t="shared" si="28"/>
        <v>-0.23140416666666666</v>
      </c>
      <c r="K177" s="577">
        <f t="shared" si="29"/>
        <v>-0.19915000000000002</v>
      </c>
      <c r="L177" s="585">
        <f t="shared" si="25"/>
        <v>-0.15462369568746637</v>
      </c>
      <c r="M177" s="585">
        <f t="shared" si="26"/>
        <v>2.2800000000000001E-2</v>
      </c>
      <c r="N177" s="585">
        <f t="shared" si="30"/>
        <v>3.005E-2</v>
      </c>
      <c r="O177" s="586">
        <f t="shared" si="27"/>
        <v>-0.17742369568746635</v>
      </c>
      <c r="P177" s="585">
        <f t="shared" si="31"/>
        <v>-0.18467369568746636</v>
      </c>
      <c r="Q177" s="585">
        <f t="shared" si="32"/>
        <v>-0.14171228202837804</v>
      </c>
      <c r="R177" s="585">
        <f t="shared" si="33"/>
        <v>3.3000000000000002E-2</v>
      </c>
      <c r="S177" s="586">
        <f t="shared" si="34"/>
        <v>-0.17471228202837805</v>
      </c>
      <c r="U177" s="587"/>
      <c r="V177" s="587"/>
      <c r="W177" s="587"/>
      <c r="X177" s="587"/>
      <c r="Y177" s="587"/>
      <c r="Z177" s="587"/>
      <c r="AA177" s="587"/>
      <c r="AB177" s="587"/>
      <c r="AC177" s="587"/>
      <c r="AE177" s="587"/>
      <c r="AF177" s="587"/>
      <c r="AG177" s="587"/>
      <c r="AH177" s="587"/>
      <c r="AI177" s="587"/>
      <c r="AJ177" s="587"/>
      <c r="AK177" s="587"/>
      <c r="AL177" s="587"/>
      <c r="AM177" s="587"/>
      <c r="AO177" s="587"/>
      <c r="AP177" s="587"/>
      <c r="AQ177" s="587"/>
      <c r="AR177" s="587"/>
      <c r="AS177" s="587"/>
      <c r="AT177" s="587"/>
      <c r="AU177" s="587"/>
      <c r="AV177" s="587"/>
      <c r="AW177" s="587"/>
    </row>
    <row r="178" spans="1:49">
      <c r="A178" s="581">
        <v>14763</v>
      </c>
      <c r="B178" s="594">
        <v>8.09E-2</v>
      </c>
      <c r="C178" s="577">
        <v>0.15060000000000001</v>
      </c>
      <c r="D178" s="577">
        <v>1.9E-3</v>
      </c>
      <c r="E178" s="577">
        <v>2.4666666666666669E-3</v>
      </c>
      <c r="F178" s="577">
        <v>2.5833333333333337E-3</v>
      </c>
      <c r="G178" s="577">
        <v>2.5249999999999999E-3</v>
      </c>
      <c r="H178" s="577">
        <v>2.7833333333333334E-3</v>
      </c>
      <c r="I178" s="577">
        <f t="shared" si="24"/>
        <v>7.9000000000000001E-2</v>
      </c>
      <c r="J178" s="577">
        <f t="shared" si="28"/>
        <v>7.8375E-2</v>
      </c>
      <c r="K178" s="577">
        <f t="shared" si="29"/>
        <v>0.14781666666666668</v>
      </c>
      <c r="L178" s="585">
        <f t="shared" si="25"/>
        <v>-2.6664627895805704E-2</v>
      </c>
      <c r="M178" s="585">
        <f t="shared" si="26"/>
        <v>2.2800000000000001E-2</v>
      </c>
      <c r="N178" s="585">
        <f t="shared" si="30"/>
        <v>3.0300000000000001E-2</v>
      </c>
      <c r="O178" s="586">
        <f t="shared" si="27"/>
        <v>-4.9464627895805705E-2</v>
      </c>
      <c r="P178" s="585">
        <f t="shared" si="31"/>
        <v>-5.6964627895805704E-2</v>
      </c>
      <c r="Q178" s="585">
        <f t="shared" si="32"/>
        <v>3.1164089274457796E-2</v>
      </c>
      <c r="R178" s="585">
        <f t="shared" si="33"/>
        <v>3.3399999999999999E-2</v>
      </c>
      <c r="S178" s="586">
        <f t="shared" si="34"/>
        <v>-2.2359107255422034E-3</v>
      </c>
      <c r="U178" s="587"/>
      <c r="V178" s="587"/>
      <c r="W178" s="587"/>
      <c r="X178" s="587"/>
      <c r="Y178" s="587"/>
      <c r="Z178" s="587"/>
      <c r="AA178" s="587"/>
      <c r="AB178" s="587"/>
      <c r="AC178" s="587"/>
      <c r="AE178" s="587"/>
      <c r="AF178" s="587"/>
      <c r="AG178" s="587"/>
      <c r="AH178" s="587"/>
      <c r="AI178" s="587"/>
      <c r="AJ178" s="587"/>
      <c r="AK178" s="587"/>
      <c r="AL178" s="587"/>
      <c r="AM178" s="587"/>
      <c r="AO178" s="587"/>
      <c r="AP178" s="587"/>
      <c r="AQ178" s="587"/>
      <c r="AR178" s="587"/>
      <c r="AS178" s="587"/>
      <c r="AT178" s="587"/>
      <c r="AU178" s="587"/>
      <c r="AV178" s="587"/>
      <c r="AW178" s="587"/>
    </row>
    <row r="179" spans="1:49">
      <c r="A179" s="581">
        <v>14793</v>
      </c>
      <c r="B179" s="594">
        <v>3.4099999999999998E-2</v>
      </c>
      <c r="C179" s="577">
        <v>6.5000000000000006E-3</v>
      </c>
      <c r="D179" s="577">
        <v>2E-3</v>
      </c>
      <c r="E179" s="577">
        <v>2.3999999999999998E-3</v>
      </c>
      <c r="F179" s="577">
        <v>2.5083333333333329E-3</v>
      </c>
      <c r="G179" s="577">
        <v>2.4541666666666666E-3</v>
      </c>
      <c r="H179" s="577">
        <v>2.6916666666666669E-3</v>
      </c>
      <c r="I179" s="577">
        <f t="shared" si="24"/>
        <v>3.2099999999999997E-2</v>
      </c>
      <c r="J179" s="577">
        <f t="shared" si="28"/>
        <v>3.1645833333333331E-2</v>
      </c>
      <c r="K179" s="577">
        <f t="shared" si="29"/>
        <v>3.8083333333333337E-3</v>
      </c>
      <c r="L179" s="585">
        <f t="shared" si="25"/>
        <v>-9.3627997935211593E-2</v>
      </c>
      <c r="M179" s="585">
        <f t="shared" si="26"/>
        <v>2.4E-2</v>
      </c>
      <c r="N179" s="585">
        <f t="shared" si="30"/>
        <v>2.9449999999999997E-2</v>
      </c>
      <c r="O179" s="586">
        <f t="shared" si="27"/>
        <v>-0.11762799793521159</v>
      </c>
      <c r="P179" s="585">
        <f t="shared" si="31"/>
        <v>-0.1230779979352116</v>
      </c>
      <c r="Q179" s="585">
        <f t="shared" si="32"/>
        <v>-7.3994775290201931E-2</v>
      </c>
      <c r="R179" s="585">
        <f t="shared" si="33"/>
        <v>3.2300000000000002E-2</v>
      </c>
      <c r="S179" s="586">
        <f t="shared" si="34"/>
        <v>-0.10629477529020193</v>
      </c>
      <c r="U179" s="587"/>
      <c r="V179" s="587"/>
      <c r="W179" s="587"/>
      <c r="X179" s="587"/>
      <c r="Y179" s="587"/>
      <c r="Z179" s="587"/>
      <c r="AA179" s="587"/>
      <c r="AB179" s="587"/>
      <c r="AC179" s="587"/>
      <c r="AE179" s="587"/>
      <c r="AF179" s="587"/>
      <c r="AG179" s="587"/>
      <c r="AH179" s="587"/>
      <c r="AI179" s="587"/>
      <c r="AJ179" s="587"/>
      <c r="AK179" s="587"/>
      <c r="AL179" s="587"/>
      <c r="AM179" s="587"/>
      <c r="AO179" s="587"/>
      <c r="AP179" s="587"/>
      <c r="AQ179" s="587"/>
      <c r="AR179" s="587"/>
      <c r="AS179" s="587"/>
      <c r="AT179" s="587"/>
      <c r="AU179" s="587"/>
      <c r="AV179" s="587"/>
      <c r="AW179" s="587"/>
    </row>
    <row r="180" spans="1:49">
      <c r="A180" s="581">
        <v>14824</v>
      </c>
      <c r="B180" s="594">
        <v>3.5000000000000003E-2</v>
      </c>
      <c r="C180" s="577">
        <v>-9.4000000000000004E-3</v>
      </c>
      <c r="D180" s="577">
        <v>1.9E-3</v>
      </c>
      <c r="E180" s="577">
        <v>2.3750000000000004E-3</v>
      </c>
      <c r="F180" s="577">
        <v>2.5249999999999999E-3</v>
      </c>
      <c r="G180" s="577">
        <v>2.4499999999999999E-3</v>
      </c>
      <c r="H180" s="577">
        <v>2.6750000000000003E-3</v>
      </c>
      <c r="I180" s="577">
        <f t="shared" si="24"/>
        <v>3.3100000000000004E-2</v>
      </c>
      <c r="J180" s="577">
        <f t="shared" si="28"/>
        <v>3.2550000000000003E-2</v>
      </c>
      <c r="K180" s="577">
        <f t="shared" si="29"/>
        <v>-1.2075000000000001E-2</v>
      </c>
      <c r="L180" s="585">
        <f t="shared" si="25"/>
        <v>3.0956181961674378E-3</v>
      </c>
      <c r="M180" s="585">
        <f t="shared" si="26"/>
        <v>2.2800000000000001E-2</v>
      </c>
      <c r="N180" s="585">
        <f t="shared" si="30"/>
        <v>2.9399999999999999E-2</v>
      </c>
      <c r="O180" s="586">
        <f t="shared" si="27"/>
        <v>-1.9704381803832563E-2</v>
      </c>
      <c r="P180" s="585">
        <f t="shared" si="31"/>
        <v>-2.6304381803832561E-2</v>
      </c>
      <c r="Q180" s="585">
        <f t="shared" si="32"/>
        <v>-1.9244332730112501E-2</v>
      </c>
      <c r="R180" s="585">
        <f t="shared" si="33"/>
        <v>3.2100000000000004E-2</v>
      </c>
      <c r="S180" s="586">
        <f t="shared" si="34"/>
        <v>-5.1344332730112505E-2</v>
      </c>
      <c r="U180" s="587"/>
      <c r="V180" s="587"/>
      <c r="W180" s="587"/>
      <c r="X180" s="587"/>
      <c r="Y180" s="587"/>
      <c r="Z180" s="587"/>
      <c r="AA180" s="587"/>
      <c r="AB180" s="587"/>
      <c r="AC180" s="587"/>
      <c r="AE180" s="587"/>
      <c r="AF180" s="587"/>
      <c r="AG180" s="587"/>
      <c r="AH180" s="587"/>
      <c r="AI180" s="587"/>
      <c r="AJ180" s="587"/>
      <c r="AK180" s="587"/>
      <c r="AL180" s="587"/>
      <c r="AM180" s="587"/>
      <c r="AO180" s="587"/>
      <c r="AP180" s="587"/>
      <c r="AQ180" s="587"/>
      <c r="AR180" s="587"/>
      <c r="AS180" s="587"/>
      <c r="AT180" s="587"/>
      <c r="AU180" s="587"/>
      <c r="AV180" s="587"/>
      <c r="AW180" s="587"/>
    </row>
    <row r="181" spans="1:49">
      <c r="A181" s="581">
        <v>14855</v>
      </c>
      <c r="B181" s="594">
        <v>1.23E-2</v>
      </c>
      <c r="C181" s="577">
        <v>-2.1099999999999997E-2</v>
      </c>
      <c r="D181" s="577">
        <v>1.8E-3</v>
      </c>
      <c r="E181" s="577">
        <v>2.3499999999999997E-3</v>
      </c>
      <c r="F181" s="577">
        <v>2.5083333333333329E-3</v>
      </c>
      <c r="G181" s="577">
        <v>2.4291666666666663E-3</v>
      </c>
      <c r="H181" s="577">
        <v>2.65E-3</v>
      </c>
      <c r="I181" s="577">
        <f t="shared" si="24"/>
        <v>1.0500000000000001E-2</v>
      </c>
      <c r="J181" s="577">
        <f t="shared" si="28"/>
        <v>9.8708333333333339E-3</v>
      </c>
      <c r="K181" s="577">
        <f t="shared" si="29"/>
        <v>-2.3749999999999997E-2</v>
      </c>
      <c r="L181" s="585">
        <f t="shared" si="25"/>
        <v>-0.13010049318942862</v>
      </c>
      <c r="M181" s="585">
        <f t="shared" si="26"/>
        <v>2.1600000000000001E-2</v>
      </c>
      <c r="N181" s="585">
        <f t="shared" si="30"/>
        <v>2.9149999999999995E-2</v>
      </c>
      <c r="O181" s="586">
        <f t="shared" si="27"/>
        <v>-0.15170049318942863</v>
      </c>
      <c r="P181" s="585">
        <f t="shared" si="31"/>
        <v>-0.15925049318942863</v>
      </c>
      <c r="Q181" s="585">
        <f t="shared" si="32"/>
        <v>-7.8723997034360615E-2</v>
      </c>
      <c r="R181" s="585">
        <f t="shared" si="33"/>
        <v>3.1800000000000002E-2</v>
      </c>
      <c r="S181" s="586">
        <f t="shared" si="34"/>
        <v>-0.11052399703436061</v>
      </c>
      <c r="U181" s="587"/>
      <c r="V181" s="587"/>
      <c r="W181" s="587"/>
      <c r="X181" s="587"/>
      <c r="Y181" s="587"/>
      <c r="Z181" s="587"/>
      <c r="AA181" s="587"/>
      <c r="AB181" s="587"/>
      <c r="AC181" s="587"/>
      <c r="AE181" s="587"/>
      <c r="AF181" s="587"/>
      <c r="AG181" s="587"/>
      <c r="AH181" s="587"/>
      <c r="AI181" s="587"/>
      <c r="AJ181" s="587"/>
      <c r="AK181" s="587"/>
      <c r="AL181" s="587"/>
      <c r="AM181" s="587"/>
      <c r="AO181" s="587"/>
      <c r="AP181" s="587"/>
      <c r="AQ181" s="587"/>
      <c r="AR181" s="587"/>
      <c r="AS181" s="587"/>
      <c r="AT181" s="587"/>
      <c r="AU181" s="587"/>
      <c r="AV181" s="587"/>
      <c r="AW181" s="587"/>
    </row>
    <row r="182" spans="1:49">
      <c r="A182" s="581">
        <v>14885</v>
      </c>
      <c r="B182" s="594">
        <v>4.2200000000000001E-2</v>
      </c>
      <c r="C182" s="577">
        <v>3.1699999999999999E-2</v>
      </c>
      <c r="D182" s="577">
        <v>1.8E-3</v>
      </c>
      <c r="E182" s="577">
        <v>2.3250000000000002E-3</v>
      </c>
      <c r="F182" s="577">
        <v>2.5083333333333329E-3</v>
      </c>
      <c r="G182" s="577">
        <v>2.4166666666666664E-3</v>
      </c>
      <c r="H182" s="577">
        <v>2.6250000000000002E-3</v>
      </c>
      <c r="I182" s="577">
        <f t="shared" si="24"/>
        <v>4.0399999999999998E-2</v>
      </c>
      <c r="J182" s="577">
        <f t="shared" si="28"/>
        <v>3.9783333333333337E-2</v>
      </c>
      <c r="K182" s="577">
        <f t="shared" si="29"/>
        <v>2.9075E-2</v>
      </c>
      <c r="L182" s="585">
        <f t="shared" si="25"/>
        <v>-8.2100571025637836E-2</v>
      </c>
      <c r="M182" s="585">
        <f t="shared" si="26"/>
        <v>2.1600000000000001E-2</v>
      </c>
      <c r="N182" s="585">
        <f t="shared" si="30"/>
        <v>2.8999999999999998E-2</v>
      </c>
      <c r="O182" s="586">
        <f t="shared" si="27"/>
        <v>-0.10370057102563784</v>
      </c>
      <c r="P182" s="585">
        <f t="shared" si="31"/>
        <v>-0.11110057102563783</v>
      </c>
      <c r="Q182" s="585">
        <f t="shared" si="32"/>
        <v>-6.1717223830552226E-2</v>
      </c>
      <c r="R182" s="585">
        <f t="shared" si="33"/>
        <v>3.15E-2</v>
      </c>
      <c r="S182" s="586">
        <f t="shared" si="34"/>
        <v>-9.3217223830552226E-2</v>
      </c>
      <c r="U182" s="587"/>
      <c r="V182" s="587"/>
      <c r="W182" s="587"/>
      <c r="X182" s="587"/>
      <c r="Y182" s="587"/>
      <c r="Z182" s="587"/>
      <c r="AA182" s="587"/>
      <c r="AB182" s="587"/>
      <c r="AC182" s="587"/>
      <c r="AE182" s="587"/>
      <c r="AF182" s="587"/>
      <c r="AG182" s="587"/>
      <c r="AH182" s="587"/>
      <c r="AI182" s="587"/>
      <c r="AJ182" s="587"/>
      <c r="AK182" s="587"/>
      <c r="AL182" s="587"/>
      <c r="AM182" s="587"/>
      <c r="AO182" s="587"/>
      <c r="AP182" s="587"/>
      <c r="AQ182" s="587"/>
      <c r="AR182" s="587"/>
      <c r="AS182" s="587"/>
      <c r="AT182" s="587"/>
      <c r="AU182" s="587"/>
      <c r="AV182" s="587"/>
      <c r="AW182" s="587"/>
    </row>
    <row r="183" spans="1:49">
      <c r="A183" s="581">
        <v>14916</v>
      </c>
      <c r="B183" s="594">
        <v>-3.1600000000000003E-2</v>
      </c>
      <c r="C183" s="577">
        <v>-0.12069999999999999</v>
      </c>
      <c r="D183" s="577">
        <v>1.8E-3</v>
      </c>
      <c r="E183" s="577">
        <v>2.2916666666666667E-3</v>
      </c>
      <c r="F183" s="577">
        <v>2.4666666666666669E-3</v>
      </c>
      <c r="G183" s="577">
        <v>2.3791666666666666E-3</v>
      </c>
      <c r="H183" s="577">
        <v>2.5916666666666666E-3</v>
      </c>
      <c r="I183" s="577">
        <f t="shared" si="24"/>
        <v>-3.3400000000000006E-2</v>
      </c>
      <c r="J183" s="577">
        <f t="shared" si="28"/>
        <v>-3.3979166666666671E-2</v>
      </c>
      <c r="K183" s="577">
        <f t="shared" si="29"/>
        <v>-0.12329166666666666</v>
      </c>
      <c r="L183" s="585">
        <f t="shared" si="25"/>
        <v>-7.4261813144373634E-2</v>
      </c>
      <c r="M183" s="585">
        <f t="shared" si="26"/>
        <v>2.1600000000000001E-2</v>
      </c>
      <c r="N183" s="585">
        <f t="shared" si="30"/>
        <v>2.8549999999999999E-2</v>
      </c>
      <c r="O183" s="586">
        <f t="shared" si="27"/>
        <v>-9.5861813144373642E-2</v>
      </c>
      <c r="P183" s="585">
        <f t="shared" si="31"/>
        <v>-0.10281181314437363</v>
      </c>
      <c r="Q183" s="585">
        <f t="shared" si="32"/>
        <v>-0.16180834594554971</v>
      </c>
      <c r="R183" s="585">
        <f t="shared" si="33"/>
        <v>3.1099999999999999E-2</v>
      </c>
      <c r="S183" s="586">
        <f t="shared" si="34"/>
        <v>-0.1929083459455497</v>
      </c>
      <c r="U183" s="587"/>
      <c r="V183" s="587"/>
      <c r="W183" s="587"/>
      <c r="X183" s="587"/>
      <c r="Y183" s="587"/>
      <c r="Z183" s="587"/>
      <c r="AA183" s="587"/>
      <c r="AB183" s="587"/>
      <c r="AC183" s="587"/>
      <c r="AE183" s="587"/>
      <c r="AF183" s="587"/>
      <c r="AG183" s="587"/>
      <c r="AH183" s="587"/>
      <c r="AI183" s="587"/>
      <c r="AJ183" s="587"/>
      <c r="AK183" s="587"/>
      <c r="AL183" s="587"/>
      <c r="AM183" s="587"/>
      <c r="AO183" s="587"/>
      <c r="AP183" s="587"/>
      <c r="AQ183" s="587"/>
      <c r="AR183" s="587"/>
      <c r="AS183" s="587"/>
      <c r="AT183" s="587"/>
      <c r="AU183" s="587"/>
      <c r="AV183" s="587"/>
      <c r="AW183" s="587"/>
    </row>
    <row r="184" spans="1:49">
      <c r="A184" s="581">
        <v>14946</v>
      </c>
      <c r="B184" s="594">
        <v>8.9999999999999998E-4</v>
      </c>
      <c r="C184" s="577">
        <v>1.54E-2</v>
      </c>
      <c r="D184" s="577">
        <v>1.6999999999999999E-3</v>
      </c>
      <c r="E184" s="577">
        <v>2.2583333333333331E-3</v>
      </c>
      <c r="F184" s="577">
        <v>2.4333333333333334E-3</v>
      </c>
      <c r="G184" s="577">
        <v>2.345833333333333E-3</v>
      </c>
      <c r="H184" s="577">
        <v>2.5833333333333337E-3</v>
      </c>
      <c r="I184" s="577">
        <f t="shared" si="24"/>
        <v>-7.9999999999999993E-4</v>
      </c>
      <c r="J184" s="577">
        <f t="shared" si="28"/>
        <v>-1.445833333333333E-3</v>
      </c>
      <c r="K184" s="577">
        <f t="shared" si="29"/>
        <v>1.2816666666666667E-2</v>
      </c>
      <c r="L184" s="585">
        <f t="shared" si="25"/>
        <v>-9.7788362975855359E-2</v>
      </c>
      <c r="M184" s="585">
        <f t="shared" si="26"/>
        <v>2.0399999999999998E-2</v>
      </c>
      <c r="N184" s="585">
        <f t="shared" si="30"/>
        <v>2.8149999999999994E-2</v>
      </c>
      <c r="O184" s="586">
        <f t="shared" si="27"/>
        <v>-0.11818836297585536</v>
      </c>
      <c r="P184" s="585">
        <f t="shared" si="31"/>
        <v>-0.12593836297585537</v>
      </c>
      <c r="Q184" s="585">
        <f t="shared" si="32"/>
        <v>-0.17143710521136224</v>
      </c>
      <c r="R184" s="585">
        <f t="shared" si="33"/>
        <v>3.1000000000000007E-2</v>
      </c>
      <c r="S184" s="586">
        <f t="shared" si="34"/>
        <v>-0.20243710521136224</v>
      </c>
      <c r="U184" s="587"/>
      <c r="V184" s="587"/>
      <c r="W184" s="587"/>
      <c r="X184" s="587"/>
      <c r="Y184" s="587"/>
      <c r="Z184" s="587"/>
      <c r="AA184" s="587"/>
      <c r="AB184" s="587"/>
      <c r="AC184" s="587"/>
      <c r="AE184" s="587"/>
      <c r="AF184" s="587"/>
      <c r="AG184" s="587"/>
      <c r="AH184" s="587"/>
      <c r="AI184" s="587"/>
      <c r="AJ184" s="587"/>
      <c r="AK184" s="587"/>
      <c r="AL184" s="587"/>
      <c r="AM184" s="587"/>
      <c r="AO184" s="587"/>
      <c r="AP184" s="587"/>
      <c r="AQ184" s="587"/>
      <c r="AR184" s="587"/>
      <c r="AS184" s="587"/>
      <c r="AT184" s="587"/>
      <c r="AU184" s="587"/>
      <c r="AV184" s="587"/>
      <c r="AW184" s="587"/>
    </row>
    <row r="185" spans="1:49">
      <c r="A185" s="581">
        <v>14977</v>
      </c>
      <c r="B185" s="594">
        <v>-4.6300000000000001E-2</v>
      </c>
      <c r="C185" s="577">
        <v>-8.4000000000000012E-3</v>
      </c>
      <c r="D185" s="577">
        <v>1.6000000000000001E-3</v>
      </c>
      <c r="E185" s="577">
        <v>2.2916666666666667E-3</v>
      </c>
      <c r="F185" s="577">
        <v>2.4583333333333336E-3</v>
      </c>
      <c r="G185" s="577">
        <v>2.3749999999999999E-3</v>
      </c>
      <c r="H185" s="577">
        <v>2.6250000000000002E-3</v>
      </c>
      <c r="I185" s="577">
        <f t="shared" si="24"/>
        <v>-4.7899999999999998E-2</v>
      </c>
      <c r="J185" s="577">
        <f t="shared" si="28"/>
        <v>-4.8675000000000003E-2</v>
      </c>
      <c r="K185" s="577">
        <f t="shared" si="29"/>
        <v>-1.1025000000000002E-2</v>
      </c>
      <c r="L185" s="585">
        <f t="shared" si="25"/>
        <v>-0.10964482799055608</v>
      </c>
      <c r="M185" s="585">
        <f t="shared" si="26"/>
        <v>1.9200000000000002E-2</v>
      </c>
      <c r="N185" s="585">
        <f t="shared" si="30"/>
        <v>2.8499999999999998E-2</v>
      </c>
      <c r="O185" s="586">
        <f t="shared" si="27"/>
        <v>-0.12884482799055608</v>
      </c>
      <c r="P185" s="585">
        <f t="shared" si="31"/>
        <v>-0.13814482799055608</v>
      </c>
      <c r="Q185" s="585">
        <f t="shared" si="32"/>
        <v>-0.1840272455334061</v>
      </c>
      <c r="R185" s="585">
        <f t="shared" si="33"/>
        <v>3.15E-2</v>
      </c>
      <c r="S185" s="586">
        <f t="shared" si="34"/>
        <v>-0.2155272455334061</v>
      </c>
      <c r="U185" s="587"/>
      <c r="V185" s="587"/>
      <c r="W185" s="587"/>
      <c r="X185" s="587"/>
      <c r="Y185" s="587"/>
      <c r="Z185" s="587"/>
      <c r="AA185" s="587"/>
      <c r="AB185" s="587"/>
      <c r="AC185" s="587"/>
      <c r="AE185" s="587"/>
      <c r="AF185" s="587"/>
      <c r="AG185" s="587"/>
      <c r="AH185" s="587"/>
      <c r="AI185" s="587"/>
      <c r="AJ185" s="587"/>
      <c r="AK185" s="587"/>
      <c r="AL185" s="587"/>
      <c r="AM185" s="587"/>
      <c r="AO185" s="587"/>
      <c r="AP185" s="587"/>
      <c r="AQ185" s="587"/>
      <c r="AR185" s="587"/>
      <c r="AS185" s="587"/>
      <c r="AT185" s="587"/>
      <c r="AU185" s="587"/>
      <c r="AV185" s="587"/>
      <c r="AW185" s="587"/>
    </row>
    <row r="186" spans="1:49">
      <c r="A186" s="581">
        <v>15008</v>
      </c>
      <c r="B186" s="594">
        <v>-6.0000000000000001E-3</v>
      </c>
      <c r="C186" s="577">
        <v>-2.3299999999999998E-2</v>
      </c>
      <c r="D186" s="577">
        <v>1.6000000000000001E-3</v>
      </c>
      <c r="E186" s="577">
        <v>2.3166666666666665E-3</v>
      </c>
      <c r="F186" s="577">
        <v>2.5000000000000001E-3</v>
      </c>
      <c r="G186" s="577">
        <v>2.4083333333333335E-3</v>
      </c>
      <c r="H186" s="577">
        <v>2.6666666666666666E-3</v>
      </c>
      <c r="I186" s="577">
        <f t="shared" si="24"/>
        <v>-7.6E-3</v>
      </c>
      <c r="J186" s="577">
        <f t="shared" si="28"/>
        <v>-8.4083333333333336E-3</v>
      </c>
      <c r="K186" s="577">
        <f t="shared" si="29"/>
        <v>-2.5966666666666666E-2</v>
      </c>
      <c r="L186" s="585">
        <f t="shared" si="25"/>
        <v>-0.12660313729656847</v>
      </c>
      <c r="M186" s="585">
        <f t="shared" si="26"/>
        <v>1.9200000000000002E-2</v>
      </c>
      <c r="N186" s="585">
        <f t="shared" si="30"/>
        <v>2.8900000000000002E-2</v>
      </c>
      <c r="O186" s="586">
        <f t="shared" si="27"/>
        <v>-0.14580313729656846</v>
      </c>
      <c r="P186" s="585">
        <f t="shared" si="31"/>
        <v>-0.15550313729656848</v>
      </c>
      <c r="Q186" s="585">
        <f t="shared" si="32"/>
        <v>-0.1948266424656272</v>
      </c>
      <c r="R186" s="585">
        <f t="shared" si="33"/>
        <v>3.2000000000000001E-2</v>
      </c>
      <c r="S186" s="586">
        <f t="shared" si="34"/>
        <v>-0.2268266424656272</v>
      </c>
      <c r="U186" s="587"/>
      <c r="V186" s="587"/>
      <c r="W186" s="587"/>
      <c r="X186" s="587"/>
      <c r="Y186" s="587"/>
      <c r="Z186" s="587"/>
      <c r="AA186" s="587"/>
      <c r="AB186" s="587"/>
      <c r="AC186" s="587"/>
      <c r="AE186" s="587"/>
      <c r="AF186" s="587"/>
      <c r="AG186" s="587"/>
      <c r="AH186" s="587"/>
      <c r="AI186" s="587"/>
      <c r="AJ186" s="587"/>
      <c r="AK186" s="587"/>
      <c r="AL186" s="587"/>
      <c r="AM186" s="587"/>
      <c r="AO186" s="587"/>
      <c r="AP186" s="587"/>
      <c r="AQ186" s="587"/>
      <c r="AR186" s="587"/>
      <c r="AS186" s="587"/>
      <c r="AT186" s="587"/>
      <c r="AU186" s="587"/>
      <c r="AV186" s="587"/>
      <c r="AW186" s="587"/>
    </row>
    <row r="187" spans="1:49">
      <c r="A187" s="581">
        <v>15036</v>
      </c>
      <c r="B187" s="594">
        <v>7.1000000000000004E-3</v>
      </c>
      <c r="C187" s="577">
        <v>-2.8000000000000004E-2</v>
      </c>
      <c r="D187" s="577">
        <v>1.8E-3</v>
      </c>
      <c r="E187" s="577">
        <v>2.3333333333333331E-3</v>
      </c>
      <c r="F187" s="577">
        <v>2.5083333333333329E-3</v>
      </c>
      <c r="G187" s="577">
        <v>2.420833333333333E-3</v>
      </c>
      <c r="H187" s="577">
        <v>2.6333333333333334E-3</v>
      </c>
      <c r="I187" s="577">
        <f t="shared" si="24"/>
        <v>5.3000000000000009E-3</v>
      </c>
      <c r="J187" s="577">
        <f t="shared" si="28"/>
        <v>4.6791666666666674E-3</v>
      </c>
      <c r="K187" s="577">
        <f t="shared" si="29"/>
        <v>-3.0633333333333339E-2</v>
      </c>
      <c r="L187" s="585">
        <f t="shared" si="25"/>
        <v>-0.13117544406496828</v>
      </c>
      <c r="M187" s="585">
        <f t="shared" si="26"/>
        <v>2.1600000000000001E-2</v>
      </c>
      <c r="N187" s="585">
        <f t="shared" si="30"/>
        <v>2.9049999999999996E-2</v>
      </c>
      <c r="O187" s="586">
        <f t="shared" si="27"/>
        <v>-0.15277544406496829</v>
      </c>
      <c r="P187" s="585">
        <f t="shared" si="31"/>
        <v>-0.16022544406496828</v>
      </c>
      <c r="Q187" s="585">
        <f t="shared" si="32"/>
        <v>-0.2246596953403901</v>
      </c>
      <c r="R187" s="585">
        <f t="shared" si="33"/>
        <v>3.1600000000000003E-2</v>
      </c>
      <c r="S187" s="586">
        <f t="shared" si="34"/>
        <v>-0.25625969534039011</v>
      </c>
      <c r="U187" s="587"/>
      <c r="V187" s="587"/>
      <c r="W187" s="587"/>
      <c r="X187" s="587"/>
      <c r="Y187" s="587"/>
      <c r="Z187" s="587"/>
      <c r="AA187" s="587"/>
      <c r="AB187" s="587"/>
      <c r="AC187" s="587"/>
      <c r="AE187" s="587"/>
      <c r="AF187" s="587"/>
      <c r="AG187" s="587"/>
      <c r="AH187" s="587"/>
      <c r="AI187" s="587"/>
      <c r="AJ187" s="587"/>
      <c r="AK187" s="587"/>
      <c r="AL187" s="587"/>
      <c r="AM187" s="587"/>
      <c r="AO187" s="587"/>
      <c r="AP187" s="587"/>
      <c r="AQ187" s="587"/>
      <c r="AR187" s="587"/>
      <c r="AS187" s="587"/>
      <c r="AT187" s="587"/>
      <c r="AU187" s="587"/>
      <c r="AV187" s="587"/>
      <c r="AW187" s="587"/>
    </row>
    <row r="188" spans="1:49">
      <c r="A188" s="581">
        <v>15067</v>
      </c>
      <c r="B188" s="594">
        <v>-6.1199999999999997E-2</v>
      </c>
      <c r="C188" s="577">
        <v>-8.4399999999999989E-2</v>
      </c>
      <c r="D188" s="577">
        <v>1.6999999999999999E-3</v>
      </c>
      <c r="E188" s="577">
        <v>2.3499999999999997E-3</v>
      </c>
      <c r="F188" s="577">
        <v>2.5333333333333336E-3</v>
      </c>
      <c r="G188" s="577">
        <v>2.4416666666666666E-3</v>
      </c>
      <c r="H188" s="577">
        <v>2.6166666666666664E-3</v>
      </c>
      <c r="I188" s="577">
        <f t="shared" si="24"/>
        <v>-6.2899999999999998E-2</v>
      </c>
      <c r="J188" s="577">
        <f t="shared" si="28"/>
        <v>-6.3641666666666666E-2</v>
      </c>
      <c r="K188" s="577">
        <f t="shared" si="29"/>
        <v>-8.7016666666666659E-2</v>
      </c>
      <c r="L188" s="585">
        <f t="shared" si="25"/>
        <v>-0.18238523144365693</v>
      </c>
      <c r="M188" s="585">
        <f t="shared" si="26"/>
        <v>2.0399999999999998E-2</v>
      </c>
      <c r="N188" s="585">
        <f t="shared" si="30"/>
        <v>2.93E-2</v>
      </c>
      <c r="O188" s="586">
        <f t="shared" si="27"/>
        <v>-0.20278523144365693</v>
      </c>
      <c r="P188" s="585">
        <f t="shared" si="31"/>
        <v>-0.21168523144365692</v>
      </c>
      <c r="Q188" s="585">
        <f t="shared" si="32"/>
        <v>-0.28350667849582267</v>
      </c>
      <c r="R188" s="585">
        <f t="shared" si="33"/>
        <v>3.1399999999999997E-2</v>
      </c>
      <c r="S188" s="586">
        <f t="shared" si="34"/>
        <v>-0.31490667849582266</v>
      </c>
      <c r="U188" s="587"/>
      <c r="V188" s="587"/>
      <c r="W188" s="587"/>
      <c r="X188" s="587"/>
      <c r="Y188" s="587"/>
      <c r="Z188" s="587"/>
      <c r="AA188" s="587"/>
      <c r="AB188" s="587"/>
      <c r="AC188" s="587"/>
      <c r="AE188" s="587"/>
      <c r="AF188" s="587"/>
      <c r="AG188" s="587"/>
      <c r="AH188" s="587"/>
      <c r="AI188" s="587"/>
      <c r="AJ188" s="587"/>
      <c r="AK188" s="587"/>
      <c r="AL188" s="587"/>
      <c r="AM188" s="587"/>
      <c r="AO188" s="587"/>
      <c r="AP188" s="587"/>
      <c r="AQ188" s="587"/>
      <c r="AR188" s="587"/>
      <c r="AS188" s="587"/>
      <c r="AT188" s="587"/>
      <c r="AU188" s="587"/>
      <c r="AV188" s="587"/>
      <c r="AW188" s="587"/>
    </row>
    <row r="189" spans="1:49">
      <c r="A189" s="581">
        <v>15097</v>
      </c>
      <c r="B189" s="594">
        <v>1.83E-2</v>
      </c>
      <c r="C189" s="577">
        <v>-3.3700000000000001E-2</v>
      </c>
      <c r="D189" s="577">
        <v>1.6999999999999999E-3</v>
      </c>
      <c r="E189" s="577">
        <v>2.3416666666666668E-3</v>
      </c>
      <c r="F189" s="577">
        <v>2.4916666666666668E-3</v>
      </c>
      <c r="G189" s="577">
        <v>2.4166666666666668E-3</v>
      </c>
      <c r="H189" s="577">
        <v>2.5666666666666667E-3</v>
      </c>
      <c r="I189" s="577">
        <f t="shared" si="24"/>
        <v>1.66E-2</v>
      </c>
      <c r="J189" s="577">
        <f t="shared" si="28"/>
        <v>1.5883333333333333E-2</v>
      </c>
      <c r="K189" s="577">
        <f t="shared" si="29"/>
        <v>-3.6266666666666669E-2</v>
      </c>
      <c r="L189" s="585">
        <f t="shared" si="25"/>
        <v>7.9726519025967946E-2</v>
      </c>
      <c r="M189" s="585">
        <f t="shared" si="26"/>
        <v>2.0399999999999998E-2</v>
      </c>
      <c r="N189" s="585">
        <f t="shared" si="30"/>
        <v>2.9000000000000001E-2</v>
      </c>
      <c r="O189" s="586">
        <f t="shared" si="27"/>
        <v>5.9326519025967944E-2</v>
      </c>
      <c r="P189" s="585">
        <f t="shared" si="31"/>
        <v>5.0726519025967948E-2</v>
      </c>
      <c r="Q189" s="585">
        <f t="shared" si="32"/>
        <v>-0.13844263741975271</v>
      </c>
      <c r="R189" s="585">
        <f t="shared" si="33"/>
        <v>3.0800000000000001E-2</v>
      </c>
      <c r="S189" s="586">
        <f t="shared" si="34"/>
        <v>-0.16924263741975271</v>
      </c>
      <c r="U189" s="587"/>
      <c r="V189" s="587"/>
      <c r="W189" s="587"/>
      <c r="X189" s="587"/>
      <c r="Y189" s="587"/>
      <c r="Z189" s="587"/>
      <c r="AA189" s="587"/>
      <c r="AB189" s="587"/>
      <c r="AC189" s="587"/>
      <c r="AE189" s="587"/>
      <c r="AF189" s="587"/>
      <c r="AG189" s="587"/>
      <c r="AH189" s="587"/>
      <c r="AI189" s="587"/>
      <c r="AJ189" s="587"/>
      <c r="AK189" s="587"/>
      <c r="AL189" s="587"/>
      <c r="AM189" s="587"/>
      <c r="AO189" s="587"/>
      <c r="AP189" s="587"/>
      <c r="AQ189" s="587"/>
      <c r="AR189" s="587"/>
      <c r="AS189" s="587"/>
      <c r="AT189" s="587"/>
      <c r="AU189" s="587"/>
      <c r="AV189" s="587"/>
      <c r="AW189" s="587"/>
    </row>
    <row r="190" spans="1:49">
      <c r="A190" s="581">
        <v>15128</v>
      </c>
      <c r="B190" s="594">
        <v>5.7799999999999997E-2</v>
      </c>
      <c r="C190" s="577">
        <v>2.5700000000000004E-2</v>
      </c>
      <c r="D190" s="577">
        <v>1.6000000000000001E-3</v>
      </c>
      <c r="E190" s="577">
        <v>2.3083333333333332E-3</v>
      </c>
      <c r="F190" s="577">
        <v>2.4583333333333336E-3</v>
      </c>
      <c r="G190" s="577">
        <v>2.3833333333333332E-3</v>
      </c>
      <c r="H190" s="577">
        <v>2.5249999999999999E-3</v>
      </c>
      <c r="I190" s="577">
        <f t="shared" si="24"/>
        <v>5.62E-2</v>
      </c>
      <c r="J190" s="577">
        <f t="shared" si="28"/>
        <v>5.5416666666666663E-2</v>
      </c>
      <c r="K190" s="577">
        <f t="shared" si="29"/>
        <v>2.3175000000000005E-2</v>
      </c>
      <c r="L190" s="585">
        <f t="shared" si="25"/>
        <v>5.6651597581339308E-2</v>
      </c>
      <c r="M190" s="585">
        <f t="shared" si="26"/>
        <v>1.9200000000000002E-2</v>
      </c>
      <c r="N190" s="585">
        <f t="shared" si="30"/>
        <v>2.86E-2</v>
      </c>
      <c r="O190" s="586">
        <f t="shared" si="27"/>
        <v>3.7451597581339306E-2</v>
      </c>
      <c r="P190" s="585">
        <f t="shared" si="31"/>
        <v>2.8051597581339308E-2</v>
      </c>
      <c r="Q190" s="585">
        <f t="shared" si="32"/>
        <v>-0.23196646375929109</v>
      </c>
      <c r="R190" s="585">
        <f t="shared" si="33"/>
        <v>3.0300000000000001E-2</v>
      </c>
      <c r="S190" s="586">
        <f t="shared" si="34"/>
        <v>-0.26226646375929108</v>
      </c>
      <c r="U190" s="587"/>
      <c r="V190" s="587"/>
      <c r="W190" s="587"/>
      <c r="X190" s="587"/>
      <c r="Y190" s="587"/>
      <c r="Z190" s="587"/>
      <c r="AA190" s="587"/>
      <c r="AB190" s="587"/>
      <c r="AC190" s="587"/>
      <c r="AE190" s="587"/>
      <c r="AF190" s="587"/>
      <c r="AG190" s="587"/>
      <c r="AH190" s="587"/>
      <c r="AI190" s="587"/>
      <c r="AJ190" s="587"/>
      <c r="AK190" s="587"/>
      <c r="AL190" s="587"/>
      <c r="AM190" s="587"/>
      <c r="AO190" s="587"/>
      <c r="AP190" s="587"/>
      <c r="AQ190" s="587"/>
      <c r="AR190" s="587"/>
      <c r="AS190" s="587"/>
      <c r="AT190" s="587"/>
      <c r="AU190" s="587"/>
      <c r="AV190" s="587"/>
      <c r="AW190" s="587"/>
    </row>
    <row r="191" spans="1:49">
      <c r="A191" s="581">
        <v>15158</v>
      </c>
      <c r="B191" s="594">
        <v>5.79E-2</v>
      </c>
      <c r="C191" s="577">
        <v>5.3800000000000001E-2</v>
      </c>
      <c r="D191" s="577">
        <v>1.6000000000000001E-3</v>
      </c>
      <c r="E191" s="577">
        <v>2.2833333333333334E-3</v>
      </c>
      <c r="F191" s="577">
        <v>2.4166666666666668E-3</v>
      </c>
      <c r="G191" s="577">
        <v>2.3500000000000001E-3</v>
      </c>
      <c r="H191" s="577">
        <v>2.5000000000000001E-3</v>
      </c>
      <c r="I191" s="577">
        <f t="shared" si="24"/>
        <v>5.6300000000000003E-2</v>
      </c>
      <c r="J191" s="577">
        <f t="shared" si="28"/>
        <v>5.5550000000000002E-2</v>
      </c>
      <c r="K191" s="577">
        <f t="shared" si="29"/>
        <v>5.1299999999999998E-2</v>
      </c>
      <c r="L191" s="585">
        <f t="shared" si="25"/>
        <v>8.0970626710471061E-2</v>
      </c>
      <c r="M191" s="585">
        <f t="shared" si="26"/>
        <v>1.9200000000000002E-2</v>
      </c>
      <c r="N191" s="585">
        <f t="shared" si="30"/>
        <v>2.8200000000000003E-2</v>
      </c>
      <c r="O191" s="586">
        <f t="shared" si="27"/>
        <v>6.1770626710471059E-2</v>
      </c>
      <c r="P191" s="585">
        <f t="shared" si="31"/>
        <v>5.2770626710471058E-2</v>
      </c>
      <c r="Q191" s="585">
        <f t="shared" si="32"/>
        <v>-0.19587308446054752</v>
      </c>
      <c r="R191" s="585">
        <f t="shared" si="33"/>
        <v>0.03</v>
      </c>
      <c r="S191" s="586">
        <f t="shared" si="34"/>
        <v>-0.22587308446054752</v>
      </c>
      <c r="U191" s="587"/>
      <c r="V191" s="587"/>
      <c r="W191" s="587"/>
      <c r="X191" s="587"/>
      <c r="Y191" s="587"/>
      <c r="Z191" s="587"/>
      <c r="AA191" s="587"/>
      <c r="AB191" s="587"/>
      <c r="AC191" s="587"/>
      <c r="AE191" s="587"/>
      <c r="AF191" s="587"/>
      <c r="AG191" s="587"/>
      <c r="AH191" s="587"/>
      <c r="AI191" s="587"/>
      <c r="AJ191" s="587"/>
      <c r="AK191" s="587"/>
      <c r="AL191" s="587"/>
      <c r="AM191" s="587"/>
      <c r="AO191" s="587"/>
      <c r="AP191" s="587"/>
      <c r="AQ191" s="587"/>
      <c r="AR191" s="587"/>
      <c r="AS191" s="587"/>
      <c r="AT191" s="587"/>
      <c r="AU191" s="587"/>
      <c r="AV191" s="587"/>
      <c r="AW191" s="587"/>
    </row>
    <row r="192" spans="1:49">
      <c r="A192" s="581">
        <v>15189</v>
      </c>
      <c r="B192" s="594">
        <v>1E-3</v>
      </c>
      <c r="C192" s="577">
        <v>-1.9200000000000002E-2</v>
      </c>
      <c r="D192" s="577">
        <v>1.6000000000000001E-3</v>
      </c>
      <c r="E192" s="577">
        <v>2.2833333333333334E-3</v>
      </c>
      <c r="F192" s="577">
        <v>2.4166666666666668E-3</v>
      </c>
      <c r="G192" s="577">
        <v>2.3500000000000001E-3</v>
      </c>
      <c r="H192" s="577">
        <v>2.4833333333333331E-3</v>
      </c>
      <c r="I192" s="577">
        <f t="shared" si="24"/>
        <v>-6.0000000000000006E-4</v>
      </c>
      <c r="J192" s="577">
        <f t="shared" si="28"/>
        <v>-1.3500000000000001E-3</v>
      </c>
      <c r="K192" s="577">
        <f t="shared" si="29"/>
        <v>-2.1683333333333336E-2</v>
      </c>
      <c r="L192" s="585">
        <f t="shared" si="25"/>
        <v>4.5460480519016189E-2</v>
      </c>
      <c r="M192" s="585">
        <f t="shared" si="26"/>
        <v>1.9200000000000002E-2</v>
      </c>
      <c r="N192" s="585">
        <f t="shared" si="30"/>
        <v>2.8200000000000003E-2</v>
      </c>
      <c r="O192" s="586">
        <f t="shared" si="27"/>
        <v>2.6260480519016187E-2</v>
      </c>
      <c r="P192" s="585">
        <f t="shared" si="31"/>
        <v>1.7260480519016186E-2</v>
      </c>
      <c r="Q192" s="585">
        <f t="shared" si="32"/>
        <v>-0.20382830732778623</v>
      </c>
      <c r="R192" s="585">
        <f t="shared" si="33"/>
        <v>2.9799999999999997E-2</v>
      </c>
      <c r="S192" s="586">
        <f t="shared" si="34"/>
        <v>-0.23362830732778622</v>
      </c>
      <c r="U192" s="587"/>
      <c r="V192" s="587"/>
      <c r="W192" s="587"/>
      <c r="X192" s="587"/>
      <c r="Y192" s="587"/>
      <c r="Z192" s="587"/>
      <c r="AA192" s="587"/>
      <c r="AB192" s="587"/>
      <c r="AC192" s="587"/>
      <c r="AE192" s="587"/>
      <c r="AF192" s="587"/>
      <c r="AG192" s="587"/>
      <c r="AH192" s="587"/>
      <c r="AI192" s="587"/>
      <c r="AJ192" s="587"/>
      <c r="AK192" s="587"/>
      <c r="AL192" s="587"/>
      <c r="AM192" s="587"/>
      <c r="AO192" s="587"/>
      <c r="AP192" s="587"/>
      <c r="AQ192" s="587"/>
      <c r="AR192" s="587"/>
      <c r="AS192" s="587"/>
      <c r="AT192" s="587"/>
      <c r="AU192" s="587"/>
      <c r="AV192" s="587"/>
      <c r="AW192" s="587"/>
    </row>
    <row r="193" spans="1:49">
      <c r="A193" s="581">
        <v>15220</v>
      </c>
      <c r="B193" s="594">
        <v>-6.7999999999999996E-3</v>
      </c>
      <c r="C193" s="577">
        <v>-2.8199999999999992E-2</v>
      </c>
      <c r="D193" s="577">
        <v>1.6000000000000001E-3</v>
      </c>
      <c r="E193" s="577">
        <v>2.2916666666666667E-3</v>
      </c>
      <c r="F193" s="577">
        <v>2.4250000000000001E-3</v>
      </c>
      <c r="G193" s="577">
        <v>2.3583333333333334E-3</v>
      </c>
      <c r="H193" s="577">
        <v>2.5000000000000001E-3</v>
      </c>
      <c r="I193" s="577">
        <f t="shared" si="24"/>
        <v>-8.3999999999999995E-3</v>
      </c>
      <c r="J193" s="577">
        <f t="shared" si="28"/>
        <v>-9.1583333333333326E-3</v>
      </c>
      <c r="K193" s="577">
        <f t="shared" si="29"/>
        <v>-3.0699999999999991E-2</v>
      </c>
      <c r="L193" s="585">
        <f t="shared" si="25"/>
        <v>2.5734811075261321E-2</v>
      </c>
      <c r="M193" s="585">
        <f t="shared" si="26"/>
        <v>1.9200000000000002E-2</v>
      </c>
      <c r="N193" s="585">
        <f t="shared" si="30"/>
        <v>2.8299999999999999E-2</v>
      </c>
      <c r="O193" s="586">
        <f t="shared" si="27"/>
        <v>6.5348110752613195E-3</v>
      </c>
      <c r="P193" s="585">
        <f t="shared" si="31"/>
        <v>-2.5651889247386775E-3</v>
      </c>
      <c r="Q193" s="585">
        <f t="shared" si="32"/>
        <v>-0.20960297176539233</v>
      </c>
      <c r="R193" s="585">
        <f t="shared" si="33"/>
        <v>0.03</v>
      </c>
      <c r="S193" s="586">
        <f t="shared" si="34"/>
        <v>-0.23960297176539233</v>
      </c>
      <c r="U193" s="587"/>
      <c r="V193" s="587"/>
      <c r="W193" s="587"/>
      <c r="X193" s="587"/>
      <c r="Y193" s="587"/>
      <c r="Z193" s="587"/>
      <c r="AA193" s="587"/>
      <c r="AB193" s="587"/>
      <c r="AC193" s="587"/>
      <c r="AE193" s="587"/>
      <c r="AF193" s="587"/>
      <c r="AG193" s="587"/>
      <c r="AH193" s="587"/>
      <c r="AI193" s="587"/>
      <c r="AJ193" s="587"/>
      <c r="AK193" s="587"/>
      <c r="AL193" s="587"/>
      <c r="AM193" s="587"/>
      <c r="AO193" s="587"/>
      <c r="AP193" s="587"/>
      <c r="AQ193" s="587"/>
      <c r="AR193" s="587"/>
      <c r="AS193" s="587"/>
      <c r="AT193" s="587"/>
      <c r="AU193" s="587"/>
      <c r="AV193" s="587"/>
      <c r="AW193" s="587"/>
    </row>
    <row r="194" spans="1:49">
      <c r="A194" s="581">
        <v>15250</v>
      </c>
      <c r="B194" s="594">
        <v>-6.5699999999999995E-2</v>
      </c>
      <c r="C194" s="577">
        <v>-8.48E-2</v>
      </c>
      <c r="D194" s="577">
        <v>1.6000000000000001E-3</v>
      </c>
      <c r="E194" s="577">
        <v>2.2750000000000001E-3</v>
      </c>
      <c r="F194" s="577">
        <v>2.3916666666666665E-3</v>
      </c>
      <c r="G194" s="577">
        <v>2.3333333333333335E-3</v>
      </c>
      <c r="H194" s="577">
        <v>2.5000000000000001E-3</v>
      </c>
      <c r="I194" s="577">
        <f t="shared" si="24"/>
        <v>-6.7299999999999999E-2</v>
      </c>
      <c r="J194" s="577">
        <f t="shared" si="28"/>
        <v>-6.8033333333333335E-2</v>
      </c>
      <c r="K194" s="577">
        <f t="shared" si="29"/>
        <v>-8.7300000000000003E-2</v>
      </c>
      <c r="L194" s="585">
        <f t="shared" si="25"/>
        <v>-8.0460531579719441E-2</v>
      </c>
      <c r="M194" s="585">
        <f t="shared" si="26"/>
        <v>1.9200000000000002E-2</v>
      </c>
      <c r="N194" s="585">
        <f t="shared" si="30"/>
        <v>2.8000000000000004E-2</v>
      </c>
      <c r="O194" s="586">
        <f t="shared" si="27"/>
        <v>-9.9660531579719436E-2</v>
      </c>
      <c r="P194" s="585">
        <f t="shared" si="31"/>
        <v>-0.10846053157971944</v>
      </c>
      <c r="Q194" s="585">
        <f t="shared" si="32"/>
        <v>-0.29885493821817111</v>
      </c>
      <c r="R194" s="585">
        <f t="shared" si="33"/>
        <v>0.03</v>
      </c>
      <c r="S194" s="586">
        <f t="shared" si="34"/>
        <v>-0.32885493821817113</v>
      </c>
      <c r="U194" s="587"/>
      <c r="V194" s="587"/>
      <c r="W194" s="587"/>
      <c r="X194" s="587"/>
      <c r="Y194" s="587"/>
      <c r="Z194" s="587"/>
      <c r="AA194" s="587"/>
      <c r="AB194" s="587"/>
      <c r="AC194" s="587"/>
      <c r="AE194" s="587"/>
      <c r="AF194" s="587"/>
      <c r="AG194" s="587"/>
      <c r="AH194" s="587"/>
      <c r="AI194" s="587"/>
      <c r="AJ194" s="587"/>
      <c r="AK194" s="587"/>
      <c r="AL194" s="587"/>
      <c r="AM194" s="587"/>
      <c r="AO194" s="587"/>
      <c r="AP194" s="587"/>
      <c r="AQ194" s="587"/>
      <c r="AR194" s="587"/>
      <c r="AS194" s="587"/>
      <c r="AT194" s="587"/>
      <c r="AU194" s="587"/>
      <c r="AV194" s="587"/>
      <c r="AW194" s="587"/>
    </row>
    <row r="195" spans="1:49">
      <c r="A195" s="581">
        <v>15281</v>
      </c>
      <c r="B195" s="594">
        <v>-2.8400000000000002E-2</v>
      </c>
      <c r="C195" s="577">
        <v>-6.5199999999999994E-2</v>
      </c>
      <c r="D195" s="577">
        <v>1.3999999999999998E-3</v>
      </c>
      <c r="E195" s="577">
        <v>2.2666666666666668E-3</v>
      </c>
      <c r="F195" s="577">
        <v>2.3833333333333332E-3</v>
      </c>
      <c r="G195" s="577">
        <v>2.3249999999999998E-3</v>
      </c>
      <c r="H195" s="577">
        <v>2.4833333333333331E-3</v>
      </c>
      <c r="I195" s="577">
        <f t="shared" si="24"/>
        <v>-2.98E-2</v>
      </c>
      <c r="J195" s="577">
        <f t="shared" si="28"/>
        <v>-3.0725000000000002E-2</v>
      </c>
      <c r="K195" s="577">
        <f t="shared" si="29"/>
        <v>-6.7683333333333331E-2</v>
      </c>
      <c r="L195" s="585">
        <f t="shared" si="25"/>
        <v>-7.7421987280932858E-2</v>
      </c>
      <c r="M195" s="585">
        <f t="shared" si="26"/>
        <v>1.6799999999999995E-2</v>
      </c>
      <c r="N195" s="585">
        <f t="shared" si="30"/>
        <v>2.7899999999999998E-2</v>
      </c>
      <c r="O195" s="586">
        <f t="shared" si="27"/>
        <v>-9.4221987280932853E-2</v>
      </c>
      <c r="P195" s="585">
        <f t="shared" si="31"/>
        <v>-0.10532198728093285</v>
      </c>
      <c r="Q195" s="585">
        <f t="shared" si="32"/>
        <v>-0.25459979102279806</v>
      </c>
      <c r="R195" s="585">
        <f t="shared" si="33"/>
        <v>2.9799999999999997E-2</v>
      </c>
      <c r="S195" s="586">
        <f t="shared" si="34"/>
        <v>-0.28439979102279805</v>
      </c>
      <c r="U195" s="587"/>
      <c r="V195" s="587"/>
      <c r="W195" s="587"/>
      <c r="X195" s="587"/>
      <c r="Y195" s="587"/>
      <c r="Z195" s="587"/>
      <c r="AA195" s="587"/>
      <c r="AB195" s="587"/>
      <c r="AC195" s="587"/>
      <c r="AE195" s="587"/>
      <c r="AF195" s="587"/>
      <c r="AG195" s="587"/>
      <c r="AH195" s="587"/>
      <c r="AI195" s="587"/>
      <c r="AJ195" s="587"/>
      <c r="AK195" s="587"/>
      <c r="AL195" s="587"/>
      <c r="AM195" s="587"/>
      <c r="AO195" s="587"/>
      <c r="AP195" s="587"/>
      <c r="AQ195" s="587"/>
      <c r="AR195" s="587"/>
      <c r="AS195" s="587"/>
      <c r="AT195" s="587"/>
      <c r="AU195" s="587"/>
      <c r="AV195" s="587"/>
      <c r="AW195" s="587"/>
    </row>
    <row r="196" spans="1:49">
      <c r="A196" s="581">
        <v>15311</v>
      </c>
      <c r="B196" s="594">
        <v>-4.07E-2</v>
      </c>
      <c r="C196" s="577">
        <v>-6.7799999999999999E-2</v>
      </c>
      <c r="D196" s="577">
        <v>1.6000000000000001E-3</v>
      </c>
      <c r="E196" s="577">
        <v>2.3333333333333331E-3</v>
      </c>
      <c r="F196" s="577">
        <v>2.4583333333333336E-3</v>
      </c>
      <c r="G196" s="577">
        <v>2.3958333333333331E-3</v>
      </c>
      <c r="H196" s="577">
        <v>2.5500000000000002E-3</v>
      </c>
      <c r="I196" s="577">
        <f t="shared" si="24"/>
        <v>-4.2299999999999997E-2</v>
      </c>
      <c r="J196" s="577">
        <f t="shared" si="28"/>
        <v>-4.3095833333333333E-2</v>
      </c>
      <c r="K196" s="577">
        <f t="shared" si="29"/>
        <v>-7.0349999999999996E-2</v>
      </c>
      <c r="L196" s="585">
        <f t="shared" si="25"/>
        <v>-0.11576672234848517</v>
      </c>
      <c r="M196" s="585">
        <f t="shared" si="26"/>
        <v>1.9200000000000002E-2</v>
      </c>
      <c r="N196" s="585">
        <f t="shared" si="30"/>
        <v>2.8749999999999998E-2</v>
      </c>
      <c r="O196" s="586">
        <f t="shared" si="27"/>
        <v>-0.13496672234848517</v>
      </c>
      <c r="P196" s="585">
        <f t="shared" si="31"/>
        <v>-0.14451672234848517</v>
      </c>
      <c r="Q196" s="585">
        <f t="shared" si="32"/>
        <v>-0.31567650698390026</v>
      </c>
      <c r="R196" s="585">
        <f t="shared" si="33"/>
        <v>3.0600000000000002E-2</v>
      </c>
      <c r="S196" s="586">
        <f t="shared" si="34"/>
        <v>-0.34627650698390028</v>
      </c>
      <c r="U196" s="587"/>
      <c r="V196" s="587"/>
      <c r="W196" s="587"/>
      <c r="X196" s="587"/>
      <c r="Y196" s="587"/>
      <c r="Z196" s="587"/>
      <c r="AA196" s="587"/>
      <c r="AB196" s="587"/>
      <c r="AC196" s="587"/>
      <c r="AE196" s="587"/>
      <c r="AF196" s="587"/>
      <c r="AG196" s="587"/>
      <c r="AH196" s="587"/>
      <c r="AI196" s="587"/>
      <c r="AJ196" s="587"/>
      <c r="AK196" s="587"/>
      <c r="AL196" s="587"/>
      <c r="AM196" s="587"/>
      <c r="AO196" s="587"/>
      <c r="AP196" s="587"/>
      <c r="AQ196" s="587"/>
      <c r="AR196" s="587"/>
      <c r="AS196" s="587"/>
      <c r="AT196" s="587"/>
      <c r="AU196" s="587"/>
      <c r="AV196" s="587"/>
      <c r="AW196" s="587"/>
    </row>
    <row r="197" spans="1:49">
      <c r="A197" s="581">
        <v>15342</v>
      </c>
      <c r="B197" s="594">
        <v>1.61E-2</v>
      </c>
      <c r="C197" s="577">
        <v>2.52E-2</v>
      </c>
      <c r="D197" s="577">
        <v>2.0999999999999999E-3</v>
      </c>
      <c r="E197" s="577">
        <v>2.3583333333333334E-3</v>
      </c>
      <c r="F197" s="577">
        <v>2.4666666666666669E-3</v>
      </c>
      <c r="G197" s="577">
        <v>2.4125000000000001E-3</v>
      </c>
      <c r="H197" s="577">
        <v>2.575E-3</v>
      </c>
      <c r="I197" s="577">
        <f t="shared" si="24"/>
        <v>1.4E-2</v>
      </c>
      <c r="J197" s="577">
        <f t="shared" si="28"/>
        <v>1.36875E-2</v>
      </c>
      <c r="K197" s="577">
        <f t="shared" si="29"/>
        <v>2.2624999999999999E-2</v>
      </c>
      <c r="L197" s="585">
        <f t="shared" si="25"/>
        <v>-5.7911886943793012E-2</v>
      </c>
      <c r="M197" s="585">
        <f t="shared" si="26"/>
        <v>2.52E-2</v>
      </c>
      <c r="N197" s="585">
        <f t="shared" si="30"/>
        <v>2.8950000000000004E-2</v>
      </c>
      <c r="O197" s="586">
        <f t="shared" si="27"/>
        <v>-8.3111886943793012E-2</v>
      </c>
      <c r="P197" s="585">
        <f t="shared" si="31"/>
        <v>-8.6861886943793015E-2</v>
      </c>
      <c r="Q197" s="585">
        <f t="shared" si="32"/>
        <v>-0.29248845800715473</v>
      </c>
      <c r="R197" s="585">
        <f t="shared" si="33"/>
        <v>3.09E-2</v>
      </c>
      <c r="S197" s="586">
        <f t="shared" si="34"/>
        <v>-0.32338845800715471</v>
      </c>
      <c r="U197" s="587"/>
      <c r="V197" s="587"/>
      <c r="W197" s="587"/>
      <c r="X197" s="587"/>
      <c r="Y197" s="587"/>
      <c r="Z197" s="587"/>
      <c r="AA197" s="587"/>
      <c r="AB197" s="587"/>
      <c r="AC197" s="587"/>
      <c r="AE197" s="587"/>
      <c r="AF197" s="587"/>
      <c r="AG197" s="587"/>
      <c r="AH197" s="587"/>
      <c r="AI197" s="587"/>
      <c r="AJ197" s="587"/>
      <c r="AK197" s="587"/>
      <c r="AL197" s="587"/>
      <c r="AM197" s="587"/>
      <c r="AO197" s="587"/>
      <c r="AP197" s="587"/>
      <c r="AQ197" s="587"/>
      <c r="AR197" s="587"/>
      <c r="AS197" s="587"/>
      <c r="AT197" s="587"/>
      <c r="AU197" s="587"/>
      <c r="AV197" s="587"/>
      <c r="AW197" s="587"/>
    </row>
    <row r="198" spans="1:49">
      <c r="A198" s="581">
        <v>15373</v>
      </c>
      <c r="B198" s="594">
        <v>-1.5900000000000001E-2</v>
      </c>
      <c r="C198" s="577">
        <v>-3.39E-2</v>
      </c>
      <c r="D198" s="577">
        <v>1.9E-3</v>
      </c>
      <c r="E198" s="577">
        <v>2.3750000000000004E-3</v>
      </c>
      <c r="F198" s="577">
        <v>2.4833333333333331E-3</v>
      </c>
      <c r="G198" s="577">
        <v>2.4291666666666667E-3</v>
      </c>
      <c r="H198" s="577">
        <v>2.575E-3</v>
      </c>
      <c r="I198" s="577">
        <f t="shared" ref="I198:I261" si="35">B198-D198</f>
        <v>-1.78E-2</v>
      </c>
      <c r="J198" s="577">
        <f t="shared" si="28"/>
        <v>-1.8329166666666667E-2</v>
      </c>
      <c r="K198" s="577">
        <f t="shared" si="29"/>
        <v>-3.6475E-2</v>
      </c>
      <c r="L198" s="585">
        <f t="shared" si="25"/>
        <v>-6.7294857083890047E-2</v>
      </c>
      <c r="M198" s="585">
        <f t="shared" si="26"/>
        <v>2.2800000000000001E-2</v>
      </c>
      <c r="N198" s="585">
        <f t="shared" si="30"/>
        <v>2.9150000000000002E-2</v>
      </c>
      <c r="O198" s="586">
        <f t="shared" si="27"/>
        <v>-9.0094857083890048E-2</v>
      </c>
      <c r="P198" s="585">
        <f t="shared" si="31"/>
        <v>-9.6444857083890057E-2</v>
      </c>
      <c r="Q198" s="585">
        <f t="shared" si="32"/>
        <v>-0.30016699015123582</v>
      </c>
      <c r="R198" s="585">
        <f t="shared" si="33"/>
        <v>3.09E-2</v>
      </c>
      <c r="S198" s="586">
        <f t="shared" si="34"/>
        <v>-0.33106699015123581</v>
      </c>
      <c r="U198" s="587"/>
      <c r="V198" s="587"/>
      <c r="W198" s="587"/>
      <c r="X198" s="587"/>
      <c r="Y198" s="587"/>
      <c r="Z198" s="587"/>
      <c r="AA198" s="587"/>
      <c r="AB198" s="587"/>
      <c r="AC198" s="587"/>
      <c r="AE198" s="587"/>
      <c r="AF198" s="587"/>
      <c r="AG198" s="587"/>
      <c r="AH198" s="587"/>
      <c r="AI198" s="587"/>
      <c r="AJ198" s="587"/>
      <c r="AK198" s="587"/>
      <c r="AL198" s="587"/>
      <c r="AM198" s="587"/>
      <c r="AO198" s="587"/>
      <c r="AP198" s="587"/>
      <c r="AQ198" s="587"/>
      <c r="AR198" s="587"/>
      <c r="AS198" s="587"/>
      <c r="AT198" s="587"/>
      <c r="AU198" s="587"/>
      <c r="AV198" s="587"/>
      <c r="AW198" s="587"/>
    </row>
    <row r="199" spans="1:49">
      <c r="A199" s="581">
        <v>15401</v>
      </c>
      <c r="B199" s="594">
        <v>-6.5199999999999994E-2</v>
      </c>
      <c r="C199" s="577">
        <v>-0.10459999999999998</v>
      </c>
      <c r="D199" s="577">
        <v>2.0999999999999999E-3</v>
      </c>
      <c r="E199" s="577">
        <v>2.3833333333333332E-3</v>
      </c>
      <c r="F199" s="577">
        <v>2.5000000000000001E-3</v>
      </c>
      <c r="G199" s="577">
        <v>2.4416666666666666E-3</v>
      </c>
      <c r="H199" s="577">
        <v>2.5999999999999999E-3</v>
      </c>
      <c r="I199" s="577">
        <f t="shared" si="35"/>
        <v>-6.7299999999999999E-2</v>
      </c>
      <c r="J199" s="577">
        <f t="shared" si="28"/>
        <v>-6.7641666666666656E-2</v>
      </c>
      <c r="K199" s="577">
        <f t="shared" si="29"/>
        <v>-0.10719999999999999</v>
      </c>
      <c r="L199" s="585">
        <f t="shared" si="25"/>
        <v>-0.13425402879755821</v>
      </c>
      <c r="M199" s="585">
        <f t="shared" si="26"/>
        <v>2.52E-2</v>
      </c>
      <c r="N199" s="585">
        <f t="shared" si="30"/>
        <v>2.93E-2</v>
      </c>
      <c r="O199" s="586">
        <f t="shared" si="27"/>
        <v>-0.15945402879755821</v>
      </c>
      <c r="P199" s="585">
        <f t="shared" si="31"/>
        <v>-0.1635540287975582</v>
      </c>
      <c r="Q199" s="585">
        <f t="shared" si="32"/>
        <v>-0.35531843928129292</v>
      </c>
      <c r="R199" s="585">
        <f t="shared" si="33"/>
        <v>3.1199999999999999E-2</v>
      </c>
      <c r="S199" s="586">
        <f t="shared" si="34"/>
        <v>-0.38651843928129292</v>
      </c>
      <c r="U199" s="587"/>
      <c r="V199" s="587"/>
      <c r="W199" s="587"/>
      <c r="X199" s="587"/>
      <c r="Y199" s="587"/>
      <c r="Z199" s="587"/>
      <c r="AA199" s="587"/>
      <c r="AB199" s="587"/>
      <c r="AC199" s="587"/>
      <c r="AE199" s="587"/>
      <c r="AF199" s="587"/>
      <c r="AG199" s="587"/>
      <c r="AH199" s="587"/>
      <c r="AI199" s="587"/>
      <c r="AJ199" s="587"/>
      <c r="AK199" s="587"/>
      <c r="AL199" s="587"/>
      <c r="AM199" s="587"/>
      <c r="AO199" s="587"/>
      <c r="AP199" s="587"/>
      <c r="AQ199" s="587"/>
      <c r="AR199" s="587"/>
      <c r="AS199" s="587"/>
      <c r="AT199" s="587"/>
      <c r="AU199" s="587"/>
      <c r="AV199" s="587"/>
      <c r="AW199" s="587"/>
    </row>
    <row r="200" spans="1:49">
      <c r="A200" s="581">
        <v>15432</v>
      </c>
      <c r="B200" s="594">
        <v>-0.04</v>
      </c>
      <c r="C200" s="577">
        <v>-4.3200000000000002E-2</v>
      </c>
      <c r="D200" s="577">
        <v>2E-3</v>
      </c>
      <c r="E200" s="577">
        <v>2.3583333333333334E-3</v>
      </c>
      <c r="F200" s="577">
        <v>2.4833333333333331E-3</v>
      </c>
      <c r="G200" s="577">
        <v>2.420833333333333E-3</v>
      </c>
      <c r="H200" s="577">
        <v>2.575E-3</v>
      </c>
      <c r="I200" s="577">
        <f t="shared" si="35"/>
        <v>-4.2000000000000003E-2</v>
      </c>
      <c r="J200" s="577">
        <f t="shared" si="28"/>
        <v>-4.2420833333333331E-2</v>
      </c>
      <c r="K200" s="577">
        <f t="shared" si="29"/>
        <v>-4.5775000000000003E-2</v>
      </c>
      <c r="L200" s="585">
        <f t="shared" si="25"/>
        <v>-0.11470373630768604</v>
      </c>
      <c r="M200" s="585">
        <f t="shared" si="26"/>
        <v>2.4E-2</v>
      </c>
      <c r="N200" s="585">
        <f t="shared" si="30"/>
        <v>2.9049999999999996E-2</v>
      </c>
      <c r="O200" s="586">
        <f t="shared" si="27"/>
        <v>-0.13870373630768604</v>
      </c>
      <c r="P200" s="585">
        <f t="shared" si="31"/>
        <v>-0.14375373630768604</v>
      </c>
      <c r="Q200" s="585">
        <f t="shared" si="32"/>
        <v>-0.32630917726555386</v>
      </c>
      <c r="R200" s="585">
        <f t="shared" si="33"/>
        <v>3.09E-2</v>
      </c>
      <c r="S200" s="586">
        <f t="shared" si="34"/>
        <v>-0.35720917726555385</v>
      </c>
      <c r="U200" s="587"/>
      <c r="V200" s="587"/>
      <c r="W200" s="587"/>
      <c r="X200" s="587"/>
      <c r="Y200" s="587"/>
      <c r="Z200" s="587"/>
      <c r="AA200" s="587"/>
      <c r="AB200" s="587"/>
      <c r="AC200" s="587"/>
      <c r="AE200" s="587"/>
      <c r="AF200" s="587"/>
      <c r="AG200" s="587"/>
      <c r="AH200" s="587"/>
      <c r="AI200" s="587"/>
      <c r="AJ200" s="587"/>
      <c r="AK200" s="587"/>
      <c r="AL200" s="587"/>
      <c r="AM200" s="587"/>
      <c r="AO200" s="587"/>
      <c r="AP200" s="587"/>
      <c r="AQ200" s="587"/>
      <c r="AR200" s="587"/>
      <c r="AS200" s="587"/>
      <c r="AT200" s="587"/>
      <c r="AU200" s="587"/>
      <c r="AV200" s="587"/>
      <c r="AW200" s="587"/>
    </row>
    <row r="201" spans="1:49">
      <c r="A201" s="581">
        <v>15462</v>
      </c>
      <c r="B201" s="594">
        <v>7.9600000000000004E-2</v>
      </c>
      <c r="C201" s="577">
        <v>9.5600000000000004E-2</v>
      </c>
      <c r="D201" s="577">
        <v>1.9E-3</v>
      </c>
      <c r="E201" s="577">
        <v>2.3750000000000004E-3</v>
      </c>
      <c r="F201" s="577">
        <v>2.5000000000000001E-3</v>
      </c>
      <c r="G201" s="577">
        <v>2.4375000000000004E-3</v>
      </c>
      <c r="H201" s="577">
        <v>2.5833333333333337E-3</v>
      </c>
      <c r="I201" s="577">
        <f t="shared" si="35"/>
        <v>7.7700000000000005E-2</v>
      </c>
      <c r="J201" s="577">
        <f t="shared" si="28"/>
        <v>7.7162500000000009E-2</v>
      </c>
      <c r="K201" s="577">
        <f t="shared" si="29"/>
        <v>9.3016666666666664E-2</v>
      </c>
      <c r="L201" s="585">
        <f t="shared" si="25"/>
        <v>-6.1410344414983609E-2</v>
      </c>
      <c r="M201" s="585">
        <f t="shared" si="26"/>
        <v>2.2800000000000001E-2</v>
      </c>
      <c r="N201" s="585">
        <f t="shared" si="30"/>
        <v>2.9250000000000005E-2</v>
      </c>
      <c r="O201" s="586">
        <f t="shared" si="27"/>
        <v>-8.4210344414983609E-2</v>
      </c>
      <c r="P201" s="585">
        <f t="shared" si="31"/>
        <v>-9.0660344414983607E-2</v>
      </c>
      <c r="Q201" s="585">
        <f t="shared" si="32"/>
        <v>-0.23616302867860994</v>
      </c>
      <c r="R201" s="585">
        <f t="shared" si="33"/>
        <v>3.1000000000000007E-2</v>
      </c>
      <c r="S201" s="586">
        <f t="shared" si="34"/>
        <v>-0.26716302867860997</v>
      </c>
      <c r="U201" s="587"/>
      <c r="V201" s="587"/>
      <c r="W201" s="587"/>
      <c r="X201" s="587"/>
      <c r="Y201" s="587"/>
      <c r="Z201" s="587"/>
      <c r="AA201" s="587"/>
      <c r="AB201" s="587"/>
      <c r="AC201" s="587"/>
      <c r="AE201" s="587"/>
      <c r="AF201" s="587"/>
      <c r="AG201" s="587"/>
      <c r="AH201" s="587"/>
      <c r="AI201" s="587"/>
      <c r="AJ201" s="587"/>
      <c r="AK201" s="587"/>
      <c r="AL201" s="587"/>
      <c r="AM201" s="587"/>
      <c r="AO201" s="587"/>
      <c r="AP201" s="587"/>
      <c r="AQ201" s="587"/>
      <c r="AR201" s="587"/>
      <c r="AS201" s="587"/>
      <c r="AT201" s="587"/>
      <c r="AU201" s="587"/>
      <c r="AV201" s="587"/>
      <c r="AW201" s="587"/>
    </row>
    <row r="202" spans="1:49">
      <c r="A202" s="581">
        <v>15493</v>
      </c>
      <c r="B202" s="594">
        <v>2.2100000000000002E-2</v>
      </c>
      <c r="C202" s="577">
        <v>5.7000000000000002E-3</v>
      </c>
      <c r="D202" s="577">
        <v>2.0999999999999999E-3</v>
      </c>
      <c r="E202" s="577">
        <v>2.3750000000000004E-3</v>
      </c>
      <c r="F202" s="577">
        <v>2.5083333333333329E-3</v>
      </c>
      <c r="G202" s="577">
        <v>2.4416666666666666E-3</v>
      </c>
      <c r="H202" s="577">
        <v>2.5999999999999999E-3</v>
      </c>
      <c r="I202" s="577">
        <f t="shared" si="35"/>
        <v>0.02</v>
      </c>
      <c r="J202" s="577">
        <f t="shared" si="28"/>
        <v>1.9658333333333333E-2</v>
      </c>
      <c r="K202" s="577">
        <f t="shared" si="29"/>
        <v>3.1000000000000003E-3</v>
      </c>
      <c r="L202" s="585">
        <f t="shared" si="25"/>
        <v>-9.3087079813343521E-2</v>
      </c>
      <c r="M202" s="585">
        <f t="shared" si="26"/>
        <v>2.52E-2</v>
      </c>
      <c r="N202" s="585">
        <f t="shared" si="30"/>
        <v>2.93E-2</v>
      </c>
      <c r="O202" s="586">
        <f t="shared" si="27"/>
        <v>-0.11828707981334352</v>
      </c>
      <c r="P202" s="585">
        <f t="shared" si="31"/>
        <v>-0.12238707981334351</v>
      </c>
      <c r="Q202" s="585">
        <f t="shared" si="32"/>
        <v>-0.25105699321641628</v>
      </c>
      <c r="R202" s="585">
        <f t="shared" si="33"/>
        <v>3.1199999999999999E-2</v>
      </c>
      <c r="S202" s="586">
        <f t="shared" si="34"/>
        <v>-0.28225699321641629</v>
      </c>
      <c r="U202" s="587"/>
      <c r="V202" s="587"/>
      <c r="W202" s="587"/>
      <c r="X202" s="587"/>
      <c r="Y202" s="587"/>
      <c r="Z202" s="587"/>
      <c r="AA202" s="587"/>
      <c r="AB202" s="587"/>
      <c r="AC202" s="587"/>
      <c r="AE202" s="587"/>
      <c r="AF202" s="587"/>
      <c r="AG202" s="587"/>
      <c r="AH202" s="587"/>
      <c r="AI202" s="587"/>
      <c r="AJ202" s="587"/>
      <c r="AK202" s="587"/>
      <c r="AL202" s="587"/>
      <c r="AM202" s="587"/>
      <c r="AO202" s="587"/>
      <c r="AP202" s="587"/>
      <c r="AQ202" s="587"/>
      <c r="AR202" s="587"/>
      <c r="AS202" s="587"/>
      <c r="AT202" s="587"/>
      <c r="AU202" s="587"/>
      <c r="AV202" s="587"/>
      <c r="AW202" s="587"/>
    </row>
    <row r="203" spans="1:49">
      <c r="A203" s="581">
        <v>15523</v>
      </c>
      <c r="B203" s="594">
        <v>3.3700000000000001E-2</v>
      </c>
      <c r="C203" s="577">
        <v>4.0000000000000001E-3</v>
      </c>
      <c r="D203" s="577">
        <v>2.0999999999999999E-3</v>
      </c>
      <c r="E203" s="577">
        <v>2.3583333333333334E-3</v>
      </c>
      <c r="F203" s="577">
        <v>2.4916666666666668E-3</v>
      </c>
      <c r="G203" s="577">
        <v>2.4250000000000001E-3</v>
      </c>
      <c r="H203" s="577">
        <v>2.5833333333333337E-3</v>
      </c>
      <c r="I203" s="577">
        <f t="shared" si="35"/>
        <v>3.1600000000000003E-2</v>
      </c>
      <c r="J203" s="577">
        <f t="shared" si="28"/>
        <v>3.1274999999999997E-2</v>
      </c>
      <c r="K203" s="577">
        <f t="shared" si="29"/>
        <v>1.4166666666666663E-3</v>
      </c>
      <c r="L203" s="585">
        <f t="shared" si="25"/>
        <v>-0.11383317364878842</v>
      </c>
      <c r="M203" s="585">
        <f t="shared" si="26"/>
        <v>2.52E-2</v>
      </c>
      <c r="N203" s="585">
        <f t="shared" si="30"/>
        <v>2.9100000000000001E-2</v>
      </c>
      <c r="O203" s="586">
        <f t="shared" si="27"/>
        <v>-0.13903317364878842</v>
      </c>
      <c r="P203" s="585">
        <f t="shared" si="31"/>
        <v>-0.14293317364878844</v>
      </c>
      <c r="Q203" s="585">
        <f t="shared" si="32"/>
        <v>-0.28645020040736568</v>
      </c>
      <c r="R203" s="585">
        <f t="shared" si="33"/>
        <v>3.1000000000000007E-2</v>
      </c>
      <c r="S203" s="586">
        <f t="shared" si="34"/>
        <v>-0.31745020040736571</v>
      </c>
      <c r="U203" s="587"/>
      <c r="V203" s="587"/>
      <c r="W203" s="587"/>
      <c r="X203" s="587"/>
      <c r="Y203" s="587"/>
      <c r="Z203" s="587"/>
      <c r="AA203" s="587"/>
      <c r="AB203" s="587"/>
      <c r="AC203" s="587"/>
      <c r="AE203" s="587"/>
      <c r="AF203" s="587"/>
      <c r="AG203" s="587"/>
      <c r="AH203" s="587"/>
      <c r="AI203" s="587"/>
      <c r="AJ203" s="587"/>
      <c r="AK203" s="587"/>
      <c r="AL203" s="587"/>
      <c r="AM203" s="587"/>
      <c r="AO203" s="587"/>
      <c r="AP203" s="587"/>
      <c r="AQ203" s="587"/>
      <c r="AR203" s="587"/>
      <c r="AS203" s="587"/>
      <c r="AT203" s="587"/>
      <c r="AU203" s="587"/>
      <c r="AV203" s="587"/>
      <c r="AW203" s="587"/>
    </row>
    <row r="204" spans="1:49">
      <c r="A204" s="581">
        <v>15554</v>
      </c>
      <c r="B204" s="594">
        <v>1.6400000000000001E-2</v>
      </c>
      <c r="C204" s="577">
        <v>2.5999999999999999E-3</v>
      </c>
      <c r="D204" s="577">
        <v>2.0999999999999999E-3</v>
      </c>
      <c r="E204" s="577">
        <v>2.3416666666666668E-3</v>
      </c>
      <c r="F204" s="577">
        <v>2.4916666666666668E-3</v>
      </c>
      <c r="G204" s="577">
        <v>2.4166666666666668E-3</v>
      </c>
      <c r="H204" s="577">
        <v>2.5833333333333337E-3</v>
      </c>
      <c r="I204" s="577">
        <f t="shared" si="35"/>
        <v>1.4300000000000002E-2</v>
      </c>
      <c r="J204" s="577">
        <f t="shared" si="28"/>
        <v>1.3983333333333334E-2</v>
      </c>
      <c r="K204" s="577">
        <f t="shared" si="29"/>
        <v>1.6666666666666132E-5</v>
      </c>
      <c r="L204" s="585">
        <f t="shared" si="25"/>
        <v>-0.1001998378587694</v>
      </c>
      <c r="M204" s="585">
        <f t="shared" si="26"/>
        <v>2.52E-2</v>
      </c>
      <c r="N204" s="585">
        <f t="shared" si="30"/>
        <v>2.9000000000000001E-2</v>
      </c>
      <c r="O204" s="586">
        <f t="shared" si="27"/>
        <v>-0.1253998378587694</v>
      </c>
      <c r="P204" s="585">
        <f t="shared" si="31"/>
        <v>-0.1291998378587694</v>
      </c>
      <c r="Q204" s="585">
        <f t="shared" si="32"/>
        <v>-0.27059030478020474</v>
      </c>
      <c r="R204" s="585">
        <f t="shared" si="33"/>
        <v>3.1000000000000007E-2</v>
      </c>
      <c r="S204" s="586">
        <f t="shared" si="34"/>
        <v>-0.30159030478020477</v>
      </c>
      <c r="U204" s="587"/>
      <c r="V204" s="587"/>
      <c r="W204" s="587"/>
      <c r="X204" s="587"/>
      <c r="Y204" s="587"/>
      <c r="Z204" s="587"/>
      <c r="AA204" s="587"/>
      <c r="AB204" s="587"/>
      <c r="AC204" s="587"/>
      <c r="AE204" s="587"/>
      <c r="AF204" s="587"/>
      <c r="AG204" s="587"/>
      <c r="AH204" s="587"/>
      <c r="AI204" s="587"/>
      <c r="AJ204" s="587"/>
      <c r="AK204" s="587"/>
      <c r="AL204" s="587"/>
      <c r="AM204" s="587"/>
      <c r="AO204" s="587"/>
      <c r="AP204" s="587"/>
      <c r="AQ204" s="587"/>
      <c r="AR204" s="587"/>
      <c r="AS204" s="587"/>
      <c r="AT204" s="587"/>
      <c r="AU204" s="587"/>
      <c r="AV204" s="587"/>
      <c r="AW204" s="587"/>
    </row>
    <row r="205" spans="1:49">
      <c r="A205" s="581">
        <v>15585</v>
      </c>
      <c r="B205" s="594">
        <v>2.9000000000000001E-2</v>
      </c>
      <c r="C205" s="577">
        <v>4.6600000000000003E-2</v>
      </c>
      <c r="D205" s="577">
        <v>2E-3</v>
      </c>
      <c r="E205" s="577">
        <v>2.3333333333333331E-3</v>
      </c>
      <c r="F205" s="577">
        <v>2.4833333333333331E-3</v>
      </c>
      <c r="G205" s="577">
        <v>2.4083333333333331E-3</v>
      </c>
      <c r="H205" s="577">
        <v>2.5666666666666667E-3</v>
      </c>
      <c r="I205" s="577">
        <f t="shared" si="35"/>
        <v>2.7000000000000003E-2</v>
      </c>
      <c r="J205" s="577">
        <f t="shared" si="28"/>
        <v>2.659166666666667E-2</v>
      </c>
      <c r="K205" s="577">
        <f t="shared" si="29"/>
        <v>4.4033333333333334E-2</v>
      </c>
      <c r="L205" s="585">
        <f t="shared" si="25"/>
        <v>-6.7766444982555463E-2</v>
      </c>
      <c r="M205" s="585">
        <f t="shared" si="26"/>
        <v>2.4E-2</v>
      </c>
      <c r="N205" s="585">
        <f t="shared" si="30"/>
        <v>2.8899999999999995E-2</v>
      </c>
      <c r="O205" s="586">
        <f t="shared" si="27"/>
        <v>-9.1766444982555456E-2</v>
      </c>
      <c r="P205" s="585">
        <f t="shared" si="31"/>
        <v>-9.6666444982555458E-2</v>
      </c>
      <c r="Q205" s="585">
        <f t="shared" si="32"/>
        <v>-0.21444722472006839</v>
      </c>
      <c r="R205" s="585">
        <f t="shared" si="33"/>
        <v>3.0800000000000001E-2</v>
      </c>
      <c r="S205" s="586">
        <f t="shared" si="34"/>
        <v>-0.24524722472006838</v>
      </c>
      <c r="U205" s="587"/>
      <c r="V205" s="587"/>
      <c r="W205" s="587"/>
      <c r="X205" s="587"/>
      <c r="Y205" s="587"/>
      <c r="Z205" s="587"/>
      <c r="AA205" s="587"/>
      <c r="AB205" s="587"/>
      <c r="AC205" s="587"/>
      <c r="AE205" s="587"/>
      <c r="AF205" s="587"/>
      <c r="AG205" s="587"/>
      <c r="AH205" s="587"/>
      <c r="AI205" s="587"/>
      <c r="AJ205" s="587"/>
      <c r="AK205" s="587"/>
      <c r="AL205" s="587"/>
      <c r="AM205" s="587"/>
      <c r="AO205" s="587"/>
      <c r="AP205" s="587"/>
      <c r="AQ205" s="587"/>
      <c r="AR205" s="587"/>
      <c r="AS205" s="587"/>
      <c r="AT205" s="587"/>
      <c r="AU205" s="587"/>
      <c r="AV205" s="587"/>
      <c r="AW205" s="587"/>
    </row>
    <row r="206" spans="1:49">
      <c r="A206" s="581">
        <v>15615</v>
      </c>
      <c r="B206" s="594">
        <v>6.7799999999999999E-2</v>
      </c>
      <c r="C206" s="577">
        <v>0.13620000000000002</v>
      </c>
      <c r="D206" s="577">
        <v>2.0999999999999999E-3</v>
      </c>
      <c r="E206" s="577">
        <v>2.3333333333333331E-3</v>
      </c>
      <c r="F206" s="577">
        <v>2.4583333333333336E-3</v>
      </c>
      <c r="G206" s="577">
        <v>2.3958333333333331E-3</v>
      </c>
      <c r="H206" s="577">
        <v>2.5666666666666667E-3</v>
      </c>
      <c r="I206" s="577">
        <f t="shared" si="35"/>
        <v>6.5699999999999995E-2</v>
      </c>
      <c r="J206" s="577">
        <f t="shared" si="28"/>
        <v>6.5404166666666666E-2</v>
      </c>
      <c r="K206" s="577">
        <f t="shared" si="29"/>
        <v>0.13363333333333335</v>
      </c>
      <c r="L206" s="585">
        <f t="shared" si="25"/>
        <v>6.5438285398295104E-2</v>
      </c>
      <c r="M206" s="585">
        <f t="shared" si="26"/>
        <v>2.52E-2</v>
      </c>
      <c r="N206" s="585">
        <f t="shared" si="30"/>
        <v>2.8749999999999998E-2</v>
      </c>
      <c r="O206" s="586">
        <f t="shared" si="27"/>
        <v>4.0238285398295104E-2</v>
      </c>
      <c r="P206" s="585">
        <f t="shared" si="31"/>
        <v>3.6688285398295106E-2</v>
      </c>
      <c r="Q206" s="585">
        <f t="shared" si="32"/>
        <v>-2.4754082962130219E-2</v>
      </c>
      <c r="R206" s="585">
        <f t="shared" si="33"/>
        <v>3.0800000000000001E-2</v>
      </c>
      <c r="S206" s="586">
        <f t="shared" si="34"/>
        <v>-5.555408296213022E-2</v>
      </c>
      <c r="U206" s="587"/>
      <c r="V206" s="587"/>
      <c r="W206" s="587"/>
      <c r="X206" s="587"/>
      <c r="Y206" s="587"/>
      <c r="Z206" s="587"/>
      <c r="AA206" s="587"/>
      <c r="AB206" s="587"/>
      <c r="AC206" s="587"/>
      <c r="AE206" s="587"/>
      <c r="AF206" s="587"/>
      <c r="AG206" s="587"/>
      <c r="AH206" s="587"/>
      <c r="AI206" s="587"/>
      <c r="AJ206" s="587"/>
      <c r="AK206" s="587"/>
      <c r="AL206" s="587"/>
      <c r="AM206" s="587"/>
      <c r="AO206" s="587"/>
      <c r="AP206" s="587"/>
      <c r="AQ206" s="587"/>
      <c r="AR206" s="587"/>
      <c r="AS206" s="587"/>
      <c r="AT206" s="587"/>
      <c r="AU206" s="587"/>
      <c r="AV206" s="587"/>
      <c r="AW206" s="587"/>
    </row>
    <row r="207" spans="1:49">
      <c r="A207" s="581">
        <v>15646</v>
      </c>
      <c r="B207" s="594">
        <v>-2.0999999999999999E-3</v>
      </c>
      <c r="C207" s="577">
        <v>-1.5000000000000005E-3</v>
      </c>
      <c r="D207" s="577">
        <v>2E-3</v>
      </c>
      <c r="E207" s="577">
        <v>2.3250000000000002E-3</v>
      </c>
      <c r="F207" s="577">
        <v>2.4499999999999999E-3</v>
      </c>
      <c r="G207" s="577">
        <v>2.3875000000000003E-3</v>
      </c>
      <c r="H207" s="577">
        <v>2.5583333333333335E-3</v>
      </c>
      <c r="I207" s="577">
        <f t="shared" si="35"/>
        <v>-4.0999999999999995E-3</v>
      </c>
      <c r="J207" s="577">
        <f t="shared" si="28"/>
        <v>-4.4875000000000002E-3</v>
      </c>
      <c r="K207" s="577">
        <f t="shared" si="29"/>
        <v>-4.0583333333333339E-3</v>
      </c>
      <c r="L207" s="585">
        <f t="shared" si="25"/>
        <v>9.4278370727623129E-2</v>
      </c>
      <c r="M207" s="585">
        <f t="shared" si="26"/>
        <v>2.4E-2</v>
      </c>
      <c r="N207" s="585">
        <f t="shared" si="30"/>
        <v>2.8650000000000002E-2</v>
      </c>
      <c r="O207" s="586">
        <f t="shared" si="27"/>
        <v>7.0278370727623135E-2</v>
      </c>
      <c r="P207" s="585">
        <f t="shared" si="31"/>
        <v>6.562837072762312E-2</v>
      </c>
      <c r="Q207" s="585">
        <f t="shared" si="32"/>
        <v>4.1702019856988848E-2</v>
      </c>
      <c r="R207" s="585">
        <f t="shared" si="33"/>
        <v>3.0700000000000002E-2</v>
      </c>
      <c r="S207" s="586">
        <f t="shared" si="34"/>
        <v>1.1002019856988846E-2</v>
      </c>
      <c r="U207" s="587"/>
      <c r="V207" s="587"/>
      <c r="W207" s="587"/>
      <c r="X207" s="587"/>
      <c r="Y207" s="587"/>
      <c r="Z207" s="587"/>
      <c r="AA207" s="587"/>
      <c r="AB207" s="587"/>
      <c r="AC207" s="587"/>
      <c r="AE207" s="587"/>
      <c r="AF207" s="587"/>
      <c r="AG207" s="587"/>
      <c r="AH207" s="587"/>
      <c r="AI207" s="587"/>
      <c r="AJ207" s="587"/>
      <c r="AK207" s="587"/>
      <c r="AL207" s="587"/>
      <c r="AM207" s="587"/>
      <c r="AO207" s="587"/>
      <c r="AP207" s="587"/>
      <c r="AQ207" s="587"/>
      <c r="AR207" s="587"/>
      <c r="AS207" s="587"/>
      <c r="AT207" s="587"/>
      <c r="AU207" s="587"/>
      <c r="AV207" s="587"/>
      <c r="AW207" s="587"/>
    </row>
    <row r="208" spans="1:49">
      <c r="A208" s="581">
        <v>15676</v>
      </c>
      <c r="B208" s="594">
        <v>5.4899999999999997E-2</v>
      </c>
      <c r="C208" s="577">
        <v>3.2799999999999996E-2</v>
      </c>
      <c r="D208" s="577">
        <v>2.0999999999999999E-3</v>
      </c>
      <c r="E208" s="577">
        <v>2.3416666666666668E-3</v>
      </c>
      <c r="F208" s="577">
        <v>2.4666666666666669E-3</v>
      </c>
      <c r="G208" s="577">
        <v>2.4041666666666669E-3</v>
      </c>
      <c r="H208" s="577">
        <v>2.5500000000000002E-3</v>
      </c>
      <c r="I208" s="577">
        <f t="shared" si="35"/>
        <v>5.28E-2</v>
      </c>
      <c r="J208" s="577">
        <f t="shared" si="28"/>
        <v>5.2495833333333332E-2</v>
      </c>
      <c r="K208" s="577">
        <f t="shared" si="29"/>
        <v>3.0249999999999996E-2</v>
      </c>
      <c r="L208" s="585">
        <f t="shared" ref="L208:L271" si="36">((1+B197)*(1+B198)*(1+B199)*(1+B200)*(1+B201)*(1+B202)*(1+B203)*(1+B204)*(1+B205)*(1+B206)*(1+B207)*(1+B208))-1</f>
        <v>0.20332977512829098</v>
      </c>
      <c r="M208" s="585">
        <f t="shared" ref="M208:M271" si="37">D208*12</f>
        <v>2.52E-2</v>
      </c>
      <c r="N208" s="585">
        <f t="shared" si="30"/>
        <v>2.8850000000000001E-2</v>
      </c>
      <c r="O208" s="586">
        <f t="shared" ref="O208:O271" si="38">L208-M208</f>
        <v>0.17812977512829098</v>
      </c>
      <c r="P208" s="585">
        <f t="shared" si="31"/>
        <v>0.17447977512829099</v>
      </c>
      <c r="Q208" s="585">
        <f t="shared" si="32"/>
        <v>0.15411912262207483</v>
      </c>
      <c r="R208" s="585">
        <f t="shared" si="33"/>
        <v>3.0600000000000002E-2</v>
      </c>
      <c r="S208" s="586">
        <f t="shared" si="34"/>
        <v>0.12351912262207483</v>
      </c>
      <c r="U208" s="587"/>
      <c r="V208" s="587"/>
      <c r="W208" s="587"/>
      <c r="X208" s="587"/>
      <c r="Y208" s="587"/>
      <c r="Z208" s="587"/>
      <c r="AA208" s="587"/>
      <c r="AB208" s="587"/>
      <c r="AC208" s="587"/>
      <c r="AE208" s="587"/>
      <c r="AF208" s="587"/>
      <c r="AG208" s="587"/>
      <c r="AH208" s="587"/>
      <c r="AI208" s="587"/>
      <c r="AJ208" s="587"/>
      <c r="AK208" s="587"/>
      <c r="AL208" s="587"/>
      <c r="AM208" s="587"/>
      <c r="AO208" s="587"/>
      <c r="AP208" s="587"/>
      <c r="AQ208" s="587"/>
      <c r="AR208" s="587"/>
      <c r="AS208" s="587"/>
      <c r="AT208" s="587"/>
      <c r="AU208" s="587"/>
      <c r="AV208" s="587"/>
      <c r="AW208" s="587"/>
    </row>
    <row r="209" spans="1:49">
      <c r="A209" s="581">
        <v>15707</v>
      </c>
      <c r="B209" s="594">
        <v>7.3700000000000002E-2</v>
      </c>
      <c r="C209" s="577">
        <v>0.1217</v>
      </c>
      <c r="D209" s="577">
        <v>2E-3</v>
      </c>
      <c r="E209" s="577">
        <v>2.3250000000000002E-3</v>
      </c>
      <c r="F209" s="577">
        <v>2.4416666666666666E-3</v>
      </c>
      <c r="G209" s="577">
        <v>2.3833333333333332E-3</v>
      </c>
      <c r="H209" s="577">
        <v>2.5416666666666669E-3</v>
      </c>
      <c r="I209" s="577">
        <f t="shared" si="35"/>
        <v>7.17E-2</v>
      </c>
      <c r="J209" s="577">
        <f t="shared" si="28"/>
        <v>7.1316666666666667E-2</v>
      </c>
      <c r="K209" s="577">
        <f t="shared" si="29"/>
        <v>0.11915833333333334</v>
      </c>
      <c r="L209" s="585">
        <f t="shared" si="36"/>
        <v>0.27154333191147195</v>
      </c>
      <c r="M209" s="585">
        <f t="shared" si="37"/>
        <v>2.4E-2</v>
      </c>
      <c r="N209" s="585">
        <f t="shared" si="30"/>
        <v>2.86E-2</v>
      </c>
      <c r="O209" s="586">
        <f t="shared" si="38"/>
        <v>0.24754333191147196</v>
      </c>
      <c r="P209" s="585">
        <f t="shared" si="31"/>
        <v>0.24294333191147194</v>
      </c>
      <c r="Q209" s="585">
        <f t="shared" si="32"/>
        <v>0.26275401857703939</v>
      </c>
      <c r="R209" s="585">
        <f t="shared" si="33"/>
        <v>3.0500000000000003E-2</v>
      </c>
      <c r="S209" s="586">
        <f t="shared" si="34"/>
        <v>0.2322540185770394</v>
      </c>
      <c r="U209" s="587"/>
      <c r="V209" s="587"/>
      <c r="W209" s="587"/>
      <c r="X209" s="587"/>
      <c r="Y209" s="587"/>
      <c r="Z209" s="587"/>
      <c r="AA209" s="587"/>
      <c r="AB209" s="587"/>
      <c r="AC209" s="587"/>
      <c r="AE209" s="587"/>
      <c r="AF209" s="587"/>
      <c r="AG209" s="587"/>
      <c r="AH209" s="587"/>
      <c r="AI209" s="587"/>
      <c r="AJ209" s="587"/>
      <c r="AK209" s="587"/>
      <c r="AL209" s="587"/>
      <c r="AM209" s="587"/>
      <c r="AO209" s="587"/>
      <c r="AP209" s="587"/>
      <c r="AQ209" s="587"/>
      <c r="AR209" s="587"/>
      <c r="AS209" s="587"/>
      <c r="AT209" s="587"/>
      <c r="AU209" s="587"/>
      <c r="AV209" s="587"/>
      <c r="AW209" s="587"/>
    </row>
    <row r="210" spans="1:49">
      <c r="A210" s="581">
        <v>15738</v>
      </c>
      <c r="B210" s="594">
        <v>5.8299999999999998E-2</v>
      </c>
      <c r="C210" s="577">
        <v>7.1900000000000006E-2</v>
      </c>
      <c r="D210" s="577">
        <v>1.9E-3</v>
      </c>
      <c r="E210" s="577">
        <v>2.3083333333333332E-3</v>
      </c>
      <c r="F210" s="577">
        <v>2.4083333333333335E-3</v>
      </c>
      <c r="G210" s="577">
        <v>2.3583333333333334E-3</v>
      </c>
      <c r="H210" s="577">
        <v>2.5166666666666666E-3</v>
      </c>
      <c r="I210" s="577">
        <f t="shared" si="35"/>
        <v>5.6399999999999999E-2</v>
      </c>
      <c r="J210" s="577">
        <f t="shared" si="28"/>
        <v>5.5941666666666667E-2</v>
      </c>
      <c r="K210" s="577">
        <f t="shared" si="29"/>
        <v>6.9383333333333339E-2</v>
      </c>
      <c r="L210" s="585">
        <f t="shared" si="36"/>
        <v>0.36741622615782044</v>
      </c>
      <c r="M210" s="585">
        <f t="shared" si="37"/>
        <v>2.2800000000000001E-2</v>
      </c>
      <c r="N210" s="585">
        <f t="shared" si="30"/>
        <v>2.8299999999999999E-2</v>
      </c>
      <c r="O210" s="586">
        <f t="shared" si="38"/>
        <v>0.34461622615782045</v>
      </c>
      <c r="P210" s="585">
        <f t="shared" si="31"/>
        <v>0.33911622615782044</v>
      </c>
      <c r="Q210" s="585">
        <f t="shared" si="32"/>
        <v>0.40104133372604189</v>
      </c>
      <c r="R210" s="585">
        <f t="shared" si="33"/>
        <v>3.0199999999999998E-2</v>
      </c>
      <c r="S210" s="586">
        <f t="shared" si="34"/>
        <v>0.37084133372604189</v>
      </c>
      <c r="U210" s="587"/>
      <c r="V210" s="587"/>
      <c r="W210" s="587"/>
      <c r="X210" s="587"/>
      <c r="Y210" s="587"/>
      <c r="Z210" s="587"/>
      <c r="AA210" s="587"/>
      <c r="AB210" s="587"/>
      <c r="AC210" s="587"/>
      <c r="AE210" s="587"/>
      <c r="AF210" s="587"/>
      <c r="AG210" s="587"/>
      <c r="AH210" s="587"/>
      <c r="AI210" s="587"/>
      <c r="AJ210" s="587"/>
      <c r="AK210" s="587"/>
      <c r="AL210" s="587"/>
      <c r="AM210" s="587"/>
      <c r="AO210" s="587"/>
      <c r="AP210" s="587"/>
      <c r="AQ210" s="587"/>
      <c r="AR210" s="587"/>
      <c r="AS210" s="587"/>
      <c r="AT210" s="587"/>
      <c r="AU210" s="587"/>
      <c r="AV210" s="587"/>
      <c r="AW210" s="587"/>
    </row>
    <row r="211" spans="1:49">
      <c r="A211" s="581">
        <v>15766</v>
      </c>
      <c r="B211" s="594">
        <v>5.45E-2</v>
      </c>
      <c r="C211" s="577">
        <v>4.1200000000000001E-2</v>
      </c>
      <c r="D211" s="577">
        <v>2.0999999999999999E-3</v>
      </c>
      <c r="E211" s="577">
        <v>2.3E-3</v>
      </c>
      <c r="F211" s="577">
        <v>2.3999999999999998E-3</v>
      </c>
      <c r="G211" s="577">
        <v>2.3499999999999997E-3</v>
      </c>
      <c r="H211" s="577">
        <v>2.5083333333333333E-3</v>
      </c>
      <c r="I211" s="577">
        <f t="shared" si="35"/>
        <v>5.2400000000000002E-2</v>
      </c>
      <c r="J211" s="577">
        <f t="shared" si="28"/>
        <v>5.2150000000000002E-2</v>
      </c>
      <c r="K211" s="577">
        <f t="shared" si="29"/>
        <v>3.8691666666666666E-2</v>
      </c>
      <c r="L211" s="585">
        <f t="shared" si="36"/>
        <v>0.54251220633656549</v>
      </c>
      <c r="M211" s="585">
        <f t="shared" si="37"/>
        <v>2.52E-2</v>
      </c>
      <c r="N211" s="585">
        <f t="shared" si="30"/>
        <v>2.8199999999999996E-2</v>
      </c>
      <c r="O211" s="586">
        <f t="shared" si="38"/>
        <v>0.51731220633656549</v>
      </c>
      <c r="P211" s="585">
        <f t="shared" si="31"/>
        <v>0.51431220633656549</v>
      </c>
      <c r="Q211" s="585">
        <f t="shared" si="32"/>
        <v>0.62917605168143287</v>
      </c>
      <c r="R211" s="585">
        <f t="shared" si="33"/>
        <v>3.0100000000000002E-2</v>
      </c>
      <c r="S211" s="586">
        <f t="shared" si="34"/>
        <v>0.59907605168143285</v>
      </c>
      <c r="U211" s="587"/>
      <c r="V211" s="587"/>
      <c r="W211" s="587"/>
      <c r="X211" s="587"/>
      <c r="Y211" s="587"/>
      <c r="Z211" s="587"/>
      <c r="AA211" s="587"/>
      <c r="AB211" s="587"/>
      <c r="AC211" s="587"/>
      <c r="AE211" s="587"/>
      <c r="AF211" s="587"/>
      <c r="AG211" s="587"/>
      <c r="AH211" s="587"/>
      <c r="AI211" s="587"/>
      <c r="AJ211" s="587"/>
      <c r="AK211" s="587"/>
      <c r="AL211" s="587"/>
      <c r="AM211" s="587"/>
      <c r="AO211" s="587"/>
      <c r="AP211" s="587"/>
      <c r="AQ211" s="587"/>
      <c r="AR211" s="587"/>
      <c r="AS211" s="587"/>
      <c r="AT211" s="587"/>
      <c r="AU211" s="587"/>
      <c r="AV211" s="587"/>
      <c r="AW211" s="587"/>
    </row>
    <row r="212" spans="1:49">
      <c r="A212" s="581">
        <v>15797</v>
      </c>
      <c r="B212" s="594">
        <v>3.5000000000000001E-3</v>
      </c>
      <c r="C212" s="577">
        <v>3.8700000000000005E-2</v>
      </c>
      <c r="D212" s="577">
        <v>2E-3</v>
      </c>
      <c r="E212" s="577">
        <v>2.3E-3</v>
      </c>
      <c r="F212" s="577">
        <v>2.3999999999999998E-3</v>
      </c>
      <c r="G212" s="577">
        <v>2.3499999999999997E-3</v>
      </c>
      <c r="H212" s="577">
        <v>2.5000000000000001E-3</v>
      </c>
      <c r="I212" s="577">
        <f t="shared" si="35"/>
        <v>1.5E-3</v>
      </c>
      <c r="J212" s="577">
        <f t="shared" si="28"/>
        <v>1.1500000000000004E-3</v>
      </c>
      <c r="K212" s="577">
        <f t="shared" si="29"/>
        <v>3.6200000000000003E-2</v>
      </c>
      <c r="L212" s="585">
        <f t="shared" si="36"/>
        <v>0.6124072906861906</v>
      </c>
      <c r="M212" s="585">
        <f t="shared" si="37"/>
        <v>2.4E-2</v>
      </c>
      <c r="N212" s="585">
        <f t="shared" si="30"/>
        <v>2.8199999999999996E-2</v>
      </c>
      <c r="O212" s="586">
        <f t="shared" si="38"/>
        <v>0.58840729068619058</v>
      </c>
      <c r="P212" s="585">
        <f t="shared" si="31"/>
        <v>0.58420729068619059</v>
      </c>
      <c r="Q212" s="585">
        <f t="shared" si="32"/>
        <v>0.76862998001829408</v>
      </c>
      <c r="R212" s="585">
        <f t="shared" si="33"/>
        <v>0.03</v>
      </c>
      <c r="S212" s="586">
        <f t="shared" si="34"/>
        <v>0.73862998001829405</v>
      </c>
      <c r="U212" s="587"/>
      <c r="V212" s="587"/>
      <c r="W212" s="587"/>
      <c r="X212" s="587"/>
      <c r="Y212" s="587"/>
      <c r="Z212" s="587"/>
      <c r="AA212" s="587"/>
      <c r="AB212" s="587"/>
      <c r="AC212" s="587"/>
      <c r="AE212" s="587"/>
      <c r="AF212" s="587"/>
      <c r="AG212" s="587"/>
      <c r="AH212" s="587"/>
      <c r="AI212" s="587"/>
      <c r="AJ212" s="587"/>
      <c r="AK212" s="587"/>
      <c r="AL212" s="587"/>
      <c r="AM212" s="587"/>
      <c r="AO212" s="587"/>
      <c r="AP212" s="587"/>
      <c r="AQ212" s="587"/>
      <c r="AR212" s="587"/>
      <c r="AS212" s="587"/>
      <c r="AT212" s="587"/>
      <c r="AU212" s="587"/>
      <c r="AV212" s="587"/>
      <c r="AW212" s="587"/>
    </row>
    <row r="213" spans="1:49">
      <c r="A213" s="581">
        <v>15827</v>
      </c>
      <c r="B213" s="594">
        <v>5.5199999999999999E-2</v>
      </c>
      <c r="C213" s="577">
        <v>3.4700000000000002E-2</v>
      </c>
      <c r="D213" s="577">
        <v>1.9E-3</v>
      </c>
      <c r="E213" s="577">
        <v>2.2833333333333334E-3</v>
      </c>
      <c r="F213" s="577">
        <v>2.3916666666666665E-3</v>
      </c>
      <c r="G213" s="577">
        <v>2.3375000000000002E-3</v>
      </c>
      <c r="H213" s="577">
        <v>2.5000000000000001E-3</v>
      </c>
      <c r="I213" s="577">
        <f t="shared" si="35"/>
        <v>5.33E-2</v>
      </c>
      <c r="J213" s="577">
        <f t="shared" si="28"/>
        <v>5.28625E-2</v>
      </c>
      <c r="K213" s="577">
        <f t="shared" si="29"/>
        <v>3.2199999999999999E-2</v>
      </c>
      <c r="L213" s="585">
        <f t="shared" si="36"/>
        <v>0.57596533265289795</v>
      </c>
      <c r="M213" s="585">
        <f t="shared" si="37"/>
        <v>2.2800000000000001E-2</v>
      </c>
      <c r="N213" s="585">
        <f t="shared" si="30"/>
        <v>2.8050000000000002E-2</v>
      </c>
      <c r="O213" s="586">
        <f t="shared" si="38"/>
        <v>0.55316533265289791</v>
      </c>
      <c r="P213" s="585">
        <f t="shared" si="31"/>
        <v>0.54791533265289794</v>
      </c>
      <c r="Q213" s="585">
        <f t="shared" si="32"/>
        <v>0.67031894881793463</v>
      </c>
      <c r="R213" s="585">
        <f t="shared" si="33"/>
        <v>0.03</v>
      </c>
      <c r="S213" s="586">
        <f t="shared" si="34"/>
        <v>0.64031894881793461</v>
      </c>
      <c r="U213" s="587"/>
      <c r="V213" s="587"/>
      <c r="W213" s="587"/>
      <c r="X213" s="587"/>
      <c r="Y213" s="587"/>
      <c r="Z213" s="587"/>
      <c r="AA213" s="587"/>
      <c r="AB213" s="587"/>
      <c r="AC213" s="587"/>
      <c r="AE213" s="587"/>
      <c r="AF213" s="587"/>
      <c r="AG213" s="587"/>
      <c r="AH213" s="587"/>
      <c r="AI213" s="587"/>
      <c r="AJ213" s="587"/>
      <c r="AK213" s="587"/>
      <c r="AL213" s="587"/>
      <c r="AM213" s="587"/>
      <c r="AO213" s="587"/>
      <c r="AP213" s="587"/>
      <c r="AQ213" s="587"/>
      <c r="AR213" s="587"/>
      <c r="AS213" s="587"/>
      <c r="AT213" s="587"/>
      <c r="AU213" s="587"/>
      <c r="AV213" s="587"/>
      <c r="AW213" s="587"/>
    </row>
    <row r="214" spans="1:49">
      <c r="A214" s="581">
        <v>15858</v>
      </c>
      <c r="B214" s="594">
        <v>2.23E-2</v>
      </c>
      <c r="C214" s="577">
        <v>5.3800000000000001E-2</v>
      </c>
      <c r="D214" s="577">
        <v>2.0999999999999999E-3</v>
      </c>
      <c r="E214" s="577">
        <v>2.2666666666666668E-3</v>
      </c>
      <c r="F214" s="577">
        <v>2.3750000000000004E-3</v>
      </c>
      <c r="G214" s="577">
        <v>2.3208333333333336E-3</v>
      </c>
      <c r="H214" s="577">
        <v>2.4833333333333331E-3</v>
      </c>
      <c r="I214" s="577">
        <f t="shared" si="35"/>
        <v>2.0199999999999999E-2</v>
      </c>
      <c r="J214" s="577">
        <f t="shared" si="28"/>
        <v>1.9979166666666666E-2</v>
      </c>
      <c r="K214" s="577">
        <f t="shared" si="29"/>
        <v>5.131666666666667E-2</v>
      </c>
      <c r="L214" s="585">
        <f t="shared" si="36"/>
        <v>0.57627371056751509</v>
      </c>
      <c r="M214" s="585">
        <f t="shared" si="37"/>
        <v>2.52E-2</v>
      </c>
      <c r="N214" s="585">
        <f t="shared" si="30"/>
        <v>2.7850000000000003E-2</v>
      </c>
      <c r="O214" s="586">
        <f t="shared" si="38"/>
        <v>0.55107371056751508</v>
      </c>
      <c r="P214" s="585">
        <f t="shared" si="31"/>
        <v>0.54842371056751504</v>
      </c>
      <c r="Q214" s="585">
        <f t="shared" si="32"/>
        <v>0.75020593443804207</v>
      </c>
      <c r="R214" s="585">
        <f t="shared" si="33"/>
        <v>2.9799999999999997E-2</v>
      </c>
      <c r="S214" s="586">
        <f t="shared" si="34"/>
        <v>0.72040593443804202</v>
      </c>
      <c r="U214" s="587"/>
      <c r="V214" s="587"/>
      <c r="W214" s="587"/>
      <c r="X214" s="587"/>
      <c r="Y214" s="587"/>
      <c r="Z214" s="587"/>
      <c r="AA214" s="587"/>
      <c r="AB214" s="587"/>
      <c r="AC214" s="587"/>
      <c r="AE214" s="587"/>
      <c r="AF214" s="587"/>
      <c r="AG214" s="587"/>
      <c r="AH214" s="587"/>
      <c r="AI214" s="587"/>
      <c r="AJ214" s="587"/>
      <c r="AK214" s="587"/>
      <c r="AL214" s="587"/>
      <c r="AM214" s="587"/>
      <c r="AO214" s="587"/>
      <c r="AP214" s="587"/>
      <c r="AQ214" s="587"/>
      <c r="AR214" s="587"/>
      <c r="AS214" s="587"/>
      <c r="AT214" s="587"/>
      <c r="AU214" s="587"/>
      <c r="AV214" s="587"/>
      <c r="AW214" s="587"/>
    </row>
    <row r="215" spans="1:49">
      <c r="A215" s="581">
        <v>15888</v>
      </c>
      <c r="B215" s="594">
        <v>-5.2600000000000001E-2</v>
      </c>
      <c r="C215" s="577">
        <v>3.8E-3</v>
      </c>
      <c r="D215" s="577">
        <v>2.0999999999999999E-3</v>
      </c>
      <c r="E215" s="577">
        <v>2.2416666666666665E-3</v>
      </c>
      <c r="F215" s="577">
        <v>2.3499999999999997E-3</v>
      </c>
      <c r="G215" s="577">
        <v>2.2958333333333329E-3</v>
      </c>
      <c r="H215" s="577">
        <v>2.4666666666666669E-3</v>
      </c>
      <c r="I215" s="577">
        <f t="shared" si="35"/>
        <v>-5.4699999999999999E-2</v>
      </c>
      <c r="J215" s="577">
        <f t="shared" si="28"/>
        <v>-5.4895833333333331E-2</v>
      </c>
      <c r="K215" s="577">
        <f t="shared" si="29"/>
        <v>1.3333333333333331E-3</v>
      </c>
      <c r="L215" s="585">
        <f t="shared" si="36"/>
        <v>0.44467612788203881</v>
      </c>
      <c r="M215" s="585">
        <f t="shared" si="37"/>
        <v>2.52E-2</v>
      </c>
      <c r="N215" s="585">
        <f t="shared" si="30"/>
        <v>2.7549999999999995E-2</v>
      </c>
      <c r="O215" s="586">
        <f t="shared" si="38"/>
        <v>0.41947612788203881</v>
      </c>
      <c r="P215" s="585">
        <f t="shared" si="31"/>
        <v>0.41712612788203879</v>
      </c>
      <c r="Q215" s="585">
        <f t="shared" si="32"/>
        <v>0.74985728783755734</v>
      </c>
      <c r="R215" s="585">
        <f t="shared" si="33"/>
        <v>2.9600000000000001E-2</v>
      </c>
      <c r="S215" s="586">
        <f t="shared" si="34"/>
        <v>0.72025728783755738</v>
      </c>
      <c r="U215" s="587"/>
      <c r="V215" s="587"/>
      <c r="W215" s="587"/>
      <c r="X215" s="587"/>
      <c r="Y215" s="587"/>
      <c r="Z215" s="587"/>
      <c r="AA215" s="587"/>
      <c r="AB215" s="587"/>
      <c r="AC215" s="587"/>
      <c r="AE215" s="587"/>
      <c r="AF215" s="587"/>
      <c r="AG215" s="587"/>
      <c r="AH215" s="587"/>
      <c r="AI215" s="587"/>
      <c r="AJ215" s="587"/>
      <c r="AK215" s="587"/>
      <c r="AL215" s="587"/>
      <c r="AM215" s="587"/>
      <c r="AO215" s="587"/>
      <c r="AP215" s="587"/>
      <c r="AQ215" s="587"/>
      <c r="AR215" s="587"/>
      <c r="AS215" s="587"/>
      <c r="AT215" s="587"/>
      <c r="AU215" s="587"/>
      <c r="AV215" s="587"/>
      <c r="AW215" s="587"/>
    </row>
    <row r="216" spans="1:49">
      <c r="A216" s="581">
        <v>15919</v>
      </c>
      <c r="B216" s="594">
        <v>1.7100000000000001E-2</v>
      </c>
      <c r="C216" s="577">
        <v>1.0500000000000001E-2</v>
      </c>
      <c r="D216" s="577">
        <v>2.0999999999999999E-3</v>
      </c>
      <c r="E216" s="577">
        <v>2.2416666666666665E-3</v>
      </c>
      <c r="F216" s="577">
        <v>2.3416666666666668E-3</v>
      </c>
      <c r="G216" s="577">
        <v>2.2916666666666667E-3</v>
      </c>
      <c r="H216" s="577">
        <v>2.4666666666666669E-3</v>
      </c>
      <c r="I216" s="577">
        <f t="shared" si="35"/>
        <v>1.5000000000000001E-2</v>
      </c>
      <c r="J216" s="577">
        <f t="shared" si="28"/>
        <v>1.4808333333333333E-2</v>
      </c>
      <c r="K216" s="577">
        <f t="shared" si="29"/>
        <v>8.0333333333333333E-3</v>
      </c>
      <c r="L216" s="585">
        <f t="shared" si="36"/>
        <v>0.44567108389297716</v>
      </c>
      <c r="M216" s="585">
        <f t="shared" si="37"/>
        <v>2.52E-2</v>
      </c>
      <c r="N216" s="585">
        <f t="shared" si="30"/>
        <v>2.75E-2</v>
      </c>
      <c r="O216" s="586">
        <f t="shared" si="38"/>
        <v>0.42047108389297716</v>
      </c>
      <c r="P216" s="585">
        <f t="shared" si="31"/>
        <v>0.41817108389297714</v>
      </c>
      <c r="Q216" s="585">
        <f t="shared" si="32"/>
        <v>0.76364531154982207</v>
      </c>
      <c r="R216" s="585">
        <f t="shared" si="33"/>
        <v>2.9600000000000001E-2</v>
      </c>
      <c r="S216" s="586">
        <f t="shared" si="34"/>
        <v>0.73404531154982211</v>
      </c>
      <c r="U216" s="587"/>
      <c r="V216" s="587"/>
      <c r="W216" s="587"/>
      <c r="X216" s="587"/>
      <c r="Y216" s="587"/>
      <c r="Z216" s="587"/>
      <c r="AA216" s="587"/>
      <c r="AB216" s="587"/>
      <c r="AC216" s="587"/>
      <c r="AE216" s="587"/>
      <c r="AF216" s="587"/>
      <c r="AG216" s="587"/>
      <c r="AH216" s="587"/>
      <c r="AI216" s="587"/>
      <c r="AJ216" s="587"/>
      <c r="AK216" s="587"/>
      <c r="AL216" s="587"/>
      <c r="AM216" s="587"/>
      <c r="AO216" s="587"/>
      <c r="AP216" s="587"/>
      <c r="AQ216" s="587"/>
      <c r="AR216" s="587"/>
      <c r="AS216" s="587"/>
      <c r="AT216" s="587"/>
      <c r="AU216" s="587"/>
      <c r="AV216" s="587"/>
      <c r="AW216" s="587"/>
    </row>
    <row r="217" spans="1:49">
      <c r="A217" s="581">
        <v>15950</v>
      </c>
      <c r="B217" s="594">
        <v>2.63E-2</v>
      </c>
      <c r="C217" s="577">
        <v>3.2300000000000002E-2</v>
      </c>
      <c r="D217" s="577">
        <v>2E-3</v>
      </c>
      <c r="E217" s="577">
        <v>2.2416666666666665E-3</v>
      </c>
      <c r="F217" s="577">
        <v>2.3499999999999997E-3</v>
      </c>
      <c r="G217" s="577">
        <v>2.2958333333333329E-3</v>
      </c>
      <c r="H217" s="577">
        <v>2.4666666666666669E-3</v>
      </c>
      <c r="I217" s="577">
        <f t="shared" si="35"/>
        <v>2.4300000000000002E-2</v>
      </c>
      <c r="J217" s="577">
        <f t="shared" si="28"/>
        <v>2.4004166666666667E-2</v>
      </c>
      <c r="K217" s="577">
        <f t="shared" si="29"/>
        <v>2.9833333333333337E-2</v>
      </c>
      <c r="L217" s="585">
        <f t="shared" si="36"/>
        <v>0.44187777784194604</v>
      </c>
      <c r="M217" s="585">
        <f t="shared" si="37"/>
        <v>2.4E-2</v>
      </c>
      <c r="N217" s="585">
        <f t="shared" si="30"/>
        <v>2.7549999999999995E-2</v>
      </c>
      <c r="O217" s="586">
        <f t="shared" si="38"/>
        <v>0.41787777784194602</v>
      </c>
      <c r="P217" s="585">
        <f t="shared" si="31"/>
        <v>0.41432777784194602</v>
      </c>
      <c r="Q217" s="585">
        <f t="shared" si="32"/>
        <v>0.73954811304498524</v>
      </c>
      <c r="R217" s="585">
        <f t="shared" si="33"/>
        <v>2.9600000000000001E-2</v>
      </c>
      <c r="S217" s="586">
        <f t="shared" si="34"/>
        <v>0.70994811304498529</v>
      </c>
      <c r="U217" s="587"/>
      <c r="V217" s="587"/>
      <c r="W217" s="587"/>
      <c r="X217" s="587"/>
      <c r="Y217" s="587"/>
      <c r="Z217" s="587"/>
      <c r="AA217" s="587"/>
      <c r="AB217" s="587"/>
      <c r="AC217" s="587"/>
      <c r="AE217" s="587"/>
      <c r="AF217" s="587"/>
      <c r="AG217" s="587"/>
      <c r="AH217" s="587"/>
      <c r="AI217" s="587"/>
      <c r="AJ217" s="587"/>
      <c r="AK217" s="587"/>
      <c r="AL217" s="587"/>
      <c r="AM217" s="587"/>
      <c r="AO217" s="587"/>
      <c r="AP217" s="587"/>
      <c r="AQ217" s="587"/>
      <c r="AR217" s="587"/>
      <c r="AS217" s="587"/>
      <c r="AT217" s="587"/>
      <c r="AU217" s="587"/>
      <c r="AV217" s="587"/>
      <c r="AW217" s="587"/>
    </row>
    <row r="218" spans="1:49">
      <c r="A218" s="581">
        <v>15980</v>
      </c>
      <c r="B218" s="594">
        <v>-1.0800000000000001E-2</v>
      </c>
      <c r="C218" s="577">
        <v>8.199999999999999E-3</v>
      </c>
      <c r="D218" s="577">
        <v>2E-3</v>
      </c>
      <c r="E218" s="577">
        <v>2.2500000000000003E-3</v>
      </c>
      <c r="F218" s="577">
        <v>2.3583333333333334E-3</v>
      </c>
      <c r="G218" s="577">
        <v>2.3041666666666666E-3</v>
      </c>
      <c r="H218" s="577">
        <v>2.4750000000000002E-3</v>
      </c>
      <c r="I218" s="577">
        <f t="shared" si="35"/>
        <v>-1.2800000000000001E-2</v>
      </c>
      <c r="J218" s="577">
        <f t="shared" si="28"/>
        <v>-1.3104166666666667E-2</v>
      </c>
      <c r="K218" s="577">
        <f t="shared" si="29"/>
        <v>5.7249999999999992E-3</v>
      </c>
      <c r="L218" s="585">
        <f t="shared" si="36"/>
        <v>0.33574217816187768</v>
      </c>
      <c r="M218" s="585">
        <f t="shared" si="37"/>
        <v>2.4E-2</v>
      </c>
      <c r="N218" s="585">
        <f t="shared" si="30"/>
        <v>2.7650000000000001E-2</v>
      </c>
      <c r="O218" s="586">
        <f t="shared" si="38"/>
        <v>0.31174217816187766</v>
      </c>
      <c r="P218" s="585">
        <f t="shared" si="31"/>
        <v>0.30809217816187767</v>
      </c>
      <c r="Q218" s="585">
        <f t="shared" si="32"/>
        <v>0.54357719377922309</v>
      </c>
      <c r="R218" s="585">
        <f t="shared" si="33"/>
        <v>2.9700000000000004E-2</v>
      </c>
      <c r="S218" s="586">
        <f t="shared" si="34"/>
        <v>0.51387719377922303</v>
      </c>
      <c r="U218" s="587"/>
      <c r="V218" s="587"/>
      <c r="W218" s="587"/>
      <c r="X218" s="587"/>
      <c r="Y218" s="587"/>
      <c r="Z218" s="587"/>
      <c r="AA218" s="587"/>
      <c r="AB218" s="587"/>
      <c r="AC218" s="587"/>
      <c r="AE218" s="587"/>
      <c r="AF218" s="587"/>
      <c r="AG218" s="587"/>
      <c r="AH218" s="587"/>
      <c r="AI218" s="587"/>
      <c r="AJ218" s="587"/>
      <c r="AK218" s="587"/>
      <c r="AL218" s="587"/>
      <c r="AM218" s="587"/>
      <c r="AO218" s="587"/>
      <c r="AP218" s="587"/>
      <c r="AQ218" s="587"/>
      <c r="AR218" s="587"/>
      <c r="AS218" s="587"/>
      <c r="AT218" s="587"/>
      <c r="AU218" s="587"/>
      <c r="AV218" s="587"/>
      <c r="AW218" s="587"/>
    </row>
    <row r="219" spans="1:49">
      <c r="A219" s="581">
        <v>16011</v>
      </c>
      <c r="B219" s="594">
        <v>-6.54E-2</v>
      </c>
      <c r="C219" s="577">
        <v>-7.7499999999999999E-2</v>
      </c>
      <c r="D219" s="577">
        <v>2.0999999999999999E-3</v>
      </c>
      <c r="E219" s="577">
        <v>2.2583333333333331E-3</v>
      </c>
      <c r="F219" s="577">
        <v>2.3666666666666667E-3</v>
      </c>
      <c r="G219" s="577">
        <v>2.3125000000000003E-3</v>
      </c>
      <c r="H219" s="577">
        <v>2.4833333333333331E-3</v>
      </c>
      <c r="I219" s="577">
        <f t="shared" si="35"/>
        <v>-6.7500000000000004E-2</v>
      </c>
      <c r="J219" s="577">
        <f t="shared" si="28"/>
        <v>-6.7712499999999995E-2</v>
      </c>
      <c r="K219" s="577">
        <f t="shared" si="29"/>
        <v>-7.9983333333333337E-2</v>
      </c>
      <c r="L219" s="585">
        <f t="shared" si="36"/>
        <v>0.25101176441536333</v>
      </c>
      <c r="M219" s="585">
        <f t="shared" si="37"/>
        <v>2.52E-2</v>
      </c>
      <c r="N219" s="585">
        <f t="shared" si="30"/>
        <v>2.7750000000000004E-2</v>
      </c>
      <c r="O219" s="586">
        <f t="shared" si="38"/>
        <v>0.22581176441536333</v>
      </c>
      <c r="P219" s="585">
        <f t="shared" si="31"/>
        <v>0.22326176441536333</v>
      </c>
      <c r="Q219" s="585">
        <f t="shared" si="32"/>
        <v>0.42608909490368907</v>
      </c>
      <c r="R219" s="585">
        <f t="shared" si="33"/>
        <v>2.9799999999999997E-2</v>
      </c>
      <c r="S219" s="586">
        <f t="shared" si="34"/>
        <v>0.39628909490368908</v>
      </c>
      <c r="U219" s="587"/>
      <c r="V219" s="587"/>
      <c r="W219" s="587"/>
      <c r="X219" s="587"/>
      <c r="Y219" s="587"/>
      <c r="Z219" s="587"/>
      <c r="AA219" s="587"/>
      <c r="AB219" s="587"/>
      <c r="AC219" s="587"/>
      <c r="AE219" s="587"/>
      <c r="AF219" s="587"/>
      <c r="AG219" s="587"/>
      <c r="AH219" s="587"/>
      <c r="AI219" s="587"/>
      <c r="AJ219" s="587"/>
      <c r="AK219" s="587"/>
      <c r="AL219" s="587"/>
      <c r="AM219" s="587"/>
      <c r="AO219" s="587"/>
      <c r="AP219" s="587"/>
      <c r="AQ219" s="587"/>
      <c r="AR219" s="587"/>
      <c r="AS219" s="587"/>
      <c r="AT219" s="587"/>
      <c r="AU219" s="587"/>
      <c r="AV219" s="587"/>
      <c r="AW219" s="587"/>
    </row>
    <row r="220" spans="1:49">
      <c r="A220" s="581">
        <v>16041</v>
      </c>
      <c r="B220" s="594">
        <v>6.1699999999999998E-2</v>
      </c>
      <c r="C220" s="577">
        <v>5.779999999999999E-2</v>
      </c>
      <c r="D220" s="577">
        <v>2.0999999999999999E-3</v>
      </c>
      <c r="E220" s="577">
        <v>2.2833333333333334E-3</v>
      </c>
      <c r="F220" s="577">
        <v>2.3916666666666665E-3</v>
      </c>
      <c r="G220" s="577">
        <v>2.3375000000000002E-3</v>
      </c>
      <c r="H220" s="577">
        <v>2.4916666666666668E-3</v>
      </c>
      <c r="I220" s="577">
        <f t="shared" si="35"/>
        <v>5.96E-2</v>
      </c>
      <c r="J220" s="577">
        <f t="shared" si="28"/>
        <v>5.9362499999999999E-2</v>
      </c>
      <c r="K220" s="577">
        <f t="shared" si="29"/>
        <v>5.530833333333332E-2</v>
      </c>
      <c r="L220" s="585">
        <f t="shared" si="36"/>
        <v>0.25907592215356079</v>
      </c>
      <c r="M220" s="585">
        <f t="shared" si="37"/>
        <v>2.52E-2</v>
      </c>
      <c r="N220" s="585">
        <f t="shared" si="30"/>
        <v>2.8050000000000002E-2</v>
      </c>
      <c r="O220" s="586">
        <f t="shared" si="38"/>
        <v>0.23387592215356079</v>
      </c>
      <c r="P220" s="585">
        <f t="shared" si="31"/>
        <v>0.2310259221535608</v>
      </c>
      <c r="Q220" s="585">
        <f t="shared" si="32"/>
        <v>0.46060906718543992</v>
      </c>
      <c r="R220" s="585">
        <f t="shared" si="33"/>
        <v>2.9900000000000003E-2</v>
      </c>
      <c r="S220" s="586">
        <f t="shared" si="34"/>
        <v>0.43070906718543994</v>
      </c>
      <c r="U220" s="587"/>
      <c r="V220" s="587"/>
      <c r="W220" s="587"/>
      <c r="X220" s="587"/>
      <c r="Y220" s="587"/>
      <c r="Z220" s="587"/>
      <c r="AA220" s="587"/>
      <c r="AB220" s="587"/>
      <c r="AC220" s="587"/>
      <c r="AE220" s="587"/>
      <c r="AF220" s="587"/>
      <c r="AG220" s="587"/>
      <c r="AH220" s="587"/>
      <c r="AI220" s="587"/>
      <c r="AJ220" s="587"/>
      <c r="AK220" s="587"/>
      <c r="AL220" s="587"/>
      <c r="AM220" s="587"/>
      <c r="AO220" s="587"/>
      <c r="AP220" s="587"/>
      <c r="AQ220" s="587"/>
      <c r="AR220" s="587"/>
      <c r="AS220" s="587"/>
      <c r="AT220" s="587"/>
      <c r="AU220" s="587"/>
      <c r="AV220" s="587"/>
      <c r="AW220" s="587"/>
    </row>
    <row r="221" spans="1:49">
      <c r="A221" s="581">
        <v>16072</v>
      </c>
      <c r="B221" s="594">
        <v>1.7100000000000001E-2</v>
      </c>
      <c r="C221" s="577">
        <v>1.0599999999999998E-2</v>
      </c>
      <c r="D221" s="577">
        <v>2.0999999999999999E-3</v>
      </c>
      <c r="E221" s="577">
        <v>2.2666666666666668E-3</v>
      </c>
      <c r="F221" s="577">
        <v>2.3583333333333334E-3</v>
      </c>
      <c r="G221" s="577">
        <v>2.3125000000000003E-3</v>
      </c>
      <c r="H221" s="577">
        <v>2.4916666666666668E-3</v>
      </c>
      <c r="I221" s="577">
        <f t="shared" si="35"/>
        <v>1.5000000000000001E-2</v>
      </c>
      <c r="J221" s="577">
        <f t="shared" ref="J221:J284" si="39">B221-G221</f>
        <v>1.47875E-2</v>
      </c>
      <c r="K221" s="577">
        <f t="shared" ref="K221:K284" si="40">$C221-H221</f>
        <v>8.108333333333332E-3</v>
      </c>
      <c r="L221" s="585">
        <f t="shared" si="36"/>
        <v>0.1927038469054545</v>
      </c>
      <c r="M221" s="585">
        <f t="shared" si="37"/>
        <v>2.52E-2</v>
      </c>
      <c r="N221" s="585">
        <f t="shared" si="30"/>
        <v>2.7750000000000004E-2</v>
      </c>
      <c r="O221" s="586">
        <f t="shared" si="38"/>
        <v>0.1675038469054545</v>
      </c>
      <c r="P221" s="585">
        <f t="shared" si="31"/>
        <v>0.1649538469054545</v>
      </c>
      <c r="Q221" s="585">
        <f t="shared" si="32"/>
        <v>0.31594144895926357</v>
      </c>
      <c r="R221" s="585">
        <f t="shared" si="33"/>
        <v>2.9900000000000003E-2</v>
      </c>
      <c r="S221" s="586">
        <f t="shared" si="34"/>
        <v>0.28604144895926359</v>
      </c>
      <c r="U221" s="587"/>
      <c r="V221" s="587"/>
      <c r="W221" s="587"/>
      <c r="X221" s="587"/>
      <c r="Y221" s="587"/>
      <c r="Z221" s="587"/>
      <c r="AA221" s="587"/>
      <c r="AB221" s="587"/>
      <c r="AC221" s="587"/>
      <c r="AE221" s="587"/>
      <c r="AF221" s="587"/>
      <c r="AG221" s="587"/>
      <c r="AH221" s="587"/>
      <c r="AI221" s="587"/>
      <c r="AJ221" s="587"/>
      <c r="AK221" s="587"/>
      <c r="AL221" s="587"/>
      <c r="AM221" s="587"/>
      <c r="AO221" s="587"/>
      <c r="AP221" s="587"/>
      <c r="AQ221" s="587"/>
      <c r="AR221" s="587"/>
      <c r="AS221" s="587"/>
      <c r="AT221" s="587"/>
      <c r="AU221" s="587"/>
      <c r="AV221" s="587"/>
      <c r="AW221" s="587"/>
    </row>
    <row r="222" spans="1:49">
      <c r="A222" s="581">
        <v>16103</v>
      </c>
      <c r="B222" s="594">
        <v>4.1999999999999997E-3</v>
      </c>
      <c r="C222" s="577">
        <v>1.7899999999999999E-2</v>
      </c>
      <c r="D222" s="577">
        <v>2E-3</v>
      </c>
      <c r="E222" s="577">
        <v>2.2833333333333334E-3</v>
      </c>
      <c r="F222" s="577">
        <v>2.3583333333333334E-3</v>
      </c>
      <c r="G222" s="577">
        <v>2.3208333333333336E-3</v>
      </c>
      <c r="H222" s="577">
        <v>2.4916666666666668E-3</v>
      </c>
      <c r="I222" s="577">
        <f t="shared" si="35"/>
        <v>2.1999999999999997E-3</v>
      </c>
      <c r="J222" s="577">
        <f t="shared" si="39"/>
        <v>1.8791666666666661E-3</v>
      </c>
      <c r="K222" s="577">
        <f t="shared" si="40"/>
        <v>1.5408333333333333E-2</v>
      </c>
      <c r="L222" s="585">
        <f t="shared" si="36"/>
        <v>0.13173315984357692</v>
      </c>
      <c r="M222" s="585">
        <f t="shared" si="37"/>
        <v>2.4E-2</v>
      </c>
      <c r="N222" s="585">
        <f t="shared" si="30"/>
        <v>2.7850000000000003E-2</v>
      </c>
      <c r="O222" s="586">
        <f t="shared" si="38"/>
        <v>0.10773315984357693</v>
      </c>
      <c r="P222" s="585">
        <f t="shared" si="31"/>
        <v>0.10388315984357692</v>
      </c>
      <c r="Q222" s="585">
        <f t="shared" si="32"/>
        <v>0.24964716941471599</v>
      </c>
      <c r="R222" s="585">
        <f t="shared" si="33"/>
        <v>2.9900000000000003E-2</v>
      </c>
      <c r="S222" s="586">
        <f t="shared" si="34"/>
        <v>0.21974716941471598</v>
      </c>
      <c r="U222" s="587"/>
      <c r="V222" s="587"/>
      <c r="W222" s="587"/>
      <c r="X222" s="587"/>
      <c r="Y222" s="587"/>
      <c r="Z222" s="587"/>
      <c r="AA222" s="587"/>
      <c r="AB222" s="587"/>
      <c r="AC222" s="587"/>
      <c r="AE222" s="587"/>
      <c r="AF222" s="587"/>
      <c r="AG222" s="587"/>
      <c r="AH222" s="587"/>
      <c r="AI222" s="587"/>
      <c r="AJ222" s="587"/>
      <c r="AK222" s="587"/>
      <c r="AL222" s="587"/>
      <c r="AM222" s="587"/>
      <c r="AO222" s="587"/>
      <c r="AP222" s="587"/>
      <c r="AQ222" s="587"/>
      <c r="AR222" s="587"/>
      <c r="AS222" s="587"/>
      <c r="AT222" s="587"/>
      <c r="AU222" s="587"/>
      <c r="AV222" s="587"/>
      <c r="AW222" s="587"/>
    </row>
    <row r="223" spans="1:49">
      <c r="A223" s="581">
        <v>16132</v>
      </c>
      <c r="B223" s="594">
        <v>1.95E-2</v>
      </c>
      <c r="C223" s="577">
        <v>1.04E-2</v>
      </c>
      <c r="D223" s="577">
        <v>2.0999999999999999E-3</v>
      </c>
      <c r="E223" s="577">
        <v>2.2833333333333334E-3</v>
      </c>
      <c r="F223" s="577">
        <v>2.3499999999999997E-3</v>
      </c>
      <c r="G223" s="577">
        <v>2.316666666666667E-3</v>
      </c>
      <c r="H223" s="577">
        <v>2.4750000000000002E-3</v>
      </c>
      <c r="I223" s="577">
        <f t="shared" si="35"/>
        <v>1.7399999999999999E-2</v>
      </c>
      <c r="J223" s="577">
        <f t="shared" si="39"/>
        <v>1.7183333333333332E-2</v>
      </c>
      <c r="K223" s="577">
        <f t="shared" si="40"/>
        <v>7.9249999999999998E-3</v>
      </c>
      <c r="L223" s="585">
        <f t="shared" si="36"/>
        <v>9.4169707406853265E-2</v>
      </c>
      <c r="M223" s="585">
        <f t="shared" si="37"/>
        <v>2.52E-2</v>
      </c>
      <c r="N223" s="585">
        <f t="shared" si="30"/>
        <v>2.7800000000000005E-2</v>
      </c>
      <c r="O223" s="586">
        <f t="shared" si="38"/>
        <v>6.8969707406853265E-2</v>
      </c>
      <c r="P223" s="585">
        <f t="shared" si="31"/>
        <v>6.6369707406853259E-2</v>
      </c>
      <c r="Q223" s="585">
        <f t="shared" si="32"/>
        <v>0.2126810410839699</v>
      </c>
      <c r="R223" s="585">
        <f t="shared" si="33"/>
        <v>2.9700000000000004E-2</v>
      </c>
      <c r="S223" s="586">
        <f t="shared" si="34"/>
        <v>0.1829810410839699</v>
      </c>
      <c r="U223" s="587"/>
      <c r="V223" s="587"/>
      <c r="W223" s="587"/>
      <c r="X223" s="587"/>
      <c r="Y223" s="587"/>
      <c r="Z223" s="587"/>
      <c r="AA223" s="587"/>
      <c r="AB223" s="587"/>
      <c r="AC223" s="587"/>
      <c r="AE223" s="587"/>
      <c r="AF223" s="587"/>
      <c r="AG223" s="587"/>
      <c r="AH223" s="587"/>
      <c r="AI223" s="587"/>
      <c r="AJ223" s="587"/>
      <c r="AK223" s="587"/>
      <c r="AL223" s="587"/>
      <c r="AM223" s="587"/>
      <c r="AO223" s="587"/>
      <c r="AP223" s="587"/>
      <c r="AQ223" s="587"/>
      <c r="AR223" s="587"/>
      <c r="AS223" s="587"/>
      <c r="AT223" s="587"/>
      <c r="AU223" s="587"/>
      <c r="AV223" s="587"/>
      <c r="AW223" s="587"/>
    </row>
    <row r="224" spans="1:49">
      <c r="A224" s="581">
        <v>16163</v>
      </c>
      <c r="B224" s="594">
        <v>-0.01</v>
      </c>
      <c r="C224" s="577">
        <v>-9.1000000000000004E-3</v>
      </c>
      <c r="D224" s="577">
        <v>2E-3</v>
      </c>
      <c r="E224" s="577">
        <v>2.2833333333333334E-3</v>
      </c>
      <c r="F224" s="577">
        <v>2.3499999999999997E-3</v>
      </c>
      <c r="G224" s="577">
        <v>2.316666666666667E-3</v>
      </c>
      <c r="H224" s="577">
        <v>2.4916666666666668E-3</v>
      </c>
      <c r="I224" s="577">
        <f t="shared" si="35"/>
        <v>-1.2E-2</v>
      </c>
      <c r="J224" s="577">
        <f t="shared" si="39"/>
        <v>-1.2316666666666667E-2</v>
      </c>
      <c r="K224" s="577">
        <f t="shared" si="40"/>
        <v>-1.1591666666666667E-2</v>
      </c>
      <c r="L224" s="585">
        <f t="shared" si="36"/>
        <v>7.944993555833002E-2</v>
      </c>
      <c r="M224" s="585">
        <f t="shared" si="37"/>
        <v>2.4E-2</v>
      </c>
      <c r="N224" s="585">
        <f t="shared" si="30"/>
        <v>2.7800000000000005E-2</v>
      </c>
      <c r="O224" s="586">
        <f t="shared" si="38"/>
        <v>5.544993555833002E-2</v>
      </c>
      <c r="P224" s="585">
        <f t="shared" si="31"/>
        <v>5.1649935558330015E-2</v>
      </c>
      <c r="Q224" s="585">
        <f t="shared" si="32"/>
        <v>0.15687459671715165</v>
      </c>
      <c r="R224" s="585">
        <f t="shared" si="33"/>
        <v>2.9900000000000003E-2</v>
      </c>
      <c r="S224" s="586">
        <f t="shared" si="34"/>
        <v>0.12697459671715164</v>
      </c>
      <c r="U224" s="587"/>
      <c r="V224" s="587"/>
      <c r="W224" s="587"/>
      <c r="X224" s="587"/>
      <c r="Y224" s="587"/>
      <c r="Z224" s="587"/>
      <c r="AA224" s="587"/>
      <c r="AB224" s="587"/>
      <c r="AC224" s="587"/>
      <c r="AE224" s="587"/>
      <c r="AF224" s="587"/>
      <c r="AG224" s="587"/>
      <c r="AH224" s="587"/>
      <c r="AI224" s="587"/>
      <c r="AJ224" s="587"/>
      <c r="AK224" s="587"/>
      <c r="AL224" s="587"/>
      <c r="AM224" s="587"/>
      <c r="AO224" s="587"/>
      <c r="AP224" s="587"/>
      <c r="AQ224" s="587"/>
      <c r="AR224" s="587"/>
      <c r="AS224" s="587"/>
      <c r="AT224" s="587"/>
      <c r="AU224" s="587"/>
      <c r="AV224" s="587"/>
      <c r="AW224" s="587"/>
    </row>
    <row r="225" spans="1:49">
      <c r="A225" s="581">
        <v>16193</v>
      </c>
      <c r="B225" s="594">
        <v>5.0500000000000003E-2</v>
      </c>
      <c r="C225" s="577">
        <v>3.0099999999999998E-2</v>
      </c>
      <c r="D225" s="577">
        <v>2.2000000000000001E-3</v>
      </c>
      <c r="E225" s="577">
        <v>2.2750000000000001E-3</v>
      </c>
      <c r="F225" s="577">
        <v>2.3416666666666668E-3</v>
      </c>
      <c r="G225" s="577">
        <v>2.3083333333333332E-3</v>
      </c>
      <c r="H225" s="577">
        <v>2.4916666666666668E-3</v>
      </c>
      <c r="I225" s="577">
        <f t="shared" si="35"/>
        <v>4.8300000000000003E-2</v>
      </c>
      <c r="J225" s="577">
        <f t="shared" si="39"/>
        <v>4.8191666666666667E-2</v>
      </c>
      <c r="K225" s="577">
        <f t="shared" si="40"/>
        <v>2.7608333333333332E-2</v>
      </c>
      <c r="L225" s="585">
        <f t="shared" si="36"/>
        <v>7.4641923146347544E-2</v>
      </c>
      <c r="M225" s="585">
        <f t="shared" si="37"/>
        <v>2.64E-2</v>
      </c>
      <c r="N225" s="585">
        <f t="shared" si="30"/>
        <v>2.7699999999999999E-2</v>
      </c>
      <c r="O225" s="586">
        <f t="shared" si="38"/>
        <v>4.8241923146347544E-2</v>
      </c>
      <c r="P225" s="585">
        <f t="shared" si="31"/>
        <v>4.6941923146347542E-2</v>
      </c>
      <c r="Q225" s="585">
        <f t="shared" si="32"/>
        <v>0.15173144107310144</v>
      </c>
      <c r="R225" s="585">
        <f t="shared" si="33"/>
        <v>2.9900000000000003E-2</v>
      </c>
      <c r="S225" s="586">
        <f t="shared" si="34"/>
        <v>0.12183144107310143</v>
      </c>
      <c r="U225" s="587"/>
      <c r="V225" s="587"/>
      <c r="W225" s="587"/>
      <c r="X225" s="587"/>
      <c r="Y225" s="587"/>
      <c r="Z225" s="587"/>
      <c r="AA225" s="587"/>
      <c r="AB225" s="587"/>
      <c r="AC225" s="587"/>
      <c r="AE225" s="587"/>
      <c r="AF225" s="587"/>
      <c r="AG225" s="587"/>
      <c r="AH225" s="587"/>
      <c r="AI225" s="587"/>
      <c r="AJ225" s="587"/>
      <c r="AK225" s="587"/>
      <c r="AL225" s="587"/>
      <c r="AM225" s="587"/>
      <c r="AO225" s="587"/>
      <c r="AP225" s="587"/>
      <c r="AQ225" s="587"/>
      <c r="AR225" s="587"/>
      <c r="AS225" s="587"/>
      <c r="AT225" s="587"/>
      <c r="AU225" s="587"/>
      <c r="AV225" s="587"/>
      <c r="AW225" s="587"/>
    </row>
    <row r="226" spans="1:49">
      <c r="A226" s="581">
        <v>16224</v>
      </c>
      <c r="B226" s="594">
        <v>5.4300000000000001E-2</v>
      </c>
      <c r="C226" s="577">
        <v>5.2600000000000001E-2</v>
      </c>
      <c r="D226" s="577">
        <v>2E-3</v>
      </c>
      <c r="E226" s="577">
        <v>2.2750000000000001E-3</v>
      </c>
      <c r="F226" s="577">
        <v>2.3416666666666668E-3</v>
      </c>
      <c r="G226" s="577">
        <v>2.3083333333333332E-3</v>
      </c>
      <c r="H226" s="577">
        <v>2.4916666666666668E-3</v>
      </c>
      <c r="I226" s="577">
        <f t="shared" si="35"/>
        <v>5.2299999999999999E-2</v>
      </c>
      <c r="J226" s="577">
        <f t="shared" si="39"/>
        <v>5.1991666666666665E-2</v>
      </c>
      <c r="K226" s="577">
        <f t="shared" si="40"/>
        <v>5.0108333333333331E-2</v>
      </c>
      <c r="L226" s="585">
        <f t="shared" si="36"/>
        <v>0.10828032825314926</v>
      </c>
      <c r="M226" s="585">
        <f t="shared" si="37"/>
        <v>2.4E-2</v>
      </c>
      <c r="N226" s="585">
        <f t="shared" si="30"/>
        <v>2.7699999999999999E-2</v>
      </c>
      <c r="O226" s="586">
        <f t="shared" si="38"/>
        <v>8.4280328253149267E-2</v>
      </c>
      <c r="P226" s="585">
        <f t="shared" si="31"/>
        <v>8.0580328253149258E-2</v>
      </c>
      <c r="Q226" s="585">
        <f t="shared" si="32"/>
        <v>0.15041992301532203</v>
      </c>
      <c r="R226" s="585">
        <f t="shared" si="33"/>
        <v>2.9900000000000003E-2</v>
      </c>
      <c r="S226" s="586">
        <f t="shared" si="34"/>
        <v>0.12051992301532202</v>
      </c>
      <c r="U226" s="587"/>
      <c r="V226" s="587"/>
      <c r="W226" s="587"/>
      <c r="X226" s="587"/>
      <c r="Y226" s="587"/>
      <c r="Z226" s="587"/>
      <c r="AA226" s="587"/>
      <c r="AB226" s="587"/>
      <c r="AC226" s="587"/>
      <c r="AE226" s="587"/>
      <c r="AF226" s="587"/>
      <c r="AG226" s="587"/>
      <c r="AH226" s="587"/>
      <c r="AI226" s="587"/>
      <c r="AJ226" s="587"/>
      <c r="AK226" s="587"/>
      <c r="AL226" s="587"/>
      <c r="AM226" s="587"/>
      <c r="AO226" s="587"/>
      <c r="AP226" s="587"/>
      <c r="AQ226" s="587"/>
      <c r="AR226" s="587"/>
      <c r="AS226" s="587"/>
      <c r="AT226" s="587"/>
      <c r="AU226" s="587"/>
      <c r="AV226" s="587"/>
      <c r="AW226" s="587"/>
    </row>
    <row r="227" spans="1:49">
      <c r="A227" s="581">
        <v>16254</v>
      </c>
      <c r="B227" s="594">
        <v>-1.9300000000000001E-2</v>
      </c>
      <c r="C227" s="577">
        <v>2.9000000000000002E-3</v>
      </c>
      <c r="D227" s="577">
        <v>2.0999999999999999E-3</v>
      </c>
      <c r="E227" s="577">
        <v>2.2666666666666668E-3</v>
      </c>
      <c r="F227" s="577">
        <v>2.3333333333333331E-3</v>
      </c>
      <c r="G227" s="577">
        <v>2.3E-3</v>
      </c>
      <c r="H227" s="577">
        <v>2.4666666666666669E-3</v>
      </c>
      <c r="I227" s="577">
        <f t="shared" si="35"/>
        <v>-2.1400000000000002E-2</v>
      </c>
      <c r="J227" s="577">
        <f t="shared" si="39"/>
        <v>-2.1600000000000001E-2</v>
      </c>
      <c r="K227" s="577">
        <f t="shared" si="40"/>
        <v>4.3333333333333331E-4</v>
      </c>
      <c r="L227" s="585">
        <f t="shared" si="36"/>
        <v>0.14723508329941248</v>
      </c>
      <c r="M227" s="585">
        <f t="shared" si="37"/>
        <v>2.52E-2</v>
      </c>
      <c r="N227" s="585">
        <f t="shared" si="30"/>
        <v>2.76E-2</v>
      </c>
      <c r="O227" s="586">
        <f t="shared" si="38"/>
        <v>0.12203508329941248</v>
      </c>
      <c r="P227" s="585">
        <f t="shared" si="31"/>
        <v>0.11963508329941248</v>
      </c>
      <c r="Q227" s="585">
        <f t="shared" si="32"/>
        <v>0.14938846462648581</v>
      </c>
      <c r="R227" s="585">
        <f t="shared" si="33"/>
        <v>2.9600000000000001E-2</v>
      </c>
      <c r="S227" s="586">
        <f t="shared" si="34"/>
        <v>0.1197884646264858</v>
      </c>
      <c r="U227" s="587"/>
      <c r="V227" s="587"/>
      <c r="W227" s="587"/>
      <c r="X227" s="587"/>
      <c r="Y227" s="587"/>
      <c r="Z227" s="587"/>
      <c r="AA227" s="587"/>
      <c r="AB227" s="587"/>
      <c r="AC227" s="587"/>
      <c r="AE227" s="587"/>
      <c r="AF227" s="587"/>
      <c r="AG227" s="587"/>
      <c r="AH227" s="587"/>
      <c r="AI227" s="587"/>
      <c r="AJ227" s="587"/>
      <c r="AK227" s="587"/>
      <c r="AL227" s="587"/>
      <c r="AM227" s="587"/>
      <c r="AO227" s="587"/>
      <c r="AP227" s="587"/>
      <c r="AQ227" s="587"/>
      <c r="AR227" s="587"/>
      <c r="AS227" s="587"/>
      <c r="AT227" s="587"/>
      <c r="AU227" s="587"/>
      <c r="AV227" s="587"/>
      <c r="AW227" s="587"/>
    </row>
    <row r="228" spans="1:49">
      <c r="A228" s="581">
        <v>16285</v>
      </c>
      <c r="B228" s="594">
        <v>1.5699999999999999E-2</v>
      </c>
      <c r="C228" s="577">
        <v>3.5700000000000003E-2</v>
      </c>
      <c r="D228" s="577">
        <v>2.0999999999999999E-3</v>
      </c>
      <c r="E228" s="577">
        <v>2.2583333333333331E-3</v>
      </c>
      <c r="F228" s="577">
        <v>2.3250000000000002E-3</v>
      </c>
      <c r="G228" s="577">
        <v>2.2916666666666667E-3</v>
      </c>
      <c r="H228" s="577">
        <v>2.4499999999999999E-3</v>
      </c>
      <c r="I228" s="577">
        <f t="shared" si="35"/>
        <v>1.3599999999999999E-2</v>
      </c>
      <c r="J228" s="577">
        <f t="shared" si="39"/>
        <v>1.3408333333333331E-2</v>
      </c>
      <c r="K228" s="577">
        <f t="shared" si="40"/>
        <v>3.3250000000000002E-2</v>
      </c>
      <c r="L228" s="585">
        <f t="shared" si="36"/>
        <v>0.14565595723843594</v>
      </c>
      <c r="M228" s="585">
        <f t="shared" si="37"/>
        <v>2.52E-2</v>
      </c>
      <c r="N228" s="585">
        <f t="shared" si="30"/>
        <v>2.75E-2</v>
      </c>
      <c r="O228" s="586">
        <f t="shared" si="38"/>
        <v>0.12045595723843594</v>
      </c>
      <c r="P228" s="585">
        <f t="shared" si="31"/>
        <v>0.11815595723843594</v>
      </c>
      <c r="Q228" s="585">
        <f t="shared" si="32"/>
        <v>0.17805208591157973</v>
      </c>
      <c r="R228" s="585">
        <f t="shared" si="33"/>
        <v>2.9399999999999999E-2</v>
      </c>
      <c r="S228" s="586">
        <f t="shared" si="34"/>
        <v>0.14865208591157972</v>
      </c>
      <c r="U228" s="587"/>
      <c r="V228" s="587"/>
      <c r="W228" s="587"/>
      <c r="X228" s="587"/>
      <c r="Y228" s="587"/>
      <c r="Z228" s="587"/>
      <c r="AA228" s="587"/>
      <c r="AB228" s="587"/>
      <c r="AC228" s="587"/>
      <c r="AE228" s="587"/>
      <c r="AF228" s="587"/>
      <c r="AG228" s="587"/>
      <c r="AH228" s="587"/>
      <c r="AI228" s="587"/>
      <c r="AJ228" s="587"/>
      <c r="AK228" s="587"/>
      <c r="AL228" s="587"/>
      <c r="AM228" s="587"/>
      <c r="AO228" s="587"/>
      <c r="AP228" s="587"/>
      <c r="AQ228" s="587"/>
      <c r="AR228" s="587"/>
      <c r="AS228" s="587"/>
      <c r="AT228" s="587"/>
      <c r="AU228" s="587"/>
      <c r="AV228" s="587"/>
      <c r="AW228" s="587"/>
    </row>
    <row r="229" spans="1:49">
      <c r="A229" s="581">
        <v>16316</v>
      </c>
      <c r="B229" s="594">
        <v>-8.0000000000000004E-4</v>
      </c>
      <c r="C229" s="577">
        <v>-1.5000000000000003E-2</v>
      </c>
      <c r="D229" s="577">
        <v>2E-3</v>
      </c>
      <c r="E229" s="577">
        <v>2.2666666666666668E-3</v>
      </c>
      <c r="F229" s="577">
        <v>2.3250000000000002E-3</v>
      </c>
      <c r="G229" s="577">
        <v>2.2958333333333338E-3</v>
      </c>
      <c r="H229" s="577">
        <v>2.4416666666666666E-3</v>
      </c>
      <c r="I229" s="577">
        <f t="shared" si="35"/>
        <v>-2.8E-3</v>
      </c>
      <c r="J229" s="577">
        <f t="shared" si="39"/>
        <v>-3.0958333333333337E-3</v>
      </c>
      <c r="K229" s="577">
        <f t="shared" si="40"/>
        <v>-1.7441666666666668E-2</v>
      </c>
      <c r="L229" s="585">
        <f t="shared" si="36"/>
        <v>0.11540429939846564</v>
      </c>
      <c r="M229" s="585">
        <f t="shared" si="37"/>
        <v>2.4E-2</v>
      </c>
      <c r="N229" s="585">
        <f t="shared" si="30"/>
        <v>2.7550000000000005E-2</v>
      </c>
      <c r="O229" s="586">
        <f t="shared" si="38"/>
        <v>9.1404299398465644E-2</v>
      </c>
      <c r="P229" s="585">
        <f t="shared" si="31"/>
        <v>8.7854299398465632E-2</v>
      </c>
      <c r="Q229" s="585">
        <f t="shared" si="32"/>
        <v>0.12407372335842859</v>
      </c>
      <c r="R229" s="585">
        <f t="shared" si="33"/>
        <v>2.93E-2</v>
      </c>
      <c r="S229" s="586">
        <f t="shared" si="34"/>
        <v>9.4773723358428597E-2</v>
      </c>
      <c r="U229" s="587"/>
      <c r="V229" s="587"/>
      <c r="W229" s="587"/>
      <c r="X229" s="587"/>
      <c r="Y229" s="587"/>
      <c r="Z229" s="587"/>
      <c r="AA229" s="587"/>
      <c r="AB229" s="587"/>
      <c r="AC229" s="587"/>
      <c r="AE229" s="587"/>
      <c r="AF229" s="587"/>
      <c r="AG229" s="587"/>
      <c r="AH229" s="587"/>
      <c r="AI229" s="587"/>
      <c r="AJ229" s="587"/>
      <c r="AK229" s="587"/>
      <c r="AL229" s="587"/>
      <c r="AM229" s="587"/>
      <c r="AO229" s="587"/>
      <c r="AP229" s="587"/>
      <c r="AQ229" s="587"/>
      <c r="AR229" s="587"/>
      <c r="AS229" s="587"/>
      <c r="AT229" s="587"/>
      <c r="AU229" s="587"/>
      <c r="AV229" s="587"/>
      <c r="AW229" s="587"/>
    </row>
    <row r="230" spans="1:49">
      <c r="A230" s="581">
        <v>16346</v>
      </c>
      <c r="B230" s="594">
        <v>2.3E-3</v>
      </c>
      <c r="C230" s="577">
        <v>1.3899999999999999E-2</v>
      </c>
      <c r="D230" s="577">
        <v>2.0999999999999999E-3</v>
      </c>
      <c r="E230" s="577">
        <v>2.2666666666666668E-3</v>
      </c>
      <c r="F230" s="577">
        <v>2.3416666666666668E-3</v>
      </c>
      <c r="G230" s="577">
        <v>2.3041666666666666E-3</v>
      </c>
      <c r="H230" s="577">
        <v>2.4499999999999999E-3</v>
      </c>
      <c r="I230" s="577">
        <f t="shared" si="35"/>
        <v>2.0000000000000009E-4</v>
      </c>
      <c r="J230" s="577">
        <f t="shared" si="39"/>
        <v>-4.1666666666666415E-6</v>
      </c>
      <c r="K230" s="577">
        <f t="shared" si="40"/>
        <v>1.1449999999999998E-2</v>
      </c>
      <c r="L230" s="585">
        <f t="shared" si="36"/>
        <v>0.13017562604840505</v>
      </c>
      <c r="M230" s="585">
        <f t="shared" si="37"/>
        <v>2.52E-2</v>
      </c>
      <c r="N230" s="585">
        <f t="shared" si="30"/>
        <v>2.7650000000000001E-2</v>
      </c>
      <c r="O230" s="586">
        <f t="shared" si="38"/>
        <v>0.10497562604840505</v>
      </c>
      <c r="P230" s="585">
        <f t="shared" si="31"/>
        <v>0.10252562604840504</v>
      </c>
      <c r="Q230" s="585">
        <f t="shared" si="32"/>
        <v>0.1304288316932265</v>
      </c>
      <c r="R230" s="585">
        <f t="shared" si="33"/>
        <v>2.9399999999999999E-2</v>
      </c>
      <c r="S230" s="586">
        <f t="shared" si="34"/>
        <v>0.1010288316932265</v>
      </c>
      <c r="U230" s="587"/>
      <c r="V230" s="587"/>
      <c r="W230" s="587"/>
      <c r="X230" s="587"/>
      <c r="Y230" s="587"/>
      <c r="Z230" s="587"/>
      <c r="AA230" s="587"/>
      <c r="AB230" s="587"/>
      <c r="AC230" s="587"/>
      <c r="AE230" s="587"/>
      <c r="AF230" s="587"/>
      <c r="AG230" s="587"/>
      <c r="AH230" s="587"/>
      <c r="AI230" s="587"/>
      <c r="AJ230" s="587"/>
      <c r="AK230" s="587"/>
      <c r="AL230" s="587"/>
      <c r="AM230" s="587"/>
      <c r="AO230" s="587"/>
      <c r="AP230" s="587"/>
      <c r="AQ230" s="587"/>
      <c r="AR230" s="587"/>
      <c r="AS230" s="587"/>
      <c r="AT230" s="587"/>
      <c r="AU230" s="587"/>
      <c r="AV230" s="587"/>
      <c r="AW230" s="587"/>
    </row>
    <row r="231" spans="1:49">
      <c r="A231" s="581">
        <v>16377</v>
      </c>
      <c r="B231" s="594">
        <v>1.3299999999999999E-2</v>
      </c>
      <c r="C231" s="577">
        <v>-1.3000000000000001E-2</v>
      </c>
      <c r="D231" s="577">
        <v>2E-3</v>
      </c>
      <c r="E231" s="577">
        <v>2.2666666666666668E-3</v>
      </c>
      <c r="F231" s="577">
        <v>2.3333333333333331E-3</v>
      </c>
      <c r="G231" s="577">
        <v>2.3E-3</v>
      </c>
      <c r="H231" s="577">
        <v>2.4666666666666669E-3</v>
      </c>
      <c r="I231" s="577">
        <f t="shared" si="35"/>
        <v>1.1299999999999999E-2</v>
      </c>
      <c r="J231" s="577">
        <f t="shared" si="39"/>
        <v>1.0999999999999999E-2</v>
      </c>
      <c r="K231" s="577">
        <f t="shared" si="40"/>
        <v>-1.5466666666666668E-2</v>
      </c>
      <c r="L231" s="585">
        <f t="shared" si="36"/>
        <v>0.22534449162727266</v>
      </c>
      <c r="M231" s="585">
        <f t="shared" si="37"/>
        <v>2.4E-2</v>
      </c>
      <c r="N231" s="585">
        <f t="shared" si="30"/>
        <v>2.76E-2</v>
      </c>
      <c r="O231" s="586">
        <f t="shared" si="38"/>
        <v>0.20134449162727266</v>
      </c>
      <c r="P231" s="585">
        <f t="shared" si="31"/>
        <v>0.19774449162727264</v>
      </c>
      <c r="Q231" s="585">
        <f t="shared" si="32"/>
        <v>0.20946694512868791</v>
      </c>
      <c r="R231" s="585">
        <f t="shared" si="33"/>
        <v>2.9600000000000001E-2</v>
      </c>
      <c r="S231" s="586">
        <f t="shared" si="34"/>
        <v>0.17986694512868789</v>
      </c>
      <c r="U231" s="587"/>
      <c r="V231" s="587"/>
      <c r="W231" s="587"/>
      <c r="X231" s="587"/>
      <c r="Y231" s="587"/>
      <c r="Z231" s="587"/>
      <c r="AA231" s="587"/>
      <c r="AB231" s="587"/>
      <c r="AC231" s="587"/>
      <c r="AE231" s="587"/>
      <c r="AF231" s="587"/>
      <c r="AG231" s="587"/>
      <c r="AH231" s="587"/>
      <c r="AI231" s="587"/>
      <c r="AJ231" s="587"/>
      <c r="AK231" s="587"/>
      <c r="AL231" s="587"/>
      <c r="AM231" s="587"/>
      <c r="AO231" s="587"/>
      <c r="AP231" s="587"/>
      <c r="AQ231" s="587"/>
      <c r="AR231" s="587"/>
      <c r="AS231" s="587"/>
      <c r="AT231" s="587"/>
      <c r="AU231" s="587"/>
      <c r="AV231" s="587"/>
      <c r="AW231" s="587"/>
    </row>
    <row r="232" spans="1:49">
      <c r="A232" s="581">
        <v>16407</v>
      </c>
      <c r="B232" s="594">
        <v>3.7400000000000003E-2</v>
      </c>
      <c r="C232" s="577">
        <v>3.2399999999999998E-2</v>
      </c>
      <c r="D232" s="577">
        <v>2E-3</v>
      </c>
      <c r="E232" s="577">
        <v>2.2500000000000003E-3</v>
      </c>
      <c r="F232" s="577">
        <v>2.3E-3</v>
      </c>
      <c r="G232" s="577">
        <v>2.2749999999999997E-3</v>
      </c>
      <c r="H232" s="577">
        <v>2.4750000000000002E-3</v>
      </c>
      <c r="I232" s="577">
        <f t="shared" si="35"/>
        <v>3.5400000000000001E-2</v>
      </c>
      <c r="J232" s="577">
        <f t="shared" si="39"/>
        <v>3.5125000000000003E-2</v>
      </c>
      <c r="K232" s="577">
        <f t="shared" si="40"/>
        <v>2.9924999999999997E-2</v>
      </c>
      <c r="L232" s="585">
        <f t="shared" si="36"/>
        <v>0.1972990257267897</v>
      </c>
      <c r="M232" s="585">
        <f t="shared" si="37"/>
        <v>2.4E-2</v>
      </c>
      <c r="N232" s="585">
        <f t="shared" ref="N232:N295" si="41">G232*12</f>
        <v>2.7299999999999998E-2</v>
      </c>
      <c r="O232" s="586">
        <f t="shared" si="38"/>
        <v>0.17329902572678971</v>
      </c>
      <c r="P232" s="585">
        <f t="shared" ref="P232:P295" si="42">L232-N232</f>
        <v>0.16999902572678971</v>
      </c>
      <c r="Q232" s="585">
        <f t="shared" ref="Q232:Q295" si="43">((1+C221)*(1+C222)*(1+C223)*(1+C224)*(1+C225)*(1+C226)*(1+C227)*(1+C228)*(1+C229)*(1+C230)*(1+C231)*(1+C232))-1</f>
        <v>0.18042510318666793</v>
      </c>
      <c r="R232" s="585">
        <f t="shared" ref="R232:R295" si="44">H232*12</f>
        <v>2.9700000000000004E-2</v>
      </c>
      <c r="S232" s="586">
        <f t="shared" ref="S232:S295" si="45">Q232-R232</f>
        <v>0.15072510318666793</v>
      </c>
      <c r="U232" s="587"/>
      <c r="V232" s="587"/>
      <c r="W232" s="587"/>
      <c r="X232" s="587"/>
      <c r="Y232" s="587"/>
      <c r="Z232" s="587"/>
      <c r="AA232" s="587"/>
      <c r="AB232" s="587"/>
      <c r="AC232" s="587"/>
      <c r="AE232" s="587"/>
      <c r="AF232" s="587"/>
      <c r="AG232" s="587"/>
      <c r="AH232" s="587"/>
      <c r="AI232" s="587"/>
      <c r="AJ232" s="587"/>
      <c r="AK232" s="587"/>
      <c r="AL232" s="587"/>
      <c r="AM232" s="587"/>
      <c r="AO232" s="587"/>
      <c r="AP232" s="587"/>
      <c r="AQ232" s="587"/>
      <c r="AR232" s="587"/>
      <c r="AS232" s="587"/>
      <c r="AT232" s="587"/>
      <c r="AU232" s="587"/>
      <c r="AV232" s="587"/>
      <c r="AW232" s="587"/>
    </row>
    <row r="233" spans="1:49">
      <c r="A233" s="581">
        <v>16438</v>
      </c>
      <c r="B233" s="594">
        <v>1.5800000000000002E-2</v>
      </c>
      <c r="C233" s="577">
        <v>4.9699999999999994E-2</v>
      </c>
      <c r="D233" s="577">
        <v>2.0999999999999999E-3</v>
      </c>
      <c r="E233" s="577">
        <v>2.2416666666666665E-3</v>
      </c>
      <c r="F233" s="577">
        <v>2.3E-3</v>
      </c>
      <c r="G233" s="577">
        <v>2.270833333333333E-3</v>
      </c>
      <c r="H233" s="577">
        <v>2.4916666666666668E-3</v>
      </c>
      <c r="I233" s="577">
        <f t="shared" si="35"/>
        <v>1.3700000000000002E-2</v>
      </c>
      <c r="J233" s="577">
        <f t="shared" si="39"/>
        <v>1.3529166666666669E-2</v>
      </c>
      <c r="K233" s="577">
        <f t="shared" si="40"/>
        <v>4.7208333333333324E-2</v>
      </c>
      <c r="L233" s="585">
        <f t="shared" si="36"/>
        <v>0.19576870546974035</v>
      </c>
      <c r="M233" s="585">
        <f t="shared" si="37"/>
        <v>2.52E-2</v>
      </c>
      <c r="N233" s="585">
        <f t="shared" si="41"/>
        <v>2.7249999999999996E-2</v>
      </c>
      <c r="O233" s="586">
        <f t="shared" si="38"/>
        <v>0.17056870546974034</v>
      </c>
      <c r="P233" s="585">
        <f t="shared" si="42"/>
        <v>0.16851870546974035</v>
      </c>
      <c r="Q233" s="585">
        <f t="shared" si="43"/>
        <v>0.22609561727196237</v>
      </c>
      <c r="R233" s="585">
        <f t="shared" si="44"/>
        <v>2.9900000000000003E-2</v>
      </c>
      <c r="S233" s="586">
        <f t="shared" si="45"/>
        <v>0.19619561727196236</v>
      </c>
      <c r="U233" s="587"/>
      <c r="V233" s="587"/>
      <c r="W233" s="587"/>
      <c r="X233" s="587"/>
      <c r="Y233" s="587"/>
      <c r="Z233" s="587"/>
      <c r="AA233" s="587"/>
      <c r="AB233" s="587"/>
      <c r="AC233" s="587"/>
      <c r="AE233" s="587"/>
      <c r="AF233" s="587"/>
      <c r="AG233" s="587"/>
      <c r="AH233" s="587"/>
      <c r="AI233" s="587"/>
      <c r="AJ233" s="587"/>
      <c r="AK233" s="587"/>
      <c r="AL233" s="587"/>
      <c r="AM233" s="587"/>
      <c r="AO233" s="587"/>
      <c r="AP233" s="587"/>
      <c r="AQ233" s="587"/>
      <c r="AR233" s="587"/>
      <c r="AS233" s="587"/>
      <c r="AT233" s="587"/>
      <c r="AU233" s="587"/>
      <c r="AV233" s="587"/>
      <c r="AW233" s="587"/>
    </row>
    <row r="234" spans="1:49">
      <c r="A234" s="581">
        <v>16469</v>
      </c>
      <c r="B234" s="594">
        <v>6.83E-2</v>
      </c>
      <c r="C234" s="577">
        <v>6.9499999999999992E-2</v>
      </c>
      <c r="D234" s="577">
        <v>1.8E-3</v>
      </c>
      <c r="E234" s="577">
        <v>2.2083333333333334E-3</v>
      </c>
      <c r="F234" s="577">
        <v>2.2750000000000001E-3</v>
      </c>
      <c r="G234" s="577">
        <v>2.241666666666667E-3</v>
      </c>
      <c r="H234" s="577">
        <v>2.4833333333333331E-3</v>
      </c>
      <c r="I234" s="577">
        <f t="shared" si="35"/>
        <v>6.6500000000000004E-2</v>
      </c>
      <c r="J234" s="577">
        <f t="shared" si="39"/>
        <v>6.605833333333333E-2</v>
      </c>
      <c r="K234" s="577">
        <f t="shared" si="40"/>
        <v>6.7016666666666655E-2</v>
      </c>
      <c r="L234" s="585">
        <f t="shared" si="36"/>
        <v>0.27209690106883433</v>
      </c>
      <c r="M234" s="585">
        <f t="shared" si="37"/>
        <v>2.1600000000000001E-2</v>
      </c>
      <c r="N234" s="585">
        <f t="shared" si="41"/>
        <v>2.6900000000000004E-2</v>
      </c>
      <c r="O234" s="586">
        <f t="shared" si="38"/>
        <v>0.25049690106883432</v>
      </c>
      <c r="P234" s="585">
        <f t="shared" si="42"/>
        <v>0.24519690106883432</v>
      </c>
      <c r="Q234" s="585">
        <f t="shared" si="43"/>
        <v>0.28824959492323776</v>
      </c>
      <c r="R234" s="585">
        <f t="shared" si="44"/>
        <v>2.9799999999999997E-2</v>
      </c>
      <c r="S234" s="586">
        <f t="shared" si="45"/>
        <v>0.25844959492323777</v>
      </c>
      <c r="U234" s="587"/>
      <c r="V234" s="587"/>
      <c r="W234" s="587"/>
      <c r="X234" s="587"/>
      <c r="Y234" s="587"/>
      <c r="Z234" s="587"/>
      <c r="AA234" s="587"/>
      <c r="AB234" s="587"/>
      <c r="AC234" s="587"/>
      <c r="AE234" s="587"/>
      <c r="AF234" s="587"/>
      <c r="AG234" s="587"/>
      <c r="AH234" s="587"/>
      <c r="AI234" s="587"/>
      <c r="AJ234" s="587"/>
      <c r="AK234" s="587"/>
      <c r="AL234" s="587"/>
      <c r="AM234" s="587"/>
      <c r="AO234" s="587"/>
      <c r="AP234" s="587"/>
      <c r="AQ234" s="587"/>
      <c r="AR234" s="587"/>
      <c r="AS234" s="587"/>
      <c r="AT234" s="587"/>
      <c r="AU234" s="587"/>
      <c r="AV234" s="587"/>
      <c r="AW234" s="587"/>
    </row>
    <row r="235" spans="1:49">
      <c r="A235" s="581">
        <v>16497</v>
      </c>
      <c r="B235" s="594">
        <v>-4.41E-2</v>
      </c>
      <c r="C235" s="577">
        <v>-3.5699999999999996E-2</v>
      </c>
      <c r="D235" s="577">
        <v>2E-3</v>
      </c>
      <c r="E235" s="577">
        <v>2.1833333333333336E-3</v>
      </c>
      <c r="F235" s="577">
        <v>2.2666666666666668E-3</v>
      </c>
      <c r="G235" s="577">
        <v>2.2250000000000004E-3</v>
      </c>
      <c r="H235" s="577">
        <v>2.4750000000000002E-3</v>
      </c>
      <c r="I235" s="577">
        <f t="shared" si="35"/>
        <v>-4.6100000000000002E-2</v>
      </c>
      <c r="J235" s="577">
        <f t="shared" si="39"/>
        <v>-4.6324999999999998E-2</v>
      </c>
      <c r="K235" s="577">
        <f t="shared" si="40"/>
        <v>-3.8174999999999994E-2</v>
      </c>
      <c r="L235" s="585">
        <f t="shared" si="36"/>
        <v>0.19273901690210793</v>
      </c>
      <c r="M235" s="585">
        <f t="shared" si="37"/>
        <v>2.4E-2</v>
      </c>
      <c r="N235" s="585">
        <f t="shared" si="41"/>
        <v>2.6700000000000005E-2</v>
      </c>
      <c r="O235" s="586">
        <f t="shared" si="38"/>
        <v>0.16873901690210794</v>
      </c>
      <c r="P235" s="585">
        <f t="shared" si="42"/>
        <v>0.16603901690210793</v>
      </c>
      <c r="Q235" s="585">
        <f t="shared" si="43"/>
        <v>0.22947256966001439</v>
      </c>
      <c r="R235" s="585">
        <f t="shared" si="44"/>
        <v>2.9700000000000004E-2</v>
      </c>
      <c r="S235" s="586">
        <f t="shared" si="45"/>
        <v>0.19977256966001439</v>
      </c>
      <c r="U235" s="587"/>
      <c r="V235" s="587"/>
      <c r="W235" s="587"/>
      <c r="X235" s="587"/>
      <c r="Y235" s="587"/>
      <c r="Z235" s="587"/>
      <c r="AA235" s="587"/>
      <c r="AB235" s="587"/>
      <c r="AC235" s="587"/>
      <c r="AE235" s="587"/>
      <c r="AF235" s="587"/>
      <c r="AG235" s="587"/>
      <c r="AH235" s="587"/>
      <c r="AI235" s="587"/>
      <c r="AJ235" s="587"/>
      <c r="AK235" s="587"/>
      <c r="AL235" s="587"/>
      <c r="AM235" s="587"/>
      <c r="AO235" s="587"/>
      <c r="AP235" s="587"/>
      <c r="AQ235" s="587"/>
      <c r="AR235" s="587"/>
      <c r="AS235" s="587"/>
      <c r="AT235" s="587"/>
      <c r="AU235" s="587"/>
      <c r="AV235" s="587"/>
      <c r="AW235" s="587"/>
    </row>
    <row r="236" spans="1:49">
      <c r="A236" s="581">
        <v>16528</v>
      </c>
      <c r="B236" s="594">
        <v>9.0200000000000002E-2</v>
      </c>
      <c r="C236" s="577">
        <v>0.1066</v>
      </c>
      <c r="D236" s="577">
        <v>1.9E-3</v>
      </c>
      <c r="E236" s="577">
        <v>2.1749999999999999E-3</v>
      </c>
      <c r="F236" s="577">
        <v>2.2750000000000001E-3</v>
      </c>
      <c r="G236" s="577">
        <v>2.225E-3</v>
      </c>
      <c r="H236" s="577">
        <v>2.4583333333333336E-3</v>
      </c>
      <c r="I236" s="577">
        <f t="shared" si="35"/>
        <v>8.8300000000000003E-2</v>
      </c>
      <c r="J236" s="577">
        <f t="shared" si="39"/>
        <v>8.7974999999999998E-2</v>
      </c>
      <c r="K236" s="577">
        <f t="shared" si="40"/>
        <v>0.10414166666666666</v>
      </c>
      <c r="L236" s="585">
        <f t="shared" si="36"/>
        <v>0.3134586628552305</v>
      </c>
      <c r="M236" s="585">
        <f t="shared" si="37"/>
        <v>2.2800000000000001E-2</v>
      </c>
      <c r="N236" s="585">
        <f t="shared" si="41"/>
        <v>2.6700000000000002E-2</v>
      </c>
      <c r="O236" s="586">
        <f t="shared" si="38"/>
        <v>0.29065866285523051</v>
      </c>
      <c r="P236" s="585">
        <f t="shared" si="42"/>
        <v>0.2867586628552305</v>
      </c>
      <c r="Q236" s="585">
        <f t="shared" si="43"/>
        <v>0.37302890865452842</v>
      </c>
      <c r="R236" s="585">
        <f t="shared" si="44"/>
        <v>2.9500000000000005E-2</v>
      </c>
      <c r="S236" s="586">
        <f t="shared" si="45"/>
        <v>0.3435289086545284</v>
      </c>
      <c r="U236" s="587"/>
      <c r="V236" s="587"/>
      <c r="W236" s="587"/>
      <c r="X236" s="587"/>
      <c r="Y236" s="587"/>
      <c r="Z236" s="587"/>
      <c r="AA236" s="587"/>
      <c r="AB236" s="587"/>
      <c r="AC236" s="587"/>
      <c r="AE236" s="587"/>
      <c r="AF236" s="587"/>
      <c r="AG236" s="587"/>
      <c r="AH236" s="587"/>
      <c r="AI236" s="587"/>
      <c r="AJ236" s="587"/>
      <c r="AK236" s="587"/>
      <c r="AL236" s="587"/>
      <c r="AM236" s="587"/>
      <c r="AO236" s="587"/>
      <c r="AP236" s="587"/>
      <c r="AQ236" s="587"/>
      <c r="AR236" s="587"/>
      <c r="AS236" s="587"/>
      <c r="AT236" s="587"/>
      <c r="AU236" s="587"/>
      <c r="AV236" s="587"/>
      <c r="AW236" s="587"/>
    </row>
    <row r="237" spans="1:49">
      <c r="A237" s="581">
        <v>16558</v>
      </c>
      <c r="B237" s="594">
        <v>1.95E-2</v>
      </c>
      <c r="C237" s="577">
        <v>1.7100000000000001E-2</v>
      </c>
      <c r="D237" s="577">
        <v>1.9E-3</v>
      </c>
      <c r="E237" s="577">
        <v>2.1833333333333336E-3</v>
      </c>
      <c r="F237" s="577">
        <v>2.2666666666666668E-3</v>
      </c>
      <c r="G237" s="577">
        <v>2.2250000000000004E-3</v>
      </c>
      <c r="H237" s="577">
        <v>2.4333333333333334E-3</v>
      </c>
      <c r="I237" s="577">
        <f t="shared" si="35"/>
        <v>1.7600000000000001E-2</v>
      </c>
      <c r="J237" s="577">
        <f t="shared" si="39"/>
        <v>1.7274999999999999E-2</v>
      </c>
      <c r="K237" s="577">
        <f t="shared" si="40"/>
        <v>1.4666666666666668E-2</v>
      </c>
      <c r="L237" s="585">
        <f t="shared" si="36"/>
        <v>0.2746988165453661</v>
      </c>
      <c r="M237" s="585">
        <f t="shared" si="37"/>
        <v>2.2800000000000001E-2</v>
      </c>
      <c r="N237" s="585">
        <f t="shared" si="41"/>
        <v>2.6700000000000005E-2</v>
      </c>
      <c r="O237" s="586">
        <f t="shared" si="38"/>
        <v>0.25189881654536611</v>
      </c>
      <c r="P237" s="585">
        <f t="shared" si="42"/>
        <v>0.2479988165453661</v>
      </c>
      <c r="Q237" s="585">
        <f t="shared" si="43"/>
        <v>0.35570109988595311</v>
      </c>
      <c r="R237" s="585">
        <f t="shared" si="44"/>
        <v>2.92E-2</v>
      </c>
      <c r="S237" s="586">
        <f t="shared" si="45"/>
        <v>0.32650109988595311</v>
      </c>
      <c r="U237" s="587"/>
      <c r="V237" s="587"/>
      <c r="W237" s="587"/>
      <c r="X237" s="587"/>
      <c r="Y237" s="587"/>
      <c r="Z237" s="587"/>
      <c r="AA237" s="587"/>
      <c r="AB237" s="587"/>
      <c r="AC237" s="587"/>
      <c r="AE237" s="587"/>
      <c r="AF237" s="587"/>
      <c r="AG237" s="587"/>
      <c r="AH237" s="587"/>
      <c r="AI237" s="587"/>
      <c r="AJ237" s="587"/>
      <c r="AK237" s="587"/>
      <c r="AL237" s="587"/>
      <c r="AM237" s="587"/>
      <c r="AO237" s="587"/>
      <c r="AP237" s="587"/>
      <c r="AQ237" s="587"/>
      <c r="AR237" s="587"/>
      <c r="AS237" s="587"/>
      <c r="AT237" s="587"/>
      <c r="AU237" s="587"/>
      <c r="AV237" s="587"/>
      <c r="AW237" s="587"/>
    </row>
    <row r="238" spans="1:49">
      <c r="A238" s="581">
        <v>16589</v>
      </c>
      <c r="B238" s="594">
        <v>-6.9999999999999999E-4</v>
      </c>
      <c r="C238" s="577">
        <v>6.6199999999999995E-2</v>
      </c>
      <c r="D238" s="577">
        <v>1.9E-3</v>
      </c>
      <c r="E238" s="577">
        <v>2.1749999999999999E-3</v>
      </c>
      <c r="F238" s="577">
        <v>2.2416666666666665E-3</v>
      </c>
      <c r="G238" s="577">
        <v>2.2083333333333334E-3</v>
      </c>
      <c r="H238" s="577">
        <v>2.3916666666666665E-3</v>
      </c>
      <c r="I238" s="577">
        <f t="shared" si="35"/>
        <v>-2.5999999999999999E-3</v>
      </c>
      <c r="J238" s="577">
        <f t="shared" si="39"/>
        <v>-2.9083333333333335E-3</v>
      </c>
      <c r="K238" s="577">
        <f t="shared" si="40"/>
        <v>6.3808333333333328E-2</v>
      </c>
      <c r="L238" s="585">
        <f t="shared" si="36"/>
        <v>0.208201202099767</v>
      </c>
      <c r="M238" s="585">
        <f t="shared" si="37"/>
        <v>2.2800000000000001E-2</v>
      </c>
      <c r="N238" s="585">
        <f t="shared" si="41"/>
        <v>2.6500000000000003E-2</v>
      </c>
      <c r="O238" s="586">
        <f t="shared" si="38"/>
        <v>0.18540120209976702</v>
      </c>
      <c r="P238" s="585">
        <f t="shared" si="42"/>
        <v>0.18170120209976701</v>
      </c>
      <c r="Q238" s="585">
        <f t="shared" si="43"/>
        <v>0.37321728358199069</v>
      </c>
      <c r="R238" s="585">
        <f t="shared" si="44"/>
        <v>2.8699999999999996E-2</v>
      </c>
      <c r="S238" s="586">
        <f t="shared" si="45"/>
        <v>0.34451728358199069</v>
      </c>
      <c r="U238" s="587"/>
      <c r="V238" s="587"/>
      <c r="W238" s="587"/>
      <c r="X238" s="587"/>
      <c r="Y238" s="587"/>
      <c r="Z238" s="587"/>
      <c r="AA238" s="587"/>
      <c r="AB238" s="587"/>
      <c r="AC238" s="587"/>
      <c r="AE238" s="587"/>
      <c r="AF238" s="587"/>
      <c r="AG238" s="587"/>
      <c r="AH238" s="587"/>
      <c r="AI238" s="587"/>
      <c r="AJ238" s="587"/>
      <c r="AK238" s="587"/>
      <c r="AL238" s="587"/>
      <c r="AM238" s="587"/>
      <c r="AO238" s="587"/>
      <c r="AP238" s="587"/>
      <c r="AQ238" s="587"/>
      <c r="AR238" s="587"/>
      <c r="AS238" s="587"/>
      <c r="AT238" s="587"/>
      <c r="AU238" s="587"/>
      <c r="AV238" s="587"/>
      <c r="AW238" s="587"/>
    </row>
    <row r="239" spans="1:49">
      <c r="A239" s="581">
        <v>16619</v>
      </c>
      <c r="B239" s="594">
        <v>-1.7999999999999999E-2</v>
      </c>
      <c r="C239" s="577">
        <v>-5.0999999999999986E-3</v>
      </c>
      <c r="D239" s="577">
        <v>1.8E-3</v>
      </c>
      <c r="E239" s="577">
        <v>2.1666666666666666E-3</v>
      </c>
      <c r="F239" s="577">
        <v>2.2333333333333337E-3</v>
      </c>
      <c r="G239" s="577">
        <v>2.2000000000000001E-3</v>
      </c>
      <c r="H239" s="577">
        <v>2.3583333333333334E-3</v>
      </c>
      <c r="I239" s="577">
        <f t="shared" si="35"/>
        <v>-1.9799999999999998E-2</v>
      </c>
      <c r="J239" s="577">
        <f t="shared" si="39"/>
        <v>-2.0199999999999999E-2</v>
      </c>
      <c r="K239" s="577">
        <f t="shared" si="40"/>
        <v>-7.4583333333333324E-3</v>
      </c>
      <c r="L239" s="585">
        <f t="shared" si="36"/>
        <v>0.20980277400017511</v>
      </c>
      <c r="M239" s="585">
        <f t="shared" si="37"/>
        <v>2.1600000000000001E-2</v>
      </c>
      <c r="N239" s="585">
        <f t="shared" si="41"/>
        <v>2.64E-2</v>
      </c>
      <c r="O239" s="586">
        <f t="shared" si="38"/>
        <v>0.1882027740001751</v>
      </c>
      <c r="P239" s="585">
        <f t="shared" si="42"/>
        <v>0.1834027740001751</v>
      </c>
      <c r="Q239" s="585">
        <f t="shared" si="43"/>
        <v>0.36226331183141158</v>
      </c>
      <c r="R239" s="585">
        <f t="shared" si="44"/>
        <v>2.8299999999999999E-2</v>
      </c>
      <c r="S239" s="586">
        <f t="shared" si="45"/>
        <v>0.33396331183141159</v>
      </c>
      <c r="U239" s="587"/>
      <c r="V239" s="587"/>
      <c r="W239" s="587"/>
      <c r="X239" s="587"/>
      <c r="Y239" s="587"/>
      <c r="Z239" s="587"/>
      <c r="AA239" s="587"/>
      <c r="AB239" s="587"/>
      <c r="AC239" s="587"/>
      <c r="AE239" s="587"/>
      <c r="AF239" s="587"/>
      <c r="AG239" s="587"/>
      <c r="AH239" s="587"/>
      <c r="AI239" s="587"/>
      <c r="AJ239" s="587"/>
      <c r="AK239" s="587"/>
      <c r="AL239" s="587"/>
      <c r="AM239" s="587"/>
      <c r="AO239" s="587"/>
      <c r="AP239" s="587"/>
      <c r="AQ239" s="587"/>
      <c r="AR239" s="587"/>
      <c r="AS239" s="587"/>
      <c r="AT239" s="587"/>
      <c r="AU239" s="587"/>
      <c r="AV239" s="587"/>
      <c r="AW239" s="587"/>
    </row>
    <row r="240" spans="1:49">
      <c r="A240" s="581">
        <v>16650</v>
      </c>
      <c r="B240" s="594">
        <v>6.4100000000000004E-2</v>
      </c>
      <c r="C240" s="577">
        <v>3.0999999999999999E-3</v>
      </c>
      <c r="D240" s="577">
        <v>1.9E-3</v>
      </c>
      <c r="E240" s="577">
        <v>2.1749999999999999E-3</v>
      </c>
      <c r="F240" s="577">
        <v>2.2500000000000003E-3</v>
      </c>
      <c r="G240" s="577">
        <v>2.2125000000000001E-3</v>
      </c>
      <c r="H240" s="577">
        <v>2.3333333333333335E-3</v>
      </c>
      <c r="I240" s="577">
        <f t="shared" si="35"/>
        <v>6.2200000000000005E-2</v>
      </c>
      <c r="J240" s="577">
        <f t="shared" si="39"/>
        <v>6.1887500000000005E-2</v>
      </c>
      <c r="K240" s="577">
        <f t="shared" si="40"/>
        <v>7.6666666666666636E-4</v>
      </c>
      <c r="L240" s="585">
        <f t="shared" si="36"/>
        <v>0.26745213332045448</v>
      </c>
      <c r="M240" s="585">
        <f t="shared" si="37"/>
        <v>2.2800000000000001E-2</v>
      </c>
      <c r="N240" s="585">
        <f t="shared" si="41"/>
        <v>2.6550000000000001E-2</v>
      </c>
      <c r="O240" s="586">
        <f t="shared" si="38"/>
        <v>0.24465213332045449</v>
      </c>
      <c r="P240" s="585">
        <f t="shared" si="42"/>
        <v>0.24090213332045449</v>
      </c>
      <c r="Q240" s="585">
        <f t="shared" si="43"/>
        <v>0.31938430829206244</v>
      </c>
      <c r="R240" s="585">
        <f t="shared" si="44"/>
        <v>2.8000000000000004E-2</v>
      </c>
      <c r="S240" s="586">
        <f t="shared" si="45"/>
        <v>0.29138430829206241</v>
      </c>
      <c r="U240" s="587"/>
      <c r="V240" s="587"/>
      <c r="W240" s="587"/>
      <c r="X240" s="587"/>
      <c r="Y240" s="587"/>
      <c r="Z240" s="587"/>
      <c r="AA240" s="587"/>
      <c r="AB240" s="587"/>
      <c r="AC240" s="587"/>
      <c r="AE240" s="587"/>
      <c r="AF240" s="587"/>
      <c r="AG240" s="587"/>
      <c r="AH240" s="587"/>
      <c r="AI240" s="587"/>
      <c r="AJ240" s="587"/>
      <c r="AK240" s="587"/>
      <c r="AL240" s="587"/>
      <c r="AM240" s="587"/>
      <c r="AO240" s="587"/>
      <c r="AP240" s="587"/>
      <c r="AQ240" s="587"/>
      <c r="AR240" s="587"/>
      <c r="AS240" s="587"/>
      <c r="AT240" s="587"/>
      <c r="AU240" s="587"/>
      <c r="AV240" s="587"/>
      <c r="AW240" s="587"/>
    </row>
    <row r="241" spans="1:49">
      <c r="A241" s="581">
        <v>16681</v>
      </c>
      <c r="B241" s="594">
        <v>4.3799999999999999E-2</v>
      </c>
      <c r="C241" s="577">
        <v>7.3900000000000007E-2</v>
      </c>
      <c r="D241" s="577">
        <v>1.8E-3</v>
      </c>
      <c r="E241" s="577">
        <v>2.1833333333333336E-3</v>
      </c>
      <c r="F241" s="577">
        <v>2.2500000000000003E-3</v>
      </c>
      <c r="G241" s="577">
        <v>2.2166666666666667E-3</v>
      </c>
      <c r="H241" s="577">
        <v>2.3250000000000002E-3</v>
      </c>
      <c r="I241" s="577">
        <f t="shared" si="35"/>
        <v>4.1999999999999996E-2</v>
      </c>
      <c r="J241" s="577">
        <f t="shared" si="39"/>
        <v>4.1583333333333333E-2</v>
      </c>
      <c r="K241" s="577">
        <f t="shared" si="40"/>
        <v>7.1575000000000014E-2</v>
      </c>
      <c r="L241" s="585">
        <f t="shared" si="36"/>
        <v>0.32402575736578365</v>
      </c>
      <c r="M241" s="585">
        <f t="shared" si="37"/>
        <v>2.1600000000000001E-2</v>
      </c>
      <c r="N241" s="585">
        <f t="shared" si="41"/>
        <v>2.6599999999999999E-2</v>
      </c>
      <c r="O241" s="586">
        <f t="shared" si="38"/>
        <v>0.30242575736578364</v>
      </c>
      <c r="P241" s="585">
        <f t="shared" si="42"/>
        <v>0.29742575736578364</v>
      </c>
      <c r="Q241" s="585">
        <f t="shared" si="43"/>
        <v>0.4384637651521277</v>
      </c>
      <c r="R241" s="585">
        <f t="shared" si="44"/>
        <v>2.7900000000000001E-2</v>
      </c>
      <c r="S241" s="586">
        <f t="shared" si="45"/>
        <v>0.41056376515212772</v>
      </c>
      <c r="U241" s="587"/>
      <c r="V241" s="587"/>
      <c r="W241" s="587"/>
      <c r="X241" s="587"/>
      <c r="Y241" s="587"/>
      <c r="Z241" s="587"/>
      <c r="AA241" s="587"/>
      <c r="AB241" s="587"/>
      <c r="AC241" s="587"/>
      <c r="AE241" s="587"/>
      <c r="AF241" s="587"/>
      <c r="AG241" s="587"/>
      <c r="AH241" s="587"/>
      <c r="AI241" s="587"/>
      <c r="AJ241" s="587"/>
      <c r="AK241" s="587"/>
      <c r="AL241" s="587"/>
      <c r="AM241" s="587"/>
      <c r="AO241" s="587"/>
      <c r="AP241" s="587"/>
      <c r="AQ241" s="587"/>
      <c r="AR241" s="587"/>
      <c r="AS241" s="587"/>
      <c r="AT241" s="587"/>
      <c r="AU241" s="587"/>
      <c r="AV241" s="587"/>
      <c r="AW241" s="587"/>
    </row>
    <row r="242" spans="1:49">
      <c r="A242" s="581">
        <v>16711</v>
      </c>
      <c r="B242" s="594">
        <v>3.2199999999999999E-2</v>
      </c>
      <c r="C242" s="577">
        <v>6.4100000000000004E-2</v>
      </c>
      <c r="D242" s="577">
        <v>1.9E-3</v>
      </c>
      <c r="E242" s="577">
        <v>2.1833333333333336E-3</v>
      </c>
      <c r="F242" s="577">
        <v>2.2500000000000003E-3</v>
      </c>
      <c r="G242" s="577">
        <v>2.2166666666666667E-3</v>
      </c>
      <c r="H242" s="577">
        <v>2.3250000000000002E-3</v>
      </c>
      <c r="I242" s="577">
        <f t="shared" si="35"/>
        <v>3.0300000000000001E-2</v>
      </c>
      <c r="J242" s="577">
        <f t="shared" si="39"/>
        <v>2.9983333333333334E-2</v>
      </c>
      <c r="K242" s="577">
        <f t="shared" si="40"/>
        <v>6.1775000000000004E-2</v>
      </c>
      <c r="L242" s="585">
        <f t="shared" si="36"/>
        <v>0.36352328320159777</v>
      </c>
      <c r="M242" s="585">
        <f t="shared" si="37"/>
        <v>2.2800000000000001E-2</v>
      </c>
      <c r="N242" s="585">
        <f t="shared" si="41"/>
        <v>2.6599999999999999E-2</v>
      </c>
      <c r="O242" s="586">
        <f t="shared" si="38"/>
        <v>0.34072328320159778</v>
      </c>
      <c r="P242" s="585">
        <f t="shared" si="42"/>
        <v>0.33692328320159776</v>
      </c>
      <c r="Q242" s="585">
        <f t="shared" si="43"/>
        <v>0.50968467550880714</v>
      </c>
      <c r="R242" s="585">
        <f t="shared" si="44"/>
        <v>2.7900000000000001E-2</v>
      </c>
      <c r="S242" s="586">
        <f t="shared" si="45"/>
        <v>0.48178467550880716</v>
      </c>
      <c r="U242" s="587"/>
      <c r="V242" s="587"/>
      <c r="W242" s="587"/>
      <c r="X242" s="587"/>
      <c r="Y242" s="587"/>
      <c r="Z242" s="587"/>
      <c r="AA242" s="587"/>
      <c r="AB242" s="587"/>
      <c r="AC242" s="587"/>
      <c r="AE242" s="587"/>
      <c r="AF242" s="587"/>
      <c r="AG242" s="587"/>
      <c r="AH242" s="587"/>
      <c r="AI242" s="587"/>
      <c r="AJ242" s="587"/>
      <c r="AK242" s="587"/>
      <c r="AL242" s="587"/>
      <c r="AM242" s="587"/>
      <c r="AO242" s="587"/>
      <c r="AP242" s="587"/>
      <c r="AQ242" s="587"/>
      <c r="AR242" s="587"/>
      <c r="AS242" s="587"/>
      <c r="AT242" s="587"/>
      <c r="AU242" s="587"/>
      <c r="AV242" s="587"/>
      <c r="AW242" s="587"/>
    </row>
    <row r="243" spans="1:49">
      <c r="A243" s="581">
        <v>16742</v>
      </c>
      <c r="B243" s="594">
        <v>3.9600000000000003E-2</v>
      </c>
      <c r="C243" s="577">
        <v>4.7100000000000003E-2</v>
      </c>
      <c r="D243" s="577">
        <v>1.8E-3</v>
      </c>
      <c r="E243" s="577">
        <v>2.1833333333333336E-3</v>
      </c>
      <c r="F243" s="577">
        <v>2.2333333333333337E-3</v>
      </c>
      <c r="G243" s="577">
        <v>2.2083333333333334E-3</v>
      </c>
      <c r="H243" s="577">
        <v>2.3083333333333332E-3</v>
      </c>
      <c r="I243" s="577">
        <f t="shared" si="35"/>
        <v>3.78E-2</v>
      </c>
      <c r="J243" s="577">
        <f t="shared" si="39"/>
        <v>3.739166666666667E-2</v>
      </c>
      <c r="K243" s="577">
        <f t="shared" si="40"/>
        <v>4.4791666666666667E-2</v>
      </c>
      <c r="L243" s="585">
        <f t="shared" si="36"/>
        <v>0.39891325887336615</v>
      </c>
      <c r="M243" s="585">
        <f t="shared" si="37"/>
        <v>2.1600000000000001E-2</v>
      </c>
      <c r="N243" s="585">
        <f t="shared" si="41"/>
        <v>2.6500000000000003E-2</v>
      </c>
      <c r="O243" s="586">
        <f t="shared" si="38"/>
        <v>0.37731325887336614</v>
      </c>
      <c r="P243" s="585">
        <f t="shared" si="42"/>
        <v>0.37241325887336613</v>
      </c>
      <c r="Q243" s="585">
        <f t="shared" si="43"/>
        <v>0.60161177682398304</v>
      </c>
      <c r="R243" s="585">
        <f t="shared" si="44"/>
        <v>2.7699999999999999E-2</v>
      </c>
      <c r="S243" s="586">
        <f t="shared" si="45"/>
        <v>0.57391177682398309</v>
      </c>
      <c r="U243" s="587"/>
      <c r="V243" s="587"/>
      <c r="W243" s="587"/>
      <c r="X243" s="587"/>
      <c r="Y243" s="587"/>
      <c r="Z243" s="587"/>
      <c r="AA243" s="587"/>
      <c r="AB243" s="587"/>
      <c r="AC243" s="587"/>
      <c r="AE243" s="587"/>
      <c r="AF243" s="587"/>
      <c r="AG243" s="587"/>
      <c r="AH243" s="587"/>
      <c r="AI243" s="587"/>
      <c r="AJ243" s="587"/>
      <c r="AK243" s="587"/>
      <c r="AL243" s="587"/>
      <c r="AM243" s="587"/>
      <c r="AO243" s="587"/>
      <c r="AP243" s="587"/>
      <c r="AQ243" s="587"/>
      <c r="AR243" s="587"/>
      <c r="AS243" s="587"/>
      <c r="AT243" s="587"/>
      <c r="AU243" s="587"/>
      <c r="AV243" s="587"/>
      <c r="AW243" s="587"/>
    </row>
    <row r="244" spans="1:49">
      <c r="A244" s="581">
        <v>16772</v>
      </c>
      <c r="B244" s="594">
        <v>1.1599999999999999E-2</v>
      </c>
      <c r="C244" s="577">
        <v>-1.1699999999999999E-2</v>
      </c>
      <c r="D244" s="577">
        <v>1.8E-3</v>
      </c>
      <c r="E244" s="577">
        <v>2.1749999999999999E-3</v>
      </c>
      <c r="F244" s="577">
        <v>2.2333333333333337E-3</v>
      </c>
      <c r="G244" s="577">
        <v>2.2041666666666668E-3</v>
      </c>
      <c r="H244" s="577">
        <v>2.2916666666666667E-3</v>
      </c>
      <c r="I244" s="577">
        <f t="shared" si="35"/>
        <v>9.7999999999999997E-3</v>
      </c>
      <c r="J244" s="577">
        <f t="shared" si="39"/>
        <v>9.3958333333333324E-3</v>
      </c>
      <c r="K244" s="577">
        <f t="shared" si="40"/>
        <v>-1.3991666666666666E-2</v>
      </c>
      <c r="L244" s="585">
        <f t="shared" si="36"/>
        <v>0.36412247221543881</v>
      </c>
      <c r="M244" s="585">
        <f t="shared" si="37"/>
        <v>2.1600000000000001E-2</v>
      </c>
      <c r="N244" s="585">
        <f t="shared" si="41"/>
        <v>2.6450000000000001E-2</v>
      </c>
      <c r="O244" s="586">
        <f t="shared" si="38"/>
        <v>0.3425224722154388</v>
      </c>
      <c r="P244" s="585">
        <f t="shared" si="42"/>
        <v>0.33767247221543883</v>
      </c>
      <c r="Q244" s="585">
        <f t="shared" si="43"/>
        <v>0.53319732568301315</v>
      </c>
      <c r="R244" s="585">
        <f t="shared" si="44"/>
        <v>2.75E-2</v>
      </c>
      <c r="S244" s="586">
        <f t="shared" si="45"/>
        <v>0.50569732568301318</v>
      </c>
      <c r="U244" s="587"/>
      <c r="V244" s="587"/>
      <c r="W244" s="587"/>
      <c r="X244" s="587"/>
      <c r="Y244" s="587"/>
      <c r="Z244" s="587"/>
      <c r="AA244" s="587"/>
      <c r="AB244" s="587"/>
      <c r="AC244" s="587"/>
      <c r="AE244" s="587"/>
      <c r="AF244" s="587"/>
      <c r="AG244" s="587"/>
      <c r="AH244" s="587"/>
      <c r="AI244" s="587"/>
      <c r="AJ244" s="587"/>
      <c r="AK244" s="587"/>
      <c r="AL244" s="587"/>
      <c r="AM244" s="587"/>
      <c r="AO244" s="587"/>
      <c r="AP244" s="587"/>
      <c r="AQ244" s="587"/>
      <c r="AR244" s="587"/>
      <c r="AS244" s="587"/>
      <c r="AT244" s="587"/>
      <c r="AU244" s="587"/>
      <c r="AV244" s="587"/>
      <c r="AW244" s="587"/>
    </row>
    <row r="245" spans="1:49">
      <c r="A245" s="581">
        <v>16803</v>
      </c>
      <c r="B245" s="594">
        <v>7.1400000000000005E-2</v>
      </c>
      <c r="C245" s="577">
        <v>0.11989999999999998</v>
      </c>
      <c r="D245" s="577">
        <v>1.6999999999999999E-3</v>
      </c>
      <c r="E245" s="577">
        <v>2.1166666666666669E-3</v>
      </c>
      <c r="F245" s="577">
        <v>2.1833333333333336E-3</v>
      </c>
      <c r="G245" s="577">
        <v>2.1500000000000004E-3</v>
      </c>
      <c r="H245" s="577">
        <v>2.2416666666666665E-3</v>
      </c>
      <c r="I245" s="577">
        <f t="shared" si="35"/>
        <v>6.9700000000000012E-2</v>
      </c>
      <c r="J245" s="577">
        <f t="shared" si="39"/>
        <v>6.9250000000000006E-2</v>
      </c>
      <c r="K245" s="577">
        <f t="shared" si="40"/>
        <v>0.11765833333333331</v>
      </c>
      <c r="L245" s="585">
        <f t="shared" si="36"/>
        <v>0.43878796685530763</v>
      </c>
      <c r="M245" s="585">
        <f t="shared" si="37"/>
        <v>2.0399999999999998E-2</v>
      </c>
      <c r="N245" s="585">
        <f t="shared" si="41"/>
        <v>2.5800000000000003E-2</v>
      </c>
      <c r="O245" s="586">
        <f t="shared" si="38"/>
        <v>0.41838796685530766</v>
      </c>
      <c r="P245" s="585">
        <f t="shared" si="42"/>
        <v>0.41298796685530764</v>
      </c>
      <c r="Q245" s="585">
        <f t="shared" si="43"/>
        <v>0.63573181388244837</v>
      </c>
      <c r="R245" s="585">
        <f t="shared" si="44"/>
        <v>2.69E-2</v>
      </c>
      <c r="S245" s="586">
        <f t="shared" si="45"/>
        <v>0.60883181388244834</v>
      </c>
      <c r="U245" s="587"/>
      <c r="V245" s="587"/>
      <c r="W245" s="587"/>
      <c r="X245" s="587"/>
      <c r="Y245" s="587"/>
      <c r="Z245" s="587"/>
      <c r="AA245" s="587"/>
      <c r="AB245" s="587"/>
      <c r="AC245" s="587"/>
      <c r="AE245" s="587"/>
      <c r="AF245" s="587"/>
      <c r="AG245" s="587"/>
      <c r="AH245" s="587"/>
      <c r="AI245" s="587"/>
      <c r="AJ245" s="587"/>
      <c r="AK245" s="587"/>
      <c r="AL245" s="587"/>
      <c r="AM245" s="587"/>
      <c r="AO245" s="587"/>
      <c r="AP245" s="587"/>
      <c r="AQ245" s="587"/>
      <c r="AR245" s="587"/>
      <c r="AS245" s="587"/>
      <c r="AT245" s="587"/>
      <c r="AU245" s="587"/>
      <c r="AV245" s="587"/>
      <c r="AW245" s="587"/>
    </row>
    <row r="246" spans="1:49">
      <c r="A246" s="581">
        <v>16834</v>
      </c>
      <c r="B246" s="594">
        <v>-6.4100000000000004E-2</v>
      </c>
      <c r="C246" s="577">
        <v>-6.4000000000000001E-2</v>
      </c>
      <c r="D246" s="577">
        <v>1.5E-3</v>
      </c>
      <c r="E246" s="577">
        <v>2.0666666666666667E-3</v>
      </c>
      <c r="F246" s="577">
        <v>2.1333333333333334E-3</v>
      </c>
      <c r="G246" s="577">
        <v>2.1000000000000003E-3</v>
      </c>
      <c r="H246" s="577">
        <v>2.225E-3</v>
      </c>
      <c r="I246" s="577">
        <f t="shared" si="35"/>
        <v>-6.5600000000000006E-2</v>
      </c>
      <c r="J246" s="577">
        <f t="shared" si="39"/>
        <v>-6.6200000000000009E-2</v>
      </c>
      <c r="K246" s="577">
        <f t="shared" si="40"/>
        <v>-6.6225000000000006E-2</v>
      </c>
      <c r="L246" s="585">
        <f t="shared" si="36"/>
        <v>0.26047145762415269</v>
      </c>
      <c r="M246" s="585">
        <f t="shared" si="37"/>
        <v>1.8000000000000002E-2</v>
      </c>
      <c r="N246" s="585">
        <f t="shared" si="41"/>
        <v>2.5200000000000004E-2</v>
      </c>
      <c r="O246" s="586">
        <f t="shared" si="38"/>
        <v>0.24247145762415268</v>
      </c>
      <c r="P246" s="585">
        <f t="shared" si="42"/>
        <v>0.23527145762415269</v>
      </c>
      <c r="Q246" s="585">
        <f t="shared" si="43"/>
        <v>0.43155210639922537</v>
      </c>
      <c r="R246" s="585">
        <f t="shared" si="44"/>
        <v>2.6700000000000002E-2</v>
      </c>
      <c r="S246" s="586">
        <f t="shared" si="45"/>
        <v>0.40485210639922536</v>
      </c>
      <c r="U246" s="587"/>
      <c r="V246" s="587"/>
      <c r="W246" s="587"/>
      <c r="X246" s="587"/>
      <c r="Y246" s="587"/>
      <c r="Z246" s="587"/>
      <c r="AA246" s="587"/>
      <c r="AB246" s="587"/>
      <c r="AC246" s="587"/>
      <c r="AE246" s="587"/>
      <c r="AF246" s="587"/>
      <c r="AG246" s="587"/>
      <c r="AH246" s="587"/>
      <c r="AI246" s="587"/>
      <c r="AJ246" s="587"/>
      <c r="AK246" s="587"/>
      <c r="AL246" s="587"/>
      <c r="AM246" s="587"/>
      <c r="AO246" s="587"/>
      <c r="AP246" s="587"/>
      <c r="AQ246" s="587"/>
      <c r="AR246" s="587"/>
      <c r="AS246" s="587"/>
      <c r="AT246" s="587"/>
      <c r="AU246" s="587"/>
      <c r="AV246" s="587"/>
      <c r="AW246" s="587"/>
    </row>
    <row r="247" spans="1:49">
      <c r="A247" s="581">
        <v>16862</v>
      </c>
      <c r="B247" s="594">
        <v>4.8000000000000001E-2</v>
      </c>
      <c r="C247" s="577">
        <v>6.3100000000000003E-2</v>
      </c>
      <c r="D247" s="577">
        <v>1.6000000000000001E-3</v>
      </c>
      <c r="E247" s="577">
        <v>2.0583333333333335E-3</v>
      </c>
      <c r="F247" s="577">
        <v>2.1166666666666669E-3</v>
      </c>
      <c r="G247" s="577">
        <v>2.0874999999999999E-3</v>
      </c>
      <c r="H247" s="577">
        <v>2.2166666666666667E-3</v>
      </c>
      <c r="I247" s="577">
        <f t="shared" si="35"/>
        <v>4.6400000000000004E-2</v>
      </c>
      <c r="J247" s="577">
        <f t="shared" si="39"/>
        <v>4.5912500000000002E-2</v>
      </c>
      <c r="K247" s="577">
        <f t="shared" si="40"/>
        <v>6.0883333333333338E-2</v>
      </c>
      <c r="L247" s="585">
        <f t="shared" si="36"/>
        <v>0.38191661009531486</v>
      </c>
      <c r="M247" s="585">
        <f t="shared" si="37"/>
        <v>1.9200000000000002E-2</v>
      </c>
      <c r="N247" s="585">
        <f t="shared" si="41"/>
        <v>2.5049999999999999E-2</v>
      </c>
      <c r="O247" s="586">
        <f t="shared" si="38"/>
        <v>0.36271661009531486</v>
      </c>
      <c r="P247" s="585">
        <f t="shared" si="42"/>
        <v>0.35686661009531484</v>
      </c>
      <c r="Q247" s="585">
        <f t="shared" si="43"/>
        <v>0.57822570186976718</v>
      </c>
      <c r="R247" s="585">
        <f t="shared" si="44"/>
        <v>2.6599999999999999E-2</v>
      </c>
      <c r="S247" s="586">
        <f t="shared" si="45"/>
        <v>0.55162570186976723</v>
      </c>
      <c r="U247" s="587"/>
      <c r="V247" s="587"/>
      <c r="W247" s="587"/>
      <c r="X247" s="587"/>
      <c r="Y247" s="587"/>
      <c r="Z247" s="587"/>
      <c r="AA247" s="587"/>
      <c r="AB247" s="587"/>
      <c r="AC247" s="587"/>
      <c r="AE247" s="587"/>
      <c r="AF247" s="587"/>
      <c r="AG247" s="587"/>
      <c r="AH247" s="587"/>
      <c r="AI247" s="587"/>
      <c r="AJ247" s="587"/>
      <c r="AK247" s="587"/>
      <c r="AL247" s="587"/>
      <c r="AM247" s="587"/>
      <c r="AO247" s="587"/>
      <c r="AP247" s="587"/>
      <c r="AQ247" s="587"/>
      <c r="AR247" s="587"/>
      <c r="AS247" s="587"/>
      <c r="AT247" s="587"/>
      <c r="AU247" s="587"/>
      <c r="AV247" s="587"/>
      <c r="AW247" s="587"/>
    </row>
    <row r="248" spans="1:49">
      <c r="A248" s="581">
        <v>16893</v>
      </c>
      <c r="B248" s="594">
        <v>3.9300000000000002E-2</v>
      </c>
      <c r="C248" s="577">
        <v>3.3800000000000004E-2</v>
      </c>
      <c r="D248" s="577">
        <v>1.6999999999999999E-3</v>
      </c>
      <c r="E248" s="577">
        <v>2.0499999999999997E-3</v>
      </c>
      <c r="F248" s="577">
        <v>2.1333333333333334E-3</v>
      </c>
      <c r="G248" s="577">
        <v>2.0916666666666666E-3</v>
      </c>
      <c r="H248" s="577">
        <v>2.2083333333333334E-3</v>
      </c>
      <c r="I248" s="577">
        <f t="shared" si="35"/>
        <v>3.7600000000000001E-2</v>
      </c>
      <c r="J248" s="577">
        <f t="shared" si="39"/>
        <v>3.7208333333333336E-2</v>
      </c>
      <c r="K248" s="577">
        <f t="shared" si="40"/>
        <v>3.1591666666666671E-2</v>
      </c>
      <c r="L248" s="585">
        <f t="shared" si="36"/>
        <v>0.31739674635118398</v>
      </c>
      <c r="M248" s="585">
        <f t="shared" si="37"/>
        <v>2.0399999999999998E-2</v>
      </c>
      <c r="N248" s="585">
        <f t="shared" si="41"/>
        <v>2.5099999999999997E-2</v>
      </c>
      <c r="O248" s="586">
        <f t="shared" si="38"/>
        <v>0.296996746351184</v>
      </c>
      <c r="P248" s="585">
        <f t="shared" si="42"/>
        <v>0.29229674635118397</v>
      </c>
      <c r="Q248" s="585">
        <f t="shared" si="43"/>
        <v>0.47439881672959117</v>
      </c>
      <c r="R248" s="585">
        <f t="shared" si="44"/>
        <v>2.6500000000000003E-2</v>
      </c>
      <c r="S248" s="586">
        <f t="shared" si="45"/>
        <v>0.44789881672959114</v>
      </c>
      <c r="U248" s="587"/>
      <c r="V248" s="587"/>
      <c r="W248" s="587"/>
      <c r="X248" s="587"/>
      <c r="Y248" s="587"/>
      <c r="Z248" s="587"/>
      <c r="AA248" s="587"/>
      <c r="AB248" s="587"/>
      <c r="AC248" s="587"/>
      <c r="AE248" s="587"/>
      <c r="AF248" s="587"/>
      <c r="AG248" s="587"/>
      <c r="AH248" s="587"/>
      <c r="AI248" s="587"/>
      <c r="AJ248" s="587"/>
      <c r="AK248" s="587"/>
      <c r="AL248" s="587"/>
      <c r="AM248" s="587"/>
      <c r="AO248" s="587"/>
      <c r="AP248" s="587"/>
      <c r="AQ248" s="587"/>
      <c r="AR248" s="587"/>
      <c r="AS248" s="587"/>
      <c r="AT248" s="587"/>
      <c r="AU248" s="587"/>
      <c r="AV248" s="587"/>
      <c r="AW248" s="587"/>
    </row>
    <row r="249" spans="1:49">
      <c r="A249" s="581">
        <v>16923</v>
      </c>
      <c r="B249" s="594">
        <v>2.8799999999999999E-2</v>
      </c>
      <c r="C249" s="577">
        <v>3.0099999999999998E-2</v>
      </c>
      <c r="D249" s="577">
        <v>1.8E-3</v>
      </c>
      <c r="E249" s="577">
        <v>2.0916666666666666E-3</v>
      </c>
      <c r="F249" s="577">
        <v>2.15E-3</v>
      </c>
      <c r="G249" s="577">
        <v>2.1208333333333331E-3</v>
      </c>
      <c r="H249" s="577">
        <v>2.2416666666666665E-3</v>
      </c>
      <c r="I249" s="577">
        <f t="shared" si="35"/>
        <v>2.7E-2</v>
      </c>
      <c r="J249" s="577">
        <f t="shared" si="39"/>
        <v>2.6679166666666667E-2</v>
      </c>
      <c r="K249" s="577">
        <f t="shared" si="40"/>
        <v>2.7858333333333332E-2</v>
      </c>
      <c r="L249" s="585">
        <f t="shared" si="36"/>
        <v>0.32941419582746256</v>
      </c>
      <c r="M249" s="585">
        <f t="shared" si="37"/>
        <v>2.1600000000000001E-2</v>
      </c>
      <c r="N249" s="585">
        <f t="shared" si="41"/>
        <v>2.5449999999999997E-2</v>
      </c>
      <c r="O249" s="586">
        <f t="shared" si="38"/>
        <v>0.30781419582746256</v>
      </c>
      <c r="P249" s="585">
        <f t="shared" si="42"/>
        <v>0.30396419582746259</v>
      </c>
      <c r="Q249" s="585">
        <f t="shared" si="43"/>
        <v>0.49324375293791389</v>
      </c>
      <c r="R249" s="585">
        <f t="shared" si="44"/>
        <v>2.69E-2</v>
      </c>
      <c r="S249" s="586">
        <f t="shared" si="45"/>
        <v>0.46634375293791391</v>
      </c>
      <c r="U249" s="587"/>
      <c r="V249" s="587"/>
      <c r="W249" s="587"/>
      <c r="X249" s="587"/>
      <c r="Y249" s="587"/>
      <c r="Z249" s="587"/>
      <c r="AA249" s="587"/>
      <c r="AB249" s="587"/>
      <c r="AC249" s="587"/>
      <c r="AE249" s="587"/>
      <c r="AF249" s="587"/>
      <c r="AG249" s="587"/>
      <c r="AH249" s="587"/>
      <c r="AI249" s="587"/>
      <c r="AJ249" s="587"/>
      <c r="AK249" s="587"/>
      <c r="AL249" s="587"/>
      <c r="AM249" s="587"/>
      <c r="AO249" s="587"/>
      <c r="AP249" s="587"/>
      <c r="AQ249" s="587"/>
      <c r="AR249" s="587"/>
      <c r="AS249" s="587"/>
      <c r="AT249" s="587"/>
      <c r="AU249" s="587"/>
      <c r="AV249" s="587"/>
      <c r="AW249" s="587"/>
    </row>
    <row r="250" spans="1:49">
      <c r="A250" s="581">
        <v>16954</v>
      </c>
      <c r="B250" s="594">
        <v>-3.6999999999999998E-2</v>
      </c>
      <c r="C250" s="577">
        <v>-2.76E-2</v>
      </c>
      <c r="D250" s="577">
        <v>1.6000000000000001E-3</v>
      </c>
      <c r="E250" s="577">
        <v>2.075E-3</v>
      </c>
      <c r="F250" s="577">
        <v>2.1583333333333333E-3</v>
      </c>
      <c r="G250" s="577">
        <v>2.1166666666666669E-3</v>
      </c>
      <c r="H250" s="577">
        <v>2.2500000000000003E-3</v>
      </c>
      <c r="I250" s="577">
        <f t="shared" si="35"/>
        <v>-3.8599999999999995E-2</v>
      </c>
      <c r="J250" s="577">
        <f t="shared" si="39"/>
        <v>-3.9116666666666668E-2</v>
      </c>
      <c r="K250" s="577">
        <f t="shared" si="40"/>
        <v>-2.9850000000000002E-2</v>
      </c>
      <c r="L250" s="585">
        <f t="shared" si="36"/>
        <v>0.28112265644135559</v>
      </c>
      <c r="M250" s="585">
        <f t="shared" si="37"/>
        <v>1.9200000000000002E-2</v>
      </c>
      <c r="N250" s="585">
        <f t="shared" si="41"/>
        <v>2.5400000000000002E-2</v>
      </c>
      <c r="O250" s="586">
        <f t="shared" si="38"/>
        <v>0.26192265644135559</v>
      </c>
      <c r="P250" s="585">
        <f t="shared" si="42"/>
        <v>0.25572265644135561</v>
      </c>
      <c r="Q250" s="585">
        <f t="shared" si="43"/>
        <v>0.36187415621536978</v>
      </c>
      <c r="R250" s="585">
        <f t="shared" si="44"/>
        <v>2.7000000000000003E-2</v>
      </c>
      <c r="S250" s="586">
        <f t="shared" si="45"/>
        <v>0.33487415621536976</v>
      </c>
      <c r="U250" s="587"/>
      <c r="V250" s="587"/>
      <c r="W250" s="587"/>
      <c r="X250" s="587"/>
      <c r="Y250" s="587"/>
      <c r="Z250" s="587"/>
      <c r="AA250" s="587"/>
      <c r="AB250" s="587"/>
      <c r="AC250" s="587"/>
      <c r="AE250" s="587"/>
      <c r="AF250" s="587"/>
      <c r="AG250" s="587"/>
      <c r="AH250" s="587"/>
      <c r="AI250" s="587"/>
      <c r="AJ250" s="587"/>
      <c r="AK250" s="587"/>
      <c r="AL250" s="587"/>
      <c r="AM250" s="587"/>
      <c r="AO250" s="587"/>
      <c r="AP250" s="587"/>
      <c r="AQ250" s="587"/>
      <c r="AR250" s="587"/>
      <c r="AS250" s="587"/>
      <c r="AT250" s="587"/>
      <c r="AU250" s="587"/>
      <c r="AV250" s="587"/>
      <c r="AW250" s="587"/>
    </row>
    <row r="251" spans="1:49">
      <c r="A251" s="581">
        <v>16984</v>
      </c>
      <c r="B251" s="594">
        <v>-2.3900000000000001E-2</v>
      </c>
      <c r="C251" s="577">
        <v>-3.95E-2</v>
      </c>
      <c r="D251" s="577">
        <v>1.9E-3</v>
      </c>
      <c r="E251" s="577">
        <v>2.0666666666666667E-3</v>
      </c>
      <c r="F251" s="577">
        <v>2.1583333333333333E-3</v>
      </c>
      <c r="G251" s="577">
        <v>2.1124999999999998E-3</v>
      </c>
      <c r="H251" s="577">
        <v>2.2416666666666665E-3</v>
      </c>
      <c r="I251" s="577">
        <f t="shared" si="35"/>
        <v>-2.58E-2</v>
      </c>
      <c r="J251" s="577">
        <f t="shared" si="39"/>
        <v>-2.6012500000000001E-2</v>
      </c>
      <c r="K251" s="577">
        <f t="shared" si="40"/>
        <v>-4.174166666666667E-2</v>
      </c>
      <c r="L251" s="585">
        <f t="shared" si="36"/>
        <v>0.2734254836582557</v>
      </c>
      <c r="M251" s="585">
        <f t="shared" si="37"/>
        <v>2.2800000000000001E-2</v>
      </c>
      <c r="N251" s="585">
        <f t="shared" si="41"/>
        <v>2.5349999999999998E-2</v>
      </c>
      <c r="O251" s="586">
        <f t="shared" si="38"/>
        <v>0.25062548365825571</v>
      </c>
      <c r="P251" s="585">
        <f t="shared" si="42"/>
        <v>0.24807548365825571</v>
      </c>
      <c r="Q251" s="585">
        <f t="shared" si="43"/>
        <v>0.31478553326451131</v>
      </c>
      <c r="R251" s="585">
        <f t="shared" si="44"/>
        <v>2.69E-2</v>
      </c>
      <c r="S251" s="586">
        <f t="shared" si="45"/>
        <v>0.28788553326451133</v>
      </c>
      <c r="U251" s="587"/>
      <c r="V251" s="587"/>
      <c r="W251" s="587"/>
      <c r="X251" s="587"/>
      <c r="Y251" s="587"/>
      <c r="Z251" s="587"/>
      <c r="AA251" s="587"/>
      <c r="AB251" s="587"/>
      <c r="AC251" s="587"/>
      <c r="AE251" s="587"/>
      <c r="AF251" s="587"/>
      <c r="AG251" s="587"/>
      <c r="AH251" s="587"/>
      <c r="AI251" s="587"/>
      <c r="AJ251" s="587"/>
      <c r="AK251" s="587"/>
      <c r="AL251" s="587"/>
      <c r="AM251" s="587"/>
      <c r="AO251" s="587"/>
      <c r="AP251" s="587"/>
      <c r="AQ251" s="587"/>
      <c r="AR251" s="587"/>
      <c r="AS251" s="587"/>
      <c r="AT251" s="587"/>
      <c r="AU251" s="587"/>
      <c r="AV251" s="587"/>
      <c r="AW251" s="587"/>
    </row>
    <row r="252" spans="1:49">
      <c r="A252" s="581">
        <v>17015</v>
      </c>
      <c r="B252" s="594">
        <v>-6.7400000000000002E-2</v>
      </c>
      <c r="C252" s="577">
        <v>-7.2399999999999992E-2</v>
      </c>
      <c r="D252" s="577">
        <v>1.6999999999999999E-3</v>
      </c>
      <c r="E252" s="577">
        <v>2.0916666666666666E-3</v>
      </c>
      <c r="F252" s="577">
        <v>2.1833333333333336E-3</v>
      </c>
      <c r="G252" s="577">
        <v>2.1375000000000001E-3</v>
      </c>
      <c r="H252" s="577">
        <v>2.2583333333333331E-3</v>
      </c>
      <c r="I252" s="577">
        <f t="shared" si="35"/>
        <v>-6.9099999999999995E-2</v>
      </c>
      <c r="J252" s="577">
        <f t="shared" si="39"/>
        <v>-6.9537500000000002E-2</v>
      </c>
      <c r="K252" s="577">
        <f t="shared" si="40"/>
        <v>-7.4658333333333327E-2</v>
      </c>
      <c r="L252" s="585">
        <f t="shared" si="36"/>
        <v>0.11605733113399941</v>
      </c>
      <c r="M252" s="585">
        <f t="shared" si="37"/>
        <v>2.0399999999999998E-2</v>
      </c>
      <c r="N252" s="585">
        <f t="shared" si="41"/>
        <v>2.5649999999999999E-2</v>
      </c>
      <c r="O252" s="586">
        <f t="shared" si="38"/>
        <v>9.5657331133999407E-2</v>
      </c>
      <c r="P252" s="585">
        <f t="shared" si="42"/>
        <v>9.0407331133999402E-2</v>
      </c>
      <c r="Q252" s="585">
        <f t="shared" si="43"/>
        <v>0.21582600005598751</v>
      </c>
      <c r="R252" s="585">
        <f t="shared" si="44"/>
        <v>2.7099999999999999E-2</v>
      </c>
      <c r="S252" s="586">
        <f t="shared" si="45"/>
        <v>0.1887260000559875</v>
      </c>
      <c r="U252" s="587"/>
      <c r="V252" s="587"/>
      <c r="W252" s="587"/>
      <c r="X252" s="587"/>
      <c r="Y252" s="587"/>
      <c r="Z252" s="587"/>
      <c r="AA252" s="587"/>
      <c r="AB252" s="587"/>
      <c r="AC252" s="587"/>
      <c r="AE252" s="587"/>
      <c r="AF252" s="587"/>
      <c r="AG252" s="587"/>
      <c r="AH252" s="587"/>
      <c r="AI252" s="587"/>
      <c r="AJ252" s="587"/>
      <c r="AK252" s="587"/>
      <c r="AL252" s="587"/>
      <c r="AM252" s="587"/>
      <c r="AO252" s="587"/>
      <c r="AP252" s="587"/>
      <c r="AQ252" s="587"/>
      <c r="AR252" s="587"/>
      <c r="AS252" s="587"/>
      <c r="AT252" s="587"/>
      <c r="AU252" s="587"/>
      <c r="AV252" s="587"/>
      <c r="AW252" s="587"/>
    </row>
    <row r="253" spans="1:49">
      <c r="A253" s="581">
        <v>17046</v>
      </c>
      <c r="B253" s="594">
        <v>-9.9699999999999997E-2</v>
      </c>
      <c r="C253" s="577">
        <v>-0.1051</v>
      </c>
      <c r="D253" s="577">
        <v>1.8E-3</v>
      </c>
      <c r="E253" s="577">
        <v>2.15E-3</v>
      </c>
      <c r="F253" s="577">
        <v>2.2333333333333337E-3</v>
      </c>
      <c r="G253" s="577">
        <v>2.1916666666666668E-3</v>
      </c>
      <c r="H253" s="577">
        <v>2.2916666666666667E-3</v>
      </c>
      <c r="I253" s="577">
        <f t="shared" si="35"/>
        <v>-0.10149999999999999</v>
      </c>
      <c r="J253" s="577">
        <f t="shared" si="39"/>
        <v>-0.10189166666666666</v>
      </c>
      <c r="K253" s="577">
        <f t="shared" si="40"/>
        <v>-0.10739166666666666</v>
      </c>
      <c r="L253" s="585">
        <f t="shared" si="36"/>
        <v>-3.7376494328472898E-2</v>
      </c>
      <c r="M253" s="585">
        <f t="shared" si="37"/>
        <v>2.1600000000000001E-2</v>
      </c>
      <c r="N253" s="585">
        <f t="shared" si="41"/>
        <v>2.6300000000000004E-2</v>
      </c>
      <c r="O253" s="586">
        <f t="shared" si="38"/>
        <v>-5.8976494328472899E-2</v>
      </c>
      <c r="P253" s="585">
        <f t="shared" si="42"/>
        <v>-6.3676494328472902E-2</v>
      </c>
      <c r="Q253" s="585">
        <f t="shared" si="43"/>
        <v>1.3169464056339342E-2</v>
      </c>
      <c r="R253" s="585">
        <f t="shared" si="44"/>
        <v>2.75E-2</v>
      </c>
      <c r="S253" s="586">
        <f t="shared" si="45"/>
        <v>-1.4330535943660658E-2</v>
      </c>
      <c r="U253" s="587"/>
      <c r="V253" s="587"/>
      <c r="W253" s="587"/>
      <c r="X253" s="587"/>
      <c r="Y253" s="587"/>
      <c r="Z253" s="587"/>
      <c r="AA253" s="587"/>
      <c r="AB253" s="587"/>
      <c r="AC253" s="587"/>
      <c r="AE253" s="587"/>
      <c r="AF253" s="587"/>
      <c r="AG253" s="587"/>
      <c r="AH253" s="587"/>
      <c r="AI253" s="587"/>
      <c r="AJ253" s="587"/>
      <c r="AK253" s="587"/>
      <c r="AL253" s="587"/>
      <c r="AM253" s="587"/>
      <c r="AO253" s="587"/>
      <c r="AP253" s="587"/>
      <c r="AQ253" s="587"/>
      <c r="AR253" s="587"/>
      <c r="AS253" s="587"/>
      <c r="AT253" s="587"/>
      <c r="AU253" s="587"/>
      <c r="AV253" s="587"/>
      <c r="AW253" s="587"/>
    </row>
    <row r="254" spans="1:49">
      <c r="A254" s="581">
        <v>17076</v>
      </c>
      <c r="B254" s="594">
        <v>-6.0000000000000001E-3</v>
      </c>
      <c r="C254" s="577">
        <v>2.1999999999999999E-2</v>
      </c>
      <c r="D254" s="577">
        <v>1.9E-3</v>
      </c>
      <c r="E254" s="577">
        <v>2.1666666666666666E-3</v>
      </c>
      <c r="F254" s="577">
        <v>2.2500000000000003E-3</v>
      </c>
      <c r="G254" s="577">
        <v>2.2083333333333334E-3</v>
      </c>
      <c r="H254" s="577">
        <v>2.3E-3</v>
      </c>
      <c r="I254" s="577">
        <f t="shared" si="35"/>
        <v>-7.9000000000000008E-3</v>
      </c>
      <c r="J254" s="577">
        <f t="shared" si="39"/>
        <v>-8.2083333333333331E-3</v>
      </c>
      <c r="K254" s="577">
        <f t="shared" si="40"/>
        <v>1.9699999999999999E-2</v>
      </c>
      <c r="L254" s="585">
        <f t="shared" si="36"/>
        <v>-7.3001584346543247E-2</v>
      </c>
      <c r="M254" s="585">
        <f t="shared" si="37"/>
        <v>2.2800000000000001E-2</v>
      </c>
      <c r="N254" s="585">
        <f t="shared" si="41"/>
        <v>2.6500000000000003E-2</v>
      </c>
      <c r="O254" s="586">
        <f t="shared" si="38"/>
        <v>-9.5801584346543248E-2</v>
      </c>
      <c r="P254" s="585">
        <f t="shared" si="42"/>
        <v>-9.9501584346543243E-2</v>
      </c>
      <c r="Q254" s="585">
        <f t="shared" si="43"/>
        <v>-2.691552272758313E-2</v>
      </c>
      <c r="R254" s="585">
        <f t="shared" si="44"/>
        <v>2.76E-2</v>
      </c>
      <c r="S254" s="586">
        <f t="shared" si="45"/>
        <v>-5.4515522727583129E-2</v>
      </c>
      <c r="U254" s="587"/>
      <c r="V254" s="587"/>
      <c r="W254" s="587"/>
      <c r="X254" s="587"/>
      <c r="Y254" s="587"/>
      <c r="Z254" s="587"/>
      <c r="AA254" s="587"/>
      <c r="AB254" s="587"/>
      <c r="AC254" s="587"/>
      <c r="AE254" s="587"/>
      <c r="AF254" s="587"/>
      <c r="AG254" s="587"/>
      <c r="AH254" s="587"/>
      <c r="AI254" s="587"/>
      <c r="AJ254" s="587"/>
      <c r="AK254" s="587"/>
      <c r="AL254" s="587"/>
      <c r="AM254" s="587"/>
      <c r="AO254" s="587"/>
      <c r="AP254" s="587"/>
      <c r="AQ254" s="587"/>
      <c r="AR254" s="587"/>
      <c r="AS254" s="587"/>
      <c r="AT254" s="587"/>
      <c r="AU254" s="587"/>
      <c r="AV254" s="587"/>
      <c r="AW254" s="587"/>
    </row>
    <row r="255" spans="1:49">
      <c r="A255" s="581">
        <v>17107</v>
      </c>
      <c r="B255" s="594">
        <v>-2.7000000000000001E-3</v>
      </c>
      <c r="C255" s="577">
        <v>5.7999999999999996E-3</v>
      </c>
      <c r="D255" s="577">
        <v>1.8E-3</v>
      </c>
      <c r="E255" s="577">
        <v>2.1583333333333333E-3</v>
      </c>
      <c r="F255" s="577">
        <v>2.2416666666666665E-3</v>
      </c>
      <c r="G255" s="577">
        <v>2.1999999999999997E-3</v>
      </c>
      <c r="H255" s="577">
        <v>2.3E-3</v>
      </c>
      <c r="I255" s="577">
        <f t="shared" si="35"/>
        <v>-4.5000000000000005E-3</v>
      </c>
      <c r="J255" s="577">
        <f t="shared" si="39"/>
        <v>-4.8999999999999998E-3</v>
      </c>
      <c r="K255" s="577">
        <f t="shared" si="40"/>
        <v>3.4999999999999996E-3</v>
      </c>
      <c r="L255" s="585">
        <f t="shared" si="36"/>
        <v>-0.11071996928511718</v>
      </c>
      <c r="M255" s="585">
        <f t="shared" si="37"/>
        <v>2.1600000000000001E-2</v>
      </c>
      <c r="N255" s="585">
        <f t="shared" si="41"/>
        <v>2.6399999999999996E-2</v>
      </c>
      <c r="O255" s="586">
        <f t="shared" si="38"/>
        <v>-0.13231996928511719</v>
      </c>
      <c r="P255" s="585">
        <f t="shared" si="42"/>
        <v>-0.13711996928511719</v>
      </c>
      <c r="Q255" s="585">
        <f t="shared" si="43"/>
        <v>-6.5296182560789617E-2</v>
      </c>
      <c r="R255" s="585">
        <f t="shared" si="44"/>
        <v>2.76E-2</v>
      </c>
      <c r="S255" s="586">
        <f t="shared" si="45"/>
        <v>-9.2896182560789617E-2</v>
      </c>
      <c r="U255" s="587"/>
      <c r="V255" s="587"/>
      <c r="W255" s="587"/>
      <c r="X255" s="587"/>
      <c r="Y255" s="587"/>
      <c r="Z255" s="587"/>
      <c r="AA255" s="587"/>
      <c r="AB255" s="587"/>
      <c r="AC255" s="587"/>
      <c r="AE255" s="587"/>
      <c r="AF255" s="587"/>
      <c r="AG255" s="587"/>
      <c r="AH255" s="587"/>
      <c r="AI255" s="587"/>
      <c r="AJ255" s="587"/>
      <c r="AK255" s="587"/>
      <c r="AL255" s="587"/>
      <c r="AM255" s="587"/>
      <c r="AO255" s="587"/>
      <c r="AP255" s="587"/>
      <c r="AQ255" s="587"/>
      <c r="AR255" s="587"/>
      <c r="AS255" s="587"/>
      <c r="AT255" s="587"/>
      <c r="AU255" s="587"/>
      <c r="AV255" s="587"/>
      <c r="AW255" s="587"/>
    </row>
    <row r="256" spans="1:49">
      <c r="A256" s="581">
        <v>17137</v>
      </c>
      <c r="B256" s="594">
        <v>4.5699999999999998E-2</v>
      </c>
      <c r="C256" s="577">
        <v>7.0599999999999996E-2</v>
      </c>
      <c r="D256" s="577">
        <v>1.9E-3</v>
      </c>
      <c r="E256" s="577">
        <v>2.1749999999999999E-3</v>
      </c>
      <c r="F256" s="577">
        <v>2.2416666666666665E-3</v>
      </c>
      <c r="G256" s="577">
        <v>2.2083333333333334E-3</v>
      </c>
      <c r="H256" s="577">
        <v>2.3E-3</v>
      </c>
      <c r="I256" s="577">
        <f t="shared" si="35"/>
        <v>4.3799999999999999E-2</v>
      </c>
      <c r="J256" s="577">
        <f t="shared" si="39"/>
        <v>4.3491666666666665E-2</v>
      </c>
      <c r="K256" s="577">
        <f t="shared" si="40"/>
        <v>6.83E-2</v>
      </c>
      <c r="L256" s="585">
        <f t="shared" si="36"/>
        <v>-8.0743250179366566E-2</v>
      </c>
      <c r="M256" s="585">
        <f t="shared" si="37"/>
        <v>2.2800000000000001E-2</v>
      </c>
      <c r="N256" s="585">
        <f t="shared" si="41"/>
        <v>2.6500000000000003E-2</v>
      </c>
      <c r="O256" s="586">
        <f t="shared" si="38"/>
        <v>-0.10354325017936657</v>
      </c>
      <c r="P256" s="585">
        <f t="shared" si="42"/>
        <v>-0.10724325017936656</v>
      </c>
      <c r="Q256" s="585">
        <f t="shared" si="43"/>
        <v>1.2540632348900571E-2</v>
      </c>
      <c r="R256" s="585">
        <f t="shared" si="44"/>
        <v>2.76E-2</v>
      </c>
      <c r="S256" s="586">
        <f t="shared" si="45"/>
        <v>-1.5059367651099428E-2</v>
      </c>
      <c r="U256" s="587"/>
      <c r="V256" s="587"/>
      <c r="W256" s="587"/>
      <c r="X256" s="587"/>
      <c r="Y256" s="587"/>
      <c r="Z256" s="587"/>
      <c r="AA256" s="587"/>
      <c r="AB256" s="587"/>
      <c r="AC256" s="587"/>
      <c r="AE256" s="587"/>
      <c r="AF256" s="587"/>
      <c r="AG256" s="587"/>
      <c r="AH256" s="587"/>
      <c r="AI256" s="587"/>
      <c r="AJ256" s="587"/>
      <c r="AK256" s="587"/>
      <c r="AL256" s="587"/>
      <c r="AM256" s="587"/>
      <c r="AO256" s="587"/>
      <c r="AP256" s="587"/>
      <c r="AQ256" s="587"/>
      <c r="AR256" s="587"/>
      <c r="AS256" s="587"/>
      <c r="AT256" s="587"/>
      <c r="AU256" s="587"/>
      <c r="AV256" s="587"/>
      <c r="AW256" s="587"/>
    </row>
    <row r="257" spans="1:49">
      <c r="A257" s="581">
        <v>17168</v>
      </c>
      <c r="B257" s="594">
        <v>2.5499999999999998E-2</v>
      </c>
      <c r="C257" s="577">
        <v>-2.0000000000000012E-4</v>
      </c>
      <c r="D257" s="577">
        <v>1.8E-3</v>
      </c>
      <c r="E257" s="577">
        <v>2.1416666666666663E-3</v>
      </c>
      <c r="F257" s="577">
        <v>2.2083333333333334E-3</v>
      </c>
      <c r="G257" s="577">
        <v>2.1749999999999999E-3</v>
      </c>
      <c r="H257" s="577">
        <v>2.2666666666666668E-3</v>
      </c>
      <c r="I257" s="577">
        <f t="shared" si="35"/>
        <v>2.3699999999999999E-2</v>
      </c>
      <c r="J257" s="577">
        <f t="shared" si="39"/>
        <v>2.3324999999999999E-2</v>
      </c>
      <c r="K257" s="577">
        <f t="shared" si="40"/>
        <v>-2.4666666666666669E-3</v>
      </c>
      <c r="L257" s="585">
        <f t="shared" si="36"/>
        <v>-0.12012525952859809</v>
      </c>
      <c r="M257" s="585">
        <f t="shared" si="37"/>
        <v>2.1600000000000001E-2</v>
      </c>
      <c r="N257" s="585">
        <f t="shared" si="41"/>
        <v>2.6099999999999998E-2</v>
      </c>
      <c r="O257" s="586">
        <f t="shared" si="38"/>
        <v>-0.1417252595285981</v>
      </c>
      <c r="P257" s="585">
        <f t="shared" si="42"/>
        <v>-0.14622525952859811</v>
      </c>
      <c r="Q257" s="585">
        <f t="shared" si="43"/>
        <v>-9.6045964619670521E-2</v>
      </c>
      <c r="R257" s="585">
        <f t="shared" si="44"/>
        <v>2.7200000000000002E-2</v>
      </c>
      <c r="S257" s="586">
        <f t="shared" si="45"/>
        <v>-0.12324596461967052</v>
      </c>
      <c r="U257" s="587"/>
      <c r="V257" s="587"/>
      <c r="W257" s="587"/>
      <c r="X257" s="587"/>
      <c r="Y257" s="587"/>
      <c r="Z257" s="587"/>
      <c r="AA257" s="587"/>
      <c r="AB257" s="587"/>
      <c r="AC257" s="587"/>
      <c r="AE257" s="587"/>
      <c r="AF257" s="587"/>
      <c r="AG257" s="587"/>
      <c r="AH257" s="587"/>
      <c r="AI257" s="587"/>
      <c r="AJ257" s="587"/>
      <c r="AK257" s="587"/>
      <c r="AL257" s="587"/>
      <c r="AM257" s="587"/>
      <c r="AO257" s="587"/>
      <c r="AP257" s="587"/>
      <c r="AQ257" s="587"/>
      <c r="AR257" s="587"/>
      <c r="AS257" s="587"/>
      <c r="AT257" s="587"/>
      <c r="AU257" s="587"/>
      <c r="AV257" s="587"/>
      <c r="AW257" s="587"/>
    </row>
    <row r="258" spans="1:49">
      <c r="A258" s="581">
        <v>17199</v>
      </c>
      <c r="B258" s="594">
        <v>-7.7000000000000002E-3</v>
      </c>
      <c r="C258" s="577">
        <v>-8.8999999999999999E-3</v>
      </c>
      <c r="D258" s="577">
        <v>1.6000000000000001E-3</v>
      </c>
      <c r="E258" s="577">
        <v>2.1250000000000002E-3</v>
      </c>
      <c r="F258" s="577">
        <v>2.2000000000000001E-3</v>
      </c>
      <c r="G258" s="577">
        <v>2.1624999999999999E-3</v>
      </c>
      <c r="H258" s="577">
        <v>2.2666666666666668E-3</v>
      </c>
      <c r="I258" s="577">
        <f t="shared" si="35"/>
        <v>-9.300000000000001E-3</v>
      </c>
      <c r="J258" s="577">
        <f t="shared" si="39"/>
        <v>-9.8624999999999997E-3</v>
      </c>
      <c r="K258" s="577">
        <f t="shared" si="40"/>
        <v>-1.1166666666666667E-2</v>
      </c>
      <c r="L258" s="585">
        <f t="shared" si="36"/>
        <v>-6.7101501261061958E-2</v>
      </c>
      <c r="M258" s="585">
        <f t="shared" si="37"/>
        <v>1.9200000000000002E-2</v>
      </c>
      <c r="N258" s="585">
        <f t="shared" si="41"/>
        <v>2.5950000000000001E-2</v>
      </c>
      <c r="O258" s="586">
        <f t="shared" si="38"/>
        <v>-8.6301501261061953E-2</v>
      </c>
      <c r="P258" s="585">
        <f t="shared" si="42"/>
        <v>-9.3051501261061959E-2</v>
      </c>
      <c r="Q258" s="585">
        <f t="shared" si="43"/>
        <v>-4.2832431126661907E-2</v>
      </c>
      <c r="R258" s="585">
        <f t="shared" si="44"/>
        <v>2.7200000000000002E-2</v>
      </c>
      <c r="S258" s="586">
        <f t="shared" si="45"/>
        <v>-7.0032431126661909E-2</v>
      </c>
      <c r="U258" s="587"/>
      <c r="V258" s="587"/>
      <c r="W258" s="587"/>
      <c r="X258" s="587"/>
      <c r="Y258" s="587"/>
      <c r="Z258" s="587"/>
      <c r="AA258" s="587"/>
      <c r="AB258" s="587"/>
      <c r="AC258" s="587"/>
      <c r="AE258" s="587"/>
      <c r="AF258" s="587"/>
      <c r="AG258" s="587"/>
      <c r="AH258" s="587"/>
      <c r="AI258" s="587"/>
      <c r="AJ258" s="587"/>
      <c r="AK258" s="587"/>
      <c r="AL258" s="587"/>
      <c r="AM258" s="587"/>
      <c r="AO258" s="587"/>
      <c r="AP258" s="587"/>
      <c r="AQ258" s="587"/>
      <c r="AR258" s="587"/>
      <c r="AS258" s="587"/>
      <c r="AT258" s="587"/>
      <c r="AU258" s="587"/>
      <c r="AV258" s="587"/>
      <c r="AW258" s="587"/>
    </row>
    <row r="259" spans="1:49">
      <c r="A259" s="581">
        <v>17227</v>
      </c>
      <c r="B259" s="594">
        <v>-1.49E-2</v>
      </c>
      <c r="C259" s="577">
        <v>-3.6399999999999995E-2</v>
      </c>
      <c r="D259" s="577">
        <v>1.8E-3</v>
      </c>
      <c r="E259" s="577">
        <v>2.1250000000000002E-3</v>
      </c>
      <c r="F259" s="577">
        <v>2.2000000000000001E-3</v>
      </c>
      <c r="G259" s="577">
        <v>2.1624999999999999E-3</v>
      </c>
      <c r="H259" s="577">
        <v>2.2666666666666668E-3</v>
      </c>
      <c r="I259" s="577">
        <f t="shared" si="35"/>
        <v>-1.67E-2</v>
      </c>
      <c r="J259" s="577">
        <f t="shared" si="39"/>
        <v>-1.7062500000000001E-2</v>
      </c>
      <c r="K259" s="577">
        <f t="shared" si="40"/>
        <v>-3.8666666666666662E-2</v>
      </c>
      <c r="L259" s="585">
        <f t="shared" si="36"/>
        <v>-0.12309321459186295</v>
      </c>
      <c r="M259" s="585">
        <f t="shared" si="37"/>
        <v>2.1600000000000001E-2</v>
      </c>
      <c r="N259" s="585">
        <f t="shared" si="41"/>
        <v>2.5950000000000001E-2</v>
      </c>
      <c r="O259" s="586">
        <f t="shared" si="38"/>
        <v>-0.14469321459186296</v>
      </c>
      <c r="P259" s="585">
        <f t="shared" si="42"/>
        <v>-0.14904321459186295</v>
      </c>
      <c r="Q259" s="585">
        <f t="shared" si="43"/>
        <v>-0.13241776938543071</v>
      </c>
      <c r="R259" s="585">
        <f t="shared" si="44"/>
        <v>2.7200000000000002E-2</v>
      </c>
      <c r="S259" s="586">
        <f t="shared" si="45"/>
        <v>-0.15961776938543071</v>
      </c>
      <c r="U259" s="587"/>
      <c r="V259" s="587"/>
      <c r="W259" s="587"/>
      <c r="X259" s="587"/>
      <c r="Y259" s="587"/>
      <c r="Z259" s="587"/>
      <c r="AA259" s="587"/>
      <c r="AB259" s="587"/>
      <c r="AC259" s="587"/>
      <c r="AE259" s="587"/>
      <c r="AF259" s="587"/>
      <c r="AG259" s="587"/>
      <c r="AH259" s="587"/>
      <c r="AI259" s="587"/>
      <c r="AJ259" s="587"/>
      <c r="AK259" s="587"/>
      <c r="AL259" s="587"/>
      <c r="AM259" s="587"/>
      <c r="AO259" s="587"/>
      <c r="AP259" s="587"/>
      <c r="AQ259" s="587"/>
      <c r="AR259" s="587"/>
      <c r="AS259" s="587"/>
      <c r="AT259" s="587"/>
      <c r="AU259" s="587"/>
      <c r="AV259" s="587"/>
      <c r="AW259" s="587"/>
    </row>
    <row r="260" spans="1:49">
      <c r="A260" s="581">
        <v>17258</v>
      </c>
      <c r="B260" s="594">
        <v>-3.6299999999999999E-2</v>
      </c>
      <c r="C260" s="577">
        <v>-3.2000000000000001E-2</v>
      </c>
      <c r="D260" s="577">
        <v>1.6999999999999999E-3</v>
      </c>
      <c r="E260" s="577">
        <v>2.1083333333333332E-3</v>
      </c>
      <c r="F260" s="577">
        <v>2.1916666666666664E-3</v>
      </c>
      <c r="G260" s="577">
        <v>2.1499999999999996E-3</v>
      </c>
      <c r="H260" s="577">
        <v>2.2500000000000003E-3</v>
      </c>
      <c r="I260" s="577">
        <f t="shared" si="35"/>
        <v>-3.7999999999999999E-2</v>
      </c>
      <c r="J260" s="577">
        <f t="shared" si="39"/>
        <v>-3.8449999999999998E-2</v>
      </c>
      <c r="K260" s="577">
        <f t="shared" si="40"/>
        <v>-3.4250000000000003E-2</v>
      </c>
      <c r="L260" s="585">
        <f t="shared" si="36"/>
        <v>-0.18688052622166662</v>
      </c>
      <c r="M260" s="585">
        <f t="shared" si="37"/>
        <v>2.0399999999999998E-2</v>
      </c>
      <c r="N260" s="585">
        <f t="shared" si="41"/>
        <v>2.5799999999999997E-2</v>
      </c>
      <c r="O260" s="586">
        <f t="shared" si="38"/>
        <v>-0.20728052622166662</v>
      </c>
      <c r="P260" s="585">
        <f t="shared" si="42"/>
        <v>-0.21268052622166661</v>
      </c>
      <c r="Q260" s="585">
        <f t="shared" si="43"/>
        <v>-0.18763822863716073</v>
      </c>
      <c r="R260" s="585">
        <f t="shared" si="44"/>
        <v>2.7000000000000003E-2</v>
      </c>
      <c r="S260" s="586">
        <f t="shared" si="45"/>
        <v>-0.21463822863716073</v>
      </c>
      <c r="U260" s="587"/>
      <c r="V260" s="587"/>
      <c r="W260" s="587"/>
      <c r="X260" s="587"/>
      <c r="Y260" s="587"/>
      <c r="Z260" s="587"/>
      <c r="AA260" s="587"/>
      <c r="AB260" s="587"/>
      <c r="AC260" s="587"/>
      <c r="AE260" s="587"/>
      <c r="AF260" s="587"/>
      <c r="AG260" s="587"/>
      <c r="AH260" s="587"/>
      <c r="AI260" s="587"/>
      <c r="AJ260" s="587"/>
      <c r="AK260" s="587"/>
      <c r="AL260" s="587"/>
      <c r="AM260" s="587"/>
      <c r="AO260" s="587"/>
      <c r="AP260" s="587"/>
      <c r="AQ260" s="587"/>
      <c r="AR260" s="587"/>
      <c r="AS260" s="587"/>
      <c r="AT260" s="587"/>
      <c r="AU260" s="587"/>
      <c r="AV260" s="587"/>
      <c r="AW260" s="587"/>
    </row>
    <row r="261" spans="1:49">
      <c r="A261" s="581">
        <v>17288</v>
      </c>
      <c r="B261" s="594">
        <v>1.4E-3</v>
      </c>
      <c r="C261" s="577">
        <v>-2.7900000000000001E-2</v>
      </c>
      <c r="D261" s="577">
        <v>1.6999999999999999E-3</v>
      </c>
      <c r="E261" s="577">
        <v>2.1083333333333332E-3</v>
      </c>
      <c r="F261" s="577">
        <v>2.1916666666666664E-3</v>
      </c>
      <c r="G261" s="577">
        <v>2.1499999999999996E-3</v>
      </c>
      <c r="H261" s="577">
        <v>2.2500000000000003E-3</v>
      </c>
      <c r="I261" s="577">
        <f t="shared" si="35"/>
        <v>-2.9999999999999992E-4</v>
      </c>
      <c r="J261" s="577">
        <f t="shared" si="39"/>
        <v>-7.4999999999999958E-4</v>
      </c>
      <c r="K261" s="577">
        <f t="shared" si="40"/>
        <v>-3.0150000000000003E-2</v>
      </c>
      <c r="L261" s="585">
        <f t="shared" si="36"/>
        <v>-0.20853631313994658</v>
      </c>
      <c r="M261" s="585">
        <f t="shared" si="37"/>
        <v>2.0399999999999998E-2</v>
      </c>
      <c r="N261" s="585">
        <f t="shared" si="41"/>
        <v>2.5799999999999997E-2</v>
      </c>
      <c r="O261" s="586">
        <f t="shared" si="38"/>
        <v>-0.22893631313994658</v>
      </c>
      <c r="P261" s="585">
        <f t="shared" si="42"/>
        <v>-0.23433631313994657</v>
      </c>
      <c r="Q261" s="585">
        <f t="shared" si="43"/>
        <v>-0.23337843127675362</v>
      </c>
      <c r="R261" s="585">
        <f t="shared" si="44"/>
        <v>2.7000000000000003E-2</v>
      </c>
      <c r="S261" s="586">
        <f t="shared" si="45"/>
        <v>-0.26037843127675364</v>
      </c>
      <c r="U261" s="587"/>
      <c r="V261" s="587"/>
      <c r="W261" s="587"/>
      <c r="X261" s="587"/>
      <c r="Y261" s="587"/>
      <c r="Z261" s="587"/>
      <c r="AA261" s="587"/>
      <c r="AB261" s="587"/>
      <c r="AC261" s="587"/>
      <c r="AE261" s="587"/>
      <c r="AF261" s="587"/>
      <c r="AG261" s="587"/>
      <c r="AH261" s="587"/>
      <c r="AI261" s="587"/>
      <c r="AJ261" s="587"/>
      <c r="AK261" s="587"/>
      <c r="AL261" s="587"/>
      <c r="AM261" s="587"/>
      <c r="AO261" s="587"/>
      <c r="AP261" s="587"/>
      <c r="AQ261" s="587"/>
      <c r="AR261" s="587"/>
      <c r="AS261" s="587"/>
      <c r="AT261" s="587"/>
      <c r="AU261" s="587"/>
      <c r="AV261" s="587"/>
      <c r="AW261" s="587"/>
    </row>
    <row r="262" spans="1:49">
      <c r="A262" s="581">
        <v>17319</v>
      </c>
      <c r="B262" s="594">
        <v>5.5399999999999998E-2</v>
      </c>
      <c r="C262" s="577">
        <v>4.2800000000000005E-2</v>
      </c>
      <c r="D262" s="577">
        <v>1.9E-3</v>
      </c>
      <c r="E262" s="577">
        <v>2.1250000000000002E-3</v>
      </c>
      <c r="F262" s="577">
        <v>2.2000000000000001E-3</v>
      </c>
      <c r="G262" s="577">
        <v>2.1624999999999999E-3</v>
      </c>
      <c r="H262" s="577">
        <v>2.2583333333333331E-3</v>
      </c>
      <c r="I262" s="577">
        <f t="shared" ref="I262:I325" si="46">B262-D262</f>
        <v>5.3499999999999999E-2</v>
      </c>
      <c r="J262" s="577">
        <f t="shared" si="39"/>
        <v>5.32375E-2</v>
      </c>
      <c r="K262" s="577">
        <f t="shared" si="40"/>
        <v>4.054166666666667E-2</v>
      </c>
      <c r="L262" s="585">
        <f t="shared" si="36"/>
        <v>-0.13259524910477616</v>
      </c>
      <c r="M262" s="585">
        <f t="shared" si="37"/>
        <v>2.2800000000000001E-2</v>
      </c>
      <c r="N262" s="585">
        <f t="shared" si="41"/>
        <v>2.5950000000000001E-2</v>
      </c>
      <c r="O262" s="586">
        <f t="shared" si="38"/>
        <v>-0.15539524910477615</v>
      </c>
      <c r="P262" s="585">
        <f t="shared" si="42"/>
        <v>-0.15854524910477616</v>
      </c>
      <c r="Q262" s="585">
        <f t="shared" si="43"/>
        <v>-0.17787641725154157</v>
      </c>
      <c r="R262" s="585">
        <f t="shared" si="44"/>
        <v>2.7099999999999999E-2</v>
      </c>
      <c r="S262" s="586">
        <f t="shared" si="45"/>
        <v>-0.20497641725154159</v>
      </c>
      <c r="U262" s="587"/>
      <c r="V262" s="587"/>
      <c r="W262" s="587"/>
      <c r="X262" s="587"/>
      <c r="Y262" s="587"/>
      <c r="Z262" s="587"/>
      <c r="AA262" s="587"/>
      <c r="AB262" s="587"/>
      <c r="AC262" s="587"/>
      <c r="AE262" s="587"/>
      <c r="AF262" s="587"/>
      <c r="AG262" s="587"/>
      <c r="AH262" s="587"/>
      <c r="AI262" s="587"/>
      <c r="AJ262" s="587"/>
      <c r="AK262" s="587"/>
      <c r="AL262" s="587"/>
      <c r="AM262" s="587"/>
      <c r="AO262" s="587"/>
      <c r="AP262" s="587"/>
      <c r="AQ262" s="587"/>
      <c r="AR262" s="587"/>
      <c r="AS262" s="587"/>
      <c r="AT262" s="587"/>
      <c r="AU262" s="587"/>
      <c r="AV262" s="587"/>
      <c r="AW262" s="587"/>
    </row>
    <row r="263" spans="1:49">
      <c r="A263" s="581">
        <v>17349</v>
      </c>
      <c r="B263" s="594">
        <v>3.8100000000000002E-2</v>
      </c>
      <c r="C263" s="577">
        <v>2.1399999999999995E-2</v>
      </c>
      <c r="D263" s="577">
        <v>1.8E-3</v>
      </c>
      <c r="E263" s="577">
        <v>2.1250000000000002E-3</v>
      </c>
      <c r="F263" s="577">
        <v>2.2000000000000001E-3</v>
      </c>
      <c r="G263" s="577">
        <v>2.1624999999999999E-3</v>
      </c>
      <c r="H263" s="577">
        <v>2.2750000000000001E-3</v>
      </c>
      <c r="I263" s="577">
        <f t="shared" si="46"/>
        <v>3.6299999999999999E-2</v>
      </c>
      <c r="J263" s="577">
        <f t="shared" si="39"/>
        <v>3.5937500000000004E-2</v>
      </c>
      <c r="K263" s="577">
        <f t="shared" si="40"/>
        <v>1.9124999999999996E-2</v>
      </c>
      <c r="L263" s="585">
        <f t="shared" si="36"/>
        <v>-7.7499362868218791E-2</v>
      </c>
      <c r="M263" s="585">
        <f t="shared" si="37"/>
        <v>2.1600000000000001E-2</v>
      </c>
      <c r="N263" s="585">
        <f t="shared" si="41"/>
        <v>2.5950000000000001E-2</v>
      </c>
      <c r="O263" s="586">
        <f t="shared" si="38"/>
        <v>-9.9099362868218799E-2</v>
      </c>
      <c r="P263" s="585">
        <f t="shared" si="42"/>
        <v>-0.10344936286821879</v>
      </c>
      <c r="Q263" s="585">
        <f t="shared" si="43"/>
        <v>-0.1257501015936745</v>
      </c>
      <c r="R263" s="585">
        <f t="shared" si="44"/>
        <v>2.7300000000000001E-2</v>
      </c>
      <c r="S263" s="586">
        <f t="shared" si="45"/>
        <v>-0.15305010159367449</v>
      </c>
      <c r="U263" s="587"/>
      <c r="V263" s="587"/>
      <c r="W263" s="587"/>
      <c r="X263" s="587"/>
      <c r="Y263" s="587"/>
      <c r="Z263" s="587"/>
      <c r="AA263" s="587"/>
      <c r="AB263" s="587"/>
      <c r="AC263" s="587"/>
      <c r="AE263" s="587"/>
      <c r="AF263" s="587"/>
      <c r="AG263" s="587"/>
      <c r="AH263" s="587"/>
      <c r="AI263" s="587"/>
      <c r="AJ263" s="587"/>
      <c r="AK263" s="587"/>
      <c r="AL263" s="587"/>
      <c r="AM263" s="587"/>
      <c r="AO263" s="587"/>
      <c r="AP263" s="587"/>
      <c r="AQ263" s="587"/>
      <c r="AR263" s="587"/>
      <c r="AS263" s="587"/>
      <c r="AT263" s="587"/>
      <c r="AU263" s="587"/>
      <c r="AV263" s="587"/>
      <c r="AW263" s="587"/>
    </row>
    <row r="264" spans="1:49">
      <c r="A264" s="581">
        <v>17380</v>
      </c>
      <c r="B264" s="594">
        <v>-2.0299999999999999E-2</v>
      </c>
      <c r="C264" s="577">
        <v>-2.2000000000000001E-3</v>
      </c>
      <c r="D264" s="577">
        <v>1.6999999999999999E-3</v>
      </c>
      <c r="E264" s="577">
        <v>2.1333333333333334E-3</v>
      </c>
      <c r="F264" s="577">
        <v>2.2000000000000001E-3</v>
      </c>
      <c r="G264" s="577">
        <v>2.1666666666666666E-3</v>
      </c>
      <c r="H264" s="577">
        <v>2.2750000000000001E-3</v>
      </c>
      <c r="I264" s="577">
        <f t="shared" si="46"/>
        <v>-2.1999999999999999E-2</v>
      </c>
      <c r="J264" s="577">
        <f t="shared" si="39"/>
        <v>-2.2466666666666666E-2</v>
      </c>
      <c r="K264" s="577">
        <f t="shared" si="40"/>
        <v>-4.4749999999999998E-3</v>
      </c>
      <c r="L264" s="585">
        <f t="shared" si="36"/>
        <v>-3.0909420761305872E-2</v>
      </c>
      <c r="M264" s="585">
        <f t="shared" si="37"/>
        <v>2.0399999999999998E-2</v>
      </c>
      <c r="N264" s="585">
        <f t="shared" si="41"/>
        <v>2.5999999999999999E-2</v>
      </c>
      <c r="O264" s="586">
        <f t="shared" si="38"/>
        <v>-5.1309420761305874E-2</v>
      </c>
      <c r="P264" s="585">
        <f t="shared" si="42"/>
        <v>-5.6909420761305868E-2</v>
      </c>
      <c r="Q264" s="585">
        <f t="shared" si="43"/>
        <v>-5.9587593111436465E-2</v>
      </c>
      <c r="R264" s="585">
        <f t="shared" si="44"/>
        <v>2.7300000000000001E-2</v>
      </c>
      <c r="S264" s="586">
        <f t="shared" si="45"/>
        <v>-8.688759311143647E-2</v>
      </c>
      <c r="U264" s="587"/>
      <c r="V264" s="587"/>
      <c r="W264" s="587"/>
      <c r="X264" s="587"/>
      <c r="Y264" s="587"/>
      <c r="Z264" s="587"/>
      <c r="AA264" s="587"/>
      <c r="AB264" s="587"/>
      <c r="AC264" s="587"/>
      <c r="AE264" s="587"/>
      <c r="AF264" s="587"/>
      <c r="AG264" s="587"/>
      <c r="AH264" s="587"/>
      <c r="AI264" s="587"/>
      <c r="AJ264" s="587"/>
      <c r="AK264" s="587"/>
      <c r="AL264" s="587"/>
      <c r="AM264" s="587"/>
      <c r="AO264" s="587"/>
      <c r="AP264" s="587"/>
      <c r="AQ264" s="587"/>
      <c r="AR264" s="587"/>
      <c r="AS264" s="587"/>
      <c r="AT264" s="587"/>
      <c r="AU264" s="587"/>
      <c r="AV264" s="587"/>
      <c r="AW264" s="587"/>
    </row>
    <row r="265" spans="1:49">
      <c r="A265" s="581">
        <v>17411</v>
      </c>
      <c r="B265" s="594">
        <v>-1.11E-2</v>
      </c>
      <c r="C265" s="577">
        <v>-1.4200000000000001E-2</v>
      </c>
      <c r="D265" s="577">
        <v>1.8E-3</v>
      </c>
      <c r="E265" s="577">
        <v>2.1749999999999999E-3</v>
      </c>
      <c r="F265" s="577">
        <v>2.2416666666666665E-3</v>
      </c>
      <c r="G265" s="577">
        <v>2.2083333333333334E-3</v>
      </c>
      <c r="H265" s="577">
        <v>2.3333333333333335E-3</v>
      </c>
      <c r="I265" s="577">
        <f t="shared" si="46"/>
        <v>-1.29E-2</v>
      </c>
      <c r="J265" s="577">
        <f t="shared" si="39"/>
        <v>-1.3308333333333333E-2</v>
      </c>
      <c r="K265" s="577">
        <f t="shared" si="40"/>
        <v>-1.6533333333333334E-2</v>
      </c>
      <c r="L265" s="585">
        <f t="shared" si="36"/>
        <v>6.4460372996939963E-2</v>
      </c>
      <c r="M265" s="585">
        <f t="shared" si="37"/>
        <v>2.1600000000000001E-2</v>
      </c>
      <c r="N265" s="585">
        <f t="shared" si="41"/>
        <v>2.6500000000000003E-2</v>
      </c>
      <c r="O265" s="586">
        <f t="shared" si="38"/>
        <v>4.2860372996939962E-2</v>
      </c>
      <c r="P265" s="585">
        <f t="shared" si="42"/>
        <v>3.796037299693996E-2</v>
      </c>
      <c r="Q265" s="585">
        <f t="shared" si="43"/>
        <v>3.5935356699906107E-2</v>
      </c>
      <c r="R265" s="585">
        <f t="shared" si="44"/>
        <v>2.8000000000000004E-2</v>
      </c>
      <c r="S265" s="586">
        <f t="shared" si="45"/>
        <v>7.9353566999061029E-3</v>
      </c>
      <c r="U265" s="587"/>
      <c r="V265" s="587"/>
      <c r="W265" s="587"/>
      <c r="X265" s="587"/>
      <c r="Y265" s="587"/>
      <c r="Z265" s="587"/>
      <c r="AA265" s="587"/>
      <c r="AB265" s="587"/>
      <c r="AC265" s="587"/>
      <c r="AE265" s="587"/>
      <c r="AF265" s="587"/>
      <c r="AG265" s="587"/>
      <c r="AH265" s="587"/>
      <c r="AI265" s="587"/>
      <c r="AJ265" s="587"/>
      <c r="AK265" s="587"/>
      <c r="AL265" s="587"/>
      <c r="AM265" s="587"/>
      <c r="AO265" s="587"/>
      <c r="AP265" s="587"/>
      <c r="AQ265" s="587"/>
      <c r="AR265" s="587"/>
      <c r="AS265" s="587"/>
      <c r="AT265" s="587"/>
      <c r="AU265" s="587"/>
      <c r="AV265" s="587"/>
      <c r="AW265" s="587"/>
    </row>
    <row r="266" spans="1:49">
      <c r="A266" s="581">
        <v>17441</v>
      </c>
      <c r="B266" s="594">
        <v>2.3800000000000002E-2</v>
      </c>
      <c r="C266" s="577">
        <v>-1.3299999999999999E-2</v>
      </c>
      <c r="D266" s="577">
        <v>1.8E-3</v>
      </c>
      <c r="E266" s="577">
        <v>2.2500000000000003E-3</v>
      </c>
      <c r="F266" s="577">
        <v>2.3250000000000002E-3</v>
      </c>
      <c r="G266" s="577">
        <v>2.2875E-3</v>
      </c>
      <c r="H266" s="577">
        <v>2.3999999999999998E-3</v>
      </c>
      <c r="I266" s="577">
        <f t="shared" si="46"/>
        <v>2.2000000000000002E-2</v>
      </c>
      <c r="J266" s="577">
        <f t="shared" si="39"/>
        <v>2.15125E-2</v>
      </c>
      <c r="K266" s="577">
        <f t="shared" si="40"/>
        <v>-1.5699999999999999E-2</v>
      </c>
      <c r="L266" s="585">
        <f t="shared" si="36"/>
        <v>9.6372766473105553E-2</v>
      </c>
      <c r="M266" s="585">
        <f t="shared" si="37"/>
        <v>2.1600000000000001E-2</v>
      </c>
      <c r="N266" s="585">
        <f t="shared" si="41"/>
        <v>2.7450000000000002E-2</v>
      </c>
      <c r="O266" s="586">
        <f t="shared" si="38"/>
        <v>7.4772766473105545E-2</v>
      </c>
      <c r="P266" s="585">
        <f t="shared" si="42"/>
        <v>6.8922766473105551E-2</v>
      </c>
      <c r="Q266" s="585">
        <f t="shared" si="43"/>
        <v>1.5402784324591856E-4</v>
      </c>
      <c r="R266" s="585">
        <f t="shared" si="44"/>
        <v>2.8799999999999999E-2</v>
      </c>
      <c r="S266" s="586">
        <f t="shared" si="45"/>
        <v>-2.8645972156754081E-2</v>
      </c>
      <c r="U266" s="587"/>
      <c r="V266" s="587"/>
      <c r="W266" s="587"/>
      <c r="X266" s="587"/>
      <c r="Y266" s="587"/>
      <c r="Z266" s="587"/>
      <c r="AA266" s="587"/>
      <c r="AB266" s="587"/>
      <c r="AC266" s="587"/>
      <c r="AE266" s="587"/>
      <c r="AF266" s="587"/>
      <c r="AG266" s="587"/>
      <c r="AH266" s="587"/>
      <c r="AI266" s="587"/>
      <c r="AJ266" s="587"/>
      <c r="AK266" s="587"/>
      <c r="AL266" s="587"/>
      <c r="AM266" s="587"/>
      <c r="AO266" s="587"/>
      <c r="AP266" s="587"/>
      <c r="AQ266" s="587"/>
      <c r="AR266" s="587"/>
      <c r="AS266" s="587"/>
      <c r="AT266" s="587"/>
      <c r="AU266" s="587"/>
      <c r="AV266" s="587"/>
      <c r="AW266" s="587"/>
    </row>
    <row r="267" spans="1:49">
      <c r="A267" s="581">
        <v>17472</v>
      </c>
      <c r="B267" s="594">
        <v>-1.7500000000000002E-2</v>
      </c>
      <c r="C267" s="577">
        <v>-8.2399999999999987E-2</v>
      </c>
      <c r="D267" s="577">
        <v>1.6999999999999999E-3</v>
      </c>
      <c r="E267" s="577">
        <v>2.3083333333333332E-3</v>
      </c>
      <c r="F267" s="577">
        <v>2.3750000000000004E-3</v>
      </c>
      <c r="G267" s="577">
        <v>2.3416666666666668E-3</v>
      </c>
      <c r="H267" s="577">
        <v>2.4416666666666666E-3</v>
      </c>
      <c r="I267" s="577">
        <f t="shared" si="46"/>
        <v>-1.9200000000000002E-2</v>
      </c>
      <c r="J267" s="577">
        <f t="shared" si="39"/>
        <v>-1.9841666666666667E-2</v>
      </c>
      <c r="K267" s="577">
        <f t="shared" si="40"/>
        <v>-8.4841666666666649E-2</v>
      </c>
      <c r="L267" s="585">
        <f t="shared" si="36"/>
        <v>8.0102519863457289E-2</v>
      </c>
      <c r="M267" s="585">
        <f t="shared" si="37"/>
        <v>2.0399999999999998E-2</v>
      </c>
      <c r="N267" s="585">
        <f t="shared" si="41"/>
        <v>2.81E-2</v>
      </c>
      <c r="O267" s="586">
        <f t="shared" si="38"/>
        <v>5.9702519863457287E-2</v>
      </c>
      <c r="P267" s="585">
        <f t="shared" si="42"/>
        <v>5.2002519863457289E-2</v>
      </c>
      <c r="Q267" s="585">
        <f t="shared" si="43"/>
        <v>-8.7550869010775134E-2</v>
      </c>
      <c r="R267" s="585">
        <f t="shared" si="44"/>
        <v>2.93E-2</v>
      </c>
      <c r="S267" s="586">
        <f t="shared" si="45"/>
        <v>-0.11685086901077513</v>
      </c>
      <c r="U267" s="587"/>
      <c r="V267" s="587"/>
      <c r="W267" s="587"/>
      <c r="X267" s="587"/>
      <c r="Y267" s="587"/>
      <c r="Z267" s="587"/>
      <c r="AA267" s="587"/>
      <c r="AB267" s="587"/>
      <c r="AC267" s="587"/>
      <c r="AE267" s="587"/>
      <c r="AF267" s="587"/>
      <c r="AG267" s="587"/>
      <c r="AH267" s="587"/>
      <c r="AI267" s="587"/>
      <c r="AJ267" s="587"/>
      <c r="AK267" s="587"/>
      <c r="AL267" s="587"/>
      <c r="AM267" s="587"/>
      <c r="AO267" s="587"/>
      <c r="AP267" s="587"/>
      <c r="AQ267" s="587"/>
      <c r="AR267" s="587"/>
      <c r="AS267" s="587"/>
      <c r="AT267" s="587"/>
      <c r="AU267" s="587"/>
      <c r="AV267" s="587"/>
      <c r="AW267" s="587"/>
    </row>
    <row r="268" spans="1:49">
      <c r="A268" s="581">
        <v>17502</v>
      </c>
      <c r="B268" s="594">
        <v>2.3300000000000001E-2</v>
      </c>
      <c r="C268" s="577">
        <v>1.89E-2</v>
      </c>
      <c r="D268" s="577">
        <v>2.0999999999999999E-3</v>
      </c>
      <c r="E268" s="577">
        <v>2.3833333333333332E-3</v>
      </c>
      <c r="F268" s="577">
        <v>2.4499999999999999E-3</v>
      </c>
      <c r="G268" s="577">
        <v>2.4166666666666664E-3</v>
      </c>
      <c r="H268" s="577">
        <v>2.5416666666666669E-3</v>
      </c>
      <c r="I268" s="577">
        <f t="shared" si="46"/>
        <v>2.12E-2</v>
      </c>
      <c r="J268" s="577">
        <f t="shared" si="39"/>
        <v>2.0883333333333334E-2</v>
      </c>
      <c r="K268" s="577">
        <f t="shared" si="40"/>
        <v>1.6358333333333332E-2</v>
      </c>
      <c r="L268" s="585">
        <f t="shared" si="36"/>
        <v>5.6965581501650764E-2</v>
      </c>
      <c r="M268" s="585">
        <f t="shared" si="37"/>
        <v>2.52E-2</v>
      </c>
      <c r="N268" s="585">
        <f t="shared" si="41"/>
        <v>2.8999999999999998E-2</v>
      </c>
      <c r="O268" s="586">
        <f t="shared" si="38"/>
        <v>3.1765581501650764E-2</v>
      </c>
      <c r="P268" s="585">
        <f t="shared" si="42"/>
        <v>2.7965581501650766E-2</v>
      </c>
      <c r="Q268" s="585">
        <f t="shared" si="43"/>
        <v>-0.13161365630027921</v>
      </c>
      <c r="R268" s="585">
        <f t="shared" si="44"/>
        <v>3.0500000000000003E-2</v>
      </c>
      <c r="S268" s="586">
        <f t="shared" si="45"/>
        <v>-0.16211365630027921</v>
      </c>
      <c r="U268" s="587"/>
      <c r="V268" s="587"/>
      <c r="W268" s="587"/>
      <c r="X268" s="587"/>
      <c r="Y268" s="587"/>
      <c r="Z268" s="587"/>
      <c r="AA268" s="587"/>
      <c r="AB268" s="587"/>
      <c r="AC268" s="587"/>
      <c r="AE268" s="587"/>
      <c r="AF268" s="587"/>
      <c r="AG268" s="587"/>
      <c r="AH268" s="587"/>
      <c r="AI268" s="587"/>
      <c r="AJ268" s="587"/>
      <c r="AK268" s="587"/>
      <c r="AL268" s="587"/>
      <c r="AM268" s="587"/>
      <c r="AO268" s="587"/>
      <c r="AP268" s="587"/>
      <c r="AQ268" s="587"/>
      <c r="AR268" s="587"/>
      <c r="AS268" s="587"/>
      <c r="AT268" s="587"/>
      <c r="AU268" s="587"/>
      <c r="AV268" s="587"/>
      <c r="AW268" s="587"/>
    </row>
    <row r="269" spans="1:49">
      <c r="A269" s="581">
        <v>17533</v>
      </c>
      <c r="B269" s="594">
        <v>-3.7900000000000003E-2</v>
      </c>
      <c r="C269" s="577">
        <v>6.9999999999999993E-3</v>
      </c>
      <c r="D269" s="577">
        <v>2E-3</v>
      </c>
      <c r="E269" s="577">
        <v>2.3833333333333332E-3</v>
      </c>
      <c r="F269" s="577">
        <v>2.4499999999999999E-3</v>
      </c>
      <c r="G269" s="577">
        <v>2.4166666666666664E-3</v>
      </c>
      <c r="H269" s="577">
        <v>2.5416666666666669E-3</v>
      </c>
      <c r="I269" s="577">
        <f t="shared" si="46"/>
        <v>-3.9900000000000005E-2</v>
      </c>
      <c r="J269" s="577">
        <f t="shared" si="39"/>
        <v>-4.0316666666666667E-2</v>
      </c>
      <c r="K269" s="577">
        <f t="shared" si="40"/>
        <v>4.4583333333333324E-3</v>
      </c>
      <c r="L269" s="585">
        <f t="shared" si="36"/>
        <v>-8.3797308993289743E-3</v>
      </c>
      <c r="M269" s="585">
        <f t="shared" si="37"/>
        <v>2.4E-2</v>
      </c>
      <c r="N269" s="585">
        <f t="shared" si="41"/>
        <v>2.8999999999999998E-2</v>
      </c>
      <c r="O269" s="586">
        <f t="shared" si="38"/>
        <v>-3.2379730899328975E-2</v>
      </c>
      <c r="P269" s="585">
        <f t="shared" si="42"/>
        <v>-3.7379730899328972E-2</v>
      </c>
      <c r="Q269" s="585">
        <f t="shared" si="43"/>
        <v>-0.1253600238991609</v>
      </c>
      <c r="R269" s="585">
        <f t="shared" si="44"/>
        <v>3.0500000000000003E-2</v>
      </c>
      <c r="S269" s="586">
        <f t="shared" si="45"/>
        <v>-0.1558600238991609</v>
      </c>
      <c r="U269" s="587"/>
      <c r="V269" s="587"/>
      <c r="W269" s="587"/>
      <c r="X269" s="587"/>
      <c r="Y269" s="587"/>
      <c r="Z269" s="587"/>
      <c r="AA269" s="587"/>
      <c r="AB269" s="587"/>
      <c r="AC269" s="587"/>
      <c r="AE269" s="587"/>
      <c r="AF269" s="587"/>
      <c r="AG269" s="587"/>
      <c r="AH269" s="587"/>
      <c r="AI269" s="587"/>
      <c r="AJ269" s="587"/>
      <c r="AK269" s="587"/>
      <c r="AL269" s="587"/>
      <c r="AM269" s="587"/>
      <c r="AO269" s="587"/>
      <c r="AP269" s="587"/>
      <c r="AQ269" s="587"/>
      <c r="AR269" s="587"/>
      <c r="AS269" s="587"/>
      <c r="AT269" s="587"/>
      <c r="AU269" s="587"/>
      <c r="AV269" s="587"/>
      <c r="AW269" s="587"/>
    </row>
    <row r="270" spans="1:49">
      <c r="A270" s="581">
        <v>17564</v>
      </c>
      <c r="B270" s="594">
        <v>-3.8800000000000001E-2</v>
      </c>
      <c r="C270" s="577">
        <v>-3.7200000000000004E-2</v>
      </c>
      <c r="D270" s="577">
        <v>1.9E-3</v>
      </c>
      <c r="E270" s="577">
        <v>2.3750000000000004E-3</v>
      </c>
      <c r="F270" s="577">
        <v>2.4416666666666666E-3</v>
      </c>
      <c r="G270" s="577">
        <v>2.4083333333333335E-3</v>
      </c>
      <c r="H270" s="577">
        <v>2.5416666666666669E-3</v>
      </c>
      <c r="I270" s="577">
        <f t="shared" si="46"/>
        <v>-4.07E-2</v>
      </c>
      <c r="J270" s="577">
        <f t="shared" si="39"/>
        <v>-4.1208333333333333E-2</v>
      </c>
      <c r="K270" s="577">
        <f t="shared" si="40"/>
        <v>-3.9741666666666668E-2</v>
      </c>
      <c r="L270" s="585">
        <f t="shared" si="36"/>
        <v>-3.9458427230106508E-2</v>
      </c>
      <c r="M270" s="585">
        <f t="shared" si="37"/>
        <v>2.2800000000000001E-2</v>
      </c>
      <c r="N270" s="585">
        <f t="shared" si="41"/>
        <v>2.8900000000000002E-2</v>
      </c>
      <c r="O270" s="586">
        <f t="shared" si="38"/>
        <v>-6.2258427230106508E-2</v>
      </c>
      <c r="P270" s="585">
        <f t="shared" si="42"/>
        <v>-6.8358427230106517E-2</v>
      </c>
      <c r="Q270" s="585">
        <f t="shared" si="43"/>
        <v>-0.15033460903048357</v>
      </c>
      <c r="R270" s="585">
        <f t="shared" si="44"/>
        <v>3.0500000000000003E-2</v>
      </c>
      <c r="S270" s="586">
        <f t="shared" si="45"/>
        <v>-0.18083460903048357</v>
      </c>
      <c r="U270" s="587"/>
      <c r="V270" s="587"/>
      <c r="W270" s="587"/>
      <c r="X270" s="587"/>
      <c r="Y270" s="587"/>
      <c r="Z270" s="587"/>
      <c r="AA270" s="587"/>
      <c r="AB270" s="587"/>
      <c r="AC270" s="587"/>
      <c r="AE270" s="587"/>
      <c r="AF270" s="587"/>
      <c r="AG270" s="587"/>
      <c r="AH270" s="587"/>
      <c r="AI270" s="587"/>
      <c r="AJ270" s="587"/>
      <c r="AK270" s="587"/>
      <c r="AL270" s="587"/>
      <c r="AM270" s="587"/>
      <c r="AO270" s="587"/>
      <c r="AP270" s="587"/>
      <c r="AQ270" s="587"/>
      <c r="AR270" s="587"/>
      <c r="AS270" s="587"/>
      <c r="AT270" s="587"/>
      <c r="AU270" s="587"/>
      <c r="AV270" s="587"/>
      <c r="AW270" s="587"/>
    </row>
    <row r="271" spans="1:49">
      <c r="A271" s="581">
        <v>17593</v>
      </c>
      <c r="B271" s="594">
        <v>7.9299999999999995E-2</v>
      </c>
      <c r="C271" s="577">
        <v>6.1699999999999998E-2</v>
      </c>
      <c r="D271" s="577">
        <v>2.2000000000000001E-3</v>
      </c>
      <c r="E271" s="577">
        <v>2.3583333333333334E-3</v>
      </c>
      <c r="F271" s="577">
        <v>2.4166666666666668E-3</v>
      </c>
      <c r="G271" s="577">
        <v>2.3875000000000003E-3</v>
      </c>
      <c r="H271" s="577">
        <v>2.5166666666666666E-3</v>
      </c>
      <c r="I271" s="577">
        <f t="shared" si="46"/>
        <v>7.7100000000000002E-2</v>
      </c>
      <c r="J271" s="577">
        <f t="shared" si="39"/>
        <v>7.6912499999999995E-2</v>
      </c>
      <c r="K271" s="577">
        <f t="shared" si="40"/>
        <v>5.9183333333333331E-2</v>
      </c>
      <c r="L271" s="585">
        <f t="shared" si="36"/>
        <v>5.2393177840367233E-2</v>
      </c>
      <c r="M271" s="585">
        <f t="shared" si="37"/>
        <v>2.64E-2</v>
      </c>
      <c r="N271" s="585">
        <f t="shared" si="41"/>
        <v>2.8650000000000002E-2</v>
      </c>
      <c r="O271" s="586">
        <f t="shared" si="38"/>
        <v>2.5993177840367233E-2</v>
      </c>
      <c r="P271" s="585">
        <f t="shared" si="42"/>
        <v>2.3743177840367231E-2</v>
      </c>
      <c r="Q271" s="585">
        <f t="shared" si="43"/>
        <v>-6.3833804906251457E-2</v>
      </c>
      <c r="R271" s="585">
        <f t="shared" si="44"/>
        <v>3.0199999999999998E-2</v>
      </c>
      <c r="S271" s="586">
        <f t="shared" si="45"/>
        <v>-9.4033804906251461E-2</v>
      </c>
      <c r="U271" s="587"/>
      <c r="V271" s="587"/>
      <c r="W271" s="587"/>
      <c r="X271" s="587"/>
      <c r="Y271" s="587"/>
      <c r="Z271" s="587"/>
      <c r="AA271" s="587"/>
      <c r="AB271" s="587"/>
      <c r="AC271" s="587"/>
      <c r="AE271" s="587"/>
      <c r="AF271" s="587"/>
      <c r="AG271" s="587"/>
      <c r="AH271" s="587"/>
      <c r="AI271" s="587"/>
      <c r="AJ271" s="587"/>
      <c r="AK271" s="587"/>
      <c r="AL271" s="587"/>
      <c r="AM271" s="587"/>
      <c r="AO271" s="587"/>
      <c r="AP271" s="587"/>
      <c r="AQ271" s="587"/>
      <c r="AR271" s="587"/>
      <c r="AS271" s="587"/>
      <c r="AT271" s="587"/>
      <c r="AU271" s="587"/>
      <c r="AV271" s="587"/>
      <c r="AW271" s="587"/>
    </row>
    <row r="272" spans="1:49">
      <c r="A272" s="581">
        <v>17624</v>
      </c>
      <c r="B272" s="594">
        <v>2.92E-2</v>
      </c>
      <c r="C272" s="577">
        <v>1.6E-2</v>
      </c>
      <c r="D272" s="577">
        <v>2E-3</v>
      </c>
      <c r="E272" s="577">
        <v>2.3166666666666665E-3</v>
      </c>
      <c r="F272" s="577">
        <v>2.3916666666666665E-3</v>
      </c>
      <c r="G272" s="577">
        <v>2.3541666666666667E-3</v>
      </c>
      <c r="H272" s="577">
        <v>2.4750000000000002E-3</v>
      </c>
      <c r="I272" s="577">
        <f t="shared" si="46"/>
        <v>2.7200000000000002E-2</v>
      </c>
      <c r="J272" s="577">
        <f t="shared" si="39"/>
        <v>2.6845833333333333E-2</v>
      </c>
      <c r="K272" s="577">
        <f t="shared" si="40"/>
        <v>1.3525000000000001E-2</v>
      </c>
      <c r="L272" s="585">
        <f t="shared" ref="L272:L335" si="47">((1+B261)*(1+B262)*(1+B263)*(1+B264)*(1+B265)*(1+B266)*(1+B267)*(1+B268)*(1+B269)*(1+B270)*(1+B271)*(1+B272))-1</f>
        <v>0.12392140565871723</v>
      </c>
      <c r="M272" s="585">
        <f t="shared" ref="M272:M335" si="48">D272*12</f>
        <v>2.4E-2</v>
      </c>
      <c r="N272" s="585">
        <f t="shared" si="41"/>
        <v>2.8250000000000001E-2</v>
      </c>
      <c r="O272" s="586">
        <f t="shared" ref="O272:O335" si="49">L272-M272</f>
        <v>9.9921405658717238E-2</v>
      </c>
      <c r="P272" s="585">
        <f t="shared" si="42"/>
        <v>9.5671405658717235E-2</v>
      </c>
      <c r="Q272" s="585">
        <f t="shared" si="43"/>
        <v>-1.7412340686727146E-2</v>
      </c>
      <c r="R272" s="585">
        <f t="shared" si="44"/>
        <v>2.9700000000000004E-2</v>
      </c>
      <c r="S272" s="586">
        <f t="shared" si="45"/>
        <v>-4.711234068672715E-2</v>
      </c>
      <c r="U272" s="587"/>
      <c r="V272" s="587"/>
      <c r="W272" s="587"/>
      <c r="X272" s="587"/>
      <c r="Y272" s="587"/>
      <c r="Z272" s="587"/>
      <c r="AA272" s="587"/>
      <c r="AB272" s="587"/>
      <c r="AC272" s="587"/>
      <c r="AE272" s="587"/>
      <c r="AF272" s="587"/>
      <c r="AG272" s="587"/>
      <c r="AH272" s="587"/>
      <c r="AI272" s="587"/>
      <c r="AJ272" s="587"/>
      <c r="AK272" s="587"/>
      <c r="AL272" s="587"/>
      <c r="AM272" s="587"/>
      <c r="AO272" s="587"/>
      <c r="AP272" s="587"/>
      <c r="AQ272" s="587"/>
      <c r="AR272" s="587"/>
      <c r="AS272" s="587"/>
      <c r="AT272" s="587"/>
      <c r="AU272" s="587"/>
      <c r="AV272" s="587"/>
      <c r="AW272" s="587"/>
    </row>
    <row r="273" spans="1:49">
      <c r="A273" s="581">
        <v>17654</v>
      </c>
      <c r="B273" s="594">
        <v>8.7900000000000006E-2</v>
      </c>
      <c r="C273" s="577">
        <v>5.8299999999999998E-2</v>
      </c>
      <c r="D273" s="577">
        <v>1.8E-3</v>
      </c>
      <c r="E273" s="577">
        <v>2.3E-3</v>
      </c>
      <c r="F273" s="577">
        <v>2.3833333333333332E-3</v>
      </c>
      <c r="G273" s="577">
        <v>2.3416666666666664E-3</v>
      </c>
      <c r="H273" s="577">
        <v>2.4499999999999999E-3</v>
      </c>
      <c r="I273" s="577">
        <f t="shared" si="46"/>
        <v>8.610000000000001E-2</v>
      </c>
      <c r="J273" s="577">
        <f t="shared" si="39"/>
        <v>8.5558333333333333E-2</v>
      </c>
      <c r="K273" s="577">
        <f t="shared" si="40"/>
        <v>5.5849999999999997E-2</v>
      </c>
      <c r="L273" s="585">
        <f t="shared" si="47"/>
        <v>0.2210046906492098</v>
      </c>
      <c r="M273" s="585">
        <f t="shared" si="48"/>
        <v>2.1600000000000001E-2</v>
      </c>
      <c r="N273" s="585">
        <f t="shared" si="41"/>
        <v>2.8099999999999997E-2</v>
      </c>
      <c r="O273" s="586">
        <f t="shared" si="49"/>
        <v>0.19940469064920979</v>
      </c>
      <c r="P273" s="585">
        <f t="shared" si="42"/>
        <v>0.19290469064920981</v>
      </c>
      <c r="Q273" s="585">
        <f t="shared" si="43"/>
        <v>6.9717642064845986E-2</v>
      </c>
      <c r="R273" s="585">
        <f t="shared" si="44"/>
        <v>2.9399999999999999E-2</v>
      </c>
      <c r="S273" s="586">
        <f t="shared" si="45"/>
        <v>4.031764206484599E-2</v>
      </c>
      <c r="U273" s="587"/>
      <c r="V273" s="587"/>
      <c r="W273" s="587"/>
      <c r="X273" s="587"/>
      <c r="Y273" s="587"/>
      <c r="Z273" s="587"/>
      <c r="AA273" s="587"/>
      <c r="AB273" s="587"/>
      <c r="AC273" s="587"/>
      <c r="AE273" s="587"/>
      <c r="AF273" s="587"/>
      <c r="AG273" s="587"/>
      <c r="AH273" s="587"/>
      <c r="AI273" s="587"/>
      <c r="AJ273" s="587"/>
      <c r="AK273" s="587"/>
      <c r="AL273" s="587"/>
      <c r="AM273" s="587"/>
      <c r="AO273" s="587"/>
      <c r="AP273" s="587"/>
      <c r="AQ273" s="587"/>
      <c r="AR273" s="587"/>
      <c r="AS273" s="587"/>
      <c r="AT273" s="587"/>
      <c r="AU273" s="587"/>
      <c r="AV273" s="587"/>
      <c r="AW273" s="587"/>
    </row>
    <row r="274" spans="1:49">
      <c r="A274" s="581">
        <v>17685</v>
      </c>
      <c r="B274" s="594">
        <v>5.4000000000000003E-3</v>
      </c>
      <c r="C274" s="577">
        <v>2.12E-2</v>
      </c>
      <c r="D274" s="577">
        <v>2.0999999999999999E-3</v>
      </c>
      <c r="E274" s="577">
        <v>2.3E-3</v>
      </c>
      <c r="F274" s="577">
        <v>2.3750000000000004E-3</v>
      </c>
      <c r="G274" s="577">
        <v>2.3375000000000002E-3</v>
      </c>
      <c r="H274" s="577">
        <v>2.4499999999999999E-3</v>
      </c>
      <c r="I274" s="577">
        <f t="shared" si="46"/>
        <v>3.3000000000000004E-3</v>
      </c>
      <c r="J274" s="577">
        <f t="shared" si="39"/>
        <v>3.0625000000000001E-3</v>
      </c>
      <c r="K274" s="577">
        <f t="shared" si="40"/>
        <v>1.8749999999999999E-2</v>
      </c>
      <c r="L274" s="585">
        <f t="shared" si="47"/>
        <v>0.16315910174219739</v>
      </c>
      <c r="M274" s="585">
        <f t="shared" si="48"/>
        <v>2.52E-2</v>
      </c>
      <c r="N274" s="585">
        <f t="shared" si="41"/>
        <v>2.8050000000000002E-2</v>
      </c>
      <c r="O274" s="586">
        <f t="shared" si="49"/>
        <v>0.13795910174219739</v>
      </c>
      <c r="P274" s="585">
        <f t="shared" si="42"/>
        <v>0.1351091017421974</v>
      </c>
      <c r="Q274" s="585">
        <f t="shared" si="43"/>
        <v>4.7560084461661933E-2</v>
      </c>
      <c r="R274" s="585">
        <f t="shared" si="44"/>
        <v>2.9399999999999999E-2</v>
      </c>
      <c r="S274" s="586">
        <f t="shared" si="45"/>
        <v>1.8160084461661934E-2</v>
      </c>
      <c r="U274" s="587"/>
      <c r="V274" s="587"/>
      <c r="W274" s="587"/>
      <c r="X274" s="587"/>
      <c r="Y274" s="587"/>
      <c r="Z274" s="587"/>
      <c r="AA274" s="587"/>
      <c r="AB274" s="587"/>
      <c r="AC274" s="587"/>
      <c r="AE274" s="587"/>
      <c r="AF274" s="587"/>
      <c r="AG274" s="587"/>
      <c r="AH274" s="587"/>
      <c r="AI274" s="587"/>
      <c r="AJ274" s="587"/>
      <c r="AK274" s="587"/>
      <c r="AL274" s="587"/>
      <c r="AM274" s="587"/>
      <c r="AO274" s="587"/>
      <c r="AP274" s="587"/>
      <c r="AQ274" s="587"/>
      <c r="AR274" s="587"/>
      <c r="AS274" s="587"/>
      <c r="AT274" s="587"/>
      <c r="AU274" s="587"/>
      <c r="AV274" s="587"/>
      <c r="AW274" s="587"/>
    </row>
    <row r="275" spans="1:49">
      <c r="A275" s="581">
        <v>17715</v>
      </c>
      <c r="B275" s="594">
        <v>-5.0799999999999998E-2</v>
      </c>
      <c r="C275" s="577">
        <v>-4.4299999999999999E-2</v>
      </c>
      <c r="D275" s="577">
        <v>1.9E-3</v>
      </c>
      <c r="E275" s="577">
        <v>2.3416666666666668E-3</v>
      </c>
      <c r="F275" s="577">
        <v>2.4083333333333335E-3</v>
      </c>
      <c r="G275" s="577">
        <v>2.3749999999999999E-3</v>
      </c>
      <c r="H275" s="577">
        <v>2.4916666666666668E-3</v>
      </c>
      <c r="I275" s="577">
        <f t="shared" si="46"/>
        <v>-5.2699999999999997E-2</v>
      </c>
      <c r="J275" s="577">
        <f t="shared" si="39"/>
        <v>-5.3175E-2</v>
      </c>
      <c r="K275" s="577">
        <f t="shared" si="40"/>
        <v>-4.6791666666666669E-2</v>
      </c>
      <c r="L275" s="585">
        <f t="shared" si="47"/>
        <v>6.3549387702238613E-2</v>
      </c>
      <c r="M275" s="585">
        <f t="shared" si="48"/>
        <v>2.2800000000000001E-2</v>
      </c>
      <c r="N275" s="585">
        <f t="shared" si="41"/>
        <v>2.8499999999999998E-2</v>
      </c>
      <c r="O275" s="586">
        <f t="shared" si="49"/>
        <v>4.0749387702238613E-2</v>
      </c>
      <c r="P275" s="585">
        <f t="shared" si="42"/>
        <v>3.5049387702238616E-2</v>
      </c>
      <c r="Q275" s="585">
        <f t="shared" si="43"/>
        <v>-1.9822623144693408E-2</v>
      </c>
      <c r="R275" s="585">
        <f t="shared" si="44"/>
        <v>2.9900000000000003E-2</v>
      </c>
      <c r="S275" s="586">
        <f t="shared" si="45"/>
        <v>-4.9722623144693411E-2</v>
      </c>
      <c r="U275" s="587"/>
      <c r="V275" s="587"/>
      <c r="W275" s="587"/>
      <c r="X275" s="587"/>
      <c r="Y275" s="587"/>
      <c r="Z275" s="587"/>
      <c r="AA275" s="587"/>
      <c r="AB275" s="587"/>
      <c r="AC275" s="587"/>
      <c r="AE275" s="587"/>
      <c r="AF275" s="587"/>
      <c r="AG275" s="587"/>
      <c r="AH275" s="587"/>
      <c r="AI275" s="587"/>
      <c r="AJ275" s="587"/>
      <c r="AK275" s="587"/>
      <c r="AL275" s="587"/>
      <c r="AM275" s="587"/>
      <c r="AO275" s="587"/>
      <c r="AP275" s="587"/>
      <c r="AQ275" s="587"/>
      <c r="AR275" s="587"/>
      <c r="AS275" s="587"/>
      <c r="AT275" s="587"/>
      <c r="AU275" s="587"/>
      <c r="AV275" s="587"/>
      <c r="AW275" s="587"/>
    </row>
    <row r="276" spans="1:49">
      <c r="A276" s="581">
        <v>17746</v>
      </c>
      <c r="B276" s="594">
        <v>1.5800000000000002E-2</v>
      </c>
      <c r="C276" s="577">
        <v>3.5999999999999999E-3</v>
      </c>
      <c r="D276" s="577">
        <v>2.0999999999999999E-3</v>
      </c>
      <c r="E276" s="577">
        <v>2.3666666666666667E-3</v>
      </c>
      <c r="F276" s="577">
        <v>2.4499999999999999E-3</v>
      </c>
      <c r="G276" s="577">
        <v>2.4083333333333335E-3</v>
      </c>
      <c r="H276" s="577">
        <v>2.5249999999999999E-3</v>
      </c>
      <c r="I276" s="577">
        <f t="shared" si="46"/>
        <v>1.3700000000000002E-2</v>
      </c>
      <c r="J276" s="577">
        <f t="shared" si="39"/>
        <v>1.3391666666666668E-2</v>
      </c>
      <c r="K276" s="577">
        <f t="shared" si="40"/>
        <v>1.075E-3</v>
      </c>
      <c r="L276" s="585">
        <f t="shared" si="47"/>
        <v>0.10273907117274073</v>
      </c>
      <c r="M276" s="585">
        <f t="shared" si="48"/>
        <v>2.52E-2</v>
      </c>
      <c r="N276" s="585">
        <f t="shared" si="41"/>
        <v>2.8900000000000002E-2</v>
      </c>
      <c r="O276" s="586">
        <f t="shared" si="49"/>
        <v>7.7539071172740726E-2</v>
      </c>
      <c r="P276" s="585">
        <f t="shared" si="42"/>
        <v>7.3839071172740717E-2</v>
      </c>
      <c r="Q276" s="585">
        <f t="shared" si="43"/>
        <v>-1.4125059719397148E-2</v>
      </c>
      <c r="R276" s="585">
        <f t="shared" si="44"/>
        <v>3.0300000000000001E-2</v>
      </c>
      <c r="S276" s="586">
        <f t="shared" si="45"/>
        <v>-4.4425059719397149E-2</v>
      </c>
      <c r="U276" s="587"/>
      <c r="V276" s="587"/>
      <c r="W276" s="587"/>
      <c r="X276" s="587"/>
      <c r="Y276" s="587"/>
      <c r="Z276" s="587"/>
      <c r="AA276" s="587"/>
      <c r="AB276" s="587"/>
      <c r="AC276" s="587"/>
      <c r="AE276" s="587"/>
      <c r="AF276" s="587"/>
      <c r="AG276" s="587"/>
      <c r="AH276" s="587"/>
      <c r="AI276" s="587"/>
      <c r="AJ276" s="587"/>
      <c r="AK276" s="587"/>
      <c r="AL276" s="587"/>
      <c r="AM276" s="587"/>
      <c r="AO276" s="587"/>
      <c r="AP276" s="587"/>
      <c r="AQ276" s="587"/>
      <c r="AR276" s="587"/>
      <c r="AS276" s="587"/>
      <c r="AT276" s="587"/>
      <c r="AU276" s="587"/>
      <c r="AV276" s="587"/>
      <c r="AW276" s="587"/>
    </row>
    <row r="277" spans="1:49">
      <c r="A277" s="581">
        <v>17777</v>
      </c>
      <c r="B277" s="594">
        <v>-2.76E-2</v>
      </c>
      <c r="C277" s="577">
        <v>-7.0999999999999995E-3</v>
      </c>
      <c r="D277" s="577">
        <v>2E-3</v>
      </c>
      <c r="E277" s="577">
        <v>2.3666666666666667E-3</v>
      </c>
      <c r="F277" s="577">
        <v>2.4416666666666666E-3</v>
      </c>
      <c r="G277" s="577">
        <v>2.4041666666666669E-3</v>
      </c>
      <c r="H277" s="577">
        <v>2.5416666666666669E-3</v>
      </c>
      <c r="I277" s="577">
        <f t="shared" si="46"/>
        <v>-2.9600000000000001E-2</v>
      </c>
      <c r="J277" s="577">
        <f t="shared" si="39"/>
        <v>-3.0004166666666665E-2</v>
      </c>
      <c r="K277" s="577">
        <f t="shared" si="40"/>
        <v>-9.6416666666666664E-3</v>
      </c>
      <c r="L277" s="585">
        <f t="shared" si="47"/>
        <v>8.433964284394091E-2</v>
      </c>
      <c r="M277" s="585">
        <f t="shared" si="48"/>
        <v>2.4E-2</v>
      </c>
      <c r="N277" s="585">
        <f t="shared" si="41"/>
        <v>2.8850000000000001E-2</v>
      </c>
      <c r="O277" s="586">
        <f t="shared" si="49"/>
        <v>6.0339642843940909E-2</v>
      </c>
      <c r="P277" s="585">
        <f t="shared" si="42"/>
        <v>5.5489642843940909E-2</v>
      </c>
      <c r="Q277" s="585">
        <f t="shared" si="43"/>
        <v>-7.0245199790925916E-3</v>
      </c>
      <c r="R277" s="585">
        <f t="shared" si="44"/>
        <v>3.0500000000000003E-2</v>
      </c>
      <c r="S277" s="586">
        <f t="shared" si="45"/>
        <v>-3.7524519979092591E-2</v>
      </c>
      <c r="U277" s="587"/>
      <c r="V277" s="587"/>
      <c r="W277" s="587"/>
      <c r="X277" s="587"/>
      <c r="Y277" s="587"/>
      <c r="Z277" s="587"/>
      <c r="AA277" s="587"/>
      <c r="AB277" s="587"/>
      <c r="AC277" s="587"/>
      <c r="AE277" s="587"/>
      <c r="AF277" s="587"/>
      <c r="AG277" s="587"/>
      <c r="AH277" s="587"/>
      <c r="AI277" s="587"/>
      <c r="AJ277" s="587"/>
      <c r="AK277" s="587"/>
      <c r="AL277" s="587"/>
      <c r="AM277" s="587"/>
      <c r="AO277" s="587"/>
      <c r="AP277" s="587"/>
      <c r="AQ277" s="587"/>
      <c r="AR277" s="587"/>
      <c r="AS277" s="587"/>
      <c r="AT277" s="587"/>
      <c r="AU277" s="587"/>
      <c r="AV277" s="587"/>
      <c r="AW277" s="587"/>
    </row>
    <row r="278" spans="1:49">
      <c r="A278" s="581">
        <v>17807</v>
      </c>
      <c r="B278" s="594">
        <v>7.0999999999999994E-2</v>
      </c>
      <c r="C278" s="577">
        <v>4.0300000000000002E-2</v>
      </c>
      <c r="D278" s="577">
        <v>1.9E-3</v>
      </c>
      <c r="E278" s="577">
        <v>2.3666666666666667E-3</v>
      </c>
      <c r="F278" s="577">
        <v>2.4499999999999999E-3</v>
      </c>
      <c r="G278" s="577">
        <v>2.4083333333333335E-3</v>
      </c>
      <c r="H278" s="577">
        <v>2.5249999999999999E-3</v>
      </c>
      <c r="I278" s="577">
        <f t="shared" si="46"/>
        <v>6.9099999999999995E-2</v>
      </c>
      <c r="J278" s="577">
        <f t="shared" si="39"/>
        <v>6.8591666666666662E-2</v>
      </c>
      <c r="K278" s="577">
        <f t="shared" si="40"/>
        <v>3.7775000000000003E-2</v>
      </c>
      <c r="L278" s="585">
        <f t="shared" si="47"/>
        <v>0.13433068713211571</v>
      </c>
      <c r="M278" s="585">
        <f t="shared" si="48"/>
        <v>2.2800000000000001E-2</v>
      </c>
      <c r="N278" s="585">
        <f t="shared" si="41"/>
        <v>2.8900000000000002E-2</v>
      </c>
      <c r="O278" s="586">
        <f t="shared" si="49"/>
        <v>0.11153068713211571</v>
      </c>
      <c r="P278" s="585">
        <f t="shared" si="42"/>
        <v>0.1054306871321157</v>
      </c>
      <c r="Q278" s="585">
        <f t="shared" si="43"/>
        <v>4.6916379715972845E-2</v>
      </c>
      <c r="R278" s="585">
        <f t="shared" si="44"/>
        <v>3.0300000000000001E-2</v>
      </c>
      <c r="S278" s="586">
        <f t="shared" si="45"/>
        <v>1.6616379715972844E-2</v>
      </c>
      <c r="U278" s="587"/>
      <c r="V278" s="587"/>
      <c r="W278" s="587"/>
      <c r="X278" s="587"/>
      <c r="Y278" s="587"/>
      <c r="Z278" s="587"/>
      <c r="AA278" s="587"/>
      <c r="AB278" s="587"/>
      <c r="AC278" s="587"/>
      <c r="AE278" s="587"/>
      <c r="AF278" s="587"/>
      <c r="AG278" s="587"/>
      <c r="AH278" s="587"/>
      <c r="AI278" s="587"/>
      <c r="AJ278" s="587"/>
      <c r="AK278" s="587"/>
      <c r="AL278" s="587"/>
      <c r="AM278" s="587"/>
      <c r="AO278" s="587"/>
      <c r="AP278" s="587"/>
      <c r="AQ278" s="587"/>
      <c r="AR278" s="587"/>
      <c r="AS278" s="587"/>
      <c r="AT278" s="587"/>
      <c r="AU278" s="587"/>
      <c r="AV278" s="587"/>
      <c r="AW278" s="587"/>
    </row>
    <row r="279" spans="1:49">
      <c r="A279" s="581">
        <v>17838</v>
      </c>
      <c r="B279" s="594">
        <v>-9.6100000000000005E-2</v>
      </c>
      <c r="C279" s="577">
        <v>-9.1299999999999992E-2</v>
      </c>
      <c r="D279" s="577">
        <v>2.0999999999999999E-3</v>
      </c>
      <c r="E279" s="577">
        <v>2.3666666666666667E-3</v>
      </c>
      <c r="F279" s="577">
        <v>2.4333333333333334E-3</v>
      </c>
      <c r="G279" s="577">
        <v>2.3999999999999998E-3</v>
      </c>
      <c r="H279" s="577">
        <v>2.5583333333333335E-3</v>
      </c>
      <c r="I279" s="577">
        <f t="shared" si="46"/>
        <v>-9.820000000000001E-2</v>
      </c>
      <c r="J279" s="577">
        <f t="shared" si="39"/>
        <v>-9.8500000000000004E-2</v>
      </c>
      <c r="K279" s="577">
        <f t="shared" si="40"/>
        <v>-9.3858333333333321E-2</v>
      </c>
      <c r="L279" s="585">
        <f t="shared" si="47"/>
        <v>4.3584232161547165E-2</v>
      </c>
      <c r="M279" s="585">
        <f t="shared" si="48"/>
        <v>2.52E-2</v>
      </c>
      <c r="N279" s="585">
        <f t="shared" si="41"/>
        <v>2.8799999999999999E-2</v>
      </c>
      <c r="O279" s="586">
        <f t="shared" si="49"/>
        <v>1.8384232161547165E-2</v>
      </c>
      <c r="P279" s="585">
        <f t="shared" si="42"/>
        <v>1.4784232161547166E-2</v>
      </c>
      <c r="Q279" s="585">
        <f t="shared" si="43"/>
        <v>3.6762112301552241E-2</v>
      </c>
      <c r="R279" s="585">
        <f t="shared" si="44"/>
        <v>3.0700000000000002E-2</v>
      </c>
      <c r="S279" s="586">
        <f t="shared" si="45"/>
        <v>6.0621123015522395E-3</v>
      </c>
      <c r="U279" s="587"/>
      <c r="V279" s="587"/>
      <c r="W279" s="587"/>
      <c r="X279" s="587"/>
      <c r="Y279" s="587"/>
      <c r="Z279" s="587"/>
      <c r="AA279" s="587"/>
      <c r="AB279" s="587"/>
      <c r="AC279" s="587"/>
      <c r="AE279" s="587"/>
      <c r="AF279" s="587"/>
      <c r="AG279" s="587"/>
      <c r="AH279" s="587"/>
      <c r="AI279" s="587"/>
      <c r="AJ279" s="587"/>
      <c r="AK279" s="587"/>
      <c r="AL279" s="587"/>
      <c r="AM279" s="587"/>
      <c r="AO279" s="587"/>
      <c r="AP279" s="587"/>
      <c r="AQ279" s="587"/>
      <c r="AR279" s="587"/>
      <c r="AS279" s="587"/>
      <c r="AT279" s="587"/>
      <c r="AU279" s="587"/>
      <c r="AV279" s="587"/>
      <c r="AW279" s="587"/>
    </row>
    <row r="280" spans="1:49">
      <c r="A280" s="581">
        <v>17868</v>
      </c>
      <c r="B280" s="594">
        <v>3.4599999999999999E-2</v>
      </c>
      <c r="C280" s="577">
        <v>2.2099999999999998E-2</v>
      </c>
      <c r="D280" s="577">
        <v>2E-3</v>
      </c>
      <c r="E280" s="577">
        <v>2.3250000000000002E-3</v>
      </c>
      <c r="F280" s="577">
        <v>2.3999999999999998E-3</v>
      </c>
      <c r="G280" s="577">
        <v>2.3625E-3</v>
      </c>
      <c r="H280" s="577">
        <v>2.5500000000000002E-3</v>
      </c>
      <c r="I280" s="577">
        <f t="shared" si="46"/>
        <v>3.2599999999999997E-2</v>
      </c>
      <c r="J280" s="577">
        <f t="shared" si="39"/>
        <v>3.2237500000000002E-2</v>
      </c>
      <c r="K280" s="577">
        <f t="shared" si="40"/>
        <v>1.9549999999999998E-2</v>
      </c>
      <c r="L280" s="585">
        <f t="shared" si="47"/>
        <v>5.5108224952932883E-2</v>
      </c>
      <c r="M280" s="585">
        <f t="shared" si="48"/>
        <v>2.4E-2</v>
      </c>
      <c r="N280" s="585">
        <f t="shared" si="41"/>
        <v>2.835E-2</v>
      </c>
      <c r="O280" s="586">
        <f t="shared" si="49"/>
        <v>3.1108224952932882E-2</v>
      </c>
      <c r="P280" s="585">
        <f t="shared" si="42"/>
        <v>2.6758224952932883E-2</v>
      </c>
      <c r="Q280" s="585">
        <f t="shared" si="43"/>
        <v>4.0018210799309673E-2</v>
      </c>
      <c r="R280" s="585">
        <f t="shared" si="44"/>
        <v>3.0600000000000002E-2</v>
      </c>
      <c r="S280" s="586">
        <f t="shared" si="45"/>
        <v>9.4182107993096703E-3</v>
      </c>
      <c r="U280" s="587"/>
      <c r="V280" s="587"/>
      <c r="W280" s="587"/>
      <c r="X280" s="587"/>
      <c r="Y280" s="587"/>
      <c r="Z280" s="587"/>
      <c r="AA280" s="587"/>
      <c r="AB280" s="587"/>
      <c r="AC280" s="587"/>
      <c r="AE280" s="587"/>
      <c r="AF280" s="587"/>
      <c r="AG280" s="587"/>
      <c r="AH280" s="587"/>
      <c r="AI280" s="587"/>
      <c r="AJ280" s="587"/>
      <c r="AK280" s="587"/>
      <c r="AL280" s="587"/>
      <c r="AM280" s="587"/>
      <c r="AO280" s="587"/>
      <c r="AP280" s="587"/>
      <c r="AQ280" s="587"/>
      <c r="AR280" s="587"/>
      <c r="AS280" s="587"/>
      <c r="AT280" s="587"/>
      <c r="AU280" s="587"/>
      <c r="AV280" s="587"/>
      <c r="AW280" s="587"/>
    </row>
    <row r="281" spans="1:49">
      <c r="A281" s="581">
        <v>17899</v>
      </c>
      <c r="B281" s="594">
        <v>3.8999999999999998E-3</v>
      </c>
      <c r="C281" s="577">
        <v>5.04E-2</v>
      </c>
      <c r="D281" s="577">
        <v>2E-3</v>
      </c>
      <c r="E281" s="577">
        <v>2.2583333333333331E-3</v>
      </c>
      <c r="F281" s="577">
        <v>2.3416666666666668E-3</v>
      </c>
      <c r="G281" s="577">
        <v>2.3E-3</v>
      </c>
      <c r="H281" s="577">
        <v>2.4916666666666668E-3</v>
      </c>
      <c r="I281" s="577">
        <f t="shared" si="46"/>
        <v>1.8999999999999998E-3</v>
      </c>
      <c r="J281" s="577">
        <f t="shared" si="39"/>
        <v>1.5999999999999999E-3</v>
      </c>
      <c r="K281" s="577">
        <f t="shared" si="40"/>
        <v>4.7908333333333331E-2</v>
      </c>
      <c r="L281" s="585">
        <f t="shared" si="47"/>
        <v>0.10094911862618194</v>
      </c>
      <c r="M281" s="585">
        <f t="shared" si="48"/>
        <v>2.4E-2</v>
      </c>
      <c r="N281" s="585">
        <f t="shared" si="41"/>
        <v>2.76E-2</v>
      </c>
      <c r="O281" s="586">
        <f t="shared" si="49"/>
        <v>7.694911862618195E-2</v>
      </c>
      <c r="P281" s="585">
        <f t="shared" si="42"/>
        <v>7.3349118626181944E-2</v>
      </c>
      <c r="Q281" s="585">
        <f t="shared" si="43"/>
        <v>8.484123994398729E-2</v>
      </c>
      <c r="R281" s="585">
        <f t="shared" si="44"/>
        <v>2.9900000000000003E-2</v>
      </c>
      <c r="S281" s="586">
        <f t="shared" si="45"/>
        <v>5.4941239943987287E-2</v>
      </c>
      <c r="U281" s="587"/>
      <c r="V281" s="587"/>
      <c r="W281" s="587"/>
      <c r="X281" s="587"/>
      <c r="Y281" s="587"/>
      <c r="Z281" s="587"/>
      <c r="AA281" s="587"/>
      <c r="AB281" s="587"/>
      <c r="AC281" s="587"/>
      <c r="AE281" s="587"/>
      <c r="AF281" s="587"/>
      <c r="AG281" s="587"/>
      <c r="AH281" s="587"/>
      <c r="AI281" s="587"/>
      <c r="AJ281" s="587"/>
      <c r="AK281" s="587"/>
      <c r="AL281" s="587"/>
      <c r="AM281" s="587"/>
      <c r="AO281" s="587"/>
      <c r="AP281" s="587"/>
      <c r="AQ281" s="587"/>
      <c r="AR281" s="587"/>
      <c r="AS281" s="587"/>
      <c r="AT281" s="587"/>
      <c r="AU281" s="587"/>
      <c r="AV281" s="587"/>
      <c r="AW281" s="587"/>
    </row>
    <row r="282" spans="1:49">
      <c r="A282" s="581">
        <v>17930</v>
      </c>
      <c r="B282" s="594">
        <v>-2.9600000000000001E-2</v>
      </c>
      <c r="C282" s="577">
        <v>5.0000000000000044E-4</v>
      </c>
      <c r="D282" s="577">
        <v>1.8E-3</v>
      </c>
      <c r="E282" s="577">
        <v>2.2583333333333331E-3</v>
      </c>
      <c r="F282" s="577">
        <v>2.3333333333333331E-3</v>
      </c>
      <c r="G282" s="577">
        <v>2.2958333333333329E-3</v>
      </c>
      <c r="H282" s="577">
        <v>2.4916666666666668E-3</v>
      </c>
      <c r="I282" s="577">
        <f t="shared" si="46"/>
        <v>-3.1400000000000004E-2</v>
      </c>
      <c r="J282" s="577">
        <f t="shared" si="39"/>
        <v>-3.1895833333333332E-2</v>
      </c>
      <c r="K282" s="577">
        <f t="shared" si="40"/>
        <v>-1.9916666666666663E-3</v>
      </c>
      <c r="L282" s="585">
        <f t="shared" si="47"/>
        <v>0.11148670902501734</v>
      </c>
      <c r="M282" s="585">
        <f t="shared" si="48"/>
        <v>2.1600000000000001E-2</v>
      </c>
      <c r="N282" s="585">
        <f t="shared" si="41"/>
        <v>2.7549999999999995E-2</v>
      </c>
      <c r="O282" s="586">
        <f t="shared" si="49"/>
        <v>8.9886709025017331E-2</v>
      </c>
      <c r="P282" s="585">
        <f t="shared" si="42"/>
        <v>8.3936709025017348E-2</v>
      </c>
      <c r="Q282" s="585">
        <f t="shared" si="43"/>
        <v>0.12731996319480543</v>
      </c>
      <c r="R282" s="585">
        <f t="shared" si="44"/>
        <v>2.9900000000000003E-2</v>
      </c>
      <c r="S282" s="586">
        <f t="shared" si="45"/>
        <v>9.741996319480542E-2</v>
      </c>
      <c r="U282" s="587"/>
      <c r="V282" s="587"/>
      <c r="W282" s="587"/>
      <c r="X282" s="587"/>
      <c r="Y282" s="587"/>
      <c r="Z282" s="587"/>
      <c r="AA282" s="587"/>
      <c r="AB282" s="587"/>
      <c r="AC282" s="587"/>
      <c r="AE282" s="587"/>
      <c r="AF282" s="587"/>
      <c r="AG282" s="587"/>
      <c r="AH282" s="587"/>
      <c r="AI282" s="587"/>
      <c r="AJ282" s="587"/>
      <c r="AK282" s="587"/>
      <c r="AL282" s="587"/>
      <c r="AM282" s="587"/>
      <c r="AO282" s="587"/>
      <c r="AP282" s="587"/>
      <c r="AQ282" s="587"/>
      <c r="AR282" s="587"/>
      <c r="AS282" s="587"/>
      <c r="AT282" s="587"/>
      <c r="AU282" s="587"/>
      <c r="AV282" s="587"/>
      <c r="AW282" s="587"/>
    </row>
    <row r="283" spans="1:49">
      <c r="A283" s="581">
        <v>17958</v>
      </c>
      <c r="B283" s="594">
        <v>3.2800000000000003E-2</v>
      </c>
      <c r="C283" s="577">
        <v>3.6400000000000002E-2</v>
      </c>
      <c r="D283" s="577">
        <v>1.9E-3</v>
      </c>
      <c r="E283" s="577">
        <v>2.2500000000000003E-3</v>
      </c>
      <c r="F283" s="577">
        <v>2.3250000000000002E-3</v>
      </c>
      <c r="G283" s="577">
        <v>2.2875E-3</v>
      </c>
      <c r="H283" s="577">
        <v>2.4750000000000002E-3</v>
      </c>
      <c r="I283" s="577">
        <f t="shared" si="46"/>
        <v>3.0900000000000004E-2</v>
      </c>
      <c r="J283" s="577">
        <f t="shared" si="39"/>
        <v>3.0512500000000001E-2</v>
      </c>
      <c r="K283" s="577">
        <f t="shared" si="40"/>
        <v>3.3925000000000004E-2</v>
      </c>
      <c r="L283" s="585">
        <f t="shared" si="47"/>
        <v>6.3599993589398496E-2</v>
      </c>
      <c r="M283" s="585">
        <f t="shared" si="48"/>
        <v>2.2800000000000001E-2</v>
      </c>
      <c r="N283" s="585">
        <f t="shared" si="41"/>
        <v>2.7450000000000002E-2</v>
      </c>
      <c r="O283" s="586">
        <f t="shared" si="49"/>
        <v>4.0799993589398495E-2</v>
      </c>
      <c r="P283" s="585">
        <f t="shared" si="42"/>
        <v>3.6149993589398494E-2</v>
      </c>
      <c r="Q283" s="585">
        <f t="shared" si="43"/>
        <v>0.10045625869369545</v>
      </c>
      <c r="R283" s="585">
        <f t="shared" si="44"/>
        <v>2.9700000000000004E-2</v>
      </c>
      <c r="S283" s="586">
        <f t="shared" si="45"/>
        <v>7.0756258693695451E-2</v>
      </c>
      <c r="U283" s="587"/>
      <c r="V283" s="587"/>
      <c r="W283" s="587"/>
      <c r="X283" s="587"/>
      <c r="Y283" s="587"/>
      <c r="Z283" s="587"/>
      <c r="AA283" s="587"/>
      <c r="AB283" s="587"/>
      <c r="AC283" s="587"/>
      <c r="AE283" s="587"/>
      <c r="AF283" s="587"/>
      <c r="AG283" s="587"/>
      <c r="AH283" s="587"/>
      <c r="AI283" s="587"/>
      <c r="AJ283" s="587"/>
      <c r="AK283" s="587"/>
      <c r="AL283" s="587"/>
      <c r="AM283" s="587"/>
      <c r="AO283" s="587"/>
      <c r="AP283" s="587"/>
      <c r="AQ283" s="587"/>
      <c r="AR283" s="587"/>
      <c r="AS283" s="587"/>
      <c r="AT283" s="587"/>
      <c r="AU283" s="587"/>
      <c r="AV283" s="587"/>
      <c r="AW283" s="587"/>
    </row>
    <row r="284" spans="1:49">
      <c r="A284" s="581">
        <v>17989</v>
      </c>
      <c r="B284" s="594">
        <v>-1.7899999999999999E-2</v>
      </c>
      <c r="C284" s="577">
        <v>5.7999999999999996E-3</v>
      </c>
      <c r="D284" s="577">
        <v>1.8E-3</v>
      </c>
      <c r="E284" s="577">
        <v>2.2500000000000003E-3</v>
      </c>
      <c r="F284" s="577">
        <v>2.3250000000000002E-3</v>
      </c>
      <c r="G284" s="577">
        <v>2.2875E-3</v>
      </c>
      <c r="H284" s="577">
        <v>2.4666666666666669E-3</v>
      </c>
      <c r="I284" s="577">
        <f t="shared" si="46"/>
        <v>-1.9699999999999999E-2</v>
      </c>
      <c r="J284" s="577">
        <f t="shared" si="39"/>
        <v>-2.0187500000000001E-2</v>
      </c>
      <c r="K284" s="577">
        <f t="shared" si="40"/>
        <v>3.3333333333333327E-3</v>
      </c>
      <c r="L284" s="585">
        <f t="shared" si="47"/>
        <v>1.4925722604108849E-2</v>
      </c>
      <c r="M284" s="585">
        <f t="shared" si="48"/>
        <v>2.1600000000000001E-2</v>
      </c>
      <c r="N284" s="585">
        <f t="shared" si="41"/>
        <v>2.7450000000000002E-2</v>
      </c>
      <c r="O284" s="586">
        <f t="shared" si="49"/>
        <v>-6.6742773958911525E-3</v>
      </c>
      <c r="P284" s="585">
        <f t="shared" si="42"/>
        <v>-1.2524277395891154E-2</v>
      </c>
      <c r="Q284" s="585">
        <f t="shared" si="43"/>
        <v>8.9408371057204006E-2</v>
      </c>
      <c r="R284" s="585">
        <f t="shared" si="44"/>
        <v>2.9600000000000001E-2</v>
      </c>
      <c r="S284" s="586">
        <f t="shared" si="45"/>
        <v>5.9808371057204004E-2</v>
      </c>
      <c r="U284" s="587"/>
      <c r="V284" s="587"/>
      <c r="W284" s="587"/>
      <c r="X284" s="587"/>
      <c r="Y284" s="587"/>
      <c r="Z284" s="587"/>
      <c r="AA284" s="587"/>
      <c r="AB284" s="587"/>
      <c r="AC284" s="587"/>
      <c r="AE284" s="587"/>
      <c r="AF284" s="587"/>
      <c r="AG284" s="587"/>
      <c r="AH284" s="587"/>
      <c r="AI284" s="587"/>
      <c r="AJ284" s="587"/>
      <c r="AK284" s="587"/>
      <c r="AL284" s="587"/>
      <c r="AM284" s="587"/>
      <c r="AO284" s="587"/>
      <c r="AP284" s="587"/>
      <c r="AQ284" s="587"/>
      <c r="AR284" s="587"/>
      <c r="AS284" s="587"/>
      <c r="AT284" s="587"/>
      <c r="AU284" s="587"/>
      <c r="AV284" s="587"/>
      <c r="AW284" s="587"/>
    </row>
    <row r="285" spans="1:49">
      <c r="A285" s="581">
        <v>18019</v>
      </c>
      <c r="B285" s="594">
        <v>-2.58E-2</v>
      </c>
      <c r="C285" s="577">
        <v>3.4000000000000002E-3</v>
      </c>
      <c r="D285" s="577">
        <v>2E-3</v>
      </c>
      <c r="E285" s="577">
        <v>2.2583333333333331E-3</v>
      </c>
      <c r="F285" s="577">
        <v>2.3166666666666665E-3</v>
      </c>
      <c r="G285" s="577">
        <v>2.2875E-3</v>
      </c>
      <c r="H285" s="577">
        <v>2.4583333333333336E-3</v>
      </c>
      <c r="I285" s="577">
        <f t="shared" si="46"/>
        <v>-2.7799999999999998E-2</v>
      </c>
      <c r="J285" s="577">
        <f t="shared" ref="J285:J348" si="50">B285-G285</f>
        <v>-2.8087500000000001E-2</v>
      </c>
      <c r="K285" s="577">
        <f t="shared" ref="K285:K348" si="51">$C285-H285</f>
        <v>9.4166666666666661E-4</v>
      </c>
      <c r="L285" s="585">
        <f t="shared" si="47"/>
        <v>-9.1147496129311056E-2</v>
      </c>
      <c r="M285" s="585">
        <f t="shared" si="48"/>
        <v>2.4E-2</v>
      </c>
      <c r="N285" s="585">
        <f t="shared" si="41"/>
        <v>2.7450000000000002E-2</v>
      </c>
      <c r="O285" s="586">
        <f t="shared" si="49"/>
        <v>-0.11514749612931105</v>
      </c>
      <c r="P285" s="585">
        <f t="shared" si="42"/>
        <v>-0.11859749612931106</v>
      </c>
      <c r="Q285" s="585">
        <f t="shared" si="43"/>
        <v>3.2894604099781066E-2</v>
      </c>
      <c r="R285" s="585">
        <f t="shared" si="44"/>
        <v>2.9500000000000005E-2</v>
      </c>
      <c r="S285" s="586">
        <f t="shared" si="45"/>
        <v>3.3946040997810609E-3</v>
      </c>
      <c r="U285" s="587"/>
      <c r="V285" s="587"/>
      <c r="W285" s="587"/>
      <c r="X285" s="587"/>
      <c r="Y285" s="587"/>
      <c r="Z285" s="587"/>
      <c r="AA285" s="587"/>
      <c r="AB285" s="587"/>
      <c r="AC285" s="587"/>
      <c r="AE285" s="587"/>
      <c r="AF285" s="587"/>
      <c r="AG285" s="587"/>
      <c r="AH285" s="587"/>
      <c r="AI285" s="587"/>
      <c r="AJ285" s="587"/>
      <c r="AK285" s="587"/>
      <c r="AL285" s="587"/>
      <c r="AM285" s="587"/>
      <c r="AO285" s="587"/>
      <c r="AP285" s="587"/>
      <c r="AQ285" s="587"/>
      <c r="AR285" s="587"/>
      <c r="AS285" s="587"/>
      <c r="AT285" s="587"/>
      <c r="AU285" s="587"/>
      <c r="AV285" s="587"/>
      <c r="AW285" s="587"/>
    </row>
    <row r="286" spans="1:49">
      <c r="A286" s="581">
        <v>18050</v>
      </c>
      <c r="B286" s="594">
        <v>1.4E-3</v>
      </c>
      <c r="C286" s="577">
        <v>-1.3399999999999999E-2</v>
      </c>
      <c r="D286" s="577">
        <v>1.9E-3</v>
      </c>
      <c r="E286" s="577">
        <v>2.2583333333333331E-3</v>
      </c>
      <c r="F286" s="577">
        <v>2.3166666666666665E-3</v>
      </c>
      <c r="G286" s="577">
        <v>2.2875E-3</v>
      </c>
      <c r="H286" s="577">
        <v>2.4499999999999999E-3</v>
      </c>
      <c r="I286" s="577">
        <f t="shared" si="46"/>
        <v>-5.0000000000000001E-4</v>
      </c>
      <c r="J286" s="577">
        <f t="shared" si="50"/>
        <v>-8.8750000000000005E-4</v>
      </c>
      <c r="K286" s="577">
        <f t="shared" si="51"/>
        <v>-1.585E-2</v>
      </c>
      <c r="L286" s="585">
        <f t="shared" si="47"/>
        <v>-9.4763380369894512E-2</v>
      </c>
      <c r="M286" s="585">
        <f t="shared" si="48"/>
        <v>2.2800000000000001E-2</v>
      </c>
      <c r="N286" s="585">
        <f t="shared" si="41"/>
        <v>2.7450000000000002E-2</v>
      </c>
      <c r="O286" s="586">
        <f t="shared" si="49"/>
        <v>-0.11756338036989451</v>
      </c>
      <c r="P286" s="585">
        <f t="shared" si="42"/>
        <v>-0.12221338036989451</v>
      </c>
      <c r="Q286" s="585">
        <f t="shared" si="43"/>
        <v>-2.1016290591027165E-3</v>
      </c>
      <c r="R286" s="585">
        <f t="shared" si="44"/>
        <v>2.9399999999999999E-2</v>
      </c>
      <c r="S286" s="586">
        <f t="shared" si="45"/>
        <v>-3.1501629059102712E-2</v>
      </c>
      <c r="U286" s="587"/>
      <c r="V286" s="587"/>
      <c r="W286" s="587"/>
      <c r="X286" s="587"/>
      <c r="Y286" s="587"/>
      <c r="Z286" s="587"/>
      <c r="AA286" s="587"/>
      <c r="AB286" s="587"/>
      <c r="AC286" s="587"/>
      <c r="AE286" s="587"/>
      <c r="AF286" s="587"/>
      <c r="AG286" s="587"/>
      <c r="AH286" s="587"/>
      <c r="AI286" s="587"/>
      <c r="AJ286" s="587"/>
      <c r="AK286" s="587"/>
      <c r="AL286" s="587"/>
      <c r="AM286" s="587"/>
      <c r="AO286" s="587"/>
      <c r="AP286" s="587"/>
      <c r="AQ286" s="587"/>
      <c r="AR286" s="587"/>
      <c r="AS286" s="587"/>
      <c r="AT286" s="587"/>
      <c r="AU286" s="587"/>
      <c r="AV286" s="587"/>
      <c r="AW286" s="587"/>
    </row>
    <row r="287" spans="1:49">
      <c r="A287" s="581">
        <v>18080</v>
      </c>
      <c r="B287" s="594">
        <v>6.5000000000000002E-2</v>
      </c>
      <c r="C287" s="577">
        <v>5.6899999999999992E-2</v>
      </c>
      <c r="D287" s="577">
        <v>1.6999999999999999E-3</v>
      </c>
      <c r="E287" s="577">
        <v>2.225E-3</v>
      </c>
      <c r="F287" s="577">
        <v>2.2916666666666667E-3</v>
      </c>
      <c r="G287" s="577">
        <v>2.2583333333333331E-3</v>
      </c>
      <c r="H287" s="577">
        <v>2.4166666666666668E-3</v>
      </c>
      <c r="I287" s="577">
        <f t="shared" si="46"/>
        <v>6.3300000000000009E-2</v>
      </c>
      <c r="J287" s="577">
        <f t="shared" si="50"/>
        <v>6.2741666666666668E-2</v>
      </c>
      <c r="K287" s="577">
        <f t="shared" si="51"/>
        <v>5.4483333333333328E-2</v>
      </c>
      <c r="L287" s="585">
        <f t="shared" si="47"/>
        <v>1.5673198383967746E-2</v>
      </c>
      <c r="M287" s="585">
        <f t="shared" si="48"/>
        <v>2.0399999999999998E-2</v>
      </c>
      <c r="N287" s="585">
        <f t="shared" si="41"/>
        <v>2.7099999999999999E-2</v>
      </c>
      <c r="O287" s="586">
        <f t="shared" si="49"/>
        <v>-4.7268016160322522E-3</v>
      </c>
      <c r="P287" s="585">
        <f t="shared" si="42"/>
        <v>-1.1426801616032253E-2</v>
      </c>
      <c r="Q287" s="585">
        <f t="shared" si="43"/>
        <v>0.10356679737096752</v>
      </c>
      <c r="R287" s="585">
        <f t="shared" si="44"/>
        <v>2.9000000000000001E-2</v>
      </c>
      <c r="S287" s="586">
        <f t="shared" si="45"/>
        <v>7.4566797370967525E-2</v>
      </c>
      <c r="U287" s="587"/>
      <c r="V287" s="587"/>
      <c r="W287" s="587"/>
      <c r="X287" s="587"/>
      <c r="Y287" s="587"/>
      <c r="Z287" s="587"/>
      <c r="AA287" s="587"/>
      <c r="AB287" s="587"/>
      <c r="AC287" s="587"/>
      <c r="AE287" s="587"/>
      <c r="AF287" s="587"/>
      <c r="AG287" s="587"/>
      <c r="AH287" s="587"/>
      <c r="AI287" s="587"/>
      <c r="AJ287" s="587"/>
      <c r="AK287" s="587"/>
      <c r="AL287" s="587"/>
      <c r="AM287" s="587"/>
      <c r="AO287" s="587"/>
      <c r="AP287" s="587"/>
      <c r="AQ287" s="587"/>
      <c r="AR287" s="587"/>
      <c r="AS287" s="587"/>
      <c r="AT287" s="587"/>
      <c r="AU287" s="587"/>
      <c r="AV287" s="587"/>
      <c r="AW287" s="587"/>
    </row>
    <row r="288" spans="1:49">
      <c r="A288" s="581">
        <v>18111</v>
      </c>
      <c r="B288" s="594">
        <v>2.1899999999999999E-2</v>
      </c>
      <c r="C288" s="577">
        <v>3.4599999999999999E-2</v>
      </c>
      <c r="D288" s="577">
        <v>1.9E-3</v>
      </c>
      <c r="E288" s="577">
        <v>2.1833333333333336E-3</v>
      </c>
      <c r="F288" s="577">
        <v>2.2583333333333331E-3</v>
      </c>
      <c r="G288" s="577">
        <v>2.2208333333333333E-3</v>
      </c>
      <c r="H288" s="577">
        <v>2.3833333333333332E-3</v>
      </c>
      <c r="I288" s="577">
        <f t="shared" si="46"/>
        <v>0.02</v>
      </c>
      <c r="J288" s="577">
        <f t="shared" si="50"/>
        <v>1.9679166666666664E-2</v>
      </c>
      <c r="K288" s="577">
        <f t="shared" si="51"/>
        <v>3.2216666666666664E-2</v>
      </c>
      <c r="L288" s="585">
        <f t="shared" si="47"/>
        <v>2.1772436925158845E-2</v>
      </c>
      <c r="M288" s="585">
        <f t="shared" si="48"/>
        <v>2.2800000000000001E-2</v>
      </c>
      <c r="N288" s="585">
        <f t="shared" si="41"/>
        <v>2.665E-2</v>
      </c>
      <c r="O288" s="586">
        <f t="shared" si="49"/>
        <v>-1.0275630748411563E-3</v>
      </c>
      <c r="P288" s="585">
        <f t="shared" si="42"/>
        <v>-4.8775630748411555E-3</v>
      </c>
      <c r="Q288" s="585">
        <f t="shared" si="43"/>
        <v>0.13765465181347492</v>
      </c>
      <c r="R288" s="585">
        <f t="shared" si="44"/>
        <v>2.86E-2</v>
      </c>
      <c r="S288" s="586">
        <f t="shared" si="45"/>
        <v>0.10905465181347491</v>
      </c>
      <c r="U288" s="587"/>
      <c r="V288" s="587"/>
      <c r="W288" s="587"/>
      <c r="X288" s="587"/>
      <c r="Y288" s="587"/>
      <c r="Z288" s="587"/>
      <c r="AA288" s="587"/>
      <c r="AB288" s="587"/>
      <c r="AC288" s="587"/>
      <c r="AE288" s="587"/>
      <c r="AF288" s="587"/>
      <c r="AG288" s="587"/>
      <c r="AH288" s="587"/>
      <c r="AI288" s="587"/>
      <c r="AJ288" s="587"/>
      <c r="AK288" s="587"/>
      <c r="AL288" s="587"/>
      <c r="AM288" s="587"/>
      <c r="AO288" s="587"/>
      <c r="AP288" s="587"/>
      <c r="AQ288" s="587"/>
      <c r="AR288" s="587"/>
      <c r="AS288" s="587"/>
      <c r="AT288" s="587"/>
      <c r="AU288" s="587"/>
      <c r="AV288" s="587"/>
      <c r="AW288" s="587"/>
    </row>
    <row r="289" spans="1:49">
      <c r="A289" s="581">
        <v>18142</v>
      </c>
      <c r="B289" s="594">
        <v>2.63E-2</v>
      </c>
      <c r="C289" s="577">
        <v>3.73E-2</v>
      </c>
      <c r="D289" s="577">
        <v>1.6999999999999999E-3</v>
      </c>
      <c r="E289" s="577">
        <v>2.1666666666666666E-3</v>
      </c>
      <c r="F289" s="577">
        <v>2.2416666666666665E-3</v>
      </c>
      <c r="G289" s="577">
        <v>2.2041666666666663E-3</v>
      </c>
      <c r="H289" s="577">
        <v>2.3750000000000004E-3</v>
      </c>
      <c r="I289" s="577">
        <f t="shared" si="46"/>
        <v>2.46E-2</v>
      </c>
      <c r="J289" s="577">
        <f t="shared" si="50"/>
        <v>2.4095833333333334E-2</v>
      </c>
      <c r="K289" s="577">
        <f t="shared" si="51"/>
        <v>3.4924999999999998E-2</v>
      </c>
      <c r="L289" s="585">
        <f t="shared" si="47"/>
        <v>7.8409144401779818E-2</v>
      </c>
      <c r="M289" s="585">
        <f t="shared" si="48"/>
        <v>2.0399999999999998E-2</v>
      </c>
      <c r="N289" s="585">
        <f t="shared" si="41"/>
        <v>2.6449999999999994E-2</v>
      </c>
      <c r="O289" s="586">
        <f t="shared" si="49"/>
        <v>5.8009144401779816E-2</v>
      </c>
      <c r="P289" s="585">
        <f t="shared" si="42"/>
        <v>5.1959144401779823E-2</v>
      </c>
      <c r="Q289" s="585">
        <f t="shared" si="43"/>
        <v>0.1885277171176527</v>
      </c>
      <c r="R289" s="585">
        <f t="shared" si="44"/>
        <v>2.8500000000000004E-2</v>
      </c>
      <c r="S289" s="586">
        <f t="shared" si="45"/>
        <v>0.16002771711765271</v>
      </c>
      <c r="U289" s="587"/>
      <c r="V289" s="587"/>
      <c r="W289" s="587"/>
      <c r="X289" s="587"/>
      <c r="Y289" s="587"/>
      <c r="Z289" s="587"/>
      <c r="AA289" s="587"/>
      <c r="AB289" s="587"/>
      <c r="AC289" s="587"/>
      <c r="AE289" s="587"/>
      <c r="AF289" s="587"/>
      <c r="AG289" s="587"/>
      <c r="AH289" s="587"/>
      <c r="AI289" s="587"/>
      <c r="AJ289" s="587"/>
      <c r="AK289" s="587"/>
      <c r="AL289" s="587"/>
      <c r="AM289" s="587"/>
      <c r="AO289" s="587"/>
      <c r="AP289" s="587"/>
      <c r="AQ289" s="587"/>
      <c r="AR289" s="587"/>
      <c r="AS289" s="587"/>
      <c r="AT289" s="587"/>
      <c r="AU289" s="587"/>
      <c r="AV289" s="587"/>
      <c r="AW289" s="587"/>
    </row>
    <row r="290" spans="1:49">
      <c r="A290" s="581">
        <v>18172</v>
      </c>
      <c r="B290" s="594">
        <v>3.4000000000000002E-2</v>
      </c>
      <c r="C290" s="577">
        <v>1.1199999999999998E-2</v>
      </c>
      <c r="D290" s="577">
        <v>1.8E-3</v>
      </c>
      <c r="E290" s="577">
        <v>2.1749999999999999E-3</v>
      </c>
      <c r="F290" s="577">
        <v>2.2500000000000003E-3</v>
      </c>
      <c r="G290" s="577">
        <v>2.2125000000000001E-3</v>
      </c>
      <c r="H290" s="577">
        <v>2.3583333333333334E-3</v>
      </c>
      <c r="I290" s="577">
        <f t="shared" si="46"/>
        <v>3.2199999999999999E-2</v>
      </c>
      <c r="J290" s="577">
        <f t="shared" si="50"/>
        <v>3.1787500000000003E-2</v>
      </c>
      <c r="K290" s="577">
        <f t="shared" si="51"/>
        <v>8.8416666666666643E-3</v>
      </c>
      <c r="L290" s="585">
        <f t="shared" si="47"/>
        <v>4.1153179562502862E-2</v>
      </c>
      <c r="M290" s="585">
        <f t="shared" si="48"/>
        <v>2.1600000000000001E-2</v>
      </c>
      <c r="N290" s="585">
        <f t="shared" si="41"/>
        <v>2.6550000000000001E-2</v>
      </c>
      <c r="O290" s="586">
        <f t="shared" si="49"/>
        <v>1.9553179562502861E-2</v>
      </c>
      <c r="P290" s="585">
        <f t="shared" si="42"/>
        <v>1.4603179562502861E-2</v>
      </c>
      <c r="Q290" s="585">
        <f t="shared" si="43"/>
        <v>0.15528138762796395</v>
      </c>
      <c r="R290" s="585">
        <f t="shared" si="44"/>
        <v>2.8299999999999999E-2</v>
      </c>
      <c r="S290" s="586">
        <f t="shared" si="45"/>
        <v>0.12698138762796396</v>
      </c>
      <c r="U290" s="587"/>
      <c r="V290" s="587"/>
      <c r="W290" s="587"/>
      <c r="X290" s="587"/>
      <c r="Y290" s="587"/>
      <c r="Z290" s="587"/>
      <c r="AA290" s="587"/>
      <c r="AB290" s="587"/>
      <c r="AC290" s="587"/>
      <c r="AE290" s="587"/>
      <c r="AF290" s="587"/>
      <c r="AG290" s="587"/>
      <c r="AH290" s="587"/>
      <c r="AI290" s="587"/>
      <c r="AJ290" s="587"/>
      <c r="AK290" s="587"/>
      <c r="AL290" s="587"/>
      <c r="AM290" s="587"/>
      <c r="AO290" s="587"/>
      <c r="AP290" s="587"/>
      <c r="AQ290" s="587"/>
      <c r="AR290" s="587"/>
      <c r="AS290" s="587"/>
      <c r="AT290" s="587"/>
      <c r="AU290" s="587"/>
      <c r="AV290" s="587"/>
      <c r="AW290" s="587"/>
    </row>
    <row r="291" spans="1:49">
      <c r="A291" s="581">
        <v>18203</v>
      </c>
      <c r="B291" s="594">
        <v>1.7500000000000002E-2</v>
      </c>
      <c r="C291" s="577">
        <v>1.5899999999999997E-2</v>
      </c>
      <c r="D291" s="577">
        <v>1.6999999999999999E-3</v>
      </c>
      <c r="E291" s="577">
        <v>2.1666666666666666E-3</v>
      </c>
      <c r="F291" s="577">
        <v>2.2333333333333337E-3</v>
      </c>
      <c r="G291" s="577">
        <v>2.2000000000000001E-3</v>
      </c>
      <c r="H291" s="577">
        <v>2.3416666666666668E-3</v>
      </c>
      <c r="I291" s="577">
        <f t="shared" si="46"/>
        <v>1.5800000000000002E-2</v>
      </c>
      <c r="J291" s="577">
        <f t="shared" si="50"/>
        <v>1.5300000000000001E-2</v>
      </c>
      <c r="K291" s="577">
        <f t="shared" si="51"/>
        <v>1.355833333333333E-2</v>
      </c>
      <c r="L291" s="585">
        <f t="shared" si="47"/>
        <v>0.17200283239832559</v>
      </c>
      <c r="M291" s="585">
        <f t="shared" si="48"/>
        <v>2.0399999999999998E-2</v>
      </c>
      <c r="N291" s="585">
        <f t="shared" si="41"/>
        <v>2.64E-2</v>
      </c>
      <c r="O291" s="586">
        <f t="shared" si="49"/>
        <v>0.15160283239832559</v>
      </c>
      <c r="P291" s="585">
        <f t="shared" si="42"/>
        <v>0.14560283239832558</v>
      </c>
      <c r="Q291" s="585">
        <f t="shared" si="43"/>
        <v>0.29157077329288894</v>
      </c>
      <c r="R291" s="585">
        <f t="shared" si="44"/>
        <v>2.81E-2</v>
      </c>
      <c r="S291" s="586">
        <f t="shared" si="45"/>
        <v>0.26347077329288893</v>
      </c>
      <c r="U291" s="587"/>
      <c r="V291" s="587"/>
      <c r="W291" s="587"/>
      <c r="X291" s="587"/>
      <c r="Y291" s="587"/>
      <c r="Z291" s="587"/>
      <c r="AA291" s="587"/>
      <c r="AB291" s="587"/>
      <c r="AC291" s="587"/>
      <c r="AE291" s="587"/>
      <c r="AF291" s="587"/>
      <c r="AG291" s="587"/>
      <c r="AH291" s="587"/>
      <c r="AI291" s="587"/>
      <c r="AJ291" s="587"/>
      <c r="AK291" s="587"/>
      <c r="AL291" s="587"/>
      <c r="AM291" s="587"/>
      <c r="AO291" s="587"/>
      <c r="AP291" s="587"/>
      <c r="AQ291" s="587"/>
      <c r="AR291" s="587"/>
      <c r="AS291" s="587"/>
      <c r="AT291" s="587"/>
      <c r="AU291" s="587"/>
      <c r="AV291" s="587"/>
      <c r="AW291" s="587"/>
    </row>
    <row r="292" spans="1:49">
      <c r="A292" s="581">
        <v>18233</v>
      </c>
      <c r="B292" s="594">
        <v>4.8599999999999997E-2</v>
      </c>
      <c r="C292" s="577">
        <v>3.9599999999999996E-2</v>
      </c>
      <c r="D292" s="577">
        <v>1.6999999999999999E-3</v>
      </c>
      <c r="E292" s="577">
        <v>2.15E-3</v>
      </c>
      <c r="F292" s="577">
        <v>2.225E-3</v>
      </c>
      <c r="G292" s="577">
        <v>2.1875000000000002E-3</v>
      </c>
      <c r="H292" s="577">
        <v>2.316666666666667E-3</v>
      </c>
      <c r="I292" s="577">
        <f t="shared" si="46"/>
        <v>4.6899999999999997E-2</v>
      </c>
      <c r="J292" s="577">
        <f t="shared" si="50"/>
        <v>4.6412499999999995E-2</v>
      </c>
      <c r="K292" s="577">
        <f t="shared" si="51"/>
        <v>3.7283333333333328E-2</v>
      </c>
      <c r="L292" s="585">
        <f t="shared" si="47"/>
        <v>0.18786214000858736</v>
      </c>
      <c r="M292" s="585">
        <f t="shared" si="48"/>
        <v>2.0399999999999998E-2</v>
      </c>
      <c r="N292" s="585">
        <f t="shared" si="41"/>
        <v>2.6250000000000002E-2</v>
      </c>
      <c r="O292" s="586">
        <f t="shared" si="49"/>
        <v>0.16746214000858736</v>
      </c>
      <c r="P292" s="585">
        <f t="shared" si="42"/>
        <v>0.16161214000858737</v>
      </c>
      <c r="Q292" s="585">
        <f t="shared" si="43"/>
        <v>0.31368454741736396</v>
      </c>
      <c r="R292" s="585">
        <f t="shared" si="44"/>
        <v>2.7800000000000005E-2</v>
      </c>
      <c r="S292" s="586">
        <f t="shared" si="45"/>
        <v>0.28588454741736397</v>
      </c>
      <c r="U292" s="587"/>
      <c r="V292" s="587"/>
      <c r="W292" s="587"/>
      <c r="X292" s="587"/>
      <c r="Y292" s="587"/>
      <c r="Z292" s="587"/>
      <c r="AA292" s="587"/>
      <c r="AB292" s="587"/>
      <c r="AC292" s="587"/>
      <c r="AE292" s="587"/>
      <c r="AF292" s="587"/>
      <c r="AG292" s="587"/>
      <c r="AH292" s="587"/>
      <c r="AI292" s="587"/>
      <c r="AJ292" s="587"/>
      <c r="AK292" s="587"/>
      <c r="AL292" s="587"/>
      <c r="AM292" s="587"/>
      <c r="AO292" s="587"/>
      <c r="AP292" s="587"/>
      <c r="AQ292" s="587"/>
      <c r="AR292" s="587"/>
      <c r="AS292" s="587"/>
      <c r="AT292" s="587"/>
      <c r="AU292" s="587"/>
      <c r="AV292" s="587"/>
      <c r="AW292" s="587"/>
    </row>
    <row r="293" spans="1:49">
      <c r="A293" s="581">
        <v>18264</v>
      </c>
      <c r="B293" s="594">
        <v>1.9699999999999999E-2</v>
      </c>
      <c r="C293" s="577">
        <v>3.5299999999999998E-2</v>
      </c>
      <c r="D293" s="577">
        <v>1.8E-3</v>
      </c>
      <c r="E293" s="577">
        <v>2.1416666666666663E-3</v>
      </c>
      <c r="F293" s="577">
        <v>2.2083333333333334E-3</v>
      </c>
      <c r="G293" s="577">
        <v>2.1749999999999999E-3</v>
      </c>
      <c r="H293" s="577">
        <v>2.3E-3</v>
      </c>
      <c r="I293" s="577">
        <f t="shared" si="46"/>
        <v>1.7899999999999999E-2</v>
      </c>
      <c r="J293" s="577">
        <f t="shared" si="50"/>
        <v>1.7524999999999999E-2</v>
      </c>
      <c r="K293" s="577">
        <f t="shared" si="51"/>
        <v>3.3000000000000002E-2</v>
      </c>
      <c r="L293" s="585">
        <f t="shared" si="47"/>
        <v>0.20655745011132187</v>
      </c>
      <c r="M293" s="585">
        <f t="shared" si="48"/>
        <v>2.1600000000000001E-2</v>
      </c>
      <c r="N293" s="585">
        <f t="shared" si="41"/>
        <v>2.6099999999999998E-2</v>
      </c>
      <c r="O293" s="586">
        <f t="shared" si="49"/>
        <v>0.18495745011132186</v>
      </c>
      <c r="P293" s="585">
        <f t="shared" si="42"/>
        <v>0.18045745011132186</v>
      </c>
      <c r="Q293" s="585">
        <f t="shared" si="43"/>
        <v>0.29479970672238864</v>
      </c>
      <c r="R293" s="585">
        <f t="shared" si="44"/>
        <v>2.76E-2</v>
      </c>
      <c r="S293" s="586">
        <f t="shared" si="45"/>
        <v>0.26719970672238863</v>
      </c>
      <c r="U293" s="587"/>
      <c r="V293" s="587"/>
      <c r="W293" s="587"/>
      <c r="X293" s="587"/>
      <c r="Y293" s="587"/>
      <c r="Z293" s="587"/>
      <c r="AA293" s="587"/>
      <c r="AB293" s="587"/>
      <c r="AC293" s="587"/>
      <c r="AE293" s="587"/>
      <c r="AF293" s="587"/>
      <c r="AG293" s="587"/>
      <c r="AH293" s="587"/>
      <c r="AI293" s="587"/>
      <c r="AJ293" s="587"/>
      <c r="AK293" s="587"/>
      <c r="AL293" s="587"/>
      <c r="AM293" s="587"/>
      <c r="AO293" s="587"/>
      <c r="AP293" s="587"/>
      <c r="AQ293" s="587"/>
      <c r="AR293" s="587"/>
      <c r="AS293" s="587"/>
      <c r="AT293" s="587"/>
      <c r="AU293" s="587"/>
      <c r="AV293" s="587"/>
      <c r="AW293" s="587"/>
    </row>
    <row r="294" spans="1:49">
      <c r="A294" s="581">
        <v>18295</v>
      </c>
      <c r="B294" s="594">
        <v>1.9900000000000001E-2</v>
      </c>
      <c r="C294" s="577">
        <v>0.01</v>
      </c>
      <c r="D294" s="577">
        <v>1.6000000000000001E-3</v>
      </c>
      <c r="E294" s="577">
        <v>2.15E-3</v>
      </c>
      <c r="F294" s="577">
        <v>2.2083333333333334E-3</v>
      </c>
      <c r="G294" s="577">
        <v>2.1791666666666665E-3</v>
      </c>
      <c r="H294" s="577">
        <v>2.3E-3</v>
      </c>
      <c r="I294" s="577">
        <f t="shared" si="46"/>
        <v>1.83E-2</v>
      </c>
      <c r="J294" s="577">
        <f t="shared" si="50"/>
        <v>1.7720833333333335E-2</v>
      </c>
      <c r="K294" s="577">
        <f t="shared" si="51"/>
        <v>7.7000000000000002E-3</v>
      </c>
      <c r="L294" s="585">
        <f t="shared" si="47"/>
        <v>0.26810381633196378</v>
      </c>
      <c r="M294" s="585">
        <f t="shared" si="48"/>
        <v>1.9200000000000002E-2</v>
      </c>
      <c r="N294" s="585">
        <f t="shared" si="41"/>
        <v>2.615E-2</v>
      </c>
      <c r="O294" s="586">
        <f t="shared" si="49"/>
        <v>0.24890381633196379</v>
      </c>
      <c r="P294" s="585">
        <f t="shared" si="42"/>
        <v>0.24195381633196378</v>
      </c>
      <c r="Q294" s="585">
        <f t="shared" si="43"/>
        <v>0.30709415671125595</v>
      </c>
      <c r="R294" s="585">
        <f t="shared" si="44"/>
        <v>2.76E-2</v>
      </c>
      <c r="S294" s="586">
        <f t="shared" si="45"/>
        <v>0.27949415671125594</v>
      </c>
      <c r="U294" s="587"/>
      <c r="V294" s="587"/>
      <c r="W294" s="587"/>
      <c r="X294" s="587"/>
      <c r="Y294" s="587"/>
      <c r="Z294" s="587"/>
      <c r="AA294" s="587"/>
      <c r="AB294" s="587"/>
      <c r="AC294" s="587"/>
      <c r="AE294" s="587"/>
      <c r="AF294" s="587"/>
      <c r="AG294" s="587"/>
      <c r="AH294" s="587"/>
      <c r="AI294" s="587"/>
      <c r="AJ294" s="587"/>
      <c r="AK294" s="587"/>
      <c r="AL294" s="587"/>
      <c r="AM294" s="587"/>
      <c r="AO294" s="587"/>
      <c r="AP294" s="587"/>
      <c r="AQ294" s="587"/>
      <c r="AR294" s="587"/>
      <c r="AS294" s="587"/>
      <c r="AT294" s="587"/>
      <c r="AU294" s="587"/>
      <c r="AV294" s="587"/>
      <c r="AW294" s="587"/>
    </row>
    <row r="295" spans="1:49">
      <c r="A295" s="581">
        <v>18323</v>
      </c>
      <c r="B295" s="594">
        <v>7.0000000000000001E-3</v>
      </c>
      <c r="C295" s="577">
        <v>8.3999999999999995E-3</v>
      </c>
      <c r="D295" s="577">
        <v>1.8E-3</v>
      </c>
      <c r="E295" s="577">
        <v>2.15E-3</v>
      </c>
      <c r="F295" s="577">
        <v>2.2166666666666667E-3</v>
      </c>
      <c r="G295" s="577">
        <v>2.1833333333333331E-3</v>
      </c>
      <c r="H295" s="577">
        <v>2.3E-3</v>
      </c>
      <c r="I295" s="577">
        <f t="shared" si="46"/>
        <v>5.1999999999999998E-3</v>
      </c>
      <c r="J295" s="577">
        <f t="shared" si="50"/>
        <v>4.816666666666667E-3</v>
      </c>
      <c r="K295" s="577">
        <f t="shared" si="51"/>
        <v>6.0999999999999995E-3</v>
      </c>
      <c r="L295" s="585">
        <f t="shared" si="47"/>
        <v>0.23642577754288019</v>
      </c>
      <c r="M295" s="585">
        <f t="shared" si="48"/>
        <v>2.1600000000000001E-2</v>
      </c>
      <c r="N295" s="585">
        <f t="shared" si="41"/>
        <v>2.6199999999999998E-2</v>
      </c>
      <c r="O295" s="586">
        <f t="shared" si="49"/>
        <v>0.21482577754288018</v>
      </c>
      <c r="P295" s="585">
        <f t="shared" si="42"/>
        <v>0.21022577754288019</v>
      </c>
      <c r="Q295" s="585">
        <f t="shared" si="43"/>
        <v>0.27178092206448357</v>
      </c>
      <c r="R295" s="585">
        <f t="shared" si="44"/>
        <v>2.76E-2</v>
      </c>
      <c r="S295" s="586">
        <f t="shared" si="45"/>
        <v>0.24418092206448355</v>
      </c>
      <c r="U295" s="587"/>
      <c r="V295" s="587"/>
      <c r="W295" s="587"/>
      <c r="X295" s="587"/>
      <c r="Y295" s="587"/>
      <c r="Z295" s="587"/>
      <c r="AA295" s="587"/>
      <c r="AB295" s="587"/>
      <c r="AC295" s="587"/>
      <c r="AE295" s="587"/>
      <c r="AF295" s="587"/>
      <c r="AG295" s="587"/>
      <c r="AH295" s="587"/>
      <c r="AI295" s="587"/>
      <c r="AJ295" s="587"/>
      <c r="AK295" s="587"/>
      <c r="AL295" s="587"/>
      <c r="AM295" s="587"/>
      <c r="AO295" s="587"/>
      <c r="AP295" s="587"/>
      <c r="AQ295" s="587"/>
      <c r="AR295" s="587"/>
      <c r="AS295" s="587"/>
      <c r="AT295" s="587"/>
      <c r="AU295" s="587"/>
      <c r="AV295" s="587"/>
      <c r="AW295" s="587"/>
    </row>
    <row r="296" spans="1:49">
      <c r="A296" s="581">
        <v>18354</v>
      </c>
      <c r="B296" s="594">
        <v>4.8599999999999997E-2</v>
      </c>
      <c r="C296" s="577">
        <v>1.8499999999999999E-2</v>
      </c>
      <c r="D296" s="577">
        <v>1.6000000000000001E-3</v>
      </c>
      <c r="E296" s="577">
        <v>2.1666666666666666E-3</v>
      </c>
      <c r="F296" s="577">
        <v>2.2166666666666667E-3</v>
      </c>
      <c r="G296" s="577">
        <v>2.1916666666666668E-3</v>
      </c>
      <c r="H296" s="577">
        <v>2.3083333333333332E-3</v>
      </c>
      <c r="I296" s="577">
        <f t="shared" si="46"/>
        <v>4.7E-2</v>
      </c>
      <c r="J296" s="577">
        <f t="shared" si="50"/>
        <v>4.6408333333333329E-2</v>
      </c>
      <c r="K296" s="577">
        <f t="shared" si="51"/>
        <v>1.6191666666666667E-2</v>
      </c>
      <c r="L296" s="585">
        <f t="shared" si="47"/>
        <v>0.32014669619332525</v>
      </c>
      <c r="M296" s="585">
        <f t="shared" si="48"/>
        <v>1.9200000000000002E-2</v>
      </c>
      <c r="N296" s="585">
        <f t="shared" ref="N296:N359" si="52">G296*12</f>
        <v>2.6300000000000004E-2</v>
      </c>
      <c r="O296" s="586">
        <f t="shared" si="49"/>
        <v>0.30094669619332526</v>
      </c>
      <c r="P296" s="585">
        <f t="shared" ref="P296:P359" si="53">L296-N296</f>
        <v>0.29384669619332526</v>
      </c>
      <c r="Q296" s="585">
        <f t="shared" ref="Q296:Q359" si="54">((1+C285)*(1+C286)*(1+C287)*(1+C288)*(1+C289)*(1+C290)*(1+C291)*(1+C292)*(1+C293)*(1+C294)*(1+C295)*(1+C296))-1</f>
        <v>0.28783940059920154</v>
      </c>
      <c r="R296" s="585">
        <f t="shared" ref="R296:R359" si="55">H296*12</f>
        <v>2.7699999999999999E-2</v>
      </c>
      <c r="S296" s="586">
        <f t="shared" ref="S296:S359" si="56">Q296-R296</f>
        <v>0.26013940059920154</v>
      </c>
      <c r="U296" s="587"/>
      <c r="V296" s="587"/>
      <c r="W296" s="587"/>
      <c r="X296" s="587"/>
      <c r="Y296" s="587"/>
      <c r="Z296" s="587"/>
      <c r="AA296" s="587"/>
      <c r="AB296" s="587"/>
      <c r="AC296" s="587"/>
      <c r="AE296" s="587"/>
      <c r="AF296" s="587"/>
      <c r="AG296" s="587"/>
      <c r="AH296" s="587"/>
      <c r="AI296" s="587"/>
      <c r="AJ296" s="587"/>
      <c r="AK296" s="587"/>
      <c r="AL296" s="587"/>
      <c r="AM296" s="587"/>
      <c r="AO296" s="587"/>
      <c r="AP296" s="587"/>
      <c r="AQ296" s="587"/>
      <c r="AR296" s="587"/>
      <c r="AS296" s="587"/>
      <c r="AT296" s="587"/>
      <c r="AU296" s="587"/>
      <c r="AV296" s="587"/>
      <c r="AW296" s="587"/>
    </row>
    <row r="297" spans="1:49">
      <c r="A297" s="581">
        <v>18384</v>
      </c>
      <c r="B297" s="594">
        <v>5.0900000000000001E-2</v>
      </c>
      <c r="C297" s="577">
        <v>1.9199999999999998E-2</v>
      </c>
      <c r="D297" s="577">
        <v>1.9E-3</v>
      </c>
      <c r="E297" s="577">
        <v>2.1749999999999999E-3</v>
      </c>
      <c r="F297" s="577">
        <v>2.2416666666666665E-3</v>
      </c>
      <c r="G297" s="577">
        <v>2.2083333333333334E-3</v>
      </c>
      <c r="H297" s="577">
        <v>2.3250000000000002E-3</v>
      </c>
      <c r="I297" s="577">
        <f t="shared" si="46"/>
        <v>4.9000000000000002E-2</v>
      </c>
      <c r="J297" s="577">
        <f t="shared" si="50"/>
        <v>4.8691666666666668E-2</v>
      </c>
      <c r="K297" s="577">
        <f t="shared" si="51"/>
        <v>1.6874999999999998E-2</v>
      </c>
      <c r="L297" s="585">
        <f t="shared" si="47"/>
        <v>0.42408351778850872</v>
      </c>
      <c r="M297" s="585">
        <f t="shared" si="48"/>
        <v>2.2800000000000001E-2</v>
      </c>
      <c r="N297" s="585">
        <f t="shared" si="52"/>
        <v>2.6500000000000003E-2</v>
      </c>
      <c r="O297" s="586">
        <f t="shared" si="49"/>
        <v>0.40128351778850874</v>
      </c>
      <c r="P297" s="585">
        <f t="shared" si="53"/>
        <v>0.3975835177885087</v>
      </c>
      <c r="Q297" s="585">
        <f t="shared" si="54"/>
        <v>0.30811831482031726</v>
      </c>
      <c r="R297" s="585">
        <f t="shared" si="55"/>
        <v>2.7900000000000001E-2</v>
      </c>
      <c r="S297" s="586">
        <f t="shared" si="56"/>
        <v>0.28021831482031728</v>
      </c>
      <c r="U297" s="587"/>
      <c r="V297" s="587"/>
      <c r="W297" s="587"/>
      <c r="X297" s="587"/>
      <c r="Y297" s="587"/>
      <c r="Z297" s="587"/>
      <c r="AA297" s="587"/>
      <c r="AB297" s="587"/>
      <c r="AC297" s="587"/>
      <c r="AE297" s="587"/>
      <c r="AF297" s="587"/>
      <c r="AG297" s="587"/>
      <c r="AH297" s="587"/>
      <c r="AI297" s="587"/>
      <c r="AJ297" s="587"/>
      <c r="AK297" s="587"/>
      <c r="AL297" s="587"/>
      <c r="AM297" s="587"/>
      <c r="AO297" s="587"/>
      <c r="AP297" s="587"/>
      <c r="AQ297" s="587"/>
      <c r="AR297" s="587"/>
      <c r="AS297" s="587"/>
      <c r="AT297" s="587"/>
      <c r="AU297" s="587"/>
      <c r="AV297" s="587"/>
      <c r="AW297" s="587"/>
    </row>
    <row r="298" spans="1:49">
      <c r="A298" s="581">
        <v>18415</v>
      </c>
      <c r="B298" s="594">
        <v>-5.4800000000000001E-2</v>
      </c>
      <c r="C298" s="577">
        <v>-7.7100000000000002E-2</v>
      </c>
      <c r="D298" s="577">
        <v>1.6999999999999999E-3</v>
      </c>
      <c r="E298" s="577">
        <v>2.1833333333333336E-3</v>
      </c>
      <c r="F298" s="577">
        <v>2.2416666666666665E-3</v>
      </c>
      <c r="G298" s="577">
        <v>2.2125000000000001E-3</v>
      </c>
      <c r="H298" s="577">
        <v>2.3250000000000002E-3</v>
      </c>
      <c r="I298" s="577">
        <f t="shared" si="46"/>
        <v>-5.6500000000000002E-2</v>
      </c>
      <c r="J298" s="577">
        <f t="shared" si="50"/>
        <v>-5.7012500000000001E-2</v>
      </c>
      <c r="K298" s="577">
        <f t="shared" si="51"/>
        <v>-7.9424999999999996E-2</v>
      </c>
      <c r="L298" s="585">
        <f t="shared" si="47"/>
        <v>0.34416191433363208</v>
      </c>
      <c r="M298" s="585">
        <f t="shared" si="48"/>
        <v>2.0399999999999998E-2</v>
      </c>
      <c r="N298" s="585">
        <f t="shared" si="52"/>
        <v>2.6550000000000001E-2</v>
      </c>
      <c r="O298" s="586">
        <f t="shared" si="49"/>
        <v>0.32376191433363211</v>
      </c>
      <c r="P298" s="585">
        <f t="shared" si="53"/>
        <v>0.31761191433363206</v>
      </c>
      <c r="Q298" s="585">
        <f t="shared" si="54"/>
        <v>0.22365942909757841</v>
      </c>
      <c r="R298" s="585">
        <f t="shared" si="55"/>
        <v>2.7900000000000001E-2</v>
      </c>
      <c r="S298" s="586">
        <f t="shared" si="56"/>
        <v>0.1957594290975784</v>
      </c>
      <c r="U298" s="587"/>
      <c r="V298" s="587"/>
      <c r="W298" s="587"/>
      <c r="X298" s="587"/>
      <c r="Y298" s="587"/>
      <c r="Z298" s="587"/>
      <c r="AA298" s="587"/>
      <c r="AB298" s="587"/>
      <c r="AC298" s="587"/>
      <c r="AE298" s="587"/>
      <c r="AF298" s="587"/>
      <c r="AG298" s="587"/>
      <c r="AH298" s="587"/>
      <c r="AI298" s="587"/>
      <c r="AJ298" s="587"/>
      <c r="AK298" s="587"/>
      <c r="AL298" s="587"/>
      <c r="AM298" s="587"/>
      <c r="AO298" s="587"/>
      <c r="AP298" s="587"/>
      <c r="AQ298" s="587"/>
      <c r="AR298" s="587"/>
      <c r="AS298" s="587"/>
      <c r="AT298" s="587"/>
      <c r="AU298" s="587"/>
      <c r="AV298" s="587"/>
      <c r="AW298" s="587"/>
    </row>
    <row r="299" spans="1:49">
      <c r="A299" s="581">
        <v>18445</v>
      </c>
      <c r="B299" s="594">
        <v>1.1900000000000001E-2</v>
      </c>
      <c r="C299" s="577">
        <v>-4.36E-2</v>
      </c>
      <c r="D299" s="577">
        <v>1.8E-3</v>
      </c>
      <c r="E299" s="577">
        <v>2.2083333333333334E-3</v>
      </c>
      <c r="F299" s="577">
        <v>2.2666666666666668E-3</v>
      </c>
      <c r="G299" s="577">
        <v>2.2374999999999999E-3</v>
      </c>
      <c r="H299" s="577">
        <v>2.3250000000000002E-3</v>
      </c>
      <c r="I299" s="577">
        <f t="shared" si="46"/>
        <v>1.0100000000000001E-2</v>
      </c>
      <c r="J299" s="577">
        <f t="shared" si="50"/>
        <v>9.6625000000000009E-3</v>
      </c>
      <c r="K299" s="577">
        <f t="shared" si="51"/>
        <v>-4.5925000000000001E-2</v>
      </c>
      <c r="L299" s="585">
        <f t="shared" si="47"/>
        <v>0.27714313719643435</v>
      </c>
      <c r="M299" s="585">
        <f t="shared" si="48"/>
        <v>2.1600000000000001E-2</v>
      </c>
      <c r="N299" s="585">
        <f t="shared" si="52"/>
        <v>2.6849999999999999E-2</v>
      </c>
      <c r="O299" s="586">
        <f t="shared" si="49"/>
        <v>0.25554313719643434</v>
      </c>
      <c r="P299" s="585">
        <f t="shared" si="53"/>
        <v>0.25029313719643437</v>
      </c>
      <c r="Q299" s="585">
        <f t="shared" si="54"/>
        <v>0.1073023729670961</v>
      </c>
      <c r="R299" s="585">
        <f t="shared" si="55"/>
        <v>2.7900000000000001E-2</v>
      </c>
      <c r="S299" s="586">
        <f t="shared" si="56"/>
        <v>7.9402372967096096E-2</v>
      </c>
      <c r="U299" s="587"/>
      <c r="V299" s="587"/>
      <c r="W299" s="587"/>
      <c r="X299" s="587"/>
      <c r="Y299" s="587"/>
      <c r="Z299" s="587"/>
      <c r="AA299" s="587"/>
      <c r="AB299" s="587"/>
      <c r="AC299" s="587"/>
      <c r="AE299" s="587"/>
      <c r="AF299" s="587"/>
      <c r="AG299" s="587"/>
      <c r="AH299" s="587"/>
      <c r="AI299" s="587"/>
      <c r="AJ299" s="587"/>
      <c r="AK299" s="587"/>
      <c r="AL299" s="587"/>
      <c r="AM299" s="587"/>
      <c r="AO299" s="587"/>
      <c r="AP299" s="587"/>
      <c r="AQ299" s="587"/>
      <c r="AR299" s="587"/>
      <c r="AS299" s="587"/>
      <c r="AT299" s="587"/>
      <c r="AU299" s="587"/>
      <c r="AV299" s="587"/>
      <c r="AW299" s="587"/>
    </row>
    <row r="300" spans="1:49">
      <c r="A300" s="581">
        <v>18476</v>
      </c>
      <c r="B300" s="594">
        <v>4.4299999999999999E-2</v>
      </c>
      <c r="C300" s="577">
        <v>1.54E-2</v>
      </c>
      <c r="D300" s="577">
        <v>1.8E-3</v>
      </c>
      <c r="E300" s="577">
        <v>2.1749999999999999E-3</v>
      </c>
      <c r="F300" s="577">
        <v>2.225E-3</v>
      </c>
      <c r="G300" s="577">
        <v>2.2000000000000001E-3</v>
      </c>
      <c r="H300" s="577">
        <v>2.3E-3</v>
      </c>
      <c r="I300" s="577">
        <f t="shared" si="46"/>
        <v>4.2499999999999996E-2</v>
      </c>
      <c r="J300" s="577">
        <f t="shared" si="50"/>
        <v>4.2099999999999999E-2</v>
      </c>
      <c r="K300" s="577">
        <f t="shared" si="51"/>
        <v>1.3100000000000001E-2</v>
      </c>
      <c r="L300" s="585">
        <f t="shared" si="47"/>
        <v>0.30513805477467049</v>
      </c>
      <c r="M300" s="585">
        <f t="shared" si="48"/>
        <v>2.1600000000000001E-2</v>
      </c>
      <c r="N300" s="585">
        <f t="shared" si="52"/>
        <v>2.64E-2</v>
      </c>
      <c r="O300" s="586">
        <f t="shared" si="49"/>
        <v>0.28353805477467048</v>
      </c>
      <c r="P300" s="585">
        <f t="shared" si="53"/>
        <v>0.27873805477467051</v>
      </c>
      <c r="Q300" s="585">
        <f t="shared" si="54"/>
        <v>8.6753169834514976E-2</v>
      </c>
      <c r="R300" s="585">
        <f t="shared" si="55"/>
        <v>2.76E-2</v>
      </c>
      <c r="S300" s="586">
        <f t="shared" si="56"/>
        <v>5.9153169834514976E-2</v>
      </c>
      <c r="U300" s="587"/>
      <c r="V300" s="587"/>
      <c r="W300" s="587"/>
      <c r="X300" s="587"/>
      <c r="Y300" s="587"/>
      <c r="Z300" s="587"/>
      <c r="AA300" s="587"/>
      <c r="AB300" s="587"/>
      <c r="AC300" s="587"/>
      <c r="AE300" s="587"/>
      <c r="AF300" s="587"/>
      <c r="AG300" s="587"/>
      <c r="AH300" s="587"/>
      <c r="AI300" s="587"/>
      <c r="AJ300" s="587"/>
      <c r="AK300" s="587"/>
      <c r="AL300" s="587"/>
      <c r="AM300" s="587"/>
      <c r="AO300" s="587"/>
      <c r="AP300" s="587"/>
      <c r="AQ300" s="587"/>
      <c r="AR300" s="587"/>
      <c r="AS300" s="587"/>
      <c r="AT300" s="587"/>
      <c r="AU300" s="587"/>
      <c r="AV300" s="587"/>
      <c r="AW300" s="587"/>
    </row>
    <row r="301" spans="1:49">
      <c r="A301" s="581">
        <v>18507</v>
      </c>
      <c r="B301" s="594">
        <v>5.9200000000000003E-2</v>
      </c>
      <c r="C301" s="577">
        <v>4.1800000000000004E-2</v>
      </c>
      <c r="D301" s="577">
        <v>1.6999999999999999E-3</v>
      </c>
      <c r="E301" s="577">
        <v>2.2000000000000001E-3</v>
      </c>
      <c r="F301" s="577">
        <v>2.2583333333333331E-3</v>
      </c>
      <c r="G301" s="577">
        <v>2.2291666666666666E-3</v>
      </c>
      <c r="H301" s="577">
        <v>2.3333333333333335E-3</v>
      </c>
      <c r="I301" s="577">
        <f t="shared" si="46"/>
        <v>5.7500000000000002E-2</v>
      </c>
      <c r="J301" s="577">
        <f t="shared" si="50"/>
        <v>5.6970833333333339E-2</v>
      </c>
      <c r="K301" s="577">
        <f t="shared" si="51"/>
        <v>3.9466666666666671E-2</v>
      </c>
      <c r="L301" s="585">
        <f t="shared" si="47"/>
        <v>0.34697673937185125</v>
      </c>
      <c r="M301" s="585">
        <f t="shared" si="48"/>
        <v>2.0399999999999998E-2</v>
      </c>
      <c r="N301" s="585">
        <f t="shared" si="52"/>
        <v>2.6749999999999999E-2</v>
      </c>
      <c r="O301" s="586">
        <f t="shared" si="49"/>
        <v>0.32657673937185128</v>
      </c>
      <c r="P301" s="585">
        <f t="shared" si="53"/>
        <v>0.32022673937185125</v>
      </c>
      <c r="Q301" s="585">
        <f t="shared" si="54"/>
        <v>9.14677068674421E-2</v>
      </c>
      <c r="R301" s="585">
        <f t="shared" si="55"/>
        <v>2.8000000000000004E-2</v>
      </c>
      <c r="S301" s="586">
        <f t="shared" si="56"/>
        <v>6.3467706867442103E-2</v>
      </c>
      <c r="U301" s="587"/>
      <c r="V301" s="587"/>
      <c r="W301" s="587"/>
      <c r="X301" s="587"/>
      <c r="Y301" s="587"/>
      <c r="Z301" s="587"/>
      <c r="AA301" s="587"/>
      <c r="AB301" s="587"/>
      <c r="AC301" s="587"/>
      <c r="AE301" s="587"/>
      <c r="AF301" s="587"/>
      <c r="AG301" s="587"/>
      <c r="AH301" s="587"/>
      <c r="AI301" s="587"/>
      <c r="AJ301" s="587"/>
      <c r="AK301" s="587"/>
      <c r="AL301" s="587"/>
      <c r="AM301" s="587"/>
      <c r="AO301" s="587"/>
      <c r="AP301" s="587"/>
      <c r="AQ301" s="587"/>
      <c r="AR301" s="587"/>
      <c r="AS301" s="587"/>
      <c r="AT301" s="587"/>
      <c r="AU301" s="587"/>
      <c r="AV301" s="587"/>
      <c r="AW301" s="587"/>
    </row>
    <row r="302" spans="1:49">
      <c r="A302" s="581">
        <v>18537</v>
      </c>
      <c r="B302" s="594">
        <v>9.2999999999999992E-3</v>
      </c>
      <c r="C302" s="577">
        <v>-2.7000000000000001E-3</v>
      </c>
      <c r="D302" s="577">
        <v>1.9E-3</v>
      </c>
      <c r="E302" s="577">
        <v>2.225E-3</v>
      </c>
      <c r="F302" s="577">
        <v>2.2666666666666668E-3</v>
      </c>
      <c r="G302" s="577">
        <v>2.2458333333333336E-3</v>
      </c>
      <c r="H302" s="577">
        <v>2.3583333333333334E-3</v>
      </c>
      <c r="I302" s="577">
        <f t="shared" si="46"/>
        <v>7.3999999999999995E-3</v>
      </c>
      <c r="J302" s="577">
        <f t="shared" si="50"/>
        <v>7.0541666666666652E-3</v>
      </c>
      <c r="K302" s="577">
        <f t="shared" si="51"/>
        <v>-5.0583333333333331E-3</v>
      </c>
      <c r="L302" s="585">
        <f t="shared" si="47"/>
        <v>0.31480040913734042</v>
      </c>
      <c r="M302" s="585">
        <f t="shared" si="48"/>
        <v>2.2800000000000001E-2</v>
      </c>
      <c r="N302" s="585">
        <f t="shared" si="52"/>
        <v>2.6950000000000002E-2</v>
      </c>
      <c r="O302" s="586">
        <f t="shared" si="49"/>
        <v>0.29200040913734043</v>
      </c>
      <c r="P302" s="585">
        <f t="shared" si="53"/>
        <v>0.28785040913734039</v>
      </c>
      <c r="Q302" s="585">
        <f t="shared" si="54"/>
        <v>7.6464343412678382E-2</v>
      </c>
      <c r="R302" s="585">
        <f t="shared" si="55"/>
        <v>2.8299999999999999E-2</v>
      </c>
      <c r="S302" s="586">
        <f t="shared" si="56"/>
        <v>4.8164343412678383E-2</v>
      </c>
      <c r="U302" s="587"/>
      <c r="V302" s="587"/>
      <c r="W302" s="587"/>
      <c r="X302" s="587"/>
      <c r="Y302" s="587"/>
      <c r="Z302" s="587"/>
      <c r="AA302" s="587"/>
      <c r="AB302" s="587"/>
      <c r="AC302" s="587"/>
      <c r="AE302" s="587"/>
      <c r="AF302" s="587"/>
      <c r="AG302" s="587"/>
      <c r="AH302" s="587"/>
      <c r="AI302" s="587"/>
      <c r="AJ302" s="587"/>
      <c r="AK302" s="587"/>
      <c r="AL302" s="587"/>
      <c r="AM302" s="587"/>
      <c r="AO302" s="587"/>
      <c r="AP302" s="587"/>
      <c r="AQ302" s="587"/>
      <c r="AR302" s="587"/>
      <c r="AS302" s="587"/>
      <c r="AT302" s="587"/>
      <c r="AU302" s="587"/>
      <c r="AV302" s="587"/>
      <c r="AW302" s="587"/>
    </row>
    <row r="303" spans="1:49">
      <c r="A303" s="581">
        <v>18568</v>
      </c>
      <c r="B303" s="594">
        <v>1.6899999999999998E-2</v>
      </c>
      <c r="C303" s="577">
        <v>-1.7600000000000001E-2</v>
      </c>
      <c r="D303" s="577">
        <v>1.8E-3</v>
      </c>
      <c r="E303" s="577">
        <v>2.225E-3</v>
      </c>
      <c r="F303" s="577">
        <v>2.2666666666666668E-3</v>
      </c>
      <c r="G303" s="577">
        <v>2.2458333333333336E-3</v>
      </c>
      <c r="H303" s="577">
        <v>2.3833333333333332E-3</v>
      </c>
      <c r="I303" s="577">
        <f t="shared" si="46"/>
        <v>1.5099999999999999E-2</v>
      </c>
      <c r="J303" s="577">
        <f t="shared" si="50"/>
        <v>1.4654166666666664E-2</v>
      </c>
      <c r="K303" s="577">
        <f t="shared" si="51"/>
        <v>-1.9983333333333336E-2</v>
      </c>
      <c r="L303" s="585">
        <f t="shared" si="47"/>
        <v>0.31402509685676705</v>
      </c>
      <c r="M303" s="585">
        <f t="shared" si="48"/>
        <v>2.1600000000000001E-2</v>
      </c>
      <c r="N303" s="585">
        <f t="shared" si="52"/>
        <v>2.6950000000000002E-2</v>
      </c>
      <c r="O303" s="586">
        <f t="shared" si="49"/>
        <v>0.29242509685676704</v>
      </c>
      <c r="P303" s="585">
        <f t="shared" si="53"/>
        <v>0.28707509685676702</v>
      </c>
      <c r="Q303" s="585">
        <f t="shared" si="54"/>
        <v>4.0967192606176983E-2</v>
      </c>
      <c r="R303" s="585">
        <f t="shared" si="55"/>
        <v>2.86E-2</v>
      </c>
      <c r="S303" s="586">
        <f t="shared" si="56"/>
        <v>1.2367192606176983E-2</v>
      </c>
      <c r="U303" s="587"/>
      <c r="V303" s="587"/>
      <c r="W303" s="587"/>
      <c r="X303" s="587"/>
      <c r="Y303" s="587"/>
      <c r="Z303" s="587"/>
      <c r="AA303" s="587"/>
      <c r="AB303" s="587"/>
      <c r="AC303" s="587"/>
      <c r="AE303" s="587"/>
      <c r="AF303" s="587"/>
      <c r="AG303" s="587"/>
      <c r="AH303" s="587"/>
      <c r="AI303" s="587"/>
      <c r="AJ303" s="587"/>
      <c r="AK303" s="587"/>
      <c r="AL303" s="587"/>
      <c r="AM303" s="587"/>
      <c r="AO303" s="587"/>
      <c r="AP303" s="587"/>
      <c r="AQ303" s="587"/>
      <c r="AR303" s="587"/>
      <c r="AS303" s="587"/>
      <c r="AT303" s="587"/>
      <c r="AU303" s="587"/>
      <c r="AV303" s="587"/>
      <c r="AW303" s="587"/>
    </row>
    <row r="304" spans="1:49">
      <c r="A304" s="581">
        <v>18598</v>
      </c>
      <c r="B304" s="594">
        <v>5.1299999999999998E-2</v>
      </c>
      <c r="C304" s="577">
        <v>3.1199999999999995E-2</v>
      </c>
      <c r="D304" s="577">
        <v>1.8E-3</v>
      </c>
      <c r="E304" s="577">
        <v>2.225E-3</v>
      </c>
      <c r="F304" s="577">
        <v>2.2666666666666668E-3</v>
      </c>
      <c r="G304" s="577">
        <v>2.2458333333333336E-3</v>
      </c>
      <c r="H304" s="577">
        <v>2.3833333333333332E-3</v>
      </c>
      <c r="I304" s="577">
        <f t="shared" si="46"/>
        <v>4.9499999999999995E-2</v>
      </c>
      <c r="J304" s="577">
        <f t="shared" si="50"/>
        <v>4.9054166666666663E-2</v>
      </c>
      <c r="K304" s="577">
        <f t="shared" si="51"/>
        <v>2.8816666666666661E-2</v>
      </c>
      <c r="L304" s="585">
        <f t="shared" si="47"/>
        <v>0.31740852977829448</v>
      </c>
      <c r="M304" s="585">
        <f t="shared" si="48"/>
        <v>2.1600000000000001E-2</v>
      </c>
      <c r="N304" s="585">
        <f t="shared" si="52"/>
        <v>2.6950000000000002E-2</v>
      </c>
      <c r="O304" s="586">
        <f t="shared" si="49"/>
        <v>0.29580852977829447</v>
      </c>
      <c r="P304" s="585">
        <f t="shared" si="53"/>
        <v>0.29045852977829445</v>
      </c>
      <c r="Q304" s="585">
        <f t="shared" si="54"/>
        <v>3.2556145647835155E-2</v>
      </c>
      <c r="R304" s="585">
        <f t="shared" si="55"/>
        <v>2.86E-2</v>
      </c>
      <c r="S304" s="586">
        <f t="shared" si="56"/>
        <v>3.9561456478351548E-3</v>
      </c>
      <c r="U304" s="587"/>
      <c r="V304" s="587"/>
      <c r="W304" s="587"/>
      <c r="X304" s="587"/>
      <c r="Y304" s="587"/>
      <c r="Z304" s="587"/>
      <c r="AA304" s="587"/>
      <c r="AB304" s="587"/>
      <c r="AC304" s="587"/>
      <c r="AE304" s="587"/>
      <c r="AF304" s="587"/>
      <c r="AG304" s="587"/>
      <c r="AH304" s="587"/>
      <c r="AI304" s="587"/>
      <c r="AJ304" s="587"/>
      <c r="AK304" s="587"/>
      <c r="AL304" s="587"/>
      <c r="AM304" s="587"/>
      <c r="AO304" s="587"/>
      <c r="AP304" s="587"/>
      <c r="AQ304" s="587"/>
      <c r="AR304" s="587"/>
      <c r="AS304" s="587"/>
      <c r="AT304" s="587"/>
      <c r="AU304" s="587"/>
      <c r="AV304" s="587"/>
      <c r="AW304" s="587"/>
    </row>
    <row r="305" spans="1:49">
      <c r="A305" s="581">
        <v>18629</v>
      </c>
      <c r="B305" s="594">
        <v>6.3700000000000007E-2</v>
      </c>
      <c r="C305" s="577">
        <v>4.3800000000000006E-2</v>
      </c>
      <c r="D305" s="577">
        <v>2E-3</v>
      </c>
      <c r="E305" s="577">
        <v>2.2166666666666667E-3</v>
      </c>
      <c r="F305" s="577">
        <v>2.2583333333333331E-3</v>
      </c>
      <c r="G305" s="577">
        <v>2.2374999999999999E-3</v>
      </c>
      <c r="H305" s="577">
        <v>2.3583333333333334E-3</v>
      </c>
      <c r="I305" s="577">
        <f t="shared" si="46"/>
        <v>6.1700000000000005E-2</v>
      </c>
      <c r="J305" s="577">
        <f t="shared" si="50"/>
        <v>6.1462500000000003E-2</v>
      </c>
      <c r="K305" s="577">
        <f t="shared" si="51"/>
        <v>4.1441666666666675E-2</v>
      </c>
      <c r="L305" s="585">
        <f t="shared" si="47"/>
        <v>0.37425463678059434</v>
      </c>
      <c r="M305" s="585">
        <f t="shared" si="48"/>
        <v>2.4E-2</v>
      </c>
      <c r="N305" s="585">
        <f t="shared" si="52"/>
        <v>2.6849999999999999E-2</v>
      </c>
      <c r="O305" s="586">
        <f t="shared" si="49"/>
        <v>0.35025463678059432</v>
      </c>
      <c r="P305" s="585">
        <f t="shared" si="53"/>
        <v>0.34740463678059436</v>
      </c>
      <c r="Q305" s="585">
        <f t="shared" si="54"/>
        <v>4.1033618107997771E-2</v>
      </c>
      <c r="R305" s="585">
        <f t="shared" si="55"/>
        <v>2.8299999999999999E-2</v>
      </c>
      <c r="S305" s="586">
        <f t="shared" si="56"/>
        <v>1.2733618107997773E-2</v>
      </c>
      <c r="U305" s="587"/>
      <c r="V305" s="587"/>
      <c r="W305" s="587"/>
      <c r="X305" s="587"/>
      <c r="Y305" s="587"/>
      <c r="Z305" s="587"/>
      <c r="AA305" s="587"/>
      <c r="AB305" s="587"/>
      <c r="AC305" s="587"/>
      <c r="AE305" s="587"/>
      <c r="AF305" s="587"/>
      <c r="AG305" s="587"/>
      <c r="AH305" s="587"/>
      <c r="AI305" s="587"/>
      <c r="AJ305" s="587"/>
      <c r="AK305" s="587"/>
      <c r="AL305" s="587"/>
      <c r="AM305" s="587"/>
      <c r="AO305" s="587"/>
      <c r="AP305" s="587"/>
      <c r="AQ305" s="587"/>
      <c r="AR305" s="587"/>
      <c r="AS305" s="587"/>
      <c r="AT305" s="587"/>
      <c r="AU305" s="587"/>
      <c r="AV305" s="587"/>
      <c r="AW305" s="587"/>
    </row>
    <row r="306" spans="1:49">
      <c r="A306" s="581">
        <v>18660</v>
      </c>
      <c r="B306" s="594">
        <v>1.5699999999999999E-2</v>
      </c>
      <c r="C306" s="577">
        <v>2.6800000000000001E-2</v>
      </c>
      <c r="D306" s="577">
        <v>1.6999999999999999E-3</v>
      </c>
      <c r="E306" s="577">
        <v>2.2166666666666667E-3</v>
      </c>
      <c r="F306" s="577">
        <v>2.2583333333333331E-3</v>
      </c>
      <c r="G306" s="577">
        <v>2.2374999999999999E-3</v>
      </c>
      <c r="H306" s="577">
        <v>2.3666666666666667E-3</v>
      </c>
      <c r="I306" s="577">
        <f t="shared" si="46"/>
        <v>1.3999999999999999E-2</v>
      </c>
      <c r="J306" s="577">
        <f t="shared" si="50"/>
        <v>1.3462499999999999E-2</v>
      </c>
      <c r="K306" s="577">
        <f t="shared" si="51"/>
        <v>2.4433333333333335E-2</v>
      </c>
      <c r="L306" s="585">
        <f t="shared" si="47"/>
        <v>0.36859538638891021</v>
      </c>
      <c r="M306" s="585">
        <f t="shared" si="48"/>
        <v>2.0399999999999998E-2</v>
      </c>
      <c r="N306" s="585">
        <f t="shared" si="52"/>
        <v>2.6849999999999999E-2</v>
      </c>
      <c r="O306" s="586">
        <f t="shared" si="49"/>
        <v>0.34819538638891023</v>
      </c>
      <c r="P306" s="585">
        <f t="shared" si="53"/>
        <v>0.34174538638891022</v>
      </c>
      <c r="Q306" s="585">
        <f t="shared" si="54"/>
        <v>5.8349820864646018E-2</v>
      </c>
      <c r="R306" s="585">
        <f t="shared" si="55"/>
        <v>2.8400000000000002E-2</v>
      </c>
      <c r="S306" s="586">
        <f t="shared" si="56"/>
        <v>2.9949820864646017E-2</v>
      </c>
      <c r="U306" s="587"/>
      <c r="V306" s="587"/>
      <c r="W306" s="587"/>
      <c r="X306" s="587"/>
      <c r="Y306" s="587"/>
      <c r="Z306" s="587"/>
      <c r="AA306" s="587"/>
      <c r="AB306" s="587"/>
      <c r="AC306" s="587"/>
      <c r="AE306" s="587"/>
      <c r="AF306" s="587"/>
      <c r="AG306" s="587"/>
      <c r="AH306" s="587"/>
      <c r="AI306" s="587"/>
      <c r="AJ306" s="587"/>
      <c r="AK306" s="587"/>
      <c r="AL306" s="587"/>
      <c r="AM306" s="587"/>
      <c r="AO306" s="587"/>
      <c r="AP306" s="587"/>
      <c r="AQ306" s="587"/>
      <c r="AR306" s="587"/>
      <c r="AS306" s="587"/>
      <c r="AT306" s="587"/>
      <c r="AU306" s="587"/>
      <c r="AV306" s="587"/>
      <c r="AW306" s="587"/>
    </row>
    <row r="307" spans="1:49">
      <c r="A307" s="581">
        <v>18688</v>
      </c>
      <c r="B307" s="594">
        <v>-1.5599999999999999E-2</v>
      </c>
      <c r="C307" s="577">
        <v>-1.7399999999999999E-2</v>
      </c>
      <c r="D307" s="577">
        <v>1.9E-3</v>
      </c>
      <c r="E307" s="577">
        <v>2.3166666666666665E-3</v>
      </c>
      <c r="F307" s="577">
        <v>2.3499999999999997E-3</v>
      </c>
      <c r="G307" s="577">
        <v>2.3333333333333335E-3</v>
      </c>
      <c r="H307" s="577">
        <v>2.4583333333333336E-3</v>
      </c>
      <c r="I307" s="577">
        <f t="shared" si="46"/>
        <v>-1.7499999999999998E-2</v>
      </c>
      <c r="J307" s="577">
        <f t="shared" si="50"/>
        <v>-1.7933333333333332E-2</v>
      </c>
      <c r="K307" s="577">
        <f t="shared" si="51"/>
        <v>-1.9858333333333332E-2</v>
      </c>
      <c r="L307" s="585">
        <f t="shared" si="47"/>
        <v>0.33788013739944756</v>
      </c>
      <c r="M307" s="585">
        <f t="shared" si="48"/>
        <v>2.2800000000000001E-2</v>
      </c>
      <c r="N307" s="585">
        <f t="shared" si="52"/>
        <v>2.8000000000000004E-2</v>
      </c>
      <c r="O307" s="586">
        <f t="shared" si="49"/>
        <v>0.31508013739944757</v>
      </c>
      <c r="P307" s="585">
        <f t="shared" si="53"/>
        <v>0.30988013739944753</v>
      </c>
      <c r="Q307" s="585">
        <f t="shared" si="54"/>
        <v>3.1271850437922577E-2</v>
      </c>
      <c r="R307" s="585">
        <f t="shared" si="55"/>
        <v>2.9500000000000005E-2</v>
      </c>
      <c r="S307" s="586">
        <f t="shared" si="56"/>
        <v>1.7718504379225716E-3</v>
      </c>
      <c r="U307" s="587"/>
      <c r="V307" s="587"/>
      <c r="W307" s="587"/>
      <c r="X307" s="587"/>
      <c r="Y307" s="587"/>
      <c r="Z307" s="587"/>
      <c r="AA307" s="587"/>
      <c r="AB307" s="587"/>
      <c r="AC307" s="587"/>
      <c r="AE307" s="587"/>
      <c r="AF307" s="587"/>
      <c r="AG307" s="587"/>
      <c r="AH307" s="587"/>
      <c r="AI307" s="587"/>
      <c r="AJ307" s="587"/>
      <c r="AK307" s="587"/>
      <c r="AL307" s="587"/>
      <c r="AM307" s="587"/>
      <c r="AO307" s="587"/>
      <c r="AP307" s="587"/>
      <c r="AQ307" s="587"/>
      <c r="AR307" s="587"/>
      <c r="AS307" s="587"/>
      <c r="AT307" s="587"/>
      <c r="AU307" s="587"/>
      <c r="AV307" s="587"/>
      <c r="AW307" s="587"/>
    </row>
    <row r="308" spans="1:49">
      <c r="A308" s="581">
        <v>18719</v>
      </c>
      <c r="B308" s="594">
        <v>5.0900000000000001E-2</v>
      </c>
      <c r="C308" s="577">
        <v>5.0000000000000044E-4</v>
      </c>
      <c r="D308" s="577">
        <v>2E-3</v>
      </c>
      <c r="E308" s="577">
        <v>2.3916666666666665E-3</v>
      </c>
      <c r="F308" s="577">
        <v>2.4416666666666666E-3</v>
      </c>
      <c r="G308" s="577">
        <v>2.4166666666666668E-3</v>
      </c>
      <c r="H308" s="577">
        <v>2.575E-3</v>
      </c>
      <c r="I308" s="577">
        <f t="shared" si="46"/>
        <v>4.8899999999999999E-2</v>
      </c>
      <c r="J308" s="577">
        <f t="shared" si="50"/>
        <v>4.8483333333333337E-2</v>
      </c>
      <c r="K308" s="577">
        <f t="shared" si="51"/>
        <v>-2.0749999999999996E-3</v>
      </c>
      <c r="L308" s="585">
        <f t="shared" si="47"/>
        <v>0.34081464466248246</v>
      </c>
      <c r="M308" s="585">
        <f t="shared" si="48"/>
        <v>2.4E-2</v>
      </c>
      <c r="N308" s="585">
        <f t="shared" si="52"/>
        <v>2.9000000000000001E-2</v>
      </c>
      <c r="O308" s="586">
        <f t="shared" si="49"/>
        <v>0.31681464466248244</v>
      </c>
      <c r="P308" s="585">
        <f t="shared" si="53"/>
        <v>0.31181464466248243</v>
      </c>
      <c r="Q308" s="585">
        <f t="shared" si="54"/>
        <v>1.3046132904409813E-2</v>
      </c>
      <c r="R308" s="585">
        <f t="shared" si="55"/>
        <v>3.09E-2</v>
      </c>
      <c r="S308" s="586">
        <f t="shared" si="56"/>
        <v>-1.7853867095590188E-2</v>
      </c>
      <c r="U308" s="587"/>
      <c r="V308" s="587"/>
      <c r="W308" s="587"/>
      <c r="X308" s="587"/>
      <c r="Y308" s="587"/>
      <c r="Z308" s="587"/>
      <c r="AA308" s="587"/>
      <c r="AB308" s="587"/>
      <c r="AC308" s="587"/>
      <c r="AE308" s="587"/>
      <c r="AF308" s="587"/>
      <c r="AG308" s="587"/>
      <c r="AH308" s="587"/>
      <c r="AI308" s="587"/>
      <c r="AJ308" s="587"/>
      <c r="AK308" s="587"/>
      <c r="AL308" s="587"/>
      <c r="AM308" s="587"/>
      <c r="AO308" s="587"/>
      <c r="AP308" s="587"/>
      <c r="AQ308" s="587"/>
      <c r="AR308" s="587"/>
      <c r="AS308" s="587"/>
      <c r="AT308" s="587"/>
      <c r="AU308" s="587"/>
      <c r="AV308" s="587"/>
      <c r="AW308" s="587"/>
    </row>
    <row r="309" spans="1:49">
      <c r="A309" s="581">
        <v>18749</v>
      </c>
      <c r="B309" s="594">
        <v>-2.9899999999999999E-2</v>
      </c>
      <c r="C309" s="577">
        <v>6.6E-3</v>
      </c>
      <c r="D309" s="577">
        <v>2.0999999999999999E-3</v>
      </c>
      <c r="E309" s="577">
        <v>2.4083333333333335E-3</v>
      </c>
      <c r="F309" s="577">
        <v>2.4416666666666666E-3</v>
      </c>
      <c r="G309" s="577">
        <v>2.4250000000000001E-3</v>
      </c>
      <c r="H309" s="577">
        <v>2.6083333333333332E-3</v>
      </c>
      <c r="I309" s="577">
        <f t="shared" si="46"/>
        <v>-3.2000000000000001E-2</v>
      </c>
      <c r="J309" s="577">
        <f t="shared" si="50"/>
        <v>-3.2325E-2</v>
      </c>
      <c r="K309" s="577">
        <f t="shared" si="51"/>
        <v>3.9916666666666668E-3</v>
      </c>
      <c r="L309" s="585">
        <f t="shared" si="47"/>
        <v>0.2377241286393319</v>
      </c>
      <c r="M309" s="585">
        <f t="shared" si="48"/>
        <v>2.52E-2</v>
      </c>
      <c r="N309" s="585">
        <f t="shared" si="52"/>
        <v>2.9100000000000001E-2</v>
      </c>
      <c r="O309" s="586">
        <f t="shared" si="49"/>
        <v>0.2125241286393319</v>
      </c>
      <c r="P309" s="585">
        <f t="shared" si="53"/>
        <v>0.20862412863933189</v>
      </c>
      <c r="Q309" s="585">
        <f t="shared" si="54"/>
        <v>5.222109316902479E-4</v>
      </c>
      <c r="R309" s="585">
        <f t="shared" si="55"/>
        <v>3.1299999999999994E-2</v>
      </c>
      <c r="S309" s="586">
        <f t="shared" si="56"/>
        <v>-3.0777789068309747E-2</v>
      </c>
      <c r="U309" s="587"/>
      <c r="V309" s="587"/>
      <c r="W309" s="587"/>
      <c r="X309" s="587"/>
      <c r="Y309" s="587"/>
      <c r="Z309" s="587"/>
      <c r="AA309" s="587"/>
      <c r="AB309" s="587"/>
      <c r="AC309" s="587"/>
      <c r="AE309" s="587"/>
      <c r="AF309" s="587"/>
      <c r="AG309" s="587"/>
      <c r="AH309" s="587"/>
      <c r="AI309" s="587"/>
      <c r="AJ309" s="587"/>
      <c r="AK309" s="587"/>
      <c r="AL309" s="587"/>
      <c r="AM309" s="587"/>
      <c r="AO309" s="587"/>
      <c r="AP309" s="587"/>
      <c r="AQ309" s="587"/>
      <c r="AR309" s="587"/>
      <c r="AS309" s="587"/>
      <c r="AT309" s="587"/>
      <c r="AU309" s="587"/>
      <c r="AV309" s="587"/>
      <c r="AW309" s="587"/>
    </row>
    <row r="310" spans="1:49">
      <c r="A310" s="581">
        <v>18780</v>
      </c>
      <c r="B310" s="594">
        <v>-2.2800000000000001E-2</v>
      </c>
      <c r="C310" s="577">
        <v>-3.9999999999999992E-3</v>
      </c>
      <c r="D310" s="577">
        <v>2E-3</v>
      </c>
      <c r="E310" s="577">
        <v>2.4499999999999999E-3</v>
      </c>
      <c r="F310" s="577">
        <v>2.4916666666666668E-3</v>
      </c>
      <c r="G310" s="577">
        <v>2.4708333333333331E-3</v>
      </c>
      <c r="H310" s="577">
        <v>2.6750000000000003E-3</v>
      </c>
      <c r="I310" s="577">
        <f t="shared" si="46"/>
        <v>-2.4800000000000003E-2</v>
      </c>
      <c r="J310" s="577">
        <f t="shared" si="50"/>
        <v>-2.5270833333333333E-2</v>
      </c>
      <c r="K310" s="577">
        <f t="shared" si="51"/>
        <v>-6.6749999999999995E-3</v>
      </c>
      <c r="L310" s="585">
        <f t="shared" si="47"/>
        <v>0.27962761162331251</v>
      </c>
      <c r="M310" s="585">
        <f t="shared" si="48"/>
        <v>2.4E-2</v>
      </c>
      <c r="N310" s="585">
        <f t="shared" si="52"/>
        <v>2.9649999999999996E-2</v>
      </c>
      <c r="O310" s="586">
        <f t="shared" si="49"/>
        <v>0.25562761162331249</v>
      </c>
      <c r="P310" s="585">
        <f t="shared" si="53"/>
        <v>0.2499776116233125</v>
      </c>
      <c r="Q310" s="585">
        <f t="shared" si="54"/>
        <v>7.9770421592765706E-2</v>
      </c>
      <c r="R310" s="585">
        <f t="shared" si="55"/>
        <v>3.2100000000000004E-2</v>
      </c>
      <c r="S310" s="586">
        <f t="shared" si="56"/>
        <v>4.7670421592765702E-2</v>
      </c>
      <c r="U310" s="587"/>
      <c r="V310" s="587"/>
      <c r="W310" s="587"/>
      <c r="X310" s="587"/>
      <c r="Y310" s="587"/>
      <c r="Z310" s="587"/>
      <c r="AA310" s="587"/>
      <c r="AB310" s="587"/>
      <c r="AC310" s="587"/>
      <c r="AE310" s="587"/>
      <c r="AF310" s="587"/>
      <c r="AG310" s="587"/>
      <c r="AH310" s="587"/>
      <c r="AI310" s="587"/>
      <c r="AJ310" s="587"/>
      <c r="AK310" s="587"/>
      <c r="AL310" s="587"/>
      <c r="AM310" s="587"/>
      <c r="AO310" s="587"/>
      <c r="AP310" s="587"/>
      <c r="AQ310" s="587"/>
      <c r="AR310" s="587"/>
      <c r="AS310" s="587"/>
      <c r="AT310" s="587"/>
      <c r="AU310" s="587"/>
      <c r="AV310" s="587"/>
      <c r="AW310" s="587"/>
    </row>
    <row r="311" spans="1:49">
      <c r="A311" s="581">
        <v>18810</v>
      </c>
      <c r="B311" s="594">
        <v>7.1099999999999997E-2</v>
      </c>
      <c r="C311" s="577">
        <v>4.3899999999999995E-2</v>
      </c>
      <c r="D311" s="577">
        <v>2.3E-3</v>
      </c>
      <c r="E311" s="577">
        <v>2.4499999999999999E-3</v>
      </c>
      <c r="F311" s="577">
        <v>2.4916666666666668E-3</v>
      </c>
      <c r="G311" s="577">
        <v>2.4708333333333331E-3</v>
      </c>
      <c r="H311" s="577">
        <v>2.7166666666666667E-3</v>
      </c>
      <c r="I311" s="577">
        <f t="shared" si="46"/>
        <v>6.88E-2</v>
      </c>
      <c r="J311" s="577">
        <f t="shared" si="50"/>
        <v>6.8629166666666658E-2</v>
      </c>
      <c r="K311" s="577">
        <f t="shared" si="51"/>
        <v>4.1183333333333329E-2</v>
      </c>
      <c r="L311" s="585">
        <f t="shared" si="47"/>
        <v>0.35449069553288881</v>
      </c>
      <c r="M311" s="585">
        <f t="shared" si="48"/>
        <v>2.76E-2</v>
      </c>
      <c r="N311" s="585">
        <f t="shared" si="52"/>
        <v>2.9649999999999996E-2</v>
      </c>
      <c r="O311" s="586">
        <f t="shared" si="49"/>
        <v>0.3268906955328888</v>
      </c>
      <c r="P311" s="585">
        <f t="shared" si="53"/>
        <v>0.3248406955328888</v>
      </c>
      <c r="Q311" s="585">
        <f t="shared" si="54"/>
        <v>0.17855744782589755</v>
      </c>
      <c r="R311" s="585">
        <f t="shared" si="55"/>
        <v>3.2600000000000004E-2</v>
      </c>
      <c r="S311" s="586">
        <f t="shared" si="56"/>
        <v>0.14595744782589753</v>
      </c>
      <c r="U311" s="587"/>
      <c r="V311" s="587"/>
      <c r="W311" s="587"/>
      <c r="X311" s="587"/>
      <c r="Y311" s="587"/>
      <c r="Z311" s="587"/>
      <c r="AA311" s="587"/>
      <c r="AB311" s="587"/>
      <c r="AC311" s="587"/>
      <c r="AE311" s="587"/>
      <c r="AF311" s="587"/>
      <c r="AG311" s="587"/>
      <c r="AH311" s="587"/>
      <c r="AI311" s="587"/>
      <c r="AJ311" s="587"/>
      <c r="AK311" s="587"/>
      <c r="AL311" s="587"/>
      <c r="AM311" s="587"/>
      <c r="AO311" s="587"/>
      <c r="AP311" s="587"/>
      <c r="AQ311" s="587"/>
      <c r="AR311" s="587"/>
      <c r="AS311" s="587"/>
      <c r="AT311" s="587"/>
      <c r="AU311" s="587"/>
      <c r="AV311" s="587"/>
      <c r="AW311" s="587"/>
    </row>
    <row r="312" spans="1:49">
      <c r="A312" s="581">
        <v>18841</v>
      </c>
      <c r="B312" s="594">
        <v>4.7800000000000002E-2</v>
      </c>
      <c r="C312" s="577">
        <v>1.5200000000000002E-2</v>
      </c>
      <c r="D312" s="577">
        <v>2.0999999999999999E-3</v>
      </c>
      <c r="E312" s="577">
        <v>2.3999999999999998E-3</v>
      </c>
      <c r="F312" s="577">
        <v>2.4333333333333334E-3</v>
      </c>
      <c r="G312" s="577">
        <v>2.4166666666666664E-3</v>
      </c>
      <c r="H312" s="577">
        <v>2.6583333333333333E-3</v>
      </c>
      <c r="I312" s="577">
        <f t="shared" si="46"/>
        <v>4.5700000000000005E-2</v>
      </c>
      <c r="J312" s="577">
        <f t="shared" si="50"/>
        <v>4.5383333333333338E-2</v>
      </c>
      <c r="K312" s="577">
        <f t="shared" si="51"/>
        <v>1.2541666666666668E-2</v>
      </c>
      <c r="L312" s="585">
        <f t="shared" si="47"/>
        <v>0.35903030812923586</v>
      </c>
      <c r="M312" s="585">
        <f t="shared" si="48"/>
        <v>2.52E-2</v>
      </c>
      <c r="N312" s="585">
        <f t="shared" si="52"/>
        <v>2.8999999999999998E-2</v>
      </c>
      <c r="O312" s="586">
        <f t="shared" si="49"/>
        <v>0.33383030812923586</v>
      </c>
      <c r="P312" s="585">
        <f t="shared" si="53"/>
        <v>0.33003030812923584</v>
      </c>
      <c r="Q312" s="585">
        <f t="shared" si="54"/>
        <v>0.1783253112397587</v>
      </c>
      <c r="R312" s="585">
        <f t="shared" si="55"/>
        <v>3.1899999999999998E-2</v>
      </c>
      <c r="S312" s="586">
        <f t="shared" si="56"/>
        <v>0.14642531123975872</v>
      </c>
      <c r="U312" s="587"/>
      <c r="V312" s="587"/>
      <c r="W312" s="587"/>
      <c r="X312" s="587"/>
      <c r="Y312" s="587"/>
      <c r="Z312" s="587"/>
      <c r="AA312" s="587"/>
      <c r="AB312" s="587"/>
      <c r="AC312" s="587"/>
      <c r="AE312" s="587"/>
      <c r="AF312" s="587"/>
      <c r="AG312" s="587"/>
      <c r="AH312" s="587"/>
      <c r="AI312" s="587"/>
      <c r="AJ312" s="587"/>
      <c r="AK312" s="587"/>
      <c r="AL312" s="587"/>
      <c r="AM312" s="587"/>
      <c r="AO312" s="587"/>
      <c r="AP312" s="587"/>
      <c r="AQ312" s="587"/>
      <c r="AR312" s="587"/>
      <c r="AS312" s="587"/>
      <c r="AT312" s="587"/>
      <c r="AU312" s="587"/>
      <c r="AV312" s="587"/>
      <c r="AW312" s="587"/>
    </row>
    <row r="313" spans="1:49">
      <c r="A313" s="581">
        <v>18872</v>
      </c>
      <c r="B313" s="594">
        <v>1.2999999999999999E-3</v>
      </c>
      <c r="C313" s="577">
        <v>8.6E-3</v>
      </c>
      <c r="D313" s="577">
        <v>1.9E-3</v>
      </c>
      <c r="E313" s="577">
        <v>2.3666666666666667E-3</v>
      </c>
      <c r="F313" s="577">
        <v>2.3999999999999998E-3</v>
      </c>
      <c r="G313" s="577">
        <v>2.3833333333333332E-3</v>
      </c>
      <c r="H313" s="577">
        <v>2.6166666666666664E-3</v>
      </c>
      <c r="I313" s="577">
        <f t="shared" si="46"/>
        <v>-6.0000000000000006E-4</v>
      </c>
      <c r="J313" s="577">
        <f t="shared" si="50"/>
        <v>-1.0833333333333333E-3</v>
      </c>
      <c r="K313" s="577">
        <f t="shared" si="51"/>
        <v>5.9833333333333336E-3</v>
      </c>
      <c r="L313" s="585">
        <f t="shared" si="47"/>
        <v>0.28474041496393943</v>
      </c>
      <c r="M313" s="585">
        <f t="shared" si="48"/>
        <v>2.2800000000000001E-2</v>
      </c>
      <c r="N313" s="585">
        <f t="shared" si="52"/>
        <v>2.86E-2</v>
      </c>
      <c r="O313" s="586">
        <f t="shared" si="49"/>
        <v>0.26194041496393944</v>
      </c>
      <c r="P313" s="585">
        <f t="shared" si="53"/>
        <v>0.25614041496393941</v>
      </c>
      <c r="Q313" s="585">
        <f t="shared" si="54"/>
        <v>0.14077453341948565</v>
      </c>
      <c r="R313" s="585">
        <f t="shared" si="55"/>
        <v>3.1399999999999997E-2</v>
      </c>
      <c r="S313" s="586">
        <f t="shared" si="56"/>
        <v>0.10937453341948565</v>
      </c>
      <c r="U313" s="587"/>
      <c r="V313" s="587"/>
      <c r="W313" s="587"/>
      <c r="X313" s="587"/>
      <c r="Y313" s="587"/>
      <c r="Z313" s="587"/>
      <c r="AA313" s="587"/>
      <c r="AB313" s="587"/>
      <c r="AC313" s="587"/>
      <c r="AE313" s="587"/>
      <c r="AF313" s="587"/>
      <c r="AG313" s="587"/>
      <c r="AH313" s="587"/>
      <c r="AI313" s="587"/>
      <c r="AJ313" s="587"/>
      <c r="AK313" s="587"/>
      <c r="AL313" s="587"/>
      <c r="AM313" s="587"/>
      <c r="AO313" s="587"/>
      <c r="AP313" s="587"/>
      <c r="AQ313" s="587"/>
      <c r="AR313" s="587"/>
      <c r="AS313" s="587"/>
      <c r="AT313" s="587"/>
      <c r="AU313" s="587"/>
      <c r="AV313" s="587"/>
      <c r="AW313" s="587"/>
    </row>
    <row r="314" spans="1:49">
      <c r="A314" s="581">
        <v>18902</v>
      </c>
      <c r="B314" s="594">
        <v>-1.03E-2</v>
      </c>
      <c r="C314" s="577">
        <v>2.8999999999999998E-3</v>
      </c>
      <c r="D314" s="577">
        <v>2.3E-3</v>
      </c>
      <c r="E314" s="577">
        <v>2.4083333333333335E-3</v>
      </c>
      <c r="F314" s="577">
        <v>2.4416666666666666E-3</v>
      </c>
      <c r="G314" s="577">
        <v>2.4250000000000001E-3</v>
      </c>
      <c r="H314" s="577">
        <v>2.6416666666666667E-3</v>
      </c>
      <c r="I314" s="577">
        <f t="shared" si="46"/>
        <v>-1.26E-2</v>
      </c>
      <c r="J314" s="577">
        <f t="shared" si="50"/>
        <v>-1.2725E-2</v>
      </c>
      <c r="K314" s="577">
        <f t="shared" si="51"/>
        <v>2.5833333333333307E-4</v>
      </c>
      <c r="L314" s="585">
        <f t="shared" si="47"/>
        <v>0.25979152748420731</v>
      </c>
      <c r="M314" s="585">
        <f t="shared" si="48"/>
        <v>2.76E-2</v>
      </c>
      <c r="N314" s="585">
        <f t="shared" si="52"/>
        <v>2.9100000000000001E-2</v>
      </c>
      <c r="O314" s="586">
        <f t="shared" si="49"/>
        <v>0.23219152748420729</v>
      </c>
      <c r="P314" s="585">
        <f t="shared" si="53"/>
        <v>0.23069152748420729</v>
      </c>
      <c r="Q314" s="585">
        <f t="shared" si="54"/>
        <v>0.14718016601464234</v>
      </c>
      <c r="R314" s="585">
        <f t="shared" si="55"/>
        <v>3.1699999999999999E-2</v>
      </c>
      <c r="S314" s="586">
        <f t="shared" si="56"/>
        <v>0.11548016601464234</v>
      </c>
      <c r="U314" s="587"/>
      <c r="V314" s="587"/>
      <c r="W314" s="587"/>
      <c r="X314" s="587"/>
      <c r="Y314" s="587"/>
      <c r="Z314" s="587"/>
      <c r="AA314" s="587"/>
      <c r="AB314" s="587"/>
      <c r="AC314" s="587"/>
      <c r="AE314" s="587"/>
      <c r="AF314" s="587"/>
      <c r="AG314" s="587"/>
      <c r="AH314" s="587"/>
      <c r="AI314" s="587"/>
      <c r="AJ314" s="587"/>
      <c r="AK314" s="587"/>
      <c r="AL314" s="587"/>
      <c r="AM314" s="587"/>
      <c r="AO314" s="587"/>
      <c r="AP314" s="587"/>
      <c r="AQ314" s="587"/>
      <c r="AR314" s="587"/>
      <c r="AS314" s="587"/>
      <c r="AT314" s="587"/>
      <c r="AU314" s="587"/>
      <c r="AV314" s="587"/>
      <c r="AW314" s="587"/>
    </row>
    <row r="315" spans="1:49">
      <c r="A315" s="581">
        <v>18933</v>
      </c>
      <c r="B315" s="594">
        <v>9.5999999999999992E-3</v>
      </c>
      <c r="C315" s="577">
        <v>1.2E-2</v>
      </c>
      <c r="D315" s="577">
        <v>2.0999999999999999E-3</v>
      </c>
      <c r="E315" s="577">
        <v>2.4666666666666669E-3</v>
      </c>
      <c r="F315" s="577">
        <v>2.5166666666666666E-3</v>
      </c>
      <c r="G315" s="577">
        <v>2.4916666666666663E-3</v>
      </c>
      <c r="H315" s="577">
        <v>2.7000000000000001E-3</v>
      </c>
      <c r="I315" s="577">
        <f t="shared" si="46"/>
        <v>7.4999999999999997E-3</v>
      </c>
      <c r="J315" s="577">
        <f t="shared" si="50"/>
        <v>7.1083333333333328E-3</v>
      </c>
      <c r="K315" s="577">
        <f t="shared" si="51"/>
        <v>9.2999999999999992E-3</v>
      </c>
      <c r="L315" s="585">
        <f t="shared" si="47"/>
        <v>0.25074788686011962</v>
      </c>
      <c r="M315" s="585">
        <f t="shared" si="48"/>
        <v>2.52E-2</v>
      </c>
      <c r="N315" s="585">
        <f t="shared" si="52"/>
        <v>2.9899999999999996E-2</v>
      </c>
      <c r="O315" s="586">
        <f t="shared" si="49"/>
        <v>0.22554788686011962</v>
      </c>
      <c r="P315" s="585">
        <f t="shared" si="53"/>
        <v>0.22084788686011964</v>
      </c>
      <c r="Q315" s="585">
        <f t="shared" si="54"/>
        <v>0.18174504072355191</v>
      </c>
      <c r="R315" s="585">
        <f t="shared" si="55"/>
        <v>3.2399999999999998E-2</v>
      </c>
      <c r="S315" s="586">
        <f t="shared" si="56"/>
        <v>0.14934504072355193</v>
      </c>
      <c r="U315" s="587"/>
      <c r="V315" s="587"/>
      <c r="W315" s="587"/>
      <c r="X315" s="587"/>
      <c r="Y315" s="587"/>
      <c r="Z315" s="587"/>
      <c r="AA315" s="587"/>
      <c r="AB315" s="587"/>
      <c r="AC315" s="587"/>
      <c r="AE315" s="587"/>
      <c r="AF315" s="587"/>
      <c r="AG315" s="587"/>
      <c r="AH315" s="587"/>
      <c r="AI315" s="587"/>
      <c r="AJ315" s="587"/>
      <c r="AK315" s="587"/>
      <c r="AL315" s="587"/>
      <c r="AM315" s="587"/>
      <c r="AO315" s="587"/>
      <c r="AP315" s="587"/>
      <c r="AQ315" s="587"/>
      <c r="AR315" s="587"/>
      <c r="AS315" s="587"/>
      <c r="AT315" s="587"/>
      <c r="AU315" s="587"/>
      <c r="AV315" s="587"/>
      <c r="AW315" s="587"/>
    </row>
    <row r="316" spans="1:49">
      <c r="A316" s="581">
        <v>18963</v>
      </c>
      <c r="B316" s="594">
        <v>4.24E-2</v>
      </c>
      <c r="C316" s="577">
        <v>3.5200000000000002E-2</v>
      </c>
      <c r="D316" s="577">
        <v>2.2000000000000001E-3</v>
      </c>
      <c r="E316" s="577">
        <v>2.5083333333333329E-3</v>
      </c>
      <c r="F316" s="577">
        <v>2.5500000000000002E-3</v>
      </c>
      <c r="G316" s="577">
        <v>2.529166666666667E-3</v>
      </c>
      <c r="H316" s="577">
        <v>2.7416666666666666E-3</v>
      </c>
      <c r="I316" s="577">
        <f t="shared" si="46"/>
        <v>4.02E-2</v>
      </c>
      <c r="J316" s="577">
        <f t="shared" si="50"/>
        <v>3.9870833333333335E-2</v>
      </c>
      <c r="K316" s="577">
        <f t="shared" si="51"/>
        <v>3.2458333333333339E-2</v>
      </c>
      <c r="L316" s="585">
        <f t="shared" si="47"/>
        <v>0.24015941906495653</v>
      </c>
      <c r="M316" s="585">
        <f t="shared" si="48"/>
        <v>2.64E-2</v>
      </c>
      <c r="N316" s="585">
        <f t="shared" si="52"/>
        <v>3.0350000000000002E-2</v>
      </c>
      <c r="O316" s="586">
        <f t="shared" si="49"/>
        <v>0.21375941906495652</v>
      </c>
      <c r="P316" s="585">
        <f t="shared" si="53"/>
        <v>0.20980941906495654</v>
      </c>
      <c r="Q316" s="585">
        <f t="shared" si="54"/>
        <v>0.18632900131596331</v>
      </c>
      <c r="R316" s="585">
        <f t="shared" si="55"/>
        <v>3.2899999999999999E-2</v>
      </c>
      <c r="S316" s="586">
        <f t="shared" si="56"/>
        <v>0.15342900131596332</v>
      </c>
      <c r="U316" s="587"/>
      <c r="V316" s="587"/>
      <c r="W316" s="587"/>
      <c r="X316" s="587"/>
      <c r="Y316" s="587"/>
      <c r="Z316" s="587"/>
      <c r="AA316" s="587"/>
      <c r="AB316" s="587"/>
      <c r="AC316" s="587"/>
      <c r="AE316" s="587"/>
      <c r="AF316" s="587"/>
      <c r="AG316" s="587"/>
      <c r="AH316" s="587"/>
      <c r="AI316" s="587"/>
      <c r="AJ316" s="587"/>
      <c r="AK316" s="587"/>
      <c r="AL316" s="587"/>
      <c r="AM316" s="587"/>
      <c r="AO316" s="587"/>
      <c r="AP316" s="587"/>
      <c r="AQ316" s="587"/>
      <c r="AR316" s="587"/>
      <c r="AS316" s="587"/>
      <c r="AT316" s="587"/>
      <c r="AU316" s="587"/>
      <c r="AV316" s="587"/>
      <c r="AW316" s="587"/>
    </row>
    <row r="317" spans="1:49">
      <c r="A317" s="581">
        <v>18994</v>
      </c>
      <c r="B317" s="594">
        <v>1.8100000000000002E-2</v>
      </c>
      <c r="C317" s="577">
        <v>3.0499999999999999E-2</v>
      </c>
      <c r="D317" s="577">
        <v>2.3E-3</v>
      </c>
      <c r="E317" s="577">
        <v>2.4833333333333331E-3</v>
      </c>
      <c r="F317" s="577">
        <v>2.5416666666666665E-3</v>
      </c>
      <c r="G317" s="577">
        <v>2.5124999999999995E-3</v>
      </c>
      <c r="H317" s="577">
        <v>2.7416666666666666E-3</v>
      </c>
      <c r="I317" s="577">
        <f t="shared" si="46"/>
        <v>1.5800000000000002E-2</v>
      </c>
      <c r="J317" s="577">
        <f t="shared" si="50"/>
        <v>1.5587500000000002E-2</v>
      </c>
      <c r="K317" s="577">
        <f t="shared" si="51"/>
        <v>2.7758333333333333E-2</v>
      </c>
      <c r="L317" s="585">
        <f t="shared" si="47"/>
        <v>0.18699473963526625</v>
      </c>
      <c r="M317" s="585">
        <f t="shared" si="48"/>
        <v>2.76E-2</v>
      </c>
      <c r="N317" s="585">
        <f t="shared" si="52"/>
        <v>3.0149999999999996E-2</v>
      </c>
      <c r="O317" s="586">
        <f t="shared" si="49"/>
        <v>0.15939473963526624</v>
      </c>
      <c r="P317" s="585">
        <f t="shared" si="53"/>
        <v>0.15684473963526624</v>
      </c>
      <c r="Q317" s="585">
        <f t="shared" si="54"/>
        <v>0.17121291038139463</v>
      </c>
      <c r="R317" s="585">
        <f t="shared" si="55"/>
        <v>3.2899999999999999E-2</v>
      </c>
      <c r="S317" s="586">
        <f t="shared" si="56"/>
        <v>0.13831291038139465</v>
      </c>
      <c r="U317" s="587"/>
      <c r="V317" s="587"/>
      <c r="W317" s="587"/>
      <c r="X317" s="587"/>
      <c r="Y317" s="587"/>
      <c r="Z317" s="587"/>
      <c r="AA317" s="587"/>
      <c r="AB317" s="587"/>
      <c r="AC317" s="587"/>
      <c r="AE317" s="587"/>
      <c r="AF317" s="587"/>
      <c r="AG317" s="587"/>
      <c r="AH317" s="587"/>
      <c r="AI317" s="587"/>
      <c r="AJ317" s="587"/>
      <c r="AK317" s="587"/>
      <c r="AL317" s="587"/>
      <c r="AM317" s="587"/>
      <c r="AO317" s="587"/>
      <c r="AP317" s="587"/>
      <c r="AQ317" s="587"/>
      <c r="AR317" s="587"/>
      <c r="AS317" s="587"/>
      <c r="AT317" s="587"/>
      <c r="AU317" s="587"/>
      <c r="AV317" s="587"/>
      <c r="AW317" s="587"/>
    </row>
    <row r="318" spans="1:49">
      <c r="A318" s="581">
        <v>19025</v>
      </c>
      <c r="B318" s="594">
        <v>-2.8199999999999999E-2</v>
      </c>
      <c r="C318" s="577">
        <v>5.8999999999999999E-3</v>
      </c>
      <c r="D318" s="577">
        <v>2.0999999999999999E-3</v>
      </c>
      <c r="E318" s="577">
        <v>2.4416666666666666E-3</v>
      </c>
      <c r="F318" s="577">
        <v>2.5083333333333329E-3</v>
      </c>
      <c r="G318" s="577">
        <v>2.4749999999999998E-3</v>
      </c>
      <c r="H318" s="577">
        <v>2.6916666666666669E-3</v>
      </c>
      <c r="I318" s="577">
        <f t="shared" si="46"/>
        <v>-3.0300000000000001E-2</v>
      </c>
      <c r="J318" s="577">
        <f t="shared" si="50"/>
        <v>-3.0675000000000001E-2</v>
      </c>
      <c r="K318" s="577">
        <f t="shared" si="51"/>
        <v>3.208333333333333E-3</v>
      </c>
      <c r="L318" s="585">
        <f t="shared" si="47"/>
        <v>0.13569113712469338</v>
      </c>
      <c r="M318" s="585">
        <f t="shared" si="48"/>
        <v>2.52E-2</v>
      </c>
      <c r="N318" s="585">
        <f t="shared" si="52"/>
        <v>2.9699999999999997E-2</v>
      </c>
      <c r="O318" s="586">
        <f t="shared" si="49"/>
        <v>0.11049113712469338</v>
      </c>
      <c r="P318" s="585">
        <f t="shared" si="53"/>
        <v>0.10599113712469338</v>
      </c>
      <c r="Q318" s="585">
        <f t="shared" si="54"/>
        <v>0.14737345788142298</v>
      </c>
      <c r="R318" s="585">
        <f t="shared" si="55"/>
        <v>3.2300000000000002E-2</v>
      </c>
      <c r="S318" s="586">
        <f t="shared" si="56"/>
        <v>0.11507345788142298</v>
      </c>
      <c r="U318" s="587"/>
      <c r="V318" s="587"/>
      <c r="W318" s="587"/>
      <c r="X318" s="587"/>
      <c r="Y318" s="587"/>
      <c r="Z318" s="587"/>
      <c r="AA318" s="587"/>
      <c r="AB318" s="587"/>
      <c r="AC318" s="587"/>
      <c r="AE318" s="587"/>
      <c r="AF318" s="587"/>
      <c r="AG318" s="587"/>
      <c r="AH318" s="587"/>
      <c r="AI318" s="587"/>
      <c r="AJ318" s="587"/>
      <c r="AK318" s="587"/>
      <c r="AL318" s="587"/>
      <c r="AM318" s="587"/>
      <c r="AO318" s="587"/>
      <c r="AP318" s="587"/>
      <c r="AQ318" s="587"/>
      <c r="AR318" s="587"/>
      <c r="AS318" s="587"/>
      <c r="AT318" s="587"/>
      <c r="AU318" s="587"/>
      <c r="AV318" s="587"/>
      <c r="AW318" s="587"/>
    </row>
    <row r="319" spans="1:49">
      <c r="A319" s="581">
        <v>19054</v>
      </c>
      <c r="B319" s="594">
        <v>5.0299999999999997E-2</v>
      </c>
      <c r="C319" s="577">
        <v>1.7599999999999998E-2</v>
      </c>
      <c r="D319" s="577">
        <v>2.3E-3</v>
      </c>
      <c r="E319" s="577">
        <v>2.4666666666666669E-3</v>
      </c>
      <c r="F319" s="577">
        <v>2.5249999999999999E-3</v>
      </c>
      <c r="G319" s="577">
        <v>2.4958333333333334E-3</v>
      </c>
      <c r="H319" s="577">
        <v>2.708333333333333E-3</v>
      </c>
      <c r="I319" s="577">
        <f t="shared" si="46"/>
        <v>4.8000000000000001E-2</v>
      </c>
      <c r="J319" s="577">
        <f t="shared" si="50"/>
        <v>4.7804166666666661E-2</v>
      </c>
      <c r="K319" s="577">
        <f t="shared" si="51"/>
        <v>1.4891666666666664E-2</v>
      </c>
      <c r="L319" s="585">
        <f t="shared" si="47"/>
        <v>0.2117192211723542</v>
      </c>
      <c r="M319" s="585">
        <f t="shared" si="48"/>
        <v>2.76E-2</v>
      </c>
      <c r="N319" s="585">
        <f t="shared" si="52"/>
        <v>2.9950000000000001E-2</v>
      </c>
      <c r="O319" s="586">
        <f t="shared" si="49"/>
        <v>0.18411922117235419</v>
      </c>
      <c r="P319" s="585">
        <f t="shared" si="53"/>
        <v>0.1817692211723542</v>
      </c>
      <c r="Q319" s="585">
        <f t="shared" si="54"/>
        <v>0.18824265290060693</v>
      </c>
      <c r="R319" s="585">
        <f t="shared" si="55"/>
        <v>3.2499999999999994E-2</v>
      </c>
      <c r="S319" s="586">
        <f t="shared" si="56"/>
        <v>0.15574265290060693</v>
      </c>
      <c r="U319" s="587"/>
      <c r="V319" s="587"/>
      <c r="W319" s="587"/>
      <c r="X319" s="587"/>
      <c r="Y319" s="587"/>
      <c r="Z319" s="587"/>
      <c r="AA319" s="587"/>
      <c r="AB319" s="587"/>
      <c r="AC319" s="587"/>
      <c r="AE319" s="587"/>
      <c r="AF319" s="587"/>
      <c r="AG319" s="587"/>
      <c r="AH319" s="587"/>
      <c r="AI319" s="587"/>
      <c r="AJ319" s="587"/>
      <c r="AK319" s="587"/>
      <c r="AL319" s="587"/>
      <c r="AM319" s="587"/>
      <c r="AO319" s="587"/>
      <c r="AP319" s="587"/>
      <c r="AQ319" s="587"/>
      <c r="AR319" s="587"/>
      <c r="AS319" s="587"/>
      <c r="AT319" s="587"/>
      <c r="AU319" s="587"/>
      <c r="AV319" s="587"/>
      <c r="AW319" s="587"/>
    </row>
    <row r="320" spans="1:49">
      <c r="A320" s="581">
        <v>19085</v>
      </c>
      <c r="B320" s="594">
        <v>-4.02E-2</v>
      </c>
      <c r="C320" s="577">
        <v>-1.54E-2</v>
      </c>
      <c r="D320" s="577">
        <v>2.2000000000000001E-3</v>
      </c>
      <c r="E320" s="577">
        <v>2.4416666666666666E-3</v>
      </c>
      <c r="F320" s="577">
        <v>2.5083333333333329E-3</v>
      </c>
      <c r="G320" s="577">
        <v>2.4749999999999998E-3</v>
      </c>
      <c r="H320" s="577">
        <v>2.6916666666666669E-3</v>
      </c>
      <c r="I320" s="577">
        <f t="shared" si="46"/>
        <v>-4.24E-2</v>
      </c>
      <c r="J320" s="577">
        <f t="shared" si="50"/>
        <v>-4.2674999999999998E-2</v>
      </c>
      <c r="K320" s="577">
        <f t="shared" si="51"/>
        <v>-1.8091666666666666E-2</v>
      </c>
      <c r="L320" s="585">
        <f t="shared" si="47"/>
        <v>0.10667818867753875</v>
      </c>
      <c r="M320" s="585">
        <f t="shared" si="48"/>
        <v>2.64E-2</v>
      </c>
      <c r="N320" s="585">
        <f t="shared" si="52"/>
        <v>2.9699999999999997E-2</v>
      </c>
      <c r="O320" s="586">
        <f t="shared" si="49"/>
        <v>8.0278188677538748E-2</v>
      </c>
      <c r="P320" s="585">
        <f t="shared" si="53"/>
        <v>7.697818867753875E-2</v>
      </c>
      <c r="Q320" s="585">
        <f t="shared" si="54"/>
        <v>0.16935903652767359</v>
      </c>
      <c r="R320" s="585">
        <f t="shared" si="55"/>
        <v>3.2300000000000002E-2</v>
      </c>
      <c r="S320" s="586">
        <f t="shared" si="56"/>
        <v>0.13705903652767359</v>
      </c>
      <c r="U320" s="587"/>
      <c r="V320" s="587"/>
      <c r="W320" s="587"/>
      <c r="X320" s="587"/>
      <c r="Y320" s="587"/>
      <c r="Z320" s="587"/>
      <c r="AA320" s="587"/>
      <c r="AB320" s="587"/>
      <c r="AC320" s="587"/>
      <c r="AE320" s="587"/>
      <c r="AF320" s="587"/>
      <c r="AG320" s="587"/>
      <c r="AH320" s="587"/>
      <c r="AI320" s="587"/>
      <c r="AJ320" s="587"/>
      <c r="AK320" s="587"/>
      <c r="AL320" s="587"/>
      <c r="AM320" s="587"/>
      <c r="AO320" s="587"/>
      <c r="AP320" s="587"/>
      <c r="AQ320" s="587"/>
      <c r="AR320" s="587"/>
      <c r="AS320" s="587"/>
      <c r="AT320" s="587"/>
      <c r="AU320" s="587"/>
      <c r="AV320" s="587"/>
      <c r="AW320" s="587"/>
    </row>
    <row r="321" spans="1:49">
      <c r="A321" s="581">
        <v>19115</v>
      </c>
      <c r="B321" s="594">
        <v>3.4299999999999997E-2</v>
      </c>
      <c r="C321" s="577">
        <v>1.9E-2</v>
      </c>
      <c r="D321" s="577">
        <v>2E-3</v>
      </c>
      <c r="E321" s="577">
        <v>2.4416666666666666E-3</v>
      </c>
      <c r="F321" s="577">
        <v>2.5000000000000001E-3</v>
      </c>
      <c r="G321" s="577">
        <v>2.4708333333333331E-3</v>
      </c>
      <c r="H321" s="577">
        <v>2.6833333333333336E-3</v>
      </c>
      <c r="I321" s="577">
        <f t="shared" si="46"/>
        <v>3.2299999999999995E-2</v>
      </c>
      <c r="J321" s="577">
        <f t="shared" si="50"/>
        <v>3.1829166666666665E-2</v>
      </c>
      <c r="K321" s="577">
        <f t="shared" si="51"/>
        <v>1.6316666666666667E-2</v>
      </c>
      <c r="L321" s="585">
        <f t="shared" si="47"/>
        <v>0.17991676172474858</v>
      </c>
      <c r="M321" s="585">
        <f t="shared" si="48"/>
        <v>2.4E-2</v>
      </c>
      <c r="N321" s="585">
        <f t="shared" si="52"/>
        <v>2.9649999999999996E-2</v>
      </c>
      <c r="O321" s="586">
        <f t="shared" si="49"/>
        <v>0.15591676172474858</v>
      </c>
      <c r="P321" s="585">
        <f t="shared" si="53"/>
        <v>0.15026676172474857</v>
      </c>
      <c r="Q321" s="585">
        <f t="shared" si="54"/>
        <v>0.18376401571796053</v>
      </c>
      <c r="R321" s="585">
        <f t="shared" si="55"/>
        <v>3.2200000000000006E-2</v>
      </c>
      <c r="S321" s="586">
        <f t="shared" si="56"/>
        <v>0.15156401571796052</v>
      </c>
      <c r="U321" s="587"/>
      <c r="V321" s="587"/>
      <c r="W321" s="587"/>
      <c r="X321" s="587"/>
      <c r="Y321" s="587"/>
      <c r="Z321" s="587"/>
      <c r="AA321" s="587"/>
      <c r="AB321" s="587"/>
      <c r="AC321" s="587"/>
      <c r="AE321" s="587"/>
      <c r="AF321" s="587"/>
      <c r="AG321" s="587"/>
      <c r="AH321" s="587"/>
      <c r="AI321" s="587"/>
      <c r="AJ321" s="587"/>
      <c r="AK321" s="587"/>
      <c r="AL321" s="587"/>
      <c r="AM321" s="587"/>
      <c r="AO321" s="587"/>
      <c r="AP321" s="587"/>
      <c r="AQ321" s="587"/>
      <c r="AR321" s="587"/>
      <c r="AS321" s="587"/>
      <c r="AT321" s="587"/>
      <c r="AU321" s="587"/>
      <c r="AV321" s="587"/>
      <c r="AW321" s="587"/>
    </row>
    <row r="322" spans="1:49">
      <c r="A322" s="581">
        <v>19146</v>
      </c>
      <c r="B322" s="594">
        <v>4.9000000000000002E-2</v>
      </c>
      <c r="C322" s="577">
        <v>4.8999999999999998E-3</v>
      </c>
      <c r="D322" s="577">
        <v>2.2000000000000001E-3</v>
      </c>
      <c r="E322" s="577">
        <v>2.4499999999999999E-3</v>
      </c>
      <c r="F322" s="577">
        <v>2.5249999999999999E-3</v>
      </c>
      <c r="G322" s="577">
        <v>2.4875000000000001E-3</v>
      </c>
      <c r="H322" s="577">
        <v>2.6833333333333336E-3</v>
      </c>
      <c r="I322" s="577">
        <f t="shared" si="46"/>
        <v>4.6800000000000001E-2</v>
      </c>
      <c r="J322" s="577">
        <f t="shared" si="50"/>
        <v>4.6512499999999998E-2</v>
      </c>
      <c r="K322" s="577">
        <f t="shared" si="51"/>
        <v>2.2166666666666663E-3</v>
      </c>
      <c r="L322" s="585">
        <f t="shared" si="47"/>
        <v>0.26661142350517952</v>
      </c>
      <c r="M322" s="585">
        <f t="shared" si="48"/>
        <v>2.64E-2</v>
      </c>
      <c r="N322" s="585">
        <f t="shared" si="52"/>
        <v>2.9850000000000002E-2</v>
      </c>
      <c r="O322" s="586">
        <f t="shared" si="49"/>
        <v>0.24021142350517952</v>
      </c>
      <c r="P322" s="585">
        <f t="shared" si="53"/>
        <v>0.23676142350517954</v>
      </c>
      <c r="Q322" s="585">
        <f t="shared" si="54"/>
        <v>0.19434182670178579</v>
      </c>
      <c r="R322" s="585">
        <f t="shared" si="55"/>
        <v>3.2200000000000006E-2</v>
      </c>
      <c r="S322" s="586">
        <f t="shared" si="56"/>
        <v>0.16214182670178579</v>
      </c>
      <c r="U322" s="587"/>
      <c r="V322" s="587"/>
      <c r="W322" s="587"/>
      <c r="X322" s="587"/>
      <c r="Y322" s="587"/>
      <c r="Z322" s="587"/>
      <c r="AA322" s="587"/>
      <c r="AB322" s="587"/>
      <c r="AC322" s="587"/>
      <c r="AE322" s="587"/>
      <c r="AF322" s="587"/>
      <c r="AG322" s="587"/>
      <c r="AH322" s="587"/>
      <c r="AI322" s="587"/>
      <c r="AJ322" s="587"/>
      <c r="AK322" s="587"/>
      <c r="AL322" s="587"/>
      <c r="AM322" s="587"/>
      <c r="AO322" s="587"/>
      <c r="AP322" s="587"/>
      <c r="AQ322" s="587"/>
      <c r="AR322" s="587"/>
      <c r="AS322" s="587"/>
      <c r="AT322" s="587"/>
      <c r="AU322" s="587"/>
      <c r="AV322" s="587"/>
      <c r="AW322" s="587"/>
    </row>
    <row r="323" spans="1:49">
      <c r="A323" s="581">
        <v>19176</v>
      </c>
      <c r="B323" s="594">
        <v>1.9599999999999999E-2</v>
      </c>
      <c r="C323" s="577">
        <v>2.06E-2</v>
      </c>
      <c r="D323" s="577">
        <v>2.2000000000000001E-3</v>
      </c>
      <c r="E323" s="577">
        <v>2.4583333333333336E-3</v>
      </c>
      <c r="F323" s="577">
        <v>2.5333333333333336E-3</v>
      </c>
      <c r="G323" s="577">
        <v>2.4958333333333334E-3</v>
      </c>
      <c r="H323" s="577">
        <v>2.6833333333333336E-3</v>
      </c>
      <c r="I323" s="577">
        <f t="shared" si="46"/>
        <v>1.7399999999999999E-2</v>
      </c>
      <c r="J323" s="577">
        <f t="shared" si="50"/>
        <v>1.7104166666666667E-2</v>
      </c>
      <c r="K323" s="577">
        <f t="shared" si="51"/>
        <v>1.7916666666666668E-2</v>
      </c>
      <c r="L323" s="585">
        <f t="shared" si="47"/>
        <v>0.20571095827269215</v>
      </c>
      <c r="M323" s="585">
        <f t="shared" si="48"/>
        <v>2.64E-2</v>
      </c>
      <c r="N323" s="585">
        <f t="shared" si="52"/>
        <v>2.9950000000000001E-2</v>
      </c>
      <c r="O323" s="586">
        <f t="shared" si="49"/>
        <v>0.17931095827269214</v>
      </c>
      <c r="P323" s="585">
        <f t="shared" si="53"/>
        <v>0.17576095827269214</v>
      </c>
      <c r="Q323" s="585">
        <f t="shared" si="54"/>
        <v>0.16768394322429581</v>
      </c>
      <c r="R323" s="585">
        <f t="shared" si="55"/>
        <v>3.2200000000000006E-2</v>
      </c>
      <c r="S323" s="586">
        <f t="shared" si="56"/>
        <v>0.1354839432242958</v>
      </c>
      <c r="U323" s="587"/>
      <c r="V323" s="587"/>
      <c r="W323" s="587"/>
      <c r="X323" s="587"/>
      <c r="Y323" s="587"/>
      <c r="Z323" s="587"/>
      <c r="AA323" s="587"/>
      <c r="AB323" s="587"/>
      <c r="AC323" s="587"/>
      <c r="AE323" s="587"/>
      <c r="AF323" s="587"/>
      <c r="AG323" s="587"/>
      <c r="AH323" s="587"/>
      <c r="AI323" s="587"/>
      <c r="AJ323" s="587"/>
      <c r="AK323" s="587"/>
      <c r="AL323" s="587"/>
      <c r="AM323" s="587"/>
      <c r="AO323" s="587"/>
      <c r="AP323" s="587"/>
      <c r="AQ323" s="587"/>
      <c r="AR323" s="587"/>
      <c r="AS323" s="587"/>
      <c r="AT323" s="587"/>
      <c r="AU323" s="587"/>
      <c r="AV323" s="587"/>
      <c r="AW323" s="587"/>
    </row>
    <row r="324" spans="1:49">
      <c r="A324" s="581">
        <v>19207</v>
      </c>
      <c r="B324" s="594">
        <v>-7.1000000000000004E-3</v>
      </c>
      <c r="C324" s="577">
        <v>2.0300000000000002E-2</v>
      </c>
      <c r="D324" s="577">
        <v>2.0999999999999999E-3</v>
      </c>
      <c r="E324" s="577">
        <v>2.4499999999999999E-3</v>
      </c>
      <c r="F324" s="577">
        <v>2.5500000000000002E-3</v>
      </c>
      <c r="G324" s="577">
        <v>2.5000000000000001E-3</v>
      </c>
      <c r="H324" s="577">
        <v>2.7000000000000001E-3</v>
      </c>
      <c r="I324" s="577">
        <f t="shared" si="46"/>
        <v>-9.1999999999999998E-3</v>
      </c>
      <c r="J324" s="577">
        <f t="shared" si="50"/>
        <v>-9.6000000000000009E-3</v>
      </c>
      <c r="K324" s="577">
        <f t="shared" si="51"/>
        <v>1.7600000000000001E-2</v>
      </c>
      <c r="L324" s="585">
        <f t="shared" si="47"/>
        <v>0.14253713539698043</v>
      </c>
      <c r="M324" s="585">
        <f t="shared" si="48"/>
        <v>2.52E-2</v>
      </c>
      <c r="N324" s="585">
        <f t="shared" si="52"/>
        <v>0.03</v>
      </c>
      <c r="O324" s="586">
        <f t="shared" si="49"/>
        <v>0.11733713539698043</v>
      </c>
      <c r="P324" s="585">
        <f t="shared" si="53"/>
        <v>0.11253713539698043</v>
      </c>
      <c r="Q324" s="585">
        <f t="shared" si="54"/>
        <v>0.17354996776177001</v>
      </c>
      <c r="R324" s="585">
        <f t="shared" si="55"/>
        <v>3.2399999999999998E-2</v>
      </c>
      <c r="S324" s="586">
        <f t="shared" si="56"/>
        <v>0.14114996776177002</v>
      </c>
      <c r="U324" s="587"/>
      <c r="V324" s="587"/>
      <c r="W324" s="587"/>
      <c r="X324" s="587"/>
      <c r="Y324" s="587"/>
      <c r="Z324" s="587"/>
      <c r="AA324" s="587"/>
      <c r="AB324" s="587"/>
      <c r="AC324" s="587"/>
      <c r="AE324" s="587"/>
      <c r="AF324" s="587"/>
      <c r="AG324" s="587"/>
      <c r="AH324" s="587"/>
      <c r="AI324" s="587"/>
      <c r="AJ324" s="587"/>
      <c r="AK324" s="587"/>
      <c r="AL324" s="587"/>
      <c r="AM324" s="587"/>
      <c r="AO324" s="587"/>
      <c r="AP324" s="587"/>
      <c r="AQ324" s="587"/>
      <c r="AR324" s="587"/>
      <c r="AS324" s="587"/>
      <c r="AT324" s="587"/>
      <c r="AU324" s="587"/>
      <c r="AV324" s="587"/>
      <c r="AW324" s="587"/>
    </row>
    <row r="325" spans="1:49">
      <c r="A325" s="581">
        <v>19238</v>
      </c>
      <c r="B325" s="594">
        <v>-1.7600000000000001E-2</v>
      </c>
      <c r="C325" s="577">
        <v>1.4999999999999996E-3</v>
      </c>
      <c r="D325" s="577">
        <v>2.3E-3</v>
      </c>
      <c r="E325" s="577">
        <v>2.4583333333333336E-3</v>
      </c>
      <c r="F325" s="577">
        <v>2.558333333333333E-3</v>
      </c>
      <c r="G325" s="577">
        <v>2.5083333333333333E-3</v>
      </c>
      <c r="H325" s="577">
        <v>2.7000000000000001E-3</v>
      </c>
      <c r="I325" s="577">
        <f t="shared" si="46"/>
        <v>-1.9900000000000001E-2</v>
      </c>
      <c r="J325" s="577">
        <f t="shared" si="50"/>
        <v>-2.0108333333333336E-2</v>
      </c>
      <c r="K325" s="577">
        <f t="shared" si="51"/>
        <v>-1.2000000000000005E-3</v>
      </c>
      <c r="L325" s="585">
        <f t="shared" si="47"/>
        <v>0.12097121922899645</v>
      </c>
      <c r="M325" s="585">
        <f t="shared" si="48"/>
        <v>2.76E-2</v>
      </c>
      <c r="N325" s="585">
        <f t="shared" si="52"/>
        <v>3.0100000000000002E-2</v>
      </c>
      <c r="O325" s="586">
        <f t="shared" si="49"/>
        <v>9.3371219228996452E-2</v>
      </c>
      <c r="P325" s="585">
        <f t="shared" si="53"/>
        <v>9.087121922899645E-2</v>
      </c>
      <c r="Q325" s="585">
        <f t="shared" si="54"/>
        <v>0.16528880895638776</v>
      </c>
      <c r="R325" s="585">
        <f t="shared" si="55"/>
        <v>3.2399999999999998E-2</v>
      </c>
      <c r="S325" s="586">
        <f t="shared" si="56"/>
        <v>0.13288880895638777</v>
      </c>
      <c r="U325" s="587"/>
      <c r="V325" s="587"/>
      <c r="W325" s="587"/>
      <c r="X325" s="587"/>
      <c r="Y325" s="587"/>
      <c r="Z325" s="587"/>
      <c r="AA325" s="587"/>
      <c r="AB325" s="587"/>
      <c r="AC325" s="587"/>
      <c r="AE325" s="587"/>
      <c r="AF325" s="587"/>
      <c r="AG325" s="587"/>
      <c r="AH325" s="587"/>
      <c r="AI325" s="587"/>
      <c r="AJ325" s="587"/>
      <c r="AK325" s="587"/>
      <c r="AL325" s="587"/>
      <c r="AM325" s="587"/>
      <c r="AO325" s="587"/>
      <c r="AP325" s="587"/>
      <c r="AQ325" s="587"/>
      <c r="AR325" s="587"/>
      <c r="AS325" s="587"/>
      <c r="AT325" s="587"/>
      <c r="AU325" s="587"/>
      <c r="AV325" s="587"/>
      <c r="AW325" s="587"/>
    </row>
    <row r="326" spans="1:49">
      <c r="A326" s="581">
        <v>19268</v>
      </c>
      <c r="B326" s="594">
        <v>2E-3</v>
      </c>
      <c r="C326" s="577">
        <v>1.01E-2</v>
      </c>
      <c r="D326" s="577">
        <v>2.3E-3</v>
      </c>
      <c r="E326" s="577">
        <v>2.5083333333333329E-3</v>
      </c>
      <c r="F326" s="577">
        <v>2.5666666666666667E-3</v>
      </c>
      <c r="G326" s="577">
        <v>2.5374999999999998E-3</v>
      </c>
      <c r="H326" s="577">
        <v>2.7166666666666667E-3</v>
      </c>
      <c r="I326" s="577">
        <f t="shared" ref="I326:I389" si="57">B326-D326</f>
        <v>-2.9999999999999992E-4</v>
      </c>
      <c r="J326" s="577">
        <f t="shared" si="50"/>
        <v>-5.3749999999999978E-4</v>
      </c>
      <c r="K326" s="577">
        <f t="shared" si="51"/>
        <v>7.3833333333333329E-3</v>
      </c>
      <c r="L326" s="585">
        <f t="shared" si="47"/>
        <v>0.13490265905572785</v>
      </c>
      <c r="M326" s="585">
        <f t="shared" si="48"/>
        <v>2.76E-2</v>
      </c>
      <c r="N326" s="585">
        <f t="shared" si="52"/>
        <v>3.0449999999999998E-2</v>
      </c>
      <c r="O326" s="586">
        <f t="shared" si="49"/>
        <v>0.10730265905572785</v>
      </c>
      <c r="P326" s="585">
        <f t="shared" si="53"/>
        <v>0.10445265905572784</v>
      </c>
      <c r="Q326" s="585">
        <f t="shared" si="54"/>
        <v>0.17365462750707694</v>
      </c>
      <c r="R326" s="585">
        <f t="shared" si="55"/>
        <v>3.2600000000000004E-2</v>
      </c>
      <c r="S326" s="586">
        <f t="shared" si="56"/>
        <v>0.14105462750707692</v>
      </c>
      <c r="U326" s="587"/>
      <c r="V326" s="587"/>
      <c r="W326" s="587"/>
      <c r="X326" s="587"/>
      <c r="Y326" s="587"/>
      <c r="Z326" s="587"/>
      <c r="AA326" s="587"/>
      <c r="AB326" s="587"/>
      <c r="AC326" s="587"/>
      <c r="AE326" s="587"/>
      <c r="AF326" s="587"/>
      <c r="AG326" s="587"/>
      <c r="AH326" s="587"/>
      <c r="AI326" s="587"/>
      <c r="AJ326" s="587"/>
      <c r="AK326" s="587"/>
      <c r="AL326" s="587"/>
      <c r="AM326" s="587"/>
      <c r="AO326" s="587"/>
      <c r="AP326" s="587"/>
      <c r="AQ326" s="587"/>
      <c r="AR326" s="587"/>
      <c r="AS326" s="587"/>
      <c r="AT326" s="587"/>
      <c r="AU326" s="587"/>
      <c r="AV326" s="587"/>
      <c r="AW326" s="587"/>
    </row>
    <row r="327" spans="1:49">
      <c r="A327" s="581">
        <v>19299</v>
      </c>
      <c r="B327" s="594">
        <v>5.7099999999999998E-2</v>
      </c>
      <c r="C327" s="577">
        <v>4.2299999999999997E-2</v>
      </c>
      <c r="D327" s="577">
        <v>2.0999999999999999E-3</v>
      </c>
      <c r="E327" s="577">
        <v>2.4833333333333331E-3</v>
      </c>
      <c r="F327" s="577">
        <v>2.5500000000000002E-3</v>
      </c>
      <c r="G327" s="577">
        <v>2.5166666666666666E-3</v>
      </c>
      <c r="H327" s="577">
        <v>2.7000000000000001E-3</v>
      </c>
      <c r="I327" s="577">
        <f t="shared" si="57"/>
        <v>5.5E-2</v>
      </c>
      <c r="J327" s="577">
        <f t="shared" si="50"/>
        <v>5.4583333333333331E-2</v>
      </c>
      <c r="K327" s="577">
        <f t="shared" si="51"/>
        <v>3.9599999999999996E-2</v>
      </c>
      <c r="L327" s="585">
        <f t="shared" si="47"/>
        <v>0.18829794065749828</v>
      </c>
      <c r="M327" s="585">
        <f t="shared" si="48"/>
        <v>2.52E-2</v>
      </c>
      <c r="N327" s="585">
        <f t="shared" si="52"/>
        <v>3.0199999999999998E-2</v>
      </c>
      <c r="O327" s="586">
        <f t="shared" si="49"/>
        <v>0.16309794065749827</v>
      </c>
      <c r="P327" s="585">
        <f t="shared" si="53"/>
        <v>0.15809794065749827</v>
      </c>
      <c r="Q327" s="585">
        <f t="shared" si="54"/>
        <v>0.20879468206583618</v>
      </c>
      <c r="R327" s="585">
        <f t="shared" si="55"/>
        <v>3.2399999999999998E-2</v>
      </c>
      <c r="S327" s="586">
        <f t="shared" si="56"/>
        <v>0.17639468206583619</v>
      </c>
      <c r="U327" s="587"/>
      <c r="V327" s="587"/>
      <c r="W327" s="587"/>
      <c r="X327" s="587"/>
      <c r="Y327" s="587"/>
      <c r="Z327" s="587"/>
      <c r="AA327" s="587"/>
      <c r="AB327" s="587"/>
      <c r="AC327" s="587"/>
      <c r="AE327" s="587"/>
      <c r="AF327" s="587"/>
      <c r="AG327" s="587"/>
      <c r="AH327" s="587"/>
      <c r="AI327" s="587"/>
      <c r="AJ327" s="587"/>
      <c r="AK327" s="587"/>
      <c r="AL327" s="587"/>
      <c r="AM327" s="587"/>
      <c r="AO327" s="587"/>
      <c r="AP327" s="587"/>
      <c r="AQ327" s="587"/>
      <c r="AR327" s="587"/>
      <c r="AS327" s="587"/>
      <c r="AT327" s="587"/>
      <c r="AU327" s="587"/>
      <c r="AV327" s="587"/>
      <c r="AW327" s="587"/>
    </row>
    <row r="328" spans="1:49">
      <c r="A328" s="581">
        <v>19329</v>
      </c>
      <c r="B328" s="594">
        <v>3.8199999999999998E-2</v>
      </c>
      <c r="C328" s="577">
        <v>2.1299999999999999E-2</v>
      </c>
      <c r="D328" s="577">
        <v>2.3999999999999998E-3</v>
      </c>
      <c r="E328" s="577">
        <v>2.4750000000000002E-3</v>
      </c>
      <c r="F328" s="577">
        <v>2.5416666666666665E-3</v>
      </c>
      <c r="G328" s="577">
        <v>2.5083333333333333E-3</v>
      </c>
      <c r="H328" s="577">
        <v>2.6833333333333336E-3</v>
      </c>
      <c r="I328" s="577">
        <f t="shared" si="57"/>
        <v>3.5799999999999998E-2</v>
      </c>
      <c r="J328" s="577">
        <f t="shared" si="50"/>
        <v>3.5691666666666663E-2</v>
      </c>
      <c r="K328" s="577">
        <f t="shared" si="51"/>
        <v>1.8616666666666667E-2</v>
      </c>
      <c r="L328" s="585">
        <f t="shared" si="47"/>
        <v>0.18351009400481066</v>
      </c>
      <c r="M328" s="585">
        <f t="shared" si="48"/>
        <v>2.8799999999999999E-2</v>
      </c>
      <c r="N328" s="585">
        <f t="shared" si="52"/>
        <v>3.0100000000000002E-2</v>
      </c>
      <c r="O328" s="586">
        <f t="shared" si="49"/>
        <v>0.15471009400481067</v>
      </c>
      <c r="P328" s="585">
        <f t="shared" si="53"/>
        <v>0.15341009400481065</v>
      </c>
      <c r="Q328" s="585">
        <f t="shared" si="54"/>
        <v>0.19256376429080269</v>
      </c>
      <c r="R328" s="585">
        <f t="shared" si="55"/>
        <v>3.2200000000000006E-2</v>
      </c>
      <c r="S328" s="586">
        <f t="shared" si="56"/>
        <v>0.16036376429080268</v>
      </c>
      <c r="U328" s="587"/>
      <c r="V328" s="587"/>
      <c r="W328" s="587"/>
      <c r="X328" s="587"/>
      <c r="Y328" s="587"/>
      <c r="Z328" s="587"/>
      <c r="AA328" s="587"/>
      <c r="AB328" s="587"/>
      <c r="AC328" s="587"/>
      <c r="AE328" s="587"/>
      <c r="AF328" s="587"/>
      <c r="AG328" s="587"/>
      <c r="AH328" s="587"/>
      <c r="AI328" s="587"/>
      <c r="AJ328" s="587"/>
      <c r="AK328" s="587"/>
      <c r="AL328" s="587"/>
      <c r="AM328" s="587"/>
      <c r="AO328" s="587"/>
      <c r="AP328" s="587"/>
      <c r="AQ328" s="587"/>
      <c r="AR328" s="587"/>
      <c r="AS328" s="587"/>
      <c r="AT328" s="587"/>
      <c r="AU328" s="587"/>
      <c r="AV328" s="587"/>
      <c r="AW328" s="587"/>
    </row>
    <row r="329" spans="1:49">
      <c r="A329" s="581">
        <v>19360</v>
      </c>
      <c r="B329" s="594">
        <v>-4.8999999999999998E-3</v>
      </c>
      <c r="C329" s="577">
        <v>1.03E-2</v>
      </c>
      <c r="D329" s="577">
        <v>2.3E-3</v>
      </c>
      <c r="E329" s="577">
        <v>2.5166666666666666E-3</v>
      </c>
      <c r="F329" s="577">
        <v>2.575E-3</v>
      </c>
      <c r="G329" s="577">
        <v>2.5458333333333331E-3</v>
      </c>
      <c r="H329" s="577">
        <v>2.708333333333333E-3</v>
      </c>
      <c r="I329" s="577">
        <f t="shared" si="57"/>
        <v>-7.1999999999999998E-3</v>
      </c>
      <c r="J329" s="577">
        <f t="shared" si="50"/>
        <v>-7.4458333333333329E-3</v>
      </c>
      <c r="K329" s="577">
        <f t="shared" si="51"/>
        <v>7.5916666666666667E-3</v>
      </c>
      <c r="L329" s="585">
        <f t="shared" si="47"/>
        <v>0.15677329785304694</v>
      </c>
      <c r="M329" s="585">
        <f t="shared" si="48"/>
        <v>2.76E-2</v>
      </c>
      <c r="N329" s="585">
        <f t="shared" si="52"/>
        <v>3.0549999999999997E-2</v>
      </c>
      <c r="O329" s="586">
        <f t="shared" si="49"/>
        <v>0.12917329785304693</v>
      </c>
      <c r="P329" s="585">
        <f t="shared" si="53"/>
        <v>0.12622329785304695</v>
      </c>
      <c r="Q329" s="585">
        <f t="shared" si="54"/>
        <v>0.16918696852304516</v>
      </c>
      <c r="R329" s="585">
        <f t="shared" si="55"/>
        <v>3.2499999999999994E-2</v>
      </c>
      <c r="S329" s="586">
        <f t="shared" si="56"/>
        <v>0.13668696852304515</v>
      </c>
      <c r="U329" s="587"/>
      <c r="V329" s="587"/>
      <c r="W329" s="587"/>
      <c r="X329" s="587"/>
      <c r="Y329" s="587"/>
      <c r="Z329" s="587"/>
      <c r="AA329" s="587"/>
      <c r="AB329" s="587"/>
      <c r="AC329" s="587"/>
      <c r="AE329" s="587"/>
      <c r="AF329" s="587"/>
      <c r="AG329" s="587"/>
      <c r="AH329" s="587"/>
      <c r="AI329" s="587"/>
      <c r="AJ329" s="587"/>
      <c r="AK329" s="587"/>
      <c r="AL329" s="587"/>
      <c r="AM329" s="587"/>
      <c r="AO329" s="587"/>
      <c r="AP329" s="587"/>
      <c r="AQ329" s="587"/>
      <c r="AR329" s="587"/>
      <c r="AS329" s="587"/>
      <c r="AT329" s="587"/>
      <c r="AU329" s="587"/>
      <c r="AV329" s="587"/>
      <c r="AW329" s="587"/>
    </row>
    <row r="330" spans="1:49">
      <c r="A330" s="581">
        <v>19391</v>
      </c>
      <c r="B330" s="594">
        <v>-1.06E-2</v>
      </c>
      <c r="C330" s="577">
        <v>-6.7000000000000002E-3</v>
      </c>
      <c r="D330" s="577">
        <v>2.0999999999999999E-3</v>
      </c>
      <c r="E330" s="577">
        <v>2.558333333333333E-3</v>
      </c>
      <c r="F330" s="577">
        <v>2.6166666666666664E-3</v>
      </c>
      <c r="G330" s="577">
        <v>2.5875E-3</v>
      </c>
      <c r="H330" s="577">
        <v>2.7500000000000003E-3</v>
      </c>
      <c r="I330" s="577">
        <f t="shared" si="57"/>
        <v>-1.2699999999999999E-2</v>
      </c>
      <c r="J330" s="577">
        <f t="shared" si="50"/>
        <v>-1.31875E-2</v>
      </c>
      <c r="K330" s="577">
        <f t="shared" si="51"/>
        <v>-9.4500000000000001E-3</v>
      </c>
      <c r="L330" s="585">
        <f t="shared" si="47"/>
        <v>0.17772329789648489</v>
      </c>
      <c r="M330" s="585">
        <f t="shared" si="48"/>
        <v>2.52E-2</v>
      </c>
      <c r="N330" s="585">
        <f t="shared" si="52"/>
        <v>3.1050000000000001E-2</v>
      </c>
      <c r="O330" s="586">
        <f t="shared" si="49"/>
        <v>0.15252329789648489</v>
      </c>
      <c r="P330" s="585">
        <f t="shared" si="53"/>
        <v>0.14667329789648489</v>
      </c>
      <c r="Q330" s="585">
        <f t="shared" si="54"/>
        <v>0.15454162027432217</v>
      </c>
      <c r="R330" s="585">
        <f t="shared" si="55"/>
        <v>3.3000000000000002E-2</v>
      </c>
      <c r="S330" s="586">
        <f t="shared" si="56"/>
        <v>0.12154162027432217</v>
      </c>
      <c r="U330" s="587"/>
      <c r="V330" s="587"/>
      <c r="W330" s="587"/>
      <c r="X330" s="587"/>
      <c r="Y330" s="587"/>
      <c r="Z330" s="587"/>
      <c r="AA330" s="587"/>
      <c r="AB330" s="587"/>
      <c r="AC330" s="587"/>
      <c r="AE330" s="587"/>
      <c r="AF330" s="587"/>
      <c r="AG330" s="587"/>
      <c r="AH330" s="587"/>
      <c r="AI330" s="587"/>
      <c r="AJ330" s="587"/>
      <c r="AK330" s="587"/>
      <c r="AL330" s="587"/>
      <c r="AM330" s="587"/>
      <c r="AO330" s="587"/>
      <c r="AP330" s="587"/>
      <c r="AQ330" s="587"/>
      <c r="AR330" s="587"/>
      <c r="AS330" s="587"/>
      <c r="AT330" s="587"/>
      <c r="AU330" s="587"/>
      <c r="AV330" s="587"/>
      <c r="AW330" s="587"/>
    </row>
    <row r="331" spans="1:49">
      <c r="A331" s="581">
        <v>19419</v>
      </c>
      <c r="B331" s="594">
        <v>-2.12E-2</v>
      </c>
      <c r="C331" s="577">
        <v>-4.3E-3</v>
      </c>
      <c r="D331" s="577">
        <v>2.5000000000000001E-3</v>
      </c>
      <c r="E331" s="577">
        <v>2.5999999999999999E-3</v>
      </c>
      <c r="F331" s="577">
        <v>2.65E-3</v>
      </c>
      <c r="G331" s="577">
        <v>2.6250000000000002E-3</v>
      </c>
      <c r="H331" s="577">
        <v>2.7999999999999995E-3</v>
      </c>
      <c r="I331" s="577">
        <f t="shared" si="57"/>
        <v>-2.3699999999999999E-2</v>
      </c>
      <c r="J331" s="577">
        <f t="shared" si="50"/>
        <v>-2.3824999999999999E-2</v>
      </c>
      <c r="K331" s="577">
        <f t="shared" si="51"/>
        <v>-7.0999999999999995E-3</v>
      </c>
      <c r="L331" s="585">
        <f t="shared" si="47"/>
        <v>9.7548856499171777E-2</v>
      </c>
      <c r="M331" s="585">
        <f t="shared" si="48"/>
        <v>0.03</v>
      </c>
      <c r="N331" s="585">
        <f t="shared" si="52"/>
        <v>3.15E-2</v>
      </c>
      <c r="O331" s="586">
        <f t="shared" si="49"/>
        <v>6.7548856499171778E-2</v>
      </c>
      <c r="P331" s="585">
        <f t="shared" si="53"/>
        <v>6.6048856499171776E-2</v>
      </c>
      <c r="Q331" s="585">
        <f t="shared" si="54"/>
        <v>0.12969446865874845</v>
      </c>
      <c r="R331" s="585">
        <f t="shared" si="55"/>
        <v>3.3599999999999991E-2</v>
      </c>
      <c r="S331" s="586">
        <f t="shared" si="56"/>
        <v>9.6094468658748461E-2</v>
      </c>
      <c r="U331" s="587"/>
      <c r="V331" s="587"/>
      <c r="W331" s="587"/>
      <c r="X331" s="587"/>
      <c r="Y331" s="587"/>
      <c r="Z331" s="587"/>
      <c r="AA331" s="587"/>
      <c r="AB331" s="587"/>
      <c r="AC331" s="587"/>
      <c r="AE331" s="587"/>
      <c r="AF331" s="587"/>
      <c r="AG331" s="587"/>
      <c r="AH331" s="587"/>
      <c r="AI331" s="587"/>
      <c r="AJ331" s="587"/>
      <c r="AK331" s="587"/>
      <c r="AL331" s="587"/>
      <c r="AM331" s="587"/>
      <c r="AO331" s="587"/>
      <c r="AP331" s="587"/>
      <c r="AQ331" s="587"/>
      <c r="AR331" s="587"/>
      <c r="AS331" s="587"/>
      <c r="AT331" s="587"/>
      <c r="AU331" s="587"/>
      <c r="AV331" s="587"/>
      <c r="AW331" s="587"/>
    </row>
    <row r="332" spans="1:49">
      <c r="A332" s="581">
        <v>19450</v>
      </c>
      <c r="B332" s="594">
        <v>-2.3699999999999999E-2</v>
      </c>
      <c r="C332" s="577">
        <v>-1.9200000000000002E-2</v>
      </c>
      <c r="D332" s="577">
        <v>2.3999999999999998E-3</v>
      </c>
      <c r="E332" s="577">
        <v>2.6916666666666669E-3</v>
      </c>
      <c r="F332" s="577">
        <v>2.7416666666666666E-3</v>
      </c>
      <c r="G332" s="577">
        <v>2.7166666666666667E-3</v>
      </c>
      <c r="H332" s="577">
        <v>2.891666666666667E-3</v>
      </c>
      <c r="I332" s="577">
        <f t="shared" si="57"/>
        <v>-2.6099999999999998E-2</v>
      </c>
      <c r="J332" s="577">
        <f t="shared" si="50"/>
        <v>-2.6416666666666665E-2</v>
      </c>
      <c r="K332" s="577">
        <f t="shared" si="51"/>
        <v>-2.2091666666666669E-2</v>
      </c>
      <c r="L332" s="585">
        <f t="shared" si="47"/>
        <v>0.11641690831437868</v>
      </c>
      <c r="M332" s="585">
        <f t="shared" si="48"/>
        <v>2.8799999999999999E-2</v>
      </c>
      <c r="N332" s="585">
        <f t="shared" si="52"/>
        <v>3.2600000000000004E-2</v>
      </c>
      <c r="O332" s="586">
        <f t="shared" si="49"/>
        <v>8.7616908314378683E-2</v>
      </c>
      <c r="P332" s="585">
        <f t="shared" si="53"/>
        <v>8.3816908314378671E-2</v>
      </c>
      <c r="Q332" s="585">
        <f t="shared" si="54"/>
        <v>0.12533448594403906</v>
      </c>
      <c r="R332" s="585">
        <f t="shared" si="55"/>
        <v>3.4700000000000002E-2</v>
      </c>
      <c r="S332" s="586">
        <f t="shared" si="56"/>
        <v>9.0634485944039056E-2</v>
      </c>
      <c r="U332" s="587"/>
      <c r="V332" s="587"/>
      <c r="W332" s="587"/>
      <c r="X332" s="587"/>
      <c r="Y332" s="587"/>
      <c r="Z332" s="587"/>
      <c r="AA332" s="587"/>
      <c r="AB332" s="587"/>
      <c r="AC332" s="587"/>
      <c r="AE332" s="587"/>
      <c r="AF332" s="587"/>
      <c r="AG332" s="587"/>
      <c r="AH332" s="587"/>
      <c r="AI332" s="587"/>
      <c r="AJ332" s="587"/>
      <c r="AK332" s="587"/>
      <c r="AL332" s="587"/>
      <c r="AM332" s="587"/>
      <c r="AO332" s="587"/>
      <c r="AP332" s="587"/>
      <c r="AQ332" s="587"/>
      <c r="AR332" s="587"/>
      <c r="AS332" s="587"/>
      <c r="AT332" s="587"/>
      <c r="AU332" s="587"/>
      <c r="AV332" s="587"/>
      <c r="AW332" s="587"/>
    </row>
    <row r="333" spans="1:49">
      <c r="A333" s="581">
        <v>19480</v>
      </c>
      <c r="B333" s="594">
        <v>7.7000000000000002E-3</v>
      </c>
      <c r="C333" s="577">
        <v>2.3999999999999998E-3</v>
      </c>
      <c r="D333" s="577">
        <v>2.3999999999999998E-3</v>
      </c>
      <c r="E333" s="577">
        <v>2.7833333333333334E-3</v>
      </c>
      <c r="F333" s="577">
        <v>2.8416666666666668E-3</v>
      </c>
      <c r="G333" s="577">
        <v>2.8124999999999999E-3</v>
      </c>
      <c r="H333" s="577">
        <v>3.0249999999999999E-3</v>
      </c>
      <c r="I333" s="577">
        <f t="shared" si="57"/>
        <v>5.3000000000000009E-3</v>
      </c>
      <c r="J333" s="577">
        <f t="shared" si="50"/>
        <v>4.8875000000000004E-3</v>
      </c>
      <c r="K333" s="577">
        <f t="shared" si="51"/>
        <v>-6.2500000000000012E-4</v>
      </c>
      <c r="L333" s="585">
        <f t="shared" si="47"/>
        <v>8.7705035781107998E-2</v>
      </c>
      <c r="M333" s="585">
        <f t="shared" si="48"/>
        <v>2.8799999999999999E-2</v>
      </c>
      <c r="N333" s="585">
        <f t="shared" si="52"/>
        <v>3.3750000000000002E-2</v>
      </c>
      <c r="O333" s="586">
        <f t="shared" si="49"/>
        <v>5.8905035781107999E-2</v>
      </c>
      <c r="P333" s="585">
        <f t="shared" si="53"/>
        <v>5.3955035781107996E-2</v>
      </c>
      <c r="Q333" s="585">
        <f t="shared" si="54"/>
        <v>0.10700224603562769</v>
      </c>
      <c r="R333" s="585">
        <f t="shared" si="55"/>
        <v>3.6299999999999999E-2</v>
      </c>
      <c r="S333" s="586">
        <f t="shared" si="56"/>
        <v>7.0702246035627692E-2</v>
      </c>
      <c r="U333" s="587"/>
      <c r="V333" s="587"/>
      <c r="W333" s="587"/>
      <c r="X333" s="587"/>
      <c r="Y333" s="587"/>
      <c r="Z333" s="587"/>
      <c r="AA333" s="587"/>
      <c r="AB333" s="587"/>
      <c r="AC333" s="587"/>
      <c r="AE333" s="587"/>
      <c r="AF333" s="587"/>
      <c r="AG333" s="587"/>
      <c r="AH333" s="587"/>
      <c r="AI333" s="587"/>
      <c r="AJ333" s="587"/>
      <c r="AK333" s="587"/>
      <c r="AL333" s="587"/>
      <c r="AM333" s="587"/>
      <c r="AO333" s="587"/>
      <c r="AP333" s="587"/>
      <c r="AQ333" s="587"/>
      <c r="AR333" s="587"/>
      <c r="AS333" s="587"/>
      <c r="AT333" s="587"/>
      <c r="AU333" s="587"/>
      <c r="AV333" s="587"/>
      <c r="AW333" s="587"/>
    </row>
    <row r="334" spans="1:49">
      <c r="A334" s="581">
        <v>19511</v>
      </c>
      <c r="B334" s="594">
        <v>-1.34E-2</v>
      </c>
      <c r="C334" s="577">
        <v>-2.7300000000000001E-2</v>
      </c>
      <c r="D334" s="577">
        <v>2.7000000000000001E-3</v>
      </c>
      <c r="E334" s="577">
        <v>2.8333333333333331E-3</v>
      </c>
      <c r="F334" s="577">
        <v>2.9166666666666668E-3</v>
      </c>
      <c r="G334" s="577">
        <v>2.875E-3</v>
      </c>
      <c r="H334" s="577">
        <v>3.0916666666666666E-3</v>
      </c>
      <c r="I334" s="577">
        <f t="shared" si="57"/>
        <v>-1.61E-2</v>
      </c>
      <c r="J334" s="577">
        <f t="shared" si="50"/>
        <v>-1.6275000000000001E-2</v>
      </c>
      <c r="K334" s="577">
        <f t="shared" si="51"/>
        <v>-3.0391666666666668E-2</v>
      </c>
      <c r="L334" s="585">
        <f t="shared" si="47"/>
        <v>2.3002658056855418E-2</v>
      </c>
      <c r="M334" s="585">
        <f t="shared" si="48"/>
        <v>3.2399999999999998E-2</v>
      </c>
      <c r="N334" s="585">
        <f t="shared" si="52"/>
        <v>3.4500000000000003E-2</v>
      </c>
      <c r="O334" s="586">
        <f t="shared" si="49"/>
        <v>-9.3973419431445798E-3</v>
      </c>
      <c r="P334" s="585">
        <f t="shared" si="53"/>
        <v>-1.1497341943144584E-2</v>
      </c>
      <c r="Q334" s="585">
        <f t="shared" si="54"/>
        <v>7.1530584853074952E-2</v>
      </c>
      <c r="R334" s="585">
        <f t="shared" si="55"/>
        <v>3.7100000000000001E-2</v>
      </c>
      <c r="S334" s="586">
        <f t="shared" si="56"/>
        <v>3.4430584853074951E-2</v>
      </c>
      <c r="U334" s="587"/>
      <c r="V334" s="587"/>
      <c r="W334" s="587"/>
      <c r="X334" s="587"/>
      <c r="Y334" s="587"/>
      <c r="Z334" s="587"/>
      <c r="AA334" s="587"/>
      <c r="AB334" s="587"/>
      <c r="AC334" s="587"/>
      <c r="AE334" s="587"/>
      <c r="AF334" s="587"/>
      <c r="AG334" s="587"/>
      <c r="AH334" s="587"/>
      <c r="AI334" s="587"/>
      <c r="AJ334" s="587"/>
      <c r="AK334" s="587"/>
      <c r="AL334" s="587"/>
      <c r="AM334" s="587"/>
      <c r="AO334" s="587"/>
      <c r="AP334" s="587"/>
      <c r="AQ334" s="587"/>
      <c r="AR334" s="587"/>
      <c r="AS334" s="587"/>
      <c r="AT334" s="587"/>
      <c r="AU334" s="587"/>
      <c r="AV334" s="587"/>
      <c r="AW334" s="587"/>
    </row>
    <row r="335" spans="1:49">
      <c r="A335" s="581">
        <v>19541</v>
      </c>
      <c r="B335" s="594">
        <v>2.7300000000000001E-2</v>
      </c>
      <c r="C335" s="577">
        <v>3.4500000000000003E-2</v>
      </c>
      <c r="D335" s="577">
        <v>2.5000000000000001E-3</v>
      </c>
      <c r="E335" s="577">
        <v>2.7333333333333333E-3</v>
      </c>
      <c r="F335" s="577">
        <v>2.8499999999999997E-3</v>
      </c>
      <c r="G335" s="577">
        <v>2.7916666666666667E-3</v>
      </c>
      <c r="H335" s="577">
        <v>3.0499999999999998E-3</v>
      </c>
      <c r="I335" s="577">
        <f t="shared" si="57"/>
        <v>2.4800000000000003E-2</v>
      </c>
      <c r="J335" s="577">
        <f t="shared" si="50"/>
        <v>2.4508333333333333E-2</v>
      </c>
      <c r="K335" s="577">
        <f t="shared" si="51"/>
        <v>3.1450000000000006E-2</v>
      </c>
      <c r="L335" s="585">
        <f t="shared" si="47"/>
        <v>3.0728354866425223E-2</v>
      </c>
      <c r="M335" s="585">
        <f t="shared" si="48"/>
        <v>0.03</v>
      </c>
      <c r="N335" s="585">
        <f t="shared" si="52"/>
        <v>3.3500000000000002E-2</v>
      </c>
      <c r="O335" s="586">
        <f t="shared" si="49"/>
        <v>7.2835486642522373E-4</v>
      </c>
      <c r="P335" s="585">
        <f t="shared" si="53"/>
        <v>-2.7716451335747794E-3</v>
      </c>
      <c r="Q335" s="585">
        <f t="shared" si="54"/>
        <v>8.6124230874491614E-2</v>
      </c>
      <c r="R335" s="585">
        <f t="shared" si="55"/>
        <v>3.6599999999999994E-2</v>
      </c>
      <c r="S335" s="586">
        <f t="shared" si="56"/>
        <v>4.952423087449162E-2</v>
      </c>
      <c r="U335" s="587"/>
      <c r="V335" s="587"/>
      <c r="W335" s="587"/>
      <c r="X335" s="587"/>
      <c r="Y335" s="587"/>
      <c r="Z335" s="587"/>
      <c r="AA335" s="587"/>
      <c r="AB335" s="587"/>
      <c r="AC335" s="587"/>
      <c r="AE335" s="587"/>
      <c r="AF335" s="587"/>
      <c r="AG335" s="587"/>
      <c r="AH335" s="587"/>
      <c r="AI335" s="587"/>
      <c r="AJ335" s="587"/>
      <c r="AK335" s="587"/>
      <c r="AL335" s="587"/>
      <c r="AM335" s="587"/>
      <c r="AO335" s="587"/>
      <c r="AP335" s="587"/>
      <c r="AQ335" s="587"/>
      <c r="AR335" s="587"/>
      <c r="AS335" s="587"/>
      <c r="AT335" s="587"/>
      <c r="AU335" s="587"/>
      <c r="AV335" s="587"/>
      <c r="AW335" s="587"/>
    </row>
    <row r="336" spans="1:49">
      <c r="A336" s="581">
        <v>19572</v>
      </c>
      <c r="B336" s="594">
        <v>-5.0099999999999999E-2</v>
      </c>
      <c r="C336" s="577">
        <v>1.5999999999999999E-3</v>
      </c>
      <c r="D336" s="577">
        <v>2.5000000000000001E-3</v>
      </c>
      <c r="E336" s="577">
        <v>2.7000000000000001E-3</v>
      </c>
      <c r="F336" s="577">
        <v>2.8250000000000003E-3</v>
      </c>
      <c r="G336" s="577">
        <v>2.7624999999999998E-3</v>
      </c>
      <c r="H336" s="577">
        <v>3.0083333333333333E-3</v>
      </c>
      <c r="I336" s="577">
        <f t="shared" si="57"/>
        <v>-5.2600000000000001E-2</v>
      </c>
      <c r="J336" s="577">
        <f t="shared" si="50"/>
        <v>-5.28625E-2</v>
      </c>
      <c r="K336" s="577">
        <f t="shared" si="51"/>
        <v>-1.4083333333333335E-3</v>
      </c>
      <c r="L336" s="585">
        <f t="shared" ref="L336:L399" si="58">((1+B325)*(1+B326)*(1+B327)*(1+B328)*(1+B329)*(1+B330)*(1+B331)*(1+B332)*(1+B333)*(1+B334)*(1+B335)*(1+B336))-1</f>
        <v>-1.3909895973796549E-2</v>
      </c>
      <c r="M336" s="585">
        <f t="shared" ref="M336:M399" si="59">D336*12</f>
        <v>0.03</v>
      </c>
      <c r="N336" s="585">
        <f t="shared" si="52"/>
        <v>3.3149999999999999E-2</v>
      </c>
      <c r="O336" s="586">
        <f t="shared" ref="O336:O399" si="60">L336-M336</f>
        <v>-4.3909895973796548E-2</v>
      </c>
      <c r="P336" s="585">
        <f t="shared" si="53"/>
        <v>-4.7059895973796548E-2</v>
      </c>
      <c r="Q336" s="585">
        <f t="shared" si="54"/>
        <v>6.6217808138675283E-2</v>
      </c>
      <c r="R336" s="585">
        <f t="shared" si="55"/>
        <v>3.61E-2</v>
      </c>
      <c r="S336" s="586">
        <f t="shared" si="56"/>
        <v>3.0117808138675282E-2</v>
      </c>
      <c r="U336" s="587"/>
      <c r="V336" s="587"/>
      <c r="W336" s="587"/>
      <c r="X336" s="587"/>
      <c r="Y336" s="587"/>
      <c r="Z336" s="587"/>
      <c r="AA336" s="587"/>
      <c r="AB336" s="587"/>
      <c r="AC336" s="587"/>
      <c r="AE336" s="587"/>
      <c r="AF336" s="587"/>
      <c r="AG336" s="587"/>
      <c r="AH336" s="587"/>
      <c r="AI336" s="587"/>
      <c r="AJ336" s="587"/>
      <c r="AK336" s="587"/>
      <c r="AL336" s="587"/>
      <c r="AM336" s="587"/>
      <c r="AO336" s="587"/>
      <c r="AP336" s="587"/>
      <c r="AQ336" s="587"/>
      <c r="AR336" s="587"/>
      <c r="AS336" s="587"/>
      <c r="AT336" s="587"/>
      <c r="AU336" s="587"/>
      <c r="AV336" s="587"/>
      <c r="AW336" s="587"/>
    </row>
    <row r="337" spans="1:49">
      <c r="A337" s="581">
        <v>19603</v>
      </c>
      <c r="B337" s="594">
        <v>3.3999999999999998E-3</v>
      </c>
      <c r="C337" s="577">
        <v>1.1900000000000001E-2</v>
      </c>
      <c r="D337" s="577">
        <v>2.5000000000000001E-3</v>
      </c>
      <c r="E337" s="577">
        <v>2.7416666666666666E-3</v>
      </c>
      <c r="F337" s="577">
        <v>2.8583333333333334E-3</v>
      </c>
      <c r="G337" s="577">
        <v>2.8000000000000004E-3</v>
      </c>
      <c r="H337" s="577">
        <v>3.0166666666666671E-3</v>
      </c>
      <c r="I337" s="577">
        <f t="shared" si="57"/>
        <v>8.9999999999999976E-4</v>
      </c>
      <c r="J337" s="577">
        <f t="shared" si="50"/>
        <v>5.9999999999999941E-4</v>
      </c>
      <c r="K337" s="577">
        <f t="shared" si="51"/>
        <v>8.8833333333333334E-3</v>
      </c>
      <c r="L337" s="585">
        <f t="shared" si="58"/>
        <v>7.1689845072198111E-3</v>
      </c>
      <c r="M337" s="585">
        <f t="shared" si="59"/>
        <v>0.03</v>
      </c>
      <c r="N337" s="585">
        <f t="shared" si="52"/>
        <v>3.3600000000000005E-2</v>
      </c>
      <c r="O337" s="586">
        <f t="shared" si="60"/>
        <v>-2.2831015492780188E-2</v>
      </c>
      <c r="P337" s="585">
        <f t="shared" si="53"/>
        <v>-2.6431015492780194E-2</v>
      </c>
      <c r="Q337" s="585">
        <f t="shared" si="54"/>
        <v>7.7289865257639256E-2</v>
      </c>
      <c r="R337" s="585">
        <f t="shared" si="55"/>
        <v>3.6200000000000003E-2</v>
      </c>
      <c r="S337" s="586">
        <f t="shared" si="56"/>
        <v>4.1089865257639253E-2</v>
      </c>
      <c r="U337" s="587"/>
      <c r="V337" s="587"/>
      <c r="W337" s="587"/>
      <c r="X337" s="587"/>
      <c r="Y337" s="587"/>
      <c r="Z337" s="587"/>
      <c r="AA337" s="587"/>
      <c r="AB337" s="587"/>
      <c r="AC337" s="587"/>
      <c r="AE337" s="587"/>
      <c r="AF337" s="587"/>
      <c r="AG337" s="587"/>
      <c r="AH337" s="587"/>
      <c r="AI337" s="587"/>
      <c r="AJ337" s="587"/>
      <c r="AK337" s="587"/>
      <c r="AL337" s="587"/>
      <c r="AM337" s="587"/>
      <c r="AO337" s="587"/>
      <c r="AP337" s="587"/>
      <c r="AQ337" s="587"/>
      <c r="AR337" s="587"/>
      <c r="AS337" s="587"/>
      <c r="AT337" s="587"/>
      <c r="AU337" s="587"/>
      <c r="AV337" s="587"/>
      <c r="AW337" s="587"/>
    </row>
    <row r="338" spans="1:49">
      <c r="A338" s="581">
        <v>19633</v>
      </c>
      <c r="B338" s="594">
        <v>5.3999999999999999E-2</v>
      </c>
      <c r="C338" s="577">
        <v>4.1100000000000005E-2</v>
      </c>
      <c r="D338" s="577">
        <v>2.3E-3</v>
      </c>
      <c r="E338" s="577">
        <v>2.6333333333333334E-3</v>
      </c>
      <c r="F338" s="577">
        <v>2.7750000000000001E-3</v>
      </c>
      <c r="G338" s="577">
        <v>2.7041666666666668E-3</v>
      </c>
      <c r="H338" s="577">
        <v>2.9083333333333335E-3</v>
      </c>
      <c r="I338" s="577">
        <f t="shared" si="57"/>
        <v>5.1699999999999996E-2</v>
      </c>
      <c r="J338" s="577">
        <f t="shared" si="50"/>
        <v>5.1295833333333332E-2</v>
      </c>
      <c r="K338" s="577">
        <f t="shared" si="51"/>
        <v>3.8191666666666672E-2</v>
      </c>
      <c r="L338" s="585">
        <f t="shared" si="58"/>
        <v>5.9437235200209271E-2</v>
      </c>
      <c r="M338" s="585">
        <f t="shared" si="59"/>
        <v>2.76E-2</v>
      </c>
      <c r="N338" s="585">
        <f t="shared" si="52"/>
        <v>3.245E-2</v>
      </c>
      <c r="O338" s="586">
        <f t="shared" si="60"/>
        <v>3.1837235200209271E-2</v>
      </c>
      <c r="P338" s="585">
        <f t="shared" si="53"/>
        <v>2.6987235200209271E-2</v>
      </c>
      <c r="Q338" s="585">
        <f t="shared" si="54"/>
        <v>0.11035192428445528</v>
      </c>
      <c r="R338" s="585">
        <f t="shared" si="55"/>
        <v>3.49E-2</v>
      </c>
      <c r="S338" s="586">
        <f t="shared" si="56"/>
        <v>7.5451924284455282E-2</v>
      </c>
      <c r="U338" s="587"/>
      <c r="V338" s="587"/>
      <c r="W338" s="587"/>
      <c r="X338" s="587"/>
      <c r="Y338" s="587"/>
      <c r="Z338" s="587"/>
      <c r="AA338" s="587"/>
      <c r="AB338" s="587"/>
      <c r="AC338" s="587"/>
      <c r="AE338" s="587"/>
      <c r="AF338" s="587"/>
      <c r="AG338" s="587"/>
      <c r="AH338" s="587"/>
      <c r="AI338" s="587"/>
      <c r="AJ338" s="587"/>
      <c r="AK338" s="587"/>
      <c r="AL338" s="587"/>
      <c r="AM338" s="587"/>
      <c r="AO338" s="587"/>
      <c r="AP338" s="587"/>
      <c r="AQ338" s="587"/>
      <c r="AR338" s="587"/>
      <c r="AS338" s="587"/>
      <c r="AT338" s="587"/>
      <c r="AU338" s="587"/>
      <c r="AV338" s="587"/>
      <c r="AW338" s="587"/>
    </row>
    <row r="339" spans="1:49">
      <c r="A339" s="581">
        <v>19664</v>
      </c>
      <c r="B339" s="594">
        <v>2.0400000000000001E-2</v>
      </c>
      <c r="C339" s="577">
        <v>2.7400000000000001E-2</v>
      </c>
      <c r="D339" s="577">
        <v>2.3999999999999998E-3</v>
      </c>
      <c r="E339" s="577">
        <v>2.5916666666666666E-3</v>
      </c>
      <c r="F339" s="577">
        <v>2.725E-3</v>
      </c>
      <c r="G339" s="577">
        <v>2.6583333333333337E-3</v>
      </c>
      <c r="H339" s="577">
        <v>2.8333333333333331E-3</v>
      </c>
      <c r="I339" s="577">
        <f t="shared" si="57"/>
        <v>1.8000000000000002E-2</v>
      </c>
      <c r="J339" s="577">
        <f t="shared" si="50"/>
        <v>1.7741666666666669E-2</v>
      </c>
      <c r="K339" s="577">
        <f t="shared" si="51"/>
        <v>2.4566666666666667E-2</v>
      </c>
      <c r="L339" s="585">
        <f t="shared" si="58"/>
        <v>2.2656091948059176E-2</v>
      </c>
      <c r="M339" s="585">
        <f t="shared" si="59"/>
        <v>2.8799999999999999E-2</v>
      </c>
      <c r="N339" s="585">
        <f t="shared" si="52"/>
        <v>3.1900000000000005E-2</v>
      </c>
      <c r="O339" s="586">
        <f t="shared" si="60"/>
        <v>-6.1439080519408232E-3</v>
      </c>
      <c r="P339" s="585">
        <f t="shared" si="53"/>
        <v>-9.2439080519408287E-3</v>
      </c>
      <c r="Q339" s="585">
        <f t="shared" si="54"/>
        <v>9.4479101036026192E-2</v>
      </c>
      <c r="R339" s="585">
        <f t="shared" si="55"/>
        <v>3.3999999999999996E-2</v>
      </c>
      <c r="S339" s="586">
        <f t="shared" si="56"/>
        <v>6.0479101036026196E-2</v>
      </c>
      <c r="U339" s="587"/>
      <c r="V339" s="587"/>
      <c r="W339" s="587"/>
      <c r="X339" s="587"/>
      <c r="Y339" s="587"/>
      <c r="Z339" s="587"/>
      <c r="AA339" s="587"/>
      <c r="AB339" s="587"/>
      <c r="AC339" s="587"/>
      <c r="AE339" s="587"/>
      <c r="AF339" s="587"/>
      <c r="AG339" s="587"/>
      <c r="AH339" s="587"/>
      <c r="AI339" s="587"/>
      <c r="AJ339" s="587"/>
      <c r="AK339" s="587"/>
      <c r="AL339" s="587"/>
      <c r="AM339" s="587"/>
      <c r="AO339" s="587"/>
      <c r="AP339" s="587"/>
      <c r="AQ339" s="587"/>
      <c r="AR339" s="587"/>
      <c r="AS339" s="587"/>
      <c r="AT339" s="587"/>
      <c r="AU339" s="587"/>
      <c r="AV339" s="587"/>
      <c r="AW339" s="587"/>
    </row>
    <row r="340" spans="1:49">
      <c r="A340" s="581">
        <v>19694</v>
      </c>
      <c r="B340" s="594">
        <v>5.3E-3</v>
      </c>
      <c r="C340" s="577">
        <v>6.4000000000000003E-3</v>
      </c>
      <c r="D340" s="577">
        <v>2.3999999999999998E-3</v>
      </c>
      <c r="E340" s="577">
        <v>2.6083333333333332E-3</v>
      </c>
      <c r="F340" s="577">
        <v>2.7333333333333333E-3</v>
      </c>
      <c r="G340" s="577">
        <v>2.6708333333333332E-3</v>
      </c>
      <c r="H340" s="577">
        <v>2.816666666666667E-3</v>
      </c>
      <c r="I340" s="577">
        <f t="shared" si="57"/>
        <v>2.9000000000000002E-3</v>
      </c>
      <c r="J340" s="577">
        <f t="shared" si="50"/>
        <v>2.6291666666666668E-3</v>
      </c>
      <c r="K340" s="577">
        <f t="shared" si="51"/>
        <v>3.5833333333333333E-3</v>
      </c>
      <c r="L340" s="585">
        <f t="shared" si="58"/>
        <v>-9.7513299601387216E-3</v>
      </c>
      <c r="M340" s="585">
        <f t="shared" si="59"/>
        <v>2.8799999999999999E-2</v>
      </c>
      <c r="N340" s="585">
        <f t="shared" si="52"/>
        <v>3.2049999999999995E-2</v>
      </c>
      <c r="O340" s="586">
        <f t="shared" si="60"/>
        <v>-3.8551329960138721E-2</v>
      </c>
      <c r="P340" s="585">
        <f t="shared" si="53"/>
        <v>-4.1801329960138717E-2</v>
      </c>
      <c r="Q340" s="585">
        <f t="shared" si="54"/>
        <v>7.8511472909679858E-2</v>
      </c>
      <c r="R340" s="585">
        <f t="shared" si="55"/>
        <v>3.3800000000000004E-2</v>
      </c>
      <c r="S340" s="586">
        <f t="shared" si="56"/>
        <v>4.4711472909679854E-2</v>
      </c>
      <c r="U340" s="587"/>
      <c r="V340" s="587"/>
      <c r="W340" s="587"/>
      <c r="X340" s="587"/>
      <c r="Y340" s="587"/>
      <c r="Z340" s="587"/>
      <c r="AA340" s="587"/>
      <c r="AB340" s="587"/>
      <c r="AC340" s="587"/>
      <c r="AE340" s="587"/>
      <c r="AF340" s="587"/>
      <c r="AG340" s="587"/>
      <c r="AH340" s="587"/>
      <c r="AI340" s="587"/>
      <c r="AJ340" s="587"/>
      <c r="AK340" s="587"/>
      <c r="AL340" s="587"/>
      <c r="AM340" s="587"/>
      <c r="AO340" s="587"/>
      <c r="AP340" s="587"/>
      <c r="AQ340" s="587"/>
      <c r="AR340" s="587"/>
      <c r="AS340" s="587"/>
      <c r="AT340" s="587"/>
      <c r="AU340" s="587"/>
      <c r="AV340" s="587"/>
      <c r="AW340" s="587"/>
    </row>
    <row r="341" spans="1:49">
      <c r="A341" s="581">
        <v>19725</v>
      </c>
      <c r="B341" s="594">
        <v>5.3600000000000002E-2</v>
      </c>
      <c r="C341" s="577">
        <v>3.27E-2</v>
      </c>
      <c r="D341" s="577">
        <v>2.3E-3</v>
      </c>
      <c r="E341" s="577">
        <v>2.5500000000000002E-3</v>
      </c>
      <c r="F341" s="577">
        <v>2.6833333333333336E-3</v>
      </c>
      <c r="G341" s="577">
        <v>2.6166666666666673E-3</v>
      </c>
      <c r="H341" s="577">
        <v>2.7666666666666668E-3</v>
      </c>
      <c r="I341" s="577">
        <f t="shared" si="57"/>
        <v>5.1299999999999998E-2</v>
      </c>
      <c r="J341" s="577">
        <f t="shared" si="50"/>
        <v>5.0983333333333332E-2</v>
      </c>
      <c r="K341" s="577">
        <f t="shared" si="51"/>
        <v>2.9933333333333333E-2</v>
      </c>
      <c r="L341" s="585">
        <f t="shared" si="58"/>
        <v>4.8463469755801292E-2</v>
      </c>
      <c r="M341" s="585">
        <f t="shared" si="59"/>
        <v>2.76E-2</v>
      </c>
      <c r="N341" s="585">
        <f t="shared" si="52"/>
        <v>3.1400000000000011E-2</v>
      </c>
      <c r="O341" s="586">
        <f t="shared" si="60"/>
        <v>2.0863469755801292E-2</v>
      </c>
      <c r="P341" s="585">
        <f t="shared" si="53"/>
        <v>1.706346975580128E-2</v>
      </c>
      <c r="Q341" s="585">
        <f t="shared" si="54"/>
        <v>0.1024238325980662</v>
      </c>
      <c r="R341" s="585">
        <f t="shared" si="55"/>
        <v>3.32E-2</v>
      </c>
      <c r="S341" s="586">
        <f t="shared" si="56"/>
        <v>6.9223832598066193E-2</v>
      </c>
      <c r="U341" s="587"/>
      <c r="V341" s="587"/>
      <c r="W341" s="587"/>
      <c r="X341" s="587"/>
      <c r="Y341" s="587"/>
      <c r="Z341" s="587"/>
      <c r="AA341" s="587"/>
      <c r="AB341" s="587"/>
      <c r="AC341" s="587"/>
      <c r="AE341" s="587"/>
      <c r="AF341" s="587"/>
      <c r="AG341" s="587"/>
      <c r="AH341" s="587"/>
      <c r="AI341" s="587"/>
      <c r="AJ341" s="587"/>
      <c r="AK341" s="587"/>
      <c r="AL341" s="587"/>
      <c r="AM341" s="587"/>
      <c r="AO341" s="587"/>
      <c r="AP341" s="587"/>
      <c r="AQ341" s="587"/>
      <c r="AR341" s="587"/>
      <c r="AS341" s="587"/>
      <c r="AT341" s="587"/>
      <c r="AU341" s="587"/>
      <c r="AV341" s="587"/>
      <c r="AW341" s="587"/>
    </row>
    <row r="342" spans="1:49">
      <c r="A342" s="581">
        <v>19756</v>
      </c>
      <c r="B342" s="594">
        <v>1.11E-2</v>
      </c>
      <c r="C342" s="577">
        <v>1.1699999999999999E-2</v>
      </c>
      <c r="D342" s="577">
        <v>2.2000000000000001E-3</v>
      </c>
      <c r="E342" s="577">
        <v>2.4583333333333336E-3</v>
      </c>
      <c r="F342" s="577">
        <v>2.5999999999999999E-3</v>
      </c>
      <c r="G342" s="577">
        <v>2.529166666666667E-3</v>
      </c>
      <c r="H342" s="577">
        <v>2.6916666666666669E-3</v>
      </c>
      <c r="I342" s="577">
        <f t="shared" si="57"/>
        <v>8.8999999999999999E-3</v>
      </c>
      <c r="J342" s="577">
        <f t="shared" si="50"/>
        <v>8.5708333333333331E-3</v>
      </c>
      <c r="K342" s="577">
        <f t="shared" si="51"/>
        <v>9.0083333333333317E-3</v>
      </c>
      <c r="L342" s="585">
        <f t="shared" si="58"/>
        <v>7.1458878380929125E-2</v>
      </c>
      <c r="M342" s="585">
        <f t="shared" si="59"/>
        <v>2.64E-2</v>
      </c>
      <c r="N342" s="585">
        <f t="shared" si="52"/>
        <v>3.0350000000000002E-2</v>
      </c>
      <c r="O342" s="586">
        <f t="shared" si="60"/>
        <v>4.5058878380929125E-2</v>
      </c>
      <c r="P342" s="585">
        <f t="shared" si="53"/>
        <v>4.1108878380929123E-2</v>
      </c>
      <c r="Q342" s="585">
        <f t="shared" si="54"/>
        <v>0.12284525464558915</v>
      </c>
      <c r="R342" s="585">
        <f t="shared" si="55"/>
        <v>3.2300000000000002E-2</v>
      </c>
      <c r="S342" s="586">
        <f t="shared" si="56"/>
        <v>9.0545254645589157E-2</v>
      </c>
      <c r="U342" s="587"/>
      <c r="V342" s="587"/>
      <c r="W342" s="587"/>
      <c r="X342" s="587"/>
      <c r="Y342" s="587"/>
      <c r="Z342" s="587"/>
      <c r="AA342" s="587"/>
      <c r="AB342" s="587"/>
      <c r="AC342" s="587"/>
      <c r="AE342" s="587"/>
      <c r="AF342" s="587"/>
      <c r="AG342" s="587"/>
      <c r="AH342" s="587"/>
      <c r="AI342" s="587"/>
      <c r="AJ342" s="587"/>
      <c r="AK342" s="587"/>
      <c r="AL342" s="587"/>
      <c r="AM342" s="587"/>
      <c r="AO342" s="587"/>
      <c r="AP342" s="587"/>
      <c r="AQ342" s="587"/>
      <c r="AR342" s="587"/>
      <c r="AS342" s="587"/>
      <c r="AT342" s="587"/>
      <c r="AU342" s="587"/>
      <c r="AV342" s="587"/>
      <c r="AW342" s="587"/>
    </row>
    <row r="343" spans="1:49">
      <c r="A343" s="581">
        <v>19784</v>
      </c>
      <c r="B343" s="594">
        <v>3.2500000000000001E-2</v>
      </c>
      <c r="C343" s="577">
        <v>2.7000000000000003E-2</v>
      </c>
      <c r="D343" s="577">
        <v>2.5000000000000001E-3</v>
      </c>
      <c r="E343" s="577">
        <v>2.3833333333333332E-3</v>
      </c>
      <c r="F343" s="577">
        <v>2.5249999999999999E-3</v>
      </c>
      <c r="G343" s="577">
        <v>2.4541666666666666E-3</v>
      </c>
      <c r="H343" s="577">
        <v>2.6333333333333334E-3</v>
      </c>
      <c r="I343" s="577">
        <f t="shared" si="57"/>
        <v>3.0000000000000002E-2</v>
      </c>
      <c r="J343" s="577">
        <f t="shared" si="50"/>
        <v>3.0045833333333334E-2</v>
      </c>
      <c r="K343" s="577">
        <f t="shared" si="51"/>
        <v>2.4366666666666668E-2</v>
      </c>
      <c r="L343" s="585">
        <f t="shared" si="58"/>
        <v>0.13024243147559145</v>
      </c>
      <c r="M343" s="585">
        <f t="shared" si="59"/>
        <v>0.03</v>
      </c>
      <c r="N343" s="585">
        <f t="shared" si="52"/>
        <v>2.9449999999999997E-2</v>
      </c>
      <c r="O343" s="586">
        <f t="shared" si="60"/>
        <v>0.10024243147559145</v>
      </c>
      <c r="P343" s="585">
        <f t="shared" si="53"/>
        <v>0.10079243147559144</v>
      </c>
      <c r="Q343" s="585">
        <f t="shared" si="54"/>
        <v>0.15814208749725833</v>
      </c>
      <c r="R343" s="585">
        <f t="shared" si="55"/>
        <v>3.1600000000000003E-2</v>
      </c>
      <c r="S343" s="586">
        <f t="shared" si="56"/>
        <v>0.12654208749725832</v>
      </c>
      <c r="U343" s="587"/>
      <c r="V343" s="587"/>
      <c r="W343" s="587"/>
      <c r="X343" s="587"/>
      <c r="Y343" s="587"/>
      <c r="Z343" s="587"/>
      <c r="AA343" s="587"/>
      <c r="AB343" s="587"/>
      <c r="AC343" s="587"/>
      <c r="AE343" s="587"/>
      <c r="AF343" s="587"/>
      <c r="AG343" s="587"/>
      <c r="AH343" s="587"/>
      <c r="AI343" s="587"/>
      <c r="AJ343" s="587"/>
      <c r="AK343" s="587"/>
      <c r="AL343" s="587"/>
      <c r="AM343" s="587"/>
      <c r="AO343" s="587"/>
      <c r="AP343" s="587"/>
      <c r="AQ343" s="587"/>
      <c r="AR343" s="587"/>
      <c r="AS343" s="587"/>
      <c r="AT343" s="587"/>
      <c r="AU343" s="587"/>
      <c r="AV343" s="587"/>
      <c r="AW343" s="587"/>
    </row>
    <row r="344" spans="1:49">
      <c r="A344" s="581">
        <v>19815</v>
      </c>
      <c r="B344" s="594">
        <v>5.16E-2</v>
      </c>
      <c r="C344" s="577">
        <v>1.21E-2</v>
      </c>
      <c r="D344" s="577">
        <v>2.2000000000000001E-3</v>
      </c>
      <c r="E344" s="577">
        <v>2.3750000000000004E-3</v>
      </c>
      <c r="F344" s="577">
        <v>2.5000000000000001E-3</v>
      </c>
      <c r="G344" s="577">
        <v>2.4375000000000004E-3</v>
      </c>
      <c r="H344" s="577">
        <v>2.6333333333333334E-3</v>
      </c>
      <c r="I344" s="577">
        <f t="shared" si="57"/>
        <v>4.9399999999999999E-2</v>
      </c>
      <c r="J344" s="577">
        <f t="shared" si="50"/>
        <v>4.9162499999999998E-2</v>
      </c>
      <c r="K344" s="577">
        <f t="shared" si="51"/>
        <v>9.4666666666666666E-3</v>
      </c>
      <c r="L344" s="585">
        <f t="shared" si="58"/>
        <v>0.21741569286052709</v>
      </c>
      <c r="M344" s="585">
        <f t="shared" si="59"/>
        <v>2.64E-2</v>
      </c>
      <c r="N344" s="585">
        <f t="shared" si="52"/>
        <v>2.9250000000000005E-2</v>
      </c>
      <c r="O344" s="586">
        <f t="shared" si="60"/>
        <v>0.19101569286052708</v>
      </c>
      <c r="P344" s="585">
        <f t="shared" si="53"/>
        <v>0.18816569286052709</v>
      </c>
      <c r="Q344" s="585">
        <f t="shared" si="54"/>
        <v>0.19510155664353124</v>
      </c>
      <c r="R344" s="585">
        <f t="shared" si="55"/>
        <v>3.1600000000000003E-2</v>
      </c>
      <c r="S344" s="586">
        <f t="shared" si="56"/>
        <v>0.16350155664353122</v>
      </c>
      <c r="U344" s="587"/>
      <c r="V344" s="587"/>
      <c r="W344" s="587"/>
      <c r="X344" s="587"/>
      <c r="Y344" s="587"/>
      <c r="Z344" s="587"/>
      <c r="AA344" s="587"/>
      <c r="AB344" s="587"/>
      <c r="AC344" s="587"/>
      <c r="AE344" s="587"/>
      <c r="AF344" s="587"/>
      <c r="AG344" s="587"/>
      <c r="AH344" s="587"/>
      <c r="AI344" s="587"/>
      <c r="AJ344" s="587"/>
      <c r="AK344" s="587"/>
      <c r="AL344" s="587"/>
      <c r="AM344" s="587"/>
      <c r="AO344" s="587"/>
      <c r="AP344" s="587"/>
      <c r="AQ344" s="587"/>
      <c r="AR344" s="587"/>
      <c r="AS344" s="587"/>
      <c r="AT344" s="587"/>
      <c r="AU344" s="587"/>
      <c r="AV344" s="587"/>
      <c r="AW344" s="587"/>
    </row>
    <row r="345" spans="1:49">
      <c r="A345" s="581">
        <v>19845</v>
      </c>
      <c r="B345" s="594">
        <v>4.1799999999999997E-2</v>
      </c>
      <c r="C345" s="577">
        <v>2.5700000000000004E-2</v>
      </c>
      <c r="D345" s="577">
        <v>2E-3</v>
      </c>
      <c r="E345" s="577">
        <v>2.3999999999999998E-3</v>
      </c>
      <c r="F345" s="577">
        <v>2.5249999999999999E-3</v>
      </c>
      <c r="G345" s="577">
        <v>2.4624999999999998E-3</v>
      </c>
      <c r="H345" s="577">
        <v>2.6166666666666664E-3</v>
      </c>
      <c r="I345" s="577">
        <f t="shared" si="57"/>
        <v>3.9799999999999995E-2</v>
      </c>
      <c r="J345" s="577">
        <f t="shared" si="50"/>
        <v>3.9337499999999997E-2</v>
      </c>
      <c r="K345" s="577">
        <f t="shared" si="51"/>
        <v>2.3083333333333338E-2</v>
      </c>
      <c r="L345" s="585">
        <f t="shared" si="58"/>
        <v>0.25861235369861779</v>
      </c>
      <c r="M345" s="585">
        <f t="shared" si="59"/>
        <v>2.4E-2</v>
      </c>
      <c r="N345" s="585">
        <f t="shared" si="52"/>
        <v>2.955E-2</v>
      </c>
      <c r="O345" s="586">
        <f t="shared" si="60"/>
        <v>0.2346123536986178</v>
      </c>
      <c r="P345" s="585">
        <f t="shared" si="53"/>
        <v>0.2290623536986178</v>
      </c>
      <c r="Q345" s="585">
        <f t="shared" si="54"/>
        <v>0.2228807528424479</v>
      </c>
      <c r="R345" s="585">
        <f t="shared" si="55"/>
        <v>3.1399999999999997E-2</v>
      </c>
      <c r="S345" s="586">
        <f t="shared" si="56"/>
        <v>0.19148075284244792</v>
      </c>
      <c r="U345" s="587"/>
      <c r="V345" s="587"/>
      <c r="W345" s="587"/>
      <c r="X345" s="587"/>
      <c r="Y345" s="587"/>
      <c r="Z345" s="587"/>
      <c r="AA345" s="587"/>
      <c r="AB345" s="587"/>
      <c r="AC345" s="587"/>
      <c r="AE345" s="587"/>
      <c r="AF345" s="587"/>
      <c r="AG345" s="587"/>
      <c r="AH345" s="587"/>
      <c r="AI345" s="587"/>
      <c r="AJ345" s="587"/>
      <c r="AK345" s="587"/>
      <c r="AL345" s="587"/>
      <c r="AM345" s="587"/>
      <c r="AO345" s="587"/>
      <c r="AP345" s="587"/>
      <c r="AQ345" s="587"/>
      <c r="AR345" s="587"/>
      <c r="AS345" s="587"/>
      <c r="AT345" s="587"/>
      <c r="AU345" s="587"/>
      <c r="AV345" s="587"/>
      <c r="AW345" s="587"/>
    </row>
    <row r="346" spans="1:49">
      <c r="A346" s="581">
        <v>19876</v>
      </c>
      <c r="B346" s="594">
        <v>3.0999999999999999E-3</v>
      </c>
      <c r="C346" s="577">
        <v>9.6000000000000009E-3</v>
      </c>
      <c r="D346" s="577">
        <v>2.5000000000000001E-3</v>
      </c>
      <c r="E346" s="577">
        <v>2.4166666666666668E-3</v>
      </c>
      <c r="F346" s="577">
        <v>2.5500000000000002E-3</v>
      </c>
      <c r="G346" s="577">
        <v>2.4833333333333335E-3</v>
      </c>
      <c r="H346" s="577">
        <v>2.6333333333333334E-3</v>
      </c>
      <c r="I346" s="577">
        <f t="shared" si="57"/>
        <v>5.9999999999999984E-4</v>
      </c>
      <c r="J346" s="577">
        <f t="shared" si="50"/>
        <v>6.166666666666664E-4</v>
      </c>
      <c r="K346" s="577">
        <f t="shared" si="51"/>
        <v>6.9666666666666679E-3</v>
      </c>
      <c r="L346" s="585">
        <f t="shared" si="58"/>
        <v>0.27966151631368641</v>
      </c>
      <c r="M346" s="585">
        <f t="shared" si="59"/>
        <v>0.03</v>
      </c>
      <c r="N346" s="585">
        <f t="shared" si="52"/>
        <v>2.98E-2</v>
      </c>
      <c r="O346" s="586">
        <f t="shared" si="60"/>
        <v>0.24966151631368641</v>
      </c>
      <c r="P346" s="585">
        <f t="shared" si="53"/>
        <v>0.24986151631368642</v>
      </c>
      <c r="Q346" s="585">
        <f t="shared" si="54"/>
        <v>0.26927152058161319</v>
      </c>
      <c r="R346" s="585">
        <f t="shared" si="55"/>
        <v>3.1600000000000003E-2</v>
      </c>
      <c r="S346" s="586">
        <f t="shared" si="56"/>
        <v>0.23767152058161317</v>
      </c>
      <c r="U346" s="587"/>
      <c r="V346" s="587"/>
      <c r="W346" s="587"/>
      <c r="X346" s="587"/>
      <c r="Y346" s="587"/>
      <c r="Z346" s="587"/>
      <c r="AA346" s="587"/>
      <c r="AB346" s="587"/>
      <c r="AC346" s="587"/>
      <c r="AE346" s="587"/>
      <c r="AF346" s="587"/>
      <c r="AG346" s="587"/>
      <c r="AH346" s="587"/>
      <c r="AI346" s="587"/>
      <c r="AJ346" s="587"/>
      <c r="AK346" s="587"/>
      <c r="AL346" s="587"/>
      <c r="AM346" s="587"/>
      <c r="AO346" s="587"/>
      <c r="AP346" s="587"/>
      <c r="AQ346" s="587"/>
      <c r="AR346" s="587"/>
      <c r="AS346" s="587"/>
      <c r="AT346" s="587"/>
      <c r="AU346" s="587"/>
      <c r="AV346" s="587"/>
      <c r="AW346" s="587"/>
    </row>
    <row r="347" spans="1:49">
      <c r="A347" s="581">
        <v>19906</v>
      </c>
      <c r="B347" s="594">
        <v>5.8900000000000001E-2</v>
      </c>
      <c r="C347" s="577">
        <v>4.9500000000000002E-2</v>
      </c>
      <c r="D347" s="577">
        <v>2.2000000000000001E-3</v>
      </c>
      <c r="E347" s="577">
        <v>2.4083333333333335E-3</v>
      </c>
      <c r="F347" s="577">
        <v>2.5333333333333336E-3</v>
      </c>
      <c r="G347" s="577">
        <v>2.4708333333333336E-3</v>
      </c>
      <c r="H347" s="577">
        <v>2.6166666666666664E-3</v>
      </c>
      <c r="I347" s="577">
        <f t="shared" si="57"/>
        <v>5.67E-2</v>
      </c>
      <c r="J347" s="577">
        <f t="shared" si="50"/>
        <v>5.6429166666666669E-2</v>
      </c>
      <c r="K347" s="577">
        <f t="shared" si="51"/>
        <v>4.6883333333333332E-2</v>
      </c>
      <c r="L347" s="585">
        <f t="shared" si="58"/>
        <v>0.31902421846058826</v>
      </c>
      <c r="M347" s="585">
        <f t="shared" si="59"/>
        <v>2.64E-2</v>
      </c>
      <c r="N347" s="585">
        <f t="shared" si="52"/>
        <v>2.9650000000000003E-2</v>
      </c>
      <c r="O347" s="586">
        <f t="shared" si="60"/>
        <v>0.29262421846058828</v>
      </c>
      <c r="P347" s="585">
        <f t="shared" si="53"/>
        <v>0.28937421846058825</v>
      </c>
      <c r="Q347" s="585">
        <f t="shared" si="54"/>
        <v>0.28767565089454172</v>
      </c>
      <c r="R347" s="585">
        <f t="shared" si="55"/>
        <v>3.1399999999999997E-2</v>
      </c>
      <c r="S347" s="586">
        <f t="shared" si="56"/>
        <v>0.25627565089454174</v>
      </c>
      <c r="U347" s="587"/>
      <c r="V347" s="587"/>
      <c r="W347" s="587"/>
      <c r="X347" s="587"/>
      <c r="Y347" s="587"/>
      <c r="Z347" s="587"/>
      <c r="AA347" s="587"/>
      <c r="AB347" s="587"/>
      <c r="AC347" s="587"/>
      <c r="AE347" s="587"/>
      <c r="AF347" s="587"/>
      <c r="AG347" s="587"/>
      <c r="AH347" s="587"/>
      <c r="AI347" s="587"/>
      <c r="AJ347" s="587"/>
      <c r="AK347" s="587"/>
      <c r="AL347" s="587"/>
      <c r="AM347" s="587"/>
      <c r="AO347" s="587"/>
      <c r="AP347" s="587"/>
      <c r="AQ347" s="587"/>
      <c r="AR347" s="587"/>
      <c r="AS347" s="587"/>
      <c r="AT347" s="587"/>
      <c r="AU347" s="587"/>
      <c r="AV347" s="587"/>
      <c r="AW347" s="587"/>
    </row>
    <row r="348" spans="1:49">
      <c r="A348" s="581">
        <v>19937</v>
      </c>
      <c r="B348" s="594">
        <v>-2.75E-2</v>
      </c>
      <c r="C348" s="577">
        <v>-1.3100000000000001E-2</v>
      </c>
      <c r="D348" s="577">
        <v>2.3E-3</v>
      </c>
      <c r="E348" s="577">
        <v>2.3916666666666665E-3</v>
      </c>
      <c r="F348" s="577">
        <v>2.5249999999999999E-3</v>
      </c>
      <c r="G348" s="577">
        <v>2.4583333333333336E-3</v>
      </c>
      <c r="H348" s="577">
        <v>2.6083333333333332E-3</v>
      </c>
      <c r="I348" s="577">
        <f t="shared" si="57"/>
        <v>-2.98E-2</v>
      </c>
      <c r="J348" s="577">
        <f t="shared" si="50"/>
        <v>-2.9958333333333333E-2</v>
      </c>
      <c r="K348" s="577">
        <f t="shared" si="51"/>
        <v>-1.5708333333333335E-2</v>
      </c>
      <c r="L348" s="585">
        <f t="shared" si="58"/>
        <v>0.35040641378347459</v>
      </c>
      <c r="M348" s="585">
        <f t="shared" si="59"/>
        <v>2.76E-2</v>
      </c>
      <c r="N348" s="585">
        <f t="shared" si="52"/>
        <v>2.9500000000000005E-2</v>
      </c>
      <c r="O348" s="586">
        <f t="shared" si="60"/>
        <v>0.32280641378347458</v>
      </c>
      <c r="P348" s="585">
        <f t="shared" si="53"/>
        <v>0.32090641378347456</v>
      </c>
      <c r="Q348" s="585">
        <f t="shared" si="54"/>
        <v>0.26877705657729956</v>
      </c>
      <c r="R348" s="585">
        <f t="shared" si="55"/>
        <v>3.1299999999999994E-2</v>
      </c>
      <c r="S348" s="586">
        <f t="shared" si="56"/>
        <v>0.23747705657729956</v>
      </c>
      <c r="U348" s="587"/>
      <c r="V348" s="587"/>
      <c r="W348" s="587"/>
      <c r="X348" s="587"/>
      <c r="Y348" s="587"/>
      <c r="Z348" s="587"/>
      <c r="AA348" s="587"/>
      <c r="AB348" s="587"/>
      <c r="AC348" s="587"/>
      <c r="AE348" s="587"/>
      <c r="AF348" s="587"/>
      <c r="AG348" s="587"/>
      <c r="AH348" s="587"/>
      <c r="AI348" s="587"/>
      <c r="AJ348" s="587"/>
      <c r="AK348" s="587"/>
      <c r="AL348" s="587"/>
      <c r="AM348" s="587"/>
      <c r="AO348" s="587"/>
      <c r="AP348" s="587"/>
      <c r="AQ348" s="587"/>
      <c r="AR348" s="587"/>
      <c r="AS348" s="587"/>
      <c r="AT348" s="587"/>
      <c r="AU348" s="587"/>
      <c r="AV348" s="587"/>
      <c r="AW348" s="587"/>
    </row>
    <row r="349" spans="1:49">
      <c r="A349" s="581">
        <v>19968</v>
      </c>
      <c r="B349" s="594">
        <v>8.5099999999999995E-2</v>
      </c>
      <c r="C349" s="577">
        <v>1.78E-2</v>
      </c>
      <c r="D349" s="577">
        <v>2.2000000000000001E-3</v>
      </c>
      <c r="E349" s="577">
        <v>2.4083333333333335E-3</v>
      </c>
      <c r="F349" s="577">
        <v>2.5333333333333336E-3</v>
      </c>
      <c r="G349" s="577">
        <v>2.4708333333333336E-3</v>
      </c>
      <c r="H349" s="577">
        <v>2.5999999999999999E-3</v>
      </c>
      <c r="I349" s="577">
        <f t="shared" si="57"/>
        <v>8.2900000000000001E-2</v>
      </c>
      <c r="J349" s="577">
        <f t="shared" ref="J349:J412" si="61">B349-G349</f>
        <v>8.2629166666666656E-2</v>
      </c>
      <c r="K349" s="577">
        <f t="shared" ref="K349:K412" si="62">$C349-H349</f>
        <v>1.52E-2</v>
      </c>
      <c r="L349" s="585">
        <f t="shared" si="58"/>
        <v>0.46036077296835498</v>
      </c>
      <c r="M349" s="585">
        <f t="shared" si="59"/>
        <v>2.64E-2</v>
      </c>
      <c r="N349" s="585">
        <f t="shared" si="52"/>
        <v>2.9650000000000003E-2</v>
      </c>
      <c r="O349" s="586">
        <f t="shared" si="60"/>
        <v>0.433960772968355</v>
      </c>
      <c r="P349" s="585">
        <f t="shared" si="53"/>
        <v>0.43071077296835497</v>
      </c>
      <c r="Q349" s="585">
        <f t="shared" si="54"/>
        <v>0.27617480796953764</v>
      </c>
      <c r="R349" s="585">
        <f t="shared" si="55"/>
        <v>3.1199999999999999E-2</v>
      </c>
      <c r="S349" s="586">
        <f t="shared" si="56"/>
        <v>0.24497480796953763</v>
      </c>
      <c r="U349" s="587"/>
      <c r="V349" s="587"/>
      <c r="W349" s="587"/>
      <c r="X349" s="587"/>
      <c r="Y349" s="587"/>
      <c r="Z349" s="587"/>
      <c r="AA349" s="587"/>
      <c r="AB349" s="587"/>
      <c r="AC349" s="587"/>
      <c r="AE349" s="587"/>
      <c r="AF349" s="587"/>
      <c r="AG349" s="587"/>
      <c r="AH349" s="587"/>
      <c r="AI349" s="587"/>
      <c r="AJ349" s="587"/>
      <c r="AK349" s="587"/>
      <c r="AL349" s="587"/>
      <c r="AM349" s="587"/>
      <c r="AO349" s="587"/>
      <c r="AP349" s="587"/>
      <c r="AQ349" s="587"/>
      <c r="AR349" s="587"/>
      <c r="AS349" s="587"/>
      <c r="AT349" s="587"/>
      <c r="AU349" s="587"/>
      <c r="AV349" s="587"/>
      <c r="AW349" s="587"/>
    </row>
    <row r="350" spans="1:49">
      <c r="A350" s="581">
        <v>19998</v>
      </c>
      <c r="B350" s="594">
        <v>-1.67E-2</v>
      </c>
      <c r="C350" s="577">
        <v>-3.6799999999999999E-2</v>
      </c>
      <c r="D350" s="577">
        <v>2.0999999999999999E-3</v>
      </c>
      <c r="E350" s="577">
        <v>2.3916666666666665E-3</v>
      </c>
      <c r="F350" s="577">
        <v>2.5333333333333336E-3</v>
      </c>
      <c r="G350" s="577">
        <v>2.4625000000000003E-3</v>
      </c>
      <c r="H350" s="577">
        <v>2.5999999999999999E-3</v>
      </c>
      <c r="I350" s="577">
        <f t="shared" si="57"/>
        <v>-1.8800000000000001E-2</v>
      </c>
      <c r="J350" s="577">
        <f t="shared" si="61"/>
        <v>-1.9162499999999999E-2</v>
      </c>
      <c r="K350" s="577">
        <f t="shared" si="62"/>
        <v>-3.9399999999999998E-2</v>
      </c>
      <c r="L350" s="585">
        <f t="shared" si="58"/>
        <v>0.36240298677398908</v>
      </c>
      <c r="M350" s="585">
        <f t="shared" si="59"/>
        <v>2.52E-2</v>
      </c>
      <c r="N350" s="585">
        <f t="shared" si="52"/>
        <v>2.9550000000000003E-2</v>
      </c>
      <c r="O350" s="586">
        <f t="shared" si="60"/>
        <v>0.33720298677398908</v>
      </c>
      <c r="P350" s="585">
        <f t="shared" si="53"/>
        <v>0.33285298677398906</v>
      </c>
      <c r="Q350" s="585">
        <f t="shared" si="54"/>
        <v>0.1806854048950719</v>
      </c>
      <c r="R350" s="585">
        <f t="shared" si="55"/>
        <v>3.1199999999999999E-2</v>
      </c>
      <c r="S350" s="586">
        <f t="shared" si="56"/>
        <v>0.14948540489507189</v>
      </c>
      <c r="U350" s="587"/>
      <c r="V350" s="587"/>
      <c r="W350" s="587"/>
      <c r="X350" s="587"/>
      <c r="Y350" s="587"/>
      <c r="Z350" s="587"/>
      <c r="AA350" s="587"/>
      <c r="AB350" s="587"/>
      <c r="AC350" s="587"/>
      <c r="AE350" s="587"/>
      <c r="AF350" s="587"/>
      <c r="AG350" s="587"/>
      <c r="AH350" s="587"/>
      <c r="AI350" s="587"/>
      <c r="AJ350" s="587"/>
      <c r="AK350" s="587"/>
      <c r="AL350" s="587"/>
      <c r="AM350" s="587"/>
      <c r="AO350" s="587"/>
      <c r="AP350" s="587"/>
      <c r="AQ350" s="587"/>
      <c r="AR350" s="587"/>
      <c r="AS350" s="587"/>
      <c r="AT350" s="587"/>
      <c r="AU350" s="587"/>
      <c r="AV350" s="587"/>
      <c r="AW350" s="587"/>
    </row>
    <row r="351" spans="1:49">
      <c r="A351" s="581">
        <v>20029</v>
      </c>
      <c r="B351" s="594">
        <v>9.0899999999999995E-2</v>
      </c>
      <c r="C351" s="577">
        <v>5.6500000000000002E-2</v>
      </c>
      <c r="D351" s="577">
        <v>2.3E-3</v>
      </c>
      <c r="E351" s="577">
        <v>2.4083333333333335E-3</v>
      </c>
      <c r="F351" s="577">
        <v>2.5333333333333336E-3</v>
      </c>
      <c r="G351" s="577">
        <v>2.4708333333333336E-3</v>
      </c>
      <c r="H351" s="577">
        <v>2.5916666666666666E-3</v>
      </c>
      <c r="I351" s="577">
        <f t="shared" si="57"/>
        <v>8.8599999999999998E-2</v>
      </c>
      <c r="J351" s="577">
        <f t="shared" si="61"/>
        <v>8.8429166666666656E-2</v>
      </c>
      <c r="K351" s="577">
        <f t="shared" si="62"/>
        <v>5.3908333333333336E-2</v>
      </c>
      <c r="L351" s="585">
        <f t="shared" si="58"/>
        <v>0.45653216216360626</v>
      </c>
      <c r="M351" s="585">
        <f t="shared" si="59"/>
        <v>2.76E-2</v>
      </c>
      <c r="N351" s="585">
        <f t="shared" si="52"/>
        <v>2.9650000000000003E-2</v>
      </c>
      <c r="O351" s="586">
        <f t="shared" si="60"/>
        <v>0.42893216216360625</v>
      </c>
      <c r="P351" s="585">
        <f t="shared" si="53"/>
        <v>0.42688216216360625</v>
      </c>
      <c r="Q351" s="585">
        <f t="shared" si="54"/>
        <v>0.21412704912560154</v>
      </c>
      <c r="R351" s="585">
        <f t="shared" si="55"/>
        <v>3.1099999999999999E-2</v>
      </c>
      <c r="S351" s="586">
        <f t="shared" si="56"/>
        <v>0.18302704912560155</v>
      </c>
      <c r="U351" s="587"/>
      <c r="V351" s="587"/>
      <c r="W351" s="587"/>
      <c r="X351" s="587"/>
      <c r="Y351" s="587"/>
      <c r="Z351" s="587"/>
      <c r="AA351" s="587"/>
      <c r="AB351" s="587"/>
      <c r="AC351" s="587"/>
      <c r="AE351" s="587"/>
      <c r="AF351" s="587"/>
      <c r="AG351" s="587"/>
      <c r="AH351" s="587"/>
      <c r="AI351" s="587"/>
      <c r="AJ351" s="587"/>
      <c r="AK351" s="587"/>
      <c r="AL351" s="587"/>
      <c r="AM351" s="587"/>
      <c r="AO351" s="587"/>
      <c r="AP351" s="587"/>
      <c r="AQ351" s="587"/>
      <c r="AR351" s="587"/>
      <c r="AS351" s="587"/>
      <c r="AT351" s="587"/>
      <c r="AU351" s="587"/>
      <c r="AV351" s="587"/>
      <c r="AW351" s="587"/>
    </row>
    <row r="352" spans="1:49">
      <c r="A352" s="581">
        <v>20059</v>
      </c>
      <c r="B352" s="594">
        <v>5.3400000000000003E-2</v>
      </c>
      <c r="C352" s="577">
        <v>3.4099999999999998E-2</v>
      </c>
      <c r="D352" s="577">
        <v>2.3E-3</v>
      </c>
      <c r="E352" s="577">
        <v>2.4166666666666668E-3</v>
      </c>
      <c r="F352" s="577">
        <v>2.5333333333333336E-3</v>
      </c>
      <c r="G352" s="577">
        <v>2.4749999999999998E-3</v>
      </c>
      <c r="H352" s="577">
        <v>2.5916666666666666E-3</v>
      </c>
      <c r="I352" s="577">
        <f t="shared" si="57"/>
        <v>5.1100000000000007E-2</v>
      </c>
      <c r="J352" s="577">
        <f t="shared" si="61"/>
        <v>5.0925000000000005E-2</v>
      </c>
      <c r="K352" s="577">
        <f t="shared" si="62"/>
        <v>3.1508333333333333E-2</v>
      </c>
      <c r="L352" s="585">
        <f t="shared" si="58"/>
        <v>0.52622200300720445</v>
      </c>
      <c r="M352" s="585">
        <f t="shared" si="59"/>
        <v>2.76E-2</v>
      </c>
      <c r="N352" s="585">
        <f t="shared" si="52"/>
        <v>2.9699999999999997E-2</v>
      </c>
      <c r="O352" s="586">
        <f t="shared" si="60"/>
        <v>0.49862200300720444</v>
      </c>
      <c r="P352" s="585">
        <f t="shared" si="53"/>
        <v>0.49652200300720445</v>
      </c>
      <c r="Q352" s="585">
        <f t="shared" si="54"/>
        <v>0.24754449672176548</v>
      </c>
      <c r="R352" s="585">
        <f t="shared" si="55"/>
        <v>3.1099999999999999E-2</v>
      </c>
      <c r="S352" s="586">
        <f t="shared" si="56"/>
        <v>0.21644449672176549</v>
      </c>
      <c r="U352" s="587"/>
      <c r="V352" s="587"/>
      <c r="W352" s="587"/>
      <c r="X352" s="587"/>
      <c r="Y352" s="587"/>
      <c r="Z352" s="587"/>
      <c r="AA352" s="587"/>
      <c r="AB352" s="587"/>
      <c r="AC352" s="587"/>
      <c r="AE352" s="587"/>
      <c r="AF352" s="587"/>
      <c r="AG352" s="587"/>
      <c r="AH352" s="587"/>
      <c r="AI352" s="587"/>
      <c r="AJ352" s="587"/>
      <c r="AK352" s="587"/>
      <c r="AL352" s="587"/>
      <c r="AM352" s="587"/>
      <c r="AO352" s="587"/>
      <c r="AP352" s="587"/>
      <c r="AQ352" s="587"/>
      <c r="AR352" s="587"/>
      <c r="AS352" s="587"/>
      <c r="AT352" s="587"/>
      <c r="AU352" s="587"/>
      <c r="AV352" s="587"/>
      <c r="AW352" s="587"/>
    </row>
    <row r="353" spans="1:49">
      <c r="A353" s="581">
        <v>20090</v>
      </c>
      <c r="B353" s="594">
        <v>1.9699999999999999E-2</v>
      </c>
      <c r="C353" s="577">
        <v>1.43E-2</v>
      </c>
      <c r="D353" s="577">
        <v>2.2000000000000001E-3</v>
      </c>
      <c r="E353" s="577">
        <v>2.4416666666666666E-3</v>
      </c>
      <c r="F353" s="577">
        <v>2.5500000000000002E-3</v>
      </c>
      <c r="G353" s="577">
        <v>2.4958333333333334E-3</v>
      </c>
      <c r="H353" s="577">
        <v>2.6083333333333332E-3</v>
      </c>
      <c r="I353" s="577">
        <f t="shared" si="57"/>
        <v>1.7499999999999998E-2</v>
      </c>
      <c r="J353" s="577">
        <f t="shared" si="61"/>
        <v>1.7204166666666666E-2</v>
      </c>
      <c r="K353" s="577">
        <f t="shared" si="62"/>
        <v>1.1691666666666666E-2</v>
      </c>
      <c r="L353" s="585">
        <f t="shared" si="58"/>
        <v>0.47711520165759946</v>
      </c>
      <c r="M353" s="585">
        <f t="shared" si="59"/>
        <v>2.64E-2</v>
      </c>
      <c r="N353" s="585">
        <f t="shared" si="52"/>
        <v>2.9950000000000001E-2</v>
      </c>
      <c r="O353" s="586">
        <f t="shared" si="60"/>
        <v>0.45071520165759948</v>
      </c>
      <c r="P353" s="585">
        <f t="shared" si="53"/>
        <v>0.44716520165759949</v>
      </c>
      <c r="Q353" s="585">
        <f t="shared" si="54"/>
        <v>0.22531653241491845</v>
      </c>
      <c r="R353" s="585">
        <f t="shared" si="55"/>
        <v>3.1299999999999994E-2</v>
      </c>
      <c r="S353" s="586">
        <f t="shared" si="56"/>
        <v>0.19401653241491845</v>
      </c>
      <c r="U353" s="587"/>
      <c r="V353" s="587"/>
      <c r="W353" s="587"/>
      <c r="X353" s="587"/>
      <c r="Y353" s="587"/>
      <c r="Z353" s="587"/>
      <c r="AA353" s="587"/>
      <c r="AB353" s="587"/>
      <c r="AC353" s="587"/>
      <c r="AE353" s="587"/>
      <c r="AF353" s="587"/>
      <c r="AG353" s="587"/>
      <c r="AH353" s="587"/>
      <c r="AI353" s="587"/>
      <c r="AJ353" s="587"/>
      <c r="AK353" s="587"/>
      <c r="AL353" s="587"/>
      <c r="AM353" s="587"/>
      <c r="AO353" s="587"/>
      <c r="AP353" s="587"/>
      <c r="AQ353" s="587"/>
      <c r="AR353" s="587"/>
      <c r="AS353" s="587"/>
      <c r="AT353" s="587"/>
      <c r="AU353" s="587"/>
      <c r="AV353" s="587"/>
      <c r="AW353" s="587"/>
    </row>
    <row r="354" spans="1:49">
      <c r="A354" s="581">
        <v>20121</v>
      </c>
      <c r="B354" s="594">
        <v>9.7999999999999997E-3</v>
      </c>
      <c r="C354" s="577">
        <v>3.44E-2</v>
      </c>
      <c r="D354" s="577">
        <v>2.2000000000000001E-3</v>
      </c>
      <c r="E354" s="577">
        <v>2.4416666666666666E-3</v>
      </c>
      <c r="F354" s="577">
        <v>2.5833333333333337E-3</v>
      </c>
      <c r="G354" s="577">
        <v>2.5125000000000004E-3</v>
      </c>
      <c r="H354" s="577">
        <v>2.6166666666666664E-3</v>
      </c>
      <c r="I354" s="577">
        <f t="shared" si="57"/>
        <v>7.5999999999999991E-3</v>
      </c>
      <c r="J354" s="577">
        <f t="shared" si="61"/>
        <v>7.2874999999999988E-3</v>
      </c>
      <c r="K354" s="577">
        <f t="shared" si="62"/>
        <v>3.178333333333333E-2</v>
      </c>
      <c r="L354" s="585">
        <f t="shared" si="58"/>
        <v>0.47521603267119339</v>
      </c>
      <c r="M354" s="585">
        <f t="shared" si="59"/>
        <v>2.64E-2</v>
      </c>
      <c r="N354" s="585">
        <f t="shared" si="52"/>
        <v>3.0150000000000003E-2</v>
      </c>
      <c r="O354" s="586">
        <f t="shared" si="60"/>
        <v>0.44881603267119341</v>
      </c>
      <c r="P354" s="585">
        <f t="shared" si="53"/>
        <v>0.44506603267119338</v>
      </c>
      <c r="Q354" s="585">
        <f t="shared" si="54"/>
        <v>0.25280954940198885</v>
      </c>
      <c r="R354" s="585">
        <f t="shared" si="55"/>
        <v>3.1399999999999997E-2</v>
      </c>
      <c r="S354" s="586">
        <f t="shared" si="56"/>
        <v>0.22140954940198887</v>
      </c>
      <c r="U354" s="587"/>
      <c r="V354" s="587"/>
      <c r="W354" s="587"/>
      <c r="X354" s="587"/>
      <c r="Y354" s="587"/>
      <c r="Z354" s="587"/>
      <c r="AA354" s="587"/>
      <c r="AB354" s="587"/>
      <c r="AC354" s="587"/>
      <c r="AE354" s="587"/>
      <c r="AF354" s="587"/>
      <c r="AG354" s="587"/>
      <c r="AH354" s="587"/>
      <c r="AI354" s="587"/>
      <c r="AJ354" s="587"/>
      <c r="AK354" s="587"/>
      <c r="AL354" s="587"/>
      <c r="AM354" s="587"/>
      <c r="AO354" s="587"/>
      <c r="AP354" s="587"/>
      <c r="AQ354" s="587"/>
      <c r="AR354" s="587"/>
      <c r="AS354" s="587"/>
      <c r="AT354" s="587"/>
      <c r="AU354" s="587"/>
      <c r="AV354" s="587"/>
      <c r="AW354" s="587"/>
    </row>
    <row r="355" spans="1:49">
      <c r="A355" s="581">
        <v>20149</v>
      </c>
      <c r="B355" s="594">
        <v>-3.0000000000000001E-3</v>
      </c>
      <c r="C355" s="577">
        <v>-1.1000000000000001E-2</v>
      </c>
      <c r="D355" s="577">
        <v>2.3999999999999998E-3</v>
      </c>
      <c r="E355" s="577">
        <v>2.5166666666666666E-3</v>
      </c>
      <c r="F355" s="577">
        <v>2.6083333333333332E-3</v>
      </c>
      <c r="G355" s="577">
        <v>2.5624999999999997E-3</v>
      </c>
      <c r="H355" s="577">
        <v>2.6250000000000002E-3</v>
      </c>
      <c r="I355" s="577">
        <f t="shared" si="57"/>
        <v>-5.4000000000000003E-3</v>
      </c>
      <c r="J355" s="577">
        <f t="shared" si="61"/>
        <v>-5.5624999999999997E-3</v>
      </c>
      <c r="K355" s="577">
        <f t="shared" si="62"/>
        <v>-1.3625000000000002E-2</v>
      </c>
      <c r="L355" s="585">
        <f t="shared" si="58"/>
        <v>0.4244943191992061</v>
      </c>
      <c r="M355" s="585">
        <f t="shared" si="59"/>
        <v>2.8799999999999999E-2</v>
      </c>
      <c r="N355" s="585">
        <f t="shared" si="52"/>
        <v>3.0749999999999996E-2</v>
      </c>
      <c r="O355" s="586">
        <f t="shared" si="60"/>
        <v>0.39569431919920611</v>
      </c>
      <c r="P355" s="585">
        <f t="shared" si="53"/>
        <v>0.39374431919920611</v>
      </c>
      <c r="Q355" s="585">
        <f t="shared" si="54"/>
        <v>0.20645437620113594</v>
      </c>
      <c r="R355" s="585">
        <f t="shared" si="55"/>
        <v>3.15E-2</v>
      </c>
      <c r="S355" s="586">
        <f t="shared" si="56"/>
        <v>0.17495437620113594</v>
      </c>
      <c r="U355" s="587"/>
      <c r="V355" s="587"/>
      <c r="W355" s="587"/>
      <c r="X355" s="587"/>
      <c r="Y355" s="587"/>
      <c r="Z355" s="587"/>
      <c r="AA355" s="587"/>
      <c r="AB355" s="587"/>
      <c r="AC355" s="587"/>
      <c r="AE355" s="587"/>
      <c r="AF355" s="587"/>
      <c r="AG355" s="587"/>
      <c r="AH355" s="587"/>
      <c r="AI355" s="587"/>
      <c r="AJ355" s="587"/>
      <c r="AK355" s="587"/>
      <c r="AL355" s="587"/>
      <c r="AM355" s="587"/>
      <c r="AO355" s="587"/>
      <c r="AP355" s="587"/>
      <c r="AQ355" s="587"/>
      <c r="AR355" s="587"/>
      <c r="AS355" s="587"/>
      <c r="AT355" s="587"/>
      <c r="AU355" s="587"/>
      <c r="AV355" s="587"/>
      <c r="AW355" s="587"/>
    </row>
    <row r="356" spans="1:49">
      <c r="A356" s="581">
        <v>20180</v>
      </c>
      <c r="B356" s="594">
        <v>3.9600000000000003E-2</v>
      </c>
      <c r="C356" s="577">
        <v>2.0199999999999999E-2</v>
      </c>
      <c r="D356" s="577">
        <v>2.2000000000000001E-3</v>
      </c>
      <c r="E356" s="577">
        <v>2.5083333333333329E-3</v>
      </c>
      <c r="F356" s="577">
        <v>2.6083333333333332E-3</v>
      </c>
      <c r="G356" s="577">
        <v>2.558333333333333E-3</v>
      </c>
      <c r="H356" s="577">
        <v>2.6250000000000002E-3</v>
      </c>
      <c r="I356" s="577">
        <f t="shared" si="57"/>
        <v>3.7400000000000003E-2</v>
      </c>
      <c r="J356" s="577">
        <f t="shared" si="61"/>
        <v>3.7041666666666667E-2</v>
      </c>
      <c r="K356" s="577">
        <f t="shared" si="62"/>
        <v>1.7575E-2</v>
      </c>
      <c r="L356" s="585">
        <f t="shared" si="58"/>
        <v>0.40823915389834009</v>
      </c>
      <c r="M356" s="585">
        <f t="shared" si="59"/>
        <v>2.64E-2</v>
      </c>
      <c r="N356" s="585">
        <f t="shared" si="52"/>
        <v>3.0699999999999998E-2</v>
      </c>
      <c r="O356" s="586">
        <f t="shared" si="60"/>
        <v>0.38183915389834011</v>
      </c>
      <c r="P356" s="585">
        <f t="shared" si="53"/>
        <v>0.37753915389834009</v>
      </c>
      <c r="Q356" s="585">
        <f t="shared" si="54"/>
        <v>0.21610982570931636</v>
      </c>
      <c r="R356" s="585">
        <f t="shared" si="55"/>
        <v>3.15E-2</v>
      </c>
      <c r="S356" s="586">
        <f t="shared" si="56"/>
        <v>0.18460982570931636</v>
      </c>
      <c r="U356" s="587"/>
      <c r="V356" s="587"/>
      <c r="W356" s="587"/>
      <c r="X356" s="587"/>
      <c r="Y356" s="587"/>
      <c r="Z356" s="587"/>
      <c r="AA356" s="587"/>
      <c r="AB356" s="587"/>
      <c r="AC356" s="587"/>
      <c r="AE356" s="587"/>
      <c r="AF356" s="587"/>
      <c r="AG356" s="587"/>
      <c r="AH356" s="587"/>
      <c r="AI356" s="587"/>
      <c r="AJ356" s="587"/>
      <c r="AK356" s="587"/>
      <c r="AL356" s="587"/>
      <c r="AM356" s="587"/>
      <c r="AO356" s="587"/>
      <c r="AP356" s="587"/>
      <c r="AQ356" s="587"/>
      <c r="AR356" s="587"/>
      <c r="AS356" s="587"/>
      <c r="AT356" s="587"/>
      <c r="AU356" s="587"/>
      <c r="AV356" s="587"/>
      <c r="AW356" s="587"/>
    </row>
    <row r="357" spans="1:49">
      <c r="A357" s="581">
        <v>20210</v>
      </c>
      <c r="B357" s="594">
        <v>5.4999999999999997E-3</v>
      </c>
      <c r="C357" s="577">
        <v>-5.7999999999999996E-3</v>
      </c>
      <c r="D357" s="577">
        <v>2.5000000000000001E-3</v>
      </c>
      <c r="E357" s="577">
        <v>2.5333333333333336E-3</v>
      </c>
      <c r="F357" s="577">
        <v>2.6250000000000002E-3</v>
      </c>
      <c r="G357" s="577">
        <v>2.5791666666666667E-3</v>
      </c>
      <c r="H357" s="577">
        <v>2.6583333333333333E-3</v>
      </c>
      <c r="I357" s="577">
        <f t="shared" si="57"/>
        <v>2.9999999999999996E-3</v>
      </c>
      <c r="J357" s="577">
        <f t="shared" si="61"/>
        <v>2.920833333333333E-3</v>
      </c>
      <c r="K357" s="577">
        <f t="shared" si="62"/>
        <v>-8.4583333333333333E-3</v>
      </c>
      <c r="L357" s="585">
        <f t="shared" si="58"/>
        <v>0.35917111657206857</v>
      </c>
      <c r="M357" s="585">
        <f t="shared" si="59"/>
        <v>0.03</v>
      </c>
      <c r="N357" s="585">
        <f t="shared" si="52"/>
        <v>3.0949999999999998E-2</v>
      </c>
      <c r="O357" s="586">
        <f t="shared" si="60"/>
        <v>0.32917111657206855</v>
      </c>
      <c r="P357" s="585">
        <f t="shared" si="53"/>
        <v>0.32822111657206859</v>
      </c>
      <c r="Q357" s="585">
        <f t="shared" si="54"/>
        <v>0.17876220017568745</v>
      </c>
      <c r="R357" s="585">
        <f t="shared" si="55"/>
        <v>3.1899999999999998E-2</v>
      </c>
      <c r="S357" s="586">
        <f t="shared" si="56"/>
        <v>0.14686220017568746</v>
      </c>
      <c r="U357" s="587"/>
      <c r="V357" s="587"/>
      <c r="W357" s="587"/>
      <c r="X357" s="587"/>
      <c r="Y357" s="587"/>
      <c r="Z357" s="587"/>
      <c r="AA357" s="587"/>
      <c r="AB357" s="587"/>
      <c r="AC357" s="587"/>
      <c r="AE357" s="587"/>
      <c r="AF357" s="587"/>
      <c r="AG357" s="587"/>
      <c r="AH357" s="587"/>
      <c r="AI357" s="587"/>
      <c r="AJ357" s="587"/>
      <c r="AK357" s="587"/>
      <c r="AL357" s="587"/>
      <c r="AM357" s="587"/>
      <c r="AO357" s="587"/>
      <c r="AP357" s="587"/>
      <c r="AQ357" s="587"/>
      <c r="AR357" s="587"/>
      <c r="AS357" s="587"/>
      <c r="AT357" s="587"/>
      <c r="AU357" s="587"/>
      <c r="AV357" s="587"/>
      <c r="AW357" s="587"/>
    </row>
    <row r="358" spans="1:49">
      <c r="A358" s="581">
        <v>20241</v>
      </c>
      <c r="B358" s="594">
        <v>8.4099999999999994E-2</v>
      </c>
      <c r="C358" s="577">
        <v>2.1099999999999997E-2</v>
      </c>
      <c r="D358" s="577">
        <v>2.3E-3</v>
      </c>
      <c r="E358" s="577">
        <v>2.5416666666666665E-3</v>
      </c>
      <c r="F358" s="577">
        <v>2.6166666666666664E-3</v>
      </c>
      <c r="G358" s="577">
        <v>2.5791666666666667E-3</v>
      </c>
      <c r="H358" s="577">
        <v>2.6750000000000003E-3</v>
      </c>
      <c r="I358" s="577">
        <f t="shared" si="57"/>
        <v>8.1799999999999998E-2</v>
      </c>
      <c r="J358" s="577">
        <f t="shared" si="61"/>
        <v>8.1520833333333334E-2</v>
      </c>
      <c r="K358" s="577">
        <f t="shared" si="62"/>
        <v>1.8424999999999997E-2</v>
      </c>
      <c r="L358" s="585">
        <f t="shared" si="58"/>
        <v>0.46892374386978264</v>
      </c>
      <c r="M358" s="585">
        <f t="shared" si="59"/>
        <v>2.76E-2</v>
      </c>
      <c r="N358" s="585">
        <f t="shared" si="52"/>
        <v>3.0949999999999998E-2</v>
      </c>
      <c r="O358" s="586">
        <f t="shared" si="60"/>
        <v>0.44132374386978263</v>
      </c>
      <c r="P358" s="585">
        <f t="shared" si="53"/>
        <v>0.43797374386978266</v>
      </c>
      <c r="Q358" s="585">
        <f t="shared" si="54"/>
        <v>0.19218906755090526</v>
      </c>
      <c r="R358" s="585">
        <f t="shared" si="55"/>
        <v>3.2100000000000004E-2</v>
      </c>
      <c r="S358" s="586">
        <f t="shared" si="56"/>
        <v>0.16008906755090524</v>
      </c>
      <c r="U358" s="587"/>
      <c r="V358" s="587"/>
      <c r="W358" s="587"/>
      <c r="X358" s="587"/>
      <c r="Y358" s="587"/>
      <c r="Z358" s="587"/>
      <c r="AA358" s="587"/>
      <c r="AB358" s="587"/>
      <c r="AC358" s="587"/>
      <c r="AE358" s="587"/>
      <c r="AF358" s="587"/>
      <c r="AG358" s="587"/>
      <c r="AH358" s="587"/>
      <c r="AI358" s="587"/>
      <c r="AJ358" s="587"/>
      <c r="AK358" s="587"/>
      <c r="AL358" s="587"/>
      <c r="AM358" s="587"/>
      <c r="AO358" s="587"/>
      <c r="AP358" s="587"/>
      <c r="AQ358" s="587"/>
      <c r="AR358" s="587"/>
      <c r="AS358" s="587"/>
      <c r="AT358" s="587"/>
      <c r="AU358" s="587"/>
      <c r="AV358" s="587"/>
      <c r="AW358" s="587"/>
    </row>
    <row r="359" spans="1:49">
      <c r="A359" s="581">
        <v>20271</v>
      </c>
      <c r="B359" s="594">
        <v>6.2199999999999998E-2</v>
      </c>
      <c r="C359" s="577">
        <v>4.6599999999999996E-2</v>
      </c>
      <c r="D359" s="577">
        <v>2.3E-3</v>
      </c>
      <c r="E359" s="577">
        <v>2.5500000000000002E-3</v>
      </c>
      <c r="F359" s="577">
        <v>2.6166666666666664E-3</v>
      </c>
      <c r="G359" s="577">
        <v>2.5833333333333329E-3</v>
      </c>
      <c r="H359" s="577">
        <v>2.6750000000000003E-3</v>
      </c>
      <c r="I359" s="577">
        <f t="shared" si="57"/>
        <v>5.9899999999999995E-2</v>
      </c>
      <c r="J359" s="577">
        <f t="shared" si="61"/>
        <v>5.9616666666666665E-2</v>
      </c>
      <c r="K359" s="577">
        <f t="shared" si="62"/>
        <v>4.3924999999999992E-2</v>
      </c>
      <c r="L359" s="585">
        <f t="shared" si="58"/>
        <v>0.47350155891820123</v>
      </c>
      <c r="M359" s="585">
        <f t="shared" si="59"/>
        <v>2.76E-2</v>
      </c>
      <c r="N359" s="585">
        <f t="shared" si="52"/>
        <v>3.0999999999999993E-2</v>
      </c>
      <c r="O359" s="586">
        <f t="shared" si="60"/>
        <v>0.44590155891820121</v>
      </c>
      <c r="P359" s="585">
        <f t="shared" si="53"/>
        <v>0.44250155891820125</v>
      </c>
      <c r="Q359" s="585">
        <f t="shared" si="54"/>
        <v>0.18889478618273237</v>
      </c>
      <c r="R359" s="585">
        <f t="shared" si="55"/>
        <v>3.2100000000000004E-2</v>
      </c>
      <c r="S359" s="586">
        <f t="shared" si="56"/>
        <v>0.15679478618273235</v>
      </c>
      <c r="U359" s="587"/>
      <c r="V359" s="587"/>
      <c r="W359" s="587"/>
      <c r="X359" s="587"/>
      <c r="Y359" s="587"/>
      <c r="Z359" s="587"/>
      <c r="AA359" s="587"/>
      <c r="AB359" s="587"/>
      <c r="AC359" s="587"/>
      <c r="AE359" s="587"/>
      <c r="AF359" s="587"/>
      <c r="AG359" s="587"/>
      <c r="AH359" s="587"/>
      <c r="AI359" s="587"/>
      <c r="AJ359" s="587"/>
      <c r="AK359" s="587"/>
      <c r="AL359" s="587"/>
      <c r="AM359" s="587"/>
      <c r="AO359" s="587"/>
      <c r="AP359" s="587"/>
      <c r="AQ359" s="587"/>
      <c r="AR359" s="587"/>
      <c r="AS359" s="587"/>
      <c r="AT359" s="587"/>
      <c r="AU359" s="587"/>
      <c r="AV359" s="587"/>
      <c r="AW359" s="587"/>
    </row>
    <row r="360" spans="1:49">
      <c r="A360" s="581">
        <v>20302</v>
      </c>
      <c r="B360" s="594">
        <v>-2.5000000000000001E-3</v>
      </c>
      <c r="C360" s="577">
        <v>5.1999999999999998E-3</v>
      </c>
      <c r="D360" s="577">
        <v>2.7000000000000001E-3</v>
      </c>
      <c r="E360" s="577">
        <v>2.5916666666666666E-3</v>
      </c>
      <c r="F360" s="577">
        <v>2.6666666666666666E-3</v>
      </c>
      <c r="G360" s="577">
        <v>2.6291666666666668E-3</v>
      </c>
      <c r="H360" s="577">
        <v>2.7000000000000001E-3</v>
      </c>
      <c r="I360" s="577">
        <f t="shared" si="57"/>
        <v>-5.1999999999999998E-3</v>
      </c>
      <c r="J360" s="577">
        <f t="shared" si="61"/>
        <v>-5.1291666666666673E-3</v>
      </c>
      <c r="K360" s="577">
        <f t="shared" si="62"/>
        <v>2.4999999999999996E-3</v>
      </c>
      <c r="L360" s="585">
        <f t="shared" si="58"/>
        <v>0.51138077637111135</v>
      </c>
      <c r="M360" s="585">
        <f t="shared" si="59"/>
        <v>3.2399999999999998E-2</v>
      </c>
      <c r="N360" s="585">
        <f t="shared" ref="N360:N423" si="63">G360*12</f>
        <v>3.1550000000000002E-2</v>
      </c>
      <c r="O360" s="586">
        <f t="shared" si="60"/>
        <v>0.47898077637111136</v>
      </c>
      <c r="P360" s="585">
        <f t="shared" ref="P360:P423" si="64">L360-N360</f>
        <v>0.47983077637111132</v>
      </c>
      <c r="Q360" s="585">
        <f t="shared" ref="Q360:Q423" si="65">((1+C349)*(1+C350)*(1+C351)*(1+C352)*(1+C353)*(1+C354)*(1+C355)*(1+C356)*(1+C357)*(1+C358)*(1+C359)*(1+C360))-1</f>
        <v>0.21094035775750575</v>
      </c>
      <c r="R360" s="585">
        <f t="shared" ref="R360:R423" si="66">H360*12</f>
        <v>3.2399999999999998E-2</v>
      </c>
      <c r="S360" s="586">
        <f t="shared" ref="S360:S423" si="67">Q360-R360</f>
        <v>0.17854035775750576</v>
      </c>
      <c r="U360" s="587"/>
      <c r="V360" s="587"/>
      <c r="W360" s="587"/>
      <c r="X360" s="587"/>
      <c r="Y360" s="587"/>
      <c r="Z360" s="587"/>
      <c r="AA360" s="587"/>
      <c r="AB360" s="587"/>
      <c r="AC360" s="587"/>
      <c r="AE360" s="587"/>
      <c r="AF360" s="587"/>
      <c r="AG360" s="587"/>
      <c r="AH360" s="587"/>
      <c r="AI360" s="587"/>
      <c r="AJ360" s="587"/>
      <c r="AK360" s="587"/>
      <c r="AL360" s="587"/>
      <c r="AM360" s="587"/>
      <c r="AO360" s="587"/>
      <c r="AP360" s="587"/>
      <c r="AQ360" s="587"/>
      <c r="AR360" s="587"/>
      <c r="AS360" s="587"/>
      <c r="AT360" s="587"/>
      <c r="AU360" s="587"/>
      <c r="AV360" s="587"/>
      <c r="AW360" s="587"/>
    </row>
    <row r="361" spans="1:49">
      <c r="A361" s="581">
        <v>20333</v>
      </c>
      <c r="B361" s="594">
        <v>1.2999999999999999E-2</v>
      </c>
      <c r="C361" s="577">
        <v>-2.8999999999999998E-2</v>
      </c>
      <c r="D361" s="577">
        <v>2.3999999999999998E-3</v>
      </c>
      <c r="E361" s="577">
        <v>2.6083333333333332E-3</v>
      </c>
      <c r="F361" s="577">
        <v>2.6833333333333336E-3</v>
      </c>
      <c r="G361" s="577">
        <v>2.6458333333333334E-3</v>
      </c>
      <c r="H361" s="577">
        <v>2.725E-3</v>
      </c>
      <c r="I361" s="577">
        <f t="shared" si="57"/>
        <v>1.06E-2</v>
      </c>
      <c r="J361" s="577">
        <f t="shared" si="61"/>
        <v>1.0354166666666666E-2</v>
      </c>
      <c r="K361" s="577">
        <f t="shared" si="62"/>
        <v>-3.1724999999999996E-2</v>
      </c>
      <c r="L361" s="585">
        <f t="shared" si="58"/>
        <v>0.41095634177857931</v>
      </c>
      <c r="M361" s="585">
        <f t="shared" si="59"/>
        <v>2.8799999999999999E-2</v>
      </c>
      <c r="N361" s="585">
        <f t="shared" si="63"/>
        <v>3.175E-2</v>
      </c>
      <c r="O361" s="586">
        <f t="shared" si="60"/>
        <v>0.38215634177857932</v>
      </c>
      <c r="P361" s="585">
        <f t="shared" si="64"/>
        <v>0.37920634177857931</v>
      </c>
      <c r="Q361" s="585">
        <f t="shared" si="65"/>
        <v>0.15525946883723485</v>
      </c>
      <c r="R361" s="585">
        <f t="shared" si="66"/>
        <v>3.27E-2</v>
      </c>
      <c r="S361" s="586">
        <f t="shared" si="67"/>
        <v>0.12255946883723484</v>
      </c>
      <c r="U361" s="587"/>
      <c r="V361" s="587"/>
      <c r="W361" s="587"/>
      <c r="X361" s="587"/>
      <c r="Y361" s="587"/>
      <c r="Z361" s="587"/>
      <c r="AA361" s="587"/>
      <c r="AB361" s="587"/>
      <c r="AC361" s="587"/>
      <c r="AE361" s="587"/>
      <c r="AF361" s="587"/>
      <c r="AG361" s="587"/>
      <c r="AH361" s="587"/>
      <c r="AI361" s="587"/>
      <c r="AJ361" s="587"/>
      <c r="AK361" s="587"/>
      <c r="AL361" s="587"/>
      <c r="AM361" s="587"/>
      <c r="AO361" s="587"/>
      <c r="AP361" s="587"/>
      <c r="AQ361" s="587"/>
      <c r="AR361" s="587"/>
      <c r="AS361" s="587"/>
      <c r="AT361" s="587"/>
      <c r="AU361" s="587"/>
      <c r="AV361" s="587"/>
      <c r="AW361" s="587"/>
    </row>
    <row r="362" spans="1:49">
      <c r="A362" s="581">
        <v>20363</v>
      </c>
      <c r="B362" s="594">
        <v>-2.8400000000000002E-2</v>
      </c>
      <c r="C362" s="577">
        <v>-8.5000000000000006E-3</v>
      </c>
      <c r="D362" s="577">
        <v>2.5000000000000001E-3</v>
      </c>
      <c r="E362" s="577">
        <v>2.5833333333333337E-3</v>
      </c>
      <c r="F362" s="577">
        <v>2.6583333333333333E-3</v>
      </c>
      <c r="G362" s="577">
        <v>2.6208333333333335E-3</v>
      </c>
      <c r="H362" s="577">
        <v>2.7500000000000003E-3</v>
      </c>
      <c r="I362" s="577">
        <f t="shared" si="57"/>
        <v>-3.09E-2</v>
      </c>
      <c r="J362" s="577">
        <f t="shared" si="61"/>
        <v>-3.1020833333333334E-2</v>
      </c>
      <c r="K362" s="577">
        <f t="shared" si="62"/>
        <v>-1.1250000000000001E-2</v>
      </c>
      <c r="L362" s="585">
        <f t="shared" si="58"/>
        <v>0.39416778365917549</v>
      </c>
      <c r="M362" s="585">
        <f t="shared" si="59"/>
        <v>0.03</v>
      </c>
      <c r="N362" s="585">
        <f t="shared" si="63"/>
        <v>3.1450000000000006E-2</v>
      </c>
      <c r="O362" s="586">
        <f t="shared" si="60"/>
        <v>0.36416778365917546</v>
      </c>
      <c r="P362" s="585">
        <f t="shared" si="64"/>
        <v>0.36271778365917551</v>
      </c>
      <c r="Q362" s="585">
        <f t="shared" si="65"/>
        <v>0.18920241211806377</v>
      </c>
      <c r="R362" s="585">
        <f t="shared" si="66"/>
        <v>3.3000000000000002E-2</v>
      </c>
      <c r="S362" s="586">
        <f t="shared" si="67"/>
        <v>0.15620241211806377</v>
      </c>
      <c r="U362" s="587"/>
      <c r="V362" s="587"/>
      <c r="W362" s="587"/>
      <c r="X362" s="587"/>
      <c r="Y362" s="587"/>
      <c r="Z362" s="587"/>
      <c r="AA362" s="587"/>
      <c r="AB362" s="587"/>
      <c r="AC362" s="587"/>
      <c r="AE362" s="587"/>
      <c r="AF362" s="587"/>
      <c r="AG362" s="587"/>
      <c r="AH362" s="587"/>
      <c r="AI362" s="587"/>
      <c r="AJ362" s="587"/>
      <c r="AK362" s="587"/>
      <c r="AL362" s="587"/>
      <c r="AM362" s="587"/>
      <c r="AO362" s="587"/>
      <c r="AP362" s="587"/>
      <c r="AQ362" s="587"/>
      <c r="AR362" s="587"/>
      <c r="AS362" s="587"/>
      <c r="AT362" s="587"/>
      <c r="AU362" s="587"/>
      <c r="AV362" s="587"/>
      <c r="AW362" s="587"/>
    </row>
    <row r="363" spans="1:49">
      <c r="A363" s="581">
        <v>20394</v>
      </c>
      <c r="B363" s="594">
        <v>8.2699999999999996E-2</v>
      </c>
      <c r="C363" s="577">
        <v>2.92E-2</v>
      </c>
      <c r="D363" s="577">
        <v>2.3999999999999998E-3</v>
      </c>
      <c r="E363" s="577">
        <v>2.5833333333333337E-3</v>
      </c>
      <c r="F363" s="577">
        <v>2.65E-3</v>
      </c>
      <c r="G363" s="577">
        <v>2.6166666666666673E-3</v>
      </c>
      <c r="H363" s="577">
        <v>2.7666666666666668E-3</v>
      </c>
      <c r="I363" s="577">
        <f t="shared" si="57"/>
        <v>8.0299999999999996E-2</v>
      </c>
      <c r="J363" s="577">
        <f t="shared" si="61"/>
        <v>8.0083333333333326E-2</v>
      </c>
      <c r="K363" s="577">
        <f t="shared" si="62"/>
        <v>2.6433333333333333E-2</v>
      </c>
      <c r="L363" s="585">
        <f t="shared" si="58"/>
        <v>0.38368820182215502</v>
      </c>
      <c r="M363" s="585">
        <f t="shared" si="59"/>
        <v>2.8799999999999999E-2</v>
      </c>
      <c r="N363" s="585">
        <f t="shared" si="63"/>
        <v>3.1400000000000011E-2</v>
      </c>
      <c r="O363" s="586">
        <f t="shared" si="60"/>
        <v>0.35488820182215502</v>
      </c>
      <c r="P363" s="585">
        <f t="shared" si="64"/>
        <v>0.35228820182215503</v>
      </c>
      <c r="Q363" s="585">
        <f t="shared" si="65"/>
        <v>0.15847337676470508</v>
      </c>
      <c r="R363" s="585">
        <f t="shared" si="66"/>
        <v>3.32E-2</v>
      </c>
      <c r="S363" s="586">
        <f t="shared" si="67"/>
        <v>0.12527337676470507</v>
      </c>
      <c r="U363" s="587"/>
      <c r="V363" s="587"/>
      <c r="W363" s="587"/>
      <c r="X363" s="587"/>
      <c r="Y363" s="587"/>
      <c r="Z363" s="587"/>
      <c r="AA363" s="587"/>
      <c r="AB363" s="587"/>
      <c r="AC363" s="587"/>
      <c r="AE363" s="587"/>
      <c r="AF363" s="587"/>
      <c r="AG363" s="587"/>
      <c r="AH363" s="587"/>
      <c r="AI363" s="587"/>
      <c r="AJ363" s="587"/>
      <c r="AK363" s="587"/>
      <c r="AL363" s="587"/>
      <c r="AM363" s="587"/>
      <c r="AO363" s="587"/>
      <c r="AP363" s="587"/>
      <c r="AQ363" s="587"/>
      <c r="AR363" s="587"/>
      <c r="AS363" s="587"/>
      <c r="AT363" s="587"/>
      <c r="AU363" s="587"/>
      <c r="AV363" s="587"/>
      <c r="AW363" s="587"/>
    </row>
    <row r="364" spans="1:49">
      <c r="A364" s="581">
        <v>20424</v>
      </c>
      <c r="B364" s="594">
        <v>1.5E-3</v>
      </c>
      <c r="C364" s="577">
        <v>-6.7000000000000002E-3</v>
      </c>
      <c r="D364" s="577">
        <v>2.3999999999999998E-3</v>
      </c>
      <c r="E364" s="577">
        <v>2.6250000000000002E-3</v>
      </c>
      <c r="F364" s="577">
        <v>2.6833333333333336E-3</v>
      </c>
      <c r="G364" s="577">
        <v>2.6541666666666671E-3</v>
      </c>
      <c r="H364" s="577">
        <v>2.7916666666666667E-3</v>
      </c>
      <c r="I364" s="577">
        <f t="shared" si="57"/>
        <v>-8.9999999999999976E-4</v>
      </c>
      <c r="J364" s="577">
        <f t="shared" si="61"/>
        <v>-1.1541666666666671E-3</v>
      </c>
      <c r="K364" s="577">
        <f t="shared" si="62"/>
        <v>-9.4916666666666673E-3</v>
      </c>
      <c r="L364" s="585">
        <f t="shared" si="58"/>
        <v>0.31551522130709064</v>
      </c>
      <c r="M364" s="585">
        <f t="shared" si="59"/>
        <v>2.8799999999999999E-2</v>
      </c>
      <c r="N364" s="585">
        <f t="shared" si="63"/>
        <v>3.1850000000000003E-2</v>
      </c>
      <c r="O364" s="586">
        <f t="shared" si="60"/>
        <v>0.28671522130709065</v>
      </c>
      <c r="P364" s="585">
        <f t="shared" si="64"/>
        <v>0.28366522130709065</v>
      </c>
      <c r="Q364" s="585">
        <f t="shared" si="65"/>
        <v>0.11276627515751003</v>
      </c>
      <c r="R364" s="585">
        <f t="shared" si="66"/>
        <v>3.3500000000000002E-2</v>
      </c>
      <c r="S364" s="586">
        <f t="shared" si="67"/>
        <v>7.926627515751003E-2</v>
      </c>
      <c r="U364" s="587"/>
      <c r="V364" s="587"/>
      <c r="W364" s="587"/>
      <c r="X364" s="587"/>
      <c r="Y364" s="587"/>
      <c r="Z364" s="587"/>
      <c r="AA364" s="587"/>
      <c r="AB364" s="587"/>
      <c r="AC364" s="587"/>
      <c r="AE364" s="587"/>
      <c r="AF364" s="587"/>
      <c r="AG364" s="587"/>
      <c r="AH364" s="587"/>
      <c r="AI364" s="587"/>
      <c r="AJ364" s="587"/>
      <c r="AK364" s="587"/>
      <c r="AL364" s="587"/>
      <c r="AM364" s="587"/>
      <c r="AO364" s="587"/>
      <c r="AP364" s="587"/>
      <c r="AQ364" s="587"/>
      <c r="AR364" s="587"/>
      <c r="AS364" s="587"/>
      <c r="AT364" s="587"/>
      <c r="AU364" s="587"/>
      <c r="AV364" s="587"/>
      <c r="AW364" s="587"/>
    </row>
    <row r="365" spans="1:49">
      <c r="A365" s="581">
        <v>20455</v>
      </c>
      <c r="B365" s="594">
        <v>-3.4700000000000002E-2</v>
      </c>
      <c r="C365" s="577">
        <v>3.0000000000000001E-3</v>
      </c>
      <c r="D365" s="577">
        <v>2.5000000000000001E-3</v>
      </c>
      <c r="E365" s="577">
        <v>2.5916666666666666E-3</v>
      </c>
      <c r="F365" s="577">
        <v>2.6583333333333333E-3</v>
      </c>
      <c r="G365" s="577">
        <v>2.6249999999999997E-3</v>
      </c>
      <c r="H365" s="577">
        <v>2.7583333333333331E-3</v>
      </c>
      <c r="I365" s="577">
        <f t="shared" si="57"/>
        <v>-3.7200000000000004E-2</v>
      </c>
      <c r="J365" s="577">
        <f t="shared" si="61"/>
        <v>-3.7325000000000004E-2</v>
      </c>
      <c r="K365" s="577">
        <f t="shared" si="62"/>
        <v>2.4166666666666694E-4</v>
      </c>
      <c r="L365" s="585">
        <f t="shared" si="58"/>
        <v>0.2453337679001022</v>
      </c>
      <c r="M365" s="585">
        <f t="shared" si="59"/>
        <v>0.03</v>
      </c>
      <c r="N365" s="585">
        <f t="shared" si="63"/>
        <v>3.15E-2</v>
      </c>
      <c r="O365" s="586">
        <f t="shared" si="60"/>
        <v>0.2153337679001022</v>
      </c>
      <c r="P365" s="585">
        <f t="shared" si="64"/>
        <v>0.2138337679001022</v>
      </c>
      <c r="Q365" s="585">
        <f t="shared" si="65"/>
        <v>0.10036929309177012</v>
      </c>
      <c r="R365" s="585">
        <f t="shared" si="66"/>
        <v>3.3099999999999997E-2</v>
      </c>
      <c r="S365" s="586">
        <f t="shared" si="67"/>
        <v>6.7269293091770127E-2</v>
      </c>
      <c r="U365" s="587"/>
      <c r="V365" s="587"/>
      <c r="W365" s="587"/>
      <c r="X365" s="587"/>
      <c r="Y365" s="587"/>
      <c r="Z365" s="587"/>
      <c r="AA365" s="587"/>
      <c r="AB365" s="587"/>
      <c r="AC365" s="587"/>
      <c r="AE365" s="587"/>
      <c r="AF365" s="587"/>
      <c r="AG365" s="587"/>
      <c r="AH365" s="587"/>
      <c r="AI365" s="587"/>
      <c r="AJ365" s="587"/>
      <c r="AK365" s="587"/>
      <c r="AL365" s="587"/>
      <c r="AM365" s="587"/>
      <c r="AO365" s="587"/>
      <c r="AP365" s="587"/>
      <c r="AQ365" s="587"/>
      <c r="AR365" s="587"/>
      <c r="AS365" s="587"/>
      <c r="AT365" s="587"/>
      <c r="AU365" s="587"/>
      <c r="AV365" s="587"/>
      <c r="AW365" s="587"/>
    </row>
    <row r="366" spans="1:49">
      <c r="A366" s="581">
        <v>20486</v>
      </c>
      <c r="B366" s="594">
        <v>4.1300000000000003E-2</v>
      </c>
      <c r="C366" s="577">
        <v>1.78E-2</v>
      </c>
      <c r="D366" s="577">
        <v>2.3E-3</v>
      </c>
      <c r="E366" s="577">
        <v>2.5666666666666667E-3</v>
      </c>
      <c r="F366" s="577">
        <v>2.6333333333333334E-3</v>
      </c>
      <c r="G366" s="577">
        <v>2.5999999999999999E-3</v>
      </c>
      <c r="H366" s="577">
        <v>2.7416666666666666E-3</v>
      </c>
      <c r="I366" s="577">
        <f t="shared" si="57"/>
        <v>3.9000000000000007E-2</v>
      </c>
      <c r="J366" s="577">
        <f t="shared" si="61"/>
        <v>3.8700000000000005E-2</v>
      </c>
      <c r="K366" s="577">
        <f t="shared" si="62"/>
        <v>1.5058333333333333E-2</v>
      </c>
      <c r="L366" s="585">
        <f t="shared" si="58"/>
        <v>0.28418107795046166</v>
      </c>
      <c r="M366" s="585">
        <f t="shared" si="59"/>
        <v>2.76E-2</v>
      </c>
      <c r="N366" s="585">
        <f t="shared" si="63"/>
        <v>3.1199999999999999E-2</v>
      </c>
      <c r="O366" s="586">
        <f t="shared" si="60"/>
        <v>0.25658107795046164</v>
      </c>
      <c r="P366" s="585">
        <f t="shared" si="64"/>
        <v>0.25298107795046165</v>
      </c>
      <c r="Q366" s="585">
        <f t="shared" si="65"/>
        <v>8.2710621141534935E-2</v>
      </c>
      <c r="R366" s="585">
        <f t="shared" si="66"/>
        <v>3.2899999999999999E-2</v>
      </c>
      <c r="S366" s="586">
        <f t="shared" si="67"/>
        <v>4.9810621141534936E-2</v>
      </c>
      <c r="U366" s="587"/>
      <c r="V366" s="587"/>
      <c r="W366" s="587"/>
      <c r="X366" s="587"/>
      <c r="Y366" s="587"/>
      <c r="Z366" s="587"/>
      <c r="AA366" s="587"/>
      <c r="AB366" s="587"/>
      <c r="AC366" s="587"/>
      <c r="AE366" s="587"/>
      <c r="AF366" s="587"/>
      <c r="AG366" s="587"/>
      <c r="AH366" s="587"/>
      <c r="AI366" s="587"/>
      <c r="AJ366" s="587"/>
      <c r="AK366" s="587"/>
      <c r="AL366" s="587"/>
      <c r="AM366" s="587"/>
      <c r="AO366" s="587"/>
      <c r="AP366" s="587"/>
      <c r="AQ366" s="587"/>
      <c r="AR366" s="587"/>
      <c r="AS366" s="587"/>
      <c r="AT366" s="587"/>
      <c r="AU366" s="587"/>
      <c r="AV366" s="587"/>
      <c r="AW366" s="587"/>
    </row>
    <row r="367" spans="1:49">
      <c r="A367" s="581">
        <v>20515</v>
      </c>
      <c r="B367" s="594">
        <v>7.0999999999999994E-2</v>
      </c>
      <c r="C367" s="577">
        <v>3.9399999999999998E-2</v>
      </c>
      <c r="D367" s="577">
        <v>2.3E-3</v>
      </c>
      <c r="E367" s="577">
        <v>2.5833333333333337E-3</v>
      </c>
      <c r="F367" s="577">
        <v>2.65E-3</v>
      </c>
      <c r="G367" s="577">
        <v>2.6166666666666673E-3</v>
      </c>
      <c r="H367" s="577">
        <v>2.7416666666666666E-3</v>
      </c>
      <c r="I367" s="577">
        <f t="shared" si="57"/>
        <v>6.8699999999999997E-2</v>
      </c>
      <c r="J367" s="577">
        <f t="shared" si="61"/>
        <v>6.8383333333333324E-2</v>
      </c>
      <c r="K367" s="577">
        <f t="shared" si="62"/>
        <v>3.6658333333333334E-2</v>
      </c>
      <c r="L367" s="585">
        <f t="shared" si="58"/>
        <v>0.37949642375621284</v>
      </c>
      <c r="M367" s="585">
        <f t="shared" si="59"/>
        <v>2.76E-2</v>
      </c>
      <c r="N367" s="585">
        <f t="shared" si="63"/>
        <v>3.1400000000000011E-2</v>
      </c>
      <c r="O367" s="586">
        <f t="shared" si="60"/>
        <v>0.35189642375621283</v>
      </c>
      <c r="P367" s="585">
        <f t="shared" si="64"/>
        <v>0.34809642375621286</v>
      </c>
      <c r="Q367" s="585">
        <f t="shared" si="65"/>
        <v>0.13788616745653348</v>
      </c>
      <c r="R367" s="585">
        <f t="shared" si="66"/>
        <v>3.2899999999999999E-2</v>
      </c>
      <c r="S367" s="586">
        <f t="shared" si="67"/>
        <v>0.10498616745653348</v>
      </c>
      <c r="U367" s="587"/>
      <c r="V367" s="587"/>
      <c r="W367" s="587"/>
      <c r="X367" s="587"/>
      <c r="Y367" s="587"/>
      <c r="Z367" s="587"/>
      <c r="AA367" s="587"/>
      <c r="AB367" s="587"/>
      <c r="AC367" s="587"/>
      <c r="AE367" s="587"/>
      <c r="AF367" s="587"/>
      <c r="AG367" s="587"/>
      <c r="AH367" s="587"/>
      <c r="AI367" s="587"/>
      <c r="AJ367" s="587"/>
      <c r="AK367" s="587"/>
      <c r="AL367" s="587"/>
      <c r="AM367" s="587"/>
      <c r="AO367" s="587"/>
      <c r="AP367" s="587"/>
      <c r="AQ367" s="587"/>
      <c r="AR367" s="587"/>
      <c r="AS367" s="587"/>
      <c r="AT367" s="587"/>
      <c r="AU367" s="587"/>
      <c r="AV367" s="587"/>
      <c r="AW367" s="587"/>
    </row>
    <row r="368" spans="1:49">
      <c r="A368" s="581">
        <v>20546</v>
      </c>
      <c r="B368" s="594">
        <v>-4.0000000000000002E-4</v>
      </c>
      <c r="C368" s="577">
        <v>-2.87E-2</v>
      </c>
      <c r="D368" s="577">
        <v>2.5999999999999999E-3</v>
      </c>
      <c r="E368" s="577">
        <v>2.7000000000000001E-3</v>
      </c>
      <c r="F368" s="577">
        <v>2.7499999999999998E-3</v>
      </c>
      <c r="G368" s="577">
        <v>2.7249999999999996E-3</v>
      </c>
      <c r="H368" s="577">
        <v>2.8333333333333331E-3</v>
      </c>
      <c r="I368" s="577">
        <f t="shared" si="57"/>
        <v>-3.0000000000000001E-3</v>
      </c>
      <c r="J368" s="577">
        <f t="shared" si="61"/>
        <v>-3.1249999999999997E-3</v>
      </c>
      <c r="K368" s="577">
        <f t="shared" si="62"/>
        <v>-3.153333333333333E-2</v>
      </c>
      <c r="L368" s="585">
        <f t="shared" si="58"/>
        <v>0.3264184543927573</v>
      </c>
      <c r="M368" s="585">
        <f t="shared" si="59"/>
        <v>3.1199999999999999E-2</v>
      </c>
      <c r="N368" s="585">
        <f t="shared" si="63"/>
        <v>3.2699999999999993E-2</v>
      </c>
      <c r="O368" s="586">
        <f t="shared" si="60"/>
        <v>0.29521845439275729</v>
      </c>
      <c r="P368" s="585">
        <f t="shared" si="64"/>
        <v>0.29371845439275729</v>
      </c>
      <c r="Q368" s="585">
        <f t="shared" si="65"/>
        <v>8.3345260194600312E-2</v>
      </c>
      <c r="R368" s="585">
        <f t="shared" si="66"/>
        <v>3.3999999999999996E-2</v>
      </c>
      <c r="S368" s="586">
        <f t="shared" si="67"/>
        <v>4.9345260194600317E-2</v>
      </c>
      <c r="U368" s="587"/>
      <c r="V368" s="587"/>
      <c r="W368" s="587"/>
      <c r="X368" s="587"/>
      <c r="Y368" s="587"/>
      <c r="Z368" s="587"/>
      <c r="AA368" s="587"/>
      <c r="AB368" s="587"/>
      <c r="AC368" s="587"/>
      <c r="AE368" s="587"/>
      <c r="AF368" s="587"/>
      <c r="AG368" s="587"/>
      <c r="AH368" s="587"/>
      <c r="AI368" s="587"/>
      <c r="AJ368" s="587"/>
      <c r="AK368" s="587"/>
      <c r="AL368" s="587"/>
      <c r="AM368" s="587"/>
      <c r="AO368" s="587"/>
      <c r="AP368" s="587"/>
      <c r="AQ368" s="587"/>
      <c r="AR368" s="587"/>
      <c r="AS368" s="587"/>
      <c r="AT368" s="587"/>
      <c r="AU368" s="587"/>
      <c r="AV368" s="587"/>
      <c r="AW368" s="587"/>
    </row>
    <row r="369" spans="1:49">
      <c r="A369" s="581">
        <v>20576</v>
      </c>
      <c r="B369" s="594">
        <v>-5.9299999999999999E-2</v>
      </c>
      <c r="C369" s="577">
        <v>-1.38E-2</v>
      </c>
      <c r="D369" s="577">
        <v>2.5999999999999999E-3</v>
      </c>
      <c r="E369" s="577">
        <v>2.7333333333333333E-3</v>
      </c>
      <c r="F369" s="577">
        <v>2.7833333333333334E-3</v>
      </c>
      <c r="G369" s="577">
        <v>2.7583333333333331E-3</v>
      </c>
      <c r="H369" s="577">
        <v>2.8999999999999998E-3</v>
      </c>
      <c r="I369" s="577">
        <f t="shared" si="57"/>
        <v>-6.1899999999999997E-2</v>
      </c>
      <c r="J369" s="577">
        <f t="shared" si="61"/>
        <v>-6.2058333333333333E-2</v>
      </c>
      <c r="K369" s="577">
        <f t="shared" si="62"/>
        <v>-1.67E-2</v>
      </c>
      <c r="L369" s="585">
        <f t="shared" si="58"/>
        <v>0.24093668826182668</v>
      </c>
      <c r="M369" s="585">
        <f t="shared" si="59"/>
        <v>3.1199999999999999E-2</v>
      </c>
      <c r="N369" s="585">
        <f t="shared" si="63"/>
        <v>3.3099999999999997E-2</v>
      </c>
      <c r="O369" s="586">
        <f t="shared" si="60"/>
        <v>0.20973668826182668</v>
      </c>
      <c r="P369" s="585">
        <f t="shared" si="64"/>
        <v>0.20783668826182669</v>
      </c>
      <c r="Q369" s="585">
        <f t="shared" si="65"/>
        <v>7.4627937642239184E-2</v>
      </c>
      <c r="R369" s="585">
        <f t="shared" si="66"/>
        <v>3.4799999999999998E-2</v>
      </c>
      <c r="S369" s="586">
        <f t="shared" si="67"/>
        <v>3.9827937642239186E-2</v>
      </c>
      <c r="U369" s="587"/>
      <c r="V369" s="587"/>
      <c r="W369" s="587"/>
      <c r="X369" s="587"/>
      <c r="Y369" s="587"/>
      <c r="Z369" s="587"/>
      <c r="AA369" s="587"/>
      <c r="AB369" s="587"/>
      <c r="AC369" s="587"/>
      <c r="AE369" s="587"/>
      <c r="AF369" s="587"/>
      <c r="AG369" s="587"/>
      <c r="AH369" s="587"/>
      <c r="AI369" s="587"/>
      <c r="AJ369" s="587"/>
      <c r="AK369" s="587"/>
      <c r="AL369" s="587"/>
      <c r="AM369" s="587"/>
      <c r="AO369" s="587"/>
      <c r="AP369" s="587"/>
      <c r="AQ369" s="587"/>
      <c r="AR369" s="587"/>
      <c r="AS369" s="587"/>
      <c r="AT369" s="587"/>
      <c r="AU369" s="587"/>
      <c r="AV369" s="587"/>
      <c r="AW369" s="587"/>
    </row>
    <row r="370" spans="1:49">
      <c r="A370" s="581">
        <v>20607</v>
      </c>
      <c r="B370" s="594">
        <v>4.0899999999999999E-2</v>
      </c>
      <c r="C370" s="577">
        <v>2.1099999999999997E-2</v>
      </c>
      <c r="D370" s="577">
        <v>2.3E-3</v>
      </c>
      <c r="E370" s="577">
        <v>2.7166666666666667E-3</v>
      </c>
      <c r="F370" s="577">
        <v>2.7916666666666667E-3</v>
      </c>
      <c r="G370" s="577">
        <v>2.7541666666666665E-3</v>
      </c>
      <c r="H370" s="577">
        <v>2.9083333333333335E-3</v>
      </c>
      <c r="I370" s="577">
        <f t="shared" si="57"/>
        <v>3.8599999999999995E-2</v>
      </c>
      <c r="J370" s="577">
        <f t="shared" si="61"/>
        <v>3.814583333333333E-2</v>
      </c>
      <c r="K370" s="577">
        <f t="shared" si="62"/>
        <v>1.8191666666666665E-2</v>
      </c>
      <c r="L370" s="585">
        <f t="shared" si="58"/>
        <v>0.19148694660246757</v>
      </c>
      <c r="M370" s="585">
        <f t="shared" si="59"/>
        <v>2.76E-2</v>
      </c>
      <c r="N370" s="585">
        <f t="shared" si="63"/>
        <v>3.3049999999999996E-2</v>
      </c>
      <c r="O370" s="586">
        <f t="shared" si="60"/>
        <v>0.16388694660246755</v>
      </c>
      <c r="P370" s="585">
        <f t="shared" si="64"/>
        <v>0.15843694660246757</v>
      </c>
      <c r="Q370" s="585">
        <f t="shared" si="65"/>
        <v>7.4627937642239628E-2</v>
      </c>
      <c r="R370" s="585">
        <f t="shared" si="66"/>
        <v>3.49E-2</v>
      </c>
      <c r="S370" s="586">
        <f t="shared" si="67"/>
        <v>3.9727937642239627E-2</v>
      </c>
      <c r="U370" s="587"/>
      <c r="V370" s="587"/>
      <c r="W370" s="587"/>
      <c r="X370" s="587"/>
      <c r="Y370" s="587"/>
      <c r="Z370" s="587"/>
      <c r="AA370" s="587"/>
      <c r="AB370" s="587"/>
      <c r="AC370" s="587"/>
      <c r="AE370" s="587"/>
      <c r="AF370" s="587"/>
      <c r="AG370" s="587"/>
      <c r="AH370" s="587"/>
      <c r="AI370" s="587"/>
      <c r="AJ370" s="587"/>
      <c r="AK370" s="587"/>
      <c r="AL370" s="587"/>
      <c r="AM370" s="587"/>
      <c r="AO370" s="587"/>
      <c r="AP370" s="587"/>
      <c r="AQ370" s="587"/>
      <c r="AR370" s="587"/>
      <c r="AS370" s="587"/>
      <c r="AT370" s="587"/>
      <c r="AU370" s="587"/>
      <c r="AV370" s="587"/>
      <c r="AW370" s="587"/>
    </row>
    <row r="371" spans="1:49">
      <c r="A371" s="581">
        <v>20637</v>
      </c>
      <c r="B371" s="594">
        <v>5.2999999999999999E-2</v>
      </c>
      <c r="C371" s="577">
        <v>5.2500000000000012E-2</v>
      </c>
      <c r="D371" s="577">
        <v>2.5999999999999999E-3</v>
      </c>
      <c r="E371" s="577">
        <v>2.7333333333333333E-3</v>
      </c>
      <c r="F371" s="577">
        <v>2.8250000000000003E-3</v>
      </c>
      <c r="G371" s="577">
        <v>2.7791666666666672E-3</v>
      </c>
      <c r="H371" s="577">
        <v>2.9583333333333332E-3</v>
      </c>
      <c r="I371" s="577">
        <f t="shared" si="57"/>
        <v>5.04E-2</v>
      </c>
      <c r="J371" s="577">
        <f t="shared" si="61"/>
        <v>5.0220833333333333E-2</v>
      </c>
      <c r="K371" s="577">
        <f t="shared" si="62"/>
        <v>4.9541666666666678E-2</v>
      </c>
      <c r="L371" s="585">
        <f t="shared" si="58"/>
        <v>0.18116715757145396</v>
      </c>
      <c r="M371" s="585">
        <f t="shared" si="59"/>
        <v>3.1199999999999999E-2</v>
      </c>
      <c r="N371" s="585">
        <f t="shared" si="63"/>
        <v>3.3350000000000005E-2</v>
      </c>
      <c r="O371" s="586">
        <f t="shared" si="60"/>
        <v>0.14996715757145396</v>
      </c>
      <c r="P371" s="585">
        <f t="shared" si="64"/>
        <v>0.14781715757145397</v>
      </c>
      <c r="Q371" s="585">
        <f t="shared" si="65"/>
        <v>8.0685939583849953E-2</v>
      </c>
      <c r="R371" s="585">
        <f t="shared" si="66"/>
        <v>3.5499999999999997E-2</v>
      </c>
      <c r="S371" s="586">
        <f t="shared" si="67"/>
        <v>4.5185939583849956E-2</v>
      </c>
      <c r="U371" s="587"/>
      <c r="V371" s="587"/>
      <c r="W371" s="587"/>
      <c r="X371" s="587"/>
      <c r="Y371" s="587"/>
      <c r="Z371" s="587"/>
      <c r="AA371" s="587"/>
      <c r="AB371" s="587"/>
      <c r="AC371" s="587"/>
      <c r="AE371" s="587"/>
      <c r="AF371" s="587"/>
      <c r="AG371" s="587"/>
      <c r="AH371" s="587"/>
      <c r="AI371" s="587"/>
      <c r="AJ371" s="587"/>
      <c r="AK371" s="587"/>
      <c r="AL371" s="587"/>
      <c r="AM371" s="587"/>
      <c r="AO371" s="587"/>
      <c r="AP371" s="587"/>
      <c r="AQ371" s="587"/>
      <c r="AR371" s="587"/>
      <c r="AS371" s="587"/>
      <c r="AT371" s="587"/>
      <c r="AU371" s="587"/>
      <c r="AV371" s="587"/>
      <c r="AW371" s="587"/>
    </row>
    <row r="372" spans="1:49">
      <c r="A372" s="581">
        <v>20668</v>
      </c>
      <c r="B372" s="594">
        <v>-3.2800000000000003E-2</v>
      </c>
      <c r="C372" s="577">
        <v>-2.5899999999999999E-2</v>
      </c>
      <c r="D372" s="577">
        <v>2.5999999999999999E-3</v>
      </c>
      <c r="E372" s="577">
        <v>2.8583333333333334E-3</v>
      </c>
      <c r="F372" s="577">
        <v>2.9166666666666668E-3</v>
      </c>
      <c r="G372" s="577">
        <v>2.8874999999999999E-3</v>
      </c>
      <c r="H372" s="577">
        <v>3.0249999999999999E-3</v>
      </c>
      <c r="I372" s="577">
        <f t="shared" si="57"/>
        <v>-3.5400000000000001E-2</v>
      </c>
      <c r="J372" s="577">
        <f t="shared" si="61"/>
        <v>-3.5687500000000004E-2</v>
      </c>
      <c r="K372" s="577">
        <f t="shared" si="62"/>
        <v>-2.8924999999999999E-2</v>
      </c>
      <c r="L372" s="585">
        <f t="shared" si="58"/>
        <v>0.14528809504071249</v>
      </c>
      <c r="M372" s="585">
        <f t="shared" si="59"/>
        <v>3.1199999999999999E-2</v>
      </c>
      <c r="N372" s="585">
        <f t="shared" si="63"/>
        <v>3.465E-2</v>
      </c>
      <c r="O372" s="586">
        <f t="shared" si="60"/>
        <v>0.11408809504071249</v>
      </c>
      <c r="P372" s="585">
        <f t="shared" si="64"/>
        <v>0.11063809504071249</v>
      </c>
      <c r="Q372" s="585">
        <f t="shared" si="65"/>
        <v>4.725047129787896E-2</v>
      </c>
      <c r="R372" s="585">
        <f t="shared" si="66"/>
        <v>3.6299999999999999E-2</v>
      </c>
      <c r="S372" s="586">
        <f t="shared" si="67"/>
        <v>1.0950471297878961E-2</v>
      </c>
      <c r="U372" s="587"/>
      <c r="V372" s="587"/>
      <c r="W372" s="587"/>
      <c r="X372" s="587"/>
      <c r="Y372" s="587"/>
      <c r="Z372" s="587"/>
      <c r="AA372" s="587"/>
      <c r="AB372" s="587"/>
      <c r="AC372" s="587"/>
      <c r="AE372" s="587"/>
      <c r="AF372" s="587"/>
      <c r="AG372" s="587"/>
      <c r="AH372" s="587"/>
      <c r="AI372" s="587"/>
      <c r="AJ372" s="587"/>
      <c r="AK372" s="587"/>
      <c r="AL372" s="587"/>
      <c r="AM372" s="587"/>
      <c r="AO372" s="587"/>
      <c r="AP372" s="587"/>
      <c r="AQ372" s="587"/>
      <c r="AR372" s="587"/>
      <c r="AS372" s="587"/>
      <c r="AT372" s="587"/>
      <c r="AU372" s="587"/>
      <c r="AV372" s="587"/>
      <c r="AW372" s="587"/>
    </row>
    <row r="373" spans="1:49">
      <c r="A373" s="581">
        <v>20699</v>
      </c>
      <c r="B373" s="594">
        <v>-4.3999999999999997E-2</v>
      </c>
      <c r="C373" s="577">
        <v>-3.1899999999999998E-2</v>
      </c>
      <c r="D373" s="577">
        <v>2.5000000000000001E-3</v>
      </c>
      <c r="E373" s="577">
        <v>2.9666666666666669E-3</v>
      </c>
      <c r="F373" s="577">
        <v>3.0249999999999999E-3</v>
      </c>
      <c r="G373" s="577">
        <v>2.995833333333333E-3</v>
      </c>
      <c r="H373" s="577">
        <v>3.0999999999999999E-3</v>
      </c>
      <c r="I373" s="577">
        <f t="shared" si="57"/>
        <v>-4.65E-2</v>
      </c>
      <c r="J373" s="577">
        <f t="shared" si="61"/>
        <v>-4.6995833333333334E-2</v>
      </c>
      <c r="K373" s="577">
        <f t="shared" si="62"/>
        <v>-3.4999999999999996E-2</v>
      </c>
      <c r="L373" s="585">
        <f t="shared" si="58"/>
        <v>8.0844441124304556E-2</v>
      </c>
      <c r="M373" s="585">
        <f t="shared" si="59"/>
        <v>0.03</v>
      </c>
      <c r="N373" s="585">
        <f t="shared" si="63"/>
        <v>3.5949999999999996E-2</v>
      </c>
      <c r="O373" s="586">
        <f t="shared" si="60"/>
        <v>5.0844441124304557E-2</v>
      </c>
      <c r="P373" s="585">
        <f t="shared" si="64"/>
        <v>4.489444112430456E-2</v>
      </c>
      <c r="Q373" s="585">
        <f t="shared" si="65"/>
        <v>4.4122740745084377E-2</v>
      </c>
      <c r="R373" s="585">
        <f t="shared" si="66"/>
        <v>3.7199999999999997E-2</v>
      </c>
      <c r="S373" s="586">
        <f t="shared" si="67"/>
        <v>6.9227407450843798E-3</v>
      </c>
      <c r="U373" s="587"/>
      <c r="V373" s="587"/>
      <c r="W373" s="587"/>
      <c r="X373" s="587"/>
      <c r="Y373" s="587"/>
      <c r="Z373" s="587"/>
      <c r="AA373" s="587"/>
      <c r="AB373" s="587"/>
      <c r="AC373" s="587"/>
      <c r="AE373" s="587"/>
      <c r="AF373" s="587"/>
      <c r="AG373" s="587"/>
      <c r="AH373" s="587"/>
      <c r="AI373" s="587"/>
      <c r="AJ373" s="587"/>
      <c r="AK373" s="587"/>
      <c r="AL373" s="587"/>
      <c r="AM373" s="587"/>
      <c r="AO373" s="587"/>
      <c r="AP373" s="587"/>
      <c r="AQ373" s="587"/>
      <c r="AR373" s="587"/>
      <c r="AS373" s="587"/>
      <c r="AT373" s="587"/>
      <c r="AU373" s="587"/>
      <c r="AV373" s="587"/>
      <c r="AW373" s="587"/>
    </row>
    <row r="374" spans="1:49">
      <c r="A374" s="581">
        <v>20729</v>
      </c>
      <c r="B374" s="594">
        <v>6.6E-3</v>
      </c>
      <c r="C374" s="577">
        <v>6.3E-3</v>
      </c>
      <c r="D374" s="577">
        <v>2.8999999999999998E-3</v>
      </c>
      <c r="E374" s="577">
        <v>2.9916666666666663E-3</v>
      </c>
      <c r="F374" s="577">
        <v>3.075E-3</v>
      </c>
      <c r="G374" s="577">
        <v>3.0333333333333336E-3</v>
      </c>
      <c r="H374" s="577">
        <v>3.1583333333333337E-3</v>
      </c>
      <c r="I374" s="577">
        <f t="shared" si="57"/>
        <v>3.7000000000000002E-3</v>
      </c>
      <c r="J374" s="577">
        <f t="shared" si="61"/>
        <v>3.5666666666666663E-3</v>
      </c>
      <c r="K374" s="577">
        <f t="shared" si="62"/>
        <v>3.1416666666666663E-3</v>
      </c>
      <c r="L374" s="585">
        <f t="shared" si="58"/>
        <v>0.11977975960860987</v>
      </c>
      <c r="M374" s="585">
        <f t="shared" si="59"/>
        <v>3.4799999999999998E-2</v>
      </c>
      <c r="N374" s="585">
        <f t="shared" si="63"/>
        <v>3.6400000000000002E-2</v>
      </c>
      <c r="O374" s="586">
        <f t="shared" si="60"/>
        <v>8.4979759608609873E-2</v>
      </c>
      <c r="P374" s="585">
        <f t="shared" si="64"/>
        <v>8.3379759608609869E-2</v>
      </c>
      <c r="Q374" s="585">
        <f t="shared" si="65"/>
        <v>5.9708234000784621E-2</v>
      </c>
      <c r="R374" s="585">
        <f t="shared" si="66"/>
        <v>3.7900000000000003E-2</v>
      </c>
      <c r="S374" s="586">
        <f t="shared" si="67"/>
        <v>2.1808234000784618E-2</v>
      </c>
      <c r="U374" s="587"/>
      <c r="V374" s="587"/>
      <c r="W374" s="587"/>
      <c r="X374" s="587"/>
      <c r="Y374" s="587"/>
      <c r="Z374" s="587"/>
      <c r="AA374" s="587"/>
      <c r="AB374" s="587"/>
      <c r="AC374" s="587"/>
      <c r="AE374" s="587"/>
      <c r="AF374" s="587"/>
      <c r="AG374" s="587"/>
      <c r="AH374" s="587"/>
      <c r="AI374" s="587"/>
      <c r="AJ374" s="587"/>
      <c r="AK374" s="587"/>
      <c r="AL374" s="587"/>
      <c r="AM374" s="587"/>
      <c r="AO374" s="587"/>
      <c r="AP374" s="587"/>
      <c r="AQ374" s="587"/>
      <c r="AR374" s="587"/>
      <c r="AS374" s="587"/>
      <c r="AT374" s="587"/>
      <c r="AU374" s="587"/>
      <c r="AV374" s="587"/>
      <c r="AW374" s="587"/>
    </row>
    <row r="375" spans="1:49">
      <c r="A375" s="581">
        <v>20760</v>
      </c>
      <c r="B375" s="594">
        <v>-5.0000000000000001E-3</v>
      </c>
      <c r="C375" s="577">
        <v>2.8000000000000004E-3</v>
      </c>
      <c r="D375" s="577">
        <v>2.7000000000000001E-3</v>
      </c>
      <c r="E375" s="577">
        <v>3.075E-3</v>
      </c>
      <c r="F375" s="577">
        <v>3.133333333333333E-3</v>
      </c>
      <c r="G375" s="577">
        <v>3.1041666666666665E-3</v>
      </c>
      <c r="H375" s="577">
        <v>3.1833333333333336E-3</v>
      </c>
      <c r="I375" s="577">
        <f t="shared" si="57"/>
        <v>-7.7000000000000002E-3</v>
      </c>
      <c r="J375" s="577">
        <f t="shared" si="61"/>
        <v>-8.1041666666666658E-3</v>
      </c>
      <c r="K375" s="577">
        <f t="shared" si="62"/>
        <v>-3.8333333333333318E-4</v>
      </c>
      <c r="L375" s="585">
        <f t="shared" si="58"/>
        <v>2.9076254558572545E-2</v>
      </c>
      <c r="M375" s="585">
        <f t="shared" si="59"/>
        <v>3.2399999999999998E-2</v>
      </c>
      <c r="N375" s="585">
        <f t="shared" si="63"/>
        <v>3.7249999999999998E-2</v>
      </c>
      <c r="O375" s="586">
        <f t="shared" si="60"/>
        <v>-3.3237454414274531E-3</v>
      </c>
      <c r="P375" s="585">
        <f t="shared" si="64"/>
        <v>-8.1737454414274532E-3</v>
      </c>
      <c r="Q375" s="585">
        <f t="shared" si="65"/>
        <v>3.2525667563143346E-2</v>
      </c>
      <c r="R375" s="585">
        <f t="shared" si="66"/>
        <v>3.8200000000000005E-2</v>
      </c>
      <c r="S375" s="586">
        <f t="shared" si="67"/>
        <v>-5.6743324368566592E-3</v>
      </c>
      <c r="U375" s="587"/>
      <c r="V375" s="587"/>
      <c r="W375" s="587"/>
      <c r="X375" s="587"/>
      <c r="Y375" s="587"/>
      <c r="Z375" s="587"/>
      <c r="AA375" s="587"/>
      <c r="AB375" s="587"/>
      <c r="AC375" s="587"/>
      <c r="AE375" s="587"/>
      <c r="AF375" s="587"/>
      <c r="AG375" s="587"/>
      <c r="AH375" s="587"/>
      <c r="AI375" s="587"/>
      <c r="AJ375" s="587"/>
      <c r="AK375" s="587"/>
      <c r="AL375" s="587"/>
      <c r="AM375" s="587"/>
      <c r="AO375" s="587"/>
      <c r="AP375" s="587"/>
      <c r="AQ375" s="587"/>
      <c r="AR375" s="587"/>
      <c r="AS375" s="587"/>
      <c r="AT375" s="587"/>
      <c r="AU375" s="587"/>
      <c r="AV375" s="587"/>
      <c r="AW375" s="587"/>
    </row>
    <row r="376" spans="1:49">
      <c r="A376" s="581">
        <v>20790</v>
      </c>
      <c r="B376" s="594">
        <v>3.6999999999999998E-2</v>
      </c>
      <c r="C376" s="577">
        <v>1.04E-2</v>
      </c>
      <c r="D376" s="577">
        <v>2.7999999999999995E-3</v>
      </c>
      <c r="E376" s="577">
        <v>3.1250000000000002E-3</v>
      </c>
      <c r="F376" s="577">
        <v>3.2083333333333334E-3</v>
      </c>
      <c r="G376" s="577">
        <v>3.1666666666666666E-3</v>
      </c>
      <c r="H376" s="577">
        <v>3.2583333333333336E-3</v>
      </c>
      <c r="I376" s="577">
        <f t="shared" si="57"/>
        <v>3.4200000000000001E-2</v>
      </c>
      <c r="J376" s="577">
        <f t="shared" si="61"/>
        <v>3.3833333333333333E-2</v>
      </c>
      <c r="K376" s="577">
        <f t="shared" si="62"/>
        <v>7.141666666666666E-3</v>
      </c>
      <c r="L376" s="585">
        <f t="shared" si="58"/>
        <v>6.5553745359200777E-2</v>
      </c>
      <c r="M376" s="585">
        <f t="shared" si="59"/>
        <v>3.3599999999999991E-2</v>
      </c>
      <c r="N376" s="585">
        <f t="shared" si="63"/>
        <v>3.7999999999999999E-2</v>
      </c>
      <c r="O376" s="586">
        <f t="shared" si="60"/>
        <v>3.1953745359200786E-2</v>
      </c>
      <c r="P376" s="585">
        <f t="shared" si="64"/>
        <v>2.7553745359200778E-2</v>
      </c>
      <c r="Q376" s="585">
        <f t="shared" si="65"/>
        <v>5.0300950876673856E-2</v>
      </c>
      <c r="R376" s="585">
        <f t="shared" si="66"/>
        <v>3.9100000000000003E-2</v>
      </c>
      <c r="S376" s="586">
        <f t="shared" si="67"/>
        <v>1.1200950876673853E-2</v>
      </c>
      <c r="U376" s="587"/>
      <c r="V376" s="587"/>
      <c r="W376" s="587"/>
      <c r="X376" s="587"/>
      <c r="Y376" s="587"/>
      <c r="Z376" s="587"/>
      <c r="AA376" s="587"/>
      <c r="AB376" s="587"/>
      <c r="AC376" s="587"/>
      <c r="AE376" s="587"/>
      <c r="AF376" s="587"/>
      <c r="AG376" s="587"/>
      <c r="AH376" s="587"/>
      <c r="AI376" s="587"/>
      <c r="AJ376" s="587"/>
      <c r="AK376" s="587"/>
      <c r="AL376" s="587"/>
      <c r="AM376" s="587"/>
      <c r="AO376" s="587"/>
      <c r="AP376" s="587"/>
      <c r="AQ376" s="587"/>
      <c r="AR376" s="587"/>
      <c r="AS376" s="587"/>
      <c r="AT376" s="587"/>
      <c r="AU376" s="587"/>
      <c r="AV376" s="587"/>
      <c r="AW376" s="587"/>
    </row>
    <row r="377" spans="1:49">
      <c r="A377" s="581">
        <v>20821</v>
      </c>
      <c r="B377" s="594">
        <v>-4.0099999999999997E-2</v>
      </c>
      <c r="C377" s="577">
        <v>3.2399999999999998E-2</v>
      </c>
      <c r="D377" s="577">
        <v>2.8999999999999998E-3</v>
      </c>
      <c r="E377" s="577">
        <v>3.1416666666666663E-3</v>
      </c>
      <c r="F377" s="577">
        <v>3.2416666666666666E-3</v>
      </c>
      <c r="G377" s="577">
        <v>3.1916666666666664E-3</v>
      </c>
      <c r="H377" s="577">
        <v>3.3E-3</v>
      </c>
      <c r="I377" s="577">
        <f t="shared" si="57"/>
        <v>-4.2999999999999997E-2</v>
      </c>
      <c r="J377" s="577">
        <f t="shared" si="61"/>
        <v>-4.3291666666666666E-2</v>
      </c>
      <c r="K377" s="577">
        <f t="shared" si="62"/>
        <v>2.9099999999999997E-2</v>
      </c>
      <c r="L377" s="585">
        <f t="shared" si="58"/>
        <v>5.9592914296381805E-2</v>
      </c>
      <c r="M377" s="585">
        <f t="shared" si="59"/>
        <v>3.4799999999999998E-2</v>
      </c>
      <c r="N377" s="585">
        <f t="shared" si="63"/>
        <v>3.8300000000000001E-2</v>
      </c>
      <c r="O377" s="586">
        <f t="shared" si="60"/>
        <v>2.4792914296381807E-2</v>
      </c>
      <c r="P377" s="585">
        <f t="shared" si="64"/>
        <v>2.1292914296381804E-2</v>
      </c>
      <c r="Q377" s="585">
        <f t="shared" si="65"/>
        <v>8.1087439366976932E-2</v>
      </c>
      <c r="R377" s="585">
        <f t="shared" si="66"/>
        <v>3.9599999999999996E-2</v>
      </c>
      <c r="S377" s="586">
        <f t="shared" si="67"/>
        <v>4.1487439366976936E-2</v>
      </c>
      <c r="U377" s="587"/>
      <c r="V377" s="587"/>
      <c r="W377" s="587"/>
      <c r="X377" s="587"/>
      <c r="Y377" s="587"/>
      <c r="Z377" s="587"/>
      <c r="AA377" s="587"/>
      <c r="AB377" s="587"/>
      <c r="AC377" s="587"/>
      <c r="AE377" s="587"/>
      <c r="AF377" s="587"/>
      <c r="AG377" s="587"/>
      <c r="AH377" s="587"/>
      <c r="AI377" s="587"/>
      <c r="AJ377" s="587"/>
      <c r="AK377" s="587"/>
      <c r="AL377" s="587"/>
      <c r="AM377" s="587"/>
      <c r="AO377" s="587"/>
      <c r="AP377" s="587"/>
      <c r="AQ377" s="587"/>
      <c r="AR377" s="587"/>
      <c r="AS377" s="587"/>
      <c r="AT377" s="587"/>
      <c r="AU377" s="587"/>
      <c r="AV377" s="587"/>
      <c r="AW377" s="587"/>
    </row>
    <row r="378" spans="1:49">
      <c r="A378" s="581">
        <v>20852</v>
      </c>
      <c r="B378" s="594">
        <v>-2.64E-2</v>
      </c>
      <c r="C378" s="577">
        <v>-6.0999999999999995E-3</v>
      </c>
      <c r="D378" s="577">
        <v>2.5000000000000001E-3</v>
      </c>
      <c r="E378" s="577">
        <v>3.0583333333333335E-3</v>
      </c>
      <c r="F378" s="577">
        <v>3.1916666666666664E-3</v>
      </c>
      <c r="G378" s="577">
        <v>3.1250000000000002E-3</v>
      </c>
      <c r="H378" s="577">
        <v>3.3749999999999995E-3</v>
      </c>
      <c r="I378" s="577">
        <f t="shared" si="57"/>
        <v>-2.8899999999999999E-2</v>
      </c>
      <c r="J378" s="577">
        <f t="shared" si="61"/>
        <v>-2.9524999999999999E-2</v>
      </c>
      <c r="K378" s="577">
        <f t="shared" si="62"/>
        <v>-9.474999999999999E-3</v>
      </c>
      <c r="L378" s="585">
        <f t="shared" si="58"/>
        <v>-9.2963974272955996E-3</v>
      </c>
      <c r="M378" s="585">
        <f t="shared" si="59"/>
        <v>0.03</v>
      </c>
      <c r="N378" s="585">
        <f t="shared" si="63"/>
        <v>3.7500000000000006E-2</v>
      </c>
      <c r="O378" s="586">
        <f t="shared" si="60"/>
        <v>-3.9296397427295598E-2</v>
      </c>
      <c r="P378" s="585">
        <f t="shared" si="64"/>
        <v>-4.6796397427295605E-2</v>
      </c>
      <c r="Q378" s="585">
        <f t="shared" si="65"/>
        <v>5.5701322447276658E-2</v>
      </c>
      <c r="R378" s="585">
        <f t="shared" si="66"/>
        <v>4.0499999999999994E-2</v>
      </c>
      <c r="S378" s="586">
        <f t="shared" si="67"/>
        <v>1.5201322447276663E-2</v>
      </c>
      <c r="U378" s="587"/>
      <c r="V378" s="587"/>
      <c r="W378" s="587"/>
      <c r="X378" s="587"/>
      <c r="Y378" s="587"/>
      <c r="Z378" s="587"/>
      <c r="AA378" s="587"/>
      <c r="AB378" s="587"/>
      <c r="AC378" s="587"/>
      <c r="AE378" s="587"/>
      <c r="AF378" s="587"/>
      <c r="AG378" s="587"/>
      <c r="AH378" s="587"/>
      <c r="AI378" s="587"/>
      <c r="AJ378" s="587"/>
      <c r="AK378" s="587"/>
      <c r="AL378" s="587"/>
      <c r="AM378" s="587"/>
      <c r="AO378" s="587"/>
      <c r="AP378" s="587"/>
      <c r="AQ378" s="587"/>
      <c r="AR378" s="587"/>
      <c r="AS378" s="587"/>
      <c r="AT378" s="587"/>
      <c r="AU378" s="587"/>
      <c r="AV378" s="587"/>
      <c r="AW378" s="587"/>
    </row>
    <row r="379" spans="1:49">
      <c r="A379" s="581">
        <v>20880</v>
      </c>
      <c r="B379" s="594">
        <v>2.1499999999999998E-2</v>
      </c>
      <c r="C379" s="577">
        <v>7.8000000000000005E-3</v>
      </c>
      <c r="D379" s="577">
        <v>2.5999999999999999E-3</v>
      </c>
      <c r="E379" s="577">
        <v>3.0499999999999998E-3</v>
      </c>
      <c r="F379" s="577">
        <v>3.1666666666666666E-3</v>
      </c>
      <c r="G379" s="577">
        <v>3.1083333333333327E-3</v>
      </c>
      <c r="H379" s="577">
        <v>3.3749999999999995E-3</v>
      </c>
      <c r="I379" s="577">
        <f t="shared" si="57"/>
        <v>1.89E-2</v>
      </c>
      <c r="J379" s="577">
        <f t="shared" si="61"/>
        <v>1.8391666666666667E-2</v>
      </c>
      <c r="K379" s="577">
        <f t="shared" si="62"/>
        <v>4.425000000000001E-3</v>
      </c>
      <c r="L379" s="585">
        <f t="shared" si="58"/>
        <v>-5.508521939494182E-2</v>
      </c>
      <c r="M379" s="585">
        <f t="shared" si="59"/>
        <v>3.1199999999999999E-2</v>
      </c>
      <c r="N379" s="585">
        <f t="shared" si="63"/>
        <v>3.7299999999999993E-2</v>
      </c>
      <c r="O379" s="586">
        <f t="shared" si="60"/>
        <v>-8.6285219394941826E-2</v>
      </c>
      <c r="P379" s="585">
        <f t="shared" si="64"/>
        <v>-9.238521939494182E-2</v>
      </c>
      <c r="Q379" s="585">
        <f t="shared" si="65"/>
        <v>2.3605727114071051E-2</v>
      </c>
      <c r="R379" s="585">
        <f t="shared" si="66"/>
        <v>4.0499999999999994E-2</v>
      </c>
      <c r="S379" s="586">
        <f t="shared" si="67"/>
        <v>-1.6894272885928943E-2</v>
      </c>
      <c r="U379" s="587"/>
      <c r="V379" s="587"/>
      <c r="W379" s="587"/>
      <c r="X379" s="587"/>
      <c r="Y379" s="587"/>
      <c r="Z379" s="587"/>
      <c r="AA379" s="587"/>
      <c r="AB379" s="587"/>
      <c r="AC379" s="587"/>
      <c r="AE379" s="587"/>
      <c r="AF379" s="587"/>
      <c r="AG379" s="587"/>
      <c r="AH379" s="587"/>
      <c r="AI379" s="587"/>
      <c r="AJ379" s="587"/>
      <c r="AK379" s="587"/>
      <c r="AL379" s="587"/>
      <c r="AM379" s="587"/>
      <c r="AO379" s="587"/>
      <c r="AP379" s="587"/>
      <c r="AQ379" s="587"/>
      <c r="AR379" s="587"/>
      <c r="AS379" s="587"/>
      <c r="AT379" s="587"/>
      <c r="AU379" s="587"/>
      <c r="AV379" s="587"/>
      <c r="AW379" s="587"/>
    </row>
    <row r="380" spans="1:49">
      <c r="A380" s="581">
        <v>20911</v>
      </c>
      <c r="B380" s="594">
        <v>3.8800000000000001E-2</v>
      </c>
      <c r="C380" s="577">
        <v>4.0199999999999993E-2</v>
      </c>
      <c r="D380" s="577">
        <v>2.8999999999999998E-3</v>
      </c>
      <c r="E380" s="577">
        <v>3.0583333333333335E-3</v>
      </c>
      <c r="F380" s="577">
        <v>3.1583333333333337E-3</v>
      </c>
      <c r="G380" s="577">
        <v>3.1083333333333336E-3</v>
      </c>
      <c r="H380" s="577">
        <v>3.3416666666666668E-3</v>
      </c>
      <c r="I380" s="577">
        <f t="shared" si="57"/>
        <v>3.5900000000000001E-2</v>
      </c>
      <c r="J380" s="577">
        <f t="shared" si="61"/>
        <v>3.569166666666667E-2</v>
      </c>
      <c r="K380" s="577">
        <f t="shared" si="62"/>
        <v>3.6858333333333326E-2</v>
      </c>
      <c r="L380" s="585">
        <f t="shared" si="58"/>
        <v>-1.8029737802586543E-2</v>
      </c>
      <c r="M380" s="585">
        <f t="shared" si="59"/>
        <v>3.4799999999999998E-2</v>
      </c>
      <c r="N380" s="585">
        <f t="shared" si="63"/>
        <v>3.73E-2</v>
      </c>
      <c r="O380" s="586">
        <f t="shared" si="60"/>
        <v>-5.2829737802586541E-2</v>
      </c>
      <c r="P380" s="585">
        <f t="shared" si="64"/>
        <v>-5.5329737802586543E-2</v>
      </c>
      <c r="Q380" s="585">
        <f t="shared" si="65"/>
        <v>9.6216078805782868E-2</v>
      </c>
      <c r="R380" s="585">
        <f t="shared" si="66"/>
        <v>4.0100000000000004E-2</v>
      </c>
      <c r="S380" s="586">
        <f t="shared" si="67"/>
        <v>5.6116078805782864E-2</v>
      </c>
      <c r="U380" s="587"/>
      <c r="V380" s="587"/>
      <c r="W380" s="587"/>
      <c r="X380" s="587"/>
      <c r="Y380" s="587"/>
      <c r="Z380" s="587"/>
      <c r="AA380" s="587"/>
      <c r="AB380" s="587"/>
      <c r="AC380" s="587"/>
      <c r="AE380" s="587"/>
      <c r="AF380" s="587"/>
      <c r="AG380" s="587"/>
      <c r="AH380" s="587"/>
      <c r="AI380" s="587"/>
      <c r="AJ380" s="587"/>
      <c r="AK380" s="587"/>
      <c r="AL380" s="587"/>
      <c r="AM380" s="587"/>
      <c r="AO380" s="587"/>
      <c r="AP380" s="587"/>
      <c r="AQ380" s="587"/>
      <c r="AR380" s="587"/>
      <c r="AS380" s="587"/>
      <c r="AT380" s="587"/>
      <c r="AU380" s="587"/>
      <c r="AV380" s="587"/>
      <c r="AW380" s="587"/>
    </row>
    <row r="381" spans="1:49">
      <c r="A381" s="581">
        <v>20941</v>
      </c>
      <c r="B381" s="594">
        <v>4.3700000000000003E-2</v>
      </c>
      <c r="C381" s="577">
        <v>1.8000000000000002E-2</v>
      </c>
      <c r="D381" s="577">
        <v>2.8999999999999998E-3</v>
      </c>
      <c r="E381" s="577">
        <v>3.1166666666666669E-3</v>
      </c>
      <c r="F381" s="577">
        <v>3.1916666666666664E-3</v>
      </c>
      <c r="G381" s="577">
        <v>3.1541666666666667E-3</v>
      </c>
      <c r="H381" s="577">
        <v>3.3416666666666668E-3</v>
      </c>
      <c r="I381" s="577">
        <f t="shared" si="57"/>
        <v>4.0800000000000003E-2</v>
      </c>
      <c r="J381" s="577">
        <f t="shared" si="61"/>
        <v>4.0545833333333337E-2</v>
      </c>
      <c r="K381" s="577">
        <f t="shared" si="62"/>
        <v>1.4658333333333336E-2</v>
      </c>
      <c r="L381" s="585">
        <f t="shared" si="58"/>
        <v>8.9489064160136689E-2</v>
      </c>
      <c r="M381" s="585">
        <f t="shared" si="59"/>
        <v>3.4799999999999998E-2</v>
      </c>
      <c r="N381" s="585">
        <f t="shared" si="63"/>
        <v>3.7850000000000002E-2</v>
      </c>
      <c r="O381" s="586">
        <f t="shared" si="60"/>
        <v>5.4689064160136691E-2</v>
      </c>
      <c r="P381" s="585">
        <f t="shared" si="64"/>
        <v>5.1639064160136687E-2</v>
      </c>
      <c r="Q381" s="585">
        <f t="shared" si="65"/>
        <v>0.13156354514731983</v>
      </c>
      <c r="R381" s="585">
        <f t="shared" si="66"/>
        <v>4.0100000000000004E-2</v>
      </c>
      <c r="S381" s="586">
        <f t="shared" si="67"/>
        <v>9.146354514731983E-2</v>
      </c>
      <c r="U381" s="587"/>
      <c r="V381" s="587"/>
      <c r="W381" s="587"/>
      <c r="X381" s="587"/>
      <c r="Y381" s="587"/>
      <c r="Z381" s="587"/>
      <c r="AA381" s="587"/>
      <c r="AB381" s="587"/>
      <c r="AC381" s="587"/>
      <c r="AE381" s="587"/>
      <c r="AF381" s="587"/>
      <c r="AG381" s="587"/>
      <c r="AH381" s="587"/>
      <c r="AI381" s="587"/>
      <c r="AJ381" s="587"/>
      <c r="AK381" s="587"/>
      <c r="AL381" s="587"/>
      <c r="AM381" s="587"/>
      <c r="AO381" s="587"/>
      <c r="AP381" s="587"/>
      <c r="AQ381" s="587"/>
      <c r="AR381" s="587"/>
      <c r="AS381" s="587"/>
      <c r="AT381" s="587"/>
      <c r="AU381" s="587"/>
      <c r="AV381" s="587"/>
      <c r="AW381" s="587"/>
    </row>
    <row r="382" spans="1:49">
      <c r="A382" s="581">
        <v>20972</v>
      </c>
      <c r="B382" s="594">
        <v>4.0000000000000002E-4</v>
      </c>
      <c r="C382" s="577">
        <v>-4.1800000000000004E-2</v>
      </c>
      <c r="D382" s="577">
        <v>2.5000000000000001E-3</v>
      </c>
      <c r="E382" s="577">
        <v>3.2583333333333336E-3</v>
      </c>
      <c r="F382" s="577">
        <v>3.3166666666666665E-3</v>
      </c>
      <c r="G382" s="577">
        <v>3.2875000000000001E-3</v>
      </c>
      <c r="H382" s="577">
        <v>3.4083333333333331E-3</v>
      </c>
      <c r="I382" s="577">
        <f t="shared" si="57"/>
        <v>-2.0999999999999999E-3</v>
      </c>
      <c r="J382" s="577">
        <f t="shared" si="61"/>
        <v>-2.8874999999999999E-3</v>
      </c>
      <c r="K382" s="577">
        <f t="shared" si="62"/>
        <v>-4.5208333333333336E-2</v>
      </c>
      <c r="L382" s="585">
        <f t="shared" si="58"/>
        <v>4.7098529912384057E-2</v>
      </c>
      <c r="M382" s="585">
        <f t="shared" si="59"/>
        <v>0.03</v>
      </c>
      <c r="N382" s="585">
        <f t="shared" si="63"/>
        <v>3.9449999999999999E-2</v>
      </c>
      <c r="O382" s="586">
        <f t="shared" si="60"/>
        <v>1.7098529912384058E-2</v>
      </c>
      <c r="P382" s="585">
        <f t="shared" si="64"/>
        <v>7.6485299123840583E-3</v>
      </c>
      <c r="Q382" s="585">
        <f t="shared" si="65"/>
        <v>6.1858964802822491E-2</v>
      </c>
      <c r="R382" s="585">
        <f t="shared" si="66"/>
        <v>4.0899999999999999E-2</v>
      </c>
      <c r="S382" s="586">
        <f t="shared" si="67"/>
        <v>2.0958964802822493E-2</v>
      </c>
      <c r="U382" s="587"/>
      <c r="V382" s="587"/>
      <c r="W382" s="587"/>
      <c r="X382" s="587"/>
      <c r="Y382" s="587"/>
      <c r="Z382" s="587"/>
      <c r="AA382" s="587"/>
      <c r="AB382" s="587"/>
      <c r="AC382" s="587"/>
      <c r="AE382" s="587"/>
      <c r="AF382" s="587"/>
      <c r="AG382" s="587"/>
      <c r="AH382" s="587"/>
      <c r="AI382" s="587"/>
      <c r="AJ382" s="587"/>
      <c r="AK382" s="587"/>
      <c r="AL382" s="587"/>
      <c r="AM382" s="587"/>
      <c r="AO382" s="587"/>
      <c r="AP382" s="587"/>
      <c r="AQ382" s="587"/>
      <c r="AR382" s="587"/>
      <c r="AS382" s="587"/>
      <c r="AT382" s="587"/>
      <c r="AU382" s="587"/>
      <c r="AV382" s="587"/>
      <c r="AW382" s="587"/>
    </row>
    <row r="383" spans="1:49">
      <c r="A383" s="581">
        <v>21002</v>
      </c>
      <c r="B383" s="594">
        <v>1.3100000000000001E-2</v>
      </c>
      <c r="C383" s="577">
        <v>3.5000000000000005E-3</v>
      </c>
      <c r="D383" s="577">
        <v>3.3E-3</v>
      </c>
      <c r="E383" s="577">
        <v>3.3250000000000003E-3</v>
      </c>
      <c r="F383" s="577">
        <v>3.4166666666666664E-3</v>
      </c>
      <c r="G383" s="577">
        <v>3.3708333333333329E-3</v>
      </c>
      <c r="H383" s="577">
        <v>3.5000000000000005E-3</v>
      </c>
      <c r="I383" s="577">
        <f t="shared" si="57"/>
        <v>9.7999999999999997E-3</v>
      </c>
      <c r="J383" s="577">
        <f t="shared" si="61"/>
        <v>9.7291666666666672E-3</v>
      </c>
      <c r="K383" s="577">
        <f t="shared" si="62"/>
        <v>0</v>
      </c>
      <c r="L383" s="585">
        <f t="shared" si="58"/>
        <v>7.4221468701201054E-3</v>
      </c>
      <c r="M383" s="585">
        <f t="shared" si="59"/>
        <v>3.9599999999999996E-2</v>
      </c>
      <c r="N383" s="585">
        <f t="shared" si="63"/>
        <v>4.0449999999999993E-2</v>
      </c>
      <c r="O383" s="586">
        <f t="shared" si="60"/>
        <v>-3.2177853129879891E-2</v>
      </c>
      <c r="P383" s="585">
        <f t="shared" si="64"/>
        <v>-3.3027853129879887E-2</v>
      </c>
      <c r="Q383" s="585">
        <f t="shared" si="65"/>
        <v>1.2423250526966578E-2</v>
      </c>
      <c r="R383" s="585">
        <f t="shared" si="66"/>
        <v>4.200000000000001E-2</v>
      </c>
      <c r="S383" s="586">
        <f t="shared" si="67"/>
        <v>-2.9576749473033431E-2</v>
      </c>
      <c r="U383" s="587"/>
      <c r="V383" s="587"/>
      <c r="W383" s="587"/>
      <c r="X383" s="587"/>
      <c r="Y383" s="587"/>
      <c r="Z383" s="587"/>
      <c r="AA383" s="587"/>
      <c r="AB383" s="587"/>
      <c r="AC383" s="587"/>
      <c r="AE383" s="587"/>
      <c r="AF383" s="587"/>
      <c r="AG383" s="587"/>
      <c r="AH383" s="587"/>
      <c r="AI383" s="587"/>
      <c r="AJ383" s="587"/>
      <c r="AK383" s="587"/>
      <c r="AL383" s="587"/>
      <c r="AM383" s="587"/>
      <c r="AO383" s="587"/>
      <c r="AP383" s="587"/>
      <c r="AQ383" s="587"/>
      <c r="AR383" s="587"/>
      <c r="AS383" s="587"/>
      <c r="AT383" s="587"/>
      <c r="AU383" s="587"/>
      <c r="AV383" s="587"/>
      <c r="AW383" s="587"/>
    </row>
    <row r="384" spans="1:49">
      <c r="A384" s="581">
        <v>21033</v>
      </c>
      <c r="B384" s="594">
        <v>-5.0500000000000003E-2</v>
      </c>
      <c r="C384" s="577">
        <v>-2.9400000000000003E-2</v>
      </c>
      <c r="D384" s="577">
        <v>3.0000000000000001E-3</v>
      </c>
      <c r="E384" s="577">
        <v>3.4166666666666664E-3</v>
      </c>
      <c r="F384" s="577">
        <v>3.5083333333333334E-3</v>
      </c>
      <c r="G384" s="577">
        <v>3.4624999999999994E-3</v>
      </c>
      <c r="H384" s="577">
        <v>3.6416666666666667E-3</v>
      </c>
      <c r="I384" s="577">
        <f t="shared" si="57"/>
        <v>-5.3500000000000006E-2</v>
      </c>
      <c r="J384" s="577">
        <f t="shared" si="61"/>
        <v>-5.3962500000000004E-2</v>
      </c>
      <c r="K384" s="577">
        <f t="shared" si="62"/>
        <v>-3.3041666666666671E-2</v>
      </c>
      <c r="L384" s="585">
        <f t="shared" si="58"/>
        <v>-1.1013928398284745E-2</v>
      </c>
      <c r="M384" s="585">
        <f t="shared" si="59"/>
        <v>3.6000000000000004E-2</v>
      </c>
      <c r="N384" s="585">
        <f t="shared" si="63"/>
        <v>4.154999999999999E-2</v>
      </c>
      <c r="O384" s="586">
        <f t="shared" si="60"/>
        <v>-4.7013928398284749E-2</v>
      </c>
      <c r="P384" s="585">
        <f t="shared" si="64"/>
        <v>-5.2563928398284734E-2</v>
      </c>
      <c r="Q384" s="585">
        <f t="shared" si="65"/>
        <v>8.7855527784355125E-3</v>
      </c>
      <c r="R384" s="585">
        <f t="shared" si="66"/>
        <v>4.3700000000000003E-2</v>
      </c>
      <c r="S384" s="586">
        <f t="shared" si="67"/>
        <v>-3.491444722156449E-2</v>
      </c>
      <c r="U384" s="587"/>
      <c r="V384" s="587"/>
      <c r="W384" s="587"/>
      <c r="X384" s="587"/>
      <c r="Y384" s="587"/>
      <c r="Z384" s="587"/>
      <c r="AA384" s="587"/>
      <c r="AB384" s="587"/>
      <c r="AC384" s="587"/>
      <c r="AE384" s="587"/>
      <c r="AF384" s="587"/>
      <c r="AG384" s="587"/>
      <c r="AH384" s="587"/>
      <c r="AI384" s="587"/>
      <c r="AJ384" s="587"/>
      <c r="AK384" s="587"/>
      <c r="AL384" s="587"/>
      <c r="AM384" s="587"/>
      <c r="AO384" s="587"/>
      <c r="AP384" s="587"/>
      <c r="AQ384" s="587"/>
      <c r="AR384" s="587"/>
      <c r="AS384" s="587"/>
      <c r="AT384" s="587"/>
      <c r="AU384" s="587"/>
      <c r="AV384" s="587"/>
      <c r="AW384" s="587"/>
    </row>
    <row r="385" spans="1:49">
      <c r="A385" s="581">
        <v>21064</v>
      </c>
      <c r="B385" s="594">
        <v>-6.0199999999999997E-2</v>
      </c>
      <c r="C385" s="577">
        <v>-1.3800000000000002E-2</v>
      </c>
      <c r="D385" s="577">
        <v>3.0999999999999999E-3</v>
      </c>
      <c r="E385" s="577">
        <v>3.4333333333333334E-3</v>
      </c>
      <c r="F385" s="577">
        <v>3.5499999999999998E-3</v>
      </c>
      <c r="G385" s="577">
        <v>3.4916666666666664E-3</v>
      </c>
      <c r="H385" s="577">
        <v>3.7916666666666667E-3</v>
      </c>
      <c r="I385" s="577">
        <f t="shared" si="57"/>
        <v>-6.3299999999999995E-2</v>
      </c>
      <c r="J385" s="577">
        <f t="shared" si="61"/>
        <v>-6.369166666666666E-2</v>
      </c>
      <c r="K385" s="577">
        <f t="shared" si="62"/>
        <v>-1.7591666666666669E-2</v>
      </c>
      <c r="L385" s="585">
        <f t="shared" si="58"/>
        <v>-2.777289739404587E-2</v>
      </c>
      <c r="M385" s="585">
        <f t="shared" si="59"/>
        <v>3.7199999999999997E-2</v>
      </c>
      <c r="N385" s="585">
        <f t="shared" si="63"/>
        <v>4.1899999999999993E-2</v>
      </c>
      <c r="O385" s="586">
        <f t="shared" si="60"/>
        <v>-6.4972897394045867E-2</v>
      </c>
      <c r="P385" s="585">
        <f t="shared" si="64"/>
        <v>-6.9672897394045863E-2</v>
      </c>
      <c r="Q385" s="585">
        <f t="shared" si="65"/>
        <v>2.7646226784519001E-2</v>
      </c>
      <c r="R385" s="585">
        <f t="shared" si="66"/>
        <v>4.5499999999999999E-2</v>
      </c>
      <c r="S385" s="586">
        <f t="shared" si="67"/>
        <v>-1.7853773215480997E-2</v>
      </c>
      <c r="U385" s="587"/>
      <c r="V385" s="587"/>
      <c r="W385" s="587"/>
      <c r="X385" s="587"/>
      <c r="Y385" s="587"/>
      <c r="Z385" s="587"/>
      <c r="AA385" s="587"/>
      <c r="AB385" s="587"/>
      <c r="AC385" s="587"/>
      <c r="AE385" s="587"/>
      <c r="AF385" s="587"/>
      <c r="AG385" s="587"/>
      <c r="AH385" s="587"/>
      <c r="AI385" s="587"/>
      <c r="AJ385" s="587"/>
      <c r="AK385" s="587"/>
      <c r="AL385" s="587"/>
      <c r="AM385" s="587"/>
      <c r="AO385" s="587"/>
      <c r="AP385" s="587"/>
      <c r="AQ385" s="587"/>
      <c r="AR385" s="587"/>
      <c r="AS385" s="587"/>
      <c r="AT385" s="587"/>
      <c r="AU385" s="587"/>
      <c r="AV385" s="587"/>
      <c r="AW385" s="587"/>
    </row>
    <row r="386" spans="1:49">
      <c r="A386" s="581">
        <v>21094</v>
      </c>
      <c r="B386" s="594">
        <v>-3.0200000000000001E-2</v>
      </c>
      <c r="C386" s="577">
        <v>-7.4000000000000003E-3</v>
      </c>
      <c r="D386" s="577">
        <v>3.0999999999999999E-3</v>
      </c>
      <c r="E386" s="577">
        <v>3.4166666666666664E-3</v>
      </c>
      <c r="F386" s="577">
        <v>3.5666666666666668E-3</v>
      </c>
      <c r="G386" s="577">
        <v>3.4916666666666664E-3</v>
      </c>
      <c r="H386" s="577">
        <v>3.8416666666666673E-3</v>
      </c>
      <c r="I386" s="577">
        <f t="shared" si="57"/>
        <v>-3.3300000000000003E-2</v>
      </c>
      <c r="J386" s="577">
        <f t="shared" si="61"/>
        <v>-3.3691666666666668E-2</v>
      </c>
      <c r="K386" s="577">
        <f t="shared" si="62"/>
        <v>-1.1241666666666667E-2</v>
      </c>
      <c r="L386" s="585">
        <f t="shared" si="58"/>
        <v>-6.331626852051031E-2</v>
      </c>
      <c r="M386" s="585">
        <f t="shared" si="59"/>
        <v>3.7199999999999997E-2</v>
      </c>
      <c r="N386" s="585">
        <f t="shared" si="63"/>
        <v>4.1899999999999993E-2</v>
      </c>
      <c r="O386" s="586">
        <f t="shared" si="60"/>
        <v>-0.10051626852051031</v>
      </c>
      <c r="P386" s="585">
        <f t="shared" si="64"/>
        <v>-0.1052162685205103</v>
      </c>
      <c r="Q386" s="585">
        <f t="shared" si="65"/>
        <v>1.3655614335996935E-2</v>
      </c>
      <c r="R386" s="585">
        <f t="shared" si="66"/>
        <v>4.6100000000000009E-2</v>
      </c>
      <c r="S386" s="586">
        <f t="shared" si="67"/>
        <v>-3.2444385664003074E-2</v>
      </c>
      <c r="U386" s="587"/>
      <c r="V386" s="587"/>
      <c r="W386" s="587"/>
      <c r="X386" s="587"/>
      <c r="Y386" s="587"/>
      <c r="Z386" s="587"/>
      <c r="AA386" s="587"/>
      <c r="AB386" s="587"/>
      <c r="AC386" s="587"/>
      <c r="AE386" s="587"/>
      <c r="AF386" s="587"/>
      <c r="AG386" s="587"/>
      <c r="AH386" s="587"/>
      <c r="AI386" s="587"/>
      <c r="AJ386" s="587"/>
      <c r="AK386" s="587"/>
      <c r="AL386" s="587"/>
      <c r="AM386" s="587"/>
      <c r="AO386" s="587"/>
      <c r="AP386" s="587"/>
      <c r="AQ386" s="587"/>
      <c r="AR386" s="587"/>
      <c r="AS386" s="587"/>
      <c r="AT386" s="587"/>
      <c r="AU386" s="587"/>
      <c r="AV386" s="587"/>
      <c r="AW386" s="587"/>
    </row>
    <row r="387" spans="1:49">
      <c r="A387" s="581">
        <v>21125</v>
      </c>
      <c r="B387" s="594">
        <v>2.3099999999999999E-2</v>
      </c>
      <c r="C387" s="577">
        <v>4.2799999999999991E-2</v>
      </c>
      <c r="D387" s="577">
        <v>2.8999999999999998E-3</v>
      </c>
      <c r="E387" s="577">
        <v>3.4000000000000002E-3</v>
      </c>
      <c r="F387" s="577">
        <v>3.5750000000000001E-3</v>
      </c>
      <c r="G387" s="577">
        <v>3.4875000000000001E-3</v>
      </c>
      <c r="H387" s="577">
        <v>3.8500000000000001E-3</v>
      </c>
      <c r="I387" s="577">
        <f t="shared" si="57"/>
        <v>2.0199999999999999E-2</v>
      </c>
      <c r="J387" s="577">
        <f t="shared" si="61"/>
        <v>1.9612499999999998E-2</v>
      </c>
      <c r="K387" s="577">
        <f t="shared" si="62"/>
        <v>3.8949999999999992E-2</v>
      </c>
      <c r="L387" s="585">
        <f t="shared" si="58"/>
        <v>-3.6863190274707747E-2</v>
      </c>
      <c r="M387" s="585">
        <f t="shared" si="59"/>
        <v>3.4799999999999998E-2</v>
      </c>
      <c r="N387" s="585">
        <f t="shared" si="63"/>
        <v>4.1849999999999998E-2</v>
      </c>
      <c r="O387" s="586">
        <f t="shared" si="60"/>
        <v>-7.1663190274707744E-2</v>
      </c>
      <c r="P387" s="585">
        <f t="shared" si="64"/>
        <v>-7.8713190274707745E-2</v>
      </c>
      <c r="Q387" s="585">
        <f t="shared" si="65"/>
        <v>5.4088626475446544E-2</v>
      </c>
      <c r="R387" s="585">
        <f t="shared" si="66"/>
        <v>4.6200000000000005E-2</v>
      </c>
      <c r="S387" s="586">
        <f t="shared" si="67"/>
        <v>7.8886264754465391E-3</v>
      </c>
      <c r="U387" s="587"/>
      <c r="V387" s="587"/>
      <c r="W387" s="587"/>
      <c r="X387" s="587"/>
      <c r="Y387" s="587"/>
      <c r="Z387" s="587"/>
      <c r="AA387" s="587"/>
      <c r="AB387" s="587"/>
      <c r="AC387" s="587"/>
      <c r="AE387" s="587"/>
      <c r="AF387" s="587"/>
      <c r="AG387" s="587"/>
      <c r="AH387" s="587"/>
      <c r="AI387" s="587"/>
      <c r="AJ387" s="587"/>
      <c r="AK387" s="587"/>
      <c r="AL387" s="587"/>
      <c r="AM387" s="587"/>
      <c r="AO387" s="587"/>
      <c r="AP387" s="587"/>
      <c r="AQ387" s="587"/>
      <c r="AR387" s="587"/>
      <c r="AS387" s="587"/>
      <c r="AT387" s="587"/>
      <c r="AU387" s="587"/>
      <c r="AV387" s="587"/>
      <c r="AW387" s="587"/>
    </row>
    <row r="388" spans="1:49">
      <c r="A388" s="581">
        <v>21155</v>
      </c>
      <c r="B388" s="594">
        <v>-3.95E-2</v>
      </c>
      <c r="C388" s="577">
        <v>1.95E-2</v>
      </c>
      <c r="D388" s="577">
        <v>2.8999999999999998E-3</v>
      </c>
      <c r="E388" s="577">
        <v>3.1749999999999999E-3</v>
      </c>
      <c r="F388" s="577">
        <v>3.4000000000000002E-3</v>
      </c>
      <c r="G388" s="577">
        <v>3.2875000000000001E-3</v>
      </c>
      <c r="H388" s="577">
        <v>3.6333333333333335E-3</v>
      </c>
      <c r="I388" s="577">
        <f t="shared" si="57"/>
        <v>-4.24E-2</v>
      </c>
      <c r="J388" s="577">
        <f t="shared" si="61"/>
        <v>-4.2787499999999999E-2</v>
      </c>
      <c r="K388" s="577">
        <f t="shared" si="62"/>
        <v>1.5866666666666668E-2</v>
      </c>
      <c r="L388" s="585">
        <f t="shared" si="58"/>
        <v>-0.10791426640198343</v>
      </c>
      <c r="M388" s="585">
        <f t="shared" si="59"/>
        <v>3.4799999999999998E-2</v>
      </c>
      <c r="N388" s="585">
        <f t="shared" si="63"/>
        <v>3.9449999999999999E-2</v>
      </c>
      <c r="O388" s="586">
        <f t="shared" si="60"/>
        <v>-0.14271426640198343</v>
      </c>
      <c r="P388" s="585">
        <f t="shared" si="64"/>
        <v>-0.14736426640198341</v>
      </c>
      <c r="Q388" s="585">
        <f t="shared" si="65"/>
        <v>6.3582100842951128E-2</v>
      </c>
      <c r="R388" s="585">
        <f t="shared" si="66"/>
        <v>4.36E-2</v>
      </c>
      <c r="S388" s="586">
        <f t="shared" si="67"/>
        <v>1.9982100842951128E-2</v>
      </c>
      <c r="U388" s="587"/>
      <c r="V388" s="587"/>
      <c r="W388" s="587"/>
      <c r="X388" s="587"/>
      <c r="Y388" s="587"/>
      <c r="Z388" s="587"/>
      <c r="AA388" s="587"/>
      <c r="AB388" s="587"/>
      <c r="AC388" s="587"/>
      <c r="AE388" s="587"/>
      <c r="AF388" s="587"/>
      <c r="AG388" s="587"/>
      <c r="AH388" s="587"/>
      <c r="AI388" s="587"/>
      <c r="AJ388" s="587"/>
      <c r="AK388" s="587"/>
      <c r="AL388" s="587"/>
      <c r="AM388" s="587"/>
      <c r="AO388" s="587"/>
      <c r="AP388" s="587"/>
      <c r="AQ388" s="587"/>
      <c r="AR388" s="587"/>
      <c r="AS388" s="587"/>
      <c r="AT388" s="587"/>
      <c r="AU388" s="587"/>
      <c r="AV388" s="587"/>
      <c r="AW388" s="587"/>
    </row>
    <row r="389" spans="1:49">
      <c r="A389" s="581">
        <v>21186</v>
      </c>
      <c r="B389" s="594">
        <v>4.4499999999999998E-2</v>
      </c>
      <c r="C389" s="577">
        <v>6.0200000000000004E-2</v>
      </c>
      <c r="D389" s="577">
        <v>2.7000000000000001E-3</v>
      </c>
      <c r="E389" s="577">
        <v>3.0000000000000001E-3</v>
      </c>
      <c r="F389" s="577">
        <v>3.1749999999999999E-3</v>
      </c>
      <c r="G389" s="577">
        <v>3.0874999999999995E-3</v>
      </c>
      <c r="H389" s="577">
        <v>3.2750000000000001E-3</v>
      </c>
      <c r="I389" s="577">
        <f t="shared" si="57"/>
        <v>4.1799999999999997E-2</v>
      </c>
      <c r="J389" s="577">
        <f t="shared" si="61"/>
        <v>4.1412499999999998E-2</v>
      </c>
      <c r="K389" s="577">
        <f t="shared" si="62"/>
        <v>5.6925000000000003E-2</v>
      </c>
      <c r="L389" s="585">
        <f t="shared" si="58"/>
        <v>-2.9291021207283552E-2</v>
      </c>
      <c r="M389" s="585">
        <f t="shared" si="59"/>
        <v>3.2399999999999998E-2</v>
      </c>
      <c r="N389" s="585">
        <f t="shared" si="63"/>
        <v>3.7049999999999993E-2</v>
      </c>
      <c r="O389" s="586">
        <f t="shared" si="60"/>
        <v>-6.169102120728355E-2</v>
      </c>
      <c r="P389" s="585">
        <f t="shared" si="64"/>
        <v>-6.6341021207283551E-2</v>
      </c>
      <c r="Q389" s="585">
        <f t="shared" si="65"/>
        <v>9.222175834337154E-2</v>
      </c>
      <c r="R389" s="585">
        <f t="shared" si="66"/>
        <v>3.9300000000000002E-2</v>
      </c>
      <c r="S389" s="586">
        <f t="shared" si="67"/>
        <v>5.2921758343371539E-2</v>
      </c>
      <c r="U389" s="587"/>
      <c r="V389" s="587"/>
      <c r="W389" s="587"/>
      <c r="X389" s="587"/>
      <c r="Y389" s="587"/>
      <c r="Z389" s="587"/>
      <c r="AA389" s="587"/>
      <c r="AB389" s="587"/>
      <c r="AC389" s="587"/>
      <c r="AE389" s="587"/>
      <c r="AF389" s="587"/>
      <c r="AG389" s="587"/>
      <c r="AH389" s="587"/>
      <c r="AI389" s="587"/>
      <c r="AJ389" s="587"/>
      <c r="AK389" s="587"/>
      <c r="AL389" s="587"/>
      <c r="AM389" s="587"/>
      <c r="AO389" s="587"/>
      <c r="AP389" s="587"/>
      <c r="AQ389" s="587"/>
      <c r="AR389" s="587"/>
      <c r="AS389" s="587"/>
      <c r="AT389" s="587"/>
      <c r="AU389" s="587"/>
      <c r="AV389" s="587"/>
      <c r="AW389" s="587"/>
    </row>
    <row r="390" spans="1:49">
      <c r="A390" s="581">
        <v>21217</v>
      </c>
      <c r="B390" s="594">
        <v>-1.41E-2</v>
      </c>
      <c r="C390" s="577">
        <v>1.37E-2</v>
      </c>
      <c r="D390" s="577">
        <v>2.5000000000000001E-3</v>
      </c>
      <c r="E390" s="577">
        <v>2.9916666666666663E-3</v>
      </c>
      <c r="F390" s="577">
        <v>3.1416666666666663E-3</v>
      </c>
      <c r="G390" s="577">
        <v>3.0666666666666663E-3</v>
      </c>
      <c r="H390" s="577">
        <v>3.3E-3</v>
      </c>
      <c r="I390" s="577">
        <f t="shared" ref="I390:I453" si="68">B390-D390</f>
        <v>-1.66E-2</v>
      </c>
      <c r="J390" s="577">
        <f t="shared" si="61"/>
        <v>-1.7166666666666667E-2</v>
      </c>
      <c r="K390" s="577">
        <f t="shared" si="62"/>
        <v>1.04E-2</v>
      </c>
      <c r="L390" s="585">
        <f t="shared" si="58"/>
        <v>-1.7027544996159771E-2</v>
      </c>
      <c r="M390" s="585">
        <f t="shared" si="59"/>
        <v>0.03</v>
      </c>
      <c r="N390" s="585">
        <f t="shared" si="63"/>
        <v>3.6799999999999999E-2</v>
      </c>
      <c r="O390" s="586">
        <f t="shared" si="60"/>
        <v>-4.702754499615977E-2</v>
      </c>
      <c r="P390" s="585">
        <f t="shared" si="64"/>
        <v>-5.3827544996159771E-2</v>
      </c>
      <c r="Q390" s="585">
        <f t="shared" si="65"/>
        <v>0.11398047734447703</v>
      </c>
      <c r="R390" s="585">
        <f t="shared" si="66"/>
        <v>3.9599999999999996E-2</v>
      </c>
      <c r="S390" s="586">
        <f t="shared" si="67"/>
        <v>7.4380477344477031E-2</v>
      </c>
      <c r="U390" s="587"/>
      <c r="V390" s="587"/>
      <c r="W390" s="587"/>
      <c r="X390" s="587"/>
      <c r="Y390" s="587"/>
      <c r="Z390" s="587"/>
      <c r="AA390" s="587"/>
      <c r="AB390" s="587"/>
      <c r="AC390" s="587"/>
      <c r="AE390" s="587"/>
      <c r="AF390" s="587"/>
      <c r="AG390" s="587"/>
      <c r="AH390" s="587"/>
      <c r="AI390" s="587"/>
      <c r="AJ390" s="587"/>
      <c r="AK390" s="587"/>
      <c r="AL390" s="587"/>
      <c r="AM390" s="587"/>
      <c r="AO390" s="587"/>
      <c r="AP390" s="587"/>
      <c r="AQ390" s="587"/>
      <c r="AR390" s="587"/>
      <c r="AS390" s="587"/>
      <c r="AT390" s="587"/>
      <c r="AU390" s="587"/>
      <c r="AV390" s="587"/>
      <c r="AW390" s="587"/>
    </row>
    <row r="391" spans="1:49">
      <c r="A391" s="581">
        <v>21245</v>
      </c>
      <c r="B391" s="594">
        <v>3.2800000000000003E-2</v>
      </c>
      <c r="C391" s="577">
        <v>0.02</v>
      </c>
      <c r="D391" s="577">
        <v>2.7000000000000001E-3</v>
      </c>
      <c r="E391" s="577">
        <v>3.0249999999999999E-3</v>
      </c>
      <c r="F391" s="577">
        <v>3.15E-3</v>
      </c>
      <c r="G391" s="577">
        <v>3.0874999999999995E-3</v>
      </c>
      <c r="H391" s="577">
        <v>3.4416666666666667E-3</v>
      </c>
      <c r="I391" s="577">
        <f t="shared" si="68"/>
        <v>3.0100000000000002E-2</v>
      </c>
      <c r="J391" s="577">
        <f t="shared" si="61"/>
        <v>2.9712500000000003E-2</v>
      </c>
      <c r="K391" s="577">
        <f t="shared" si="62"/>
        <v>1.6558333333333335E-2</v>
      </c>
      <c r="L391" s="585">
        <f t="shared" si="58"/>
        <v>-6.1537429975857538E-3</v>
      </c>
      <c r="M391" s="585">
        <f t="shared" si="59"/>
        <v>3.2399999999999998E-2</v>
      </c>
      <c r="N391" s="585">
        <f t="shared" si="63"/>
        <v>3.7049999999999993E-2</v>
      </c>
      <c r="O391" s="586">
        <f t="shared" si="60"/>
        <v>-3.8553742997585752E-2</v>
      </c>
      <c r="P391" s="585">
        <f t="shared" si="64"/>
        <v>-4.3203742997585746E-2</v>
      </c>
      <c r="Q391" s="585">
        <f t="shared" si="65"/>
        <v>0.12746585323612503</v>
      </c>
      <c r="R391" s="585">
        <f t="shared" si="66"/>
        <v>4.1300000000000003E-2</v>
      </c>
      <c r="S391" s="586">
        <f t="shared" si="67"/>
        <v>8.6165853236125023E-2</v>
      </c>
      <c r="U391" s="587"/>
      <c r="V391" s="587"/>
      <c r="W391" s="587"/>
      <c r="X391" s="587"/>
      <c r="Y391" s="587"/>
      <c r="Z391" s="587"/>
      <c r="AA391" s="587"/>
      <c r="AB391" s="587"/>
      <c r="AC391" s="587"/>
      <c r="AE391" s="587"/>
      <c r="AF391" s="587"/>
      <c r="AG391" s="587"/>
      <c r="AH391" s="587"/>
      <c r="AI391" s="587"/>
      <c r="AJ391" s="587"/>
      <c r="AK391" s="587"/>
      <c r="AL391" s="587"/>
      <c r="AM391" s="587"/>
      <c r="AO391" s="587"/>
      <c r="AP391" s="587"/>
      <c r="AQ391" s="587"/>
      <c r="AR391" s="587"/>
      <c r="AS391" s="587"/>
      <c r="AT391" s="587"/>
      <c r="AU391" s="587"/>
      <c r="AV391" s="587"/>
      <c r="AW391" s="587"/>
    </row>
    <row r="392" spans="1:49">
      <c r="A392" s="581">
        <v>21276</v>
      </c>
      <c r="B392" s="594">
        <v>3.3700000000000001E-2</v>
      </c>
      <c r="C392" s="577">
        <v>5.16E-2</v>
      </c>
      <c r="D392" s="577">
        <v>2.5999999999999999E-3</v>
      </c>
      <c r="E392" s="577">
        <v>3.0000000000000001E-3</v>
      </c>
      <c r="F392" s="577">
        <v>3.15E-3</v>
      </c>
      <c r="G392" s="577">
        <v>3.075E-3</v>
      </c>
      <c r="H392" s="577">
        <v>3.2916666666666667E-3</v>
      </c>
      <c r="I392" s="577">
        <f t="shared" si="68"/>
        <v>3.1100000000000003E-2</v>
      </c>
      <c r="J392" s="577">
        <f t="shared" si="61"/>
        <v>3.0624999999999999E-2</v>
      </c>
      <c r="K392" s="577">
        <f t="shared" si="62"/>
        <v>4.8308333333333335E-2</v>
      </c>
      <c r="L392" s="585">
        <f t="shared" si="58"/>
        <v>-1.1033042103007262E-2</v>
      </c>
      <c r="M392" s="585">
        <f t="shared" si="59"/>
        <v>3.1199999999999999E-2</v>
      </c>
      <c r="N392" s="585">
        <f t="shared" si="63"/>
        <v>3.6900000000000002E-2</v>
      </c>
      <c r="O392" s="586">
        <f t="shared" si="60"/>
        <v>-4.2233042103007261E-2</v>
      </c>
      <c r="P392" s="585">
        <f t="shared" si="64"/>
        <v>-4.7933042103007265E-2</v>
      </c>
      <c r="Q392" s="585">
        <f t="shared" si="65"/>
        <v>0.13982223732273513</v>
      </c>
      <c r="R392" s="585">
        <f t="shared" si="66"/>
        <v>3.95E-2</v>
      </c>
      <c r="S392" s="586">
        <f t="shared" si="67"/>
        <v>0.10032223732273512</v>
      </c>
      <c r="U392" s="587"/>
      <c r="V392" s="587"/>
      <c r="W392" s="587"/>
      <c r="X392" s="587"/>
      <c r="Y392" s="587"/>
      <c r="Z392" s="587"/>
      <c r="AA392" s="587"/>
      <c r="AB392" s="587"/>
      <c r="AC392" s="587"/>
      <c r="AE392" s="587"/>
      <c r="AF392" s="587"/>
      <c r="AG392" s="587"/>
      <c r="AH392" s="587"/>
      <c r="AI392" s="587"/>
      <c r="AJ392" s="587"/>
      <c r="AK392" s="587"/>
      <c r="AL392" s="587"/>
      <c r="AM392" s="587"/>
      <c r="AO392" s="587"/>
      <c r="AP392" s="587"/>
      <c r="AQ392" s="587"/>
      <c r="AR392" s="587"/>
      <c r="AS392" s="587"/>
      <c r="AT392" s="587"/>
      <c r="AU392" s="587"/>
      <c r="AV392" s="587"/>
      <c r="AW392" s="587"/>
    </row>
    <row r="393" spans="1:49">
      <c r="A393" s="581">
        <v>21306</v>
      </c>
      <c r="B393" s="594">
        <v>2.12E-2</v>
      </c>
      <c r="C393" s="577">
        <v>1.6400000000000001E-2</v>
      </c>
      <c r="D393" s="577">
        <v>2.3999999999999998E-3</v>
      </c>
      <c r="E393" s="577">
        <v>2.9749999999999998E-3</v>
      </c>
      <c r="F393" s="577">
        <v>3.15E-3</v>
      </c>
      <c r="G393" s="577">
        <v>3.0625000000000001E-3</v>
      </c>
      <c r="H393" s="577">
        <v>3.3416666666666668E-3</v>
      </c>
      <c r="I393" s="577">
        <f t="shared" si="68"/>
        <v>1.8800000000000001E-2</v>
      </c>
      <c r="J393" s="577">
        <f t="shared" si="61"/>
        <v>1.8137500000000001E-2</v>
      </c>
      <c r="K393" s="577">
        <f t="shared" si="62"/>
        <v>1.3058333333333335E-2</v>
      </c>
      <c r="L393" s="585">
        <f t="shared" si="58"/>
        <v>-3.2353111617889341E-2</v>
      </c>
      <c r="M393" s="585">
        <f t="shared" si="59"/>
        <v>2.8799999999999999E-2</v>
      </c>
      <c r="N393" s="585">
        <f t="shared" si="63"/>
        <v>3.6750000000000005E-2</v>
      </c>
      <c r="O393" s="586">
        <f t="shared" si="60"/>
        <v>-6.115311161788934E-2</v>
      </c>
      <c r="P393" s="585">
        <f t="shared" si="64"/>
        <v>-6.9103111617889346E-2</v>
      </c>
      <c r="Q393" s="585">
        <f t="shared" si="65"/>
        <v>0.13803076818745352</v>
      </c>
      <c r="R393" s="585">
        <f t="shared" si="66"/>
        <v>4.0100000000000004E-2</v>
      </c>
      <c r="S393" s="586">
        <f t="shared" si="67"/>
        <v>9.7930768187453526E-2</v>
      </c>
      <c r="U393" s="587"/>
      <c r="V393" s="587"/>
      <c r="W393" s="587"/>
      <c r="X393" s="587"/>
      <c r="Y393" s="587"/>
      <c r="Z393" s="587"/>
      <c r="AA393" s="587"/>
      <c r="AB393" s="587"/>
      <c r="AC393" s="587"/>
      <c r="AE393" s="587"/>
      <c r="AF393" s="587"/>
      <c r="AG393" s="587"/>
      <c r="AH393" s="587"/>
      <c r="AI393" s="587"/>
      <c r="AJ393" s="587"/>
      <c r="AK393" s="587"/>
      <c r="AL393" s="587"/>
      <c r="AM393" s="587"/>
      <c r="AO393" s="587"/>
      <c r="AP393" s="587"/>
      <c r="AQ393" s="587"/>
      <c r="AR393" s="587"/>
      <c r="AS393" s="587"/>
      <c r="AT393" s="587"/>
      <c r="AU393" s="587"/>
      <c r="AV393" s="587"/>
      <c r="AW393" s="587"/>
    </row>
    <row r="394" spans="1:49">
      <c r="A394" s="581">
        <v>21337</v>
      </c>
      <c r="B394" s="594">
        <v>2.7900000000000001E-2</v>
      </c>
      <c r="C394" s="577">
        <v>1.72E-2</v>
      </c>
      <c r="D394" s="577">
        <v>2.7000000000000001E-3</v>
      </c>
      <c r="E394" s="577">
        <v>2.9749999999999998E-3</v>
      </c>
      <c r="F394" s="577">
        <v>3.15E-3</v>
      </c>
      <c r="G394" s="577">
        <v>3.0625000000000001E-3</v>
      </c>
      <c r="H394" s="577">
        <v>3.3250000000000003E-3</v>
      </c>
      <c r="I394" s="577">
        <f t="shared" si="68"/>
        <v>2.52E-2</v>
      </c>
      <c r="J394" s="577">
        <f t="shared" si="61"/>
        <v>2.4837500000000002E-2</v>
      </c>
      <c r="K394" s="577">
        <f t="shared" si="62"/>
        <v>1.3875E-2</v>
      </c>
      <c r="L394" s="585">
        <f t="shared" si="58"/>
        <v>-5.7534620472096121E-3</v>
      </c>
      <c r="M394" s="585">
        <f t="shared" si="59"/>
        <v>3.2399999999999998E-2</v>
      </c>
      <c r="N394" s="585">
        <f t="shared" si="63"/>
        <v>3.6750000000000005E-2</v>
      </c>
      <c r="O394" s="586">
        <f t="shared" si="60"/>
        <v>-3.815346204720961E-2</v>
      </c>
      <c r="P394" s="585">
        <f t="shared" si="64"/>
        <v>-4.2503462047209617E-2</v>
      </c>
      <c r="Q394" s="585">
        <f t="shared" si="65"/>
        <v>0.20810362909651192</v>
      </c>
      <c r="R394" s="585">
        <f t="shared" si="66"/>
        <v>3.9900000000000005E-2</v>
      </c>
      <c r="S394" s="586">
        <f t="shared" si="67"/>
        <v>0.16820362909651193</v>
      </c>
      <c r="U394" s="587"/>
      <c r="V394" s="587"/>
      <c r="W394" s="587"/>
      <c r="X394" s="587"/>
      <c r="Y394" s="587"/>
      <c r="Z394" s="587"/>
      <c r="AA394" s="587"/>
      <c r="AB394" s="587"/>
      <c r="AC394" s="587"/>
      <c r="AE394" s="587"/>
      <c r="AF394" s="587"/>
      <c r="AG394" s="587"/>
      <c r="AH394" s="587"/>
      <c r="AI394" s="587"/>
      <c r="AJ394" s="587"/>
      <c r="AK394" s="587"/>
      <c r="AL394" s="587"/>
      <c r="AM394" s="587"/>
      <c r="AO394" s="587"/>
      <c r="AP394" s="587"/>
      <c r="AQ394" s="587"/>
      <c r="AR394" s="587"/>
      <c r="AS394" s="587"/>
      <c r="AT394" s="587"/>
      <c r="AU394" s="587"/>
      <c r="AV394" s="587"/>
      <c r="AW394" s="587"/>
    </row>
    <row r="395" spans="1:49">
      <c r="A395" s="581">
        <v>21367</v>
      </c>
      <c r="B395" s="594">
        <v>4.4900000000000002E-2</v>
      </c>
      <c r="C395" s="577">
        <v>1.09E-2</v>
      </c>
      <c r="D395" s="577">
        <v>2.7000000000000001E-3</v>
      </c>
      <c r="E395" s="577">
        <v>3.0583333333333335E-3</v>
      </c>
      <c r="F395" s="577">
        <v>3.1916666666666664E-3</v>
      </c>
      <c r="G395" s="577">
        <v>3.1250000000000002E-3</v>
      </c>
      <c r="H395" s="577">
        <v>3.3666666666666667E-3</v>
      </c>
      <c r="I395" s="577">
        <f t="shared" si="68"/>
        <v>4.2200000000000001E-2</v>
      </c>
      <c r="J395" s="577">
        <f t="shared" si="61"/>
        <v>4.1775E-2</v>
      </c>
      <c r="K395" s="577">
        <f t="shared" si="62"/>
        <v>7.5333333333333329E-3</v>
      </c>
      <c r="L395" s="585">
        <f t="shared" si="58"/>
        <v>2.5454750278225857E-2</v>
      </c>
      <c r="M395" s="585">
        <f t="shared" si="59"/>
        <v>3.2399999999999998E-2</v>
      </c>
      <c r="N395" s="585">
        <f t="shared" si="63"/>
        <v>3.7500000000000006E-2</v>
      </c>
      <c r="O395" s="586">
        <f t="shared" si="60"/>
        <v>-6.945249721774141E-3</v>
      </c>
      <c r="P395" s="585">
        <f t="shared" si="64"/>
        <v>-1.2045249721774148E-2</v>
      </c>
      <c r="Q395" s="585">
        <f t="shared" si="65"/>
        <v>0.21701241520046222</v>
      </c>
      <c r="R395" s="585">
        <f t="shared" si="66"/>
        <v>4.0399999999999998E-2</v>
      </c>
      <c r="S395" s="586">
        <f t="shared" si="67"/>
        <v>0.17661241520046222</v>
      </c>
      <c r="U395" s="587"/>
      <c r="V395" s="587"/>
      <c r="W395" s="587"/>
      <c r="X395" s="587"/>
      <c r="Y395" s="587"/>
      <c r="Z395" s="587"/>
      <c r="AA395" s="587"/>
      <c r="AB395" s="587"/>
      <c r="AC395" s="587"/>
      <c r="AE395" s="587"/>
      <c r="AF395" s="587"/>
      <c r="AG395" s="587"/>
      <c r="AH395" s="587"/>
      <c r="AI395" s="587"/>
      <c r="AJ395" s="587"/>
      <c r="AK395" s="587"/>
      <c r="AL395" s="587"/>
      <c r="AM395" s="587"/>
      <c r="AO395" s="587"/>
      <c r="AP395" s="587"/>
      <c r="AQ395" s="587"/>
      <c r="AR395" s="587"/>
      <c r="AS395" s="587"/>
      <c r="AT395" s="587"/>
      <c r="AU395" s="587"/>
      <c r="AV395" s="587"/>
      <c r="AW395" s="587"/>
    </row>
    <row r="396" spans="1:49">
      <c r="A396" s="581">
        <v>21398</v>
      </c>
      <c r="B396" s="594">
        <v>1.7600000000000001E-2</v>
      </c>
      <c r="C396" s="577">
        <v>-6.7000000000000002E-3</v>
      </c>
      <c r="D396" s="577">
        <v>2.7000000000000001E-3</v>
      </c>
      <c r="E396" s="577">
        <v>3.2083333333333334E-3</v>
      </c>
      <c r="F396" s="577">
        <v>3.3166666666666665E-3</v>
      </c>
      <c r="G396" s="577">
        <v>3.2625000000000002E-3</v>
      </c>
      <c r="H396" s="577">
        <v>3.5750000000000001E-3</v>
      </c>
      <c r="I396" s="577">
        <f t="shared" si="68"/>
        <v>1.49E-2</v>
      </c>
      <c r="J396" s="577">
        <f t="shared" si="61"/>
        <v>1.4337500000000001E-2</v>
      </c>
      <c r="K396" s="577">
        <f t="shared" si="62"/>
        <v>-1.0274999999999999E-2</v>
      </c>
      <c r="L396" s="585">
        <f t="shared" si="58"/>
        <v>9.9002373757896223E-2</v>
      </c>
      <c r="M396" s="585">
        <f t="shared" si="59"/>
        <v>3.2399999999999998E-2</v>
      </c>
      <c r="N396" s="585">
        <f t="shared" si="63"/>
        <v>3.9150000000000004E-2</v>
      </c>
      <c r="O396" s="586">
        <f t="shared" si="60"/>
        <v>6.6602373757896224E-2</v>
      </c>
      <c r="P396" s="585">
        <f t="shared" si="64"/>
        <v>5.9852373757896218E-2</v>
      </c>
      <c r="Q396" s="585">
        <f t="shared" si="65"/>
        <v>0.24547540904452814</v>
      </c>
      <c r="R396" s="585">
        <f t="shared" si="66"/>
        <v>4.2900000000000001E-2</v>
      </c>
      <c r="S396" s="586">
        <f t="shared" si="67"/>
        <v>0.20257540904452814</v>
      </c>
      <c r="U396" s="587"/>
      <c r="V396" s="587"/>
      <c r="W396" s="587"/>
      <c r="X396" s="587"/>
      <c r="Y396" s="587"/>
      <c r="Z396" s="587"/>
      <c r="AA396" s="587"/>
      <c r="AB396" s="587"/>
      <c r="AC396" s="587"/>
      <c r="AE396" s="587"/>
      <c r="AF396" s="587"/>
      <c r="AG396" s="587"/>
      <c r="AH396" s="587"/>
      <c r="AI396" s="587"/>
      <c r="AJ396" s="587"/>
      <c r="AK396" s="587"/>
      <c r="AL396" s="587"/>
      <c r="AM396" s="587"/>
      <c r="AO396" s="587"/>
      <c r="AP396" s="587"/>
      <c r="AQ396" s="587"/>
      <c r="AR396" s="587"/>
      <c r="AS396" s="587"/>
      <c r="AT396" s="587"/>
      <c r="AU396" s="587"/>
      <c r="AV396" s="587"/>
      <c r="AW396" s="587"/>
    </row>
    <row r="397" spans="1:49">
      <c r="A397" s="581">
        <v>21429</v>
      </c>
      <c r="B397" s="594">
        <v>5.0099999999999999E-2</v>
      </c>
      <c r="C397" s="577">
        <v>3.32E-2</v>
      </c>
      <c r="D397" s="577">
        <v>3.2000000000000002E-3</v>
      </c>
      <c r="E397" s="577">
        <v>3.4083333333333331E-3</v>
      </c>
      <c r="F397" s="577">
        <v>3.5000000000000005E-3</v>
      </c>
      <c r="G397" s="577">
        <v>3.454166666666667E-3</v>
      </c>
      <c r="H397" s="577">
        <v>3.7916666666666667E-3</v>
      </c>
      <c r="I397" s="577">
        <f t="shared" si="68"/>
        <v>4.6899999999999997E-2</v>
      </c>
      <c r="J397" s="577">
        <f t="shared" si="61"/>
        <v>4.6645833333333331E-2</v>
      </c>
      <c r="K397" s="577">
        <f t="shared" si="62"/>
        <v>2.9408333333333335E-2</v>
      </c>
      <c r="L397" s="585">
        <f t="shared" si="58"/>
        <v>0.22798722354029266</v>
      </c>
      <c r="M397" s="585">
        <f t="shared" si="59"/>
        <v>3.8400000000000004E-2</v>
      </c>
      <c r="N397" s="585">
        <f t="shared" si="63"/>
        <v>4.1450000000000001E-2</v>
      </c>
      <c r="O397" s="586">
        <f t="shared" si="60"/>
        <v>0.18958722354029267</v>
      </c>
      <c r="P397" s="585">
        <f t="shared" si="64"/>
        <v>0.18653722354029267</v>
      </c>
      <c r="Q397" s="585">
        <f t="shared" si="65"/>
        <v>0.30483187246482069</v>
      </c>
      <c r="R397" s="585">
        <f t="shared" si="66"/>
        <v>4.5499999999999999E-2</v>
      </c>
      <c r="S397" s="586">
        <f t="shared" si="67"/>
        <v>0.2593318724648207</v>
      </c>
      <c r="U397" s="587"/>
      <c r="V397" s="587"/>
      <c r="W397" s="587"/>
      <c r="X397" s="587"/>
      <c r="Y397" s="587"/>
      <c r="Z397" s="587"/>
      <c r="AA397" s="587"/>
      <c r="AB397" s="587"/>
      <c r="AC397" s="587"/>
      <c r="AE397" s="587"/>
      <c r="AF397" s="587"/>
      <c r="AG397" s="587"/>
      <c r="AH397" s="587"/>
      <c r="AI397" s="587"/>
      <c r="AJ397" s="587"/>
      <c r="AK397" s="587"/>
      <c r="AL397" s="587"/>
      <c r="AM397" s="587"/>
      <c r="AO397" s="587"/>
      <c r="AP397" s="587"/>
      <c r="AQ397" s="587"/>
      <c r="AR397" s="587"/>
      <c r="AS397" s="587"/>
      <c r="AT397" s="587"/>
      <c r="AU397" s="587"/>
      <c r="AV397" s="587"/>
      <c r="AW397" s="587"/>
    </row>
    <row r="398" spans="1:49">
      <c r="A398" s="581">
        <v>21459</v>
      </c>
      <c r="B398" s="594">
        <v>2.7E-2</v>
      </c>
      <c r="C398" s="577">
        <v>4.0599999999999997E-2</v>
      </c>
      <c r="D398" s="577">
        <v>3.2000000000000002E-3</v>
      </c>
      <c r="E398" s="577">
        <v>3.4250000000000001E-3</v>
      </c>
      <c r="F398" s="577">
        <v>3.5083333333333334E-3</v>
      </c>
      <c r="G398" s="577">
        <v>3.4666666666666669E-3</v>
      </c>
      <c r="H398" s="577">
        <v>3.7999999999999996E-3</v>
      </c>
      <c r="I398" s="577">
        <f t="shared" si="68"/>
        <v>2.3799999999999998E-2</v>
      </c>
      <c r="J398" s="577">
        <f t="shared" si="61"/>
        <v>2.3533333333333333E-2</v>
      </c>
      <c r="K398" s="577">
        <f t="shared" si="62"/>
        <v>3.6799999999999999E-2</v>
      </c>
      <c r="L398" s="585">
        <f t="shared" si="58"/>
        <v>0.30041542439253544</v>
      </c>
      <c r="M398" s="585">
        <f t="shared" si="59"/>
        <v>3.8400000000000004E-2</v>
      </c>
      <c r="N398" s="585">
        <f t="shared" si="63"/>
        <v>4.1600000000000005E-2</v>
      </c>
      <c r="O398" s="586">
        <f t="shared" si="60"/>
        <v>0.26201542439253545</v>
      </c>
      <c r="P398" s="585">
        <f t="shared" si="64"/>
        <v>0.25881542439253541</v>
      </c>
      <c r="Q398" s="585">
        <f t="shared" si="65"/>
        <v>0.367930733917885</v>
      </c>
      <c r="R398" s="585">
        <f t="shared" si="66"/>
        <v>4.5599999999999995E-2</v>
      </c>
      <c r="S398" s="586">
        <f t="shared" si="67"/>
        <v>0.32233073391788503</v>
      </c>
      <c r="U398" s="587"/>
      <c r="V398" s="587"/>
      <c r="W398" s="587"/>
      <c r="X398" s="587"/>
      <c r="Y398" s="587"/>
      <c r="Z398" s="587"/>
      <c r="AA398" s="587"/>
      <c r="AB398" s="587"/>
      <c r="AC398" s="587"/>
      <c r="AE398" s="587"/>
      <c r="AF398" s="587"/>
      <c r="AG398" s="587"/>
      <c r="AH398" s="587"/>
      <c r="AI398" s="587"/>
      <c r="AJ398" s="587"/>
      <c r="AK398" s="587"/>
      <c r="AL398" s="587"/>
      <c r="AM398" s="587"/>
      <c r="AO398" s="587"/>
      <c r="AP398" s="587"/>
      <c r="AQ398" s="587"/>
      <c r="AR398" s="587"/>
      <c r="AS398" s="587"/>
      <c r="AT398" s="587"/>
      <c r="AU398" s="587"/>
      <c r="AV398" s="587"/>
      <c r="AW398" s="587"/>
    </row>
    <row r="399" spans="1:49">
      <c r="A399" s="581">
        <v>21490</v>
      </c>
      <c r="B399" s="594">
        <v>2.8400000000000002E-2</v>
      </c>
      <c r="C399" s="577">
        <v>2.63E-2</v>
      </c>
      <c r="D399" s="577">
        <v>2.7999999999999995E-3</v>
      </c>
      <c r="E399" s="577">
        <v>3.4083333333333331E-3</v>
      </c>
      <c r="F399" s="577">
        <v>3.5083333333333334E-3</v>
      </c>
      <c r="G399" s="577">
        <v>3.4583333333333332E-3</v>
      </c>
      <c r="H399" s="577">
        <v>3.725E-3</v>
      </c>
      <c r="I399" s="577">
        <f t="shared" si="68"/>
        <v>2.5600000000000001E-2</v>
      </c>
      <c r="J399" s="577">
        <f t="shared" si="61"/>
        <v>2.4941666666666668E-2</v>
      </c>
      <c r="K399" s="577">
        <f t="shared" si="62"/>
        <v>2.2575000000000001E-2</v>
      </c>
      <c r="L399" s="585">
        <f t="shared" si="58"/>
        <v>0.30715201099138234</v>
      </c>
      <c r="M399" s="585">
        <f t="shared" si="59"/>
        <v>3.3599999999999991E-2</v>
      </c>
      <c r="N399" s="585">
        <f t="shared" si="63"/>
        <v>4.1499999999999995E-2</v>
      </c>
      <c r="O399" s="586">
        <f t="shared" si="60"/>
        <v>0.27355201099138238</v>
      </c>
      <c r="P399" s="585">
        <f t="shared" si="64"/>
        <v>0.26565201099138236</v>
      </c>
      <c r="Q399" s="585">
        <f t="shared" si="65"/>
        <v>0.34628626027994391</v>
      </c>
      <c r="R399" s="585">
        <f t="shared" si="66"/>
        <v>4.4700000000000004E-2</v>
      </c>
      <c r="S399" s="586">
        <f t="shared" si="67"/>
        <v>0.3015862602799439</v>
      </c>
      <c r="U399" s="587"/>
      <c r="V399" s="587"/>
      <c r="W399" s="587"/>
      <c r="X399" s="587"/>
      <c r="Y399" s="587"/>
      <c r="Z399" s="587"/>
      <c r="AA399" s="587"/>
      <c r="AB399" s="587"/>
      <c r="AC399" s="587"/>
      <c r="AE399" s="587"/>
      <c r="AF399" s="587"/>
      <c r="AG399" s="587"/>
      <c r="AH399" s="587"/>
      <c r="AI399" s="587"/>
      <c r="AJ399" s="587"/>
      <c r="AK399" s="587"/>
      <c r="AL399" s="587"/>
      <c r="AM399" s="587"/>
      <c r="AO399" s="587"/>
      <c r="AP399" s="587"/>
      <c r="AQ399" s="587"/>
      <c r="AR399" s="587"/>
      <c r="AS399" s="587"/>
      <c r="AT399" s="587"/>
      <c r="AU399" s="587"/>
      <c r="AV399" s="587"/>
      <c r="AW399" s="587"/>
    </row>
    <row r="400" spans="1:49">
      <c r="A400" s="581">
        <v>21520</v>
      </c>
      <c r="B400" s="594">
        <v>5.3499999999999999E-2</v>
      </c>
      <c r="C400" s="577">
        <v>6.5500000000000003E-2</v>
      </c>
      <c r="D400" s="577">
        <v>3.3E-3</v>
      </c>
      <c r="E400" s="577">
        <v>3.4000000000000002E-3</v>
      </c>
      <c r="F400" s="577">
        <v>3.4833333333333331E-3</v>
      </c>
      <c r="G400" s="577">
        <v>3.4416666666666667E-3</v>
      </c>
      <c r="H400" s="577">
        <v>3.741666666666667E-3</v>
      </c>
      <c r="I400" s="577">
        <f t="shared" si="68"/>
        <v>5.0200000000000002E-2</v>
      </c>
      <c r="J400" s="577">
        <f t="shared" si="61"/>
        <v>5.005833333333333E-2</v>
      </c>
      <c r="K400" s="577">
        <f t="shared" si="62"/>
        <v>6.1758333333333339E-2</v>
      </c>
      <c r="L400" s="585">
        <f t="shared" ref="L400:L463" si="69">((1+B389)*(1+B390)*(1+B391)*(1+B392)*(1+B393)*(1+B394)*(1+B395)*(1+B396)*(1+B397)*(1+B398)*(1+B399)*(1+B400))-1</f>
        <v>0.43371644308112556</v>
      </c>
      <c r="M400" s="585">
        <f t="shared" ref="M400:M463" si="70">D400*12</f>
        <v>3.9599999999999996E-2</v>
      </c>
      <c r="N400" s="585">
        <f t="shared" si="63"/>
        <v>4.1300000000000003E-2</v>
      </c>
      <c r="O400" s="586">
        <f t="shared" ref="O400:O463" si="71">L400-M400</f>
        <v>0.39411644308112559</v>
      </c>
      <c r="P400" s="585">
        <f t="shared" si="64"/>
        <v>0.39241644308112555</v>
      </c>
      <c r="Q400" s="585">
        <f t="shared" si="65"/>
        <v>0.40703090762950511</v>
      </c>
      <c r="R400" s="585">
        <f t="shared" si="66"/>
        <v>4.4900000000000002E-2</v>
      </c>
      <c r="S400" s="586">
        <f t="shared" si="67"/>
        <v>0.36213090762950512</v>
      </c>
      <c r="U400" s="587"/>
      <c r="V400" s="587"/>
      <c r="W400" s="587"/>
      <c r="X400" s="587"/>
      <c r="Y400" s="587"/>
      <c r="Z400" s="587"/>
      <c r="AA400" s="587"/>
      <c r="AB400" s="587"/>
      <c r="AC400" s="587"/>
      <c r="AE400" s="587"/>
      <c r="AF400" s="587"/>
      <c r="AG400" s="587"/>
      <c r="AH400" s="587"/>
      <c r="AI400" s="587"/>
      <c r="AJ400" s="587"/>
      <c r="AK400" s="587"/>
      <c r="AL400" s="587"/>
      <c r="AM400" s="587"/>
      <c r="AO400" s="587"/>
      <c r="AP400" s="587"/>
      <c r="AQ400" s="587"/>
      <c r="AR400" s="587"/>
      <c r="AS400" s="587"/>
      <c r="AT400" s="587"/>
      <c r="AU400" s="587"/>
      <c r="AV400" s="587"/>
      <c r="AW400" s="587"/>
    </row>
    <row r="401" spans="1:49">
      <c r="A401" s="581">
        <v>21551</v>
      </c>
      <c r="B401" s="594">
        <v>5.3E-3</v>
      </c>
      <c r="C401" s="577">
        <v>1.34E-2</v>
      </c>
      <c r="D401" s="577">
        <v>3.0999999999999999E-3</v>
      </c>
      <c r="E401" s="577">
        <v>3.4333333333333334E-3</v>
      </c>
      <c r="F401" s="577">
        <v>3.5166666666666662E-3</v>
      </c>
      <c r="G401" s="577">
        <v>3.4749999999999998E-3</v>
      </c>
      <c r="H401" s="577">
        <v>3.7666666666666664E-3</v>
      </c>
      <c r="I401" s="577">
        <f t="shared" si="68"/>
        <v>2.2000000000000001E-3</v>
      </c>
      <c r="J401" s="577">
        <f t="shared" si="61"/>
        <v>1.8250000000000002E-3</v>
      </c>
      <c r="K401" s="577">
        <f t="shared" si="62"/>
        <v>9.633333333333334E-3</v>
      </c>
      <c r="L401" s="585">
        <f t="shared" si="69"/>
        <v>0.37990918164620013</v>
      </c>
      <c r="M401" s="585">
        <f t="shared" si="70"/>
        <v>3.7199999999999997E-2</v>
      </c>
      <c r="N401" s="585">
        <f t="shared" si="63"/>
        <v>4.1700000000000001E-2</v>
      </c>
      <c r="O401" s="586">
        <f t="shared" si="71"/>
        <v>0.34270918164620012</v>
      </c>
      <c r="P401" s="585">
        <f t="shared" si="64"/>
        <v>0.33820918164620012</v>
      </c>
      <c r="Q401" s="585">
        <f t="shared" si="65"/>
        <v>0.34492088454229441</v>
      </c>
      <c r="R401" s="585">
        <f t="shared" si="66"/>
        <v>4.5199999999999997E-2</v>
      </c>
      <c r="S401" s="586">
        <f t="shared" si="67"/>
        <v>0.2997208845422944</v>
      </c>
      <c r="U401" s="587"/>
      <c r="V401" s="587"/>
      <c r="W401" s="587"/>
      <c r="X401" s="587"/>
      <c r="Y401" s="587"/>
      <c r="Z401" s="587"/>
      <c r="AA401" s="587"/>
      <c r="AB401" s="587"/>
      <c r="AC401" s="587"/>
      <c r="AE401" s="587"/>
      <c r="AF401" s="587"/>
      <c r="AG401" s="587"/>
      <c r="AH401" s="587"/>
      <c r="AI401" s="587"/>
      <c r="AJ401" s="587"/>
      <c r="AK401" s="587"/>
      <c r="AL401" s="587"/>
      <c r="AM401" s="587"/>
      <c r="AO401" s="587"/>
      <c r="AP401" s="587"/>
      <c r="AQ401" s="587"/>
      <c r="AR401" s="587"/>
      <c r="AS401" s="587"/>
      <c r="AT401" s="587"/>
      <c r="AU401" s="587"/>
      <c r="AV401" s="587"/>
      <c r="AW401" s="587"/>
    </row>
    <row r="402" spans="1:49">
      <c r="A402" s="581">
        <v>21582</v>
      </c>
      <c r="B402" s="594">
        <v>4.8999999999999998E-3</v>
      </c>
      <c r="C402" s="577">
        <v>2.06E-2</v>
      </c>
      <c r="D402" s="577">
        <v>3.0999999999999999E-3</v>
      </c>
      <c r="E402" s="577">
        <v>3.4499999999999999E-3</v>
      </c>
      <c r="F402" s="577">
        <v>3.5333333333333332E-3</v>
      </c>
      <c r="G402" s="577">
        <v>3.4916666666666664E-3</v>
      </c>
      <c r="H402" s="577">
        <v>3.7499999999999999E-3</v>
      </c>
      <c r="I402" s="577">
        <f t="shared" si="68"/>
        <v>1.8E-3</v>
      </c>
      <c r="J402" s="577">
        <f t="shared" si="61"/>
        <v>1.4083333333333335E-3</v>
      </c>
      <c r="K402" s="577">
        <f t="shared" si="62"/>
        <v>1.685E-2</v>
      </c>
      <c r="L402" s="585">
        <f t="shared" si="69"/>
        <v>0.40650242076911036</v>
      </c>
      <c r="M402" s="585">
        <f t="shared" si="70"/>
        <v>3.7199999999999997E-2</v>
      </c>
      <c r="N402" s="585">
        <f t="shared" si="63"/>
        <v>4.1899999999999993E-2</v>
      </c>
      <c r="O402" s="586">
        <f t="shared" si="71"/>
        <v>0.36930242076911035</v>
      </c>
      <c r="P402" s="585">
        <f t="shared" si="64"/>
        <v>0.36460242076911037</v>
      </c>
      <c r="Q402" s="585">
        <f t="shared" si="65"/>
        <v>0.35407542148945992</v>
      </c>
      <c r="R402" s="585">
        <f t="shared" si="66"/>
        <v>4.4999999999999998E-2</v>
      </c>
      <c r="S402" s="586">
        <f t="shared" si="67"/>
        <v>0.30907542148945993</v>
      </c>
      <c r="U402" s="587"/>
      <c r="V402" s="587"/>
      <c r="W402" s="587"/>
      <c r="X402" s="587"/>
      <c r="Y402" s="587"/>
      <c r="Z402" s="587"/>
      <c r="AA402" s="587"/>
      <c r="AB402" s="587"/>
      <c r="AC402" s="587"/>
      <c r="AE402" s="587"/>
      <c r="AF402" s="587"/>
      <c r="AG402" s="587"/>
      <c r="AH402" s="587"/>
      <c r="AI402" s="587"/>
      <c r="AJ402" s="587"/>
      <c r="AK402" s="587"/>
      <c r="AL402" s="587"/>
      <c r="AM402" s="587"/>
      <c r="AO402" s="587"/>
      <c r="AP402" s="587"/>
      <c r="AQ402" s="587"/>
      <c r="AR402" s="587"/>
      <c r="AS402" s="587"/>
      <c r="AT402" s="587"/>
      <c r="AU402" s="587"/>
      <c r="AV402" s="587"/>
      <c r="AW402" s="587"/>
    </row>
    <row r="403" spans="1:49">
      <c r="A403" s="581">
        <v>21610</v>
      </c>
      <c r="B403" s="594">
        <v>2E-3</v>
      </c>
      <c r="C403" s="577">
        <v>1.0200000000000001E-2</v>
      </c>
      <c r="D403" s="577">
        <v>3.5000000000000005E-3</v>
      </c>
      <c r="E403" s="577">
        <v>3.4416666666666667E-3</v>
      </c>
      <c r="F403" s="577">
        <v>3.5250000000000004E-3</v>
      </c>
      <c r="G403" s="577">
        <v>3.4833333333333339E-3</v>
      </c>
      <c r="H403" s="577">
        <v>3.725E-3</v>
      </c>
      <c r="I403" s="577">
        <f t="shared" si="68"/>
        <v>-1.5000000000000005E-3</v>
      </c>
      <c r="J403" s="577">
        <f t="shared" si="61"/>
        <v>-1.4833333333333339E-3</v>
      </c>
      <c r="K403" s="577">
        <f t="shared" si="62"/>
        <v>6.4750000000000007E-3</v>
      </c>
      <c r="L403" s="585">
        <f t="shared" si="69"/>
        <v>0.36455792564935052</v>
      </c>
      <c r="M403" s="585">
        <f t="shared" si="70"/>
        <v>4.200000000000001E-2</v>
      </c>
      <c r="N403" s="585">
        <f t="shared" si="63"/>
        <v>4.1800000000000004E-2</v>
      </c>
      <c r="O403" s="586">
        <f t="shared" si="71"/>
        <v>0.32255792564935049</v>
      </c>
      <c r="P403" s="585">
        <f t="shared" si="64"/>
        <v>0.32275792564935052</v>
      </c>
      <c r="Q403" s="585">
        <f t="shared" si="65"/>
        <v>0.34106567724377701</v>
      </c>
      <c r="R403" s="585">
        <f t="shared" si="66"/>
        <v>4.4700000000000004E-2</v>
      </c>
      <c r="S403" s="586">
        <f t="shared" si="67"/>
        <v>0.29636567724377699</v>
      </c>
      <c r="U403" s="587"/>
      <c r="V403" s="587"/>
      <c r="W403" s="587"/>
      <c r="X403" s="587"/>
      <c r="Y403" s="587"/>
      <c r="Z403" s="587"/>
      <c r="AA403" s="587"/>
      <c r="AB403" s="587"/>
      <c r="AC403" s="587"/>
      <c r="AE403" s="587"/>
      <c r="AF403" s="587"/>
      <c r="AG403" s="587"/>
      <c r="AH403" s="587"/>
      <c r="AI403" s="587"/>
      <c r="AJ403" s="587"/>
      <c r="AK403" s="587"/>
      <c r="AL403" s="587"/>
      <c r="AM403" s="587"/>
      <c r="AO403" s="587"/>
      <c r="AP403" s="587"/>
      <c r="AQ403" s="587"/>
      <c r="AR403" s="587"/>
      <c r="AS403" s="587"/>
      <c r="AT403" s="587"/>
      <c r="AU403" s="587"/>
      <c r="AV403" s="587"/>
      <c r="AW403" s="587"/>
    </row>
    <row r="404" spans="1:49">
      <c r="A404" s="581">
        <v>21641</v>
      </c>
      <c r="B404" s="594">
        <v>4.02E-2</v>
      </c>
      <c r="C404" s="577">
        <v>-2.7999999999999995E-3</v>
      </c>
      <c r="D404" s="577">
        <v>3.3E-3</v>
      </c>
      <c r="E404" s="577">
        <v>3.5250000000000004E-3</v>
      </c>
      <c r="F404" s="577">
        <v>3.6000000000000003E-3</v>
      </c>
      <c r="G404" s="577">
        <v>3.5625000000000006E-3</v>
      </c>
      <c r="H404" s="577">
        <v>3.7999999999999996E-3</v>
      </c>
      <c r="I404" s="577">
        <f t="shared" si="68"/>
        <v>3.6900000000000002E-2</v>
      </c>
      <c r="J404" s="577">
        <f t="shared" si="61"/>
        <v>3.6637499999999996E-2</v>
      </c>
      <c r="K404" s="577">
        <f t="shared" si="62"/>
        <v>-6.5999999999999991E-3</v>
      </c>
      <c r="L404" s="585">
        <f t="shared" si="69"/>
        <v>0.37313839050058473</v>
      </c>
      <c r="M404" s="585">
        <f t="shared" si="70"/>
        <v>3.9599999999999996E-2</v>
      </c>
      <c r="N404" s="585">
        <f t="shared" si="63"/>
        <v>4.275000000000001E-2</v>
      </c>
      <c r="O404" s="586">
        <f t="shared" si="71"/>
        <v>0.33353839050058476</v>
      </c>
      <c r="P404" s="585">
        <f t="shared" si="64"/>
        <v>0.33038839050058472</v>
      </c>
      <c r="Q404" s="585">
        <f t="shared" si="65"/>
        <v>0.27169141626806215</v>
      </c>
      <c r="R404" s="585">
        <f t="shared" si="66"/>
        <v>4.5599999999999995E-2</v>
      </c>
      <c r="S404" s="586">
        <f t="shared" si="67"/>
        <v>0.22609141626806215</v>
      </c>
      <c r="U404" s="587"/>
      <c r="V404" s="587"/>
      <c r="W404" s="587"/>
      <c r="X404" s="587"/>
      <c r="Y404" s="587"/>
      <c r="Z404" s="587"/>
      <c r="AA404" s="587"/>
      <c r="AB404" s="587"/>
      <c r="AC404" s="587"/>
      <c r="AE404" s="587"/>
      <c r="AF404" s="587"/>
      <c r="AG404" s="587"/>
      <c r="AH404" s="587"/>
      <c r="AI404" s="587"/>
      <c r="AJ404" s="587"/>
      <c r="AK404" s="587"/>
      <c r="AL404" s="587"/>
      <c r="AM404" s="587"/>
      <c r="AO404" s="587"/>
      <c r="AP404" s="587"/>
      <c r="AQ404" s="587"/>
      <c r="AR404" s="587"/>
      <c r="AS404" s="587"/>
      <c r="AT404" s="587"/>
      <c r="AU404" s="587"/>
      <c r="AV404" s="587"/>
      <c r="AW404" s="587"/>
    </row>
    <row r="405" spans="1:49">
      <c r="A405" s="581">
        <v>21671</v>
      </c>
      <c r="B405" s="594">
        <v>2.4E-2</v>
      </c>
      <c r="C405" s="577">
        <v>-1.2E-2</v>
      </c>
      <c r="D405" s="577">
        <v>3.3E-3</v>
      </c>
      <c r="E405" s="577">
        <v>3.6416666666666667E-3</v>
      </c>
      <c r="F405" s="577">
        <v>3.7166666666666663E-3</v>
      </c>
      <c r="G405" s="577">
        <v>3.6791666666666665E-3</v>
      </c>
      <c r="H405" s="577">
        <v>3.9749999999999994E-3</v>
      </c>
      <c r="I405" s="577">
        <f t="shared" si="68"/>
        <v>2.07E-2</v>
      </c>
      <c r="J405" s="577">
        <f t="shared" si="61"/>
        <v>2.0320833333333333E-2</v>
      </c>
      <c r="K405" s="577">
        <f t="shared" si="62"/>
        <v>-1.5975E-2</v>
      </c>
      <c r="L405" s="585">
        <f t="shared" si="69"/>
        <v>0.37690336062729934</v>
      </c>
      <c r="M405" s="585">
        <f t="shared" si="70"/>
        <v>3.9599999999999996E-2</v>
      </c>
      <c r="N405" s="585">
        <f t="shared" si="63"/>
        <v>4.4149999999999995E-2</v>
      </c>
      <c r="O405" s="586">
        <f t="shared" si="71"/>
        <v>0.33730336062729938</v>
      </c>
      <c r="P405" s="585">
        <f t="shared" si="64"/>
        <v>0.33275336062729932</v>
      </c>
      <c r="Q405" s="585">
        <f t="shared" si="65"/>
        <v>0.23615812600634101</v>
      </c>
      <c r="R405" s="585">
        <f t="shared" si="66"/>
        <v>4.7699999999999992E-2</v>
      </c>
      <c r="S405" s="586">
        <f t="shared" si="67"/>
        <v>0.18845812600634101</v>
      </c>
      <c r="U405" s="587"/>
      <c r="V405" s="587"/>
      <c r="W405" s="587"/>
      <c r="X405" s="587"/>
      <c r="Y405" s="587"/>
      <c r="Z405" s="587"/>
      <c r="AA405" s="587"/>
      <c r="AB405" s="587"/>
      <c r="AC405" s="587"/>
      <c r="AE405" s="587"/>
      <c r="AF405" s="587"/>
      <c r="AG405" s="587"/>
      <c r="AH405" s="587"/>
      <c r="AI405" s="587"/>
      <c r="AJ405" s="587"/>
      <c r="AK405" s="587"/>
      <c r="AL405" s="587"/>
      <c r="AM405" s="587"/>
      <c r="AO405" s="587"/>
      <c r="AP405" s="587"/>
      <c r="AQ405" s="587"/>
      <c r="AR405" s="587"/>
      <c r="AS405" s="587"/>
      <c r="AT405" s="587"/>
      <c r="AU405" s="587"/>
      <c r="AV405" s="587"/>
      <c r="AW405" s="587"/>
    </row>
    <row r="406" spans="1:49">
      <c r="A406" s="581">
        <v>21702</v>
      </c>
      <c r="B406" s="594">
        <v>-2.2000000000000001E-3</v>
      </c>
      <c r="C406" s="577">
        <v>-8.7999999999999988E-3</v>
      </c>
      <c r="D406" s="577">
        <v>3.5999999999999999E-3</v>
      </c>
      <c r="E406" s="577">
        <v>3.7166666666666663E-3</v>
      </c>
      <c r="F406" s="577">
        <v>3.7999999999999996E-3</v>
      </c>
      <c r="G406" s="577">
        <v>3.7583333333333331E-3</v>
      </c>
      <c r="H406" s="577">
        <v>4.0500000000000006E-3</v>
      </c>
      <c r="I406" s="577">
        <f t="shared" si="68"/>
        <v>-5.7999999999999996E-3</v>
      </c>
      <c r="J406" s="577">
        <f t="shared" si="61"/>
        <v>-5.9583333333333328E-3</v>
      </c>
      <c r="K406" s="577">
        <f t="shared" si="62"/>
        <v>-1.285E-2</v>
      </c>
      <c r="L406" s="585">
        <f t="shared" si="69"/>
        <v>0.33658349375806895</v>
      </c>
      <c r="M406" s="585">
        <f t="shared" si="70"/>
        <v>4.3200000000000002E-2</v>
      </c>
      <c r="N406" s="585">
        <f t="shared" si="63"/>
        <v>4.5100000000000001E-2</v>
      </c>
      <c r="O406" s="586">
        <f t="shared" si="71"/>
        <v>0.29338349375806894</v>
      </c>
      <c r="P406" s="585">
        <f t="shared" si="64"/>
        <v>0.29148349375806892</v>
      </c>
      <c r="Q406" s="585">
        <f t="shared" si="65"/>
        <v>0.20456147709151118</v>
      </c>
      <c r="R406" s="585">
        <f t="shared" si="66"/>
        <v>4.8600000000000004E-2</v>
      </c>
      <c r="S406" s="586">
        <f t="shared" si="67"/>
        <v>0.15596147709151117</v>
      </c>
      <c r="U406" s="587"/>
      <c r="V406" s="587"/>
      <c r="W406" s="587"/>
      <c r="X406" s="587"/>
      <c r="Y406" s="587"/>
      <c r="Z406" s="587"/>
      <c r="AA406" s="587"/>
      <c r="AB406" s="587"/>
      <c r="AC406" s="587"/>
      <c r="AE406" s="587"/>
      <c r="AF406" s="587"/>
      <c r="AG406" s="587"/>
      <c r="AH406" s="587"/>
      <c r="AI406" s="587"/>
      <c r="AJ406" s="587"/>
      <c r="AK406" s="587"/>
      <c r="AL406" s="587"/>
      <c r="AM406" s="587"/>
      <c r="AO406" s="587"/>
      <c r="AP406" s="587"/>
      <c r="AQ406" s="587"/>
      <c r="AR406" s="587"/>
      <c r="AS406" s="587"/>
      <c r="AT406" s="587"/>
      <c r="AU406" s="587"/>
      <c r="AV406" s="587"/>
      <c r="AW406" s="587"/>
    </row>
    <row r="407" spans="1:49">
      <c r="A407" s="581">
        <v>21732</v>
      </c>
      <c r="B407" s="594">
        <v>3.6299999999999999E-2</v>
      </c>
      <c r="C407" s="577">
        <v>3.7100000000000001E-2</v>
      </c>
      <c r="D407" s="577">
        <v>3.5000000000000005E-3</v>
      </c>
      <c r="E407" s="577">
        <v>3.725E-3</v>
      </c>
      <c r="F407" s="577">
        <v>3.8166666666666666E-3</v>
      </c>
      <c r="G407" s="577">
        <v>3.7708333333333331E-3</v>
      </c>
      <c r="H407" s="577">
        <v>4.0666666666666663E-3</v>
      </c>
      <c r="I407" s="577">
        <f t="shared" si="68"/>
        <v>3.2799999999999996E-2</v>
      </c>
      <c r="J407" s="577">
        <f t="shared" si="61"/>
        <v>3.2529166666666665E-2</v>
      </c>
      <c r="K407" s="577">
        <f t="shared" si="62"/>
        <v>3.3033333333333331E-2</v>
      </c>
      <c r="L407" s="585">
        <f t="shared" si="69"/>
        <v>0.32558280656664507</v>
      </c>
      <c r="M407" s="585">
        <f t="shared" si="70"/>
        <v>4.200000000000001E-2</v>
      </c>
      <c r="N407" s="585">
        <f t="shared" si="63"/>
        <v>4.5249999999999999E-2</v>
      </c>
      <c r="O407" s="586">
        <f t="shared" si="71"/>
        <v>0.28358280656664503</v>
      </c>
      <c r="P407" s="585">
        <f t="shared" si="64"/>
        <v>0.28033280656664505</v>
      </c>
      <c r="Q407" s="585">
        <f t="shared" si="65"/>
        <v>0.23578069828035031</v>
      </c>
      <c r="R407" s="585">
        <f t="shared" si="66"/>
        <v>4.8799999999999996E-2</v>
      </c>
      <c r="S407" s="586">
        <f t="shared" si="67"/>
        <v>0.1869806982803503</v>
      </c>
      <c r="U407" s="587"/>
      <c r="V407" s="587"/>
      <c r="W407" s="587"/>
      <c r="X407" s="587"/>
      <c r="Y407" s="587"/>
      <c r="Z407" s="587"/>
      <c r="AA407" s="587"/>
      <c r="AB407" s="587"/>
      <c r="AC407" s="587"/>
      <c r="AE407" s="587"/>
      <c r="AF407" s="587"/>
      <c r="AG407" s="587"/>
      <c r="AH407" s="587"/>
      <c r="AI407" s="587"/>
      <c r="AJ407" s="587"/>
      <c r="AK407" s="587"/>
      <c r="AL407" s="587"/>
      <c r="AM407" s="587"/>
      <c r="AO407" s="587"/>
      <c r="AP407" s="587"/>
      <c r="AQ407" s="587"/>
      <c r="AR407" s="587"/>
      <c r="AS407" s="587"/>
      <c r="AT407" s="587"/>
      <c r="AU407" s="587"/>
      <c r="AV407" s="587"/>
      <c r="AW407" s="587"/>
    </row>
    <row r="408" spans="1:49">
      <c r="A408" s="581">
        <v>21763</v>
      </c>
      <c r="B408" s="594">
        <v>-1.0200000000000001E-2</v>
      </c>
      <c r="C408" s="577">
        <v>1.7500000000000002E-2</v>
      </c>
      <c r="D408" s="577">
        <v>3.5000000000000005E-3</v>
      </c>
      <c r="E408" s="577">
        <v>3.6916666666666664E-3</v>
      </c>
      <c r="F408" s="577">
        <v>3.8166666666666666E-3</v>
      </c>
      <c r="G408" s="577">
        <v>3.7541666666666661E-3</v>
      </c>
      <c r="H408" s="577">
        <v>4.0749999999999996E-3</v>
      </c>
      <c r="I408" s="577">
        <f t="shared" si="68"/>
        <v>-1.37E-2</v>
      </c>
      <c r="J408" s="577">
        <f t="shared" si="61"/>
        <v>-1.3954166666666667E-2</v>
      </c>
      <c r="K408" s="577">
        <f t="shared" si="62"/>
        <v>1.3425000000000003E-2</v>
      </c>
      <c r="L408" s="585">
        <f t="shared" si="69"/>
        <v>0.28936896810108603</v>
      </c>
      <c r="M408" s="585">
        <f t="shared" si="70"/>
        <v>4.200000000000001E-2</v>
      </c>
      <c r="N408" s="585">
        <f t="shared" si="63"/>
        <v>4.5049999999999993E-2</v>
      </c>
      <c r="O408" s="586">
        <f t="shared" si="71"/>
        <v>0.24736896810108602</v>
      </c>
      <c r="P408" s="585">
        <f t="shared" si="64"/>
        <v>0.24431896810108605</v>
      </c>
      <c r="Q408" s="585">
        <f t="shared" si="65"/>
        <v>0.26588831219194242</v>
      </c>
      <c r="R408" s="585">
        <f t="shared" si="66"/>
        <v>4.8899999999999999E-2</v>
      </c>
      <c r="S408" s="586">
        <f t="shared" si="67"/>
        <v>0.21698831219194242</v>
      </c>
      <c r="U408" s="587"/>
      <c r="V408" s="587"/>
      <c r="W408" s="587"/>
      <c r="X408" s="587"/>
      <c r="Y408" s="587"/>
      <c r="Z408" s="587"/>
      <c r="AA408" s="587"/>
      <c r="AB408" s="587"/>
      <c r="AC408" s="587"/>
      <c r="AE408" s="587"/>
      <c r="AF408" s="587"/>
      <c r="AG408" s="587"/>
      <c r="AH408" s="587"/>
      <c r="AI408" s="587"/>
      <c r="AJ408" s="587"/>
      <c r="AK408" s="587"/>
      <c r="AL408" s="587"/>
      <c r="AM408" s="587"/>
      <c r="AO408" s="587"/>
      <c r="AP408" s="587"/>
      <c r="AQ408" s="587"/>
      <c r="AR408" s="587"/>
      <c r="AS408" s="587"/>
      <c r="AT408" s="587"/>
      <c r="AU408" s="587"/>
      <c r="AV408" s="587"/>
      <c r="AW408" s="587"/>
    </row>
    <row r="409" spans="1:49">
      <c r="A409" s="581">
        <v>21794</v>
      </c>
      <c r="B409" s="594">
        <v>-4.4299999999999999E-2</v>
      </c>
      <c r="C409" s="577">
        <v>-3.9300000000000002E-2</v>
      </c>
      <c r="D409" s="577">
        <v>3.3999999999999998E-3</v>
      </c>
      <c r="E409" s="577">
        <v>3.7666666666666664E-3</v>
      </c>
      <c r="F409" s="577">
        <v>3.908333333333334E-3</v>
      </c>
      <c r="G409" s="577">
        <v>3.8375000000000002E-3</v>
      </c>
      <c r="H409" s="577">
        <v>4.1916666666666665E-3</v>
      </c>
      <c r="I409" s="577">
        <f t="shared" si="68"/>
        <v>-4.7699999999999999E-2</v>
      </c>
      <c r="J409" s="577">
        <f t="shared" si="61"/>
        <v>-4.81375E-2</v>
      </c>
      <c r="K409" s="577">
        <f t="shared" si="62"/>
        <v>-4.3491666666666665E-2</v>
      </c>
      <c r="L409" s="585">
        <f t="shared" si="69"/>
        <v>0.17345959700429314</v>
      </c>
      <c r="M409" s="585">
        <f t="shared" si="70"/>
        <v>4.0799999999999996E-2</v>
      </c>
      <c r="N409" s="585">
        <f t="shared" si="63"/>
        <v>4.6050000000000001E-2</v>
      </c>
      <c r="O409" s="586">
        <f t="shared" si="71"/>
        <v>0.13265959700429314</v>
      </c>
      <c r="P409" s="585">
        <f t="shared" si="64"/>
        <v>0.12740959700429313</v>
      </c>
      <c r="Q409" s="585">
        <f t="shared" si="65"/>
        <v>0.17706049315021311</v>
      </c>
      <c r="R409" s="585">
        <f t="shared" si="66"/>
        <v>5.0299999999999997E-2</v>
      </c>
      <c r="S409" s="586">
        <f t="shared" si="67"/>
        <v>0.12676049315021309</v>
      </c>
      <c r="U409" s="587"/>
      <c r="V409" s="587"/>
      <c r="W409" s="587"/>
      <c r="X409" s="587"/>
      <c r="Y409" s="587"/>
      <c r="Z409" s="587"/>
      <c r="AA409" s="587"/>
      <c r="AB409" s="587"/>
      <c r="AC409" s="587"/>
      <c r="AE409" s="587"/>
      <c r="AF409" s="587"/>
      <c r="AG409" s="587"/>
      <c r="AH409" s="587"/>
      <c r="AI409" s="587"/>
      <c r="AJ409" s="587"/>
      <c r="AK409" s="587"/>
      <c r="AL409" s="587"/>
      <c r="AM409" s="587"/>
      <c r="AO409" s="587"/>
      <c r="AP409" s="587"/>
      <c r="AQ409" s="587"/>
      <c r="AR409" s="587"/>
      <c r="AS409" s="587"/>
      <c r="AT409" s="587"/>
      <c r="AU409" s="587"/>
      <c r="AV409" s="587"/>
      <c r="AW409" s="587"/>
    </row>
    <row r="410" spans="1:49">
      <c r="A410" s="581">
        <v>21824</v>
      </c>
      <c r="B410" s="594">
        <v>1.2800000000000001E-2</v>
      </c>
      <c r="C410" s="577">
        <v>1.5699999999999999E-2</v>
      </c>
      <c r="D410" s="577">
        <v>3.5000000000000005E-3</v>
      </c>
      <c r="E410" s="577">
        <v>3.8083333333333337E-3</v>
      </c>
      <c r="F410" s="577">
        <v>3.966666666666667E-3</v>
      </c>
      <c r="G410" s="577">
        <v>3.8875000000000003E-3</v>
      </c>
      <c r="H410" s="577">
        <v>4.1333333333333335E-3</v>
      </c>
      <c r="I410" s="577">
        <f t="shared" si="68"/>
        <v>9.2999999999999992E-3</v>
      </c>
      <c r="J410" s="577">
        <f t="shared" si="61"/>
        <v>8.9125000000000003E-3</v>
      </c>
      <c r="K410" s="577">
        <f t="shared" si="62"/>
        <v>1.1566666666666666E-2</v>
      </c>
      <c r="L410" s="585">
        <f t="shared" si="69"/>
        <v>0.15723454707492479</v>
      </c>
      <c r="M410" s="585">
        <f t="shared" si="70"/>
        <v>4.200000000000001E-2</v>
      </c>
      <c r="N410" s="585">
        <f t="shared" si="63"/>
        <v>4.6650000000000004E-2</v>
      </c>
      <c r="O410" s="586">
        <f t="shared" si="71"/>
        <v>0.11523454707492478</v>
      </c>
      <c r="P410" s="585">
        <f t="shared" si="64"/>
        <v>0.11058454707492479</v>
      </c>
      <c r="Q410" s="585">
        <f t="shared" si="65"/>
        <v>0.14889519785957228</v>
      </c>
      <c r="R410" s="585">
        <f t="shared" si="66"/>
        <v>4.9600000000000005E-2</v>
      </c>
      <c r="S410" s="586">
        <f t="shared" si="67"/>
        <v>9.9295197859572276E-2</v>
      </c>
      <c r="U410" s="587"/>
      <c r="V410" s="587"/>
      <c r="W410" s="587"/>
      <c r="X410" s="587"/>
      <c r="Y410" s="587"/>
      <c r="Z410" s="587"/>
      <c r="AA410" s="587"/>
      <c r="AB410" s="587"/>
      <c r="AC410" s="587"/>
      <c r="AE410" s="587"/>
      <c r="AF410" s="587"/>
      <c r="AG410" s="587"/>
      <c r="AH410" s="587"/>
      <c r="AI410" s="587"/>
      <c r="AJ410" s="587"/>
      <c r="AK410" s="587"/>
      <c r="AL410" s="587"/>
      <c r="AM410" s="587"/>
      <c r="AO410" s="587"/>
      <c r="AP410" s="587"/>
      <c r="AQ410" s="587"/>
      <c r="AR410" s="587"/>
      <c r="AS410" s="587"/>
      <c r="AT410" s="587"/>
      <c r="AU410" s="587"/>
      <c r="AV410" s="587"/>
      <c r="AW410" s="587"/>
    </row>
    <row r="411" spans="1:49">
      <c r="A411" s="581">
        <v>21855</v>
      </c>
      <c r="B411" s="594">
        <v>1.8599999999999998E-2</v>
      </c>
      <c r="C411" s="577">
        <v>9.9999999999999829E-5</v>
      </c>
      <c r="D411" s="577">
        <v>3.5000000000000005E-3</v>
      </c>
      <c r="E411" s="577">
        <v>3.7999999999999996E-3</v>
      </c>
      <c r="F411" s="577">
        <v>3.9166666666666664E-3</v>
      </c>
      <c r="G411" s="577">
        <v>3.858333333333333E-3</v>
      </c>
      <c r="H411" s="577">
        <v>4.0833333333333338E-3</v>
      </c>
      <c r="I411" s="577">
        <f t="shared" si="68"/>
        <v>1.5099999999999999E-2</v>
      </c>
      <c r="J411" s="577">
        <f t="shared" si="61"/>
        <v>1.4741666666666665E-2</v>
      </c>
      <c r="K411" s="577">
        <f t="shared" si="62"/>
        <v>-3.9833333333333335E-3</v>
      </c>
      <c r="L411" s="585">
        <f t="shared" si="69"/>
        <v>0.14620683552170211</v>
      </c>
      <c r="M411" s="585">
        <f t="shared" si="70"/>
        <v>4.200000000000001E-2</v>
      </c>
      <c r="N411" s="585">
        <f t="shared" si="63"/>
        <v>4.6299999999999994E-2</v>
      </c>
      <c r="O411" s="586">
        <f t="shared" si="71"/>
        <v>0.1042068355217021</v>
      </c>
      <c r="P411" s="585">
        <f t="shared" si="64"/>
        <v>9.9906835521702111E-2</v>
      </c>
      <c r="Q411" s="585">
        <f t="shared" si="65"/>
        <v>0.11956551435190343</v>
      </c>
      <c r="R411" s="585">
        <f t="shared" si="66"/>
        <v>4.9000000000000002E-2</v>
      </c>
      <c r="S411" s="586">
        <f t="shared" si="67"/>
        <v>7.0565514351903433E-2</v>
      </c>
      <c r="U411" s="587"/>
      <c r="V411" s="587"/>
      <c r="W411" s="587"/>
      <c r="X411" s="587"/>
      <c r="Y411" s="587"/>
      <c r="Z411" s="587"/>
      <c r="AA411" s="587"/>
      <c r="AB411" s="587"/>
      <c r="AC411" s="587"/>
      <c r="AE411" s="587"/>
      <c r="AF411" s="587"/>
      <c r="AG411" s="587"/>
      <c r="AH411" s="587"/>
      <c r="AI411" s="587"/>
      <c r="AJ411" s="587"/>
      <c r="AK411" s="587"/>
      <c r="AL411" s="587"/>
      <c r="AM411" s="587"/>
      <c r="AO411" s="587"/>
      <c r="AP411" s="587"/>
      <c r="AQ411" s="587"/>
      <c r="AR411" s="587"/>
      <c r="AS411" s="587"/>
      <c r="AT411" s="587"/>
      <c r="AU411" s="587"/>
      <c r="AV411" s="587"/>
      <c r="AW411" s="587"/>
    </row>
    <row r="412" spans="1:49">
      <c r="A412" s="581">
        <v>21885</v>
      </c>
      <c r="B412" s="594">
        <v>2.92E-2</v>
      </c>
      <c r="C412" s="577">
        <v>2.3E-2</v>
      </c>
      <c r="D412" s="577">
        <v>3.5999999999999999E-3</v>
      </c>
      <c r="E412" s="577">
        <v>3.8166666666666666E-3</v>
      </c>
      <c r="F412" s="577">
        <v>3.9500000000000004E-3</v>
      </c>
      <c r="G412" s="577">
        <v>3.8833333333333333E-3</v>
      </c>
      <c r="H412" s="577">
        <v>4.1333333333333335E-3</v>
      </c>
      <c r="I412" s="577">
        <f t="shared" si="68"/>
        <v>2.5600000000000001E-2</v>
      </c>
      <c r="J412" s="577">
        <f t="shared" si="61"/>
        <v>2.5316666666666668E-2</v>
      </c>
      <c r="K412" s="577">
        <f t="shared" si="62"/>
        <v>1.8866666666666667E-2</v>
      </c>
      <c r="L412" s="585">
        <f t="shared" si="69"/>
        <v>0.11976846238152405</v>
      </c>
      <c r="M412" s="585">
        <f t="shared" si="70"/>
        <v>4.3200000000000002E-2</v>
      </c>
      <c r="N412" s="585">
        <f t="shared" si="63"/>
        <v>4.6600000000000003E-2</v>
      </c>
      <c r="O412" s="586">
        <f t="shared" si="71"/>
        <v>7.6568462381524052E-2</v>
      </c>
      <c r="P412" s="585">
        <f t="shared" si="64"/>
        <v>7.3168462381524052E-2</v>
      </c>
      <c r="Q412" s="585">
        <f t="shared" si="65"/>
        <v>7.490898280806868E-2</v>
      </c>
      <c r="R412" s="585">
        <f t="shared" si="66"/>
        <v>4.9600000000000005E-2</v>
      </c>
      <c r="S412" s="586">
        <f t="shared" si="67"/>
        <v>2.5308982808068675E-2</v>
      </c>
      <c r="U412" s="587"/>
      <c r="V412" s="587"/>
      <c r="W412" s="587"/>
      <c r="X412" s="587"/>
      <c r="Y412" s="587"/>
      <c r="Z412" s="587"/>
      <c r="AA412" s="587"/>
      <c r="AB412" s="587"/>
      <c r="AC412" s="587"/>
      <c r="AE412" s="587"/>
      <c r="AF412" s="587"/>
      <c r="AG412" s="587"/>
      <c r="AH412" s="587"/>
      <c r="AI412" s="587"/>
      <c r="AJ412" s="587"/>
      <c r="AK412" s="587"/>
      <c r="AL412" s="587"/>
      <c r="AM412" s="587"/>
      <c r="AO412" s="587"/>
      <c r="AP412" s="587"/>
      <c r="AQ412" s="587"/>
      <c r="AR412" s="587"/>
      <c r="AS412" s="587"/>
      <c r="AT412" s="587"/>
      <c r="AU412" s="587"/>
      <c r="AV412" s="587"/>
      <c r="AW412" s="587"/>
    </row>
    <row r="413" spans="1:49">
      <c r="A413" s="581">
        <v>21916</v>
      </c>
      <c r="B413" s="594">
        <v>-7.0000000000000007E-2</v>
      </c>
      <c r="C413" s="577">
        <v>-1.0800000000000001E-2</v>
      </c>
      <c r="D413" s="577">
        <v>3.5000000000000005E-3</v>
      </c>
      <c r="E413" s="577">
        <v>3.8416666666666673E-3</v>
      </c>
      <c r="F413" s="577">
        <v>3.9749999999999994E-3</v>
      </c>
      <c r="G413" s="577">
        <v>3.908333333333334E-3</v>
      </c>
      <c r="H413" s="577">
        <v>4.1833333333333332E-3</v>
      </c>
      <c r="I413" s="577">
        <f t="shared" si="68"/>
        <v>-7.350000000000001E-2</v>
      </c>
      <c r="J413" s="577">
        <f t="shared" ref="J413:J476" si="72">B413-G413</f>
        <v>-7.390833333333334E-2</v>
      </c>
      <c r="K413" s="577">
        <f t="shared" ref="K413:K476" si="73">$C413-H413</f>
        <v>-1.4983333333333335E-2</v>
      </c>
      <c r="L413" s="585">
        <f t="shared" si="69"/>
        <v>3.5894429538264161E-2</v>
      </c>
      <c r="M413" s="585">
        <f t="shared" si="70"/>
        <v>4.200000000000001E-2</v>
      </c>
      <c r="N413" s="585">
        <f t="shared" si="63"/>
        <v>4.6900000000000011E-2</v>
      </c>
      <c r="O413" s="586">
        <f t="shared" si="71"/>
        <v>-6.1055704617358486E-3</v>
      </c>
      <c r="P413" s="585">
        <f t="shared" si="64"/>
        <v>-1.100557046173585E-2</v>
      </c>
      <c r="Q413" s="585">
        <f t="shared" si="65"/>
        <v>4.9240147813046198E-2</v>
      </c>
      <c r="R413" s="585">
        <f t="shared" si="66"/>
        <v>5.0199999999999995E-2</v>
      </c>
      <c r="S413" s="586">
        <f t="shared" si="67"/>
        <v>-9.5985218695379682E-4</v>
      </c>
      <c r="U413" s="587"/>
      <c r="V413" s="587"/>
      <c r="W413" s="587"/>
      <c r="X413" s="587"/>
      <c r="Y413" s="587"/>
      <c r="Z413" s="587"/>
      <c r="AA413" s="587"/>
      <c r="AB413" s="587"/>
      <c r="AC413" s="587"/>
      <c r="AE413" s="587"/>
      <c r="AF413" s="587"/>
      <c r="AG413" s="587"/>
      <c r="AH413" s="587"/>
      <c r="AI413" s="587"/>
      <c r="AJ413" s="587"/>
      <c r="AK413" s="587"/>
      <c r="AL413" s="587"/>
      <c r="AM413" s="587"/>
      <c r="AO413" s="587"/>
      <c r="AP413" s="587"/>
      <c r="AQ413" s="587"/>
      <c r="AR413" s="587"/>
      <c r="AS413" s="587"/>
      <c r="AT413" s="587"/>
      <c r="AU413" s="587"/>
      <c r="AV413" s="587"/>
      <c r="AW413" s="587"/>
    </row>
    <row r="414" spans="1:49">
      <c r="A414" s="581">
        <v>21947</v>
      </c>
      <c r="B414" s="594">
        <v>1.47E-2</v>
      </c>
      <c r="C414" s="577">
        <v>1.8099999999999998E-2</v>
      </c>
      <c r="D414" s="577">
        <v>3.7000000000000002E-3</v>
      </c>
      <c r="E414" s="577">
        <v>3.7999999999999996E-3</v>
      </c>
      <c r="F414" s="577">
        <v>3.9250000000000005E-3</v>
      </c>
      <c r="G414" s="577">
        <v>3.8624999999999996E-3</v>
      </c>
      <c r="H414" s="577">
        <v>4.1666666666666666E-3</v>
      </c>
      <c r="I414" s="577">
        <f t="shared" si="68"/>
        <v>1.0999999999999999E-2</v>
      </c>
      <c r="J414" s="577">
        <f t="shared" si="72"/>
        <v>1.08375E-2</v>
      </c>
      <c r="K414" s="577">
        <f t="shared" si="73"/>
        <v>1.3933333333333332E-2</v>
      </c>
      <c r="L414" s="585">
        <f t="shared" si="69"/>
        <v>4.5996693852599302E-2</v>
      </c>
      <c r="M414" s="585">
        <f t="shared" si="70"/>
        <v>4.4400000000000002E-2</v>
      </c>
      <c r="N414" s="585">
        <f t="shared" si="63"/>
        <v>4.6349999999999995E-2</v>
      </c>
      <c r="O414" s="586">
        <f t="shared" si="71"/>
        <v>1.5966938525992999E-3</v>
      </c>
      <c r="P414" s="585">
        <f t="shared" si="64"/>
        <v>-3.5330614740069349E-4</v>
      </c>
      <c r="Q414" s="585">
        <f t="shared" si="65"/>
        <v>4.6669992640077096E-2</v>
      </c>
      <c r="R414" s="585">
        <f t="shared" si="66"/>
        <v>0.05</v>
      </c>
      <c r="S414" s="586">
        <f t="shared" si="67"/>
        <v>-3.3300073599229069E-3</v>
      </c>
      <c r="U414" s="587"/>
      <c r="V414" s="587"/>
      <c r="W414" s="587"/>
      <c r="X414" s="587"/>
      <c r="Y414" s="587"/>
      <c r="Z414" s="587"/>
      <c r="AA414" s="587"/>
      <c r="AB414" s="587"/>
      <c r="AC414" s="587"/>
      <c r="AE414" s="587"/>
      <c r="AF414" s="587"/>
      <c r="AG414" s="587"/>
      <c r="AH414" s="587"/>
      <c r="AI414" s="587"/>
      <c r="AJ414" s="587"/>
      <c r="AK414" s="587"/>
      <c r="AL414" s="587"/>
      <c r="AM414" s="587"/>
      <c r="AO414" s="587"/>
      <c r="AP414" s="587"/>
      <c r="AQ414" s="587"/>
      <c r="AR414" s="587"/>
      <c r="AS414" s="587"/>
      <c r="AT414" s="587"/>
      <c r="AU414" s="587"/>
      <c r="AV414" s="587"/>
      <c r="AW414" s="587"/>
    </row>
    <row r="415" spans="1:49">
      <c r="A415" s="581">
        <v>21976</v>
      </c>
      <c r="B415" s="594">
        <v>-1.23E-2</v>
      </c>
      <c r="C415" s="577">
        <v>1.41E-2</v>
      </c>
      <c r="D415" s="577">
        <v>3.5999999999999999E-3</v>
      </c>
      <c r="E415" s="577">
        <v>3.741666666666667E-3</v>
      </c>
      <c r="F415" s="577">
        <v>3.8500000000000001E-3</v>
      </c>
      <c r="G415" s="577">
        <v>3.7958333333333338E-3</v>
      </c>
      <c r="H415" s="577">
        <v>4.0916666666666671E-3</v>
      </c>
      <c r="I415" s="577">
        <f t="shared" si="68"/>
        <v>-1.5900000000000001E-2</v>
      </c>
      <c r="J415" s="577">
        <f t="shared" si="72"/>
        <v>-1.6095833333333334E-2</v>
      </c>
      <c r="K415" s="577">
        <f t="shared" si="73"/>
        <v>1.0008333333333333E-2</v>
      </c>
      <c r="L415" s="585">
        <f t="shared" si="69"/>
        <v>3.1068796924363706E-2</v>
      </c>
      <c r="M415" s="585">
        <f t="shared" si="70"/>
        <v>4.3200000000000002E-2</v>
      </c>
      <c r="N415" s="585">
        <f t="shared" si="63"/>
        <v>4.5550000000000007E-2</v>
      </c>
      <c r="O415" s="586">
        <f t="shared" si="71"/>
        <v>-1.2131203075636296E-2</v>
      </c>
      <c r="P415" s="585">
        <f t="shared" si="64"/>
        <v>-1.4481203075636301E-2</v>
      </c>
      <c r="Q415" s="585">
        <f t="shared" si="65"/>
        <v>5.0710789483569663E-2</v>
      </c>
      <c r="R415" s="585">
        <f t="shared" si="66"/>
        <v>4.9100000000000005E-2</v>
      </c>
      <c r="S415" s="586">
        <f t="shared" si="67"/>
        <v>1.6107894835696579E-3</v>
      </c>
      <c r="U415" s="587"/>
      <c r="V415" s="587"/>
      <c r="W415" s="587"/>
      <c r="X415" s="587"/>
      <c r="Y415" s="587"/>
      <c r="Z415" s="587"/>
      <c r="AA415" s="587"/>
      <c r="AB415" s="587"/>
      <c r="AC415" s="587"/>
      <c r="AE415" s="587"/>
      <c r="AF415" s="587"/>
      <c r="AG415" s="587"/>
      <c r="AH415" s="587"/>
      <c r="AI415" s="587"/>
      <c r="AJ415" s="587"/>
      <c r="AK415" s="587"/>
      <c r="AL415" s="587"/>
      <c r="AM415" s="587"/>
      <c r="AO415" s="587"/>
      <c r="AP415" s="587"/>
      <c r="AQ415" s="587"/>
      <c r="AR415" s="587"/>
      <c r="AS415" s="587"/>
      <c r="AT415" s="587"/>
      <c r="AU415" s="587"/>
      <c r="AV415" s="587"/>
      <c r="AW415" s="587"/>
    </row>
    <row r="416" spans="1:49">
      <c r="A416" s="581">
        <v>22007</v>
      </c>
      <c r="B416" s="594">
        <v>-1.61E-2</v>
      </c>
      <c r="C416" s="577">
        <v>7.4999999999999997E-3</v>
      </c>
      <c r="D416" s="577">
        <v>3.2000000000000002E-3</v>
      </c>
      <c r="E416" s="577">
        <v>3.7083333333333334E-3</v>
      </c>
      <c r="F416" s="577">
        <v>3.8166666666666666E-3</v>
      </c>
      <c r="G416" s="577">
        <v>3.7624999999999998E-3</v>
      </c>
      <c r="H416" s="577">
        <v>3.9916666666666668E-3</v>
      </c>
      <c r="I416" s="577">
        <f t="shared" si="68"/>
        <v>-1.9300000000000001E-2</v>
      </c>
      <c r="J416" s="577">
        <f t="shared" si="72"/>
        <v>-1.9862499999999998E-2</v>
      </c>
      <c r="K416" s="577">
        <f t="shared" si="73"/>
        <v>3.5083333333333329E-3</v>
      </c>
      <c r="L416" s="585">
        <f t="shared" si="69"/>
        <v>-2.4736983951277214E-2</v>
      </c>
      <c r="M416" s="585">
        <f t="shared" si="70"/>
        <v>3.8400000000000004E-2</v>
      </c>
      <c r="N416" s="585">
        <f t="shared" si="63"/>
        <v>4.5149999999999996E-2</v>
      </c>
      <c r="O416" s="586">
        <f t="shared" si="71"/>
        <v>-6.3136983951277217E-2</v>
      </c>
      <c r="P416" s="585">
        <f t="shared" si="64"/>
        <v>-6.988698395127721E-2</v>
      </c>
      <c r="Q416" s="585">
        <f t="shared" si="65"/>
        <v>6.1563498199655342E-2</v>
      </c>
      <c r="R416" s="585">
        <f t="shared" si="66"/>
        <v>4.7899999999999998E-2</v>
      </c>
      <c r="S416" s="586">
        <f t="shared" si="67"/>
        <v>1.3663498199655344E-2</v>
      </c>
      <c r="U416" s="587"/>
      <c r="V416" s="587"/>
      <c r="W416" s="587"/>
      <c r="X416" s="587"/>
      <c r="Y416" s="587"/>
      <c r="Z416" s="587"/>
      <c r="AA416" s="587"/>
      <c r="AB416" s="587"/>
      <c r="AC416" s="587"/>
      <c r="AE416" s="587"/>
      <c r="AF416" s="587"/>
      <c r="AG416" s="587"/>
      <c r="AH416" s="587"/>
      <c r="AI416" s="587"/>
      <c r="AJ416" s="587"/>
      <c r="AK416" s="587"/>
      <c r="AL416" s="587"/>
      <c r="AM416" s="587"/>
      <c r="AO416" s="587"/>
      <c r="AP416" s="587"/>
      <c r="AQ416" s="587"/>
      <c r="AR416" s="587"/>
      <c r="AS416" s="587"/>
      <c r="AT416" s="587"/>
      <c r="AU416" s="587"/>
      <c r="AV416" s="587"/>
      <c r="AW416" s="587"/>
    </row>
    <row r="417" spans="1:49">
      <c r="A417" s="581">
        <v>22037</v>
      </c>
      <c r="B417" s="594">
        <v>3.2599999999999997E-2</v>
      </c>
      <c r="C417" s="577">
        <v>2.3300000000000001E-2</v>
      </c>
      <c r="D417" s="577">
        <v>3.7000000000000002E-3</v>
      </c>
      <c r="E417" s="577">
        <v>3.7166666666666663E-3</v>
      </c>
      <c r="F417" s="577">
        <v>3.8416666666666673E-3</v>
      </c>
      <c r="G417" s="577">
        <v>3.7791666666666668E-3</v>
      </c>
      <c r="H417" s="577">
        <v>4.0500000000000006E-3</v>
      </c>
      <c r="I417" s="577">
        <f t="shared" si="68"/>
        <v>2.8899999999999995E-2</v>
      </c>
      <c r="J417" s="577">
        <f t="shared" si="72"/>
        <v>2.882083333333333E-2</v>
      </c>
      <c r="K417" s="577">
        <f t="shared" si="73"/>
        <v>1.925E-2</v>
      </c>
      <c r="L417" s="585">
        <f t="shared" si="69"/>
        <v>-1.6546298464931053E-2</v>
      </c>
      <c r="M417" s="585">
        <f t="shared" si="70"/>
        <v>4.4400000000000002E-2</v>
      </c>
      <c r="N417" s="585">
        <f t="shared" si="63"/>
        <v>4.5350000000000001E-2</v>
      </c>
      <c r="O417" s="586">
        <f t="shared" si="71"/>
        <v>-6.0946298464931055E-2</v>
      </c>
      <c r="P417" s="585">
        <f t="shared" si="64"/>
        <v>-6.1896298464931054E-2</v>
      </c>
      <c r="Q417" s="585">
        <f t="shared" si="65"/>
        <v>9.9491829663671538E-2</v>
      </c>
      <c r="R417" s="585">
        <f t="shared" si="66"/>
        <v>4.8600000000000004E-2</v>
      </c>
      <c r="S417" s="586">
        <f t="shared" si="67"/>
        <v>5.0891829663671534E-2</v>
      </c>
      <c r="U417" s="587"/>
      <c r="V417" s="587"/>
      <c r="W417" s="587"/>
      <c r="X417" s="587"/>
      <c r="Y417" s="587"/>
      <c r="Z417" s="587"/>
      <c r="AA417" s="587"/>
      <c r="AB417" s="587"/>
      <c r="AC417" s="587"/>
      <c r="AE417" s="587"/>
      <c r="AF417" s="587"/>
      <c r="AG417" s="587"/>
      <c r="AH417" s="587"/>
      <c r="AI417" s="587"/>
      <c r="AJ417" s="587"/>
      <c r="AK417" s="587"/>
      <c r="AL417" s="587"/>
      <c r="AM417" s="587"/>
      <c r="AO417" s="587"/>
      <c r="AP417" s="587"/>
      <c r="AQ417" s="587"/>
      <c r="AR417" s="587"/>
      <c r="AS417" s="587"/>
      <c r="AT417" s="587"/>
      <c r="AU417" s="587"/>
      <c r="AV417" s="587"/>
      <c r="AW417" s="587"/>
    </row>
    <row r="418" spans="1:49">
      <c r="A418" s="581">
        <v>22068</v>
      </c>
      <c r="B418" s="594">
        <v>2.1100000000000001E-2</v>
      </c>
      <c r="C418" s="577">
        <v>4.0799999999999989E-2</v>
      </c>
      <c r="D418" s="577">
        <v>3.3999999999999998E-3</v>
      </c>
      <c r="E418" s="577">
        <v>3.7083333333333334E-3</v>
      </c>
      <c r="F418" s="577">
        <v>3.8333333333333331E-3</v>
      </c>
      <c r="G418" s="577">
        <v>3.7708333333333331E-3</v>
      </c>
      <c r="H418" s="577">
        <v>4.0333333333333332E-3</v>
      </c>
      <c r="I418" s="577">
        <f t="shared" si="68"/>
        <v>1.77E-2</v>
      </c>
      <c r="J418" s="577">
        <f t="shared" si="72"/>
        <v>1.7329166666666666E-2</v>
      </c>
      <c r="K418" s="577">
        <f t="shared" si="73"/>
        <v>3.6766666666666656E-2</v>
      </c>
      <c r="L418" s="585">
        <f t="shared" si="69"/>
        <v>6.4186957681489076E-3</v>
      </c>
      <c r="M418" s="585">
        <f t="shared" si="70"/>
        <v>4.0799999999999996E-2</v>
      </c>
      <c r="N418" s="585">
        <f t="shared" si="63"/>
        <v>4.5249999999999999E-2</v>
      </c>
      <c r="O418" s="586">
        <f t="shared" si="71"/>
        <v>-3.4381304231851088E-2</v>
      </c>
      <c r="P418" s="585">
        <f t="shared" si="64"/>
        <v>-3.8831304231851091E-2</v>
      </c>
      <c r="Q418" s="585">
        <f t="shared" si="65"/>
        <v>0.15451079127718859</v>
      </c>
      <c r="R418" s="585">
        <f t="shared" si="66"/>
        <v>4.8399999999999999E-2</v>
      </c>
      <c r="S418" s="586">
        <f t="shared" si="67"/>
        <v>0.10611079127718859</v>
      </c>
      <c r="U418" s="587"/>
      <c r="V418" s="587"/>
      <c r="W418" s="587"/>
      <c r="X418" s="587"/>
      <c r="Y418" s="587"/>
      <c r="Z418" s="587"/>
      <c r="AA418" s="587"/>
      <c r="AB418" s="587"/>
      <c r="AC418" s="587"/>
      <c r="AE418" s="587"/>
      <c r="AF418" s="587"/>
      <c r="AG418" s="587"/>
      <c r="AH418" s="587"/>
      <c r="AI418" s="587"/>
      <c r="AJ418" s="587"/>
      <c r="AK418" s="587"/>
      <c r="AL418" s="587"/>
      <c r="AM418" s="587"/>
      <c r="AO418" s="587"/>
      <c r="AP418" s="587"/>
      <c r="AQ418" s="587"/>
      <c r="AR418" s="587"/>
      <c r="AS418" s="587"/>
      <c r="AT418" s="587"/>
      <c r="AU418" s="587"/>
      <c r="AV418" s="587"/>
      <c r="AW418" s="587"/>
    </row>
    <row r="419" spans="1:49">
      <c r="A419" s="581">
        <v>22098</v>
      </c>
      <c r="B419" s="594">
        <v>-2.3400000000000001E-2</v>
      </c>
      <c r="C419" s="577">
        <v>-0.01</v>
      </c>
      <c r="D419" s="577">
        <v>3.2000000000000002E-3</v>
      </c>
      <c r="E419" s="577">
        <v>3.6749999999999999E-3</v>
      </c>
      <c r="F419" s="577">
        <v>3.7999999999999996E-3</v>
      </c>
      <c r="G419" s="577">
        <v>3.7374999999999995E-3</v>
      </c>
      <c r="H419" s="577">
        <v>3.9916666666666668E-3</v>
      </c>
      <c r="I419" s="577">
        <f t="shared" si="68"/>
        <v>-2.6600000000000002E-2</v>
      </c>
      <c r="J419" s="577">
        <f t="shared" si="72"/>
        <v>-2.7137500000000002E-2</v>
      </c>
      <c r="K419" s="577">
        <f t="shared" si="73"/>
        <v>-1.3991666666666666E-2</v>
      </c>
      <c r="L419" s="585">
        <f t="shared" si="69"/>
        <v>-5.1559878136471782E-2</v>
      </c>
      <c r="M419" s="585">
        <f t="shared" si="70"/>
        <v>3.8400000000000004E-2</v>
      </c>
      <c r="N419" s="585">
        <f t="shared" si="63"/>
        <v>4.4849999999999994E-2</v>
      </c>
      <c r="O419" s="586">
        <f t="shared" si="71"/>
        <v>-8.9959878136471785E-2</v>
      </c>
      <c r="P419" s="585">
        <f t="shared" si="64"/>
        <v>-9.6409878136471783E-2</v>
      </c>
      <c r="Q419" s="585">
        <f t="shared" si="65"/>
        <v>0.10207856847403018</v>
      </c>
      <c r="R419" s="585">
        <f t="shared" si="66"/>
        <v>4.7899999999999998E-2</v>
      </c>
      <c r="S419" s="586">
        <f t="shared" si="67"/>
        <v>5.4178568474030186E-2</v>
      </c>
      <c r="U419" s="587"/>
      <c r="V419" s="587"/>
      <c r="W419" s="587"/>
      <c r="X419" s="587"/>
      <c r="Y419" s="587"/>
      <c r="Z419" s="587"/>
      <c r="AA419" s="587"/>
      <c r="AB419" s="587"/>
      <c r="AC419" s="587"/>
      <c r="AE419" s="587"/>
      <c r="AF419" s="587"/>
      <c r="AG419" s="587"/>
      <c r="AH419" s="587"/>
      <c r="AI419" s="587"/>
      <c r="AJ419" s="587"/>
      <c r="AK419" s="587"/>
      <c r="AL419" s="587"/>
      <c r="AM419" s="587"/>
      <c r="AO419" s="587"/>
      <c r="AP419" s="587"/>
      <c r="AQ419" s="587"/>
      <c r="AR419" s="587"/>
      <c r="AS419" s="587"/>
      <c r="AT419" s="587"/>
      <c r="AU419" s="587"/>
      <c r="AV419" s="587"/>
      <c r="AW419" s="587"/>
    </row>
    <row r="420" spans="1:49">
      <c r="A420" s="581">
        <v>22129</v>
      </c>
      <c r="B420" s="594">
        <v>3.1699999999999999E-2</v>
      </c>
      <c r="C420" s="577">
        <v>5.0200000000000002E-2</v>
      </c>
      <c r="D420" s="577">
        <v>3.3999999999999998E-3</v>
      </c>
      <c r="E420" s="577">
        <v>3.5666666666666668E-3</v>
      </c>
      <c r="F420" s="577">
        <v>3.7000000000000006E-3</v>
      </c>
      <c r="G420" s="577">
        <v>3.6333333333333339E-3</v>
      </c>
      <c r="H420" s="577">
        <v>3.8666666666666667E-3</v>
      </c>
      <c r="I420" s="577">
        <f t="shared" si="68"/>
        <v>2.8299999999999999E-2</v>
      </c>
      <c r="J420" s="577">
        <f t="shared" si="72"/>
        <v>2.8066666666666663E-2</v>
      </c>
      <c r="K420" s="577">
        <f t="shared" si="73"/>
        <v>4.6333333333333337E-2</v>
      </c>
      <c r="L420" s="585">
        <f t="shared" si="69"/>
        <v>-1.141071557223472E-2</v>
      </c>
      <c r="M420" s="585">
        <f t="shared" si="70"/>
        <v>4.0799999999999996E-2</v>
      </c>
      <c r="N420" s="585">
        <f t="shared" si="63"/>
        <v>4.3600000000000007E-2</v>
      </c>
      <c r="O420" s="586">
        <f t="shared" si="71"/>
        <v>-5.2210715572234716E-2</v>
      </c>
      <c r="P420" s="585">
        <f t="shared" si="64"/>
        <v>-5.5010715572234727E-2</v>
      </c>
      <c r="Q420" s="585">
        <f t="shared" si="65"/>
        <v>0.13749672001123003</v>
      </c>
      <c r="R420" s="585">
        <f t="shared" si="66"/>
        <v>4.6399999999999997E-2</v>
      </c>
      <c r="S420" s="586">
        <f t="shared" si="67"/>
        <v>9.1096720011230037E-2</v>
      </c>
      <c r="U420" s="587"/>
      <c r="V420" s="587"/>
      <c r="W420" s="587"/>
      <c r="X420" s="587"/>
      <c r="Y420" s="587"/>
      <c r="Z420" s="587"/>
      <c r="AA420" s="587"/>
      <c r="AB420" s="587"/>
      <c r="AC420" s="587"/>
      <c r="AE420" s="587"/>
      <c r="AF420" s="587"/>
      <c r="AG420" s="587"/>
      <c r="AH420" s="587"/>
      <c r="AI420" s="587"/>
      <c r="AJ420" s="587"/>
      <c r="AK420" s="587"/>
      <c r="AL420" s="587"/>
      <c r="AM420" s="587"/>
      <c r="AO420" s="587"/>
      <c r="AP420" s="587"/>
      <c r="AQ420" s="587"/>
      <c r="AR420" s="587"/>
      <c r="AS420" s="587"/>
      <c r="AT420" s="587"/>
      <c r="AU420" s="587"/>
      <c r="AV420" s="587"/>
      <c r="AW420" s="587"/>
    </row>
    <row r="421" spans="1:49">
      <c r="A421" s="581">
        <v>22160</v>
      </c>
      <c r="B421" s="594">
        <v>-5.8999999999999997E-2</v>
      </c>
      <c r="C421" s="577">
        <v>-5.1400000000000008E-2</v>
      </c>
      <c r="D421" s="577">
        <v>3.2000000000000002E-3</v>
      </c>
      <c r="E421" s="577">
        <v>3.5416666666666669E-3</v>
      </c>
      <c r="F421" s="577">
        <v>3.6749999999999999E-3</v>
      </c>
      <c r="G421" s="577">
        <v>3.6083333333333332E-3</v>
      </c>
      <c r="H421" s="577">
        <v>3.8083333333333337E-3</v>
      </c>
      <c r="I421" s="577">
        <f t="shared" si="68"/>
        <v>-6.2199999999999998E-2</v>
      </c>
      <c r="J421" s="577">
        <f t="shared" si="72"/>
        <v>-6.2608333333333335E-2</v>
      </c>
      <c r="K421" s="577">
        <f t="shared" si="73"/>
        <v>-5.5208333333333345E-2</v>
      </c>
      <c r="L421" s="585">
        <f t="shared" si="69"/>
        <v>-2.6616598674764846E-2</v>
      </c>
      <c r="M421" s="585">
        <f t="shared" si="70"/>
        <v>3.8400000000000004E-2</v>
      </c>
      <c r="N421" s="585">
        <f t="shared" si="63"/>
        <v>4.3299999999999998E-2</v>
      </c>
      <c r="O421" s="586">
        <f t="shared" si="71"/>
        <v>-6.501659867476485E-2</v>
      </c>
      <c r="P421" s="585">
        <f t="shared" si="64"/>
        <v>-6.9916598674764852E-2</v>
      </c>
      <c r="Q421" s="585">
        <f t="shared" si="65"/>
        <v>0.12316996835916827</v>
      </c>
      <c r="R421" s="585">
        <f t="shared" si="66"/>
        <v>4.5700000000000005E-2</v>
      </c>
      <c r="S421" s="586">
        <f t="shared" si="67"/>
        <v>7.7469968359168265E-2</v>
      </c>
      <c r="U421" s="587"/>
      <c r="V421" s="587"/>
      <c r="W421" s="587"/>
      <c r="X421" s="587"/>
      <c r="Y421" s="587"/>
      <c r="Z421" s="587"/>
      <c r="AA421" s="587"/>
      <c r="AB421" s="587"/>
      <c r="AC421" s="587"/>
      <c r="AE421" s="587"/>
      <c r="AF421" s="587"/>
      <c r="AG421" s="587"/>
      <c r="AH421" s="587"/>
      <c r="AI421" s="587"/>
      <c r="AJ421" s="587"/>
      <c r="AK421" s="587"/>
      <c r="AL421" s="587"/>
      <c r="AM421" s="587"/>
      <c r="AO421" s="587"/>
      <c r="AP421" s="587"/>
      <c r="AQ421" s="587"/>
      <c r="AR421" s="587"/>
      <c r="AS421" s="587"/>
      <c r="AT421" s="587"/>
      <c r="AU421" s="587"/>
      <c r="AV421" s="587"/>
      <c r="AW421" s="587"/>
    </row>
    <row r="422" spans="1:49">
      <c r="A422" s="581">
        <v>22190</v>
      </c>
      <c r="B422" s="594">
        <v>-6.9999999999999999E-4</v>
      </c>
      <c r="C422" s="577">
        <v>-1.1999999999999997E-3</v>
      </c>
      <c r="D422" s="577">
        <v>3.3E-3</v>
      </c>
      <c r="E422" s="577">
        <v>3.5833333333333333E-3</v>
      </c>
      <c r="F422" s="577">
        <v>3.7000000000000006E-3</v>
      </c>
      <c r="G422" s="577">
        <v>3.6416666666666667E-3</v>
      </c>
      <c r="H422" s="577">
        <v>3.8416666666666673E-3</v>
      </c>
      <c r="I422" s="577">
        <f t="shared" si="68"/>
        <v>-4.0000000000000001E-3</v>
      </c>
      <c r="J422" s="577">
        <f t="shared" si="72"/>
        <v>-4.3416666666666664E-3</v>
      </c>
      <c r="K422" s="577">
        <f t="shared" si="73"/>
        <v>-5.0416666666666665E-3</v>
      </c>
      <c r="L422" s="585">
        <f t="shared" si="69"/>
        <v>-3.9591199699538504E-2</v>
      </c>
      <c r="M422" s="585">
        <f t="shared" si="70"/>
        <v>3.9599999999999996E-2</v>
      </c>
      <c r="N422" s="585">
        <f t="shared" si="63"/>
        <v>4.3700000000000003E-2</v>
      </c>
      <c r="O422" s="586">
        <f t="shared" si="71"/>
        <v>-7.91911996995385E-2</v>
      </c>
      <c r="P422" s="585">
        <f t="shared" si="64"/>
        <v>-8.3291199699538507E-2</v>
      </c>
      <c r="Q422" s="585">
        <f t="shared" si="65"/>
        <v>0.10448180013501696</v>
      </c>
      <c r="R422" s="585">
        <f t="shared" si="66"/>
        <v>4.6100000000000009E-2</v>
      </c>
      <c r="S422" s="586">
        <f t="shared" si="67"/>
        <v>5.8381800135016947E-2</v>
      </c>
      <c r="U422" s="587"/>
      <c r="V422" s="587"/>
      <c r="W422" s="587"/>
      <c r="X422" s="587"/>
      <c r="Y422" s="587"/>
      <c r="Z422" s="587"/>
      <c r="AA422" s="587"/>
      <c r="AB422" s="587"/>
      <c r="AC422" s="587"/>
      <c r="AE422" s="587"/>
      <c r="AF422" s="587"/>
      <c r="AG422" s="587"/>
      <c r="AH422" s="587"/>
      <c r="AI422" s="587"/>
      <c r="AJ422" s="587"/>
      <c r="AK422" s="587"/>
      <c r="AL422" s="587"/>
      <c r="AM422" s="587"/>
      <c r="AO422" s="587"/>
      <c r="AP422" s="587"/>
      <c r="AQ422" s="587"/>
      <c r="AR422" s="587"/>
      <c r="AS422" s="587"/>
      <c r="AT422" s="587"/>
      <c r="AU422" s="587"/>
      <c r="AV422" s="587"/>
      <c r="AW422" s="587"/>
    </row>
    <row r="423" spans="1:49">
      <c r="A423" s="581">
        <v>22221</v>
      </c>
      <c r="B423" s="594">
        <v>4.65E-2</v>
      </c>
      <c r="C423" s="577">
        <v>3.8599999999999995E-2</v>
      </c>
      <c r="D423" s="577">
        <v>3.2000000000000002E-3</v>
      </c>
      <c r="E423" s="577">
        <v>3.5916666666666662E-3</v>
      </c>
      <c r="F423" s="577">
        <v>3.725E-3</v>
      </c>
      <c r="G423" s="577">
        <v>3.6583333333333333E-3</v>
      </c>
      <c r="H423" s="577">
        <v>3.8508333333333337E-3</v>
      </c>
      <c r="I423" s="577">
        <f t="shared" si="68"/>
        <v>4.3299999999999998E-2</v>
      </c>
      <c r="J423" s="577">
        <f t="shared" si="72"/>
        <v>4.2841666666666667E-2</v>
      </c>
      <c r="K423" s="577">
        <f t="shared" si="73"/>
        <v>3.4749166666666664E-2</v>
      </c>
      <c r="L423" s="585">
        <f t="shared" si="69"/>
        <v>-1.3285087851528599E-2</v>
      </c>
      <c r="M423" s="585">
        <f t="shared" si="70"/>
        <v>3.8400000000000004E-2</v>
      </c>
      <c r="N423" s="585">
        <f t="shared" si="63"/>
        <v>4.3900000000000002E-2</v>
      </c>
      <c r="O423" s="586">
        <f t="shared" si="71"/>
        <v>-5.1685087851528602E-2</v>
      </c>
      <c r="P423" s="585">
        <f t="shared" si="64"/>
        <v>-5.71850878515286E-2</v>
      </c>
      <c r="Q423" s="585">
        <f t="shared" si="65"/>
        <v>0.14700009761046773</v>
      </c>
      <c r="R423" s="585">
        <f t="shared" si="66"/>
        <v>4.6210000000000001E-2</v>
      </c>
      <c r="S423" s="586">
        <f t="shared" si="67"/>
        <v>0.10079009761046773</v>
      </c>
      <c r="U423" s="587"/>
      <c r="V423" s="587"/>
      <c r="W423" s="587"/>
      <c r="X423" s="587"/>
      <c r="Y423" s="587"/>
      <c r="Z423" s="587"/>
      <c r="AA423" s="587"/>
      <c r="AB423" s="587"/>
      <c r="AC423" s="587"/>
      <c r="AE423" s="587"/>
      <c r="AF423" s="587"/>
      <c r="AG423" s="587"/>
      <c r="AH423" s="587"/>
      <c r="AI423" s="587"/>
      <c r="AJ423" s="587"/>
      <c r="AK423" s="587"/>
      <c r="AL423" s="587"/>
      <c r="AM423" s="587"/>
      <c r="AO423" s="587"/>
      <c r="AP423" s="587"/>
      <c r="AQ423" s="587"/>
      <c r="AR423" s="587"/>
      <c r="AS423" s="587"/>
      <c r="AT423" s="587"/>
      <c r="AU423" s="587"/>
      <c r="AV423" s="587"/>
      <c r="AW423" s="587"/>
    </row>
    <row r="424" spans="1:49">
      <c r="A424" s="581">
        <v>22251</v>
      </c>
      <c r="B424" s="594">
        <v>4.7899999999999998E-2</v>
      </c>
      <c r="C424" s="577">
        <v>7.2399999999999992E-2</v>
      </c>
      <c r="D424" s="577">
        <v>3.3E-3</v>
      </c>
      <c r="E424" s="577">
        <v>3.6249999999999998E-3</v>
      </c>
      <c r="F424" s="577">
        <v>3.7499999999999999E-3</v>
      </c>
      <c r="G424" s="577">
        <v>3.6875000000000002E-3</v>
      </c>
      <c r="H424" s="577">
        <v>3.875E-3</v>
      </c>
      <c r="I424" s="577">
        <f t="shared" si="68"/>
        <v>4.4600000000000001E-2</v>
      </c>
      <c r="J424" s="577">
        <f t="shared" si="72"/>
        <v>4.4212499999999995E-2</v>
      </c>
      <c r="K424" s="577">
        <f t="shared" si="73"/>
        <v>6.8524999999999989E-2</v>
      </c>
      <c r="L424" s="585">
        <f t="shared" si="69"/>
        <v>4.6429813839716783E-3</v>
      </c>
      <c r="M424" s="585">
        <f t="shared" si="70"/>
        <v>3.9599999999999996E-2</v>
      </c>
      <c r="N424" s="585">
        <f t="shared" ref="N424:N487" si="74">G424*12</f>
        <v>4.4250000000000005E-2</v>
      </c>
      <c r="O424" s="586">
        <f t="shared" si="71"/>
        <v>-3.4957018616028318E-2</v>
      </c>
      <c r="P424" s="585">
        <f t="shared" ref="P424:P487" si="75">L424-N424</f>
        <v>-3.9607018616028326E-2</v>
      </c>
      <c r="Q424" s="585">
        <f t="shared" ref="Q424:Q487" si="76">((1+C413)*(1+C414)*(1+C415)*(1+C416)*(1+C417)*(1+C418)*(1+C419)*(1+C420)*(1+C421)*(1+C422)*(1+C423)*(1+C424))-1</f>
        <v>0.20238798111189249</v>
      </c>
      <c r="R424" s="585">
        <f t="shared" ref="R424:R487" si="77">H424*12</f>
        <v>4.65E-2</v>
      </c>
      <c r="S424" s="586">
        <f t="shared" ref="S424:S487" si="78">Q424-R424</f>
        <v>0.1558879811118925</v>
      </c>
      <c r="U424" s="587"/>
      <c r="V424" s="587"/>
      <c r="W424" s="587"/>
      <c r="X424" s="587"/>
      <c r="Y424" s="587"/>
      <c r="Z424" s="587"/>
      <c r="AA424" s="587"/>
      <c r="AB424" s="587"/>
      <c r="AC424" s="587"/>
      <c r="AE424" s="587"/>
      <c r="AF424" s="587"/>
      <c r="AG424" s="587"/>
      <c r="AH424" s="587"/>
      <c r="AI424" s="587"/>
      <c r="AJ424" s="587"/>
      <c r="AK424" s="587"/>
      <c r="AL424" s="587"/>
      <c r="AM424" s="587"/>
      <c r="AO424" s="587"/>
      <c r="AP424" s="587"/>
      <c r="AQ424" s="587"/>
      <c r="AR424" s="587"/>
      <c r="AS424" s="587"/>
      <c r="AT424" s="587"/>
      <c r="AU424" s="587"/>
      <c r="AV424" s="587"/>
      <c r="AW424" s="587"/>
    </row>
    <row r="425" spans="1:49">
      <c r="A425" s="581">
        <v>22282</v>
      </c>
      <c r="B425" s="594">
        <v>6.4500000000000002E-2</v>
      </c>
      <c r="C425" s="577">
        <v>6.1900000000000004E-2</v>
      </c>
      <c r="D425" s="577">
        <v>3.3E-3</v>
      </c>
      <c r="E425" s="577">
        <v>3.6000000000000003E-3</v>
      </c>
      <c r="F425" s="577">
        <v>3.7333333333333333E-3</v>
      </c>
      <c r="G425" s="577">
        <v>3.666666666666667E-3</v>
      </c>
      <c r="H425" s="577">
        <v>3.8666666666666667E-3</v>
      </c>
      <c r="I425" s="577">
        <f t="shared" si="68"/>
        <v>6.1200000000000004E-2</v>
      </c>
      <c r="J425" s="577">
        <f t="shared" si="72"/>
        <v>6.0833333333333336E-2</v>
      </c>
      <c r="K425" s="577">
        <f t="shared" si="73"/>
        <v>5.803333333333334E-2</v>
      </c>
      <c r="L425" s="585">
        <f t="shared" si="69"/>
        <v>0.14993812224004044</v>
      </c>
      <c r="M425" s="585">
        <f t="shared" si="70"/>
        <v>3.9599999999999996E-2</v>
      </c>
      <c r="N425" s="585">
        <f t="shared" si="74"/>
        <v>4.4000000000000004E-2</v>
      </c>
      <c r="O425" s="586">
        <f t="shared" si="71"/>
        <v>0.11033812224004044</v>
      </c>
      <c r="P425" s="585">
        <f t="shared" si="75"/>
        <v>0.10593812224004043</v>
      </c>
      <c r="Q425" s="585">
        <f t="shared" si="76"/>
        <v>0.29075596152721284</v>
      </c>
      <c r="R425" s="585">
        <f t="shared" si="77"/>
        <v>4.6399999999999997E-2</v>
      </c>
      <c r="S425" s="586">
        <f t="shared" si="78"/>
        <v>0.24435596152721284</v>
      </c>
      <c r="U425" s="587"/>
      <c r="V425" s="587"/>
      <c r="W425" s="587"/>
      <c r="X425" s="587"/>
      <c r="Y425" s="587"/>
      <c r="Z425" s="587"/>
      <c r="AA425" s="587"/>
      <c r="AB425" s="587"/>
      <c r="AC425" s="587"/>
      <c r="AE425" s="587"/>
      <c r="AF425" s="587"/>
      <c r="AG425" s="587"/>
      <c r="AH425" s="587"/>
      <c r="AI425" s="587"/>
      <c r="AJ425" s="587"/>
      <c r="AK425" s="587"/>
      <c r="AL425" s="587"/>
      <c r="AM425" s="587"/>
      <c r="AO425" s="587"/>
      <c r="AP425" s="587"/>
      <c r="AQ425" s="587"/>
      <c r="AR425" s="587"/>
      <c r="AS425" s="587"/>
      <c r="AT425" s="587"/>
      <c r="AU425" s="587"/>
      <c r="AV425" s="587"/>
      <c r="AW425" s="587"/>
    </row>
    <row r="426" spans="1:49">
      <c r="A426" s="581">
        <v>22313</v>
      </c>
      <c r="B426" s="594">
        <v>3.1899999999999998E-2</v>
      </c>
      <c r="C426" s="577">
        <v>3.5700000000000003E-2</v>
      </c>
      <c r="D426" s="577">
        <v>3.0000000000000001E-3</v>
      </c>
      <c r="E426" s="577">
        <v>3.5583333333333326E-3</v>
      </c>
      <c r="F426" s="577">
        <v>3.666666666666667E-3</v>
      </c>
      <c r="G426" s="577">
        <v>3.6124999999999994E-3</v>
      </c>
      <c r="H426" s="577">
        <v>3.8250000000000003E-3</v>
      </c>
      <c r="I426" s="577">
        <f t="shared" si="68"/>
        <v>2.8899999999999999E-2</v>
      </c>
      <c r="J426" s="577">
        <f t="shared" si="72"/>
        <v>2.82875E-2</v>
      </c>
      <c r="K426" s="577">
        <f t="shared" si="73"/>
        <v>3.1875000000000001E-2</v>
      </c>
      <c r="L426" s="585">
        <f t="shared" si="69"/>
        <v>0.1694305196999093</v>
      </c>
      <c r="M426" s="585">
        <f t="shared" si="70"/>
        <v>3.6000000000000004E-2</v>
      </c>
      <c r="N426" s="585">
        <f t="shared" si="74"/>
        <v>4.3349999999999993E-2</v>
      </c>
      <c r="O426" s="586">
        <f t="shared" si="71"/>
        <v>0.13343051969990929</v>
      </c>
      <c r="P426" s="585">
        <f t="shared" si="75"/>
        <v>0.1260805196999093</v>
      </c>
      <c r="Q426" s="585">
        <f t="shared" si="76"/>
        <v>0.31306939333438177</v>
      </c>
      <c r="R426" s="585">
        <f t="shared" si="77"/>
        <v>4.5900000000000003E-2</v>
      </c>
      <c r="S426" s="586">
        <f t="shared" si="78"/>
        <v>0.26716939333438178</v>
      </c>
      <c r="U426" s="587"/>
      <c r="V426" s="587"/>
      <c r="W426" s="587"/>
      <c r="X426" s="587"/>
      <c r="Y426" s="587"/>
      <c r="Z426" s="587"/>
      <c r="AA426" s="587"/>
      <c r="AB426" s="587"/>
      <c r="AC426" s="587"/>
      <c r="AE426" s="587"/>
      <c r="AF426" s="587"/>
      <c r="AG426" s="587"/>
      <c r="AH426" s="587"/>
      <c r="AI426" s="587"/>
      <c r="AJ426" s="587"/>
      <c r="AK426" s="587"/>
      <c r="AL426" s="587"/>
      <c r="AM426" s="587"/>
      <c r="AO426" s="587"/>
      <c r="AP426" s="587"/>
      <c r="AQ426" s="587"/>
      <c r="AR426" s="587"/>
      <c r="AS426" s="587"/>
      <c r="AT426" s="587"/>
      <c r="AU426" s="587"/>
      <c r="AV426" s="587"/>
      <c r="AW426" s="587"/>
    </row>
    <row r="427" spans="1:49">
      <c r="A427" s="581">
        <v>22341</v>
      </c>
      <c r="B427" s="594">
        <v>2.7E-2</v>
      </c>
      <c r="C427" s="577">
        <v>3.1899999999999998E-2</v>
      </c>
      <c r="D427" s="577">
        <v>3.0999999999999999E-3</v>
      </c>
      <c r="E427" s="577">
        <v>3.5166666666666662E-3</v>
      </c>
      <c r="F427" s="577">
        <v>3.6083333333333332E-3</v>
      </c>
      <c r="G427" s="577">
        <v>3.5624999999999997E-3</v>
      </c>
      <c r="H427" s="577">
        <v>3.7333333333333333E-3</v>
      </c>
      <c r="I427" s="577">
        <f t="shared" si="68"/>
        <v>2.3900000000000001E-2</v>
      </c>
      <c r="J427" s="577">
        <f t="shared" si="72"/>
        <v>2.34375E-2</v>
      </c>
      <c r="K427" s="577">
        <f t="shared" si="73"/>
        <v>2.8166666666666666E-2</v>
      </c>
      <c r="L427" s="585">
        <f t="shared" si="69"/>
        <v>0.21596146981047526</v>
      </c>
      <c r="M427" s="585">
        <f t="shared" si="70"/>
        <v>3.7199999999999997E-2</v>
      </c>
      <c r="N427" s="585">
        <f t="shared" si="74"/>
        <v>4.2749999999999996E-2</v>
      </c>
      <c r="O427" s="586">
        <f t="shared" si="71"/>
        <v>0.17876146981047525</v>
      </c>
      <c r="P427" s="585">
        <f t="shared" si="75"/>
        <v>0.17321146981047525</v>
      </c>
      <c r="Q427" s="585">
        <f t="shared" si="76"/>
        <v>0.33611705648530577</v>
      </c>
      <c r="R427" s="585">
        <f t="shared" si="77"/>
        <v>4.48E-2</v>
      </c>
      <c r="S427" s="586">
        <f t="shared" si="78"/>
        <v>0.29131705648530576</v>
      </c>
      <c r="U427" s="587"/>
      <c r="V427" s="587"/>
      <c r="W427" s="587"/>
      <c r="X427" s="587"/>
      <c r="Y427" s="587"/>
      <c r="Z427" s="587"/>
      <c r="AA427" s="587"/>
      <c r="AB427" s="587"/>
      <c r="AC427" s="587"/>
      <c r="AE427" s="587"/>
      <c r="AF427" s="587"/>
      <c r="AG427" s="587"/>
      <c r="AH427" s="587"/>
      <c r="AI427" s="587"/>
      <c r="AJ427" s="587"/>
      <c r="AK427" s="587"/>
      <c r="AL427" s="587"/>
      <c r="AM427" s="587"/>
      <c r="AO427" s="587"/>
      <c r="AP427" s="587"/>
      <c r="AQ427" s="587"/>
      <c r="AR427" s="587"/>
      <c r="AS427" s="587"/>
      <c r="AT427" s="587"/>
      <c r="AU427" s="587"/>
      <c r="AV427" s="587"/>
      <c r="AW427" s="587"/>
    </row>
    <row r="428" spans="1:49">
      <c r="A428" s="581">
        <v>22372</v>
      </c>
      <c r="B428" s="594">
        <v>5.1000000000000004E-3</v>
      </c>
      <c r="C428" s="577">
        <v>1.09E-2</v>
      </c>
      <c r="D428" s="577">
        <v>3.0999999999999999E-3</v>
      </c>
      <c r="E428" s="577">
        <v>3.5416666666666669E-3</v>
      </c>
      <c r="F428" s="577">
        <v>3.6416666666666667E-3</v>
      </c>
      <c r="G428" s="577">
        <v>3.5916666666666671E-3</v>
      </c>
      <c r="H428" s="577">
        <v>3.7333333333333333E-3</v>
      </c>
      <c r="I428" s="577">
        <f t="shared" si="68"/>
        <v>2.0000000000000005E-3</v>
      </c>
      <c r="J428" s="577">
        <f t="shared" si="72"/>
        <v>1.5083333333333333E-3</v>
      </c>
      <c r="K428" s="577">
        <f t="shared" si="73"/>
        <v>7.1666666666666667E-3</v>
      </c>
      <c r="L428" s="585">
        <f t="shared" si="69"/>
        <v>0.24216167629485663</v>
      </c>
      <c r="M428" s="585">
        <f t="shared" si="70"/>
        <v>3.7199999999999997E-2</v>
      </c>
      <c r="N428" s="585">
        <f t="shared" si="74"/>
        <v>4.3100000000000006E-2</v>
      </c>
      <c r="O428" s="586">
        <f t="shared" si="71"/>
        <v>0.20496167629485662</v>
      </c>
      <c r="P428" s="585">
        <f t="shared" si="75"/>
        <v>0.19906167629485663</v>
      </c>
      <c r="Q428" s="585">
        <f t="shared" si="76"/>
        <v>0.34062603712257622</v>
      </c>
      <c r="R428" s="585">
        <f t="shared" si="77"/>
        <v>4.48E-2</v>
      </c>
      <c r="S428" s="586">
        <f t="shared" si="78"/>
        <v>0.29582603712257621</v>
      </c>
      <c r="U428" s="587"/>
      <c r="V428" s="587"/>
      <c r="W428" s="587"/>
      <c r="X428" s="587"/>
      <c r="Y428" s="587"/>
      <c r="Z428" s="587"/>
      <c r="AA428" s="587"/>
      <c r="AB428" s="587"/>
      <c r="AC428" s="587"/>
      <c r="AE428" s="587"/>
      <c r="AF428" s="587"/>
      <c r="AG428" s="587"/>
      <c r="AH428" s="587"/>
      <c r="AI428" s="587"/>
      <c r="AJ428" s="587"/>
      <c r="AK428" s="587"/>
      <c r="AL428" s="587"/>
      <c r="AM428" s="587"/>
      <c r="AO428" s="587"/>
      <c r="AP428" s="587"/>
      <c r="AQ428" s="587"/>
      <c r="AR428" s="587"/>
      <c r="AS428" s="587"/>
      <c r="AT428" s="587"/>
      <c r="AU428" s="587"/>
      <c r="AV428" s="587"/>
      <c r="AW428" s="587"/>
    </row>
    <row r="429" spans="1:49">
      <c r="A429" s="581">
        <v>22402</v>
      </c>
      <c r="B429" s="594">
        <v>2.3900000000000001E-2</v>
      </c>
      <c r="C429" s="577">
        <v>1.3299999999999999E-2</v>
      </c>
      <c r="D429" s="577">
        <v>3.3999999999999998E-3</v>
      </c>
      <c r="E429" s="577">
        <v>3.5583333333333326E-3</v>
      </c>
      <c r="F429" s="577">
        <v>3.6749999999999999E-3</v>
      </c>
      <c r="G429" s="577">
        <v>3.6166666666666665E-3</v>
      </c>
      <c r="H429" s="577">
        <v>3.7666666666666664E-3</v>
      </c>
      <c r="I429" s="577">
        <f t="shared" si="68"/>
        <v>2.0500000000000001E-2</v>
      </c>
      <c r="J429" s="577">
        <f t="shared" si="72"/>
        <v>2.0283333333333334E-2</v>
      </c>
      <c r="K429" s="577">
        <f t="shared" si="73"/>
        <v>9.5333333333333329E-3</v>
      </c>
      <c r="L429" s="585">
        <f t="shared" si="69"/>
        <v>0.23169604915582331</v>
      </c>
      <c r="M429" s="585">
        <f t="shared" si="70"/>
        <v>4.0799999999999996E-2</v>
      </c>
      <c r="N429" s="585">
        <f t="shared" si="74"/>
        <v>4.3399999999999994E-2</v>
      </c>
      <c r="O429" s="586">
        <f t="shared" si="71"/>
        <v>0.19089604915582331</v>
      </c>
      <c r="P429" s="585">
        <f t="shared" si="75"/>
        <v>0.18829604915582332</v>
      </c>
      <c r="Q429" s="585">
        <f t="shared" si="76"/>
        <v>0.32752503021235846</v>
      </c>
      <c r="R429" s="585">
        <f t="shared" si="77"/>
        <v>4.5199999999999997E-2</v>
      </c>
      <c r="S429" s="586">
        <f t="shared" si="78"/>
        <v>0.28232503021235844</v>
      </c>
      <c r="U429" s="587"/>
      <c r="V429" s="587"/>
      <c r="W429" s="587"/>
      <c r="X429" s="587"/>
      <c r="Y429" s="587"/>
      <c r="Z429" s="587"/>
      <c r="AA429" s="587"/>
      <c r="AB429" s="587"/>
      <c r="AC429" s="587"/>
      <c r="AE429" s="587"/>
      <c r="AF429" s="587"/>
      <c r="AG429" s="587"/>
      <c r="AH429" s="587"/>
      <c r="AI429" s="587"/>
      <c r="AJ429" s="587"/>
      <c r="AK429" s="587"/>
      <c r="AL429" s="587"/>
      <c r="AM429" s="587"/>
      <c r="AO429" s="587"/>
      <c r="AP429" s="587"/>
      <c r="AQ429" s="587"/>
      <c r="AR429" s="587"/>
      <c r="AS429" s="587"/>
      <c r="AT429" s="587"/>
      <c r="AU429" s="587"/>
      <c r="AV429" s="587"/>
      <c r="AW429" s="587"/>
    </row>
    <row r="430" spans="1:49">
      <c r="A430" s="581">
        <v>22433</v>
      </c>
      <c r="B430" s="594">
        <v>-2.75E-2</v>
      </c>
      <c r="C430" s="577">
        <v>-2.2699999999999994E-2</v>
      </c>
      <c r="D430" s="577">
        <v>3.2000000000000002E-3</v>
      </c>
      <c r="E430" s="577">
        <v>3.6083333333333332E-3</v>
      </c>
      <c r="F430" s="577">
        <v>3.7083333333333334E-3</v>
      </c>
      <c r="G430" s="577">
        <v>3.6583333333333333E-3</v>
      </c>
      <c r="H430" s="577">
        <v>3.8083333333333337E-3</v>
      </c>
      <c r="I430" s="577">
        <f t="shared" si="68"/>
        <v>-3.0700000000000002E-2</v>
      </c>
      <c r="J430" s="577">
        <f t="shared" si="72"/>
        <v>-3.1158333333333333E-2</v>
      </c>
      <c r="K430" s="577">
        <f t="shared" si="73"/>
        <v>-2.6508333333333328E-2</v>
      </c>
      <c r="L430" s="585">
        <f t="shared" si="69"/>
        <v>0.17307257644113117</v>
      </c>
      <c r="M430" s="585">
        <f t="shared" si="70"/>
        <v>3.8400000000000004E-2</v>
      </c>
      <c r="N430" s="585">
        <f t="shared" si="74"/>
        <v>4.3900000000000002E-2</v>
      </c>
      <c r="O430" s="586">
        <f t="shared" si="71"/>
        <v>0.13467257644113118</v>
      </c>
      <c r="P430" s="585">
        <f t="shared" si="75"/>
        <v>0.12917257644113117</v>
      </c>
      <c r="Q430" s="585">
        <f t="shared" si="76"/>
        <v>0.24653171793479833</v>
      </c>
      <c r="R430" s="585">
        <f t="shared" si="77"/>
        <v>4.5700000000000005E-2</v>
      </c>
      <c r="S430" s="586">
        <f t="shared" si="78"/>
        <v>0.20083171793479832</v>
      </c>
      <c r="U430" s="587"/>
      <c r="V430" s="587"/>
      <c r="W430" s="587"/>
      <c r="X430" s="587"/>
      <c r="Y430" s="587"/>
      <c r="Z430" s="587"/>
      <c r="AA430" s="587"/>
      <c r="AB430" s="587"/>
      <c r="AC430" s="587"/>
      <c r="AE430" s="587"/>
      <c r="AF430" s="587"/>
      <c r="AG430" s="587"/>
      <c r="AH430" s="587"/>
      <c r="AI430" s="587"/>
      <c r="AJ430" s="587"/>
      <c r="AK430" s="587"/>
      <c r="AL430" s="587"/>
      <c r="AM430" s="587"/>
      <c r="AO430" s="587"/>
      <c r="AP430" s="587"/>
      <c r="AQ430" s="587"/>
      <c r="AR430" s="587"/>
      <c r="AS430" s="587"/>
      <c r="AT430" s="587"/>
      <c r="AU430" s="587"/>
      <c r="AV430" s="587"/>
      <c r="AW430" s="587"/>
    </row>
    <row r="431" spans="1:49">
      <c r="A431" s="581">
        <v>22463</v>
      </c>
      <c r="B431" s="594">
        <v>3.4200000000000001E-2</v>
      </c>
      <c r="C431" s="577">
        <v>4.24E-2</v>
      </c>
      <c r="D431" s="577">
        <v>3.3E-3</v>
      </c>
      <c r="E431" s="577">
        <v>3.6749999999999999E-3</v>
      </c>
      <c r="F431" s="577">
        <v>3.7750000000000001E-3</v>
      </c>
      <c r="G431" s="577">
        <v>3.725E-3</v>
      </c>
      <c r="H431" s="577">
        <v>3.875E-3</v>
      </c>
      <c r="I431" s="577">
        <f t="shared" si="68"/>
        <v>3.09E-2</v>
      </c>
      <c r="J431" s="577">
        <f t="shared" si="72"/>
        <v>3.0475000000000002E-2</v>
      </c>
      <c r="K431" s="577">
        <f t="shared" si="73"/>
        <v>3.8525000000000004E-2</v>
      </c>
      <c r="L431" s="585">
        <f t="shared" si="69"/>
        <v>0.24226055555541426</v>
      </c>
      <c r="M431" s="585">
        <f t="shared" si="70"/>
        <v>3.9599999999999996E-2</v>
      </c>
      <c r="N431" s="585">
        <f t="shared" si="74"/>
        <v>4.4700000000000004E-2</v>
      </c>
      <c r="O431" s="586">
        <f t="shared" si="71"/>
        <v>0.20266055555541426</v>
      </c>
      <c r="P431" s="585">
        <f t="shared" si="75"/>
        <v>0.19756055555541424</v>
      </c>
      <c r="Q431" s="585">
        <f t="shared" si="76"/>
        <v>0.31250976037902434</v>
      </c>
      <c r="R431" s="585">
        <f t="shared" si="77"/>
        <v>4.65E-2</v>
      </c>
      <c r="S431" s="586">
        <f t="shared" si="78"/>
        <v>0.26600976037902435</v>
      </c>
      <c r="U431" s="587"/>
      <c r="V431" s="587"/>
      <c r="W431" s="587"/>
      <c r="X431" s="587"/>
      <c r="Y431" s="587"/>
      <c r="Z431" s="587"/>
      <c r="AA431" s="587"/>
      <c r="AB431" s="587"/>
      <c r="AC431" s="587"/>
      <c r="AE431" s="587"/>
      <c r="AF431" s="587"/>
      <c r="AG431" s="587"/>
      <c r="AH431" s="587"/>
      <c r="AI431" s="587"/>
      <c r="AJ431" s="587"/>
      <c r="AK431" s="587"/>
      <c r="AL431" s="587"/>
      <c r="AM431" s="587"/>
      <c r="AO431" s="587"/>
      <c r="AP431" s="587"/>
      <c r="AQ431" s="587"/>
      <c r="AR431" s="587"/>
      <c r="AS431" s="587"/>
      <c r="AT431" s="587"/>
      <c r="AU431" s="587"/>
      <c r="AV431" s="587"/>
      <c r="AW431" s="587"/>
    </row>
    <row r="432" spans="1:49">
      <c r="A432" s="581">
        <v>22494</v>
      </c>
      <c r="B432" s="594">
        <v>2.4299999999999999E-2</v>
      </c>
      <c r="C432" s="577">
        <v>4.5400000000000003E-2</v>
      </c>
      <c r="D432" s="577">
        <v>3.3E-3</v>
      </c>
      <c r="E432" s="577">
        <v>3.7083333333333334E-3</v>
      </c>
      <c r="F432" s="577">
        <v>3.8083333333333337E-3</v>
      </c>
      <c r="G432" s="577">
        <v>3.7583333333333336E-3</v>
      </c>
      <c r="H432" s="577">
        <v>3.9416666666666671E-3</v>
      </c>
      <c r="I432" s="577">
        <f t="shared" si="68"/>
        <v>2.0999999999999998E-2</v>
      </c>
      <c r="J432" s="577">
        <f t="shared" si="72"/>
        <v>2.0541666666666666E-2</v>
      </c>
      <c r="K432" s="577">
        <f t="shared" si="73"/>
        <v>4.1458333333333333E-2</v>
      </c>
      <c r="L432" s="585">
        <f t="shared" si="69"/>
        <v>0.23335028308171979</v>
      </c>
      <c r="M432" s="585">
        <f t="shared" si="70"/>
        <v>3.9599999999999996E-2</v>
      </c>
      <c r="N432" s="585">
        <f t="shared" si="74"/>
        <v>4.5100000000000001E-2</v>
      </c>
      <c r="O432" s="586">
        <f t="shared" si="71"/>
        <v>0.19375028308171979</v>
      </c>
      <c r="P432" s="585">
        <f t="shared" si="75"/>
        <v>0.18825028308171979</v>
      </c>
      <c r="Q432" s="585">
        <f t="shared" si="76"/>
        <v>0.30651085840814329</v>
      </c>
      <c r="R432" s="585">
        <f t="shared" si="77"/>
        <v>4.7300000000000009E-2</v>
      </c>
      <c r="S432" s="586">
        <f t="shared" si="78"/>
        <v>0.25921085840814329</v>
      </c>
      <c r="U432" s="587"/>
      <c r="V432" s="587"/>
      <c r="W432" s="587"/>
      <c r="X432" s="587"/>
      <c r="Y432" s="587"/>
      <c r="Z432" s="587"/>
      <c r="AA432" s="587"/>
      <c r="AB432" s="587"/>
      <c r="AC432" s="587"/>
      <c r="AE432" s="587"/>
      <c r="AF432" s="587"/>
      <c r="AG432" s="587"/>
      <c r="AH432" s="587"/>
      <c r="AI432" s="587"/>
      <c r="AJ432" s="587"/>
      <c r="AK432" s="587"/>
      <c r="AL432" s="587"/>
      <c r="AM432" s="587"/>
      <c r="AO432" s="587"/>
      <c r="AP432" s="587"/>
      <c r="AQ432" s="587"/>
      <c r="AR432" s="587"/>
      <c r="AS432" s="587"/>
      <c r="AT432" s="587"/>
      <c r="AU432" s="587"/>
      <c r="AV432" s="587"/>
      <c r="AW432" s="587"/>
    </row>
    <row r="433" spans="1:49">
      <c r="A433" s="581">
        <v>22525</v>
      </c>
      <c r="B433" s="594">
        <v>-1.84E-2</v>
      </c>
      <c r="C433" s="577">
        <v>-6.6999999999999994E-3</v>
      </c>
      <c r="D433" s="577">
        <v>3.2000000000000002E-3</v>
      </c>
      <c r="E433" s="577">
        <v>3.7083333333333334E-3</v>
      </c>
      <c r="F433" s="577">
        <v>3.8250000000000003E-3</v>
      </c>
      <c r="G433" s="577">
        <v>3.7666666666666669E-3</v>
      </c>
      <c r="H433" s="577">
        <v>3.9416666666666671E-3</v>
      </c>
      <c r="I433" s="577">
        <f t="shared" si="68"/>
        <v>-2.1600000000000001E-2</v>
      </c>
      <c r="J433" s="577">
        <f t="shared" si="72"/>
        <v>-2.2166666666666668E-2</v>
      </c>
      <c r="K433" s="577">
        <f t="shared" si="73"/>
        <v>-1.0641666666666667E-2</v>
      </c>
      <c r="L433" s="585">
        <f t="shared" si="69"/>
        <v>0.28656390847291857</v>
      </c>
      <c r="M433" s="585">
        <f t="shared" si="70"/>
        <v>3.8400000000000004E-2</v>
      </c>
      <c r="N433" s="585">
        <f t="shared" si="74"/>
        <v>4.5200000000000004E-2</v>
      </c>
      <c r="O433" s="586">
        <f t="shared" si="71"/>
        <v>0.24816390847291858</v>
      </c>
      <c r="P433" s="585">
        <f t="shared" si="75"/>
        <v>0.24136390847291855</v>
      </c>
      <c r="Q433" s="585">
        <f t="shared" si="76"/>
        <v>0.36807636059119608</v>
      </c>
      <c r="R433" s="585">
        <f t="shared" si="77"/>
        <v>4.7300000000000009E-2</v>
      </c>
      <c r="S433" s="586">
        <f t="shared" si="78"/>
        <v>0.32077636059119607</v>
      </c>
      <c r="U433" s="587"/>
      <c r="V433" s="587"/>
      <c r="W433" s="587"/>
      <c r="X433" s="587"/>
      <c r="Y433" s="587"/>
      <c r="Z433" s="587"/>
      <c r="AA433" s="587"/>
      <c r="AB433" s="587"/>
      <c r="AC433" s="587"/>
      <c r="AE433" s="587"/>
      <c r="AF433" s="587"/>
      <c r="AG433" s="587"/>
      <c r="AH433" s="587"/>
      <c r="AI433" s="587"/>
      <c r="AJ433" s="587"/>
      <c r="AK433" s="587"/>
      <c r="AL433" s="587"/>
      <c r="AM433" s="587"/>
      <c r="AO433" s="587"/>
      <c r="AP433" s="587"/>
      <c r="AQ433" s="587"/>
      <c r="AR433" s="587"/>
      <c r="AS433" s="587"/>
      <c r="AT433" s="587"/>
      <c r="AU433" s="587"/>
      <c r="AV433" s="587"/>
      <c r="AW433" s="587"/>
    </row>
    <row r="434" spans="1:49">
      <c r="A434" s="581">
        <v>22555</v>
      </c>
      <c r="B434" s="594">
        <v>2.98E-2</v>
      </c>
      <c r="C434" s="577">
        <v>4.8000000000000001E-2</v>
      </c>
      <c r="D434" s="577">
        <v>3.3999999999999998E-3</v>
      </c>
      <c r="E434" s="577">
        <v>3.6833333333333336E-3</v>
      </c>
      <c r="F434" s="577">
        <v>3.7999999999999996E-3</v>
      </c>
      <c r="G434" s="577">
        <v>3.7416666666666666E-3</v>
      </c>
      <c r="H434" s="577">
        <v>3.9250000000000005E-3</v>
      </c>
      <c r="I434" s="577">
        <f t="shared" si="68"/>
        <v>2.64E-2</v>
      </c>
      <c r="J434" s="577">
        <f t="shared" si="72"/>
        <v>2.6058333333333333E-2</v>
      </c>
      <c r="K434" s="577">
        <f t="shared" si="73"/>
        <v>4.4075000000000003E-2</v>
      </c>
      <c r="L434" s="585">
        <f t="shared" si="69"/>
        <v>0.32583159506195503</v>
      </c>
      <c r="M434" s="585">
        <f t="shared" si="70"/>
        <v>4.0799999999999996E-2</v>
      </c>
      <c r="N434" s="585">
        <f t="shared" si="74"/>
        <v>4.4899999999999995E-2</v>
      </c>
      <c r="O434" s="586">
        <f t="shared" si="71"/>
        <v>0.28503159506195502</v>
      </c>
      <c r="P434" s="585">
        <f t="shared" si="75"/>
        <v>0.28093159506195503</v>
      </c>
      <c r="Q434" s="585">
        <f t="shared" si="76"/>
        <v>0.43546658580253617</v>
      </c>
      <c r="R434" s="585">
        <f t="shared" si="77"/>
        <v>4.7100000000000003E-2</v>
      </c>
      <c r="S434" s="586">
        <f t="shared" si="78"/>
        <v>0.38836658580253614</v>
      </c>
      <c r="U434" s="587"/>
      <c r="V434" s="587"/>
      <c r="W434" s="587"/>
      <c r="X434" s="587"/>
      <c r="Y434" s="587"/>
      <c r="Z434" s="587"/>
      <c r="AA434" s="587"/>
      <c r="AB434" s="587"/>
      <c r="AC434" s="587"/>
      <c r="AE434" s="587"/>
      <c r="AF434" s="587"/>
      <c r="AG434" s="587"/>
      <c r="AH434" s="587"/>
      <c r="AI434" s="587"/>
      <c r="AJ434" s="587"/>
      <c r="AK434" s="587"/>
      <c r="AL434" s="587"/>
      <c r="AM434" s="587"/>
      <c r="AO434" s="587"/>
      <c r="AP434" s="587"/>
      <c r="AQ434" s="587"/>
      <c r="AR434" s="587"/>
      <c r="AS434" s="587"/>
      <c r="AT434" s="587"/>
      <c r="AU434" s="587"/>
      <c r="AV434" s="587"/>
      <c r="AW434" s="587"/>
    </row>
    <row r="435" spans="1:49">
      <c r="A435" s="581">
        <v>22586</v>
      </c>
      <c r="B435" s="594">
        <v>4.4699999999999997E-2</v>
      </c>
      <c r="C435" s="577">
        <v>3.3500000000000002E-2</v>
      </c>
      <c r="D435" s="577">
        <v>3.2000000000000002E-3</v>
      </c>
      <c r="E435" s="577">
        <v>3.6583333333333329E-3</v>
      </c>
      <c r="F435" s="577">
        <v>3.7833333333333334E-3</v>
      </c>
      <c r="G435" s="577">
        <v>3.7208333333333334E-3</v>
      </c>
      <c r="H435" s="577">
        <v>3.8999999999999994E-3</v>
      </c>
      <c r="I435" s="577">
        <f t="shared" si="68"/>
        <v>4.1499999999999995E-2</v>
      </c>
      <c r="J435" s="577">
        <f t="shared" si="72"/>
        <v>4.0979166666666664E-2</v>
      </c>
      <c r="K435" s="577">
        <f t="shared" si="73"/>
        <v>2.9600000000000001E-2</v>
      </c>
      <c r="L435" s="585">
        <f t="shared" si="69"/>
        <v>0.32355113938005209</v>
      </c>
      <c r="M435" s="585">
        <f t="shared" si="70"/>
        <v>3.8400000000000004E-2</v>
      </c>
      <c r="N435" s="585">
        <f t="shared" si="74"/>
        <v>4.4650000000000002E-2</v>
      </c>
      <c r="O435" s="586">
        <f t="shared" si="71"/>
        <v>0.2851511393800521</v>
      </c>
      <c r="P435" s="585">
        <f t="shared" si="75"/>
        <v>0.27890113938005207</v>
      </c>
      <c r="Q435" s="585">
        <f t="shared" si="76"/>
        <v>0.42841778974284761</v>
      </c>
      <c r="R435" s="585">
        <f t="shared" si="77"/>
        <v>4.6799999999999994E-2</v>
      </c>
      <c r="S435" s="586">
        <f t="shared" si="78"/>
        <v>0.3816177897428476</v>
      </c>
      <c r="U435" s="587"/>
      <c r="V435" s="587"/>
      <c r="W435" s="587"/>
      <c r="X435" s="587"/>
      <c r="Y435" s="587"/>
      <c r="Z435" s="587"/>
      <c r="AA435" s="587"/>
      <c r="AB435" s="587"/>
      <c r="AC435" s="587"/>
      <c r="AE435" s="587"/>
      <c r="AF435" s="587"/>
      <c r="AG435" s="587"/>
      <c r="AH435" s="587"/>
      <c r="AI435" s="587"/>
      <c r="AJ435" s="587"/>
      <c r="AK435" s="587"/>
      <c r="AL435" s="587"/>
      <c r="AM435" s="587"/>
      <c r="AO435" s="587"/>
      <c r="AP435" s="587"/>
      <c r="AQ435" s="587"/>
      <c r="AR435" s="587"/>
      <c r="AS435" s="587"/>
      <c r="AT435" s="587"/>
      <c r="AU435" s="587"/>
      <c r="AV435" s="587"/>
      <c r="AW435" s="587"/>
    </row>
    <row r="436" spans="1:49">
      <c r="A436" s="581">
        <v>22616</v>
      </c>
      <c r="B436" s="594">
        <v>4.5999999999999999E-3</v>
      </c>
      <c r="C436" s="577">
        <v>-2.92E-2</v>
      </c>
      <c r="D436" s="577">
        <v>3.0999999999999999E-3</v>
      </c>
      <c r="E436" s="577">
        <v>3.6833333333333336E-3</v>
      </c>
      <c r="F436" s="577">
        <v>3.7999999999999996E-3</v>
      </c>
      <c r="G436" s="577">
        <v>3.7416666666666666E-3</v>
      </c>
      <c r="H436" s="577">
        <v>3.875E-3</v>
      </c>
      <c r="I436" s="577">
        <f t="shared" si="68"/>
        <v>1.5E-3</v>
      </c>
      <c r="J436" s="577">
        <f t="shared" si="72"/>
        <v>8.5833333333333334E-4</v>
      </c>
      <c r="K436" s="577">
        <f t="shared" si="73"/>
        <v>-3.3075E-2</v>
      </c>
      <c r="L436" s="585">
        <f t="shared" si="69"/>
        <v>0.26886103122549865</v>
      </c>
      <c r="M436" s="585">
        <f t="shared" si="70"/>
        <v>3.7199999999999997E-2</v>
      </c>
      <c r="N436" s="585">
        <f t="shared" si="74"/>
        <v>4.4899999999999995E-2</v>
      </c>
      <c r="O436" s="586">
        <f t="shared" si="71"/>
        <v>0.23166103122549864</v>
      </c>
      <c r="P436" s="585">
        <f t="shared" si="75"/>
        <v>0.22396103122549865</v>
      </c>
      <c r="Q436" s="585">
        <f t="shared" si="76"/>
        <v>0.29308839078921767</v>
      </c>
      <c r="R436" s="585">
        <f t="shared" si="77"/>
        <v>4.65E-2</v>
      </c>
      <c r="S436" s="586">
        <f t="shared" si="78"/>
        <v>0.24658839078921768</v>
      </c>
      <c r="U436" s="587"/>
      <c r="V436" s="587"/>
      <c r="W436" s="587"/>
      <c r="X436" s="587"/>
      <c r="Y436" s="587"/>
      <c r="Z436" s="587"/>
      <c r="AA436" s="587"/>
      <c r="AB436" s="587"/>
      <c r="AC436" s="587"/>
      <c r="AE436" s="587"/>
      <c r="AF436" s="587"/>
      <c r="AG436" s="587"/>
      <c r="AH436" s="587"/>
      <c r="AI436" s="587"/>
      <c r="AJ436" s="587"/>
      <c r="AK436" s="587"/>
      <c r="AL436" s="587"/>
      <c r="AM436" s="587"/>
      <c r="AO436" s="587"/>
      <c r="AP436" s="587"/>
      <c r="AQ436" s="587"/>
      <c r="AR436" s="587"/>
      <c r="AS436" s="587"/>
      <c r="AT436" s="587"/>
      <c r="AU436" s="587"/>
      <c r="AV436" s="587"/>
      <c r="AW436" s="587"/>
    </row>
    <row r="437" spans="1:49">
      <c r="A437" s="581">
        <v>22647</v>
      </c>
      <c r="B437" s="594">
        <v>-3.6600000000000001E-2</v>
      </c>
      <c r="C437" s="577">
        <v>-3.6600000000000001E-2</v>
      </c>
      <c r="D437" s="577">
        <v>3.7000000000000002E-3</v>
      </c>
      <c r="E437" s="577">
        <v>3.6833333333333336E-3</v>
      </c>
      <c r="F437" s="577">
        <v>3.7916666666666667E-3</v>
      </c>
      <c r="G437" s="577">
        <v>3.7375000000000004E-3</v>
      </c>
      <c r="H437" s="577">
        <v>3.875E-3</v>
      </c>
      <c r="I437" s="577">
        <f t="shared" si="68"/>
        <v>-4.0300000000000002E-2</v>
      </c>
      <c r="J437" s="577">
        <f t="shared" si="72"/>
        <v>-4.0337499999999998E-2</v>
      </c>
      <c r="K437" s="577">
        <f t="shared" si="73"/>
        <v>-4.0474999999999997E-2</v>
      </c>
      <c r="L437" s="585">
        <f t="shared" si="69"/>
        <v>0.14835201266570741</v>
      </c>
      <c r="M437" s="585">
        <f t="shared" si="70"/>
        <v>4.4400000000000002E-2</v>
      </c>
      <c r="N437" s="585">
        <f t="shared" si="74"/>
        <v>4.4850000000000001E-2</v>
      </c>
      <c r="O437" s="586">
        <f t="shared" si="71"/>
        <v>0.10395201266570742</v>
      </c>
      <c r="P437" s="585">
        <f t="shared" si="75"/>
        <v>0.10350201266570741</v>
      </c>
      <c r="Q437" s="585">
        <f t="shared" si="76"/>
        <v>0.17314375712056851</v>
      </c>
      <c r="R437" s="585">
        <f t="shared" si="77"/>
        <v>4.65E-2</v>
      </c>
      <c r="S437" s="586">
        <f t="shared" si="78"/>
        <v>0.12664375712056852</v>
      </c>
      <c r="U437" s="587"/>
      <c r="V437" s="587"/>
      <c r="W437" s="587"/>
      <c r="X437" s="587"/>
      <c r="Y437" s="587"/>
      <c r="Z437" s="587"/>
      <c r="AA437" s="587"/>
      <c r="AB437" s="587"/>
      <c r="AC437" s="587"/>
      <c r="AE437" s="587"/>
      <c r="AF437" s="587"/>
      <c r="AG437" s="587"/>
      <c r="AH437" s="587"/>
      <c r="AI437" s="587"/>
      <c r="AJ437" s="587"/>
      <c r="AK437" s="587"/>
      <c r="AL437" s="587"/>
      <c r="AM437" s="587"/>
      <c r="AO437" s="587"/>
      <c r="AP437" s="587"/>
      <c r="AQ437" s="587"/>
      <c r="AR437" s="587"/>
      <c r="AS437" s="587"/>
      <c r="AT437" s="587"/>
      <c r="AU437" s="587"/>
      <c r="AV437" s="587"/>
      <c r="AW437" s="587"/>
    </row>
    <row r="438" spans="1:49">
      <c r="A438" s="581">
        <v>22678</v>
      </c>
      <c r="B438" s="594">
        <v>2.0899999999999998E-2</v>
      </c>
      <c r="C438" s="577">
        <v>3.0000000000000006E-2</v>
      </c>
      <c r="D438" s="577">
        <v>3.2000000000000002E-3</v>
      </c>
      <c r="E438" s="577">
        <v>3.6833333333333336E-3</v>
      </c>
      <c r="F438" s="577">
        <v>3.7999999999999996E-3</v>
      </c>
      <c r="G438" s="577">
        <v>3.7416666666666666E-3</v>
      </c>
      <c r="H438" s="577">
        <v>3.8833333333333337E-3</v>
      </c>
      <c r="I438" s="577">
        <f t="shared" si="68"/>
        <v>1.7699999999999997E-2</v>
      </c>
      <c r="J438" s="577">
        <f t="shared" si="72"/>
        <v>1.7158333333333331E-2</v>
      </c>
      <c r="K438" s="577">
        <f t="shared" si="73"/>
        <v>2.6116666666666673E-2</v>
      </c>
      <c r="L438" s="585">
        <f t="shared" si="69"/>
        <v>0.13611064030470077</v>
      </c>
      <c r="M438" s="585">
        <f t="shared" si="70"/>
        <v>3.8400000000000004E-2</v>
      </c>
      <c r="N438" s="585">
        <f t="shared" si="74"/>
        <v>4.4899999999999995E-2</v>
      </c>
      <c r="O438" s="586">
        <f t="shared" si="71"/>
        <v>9.7710640304700766E-2</v>
      </c>
      <c r="P438" s="585">
        <f t="shared" si="75"/>
        <v>9.1210640304700774E-2</v>
      </c>
      <c r="Q438" s="585">
        <f t="shared" si="76"/>
        <v>0.16668733207896658</v>
      </c>
      <c r="R438" s="585">
        <f t="shared" si="77"/>
        <v>4.6600000000000003E-2</v>
      </c>
      <c r="S438" s="586">
        <f t="shared" si="78"/>
        <v>0.12008733207896657</v>
      </c>
      <c r="U438" s="587"/>
      <c r="V438" s="587"/>
      <c r="W438" s="587"/>
      <c r="X438" s="587"/>
      <c r="Y438" s="587"/>
      <c r="Z438" s="587"/>
      <c r="AA438" s="587"/>
      <c r="AB438" s="587"/>
      <c r="AC438" s="587"/>
      <c r="AE438" s="587"/>
      <c r="AF438" s="587"/>
      <c r="AG438" s="587"/>
      <c r="AH438" s="587"/>
      <c r="AI438" s="587"/>
      <c r="AJ438" s="587"/>
      <c r="AK438" s="587"/>
      <c r="AL438" s="587"/>
      <c r="AM438" s="587"/>
      <c r="AO438" s="587"/>
      <c r="AP438" s="587"/>
      <c r="AQ438" s="587"/>
      <c r="AR438" s="587"/>
      <c r="AS438" s="587"/>
      <c r="AT438" s="587"/>
      <c r="AU438" s="587"/>
      <c r="AV438" s="587"/>
      <c r="AW438" s="587"/>
    </row>
    <row r="439" spans="1:49">
      <c r="A439" s="581">
        <v>22706</v>
      </c>
      <c r="B439" s="594">
        <v>-4.5999999999999999E-3</v>
      </c>
      <c r="C439" s="577">
        <v>8.0999999999999996E-3</v>
      </c>
      <c r="D439" s="577">
        <v>3.3E-3</v>
      </c>
      <c r="E439" s="577">
        <v>3.6583333333333329E-3</v>
      </c>
      <c r="F439" s="577">
        <v>3.7750000000000001E-3</v>
      </c>
      <c r="G439" s="577">
        <v>3.7166666666666663E-3</v>
      </c>
      <c r="H439" s="577">
        <v>3.8666666666666667E-3</v>
      </c>
      <c r="I439" s="577">
        <f t="shared" si="68"/>
        <v>-7.9000000000000008E-3</v>
      </c>
      <c r="J439" s="577">
        <f t="shared" si="72"/>
        <v>-8.3166666666666667E-3</v>
      </c>
      <c r="K439" s="577">
        <f t="shared" si="73"/>
        <v>4.2333333333333329E-3</v>
      </c>
      <c r="L439" s="585">
        <f t="shared" si="69"/>
        <v>0.10115338983378663</v>
      </c>
      <c r="M439" s="585">
        <f t="shared" si="70"/>
        <v>3.9599999999999996E-2</v>
      </c>
      <c r="N439" s="585">
        <f t="shared" si="74"/>
        <v>4.4599999999999994E-2</v>
      </c>
      <c r="O439" s="586">
        <f t="shared" si="71"/>
        <v>6.1553389833786637E-2</v>
      </c>
      <c r="P439" s="585">
        <f t="shared" si="75"/>
        <v>5.6553389833786639E-2</v>
      </c>
      <c r="Q439" s="585">
        <f t="shared" si="76"/>
        <v>0.1397785632995503</v>
      </c>
      <c r="R439" s="585">
        <f t="shared" si="77"/>
        <v>4.6399999999999997E-2</v>
      </c>
      <c r="S439" s="586">
        <f t="shared" si="78"/>
        <v>9.3378563299550299E-2</v>
      </c>
      <c r="U439" s="587"/>
      <c r="V439" s="587"/>
      <c r="W439" s="587"/>
      <c r="X439" s="587"/>
      <c r="Y439" s="587"/>
      <c r="Z439" s="587"/>
      <c r="AA439" s="587"/>
      <c r="AB439" s="587"/>
      <c r="AC439" s="587"/>
      <c r="AE439" s="587"/>
      <c r="AF439" s="587"/>
      <c r="AG439" s="587"/>
      <c r="AH439" s="587"/>
      <c r="AI439" s="587"/>
      <c r="AJ439" s="587"/>
      <c r="AK439" s="587"/>
      <c r="AL439" s="587"/>
      <c r="AM439" s="587"/>
      <c r="AO439" s="587"/>
      <c r="AP439" s="587"/>
      <c r="AQ439" s="587"/>
      <c r="AR439" s="587"/>
      <c r="AS439" s="587"/>
      <c r="AT439" s="587"/>
      <c r="AU439" s="587"/>
      <c r="AV439" s="587"/>
      <c r="AW439" s="587"/>
    </row>
    <row r="440" spans="1:49">
      <c r="A440" s="581">
        <v>22737</v>
      </c>
      <c r="B440" s="594">
        <v>-6.0699999999999997E-2</v>
      </c>
      <c r="C440" s="577">
        <v>-3.5300000000000005E-2</v>
      </c>
      <c r="D440" s="577">
        <v>3.3E-3</v>
      </c>
      <c r="E440" s="577">
        <v>3.6083333333333332E-3</v>
      </c>
      <c r="F440" s="577">
        <v>3.741666666666667E-3</v>
      </c>
      <c r="G440" s="577">
        <v>3.6750000000000003E-3</v>
      </c>
      <c r="H440" s="577">
        <v>3.8250000000000003E-3</v>
      </c>
      <c r="I440" s="577">
        <f t="shared" si="68"/>
        <v>-6.4000000000000001E-2</v>
      </c>
      <c r="J440" s="577">
        <f t="shared" si="72"/>
        <v>-6.4375000000000002E-2</v>
      </c>
      <c r="K440" s="577">
        <f t="shared" si="73"/>
        <v>-3.9125000000000007E-2</v>
      </c>
      <c r="L440" s="585">
        <f t="shared" si="69"/>
        <v>2.9065146822083276E-2</v>
      </c>
      <c r="M440" s="585">
        <f t="shared" si="70"/>
        <v>3.9599999999999996E-2</v>
      </c>
      <c r="N440" s="585">
        <f t="shared" si="74"/>
        <v>4.41E-2</v>
      </c>
      <c r="O440" s="586">
        <f t="shared" si="71"/>
        <v>-1.053485317791672E-2</v>
      </c>
      <c r="P440" s="585">
        <f t="shared" si="75"/>
        <v>-1.5034853177916724E-2</v>
      </c>
      <c r="Q440" s="585">
        <f t="shared" si="76"/>
        <v>8.7688574552454046E-2</v>
      </c>
      <c r="R440" s="585">
        <f t="shared" si="77"/>
        <v>4.5900000000000003E-2</v>
      </c>
      <c r="S440" s="586">
        <f t="shared" si="78"/>
        <v>4.1788574552454043E-2</v>
      </c>
      <c r="U440" s="587"/>
      <c r="V440" s="587"/>
      <c r="W440" s="587"/>
      <c r="X440" s="587"/>
      <c r="Y440" s="587"/>
      <c r="Z440" s="587"/>
      <c r="AA440" s="587"/>
      <c r="AB440" s="587"/>
      <c r="AC440" s="587"/>
      <c r="AE440" s="587"/>
      <c r="AF440" s="587"/>
      <c r="AG440" s="587"/>
      <c r="AH440" s="587"/>
      <c r="AI440" s="587"/>
      <c r="AJ440" s="587"/>
      <c r="AK440" s="587"/>
      <c r="AL440" s="587"/>
      <c r="AM440" s="587"/>
      <c r="AO440" s="587"/>
      <c r="AP440" s="587"/>
      <c r="AQ440" s="587"/>
      <c r="AR440" s="587"/>
      <c r="AS440" s="587"/>
      <c r="AT440" s="587"/>
      <c r="AU440" s="587"/>
      <c r="AV440" s="587"/>
      <c r="AW440" s="587"/>
    </row>
    <row r="441" spans="1:49">
      <c r="A441" s="581">
        <v>22767</v>
      </c>
      <c r="B441" s="594">
        <v>-8.1100000000000005E-2</v>
      </c>
      <c r="C441" s="577">
        <v>-9.1200000000000003E-2</v>
      </c>
      <c r="D441" s="577">
        <v>3.2000000000000002E-3</v>
      </c>
      <c r="E441" s="577">
        <v>3.5666666666666668E-3</v>
      </c>
      <c r="F441" s="577">
        <v>3.6916666666666664E-3</v>
      </c>
      <c r="G441" s="577">
        <v>3.6291666666666668E-3</v>
      </c>
      <c r="H441" s="577">
        <v>3.7583333333333331E-3</v>
      </c>
      <c r="I441" s="577">
        <f t="shared" si="68"/>
        <v>-8.43E-2</v>
      </c>
      <c r="J441" s="577">
        <f t="shared" si="72"/>
        <v>-8.4729166666666675E-2</v>
      </c>
      <c r="K441" s="577">
        <f t="shared" si="73"/>
        <v>-9.4958333333333339E-2</v>
      </c>
      <c r="L441" s="585">
        <f t="shared" si="69"/>
        <v>-7.6464534217391855E-2</v>
      </c>
      <c r="M441" s="585">
        <f t="shared" si="70"/>
        <v>3.8400000000000004E-2</v>
      </c>
      <c r="N441" s="585">
        <f t="shared" si="74"/>
        <v>4.3550000000000005E-2</v>
      </c>
      <c r="O441" s="586">
        <f t="shared" si="71"/>
        <v>-0.11486453421739186</v>
      </c>
      <c r="P441" s="585">
        <f t="shared" si="75"/>
        <v>-0.12001453421739186</v>
      </c>
      <c r="Q441" s="585">
        <f t="shared" si="76"/>
        <v>-2.4482999552678741E-2</v>
      </c>
      <c r="R441" s="585">
        <f t="shared" si="77"/>
        <v>4.5100000000000001E-2</v>
      </c>
      <c r="S441" s="586">
        <f t="shared" si="78"/>
        <v>-6.9582999552678743E-2</v>
      </c>
      <c r="U441" s="587"/>
      <c r="V441" s="587"/>
      <c r="W441" s="587"/>
      <c r="X441" s="587"/>
      <c r="Y441" s="587"/>
      <c r="Z441" s="587"/>
      <c r="AA441" s="587"/>
      <c r="AB441" s="587"/>
      <c r="AC441" s="587"/>
      <c r="AE441" s="587"/>
      <c r="AF441" s="587"/>
      <c r="AG441" s="587"/>
      <c r="AH441" s="587"/>
      <c r="AI441" s="587"/>
      <c r="AJ441" s="587"/>
      <c r="AK441" s="587"/>
      <c r="AL441" s="587"/>
      <c r="AM441" s="587"/>
      <c r="AO441" s="587"/>
      <c r="AP441" s="587"/>
      <c r="AQ441" s="587"/>
      <c r="AR441" s="587"/>
      <c r="AS441" s="587"/>
      <c r="AT441" s="587"/>
      <c r="AU441" s="587"/>
      <c r="AV441" s="587"/>
      <c r="AW441" s="587"/>
    </row>
    <row r="442" spans="1:49">
      <c r="A442" s="581">
        <v>22798</v>
      </c>
      <c r="B442" s="594">
        <v>-8.0299999999999996E-2</v>
      </c>
      <c r="C442" s="577">
        <v>-5.4799999999999995E-2</v>
      </c>
      <c r="D442" s="577">
        <v>3.0000000000000001E-3</v>
      </c>
      <c r="E442" s="577">
        <v>3.5666666666666668E-3</v>
      </c>
      <c r="F442" s="577">
        <v>3.7000000000000006E-3</v>
      </c>
      <c r="G442" s="577">
        <v>3.6333333333333339E-3</v>
      </c>
      <c r="H442" s="577">
        <v>3.7333333333333333E-3</v>
      </c>
      <c r="I442" s="577">
        <f t="shared" si="68"/>
        <v>-8.3299999999999999E-2</v>
      </c>
      <c r="J442" s="577">
        <f t="shared" si="72"/>
        <v>-8.3933333333333332E-2</v>
      </c>
      <c r="K442" s="577">
        <f t="shared" si="73"/>
        <v>-5.8533333333333326E-2</v>
      </c>
      <c r="L442" s="585">
        <f t="shared" si="69"/>
        <v>-0.12660609986605198</v>
      </c>
      <c r="M442" s="585">
        <f t="shared" si="70"/>
        <v>3.6000000000000004E-2</v>
      </c>
      <c r="N442" s="585">
        <f t="shared" si="74"/>
        <v>4.3600000000000007E-2</v>
      </c>
      <c r="O442" s="586">
        <f t="shared" si="71"/>
        <v>-0.16260609986605198</v>
      </c>
      <c r="P442" s="585">
        <f t="shared" si="75"/>
        <v>-0.17020609986605198</v>
      </c>
      <c r="Q442" s="585">
        <f t="shared" si="76"/>
        <v>-5.6524435871474488E-2</v>
      </c>
      <c r="R442" s="585">
        <f t="shared" si="77"/>
        <v>4.48E-2</v>
      </c>
      <c r="S442" s="586">
        <f t="shared" si="78"/>
        <v>-0.10132443587147449</v>
      </c>
      <c r="U442" s="587"/>
      <c r="V442" s="587"/>
      <c r="W442" s="587"/>
      <c r="X442" s="587"/>
      <c r="Y442" s="587"/>
      <c r="Z442" s="587"/>
      <c r="AA442" s="587"/>
      <c r="AB442" s="587"/>
      <c r="AC442" s="587"/>
      <c r="AE442" s="587"/>
      <c r="AF442" s="587"/>
      <c r="AG442" s="587"/>
      <c r="AH442" s="587"/>
      <c r="AI442" s="587"/>
      <c r="AJ442" s="587"/>
      <c r="AK442" s="587"/>
      <c r="AL442" s="587"/>
      <c r="AM442" s="587"/>
      <c r="AO442" s="587"/>
      <c r="AP442" s="587"/>
      <c r="AQ442" s="587"/>
      <c r="AR442" s="587"/>
      <c r="AS442" s="587"/>
      <c r="AT442" s="587"/>
      <c r="AU442" s="587"/>
      <c r="AV442" s="587"/>
      <c r="AW442" s="587"/>
    </row>
    <row r="443" spans="1:49">
      <c r="A443" s="581">
        <v>22828</v>
      </c>
      <c r="B443" s="594">
        <v>6.5199999999999994E-2</v>
      </c>
      <c r="C443" s="577">
        <v>6.8899999999999989E-2</v>
      </c>
      <c r="D443" s="577">
        <v>3.3999999999999998E-3</v>
      </c>
      <c r="E443" s="577">
        <v>3.6166666666666665E-3</v>
      </c>
      <c r="F443" s="577">
        <v>3.741666666666667E-3</v>
      </c>
      <c r="G443" s="577">
        <v>3.6791666666666665E-3</v>
      </c>
      <c r="H443" s="577">
        <v>3.7499999999999999E-3</v>
      </c>
      <c r="I443" s="577">
        <f t="shared" si="68"/>
        <v>6.1799999999999994E-2</v>
      </c>
      <c r="J443" s="577">
        <f t="shared" si="72"/>
        <v>6.152083333333333E-2</v>
      </c>
      <c r="K443" s="577">
        <f t="shared" si="73"/>
        <v>6.5149999999999986E-2</v>
      </c>
      <c r="L443" s="585">
        <f t="shared" si="69"/>
        <v>-0.10042624016371937</v>
      </c>
      <c r="M443" s="585">
        <f t="shared" si="70"/>
        <v>4.0799999999999996E-2</v>
      </c>
      <c r="N443" s="585">
        <f t="shared" si="74"/>
        <v>4.4149999999999995E-2</v>
      </c>
      <c r="O443" s="586">
        <f t="shared" si="71"/>
        <v>-0.14122624016371937</v>
      </c>
      <c r="P443" s="585">
        <f t="shared" si="75"/>
        <v>-0.14457624016371937</v>
      </c>
      <c r="Q443" s="585">
        <f t="shared" si="76"/>
        <v>-3.2539303053548463E-2</v>
      </c>
      <c r="R443" s="585">
        <f t="shared" si="77"/>
        <v>4.4999999999999998E-2</v>
      </c>
      <c r="S443" s="586">
        <f t="shared" si="78"/>
        <v>-7.7539303053548461E-2</v>
      </c>
      <c r="U443" s="587"/>
      <c r="V443" s="587"/>
      <c r="W443" s="587"/>
      <c r="X443" s="587"/>
      <c r="Y443" s="587"/>
      <c r="Z443" s="587"/>
      <c r="AA443" s="587"/>
      <c r="AB443" s="587"/>
      <c r="AC443" s="587"/>
      <c r="AE443" s="587"/>
      <c r="AF443" s="587"/>
      <c r="AG443" s="587"/>
      <c r="AH443" s="587"/>
      <c r="AI443" s="587"/>
      <c r="AJ443" s="587"/>
      <c r="AK443" s="587"/>
      <c r="AL443" s="587"/>
      <c r="AM443" s="587"/>
      <c r="AO443" s="587"/>
      <c r="AP443" s="587"/>
      <c r="AQ443" s="587"/>
      <c r="AR443" s="587"/>
      <c r="AS443" s="587"/>
      <c r="AT443" s="587"/>
      <c r="AU443" s="587"/>
      <c r="AV443" s="587"/>
      <c r="AW443" s="587"/>
    </row>
    <row r="444" spans="1:49">
      <c r="A444" s="581">
        <v>22859</v>
      </c>
      <c r="B444" s="594">
        <v>2.0799999999999999E-2</v>
      </c>
      <c r="C444" s="577">
        <v>2.7099999999999999E-2</v>
      </c>
      <c r="D444" s="577">
        <v>3.3999999999999998E-3</v>
      </c>
      <c r="E444" s="577">
        <v>3.6249999999999998E-3</v>
      </c>
      <c r="F444" s="577">
        <v>3.741666666666667E-3</v>
      </c>
      <c r="G444" s="577">
        <v>3.6833333333333336E-3</v>
      </c>
      <c r="H444" s="577">
        <v>3.7750000000000001E-3</v>
      </c>
      <c r="I444" s="577">
        <f t="shared" si="68"/>
        <v>1.7399999999999999E-2</v>
      </c>
      <c r="J444" s="577">
        <f t="shared" si="72"/>
        <v>1.7116666666666665E-2</v>
      </c>
      <c r="K444" s="577">
        <f t="shared" si="73"/>
        <v>2.3324999999999999E-2</v>
      </c>
      <c r="L444" s="585">
        <f t="shared" si="69"/>
        <v>-0.10350005463157785</v>
      </c>
      <c r="M444" s="585">
        <f t="shared" si="70"/>
        <v>4.0799999999999996E-2</v>
      </c>
      <c r="N444" s="585">
        <f t="shared" si="74"/>
        <v>4.4200000000000003E-2</v>
      </c>
      <c r="O444" s="586">
        <f t="shared" si="71"/>
        <v>-0.14430005463157786</v>
      </c>
      <c r="P444" s="585">
        <f t="shared" si="75"/>
        <v>-0.14770005463157787</v>
      </c>
      <c r="Q444" s="585">
        <f t="shared" si="76"/>
        <v>-4.9474955200210391E-2</v>
      </c>
      <c r="R444" s="585">
        <f t="shared" si="77"/>
        <v>4.53E-2</v>
      </c>
      <c r="S444" s="586">
        <f t="shared" si="78"/>
        <v>-9.4774955200210398E-2</v>
      </c>
      <c r="U444" s="587"/>
      <c r="V444" s="587"/>
      <c r="W444" s="587"/>
      <c r="X444" s="587"/>
      <c r="Y444" s="587"/>
      <c r="Z444" s="587"/>
      <c r="AA444" s="587"/>
      <c r="AB444" s="587"/>
      <c r="AC444" s="587"/>
      <c r="AE444" s="587"/>
      <c r="AF444" s="587"/>
      <c r="AG444" s="587"/>
      <c r="AH444" s="587"/>
      <c r="AI444" s="587"/>
      <c r="AJ444" s="587"/>
      <c r="AK444" s="587"/>
      <c r="AL444" s="587"/>
      <c r="AM444" s="587"/>
      <c r="AO444" s="587"/>
      <c r="AP444" s="587"/>
      <c r="AQ444" s="587"/>
      <c r="AR444" s="587"/>
      <c r="AS444" s="587"/>
      <c r="AT444" s="587"/>
      <c r="AU444" s="587"/>
      <c r="AV444" s="587"/>
      <c r="AW444" s="587"/>
    </row>
    <row r="445" spans="1:49">
      <c r="A445" s="581">
        <v>22890</v>
      </c>
      <c r="B445" s="594">
        <v>-4.65E-2</v>
      </c>
      <c r="C445" s="577">
        <v>-3.3399999999999999E-2</v>
      </c>
      <c r="D445" s="577">
        <v>3.0000000000000001E-3</v>
      </c>
      <c r="E445" s="577">
        <v>3.6000000000000003E-3</v>
      </c>
      <c r="F445" s="577">
        <v>3.7166666666666663E-3</v>
      </c>
      <c r="G445" s="577">
        <v>3.6583333333333333E-3</v>
      </c>
      <c r="H445" s="577">
        <v>3.7583333333333331E-3</v>
      </c>
      <c r="I445" s="577">
        <f t="shared" si="68"/>
        <v>-4.9500000000000002E-2</v>
      </c>
      <c r="J445" s="577">
        <f t="shared" si="72"/>
        <v>-5.0158333333333333E-2</v>
      </c>
      <c r="K445" s="577">
        <f t="shared" si="73"/>
        <v>-3.7158333333333335E-2</v>
      </c>
      <c r="L445" s="585">
        <f t="shared" si="69"/>
        <v>-0.12916391818582873</v>
      </c>
      <c r="M445" s="585">
        <f t="shared" si="70"/>
        <v>3.6000000000000004E-2</v>
      </c>
      <c r="N445" s="585">
        <f t="shared" si="74"/>
        <v>4.3900000000000002E-2</v>
      </c>
      <c r="O445" s="586">
        <f t="shared" si="71"/>
        <v>-0.16516391818582873</v>
      </c>
      <c r="P445" s="585">
        <f t="shared" si="75"/>
        <v>-0.17306391818582872</v>
      </c>
      <c r="Q445" s="585">
        <f t="shared" si="76"/>
        <v>-7.5025160270334568E-2</v>
      </c>
      <c r="R445" s="585">
        <f t="shared" si="77"/>
        <v>4.5100000000000001E-2</v>
      </c>
      <c r="S445" s="586">
        <f t="shared" si="78"/>
        <v>-0.12012516027033457</v>
      </c>
      <c r="U445" s="587"/>
      <c r="V445" s="587"/>
      <c r="W445" s="587"/>
      <c r="X445" s="587"/>
      <c r="Y445" s="587"/>
      <c r="Z445" s="587"/>
      <c r="AA445" s="587"/>
      <c r="AB445" s="587"/>
      <c r="AC445" s="587"/>
      <c r="AE445" s="587"/>
      <c r="AF445" s="587"/>
      <c r="AG445" s="587"/>
      <c r="AH445" s="587"/>
      <c r="AI445" s="587"/>
      <c r="AJ445" s="587"/>
      <c r="AK445" s="587"/>
      <c r="AL445" s="587"/>
      <c r="AM445" s="587"/>
      <c r="AO445" s="587"/>
      <c r="AP445" s="587"/>
      <c r="AQ445" s="587"/>
      <c r="AR445" s="587"/>
      <c r="AS445" s="587"/>
      <c r="AT445" s="587"/>
      <c r="AU445" s="587"/>
      <c r="AV445" s="587"/>
      <c r="AW445" s="587"/>
    </row>
    <row r="446" spans="1:49">
      <c r="A446" s="581">
        <v>22920</v>
      </c>
      <c r="B446" s="594">
        <v>6.4000000000000003E-3</v>
      </c>
      <c r="C446" s="577">
        <v>-1.3999999999999998E-3</v>
      </c>
      <c r="D446" s="577">
        <v>3.5000000000000005E-3</v>
      </c>
      <c r="E446" s="577">
        <v>3.5666666666666668E-3</v>
      </c>
      <c r="F446" s="577">
        <v>3.6749999999999999E-3</v>
      </c>
      <c r="G446" s="577">
        <v>3.6208333333333331E-3</v>
      </c>
      <c r="H446" s="577">
        <v>3.741666666666667E-3</v>
      </c>
      <c r="I446" s="577">
        <f t="shared" si="68"/>
        <v>2.8999999999999998E-3</v>
      </c>
      <c r="J446" s="577">
        <f t="shared" si="72"/>
        <v>2.7791666666666672E-3</v>
      </c>
      <c r="K446" s="577">
        <f t="shared" si="73"/>
        <v>-5.1416666666666668E-3</v>
      </c>
      <c r="L446" s="585">
        <f t="shared" si="69"/>
        <v>-0.14895180351739923</v>
      </c>
      <c r="M446" s="585">
        <f t="shared" si="70"/>
        <v>4.200000000000001E-2</v>
      </c>
      <c r="N446" s="585">
        <f t="shared" si="74"/>
        <v>4.3449999999999996E-2</v>
      </c>
      <c r="O446" s="586">
        <f t="shared" si="71"/>
        <v>-0.19095180351739924</v>
      </c>
      <c r="P446" s="585">
        <f t="shared" si="75"/>
        <v>-0.19240180351739922</v>
      </c>
      <c r="Q446" s="585">
        <f t="shared" si="76"/>
        <v>-0.11862607351713372</v>
      </c>
      <c r="R446" s="585">
        <f t="shared" si="77"/>
        <v>4.4900000000000002E-2</v>
      </c>
      <c r="S446" s="586">
        <f t="shared" si="78"/>
        <v>-0.16352607351713372</v>
      </c>
      <c r="U446" s="587"/>
      <c r="V446" s="587"/>
      <c r="W446" s="587"/>
      <c r="X446" s="587"/>
      <c r="Y446" s="587"/>
      <c r="Z446" s="587"/>
      <c r="AA446" s="587"/>
      <c r="AB446" s="587"/>
      <c r="AC446" s="587"/>
      <c r="AE446" s="587"/>
      <c r="AF446" s="587"/>
      <c r="AG446" s="587"/>
      <c r="AH446" s="587"/>
      <c r="AI446" s="587"/>
      <c r="AJ446" s="587"/>
      <c r="AK446" s="587"/>
      <c r="AL446" s="587"/>
      <c r="AM446" s="587"/>
      <c r="AO446" s="587"/>
      <c r="AP446" s="587"/>
      <c r="AQ446" s="587"/>
      <c r="AR446" s="587"/>
      <c r="AS446" s="587"/>
      <c r="AT446" s="587"/>
      <c r="AU446" s="587"/>
      <c r="AV446" s="587"/>
      <c r="AW446" s="587"/>
    </row>
    <row r="447" spans="1:49">
      <c r="A447" s="581">
        <v>22951</v>
      </c>
      <c r="B447" s="594">
        <v>0.1086</v>
      </c>
      <c r="C447" s="577">
        <v>7.6800000000000007E-2</v>
      </c>
      <c r="D447" s="577">
        <v>3.0999999999999999E-3</v>
      </c>
      <c r="E447" s="577">
        <v>3.5416666666666669E-3</v>
      </c>
      <c r="F447" s="577">
        <v>3.666666666666667E-3</v>
      </c>
      <c r="G447" s="577">
        <v>3.604166666666667E-3</v>
      </c>
      <c r="H447" s="577">
        <v>3.7083333333333334E-3</v>
      </c>
      <c r="I447" s="577">
        <f t="shared" si="68"/>
        <v>0.1055</v>
      </c>
      <c r="J447" s="577">
        <f t="shared" si="72"/>
        <v>0.10499583333333333</v>
      </c>
      <c r="K447" s="577">
        <f t="shared" si="73"/>
        <v>7.309166666666668E-2</v>
      </c>
      <c r="L447" s="585">
        <f t="shared" si="69"/>
        <v>-9.6896687450357843E-2</v>
      </c>
      <c r="M447" s="585">
        <f t="shared" si="70"/>
        <v>3.7199999999999997E-2</v>
      </c>
      <c r="N447" s="585">
        <f t="shared" si="74"/>
        <v>4.3250000000000004E-2</v>
      </c>
      <c r="O447" s="586">
        <f t="shared" si="71"/>
        <v>-0.13409668745035785</v>
      </c>
      <c r="P447" s="585">
        <f t="shared" si="75"/>
        <v>-0.14014668745035785</v>
      </c>
      <c r="Q447" s="585">
        <f t="shared" si="76"/>
        <v>-8.1699618735606827E-2</v>
      </c>
      <c r="R447" s="585">
        <f t="shared" si="77"/>
        <v>4.4499999999999998E-2</v>
      </c>
      <c r="S447" s="586">
        <f t="shared" si="78"/>
        <v>-0.12619961873560681</v>
      </c>
      <c r="U447" s="587"/>
      <c r="V447" s="587"/>
      <c r="W447" s="587"/>
      <c r="X447" s="587"/>
      <c r="Y447" s="587"/>
      <c r="Z447" s="587"/>
      <c r="AA447" s="587"/>
      <c r="AB447" s="587"/>
      <c r="AC447" s="587"/>
      <c r="AE447" s="587"/>
      <c r="AF447" s="587"/>
      <c r="AG447" s="587"/>
      <c r="AH447" s="587"/>
      <c r="AI447" s="587"/>
      <c r="AJ447" s="587"/>
      <c r="AK447" s="587"/>
      <c r="AL447" s="587"/>
      <c r="AM447" s="587"/>
      <c r="AO447" s="587"/>
      <c r="AP447" s="587"/>
      <c r="AQ447" s="587"/>
      <c r="AR447" s="587"/>
      <c r="AS447" s="587"/>
      <c r="AT447" s="587"/>
      <c r="AU447" s="587"/>
      <c r="AV447" s="587"/>
      <c r="AW447" s="587"/>
    </row>
    <row r="448" spans="1:49">
      <c r="A448" s="581">
        <v>22981</v>
      </c>
      <c r="B448" s="594">
        <v>1.5299999999999999E-2</v>
      </c>
      <c r="C448" s="577">
        <v>3.1199999999999995E-2</v>
      </c>
      <c r="D448" s="577">
        <v>3.2000000000000002E-3</v>
      </c>
      <c r="E448" s="577">
        <v>3.5333333333333332E-3</v>
      </c>
      <c r="F448" s="577">
        <v>3.65E-3</v>
      </c>
      <c r="G448" s="577">
        <v>3.5916666666666662E-3</v>
      </c>
      <c r="H448" s="577">
        <v>3.7000000000000006E-3</v>
      </c>
      <c r="I448" s="577">
        <f t="shared" si="68"/>
        <v>1.21E-2</v>
      </c>
      <c r="J448" s="577">
        <f t="shared" si="72"/>
        <v>1.1708333333333333E-2</v>
      </c>
      <c r="K448" s="577">
        <f t="shared" si="73"/>
        <v>2.7499999999999993E-2</v>
      </c>
      <c r="L448" s="585">
        <f t="shared" si="69"/>
        <v>-8.7277729213963928E-2</v>
      </c>
      <c r="M448" s="585">
        <f t="shared" si="70"/>
        <v>3.8400000000000004E-2</v>
      </c>
      <c r="N448" s="585">
        <f t="shared" si="74"/>
        <v>4.3099999999999992E-2</v>
      </c>
      <c r="O448" s="586">
        <f t="shared" si="71"/>
        <v>-0.12567772921396392</v>
      </c>
      <c r="P448" s="585">
        <f t="shared" si="75"/>
        <v>-0.13037772921396393</v>
      </c>
      <c r="Q448" s="585">
        <f t="shared" si="76"/>
        <v>-2.4565973259330187E-2</v>
      </c>
      <c r="R448" s="585">
        <f t="shared" si="77"/>
        <v>4.4400000000000009E-2</v>
      </c>
      <c r="S448" s="586">
        <f t="shared" si="78"/>
        <v>-6.8965973259330196E-2</v>
      </c>
      <c r="U448" s="587"/>
      <c r="V448" s="587"/>
      <c r="W448" s="587"/>
      <c r="X448" s="587"/>
      <c r="Y448" s="587"/>
      <c r="Z448" s="587"/>
      <c r="AA448" s="587"/>
      <c r="AB448" s="587"/>
      <c r="AC448" s="587"/>
      <c r="AE448" s="587"/>
      <c r="AF448" s="587"/>
      <c r="AG448" s="587"/>
      <c r="AH448" s="587"/>
      <c r="AI448" s="587"/>
      <c r="AJ448" s="587"/>
      <c r="AK448" s="587"/>
      <c r="AL448" s="587"/>
      <c r="AM448" s="587"/>
      <c r="AO448" s="587"/>
      <c r="AP448" s="587"/>
      <c r="AQ448" s="587"/>
      <c r="AR448" s="587"/>
      <c r="AS448" s="587"/>
      <c r="AT448" s="587"/>
      <c r="AU448" s="587"/>
      <c r="AV448" s="587"/>
      <c r="AW448" s="587"/>
    </row>
    <row r="449" spans="1:49">
      <c r="A449" s="581">
        <v>23012</v>
      </c>
      <c r="B449" s="594">
        <v>5.0599999999999999E-2</v>
      </c>
      <c r="C449" s="577">
        <v>5.5800000000000002E-2</v>
      </c>
      <c r="D449" s="577">
        <v>3.2000000000000002E-3</v>
      </c>
      <c r="E449" s="577">
        <v>3.5083333333333334E-3</v>
      </c>
      <c r="F449" s="577">
        <v>3.6416666666666667E-3</v>
      </c>
      <c r="G449" s="577">
        <v>3.5750000000000005E-3</v>
      </c>
      <c r="H449" s="577">
        <v>3.6583333333333329E-3</v>
      </c>
      <c r="I449" s="577">
        <f t="shared" si="68"/>
        <v>4.7399999999999998E-2</v>
      </c>
      <c r="J449" s="577">
        <f t="shared" si="72"/>
        <v>4.7024999999999997E-2</v>
      </c>
      <c r="K449" s="577">
        <f t="shared" si="73"/>
        <v>5.2141666666666669E-2</v>
      </c>
      <c r="L449" s="585">
        <f t="shared" si="69"/>
        <v>-4.6647107247149711E-3</v>
      </c>
      <c r="M449" s="585">
        <f t="shared" si="70"/>
        <v>3.8400000000000004E-2</v>
      </c>
      <c r="N449" s="585">
        <f t="shared" si="74"/>
        <v>4.2900000000000008E-2</v>
      </c>
      <c r="O449" s="586">
        <f t="shared" si="71"/>
        <v>-4.3064710724714975E-2</v>
      </c>
      <c r="P449" s="585">
        <f t="shared" si="75"/>
        <v>-4.7564710724714979E-2</v>
      </c>
      <c r="Q449" s="585">
        <f t="shared" si="76"/>
        <v>6.8988214067676079E-2</v>
      </c>
      <c r="R449" s="585">
        <f t="shared" si="77"/>
        <v>4.3899999999999995E-2</v>
      </c>
      <c r="S449" s="586">
        <f t="shared" si="78"/>
        <v>2.5088214067676085E-2</v>
      </c>
      <c r="U449" s="587"/>
      <c r="V449" s="587"/>
      <c r="W449" s="587"/>
      <c r="X449" s="587"/>
      <c r="Y449" s="587"/>
      <c r="Z449" s="587"/>
      <c r="AA449" s="587"/>
      <c r="AB449" s="587"/>
      <c r="AC449" s="587"/>
      <c r="AE449" s="587"/>
      <c r="AF449" s="587"/>
      <c r="AG449" s="587"/>
      <c r="AH449" s="587"/>
      <c r="AI449" s="587"/>
      <c r="AJ449" s="587"/>
      <c r="AK449" s="587"/>
      <c r="AL449" s="587"/>
      <c r="AM449" s="587"/>
      <c r="AO449" s="587"/>
      <c r="AP449" s="587"/>
      <c r="AQ449" s="587"/>
      <c r="AR449" s="587"/>
      <c r="AS449" s="587"/>
      <c r="AT449" s="587"/>
      <c r="AU449" s="587"/>
      <c r="AV449" s="587"/>
      <c r="AW449" s="587"/>
    </row>
    <row r="450" spans="1:49">
      <c r="A450" s="581">
        <v>23043</v>
      </c>
      <c r="B450" s="594">
        <v>-2.3900000000000001E-2</v>
      </c>
      <c r="C450" s="577">
        <v>-2.06E-2</v>
      </c>
      <c r="D450" s="577">
        <v>2.8999999999999998E-3</v>
      </c>
      <c r="E450" s="577">
        <v>3.4916666666666668E-3</v>
      </c>
      <c r="F450" s="577">
        <v>3.6333333333333335E-3</v>
      </c>
      <c r="G450" s="577">
        <v>3.5625000000000001E-3</v>
      </c>
      <c r="H450" s="577">
        <v>3.6416666666666667E-3</v>
      </c>
      <c r="I450" s="577">
        <f t="shared" si="68"/>
        <v>-2.6800000000000001E-2</v>
      </c>
      <c r="J450" s="577">
        <f t="shared" si="72"/>
        <v>-2.7462500000000001E-2</v>
      </c>
      <c r="K450" s="577">
        <f t="shared" si="73"/>
        <v>-2.4241666666666668E-2</v>
      </c>
      <c r="L450" s="585">
        <f t="shared" si="69"/>
        <v>-4.8342858397878663E-2</v>
      </c>
      <c r="M450" s="585">
        <f t="shared" si="70"/>
        <v>3.4799999999999998E-2</v>
      </c>
      <c r="N450" s="585">
        <f t="shared" si="74"/>
        <v>4.2750000000000003E-2</v>
      </c>
      <c r="O450" s="586">
        <f t="shared" si="71"/>
        <v>-8.3142858397878661E-2</v>
      </c>
      <c r="P450" s="585">
        <f t="shared" si="75"/>
        <v>-9.1092858397878673E-2</v>
      </c>
      <c r="Q450" s="585">
        <f t="shared" si="76"/>
        <v>1.6472870735807943E-2</v>
      </c>
      <c r="R450" s="585">
        <f t="shared" si="77"/>
        <v>4.3700000000000003E-2</v>
      </c>
      <c r="S450" s="586">
        <f t="shared" si="78"/>
        <v>-2.722712926419206E-2</v>
      </c>
      <c r="U450" s="587"/>
      <c r="V450" s="587"/>
      <c r="W450" s="587"/>
      <c r="X450" s="587"/>
      <c r="Y450" s="587"/>
      <c r="Z450" s="587"/>
      <c r="AA450" s="587"/>
      <c r="AB450" s="587"/>
      <c r="AC450" s="587"/>
      <c r="AE450" s="587"/>
      <c r="AF450" s="587"/>
      <c r="AG450" s="587"/>
      <c r="AH450" s="587"/>
      <c r="AI450" s="587"/>
      <c r="AJ450" s="587"/>
      <c r="AK450" s="587"/>
      <c r="AL450" s="587"/>
      <c r="AM450" s="587"/>
      <c r="AO450" s="587"/>
      <c r="AP450" s="587"/>
      <c r="AQ450" s="587"/>
      <c r="AR450" s="587"/>
      <c r="AS450" s="587"/>
      <c r="AT450" s="587"/>
      <c r="AU450" s="587"/>
      <c r="AV450" s="587"/>
      <c r="AW450" s="587"/>
    </row>
    <row r="451" spans="1:49">
      <c r="A451" s="581">
        <v>23071</v>
      </c>
      <c r="B451" s="594">
        <v>3.6999999999999998E-2</v>
      </c>
      <c r="C451" s="577">
        <v>1.8600000000000002E-2</v>
      </c>
      <c r="D451" s="577">
        <v>3.0999999999999999E-3</v>
      </c>
      <c r="E451" s="577">
        <v>3.4916666666666668E-3</v>
      </c>
      <c r="F451" s="577">
        <v>3.6166666666666665E-3</v>
      </c>
      <c r="G451" s="577">
        <v>3.5541666666666664E-3</v>
      </c>
      <c r="H451" s="577">
        <v>3.6416666666666667E-3</v>
      </c>
      <c r="I451" s="577">
        <f t="shared" si="68"/>
        <v>3.39E-2</v>
      </c>
      <c r="J451" s="577">
        <f t="shared" si="72"/>
        <v>3.3445833333333334E-2</v>
      </c>
      <c r="K451" s="577">
        <f t="shared" si="73"/>
        <v>1.4958333333333336E-2</v>
      </c>
      <c r="L451" s="585">
        <f t="shared" si="69"/>
        <v>-8.5709706234683436E-3</v>
      </c>
      <c r="M451" s="585">
        <f t="shared" si="70"/>
        <v>3.7199999999999997E-2</v>
      </c>
      <c r="N451" s="585">
        <f t="shared" si="74"/>
        <v>4.2649999999999993E-2</v>
      </c>
      <c r="O451" s="586">
        <f t="shared" si="71"/>
        <v>-4.5770970623468341E-2</v>
      </c>
      <c r="P451" s="585">
        <f t="shared" si="75"/>
        <v>-5.1220970623468337E-2</v>
      </c>
      <c r="Q451" s="585">
        <f t="shared" si="76"/>
        <v>2.7060079487643884E-2</v>
      </c>
      <c r="R451" s="585">
        <f t="shared" si="77"/>
        <v>4.3700000000000003E-2</v>
      </c>
      <c r="S451" s="586">
        <f t="shared" si="78"/>
        <v>-1.6639920512356118E-2</v>
      </c>
      <c r="U451" s="587"/>
      <c r="V451" s="587"/>
      <c r="W451" s="587"/>
      <c r="X451" s="587"/>
      <c r="Y451" s="587"/>
      <c r="Z451" s="587"/>
      <c r="AA451" s="587"/>
      <c r="AB451" s="587"/>
      <c r="AC451" s="587"/>
      <c r="AE451" s="587"/>
      <c r="AF451" s="587"/>
      <c r="AG451" s="587"/>
      <c r="AH451" s="587"/>
      <c r="AI451" s="587"/>
      <c r="AJ451" s="587"/>
      <c r="AK451" s="587"/>
      <c r="AL451" s="587"/>
      <c r="AM451" s="587"/>
      <c r="AO451" s="587"/>
      <c r="AP451" s="587"/>
      <c r="AQ451" s="587"/>
      <c r="AR451" s="587"/>
      <c r="AS451" s="587"/>
      <c r="AT451" s="587"/>
      <c r="AU451" s="587"/>
      <c r="AV451" s="587"/>
      <c r="AW451" s="587"/>
    </row>
    <row r="452" spans="1:49">
      <c r="A452" s="581">
        <v>23102</v>
      </c>
      <c r="B452" s="594">
        <v>0.05</v>
      </c>
      <c r="C452" s="577">
        <v>2.3200000000000002E-2</v>
      </c>
      <c r="D452" s="577">
        <v>3.3999999999999998E-3</v>
      </c>
      <c r="E452" s="577">
        <v>3.5083333333333334E-3</v>
      </c>
      <c r="F452" s="577">
        <v>3.6249999999999998E-3</v>
      </c>
      <c r="G452" s="577">
        <v>3.5666666666666668E-3</v>
      </c>
      <c r="H452" s="577">
        <v>3.6416666666666667E-3</v>
      </c>
      <c r="I452" s="577">
        <f t="shared" si="68"/>
        <v>4.6600000000000003E-2</v>
      </c>
      <c r="J452" s="577">
        <f t="shared" si="72"/>
        <v>4.6433333333333333E-2</v>
      </c>
      <c r="K452" s="577">
        <f t="shared" si="73"/>
        <v>1.9558333333333334E-2</v>
      </c>
      <c r="L452" s="585">
        <f t="shared" si="69"/>
        <v>0.10827262945316551</v>
      </c>
      <c r="M452" s="585">
        <f t="shared" si="70"/>
        <v>4.0799999999999996E-2</v>
      </c>
      <c r="N452" s="585">
        <f t="shared" si="74"/>
        <v>4.2800000000000005E-2</v>
      </c>
      <c r="O452" s="586">
        <f t="shared" si="71"/>
        <v>6.7472629453165511E-2</v>
      </c>
      <c r="P452" s="585">
        <f t="shared" si="75"/>
        <v>6.547262945316551E-2</v>
      </c>
      <c r="Q452" s="585">
        <f t="shared" si="76"/>
        <v>8.934163297580322E-2</v>
      </c>
      <c r="R452" s="585">
        <f t="shared" si="77"/>
        <v>4.3700000000000003E-2</v>
      </c>
      <c r="S452" s="586">
        <f t="shared" si="78"/>
        <v>4.5641632975803217E-2</v>
      </c>
      <c r="U452" s="587"/>
      <c r="V452" s="587"/>
      <c r="W452" s="587"/>
      <c r="X452" s="587"/>
      <c r="Y452" s="587"/>
      <c r="Z452" s="587"/>
      <c r="AA452" s="587"/>
      <c r="AB452" s="587"/>
      <c r="AC452" s="587"/>
      <c r="AE452" s="587"/>
      <c r="AF452" s="587"/>
      <c r="AG452" s="587"/>
      <c r="AH452" s="587"/>
      <c r="AI452" s="587"/>
      <c r="AJ452" s="587"/>
      <c r="AK452" s="587"/>
      <c r="AL452" s="587"/>
      <c r="AM452" s="587"/>
      <c r="AO452" s="587"/>
      <c r="AP452" s="587"/>
      <c r="AQ452" s="587"/>
      <c r="AR452" s="587"/>
      <c r="AS452" s="587"/>
      <c r="AT452" s="587"/>
      <c r="AU452" s="587"/>
      <c r="AV452" s="587"/>
      <c r="AW452" s="587"/>
    </row>
    <row r="453" spans="1:49">
      <c r="A453" s="581">
        <v>23132</v>
      </c>
      <c r="B453" s="594">
        <v>1.9300000000000001E-2</v>
      </c>
      <c r="C453" s="577">
        <v>7.000000000000001E-3</v>
      </c>
      <c r="D453" s="577">
        <v>3.3E-3</v>
      </c>
      <c r="E453" s="577">
        <v>3.5166666666666662E-3</v>
      </c>
      <c r="F453" s="577">
        <v>3.6333333333333335E-3</v>
      </c>
      <c r="G453" s="577">
        <v>3.5750000000000001E-3</v>
      </c>
      <c r="H453" s="577">
        <v>3.6416666666666667E-3</v>
      </c>
      <c r="I453" s="577">
        <f t="shared" si="68"/>
        <v>1.6E-2</v>
      </c>
      <c r="J453" s="577">
        <f t="shared" si="72"/>
        <v>1.5725000000000003E-2</v>
      </c>
      <c r="K453" s="577">
        <f t="shared" si="73"/>
        <v>3.3583333333333343E-3</v>
      </c>
      <c r="L453" s="585">
        <f t="shared" si="69"/>
        <v>0.22936368614823333</v>
      </c>
      <c r="M453" s="585">
        <f t="shared" si="70"/>
        <v>3.9599999999999996E-2</v>
      </c>
      <c r="N453" s="585">
        <f t="shared" si="74"/>
        <v>4.2900000000000001E-2</v>
      </c>
      <c r="O453" s="586">
        <f t="shared" si="71"/>
        <v>0.18976368614823333</v>
      </c>
      <c r="P453" s="585">
        <f t="shared" si="75"/>
        <v>0.18646368614823333</v>
      </c>
      <c r="Q453" s="585">
        <f t="shared" si="76"/>
        <v>0.20704998284180642</v>
      </c>
      <c r="R453" s="585">
        <f t="shared" si="77"/>
        <v>4.3700000000000003E-2</v>
      </c>
      <c r="S453" s="586">
        <f t="shared" si="78"/>
        <v>0.16334998284180641</v>
      </c>
      <c r="U453" s="587"/>
      <c r="V453" s="587"/>
      <c r="W453" s="587"/>
      <c r="X453" s="587"/>
      <c r="Y453" s="587"/>
      <c r="Z453" s="587"/>
      <c r="AA453" s="587"/>
      <c r="AB453" s="587"/>
      <c r="AC453" s="587"/>
      <c r="AE453" s="587"/>
      <c r="AF453" s="587"/>
      <c r="AG453" s="587"/>
      <c r="AH453" s="587"/>
      <c r="AI453" s="587"/>
      <c r="AJ453" s="587"/>
      <c r="AK453" s="587"/>
      <c r="AL453" s="587"/>
      <c r="AM453" s="587"/>
      <c r="AO453" s="587"/>
      <c r="AP453" s="587"/>
      <c r="AQ453" s="587"/>
      <c r="AR453" s="587"/>
      <c r="AS453" s="587"/>
      <c r="AT453" s="587"/>
      <c r="AU453" s="587"/>
      <c r="AV453" s="587"/>
      <c r="AW453" s="587"/>
    </row>
    <row r="454" spans="1:49">
      <c r="A454" s="581">
        <v>23163</v>
      </c>
      <c r="B454" s="594">
        <v>-1.8800000000000001E-2</v>
      </c>
      <c r="C454" s="577">
        <v>-1.2299999999999998E-2</v>
      </c>
      <c r="D454" s="577">
        <v>3.0000000000000001E-3</v>
      </c>
      <c r="E454" s="577">
        <v>3.5250000000000004E-3</v>
      </c>
      <c r="F454" s="577">
        <v>3.6333333333333335E-3</v>
      </c>
      <c r="G454" s="577">
        <v>3.5791666666666667E-3</v>
      </c>
      <c r="H454" s="577">
        <v>3.6416666666666667E-3</v>
      </c>
      <c r="I454" s="577">
        <f t="shared" ref="I454:I517" si="79">B454-D454</f>
        <v>-2.18E-2</v>
      </c>
      <c r="J454" s="577">
        <f t="shared" si="72"/>
        <v>-2.2379166666666669E-2</v>
      </c>
      <c r="K454" s="577">
        <f t="shared" si="73"/>
        <v>-1.5941666666666666E-2</v>
      </c>
      <c r="L454" s="585">
        <f t="shared" si="69"/>
        <v>0.31157078269940941</v>
      </c>
      <c r="M454" s="585">
        <f t="shared" si="70"/>
        <v>3.6000000000000004E-2</v>
      </c>
      <c r="N454" s="585">
        <f t="shared" si="74"/>
        <v>4.2950000000000002E-2</v>
      </c>
      <c r="O454" s="586">
        <f t="shared" si="71"/>
        <v>0.27557078269940938</v>
      </c>
      <c r="P454" s="585">
        <f t="shared" si="75"/>
        <v>0.26862078269940942</v>
      </c>
      <c r="Q454" s="585">
        <f t="shared" si="76"/>
        <v>0.26132381300555663</v>
      </c>
      <c r="R454" s="585">
        <f t="shared" si="77"/>
        <v>4.3700000000000003E-2</v>
      </c>
      <c r="S454" s="586">
        <f t="shared" si="78"/>
        <v>0.21762381300555661</v>
      </c>
      <c r="U454" s="587"/>
      <c r="V454" s="587"/>
      <c r="W454" s="587"/>
      <c r="X454" s="587"/>
      <c r="Y454" s="587"/>
      <c r="Z454" s="587"/>
      <c r="AA454" s="587"/>
      <c r="AB454" s="587"/>
      <c r="AC454" s="587"/>
      <c r="AE454" s="587"/>
      <c r="AF454" s="587"/>
      <c r="AG454" s="587"/>
      <c r="AH454" s="587"/>
      <c r="AI454" s="587"/>
      <c r="AJ454" s="587"/>
      <c r="AK454" s="587"/>
      <c r="AL454" s="587"/>
      <c r="AM454" s="587"/>
      <c r="AO454" s="587"/>
      <c r="AP454" s="587"/>
      <c r="AQ454" s="587"/>
      <c r="AR454" s="587"/>
      <c r="AS454" s="587"/>
      <c r="AT454" s="587"/>
      <c r="AU454" s="587"/>
      <c r="AV454" s="587"/>
      <c r="AW454" s="587"/>
    </row>
    <row r="455" spans="1:49">
      <c r="A455" s="581">
        <v>23193</v>
      </c>
      <c r="B455" s="594">
        <v>-2.2000000000000001E-3</v>
      </c>
      <c r="C455" s="577">
        <v>1.23E-2</v>
      </c>
      <c r="D455" s="577">
        <v>3.5999999999999999E-3</v>
      </c>
      <c r="E455" s="577">
        <v>3.5499999999999998E-3</v>
      </c>
      <c r="F455" s="577">
        <v>3.6583333333333329E-3</v>
      </c>
      <c r="G455" s="577">
        <v>3.6041666666666661E-3</v>
      </c>
      <c r="H455" s="577">
        <v>3.6583333333333329E-3</v>
      </c>
      <c r="I455" s="577">
        <f t="shared" si="79"/>
        <v>-5.7999999999999996E-3</v>
      </c>
      <c r="J455" s="577">
        <f t="shared" si="72"/>
        <v>-5.8041666666666658E-3</v>
      </c>
      <c r="K455" s="577">
        <f t="shared" si="73"/>
        <v>8.6416666666666673E-3</v>
      </c>
      <c r="L455" s="585">
        <f t="shared" si="69"/>
        <v>0.2285817940081396</v>
      </c>
      <c r="M455" s="585">
        <f t="shared" si="70"/>
        <v>4.3200000000000002E-2</v>
      </c>
      <c r="N455" s="585">
        <f t="shared" si="74"/>
        <v>4.3249999999999997E-2</v>
      </c>
      <c r="O455" s="586">
        <f t="shared" si="71"/>
        <v>0.18538179400813959</v>
      </c>
      <c r="P455" s="585">
        <f t="shared" si="75"/>
        <v>0.18533179400813959</v>
      </c>
      <c r="Q455" s="585">
        <f t="shared" si="76"/>
        <v>0.19453465797130187</v>
      </c>
      <c r="R455" s="585">
        <f t="shared" si="77"/>
        <v>4.3899999999999995E-2</v>
      </c>
      <c r="S455" s="586">
        <f t="shared" si="78"/>
        <v>0.15063465797130188</v>
      </c>
      <c r="U455" s="587"/>
      <c r="V455" s="587"/>
      <c r="W455" s="587"/>
      <c r="X455" s="587"/>
      <c r="Y455" s="587"/>
      <c r="Z455" s="587"/>
      <c r="AA455" s="587"/>
      <c r="AB455" s="587"/>
      <c r="AC455" s="587"/>
      <c r="AE455" s="587"/>
      <c r="AF455" s="587"/>
      <c r="AG455" s="587"/>
      <c r="AH455" s="587"/>
      <c r="AI455" s="587"/>
      <c r="AJ455" s="587"/>
      <c r="AK455" s="587"/>
      <c r="AL455" s="587"/>
      <c r="AM455" s="587"/>
      <c r="AO455" s="587"/>
      <c r="AP455" s="587"/>
      <c r="AQ455" s="587"/>
      <c r="AR455" s="587"/>
      <c r="AS455" s="587"/>
      <c r="AT455" s="587"/>
      <c r="AU455" s="587"/>
      <c r="AV455" s="587"/>
      <c r="AW455" s="587"/>
    </row>
    <row r="456" spans="1:49">
      <c r="A456" s="581">
        <v>23224</v>
      </c>
      <c r="B456" s="594">
        <v>5.3499999999999999E-2</v>
      </c>
      <c r="C456" s="577">
        <v>4.2500000000000003E-2</v>
      </c>
      <c r="D456" s="577">
        <v>3.3E-3</v>
      </c>
      <c r="E456" s="577">
        <v>3.5750000000000001E-3</v>
      </c>
      <c r="F456" s="577">
        <v>3.666666666666667E-3</v>
      </c>
      <c r="G456" s="577">
        <v>3.6208333333333331E-3</v>
      </c>
      <c r="H456" s="577">
        <v>3.65E-3</v>
      </c>
      <c r="I456" s="577">
        <f t="shared" si="79"/>
        <v>5.0200000000000002E-2</v>
      </c>
      <c r="J456" s="577">
        <f t="shared" si="72"/>
        <v>4.9879166666666669E-2</v>
      </c>
      <c r="K456" s="577">
        <f t="shared" si="73"/>
        <v>3.8850000000000003E-2</v>
      </c>
      <c r="L456" s="585">
        <f t="shared" si="69"/>
        <v>0.2679378134674526</v>
      </c>
      <c r="M456" s="585">
        <f t="shared" si="70"/>
        <v>3.9599999999999996E-2</v>
      </c>
      <c r="N456" s="585">
        <f t="shared" si="74"/>
        <v>4.3449999999999996E-2</v>
      </c>
      <c r="O456" s="586">
        <f t="shared" si="71"/>
        <v>0.2283378134674526</v>
      </c>
      <c r="P456" s="585">
        <f t="shared" si="75"/>
        <v>0.22448781346745261</v>
      </c>
      <c r="Q456" s="585">
        <f t="shared" si="76"/>
        <v>0.21244511823102186</v>
      </c>
      <c r="R456" s="585">
        <f t="shared" si="77"/>
        <v>4.3799999999999999E-2</v>
      </c>
      <c r="S456" s="586">
        <f t="shared" si="78"/>
        <v>0.16864511823102185</v>
      </c>
      <c r="U456" s="587"/>
      <c r="V456" s="587"/>
      <c r="W456" s="587"/>
      <c r="X456" s="587"/>
      <c r="Y456" s="587"/>
      <c r="Z456" s="587"/>
      <c r="AA456" s="587"/>
      <c r="AB456" s="587"/>
      <c r="AC456" s="587"/>
      <c r="AE456" s="587"/>
      <c r="AF456" s="587"/>
      <c r="AG456" s="587"/>
      <c r="AH456" s="587"/>
      <c r="AI456" s="587"/>
      <c r="AJ456" s="587"/>
      <c r="AK456" s="587"/>
      <c r="AL456" s="587"/>
      <c r="AM456" s="587"/>
      <c r="AO456" s="587"/>
      <c r="AP456" s="587"/>
      <c r="AQ456" s="587"/>
      <c r="AR456" s="587"/>
      <c r="AS456" s="587"/>
      <c r="AT456" s="587"/>
      <c r="AU456" s="587"/>
      <c r="AV456" s="587"/>
      <c r="AW456" s="587"/>
    </row>
    <row r="457" spans="1:49">
      <c r="A457" s="581">
        <v>23255</v>
      </c>
      <c r="B457" s="594">
        <v>-9.7000000000000003E-3</v>
      </c>
      <c r="C457" s="577">
        <v>-2.58E-2</v>
      </c>
      <c r="D457" s="577">
        <v>3.3999999999999998E-3</v>
      </c>
      <c r="E457" s="577">
        <v>3.5916666666666662E-3</v>
      </c>
      <c r="F457" s="577">
        <v>3.6749999999999999E-3</v>
      </c>
      <c r="G457" s="577">
        <v>3.633333333333333E-3</v>
      </c>
      <c r="H457" s="577">
        <v>3.666666666666667E-3</v>
      </c>
      <c r="I457" s="577">
        <f t="shared" si="79"/>
        <v>-1.3100000000000001E-2</v>
      </c>
      <c r="J457" s="577">
        <f t="shared" si="72"/>
        <v>-1.3333333333333332E-2</v>
      </c>
      <c r="K457" s="577">
        <f t="shared" si="73"/>
        <v>-2.9466666666666669E-2</v>
      </c>
      <c r="L457" s="585">
        <f t="shared" si="69"/>
        <v>0.31687343122896494</v>
      </c>
      <c r="M457" s="585">
        <f t="shared" si="70"/>
        <v>4.0799999999999996E-2</v>
      </c>
      <c r="N457" s="585">
        <f t="shared" si="74"/>
        <v>4.36E-2</v>
      </c>
      <c r="O457" s="586">
        <f t="shared" si="71"/>
        <v>0.27607343122896494</v>
      </c>
      <c r="P457" s="585">
        <f t="shared" si="75"/>
        <v>0.27327343122896497</v>
      </c>
      <c r="Q457" s="585">
        <f t="shared" si="76"/>
        <v>0.22197810281467167</v>
      </c>
      <c r="R457" s="585">
        <f t="shared" si="77"/>
        <v>4.4000000000000004E-2</v>
      </c>
      <c r="S457" s="586">
        <f t="shared" si="78"/>
        <v>0.17797810281467166</v>
      </c>
      <c r="U457" s="587"/>
      <c r="V457" s="587"/>
      <c r="W457" s="587"/>
      <c r="X457" s="587"/>
      <c r="Y457" s="587"/>
      <c r="Z457" s="587"/>
      <c r="AA457" s="587"/>
      <c r="AB457" s="587"/>
      <c r="AC457" s="587"/>
      <c r="AE457" s="587"/>
      <c r="AF457" s="587"/>
      <c r="AG457" s="587"/>
      <c r="AH457" s="587"/>
      <c r="AI457" s="587"/>
      <c r="AJ457" s="587"/>
      <c r="AK457" s="587"/>
      <c r="AL457" s="587"/>
      <c r="AM457" s="587"/>
      <c r="AO457" s="587"/>
      <c r="AP457" s="587"/>
      <c r="AQ457" s="587"/>
      <c r="AR457" s="587"/>
      <c r="AS457" s="587"/>
      <c r="AT457" s="587"/>
      <c r="AU457" s="587"/>
      <c r="AV457" s="587"/>
      <c r="AW457" s="587"/>
    </row>
    <row r="458" spans="1:49">
      <c r="A458" s="581">
        <v>23285</v>
      </c>
      <c r="B458" s="594">
        <v>3.39E-2</v>
      </c>
      <c r="C458" s="577">
        <v>-3.3E-3</v>
      </c>
      <c r="D458" s="577">
        <v>3.3999999999999998E-3</v>
      </c>
      <c r="E458" s="577">
        <v>3.6000000000000003E-3</v>
      </c>
      <c r="F458" s="577">
        <v>3.6916666666666664E-3</v>
      </c>
      <c r="G458" s="577">
        <v>3.6458333333333338E-3</v>
      </c>
      <c r="H458" s="577">
        <v>3.6749999999999999E-3</v>
      </c>
      <c r="I458" s="577">
        <f t="shared" si="79"/>
        <v>3.0499999999999999E-2</v>
      </c>
      <c r="J458" s="577">
        <f t="shared" si="72"/>
        <v>3.0254166666666665E-2</v>
      </c>
      <c r="K458" s="577">
        <f t="shared" si="73"/>
        <v>-6.9750000000000003E-3</v>
      </c>
      <c r="L458" s="585">
        <f t="shared" si="69"/>
        <v>0.35285715475718105</v>
      </c>
      <c r="M458" s="585">
        <f t="shared" si="70"/>
        <v>4.0799999999999996E-2</v>
      </c>
      <c r="N458" s="585">
        <f t="shared" si="74"/>
        <v>4.3750000000000004E-2</v>
      </c>
      <c r="O458" s="586">
        <f t="shared" si="71"/>
        <v>0.31205715475718104</v>
      </c>
      <c r="P458" s="585">
        <f t="shared" si="75"/>
        <v>0.30910715475718104</v>
      </c>
      <c r="Q458" s="585">
        <f t="shared" si="76"/>
        <v>0.21965308940054351</v>
      </c>
      <c r="R458" s="585">
        <f t="shared" si="77"/>
        <v>4.41E-2</v>
      </c>
      <c r="S458" s="586">
        <f t="shared" si="78"/>
        <v>0.17555308940054351</v>
      </c>
      <c r="U458" s="587"/>
      <c r="V458" s="587"/>
      <c r="W458" s="587"/>
      <c r="X458" s="587"/>
      <c r="Y458" s="587"/>
      <c r="Z458" s="587"/>
      <c r="AA458" s="587"/>
      <c r="AB458" s="587"/>
      <c r="AC458" s="587"/>
      <c r="AE458" s="587"/>
      <c r="AF458" s="587"/>
      <c r="AG458" s="587"/>
      <c r="AH458" s="587"/>
      <c r="AI458" s="587"/>
      <c r="AJ458" s="587"/>
      <c r="AK458" s="587"/>
      <c r="AL458" s="587"/>
      <c r="AM458" s="587"/>
      <c r="AO458" s="587"/>
      <c r="AP458" s="587"/>
      <c r="AQ458" s="587"/>
      <c r="AR458" s="587"/>
      <c r="AS458" s="587"/>
      <c r="AT458" s="587"/>
      <c r="AU458" s="587"/>
      <c r="AV458" s="587"/>
      <c r="AW458" s="587"/>
    </row>
    <row r="459" spans="1:49">
      <c r="A459" s="581">
        <v>23316</v>
      </c>
      <c r="B459" s="594">
        <v>-4.5999999999999999E-3</v>
      </c>
      <c r="C459" s="577">
        <v>-8.199999999999999E-3</v>
      </c>
      <c r="D459" s="577">
        <v>3.2000000000000002E-3</v>
      </c>
      <c r="E459" s="577">
        <v>3.6083333333333332E-3</v>
      </c>
      <c r="F459" s="577">
        <v>3.7000000000000006E-3</v>
      </c>
      <c r="G459" s="577">
        <v>3.6541666666666671E-3</v>
      </c>
      <c r="H459" s="577">
        <v>3.6833333333333336E-3</v>
      </c>
      <c r="I459" s="577">
        <f t="shared" si="79"/>
        <v>-7.7999999999999996E-3</v>
      </c>
      <c r="J459" s="577">
        <f t="shared" si="72"/>
        <v>-8.2541666666666666E-3</v>
      </c>
      <c r="K459" s="577">
        <f t="shared" si="73"/>
        <v>-1.1883333333333333E-2</v>
      </c>
      <c r="L459" s="585">
        <f t="shared" si="69"/>
        <v>0.21471586852363189</v>
      </c>
      <c r="M459" s="585">
        <f t="shared" si="70"/>
        <v>3.8400000000000004E-2</v>
      </c>
      <c r="N459" s="585">
        <f t="shared" si="74"/>
        <v>4.3850000000000007E-2</v>
      </c>
      <c r="O459" s="586">
        <f t="shared" si="71"/>
        <v>0.1763158685236319</v>
      </c>
      <c r="P459" s="585">
        <f t="shared" si="75"/>
        <v>0.17086586852363189</v>
      </c>
      <c r="Q459" s="585">
        <f t="shared" si="76"/>
        <v>0.12337661038954262</v>
      </c>
      <c r="R459" s="585">
        <f t="shared" si="77"/>
        <v>4.4200000000000003E-2</v>
      </c>
      <c r="S459" s="586">
        <f t="shared" si="78"/>
        <v>7.9176610389542615E-2</v>
      </c>
      <c r="U459" s="587"/>
      <c r="V459" s="587"/>
      <c r="W459" s="587"/>
      <c r="X459" s="587"/>
      <c r="Y459" s="587"/>
      <c r="Z459" s="587"/>
      <c r="AA459" s="587"/>
      <c r="AB459" s="587"/>
      <c r="AC459" s="587"/>
      <c r="AE459" s="587"/>
      <c r="AF459" s="587"/>
      <c r="AG459" s="587"/>
      <c r="AH459" s="587"/>
      <c r="AI459" s="587"/>
      <c r="AJ459" s="587"/>
      <c r="AK459" s="587"/>
      <c r="AL459" s="587"/>
      <c r="AM459" s="587"/>
      <c r="AO459" s="587"/>
      <c r="AP459" s="587"/>
      <c r="AQ459" s="587"/>
      <c r="AR459" s="587"/>
      <c r="AS459" s="587"/>
      <c r="AT459" s="587"/>
      <c r="AU459" s="587"/>
      <c r="AV459" s="587"/>
      <c r="AW459" s="587"/>
    </row>
    <row r="460" spans="1:49">
      <c r="A460" s="581">
        <v>23346</v>
      </c>
      <c r="B460" s="594">
        <v>2.6200000000000001E-2</v>
      </c>
      <c r="C460" s="577">
        <v>3.1699999999999999E-2</v>
      </c>
      <c r="D460" s="577">
        <v>3.5999999999999999E-3</v>
      </c>
      <c r="E460" s="577">
        <v>3.6249999999999998E-3</v>
      </c>
      <c r="F460" s="577">
        <v>3.7166666666666663E-3</v>
      </c>
      <c r="G460" s="577">
        <v>3.6708333333333332E-3</v>
      </c>
      <c r="H460" s="577">
        <v>3.7166666666666663E-3</v>
      </c>
      <c r="I460" s="577">
        <f t="shared" si="79"/>
        <v>2.2600000000000002E-2</v>
      </c>
      <c r="J460" s="577">
        <f t="shared" si="72"/>
        <v>2.252916666666667E-2</v>
      </c>
      <c r="K460" s="577">
        <f t="shared" si="73"/>
        <v>2.7983333333333332E-2</v>
      </c>
      <c r="L460" s="585">
        <f t="shared" si="69"/>
        <v>0.2277567460641694</v>
      </c>
      <c r="M460" s="585">
        <f t="shared" si="70"/>
        <v>4.3200000000000002E-2</v>
      </c>
      <c r="N460" s="585">
        <f t="shared" si="74"/>
        <v>4.4049999999999999E-2</v>
      </c>
      <c r="O460" s="586">
        <f t="shared" si="71"/>
        <v>0.18455674606416939</v>
      </c>
      <c r="P460" s="585">
        <f t="shared" si="75"/>
        <v>0.1837067460641694</v>
      </c>
      <c r="Q460" s="585">
        <f t="shared" si="76"/>
        <v>0.12392130424640335</v>
      </c>
      <c r="R460" s="585">
        <f t="shared" si="77"/>
        <v>4.4599999999999994E-2</v>
      </c>
      <c r="S460" s="586">
        <f t="shared" si="78"/>
        <v>7.9321304246403351E-2</v>
      </c>
      <c r="U460" s="587"/>
      <c r="V460" s="587"/>
      <c r="W460" s="587"/>
      <c r="X460" s="587"/>
      <c r="Y460" s="587"/>
      <c r="Z460" s="587"/>
      <c r="AA460" s="587"/>
      <c r="AB460" s="587"/>
      <c r="AC460" s="587"/>
      <c r="AE460" s="587"/>
      <c r="AF460" s="587"/>
      <c r="AG460" s="587"/>
      <c r="AH460" s="587"/>
      <c r="AI460" s="587"/>
      <c r="AJ460" s="587"/>
      <c r="AK460" s="587"/>
      <c r="AL460" s="587"/>
      <c r="AM460" s="587"/>
      <c r="AO460" s="587"/>
      <c r="AP460" s="587"/>
      <c r="AQ460" s="587"/>
      <c r="AR460" s="587"/>
      <c r="AS460" s="587"/>
      <c r="AT460" s="587"/>
      <c r="AU460" s="587"/>
      <c r="AV460" s="587"/>
      <c r="AW460" s="587"/>
    </row>
    <row r="461" spans="1:49">
      <c r="A461" s="581">
        <v>23377</v>
      </c>
      <c r="B461" s="594">
        <v>2.8299999999999999E-2</v>
      </c>
      <c r="C461" s="577">
        <v>1.2699999999999999E-2</v>
      </c>
      <c r="D461" s="577">
        <v>3.5000000000000005E-3</v>
      </c>
      <c r="E461" s="577">
        <v>3.6416666666666667E-3</v>
      </c>
      <c r="F461" s="577">
        <v>3.741666666666667E-3</v>
      </c>
      <c r="G461" s="577">
        <v>3.6916666666666669E-3</v>
      </c>
      <c r="H461" s="577">
        <v>3.741666666666667E-3</v>
      </c>
      <c r="I461" s="577">
        <f t="shared" si="79"/>
        <v>2.4799999999999999E-2</v>
      </c>
      <c r="J461" s="577">
        <f t="shared" si="72"/>
        <v>2.4608333333333333E-2</v>
      </c>
      <c r="K461" s="577">
        <f t="shared" si="73"/>
        <v>8.958333333333332E-3</v>
      </c>
      <c r="L461" s="585">
        <f t="shared" si="69"/>
        <v>0.2016964229752376</v>
      </c>
      <c r="M461" s="585">
        <f t="shared" si="70"/>
        <v>4.200000000000001E-2</v>
      </c>
      <c r="N461" s="585">
        <f t="shared" si="74"/>
        <v>4.4300000000000006E-2</v>
      </c>
      <c r="O461" s="586">
        <f t="shared" si="71"/>
        <v>0.15969642297523759</v>
      </c>
      <c r="P461" s="585">
        <f t="shared" si="75"/>
        <v>0.15739642297523759</v>
      </c>
      <c r="Q461" s="585">
        <f t="shared" si="76"/>
        <v>7.8040447821872139E-2</v>
      </c>
      <c r="R461" s="585">
        <f t="shared" si="77"/>
        <v>4.4900000000000002E-2</v>
      </c>
      <c r="S461" s="586">
        <f t="shared" si="78"/>
        <v>3.3140447821872136E-2</v>
      </c>
      <c r="U461" s="587"/>
      <c r="V461" s="587"/>
      <c r="W461" s="587"/>
      <c r="X461" s="587"/>
      <c r="Y461" s="587"/>
      <c r="Z461" s="587"/>
      <c r="AA461" s="587"/>
      <c r="AB461" s="587"/>
      <c r="AC461" s="587"/>
      <c r="AE461" s="587"/>
      <c r="AF461" s="587"/>
      <c r="AG461" s="587"/>
      <c r="AH461" s="587"/>
      <c r="AI461" s="587"/>
      <c r="AJ461" s="587"/>
      <c r="AK461" s="587"/>
      <c r="AL461" s="587"/>
      <c r="AM461" s="587"/>
      <c r="AO461" s="587"/>
      <c r="AP461" s="587"/>
      <c r="AQ461" s="587"/>
      <c r="AR461" s="587"/>
      <c r="AS461" s="587"/>
      <c r="AT461" s="587"/>
      <c r="AU461" s="587"/>
      <c r="AV461" s="587"/>
      <c r="AW461" s="587"/>
    </row>
    <row r="462" spans="1:49">
      <c r="A462" s="581">
        <v>23408</v>
      </c>
      <c r="B462" s="594">
        <v>1.47E-2</v>
      </c>
      <c r="C462" s="577">
        <v>3.2000000000000002E-3</v>
      </c>
      <c r="D462" s="577">
        <v>3.2000000000000002E-3</v>
      </c>
      <c r="E462" s="577">
        <v>3.6333333333333335E-3</v>
      </c>
      <c r="F462" s="577">
        <v>3.7166666666666663E-3</v>
      </c>
      <c r="G462" s="577">
        <v>3.6749999999999999E-3</v>
      </c>
      <c r="H462" s="577">
        <v>3.7499999999999999E-3</v>
      </c>
      <c r="I462" s="577">
        <f t="shared" si="79"/>
        <v>1.15E-2</v>
      </c>
      <c r="J462" s="577">
        <f t="shared" si="72"/>
        <v>1.1025E-2</v>
      </c>
      <c r="K462" s="577">
        <f t="shared" si="73"/>
        <v>-5.4999999999999971E-4</v>
      </c>
      <c r="L462" s="585">
        <f t="shared" si="69"/>
        <v>0.24921766252737787</v>
      </c>
      <c r="M462" s="585">
        <f t="shared" si="70"/>
        <v>3.8400000000000004E-2</v>
      </c>
      <c r="N462" s="585">
        <f t="shared" si="74"/>
        <v>4.41E-2</v>
      </c>
      <c r="O462" s="586">
        <f t="shared" si="71"/>
        <v>0.21081766252737788</v>
      </c>
      <c r="P462" s="585">
        <f t="shared" si="75"/>
        <v>0.20511766252737787</v>
      </c>
      <c r="Q462" s="585">
        <f t="shared" si="76"/>
        <v>0.10423746911874776</v>
      </c>
      <c r="R462" s="585">
        <f t="shared" si="77"/>
        <v>4.4999999999999998E-2</v>
      </c>
      <c r="S462" s="586">
        <f t="shared" si="78"/>
        <v>5.9237469118747763E-2</v>
      </c>
      <c r="U462" s="587"/>
      <c r="V462" s="587"/>
      <c r="W462" s="587"/>
      <c r="X462" s="587"/>
      <c r="Y462" s="587"/>
      <c r="Z462" s="587"/>
      <c r="AA462" s="587"/>
      <c r="AB462" s="587"/>
      <c r="AC462" s="587"/>
      <c r="AE462" s="587"/>
      <c r="AF462" s="587"/>
      <c r="AG462" s="587"/>
      <c r="AH462" s="587"/>
      <c r="AI462" s="587"/>
      <c r="AJ462" s="587"/>
      <c r="AK462" s="587"/>
      <c r="AL462" s="587"/>
      <c r="AM462" s="587"/>
      <c r="AO462" s="587"/>
      <c r="AP462" s="587"/>
      <c r="AQ462" s="587"/>
      <c r="AR462" s="587"/>
      <c r="AS462" s="587"/>
      <c r="AT462" s="587"/>
      <c r="AU462" s="587"/>
      <c r="AV462" s="587"/>
      <c r="AW462" s="587"/>
    </row>
    <row r="463" spans="1:49">
      <c r="A463" s="581">
        <v>23437</v>
      </c>
      <c r="B463" s="594">
        <v>1.6500000000000001E-2</v>
      </c>
      <c r="C463" s="577">
        <v>-3.5000000000000005E-3</v>
      </c>
      <c r="D463" s="577">
        <v>3.7000000000000002E-3</v>
      </c>
      <c r="E463" s="577">
        <v>3.65E-3</v>
      </c>
      <c r="F463" s="577">
        <v>3.725E-3</v>
      </c>
      <c r="G463" s="577">
        <v>3.6875000000000002E-3</v>
      </c>
      <c r="H463" s="577">
        <v>3.7583333333333331E-3</v>
      </c>
      <c r="I463" s="577">
        <f t="shared" si="79"/>
        <v>1.2800000000000001E-2</v>
      </c>
      <c r="J463" s="577">
        <f t="shared" si="72"/>
        <v>1.2812500000000001E-2</v>
      </c>
      <c r="K463" s="577">
        <f t="shared" si="73"/>
        <v>-7.2583333333333337E-3</v>
      </c>
      <c r="L463" s="585">
        <f t="shared" si="69"/>
        <v>0.22452242426140834</v>
      </c>
      <c r="M463" s="585">
        <f t="shared" si="70"/>
        <v>4.4400000000000002E-2</v>
      </c>
      <c r="N463" s="585">
        <f t="shared" si="74"/>
        <v>4.4250000000000005E-2</v>
      </c>
      <c r="O463" s="586">
        <f t="shared" si="71"/>
        <v>0.18012242426140834</v>
      </c>
      <c r="P463" s="585">
        <f t="shared" si="75"/>
        <v>0.18027242426140833</v>
      </c>
      <c r="Q463" s="585">
        <f t="shared" si="76"/>
        <v>8.0279440385659706E-2</v>
      </c>
      <c r="R463" s="585">
        <f t="shared" si="77"/>
        <v>4.5100000000000001E-2</v>
      </c>
      <c r="S463" s="586">
        <f t="shared" si="78"/>
        <v>3.5179440385659705E-2</v>
      </c>
      <c r="U463" s="587"/>
      <c r="V463" s="587"/>
      <c r="W463" s="587"/>
      <c r="X463" s="587"/>
      <c r="Y463" s="587"/>
      <c r="Z463" s="587"/>
      <c r="AA463" s="587"/>
      <c r="AB463" s="587"/>
      <c r="AC463" s="587"/>
      <c r="AE463" s="587"/>
      <c r="AF463" s="587"/>
      <c r="AG463" s="587"/>
      <c r="AH463" s="587"/>
      <c r="AI463" s="587"/>
      <c r="AJ463" s="587"/>
      <c r="AK463" s="587"/>
      <c r="AL463" s="587"/>
      <c r="AM463" s="587"/>
      <c r="AO463" s="587"/>
      <c r="AP463" s="587"/>
      <c r="AQ463" s="587"/>
      <c r="AR463" s="587"/>
      <c r="AS463" s="587"/>
      <c r="AT463" s="587"/>
      <c r="AU463" s="587"/>
      <c r="AV463" s="587"/>
      <c r="AW463" s="587"/>
    </row>
    <row r="464" spans="1:49">
      <c r="A464" s="581">
        <v>23468</v>
      </c>
      <c r="B464" s="594">
        <v>7.4999999999999997E-3</v>
      </c>
      <c r="C464" s="577">
        <v>6.6999999999999994E-3</v>
      </c>
      <c r="D464" s="577">
        <v>3.5000000000000005E-3</v>
      </c>
      <c r="E464" s="577">
        <v>3.666666666666667E-3</v>
      </c>
      <c r="F464" s="577">
        <v>3.741666666666667E-3</v>
      </c>
      <c r="G464" s="577">
        <v>3.7041666666666672E-3</v>
      </c>
      <c r="H464" s="577">
        <v>3.7666666666666664E-3</v>
      </c>
      <c r="I464" s="577">
        <f t="shared" si="79"/>
        <v>3.9999999999999992E-3</v>
      </c>
      <c r="J464" s="577">
        <f t="shared" si="72"/>
        <v>3.7958333333333325E-3</v>
      </c>
      <c r="K464" s="577">
        <f t="shared" si="73"/>
        <v>2.9333333333333329E-3</v>
      </c>
      <c r="L464" s="585">
        <f t="shared" ref="L464:L527" si="80">((1+B453)*(1+B454)*(1+B455)*(1+B456)*(1+B457)*(1+B458)*(1+B459)*(1+B460)*(1+B461)*(1+B462)*(1+B463)*(1+B464))-1</f>
        <v>0.17495842137463646</v>
      </c>
      <c r="M464" s="585">
        <f t="shared" ref="M464:M527" si="81">D464*12</f>
        <v>4.200000000000001E-2</v>
      </c>
      <c r="N464" s="585">
        <f t="shared" si="74"/>
        <v>4.4450000000000003E-2</v>
      </c>
      <c r="O464" s="586">
        <f t="shared" ref="O464:O527" si="82">L464-M464</f>
        <v>0.13295842137463645</v>
      </c>
      <c r="P464" s="585">
        <f t="shared" si="75"/>
        <v>0.13050842137463647</v>
      </c>
      <c r="Q464" s="585">
        <f t="shared" si="76"/>
        <v>6.285898420273961E-2</v>
      </c>
      <c r="R464" s="585">
        <f t="shared" si="77"/>
        <v>4.5199999999999997E-2</v>
      </c>
      <c r="S464" s="586">
        <f t="shared" si="78"/>
        <v>1.7658984202739612E-2</v>
      </c>
      <c r="U464" s="587"/>
      <c r="V464" s="587"/>
      <c r="W464" s="587"/>
      <c r="X464" s="587"/>
      <c r="Y464" s="587"/>
      <c r="Z464" s="587"/>
      <c r="AA464" s="587"/>
      <c r="AB464" s="587"/>
      <c r="AC464" s="587"/>
      <c r="AE464" s="587"/>
      <c r="AF464" s="587"/>
      <c r="AG464" s="587"/>
      <c r="AH464" s="587"/>
      <c r="AI464" s="587"/>
      <c r="AJ464" s="587"/>
      <c r="AK464" s="587"/>
      <c r="AL464" s="587"/>
      <c r="AM464" s="587"/>
      <c r="AO464" s="587"/>
      <c r="AP464" s="587"/>
      <c r="AQ464" s="587"/>
      <c r="AR464" s="587"/>
      <c r="AS464" s="587"/>
      <c r="AT464" s="587"/>
      <c r="AU464" s="587"/>
      <c r="AV464" s="587"/>
      <c r="AW464" s="587"/>
    </row>
    <row r="465" spans="1:49">
      <c r="A465" s="581">
        <v>23498</v>
      </c>
      <c r="B465" s="594">
        <v>1.6199999999999999E-2</v>
      </c>
      <c r="C465" s="577">
        <v>3.2000000000000002E-3</v>
      </c>
      <c r="D465" s="577">
        <v>3.2000000000000002E-3</v>
      </c>
      <c r="E465" s="577">
        <v>3.6749999999999999E-3</v>
      </c>
      <c r="F465" s="577">
        <v>3.7499999999999999E-3</v>
      </c>
      <c r="G465" s="577">
        <v>3.7124999999999997E-3</v>
      </c>
      <c r="H465" s="577">
        <v>3.7750000000000001E-3</v>
      </c>
      <c r="I465" s="577">
        <f t="shared" si="79"/>
        <v>1.2999999999999999E-2</v>
      </c>
      <c r="J465" s="577">
        <f t="shared" si="72"/>
        <v>1.2487499999999999E-2</v>
      </c>
      <c r="K465" s="577">
        <f t="shared" si="73"/>
        <v>-5.7499999999999999E-4</v>
      </c>
      <c r="L465" s="585">
        <f t="shared" si="80"/>
        <v>0.1713850169733202</v>
      </c>
      <c r="M465" s="585">
        <f t="shared" si="81"/>
        <v>3.8400000000000004E-2</v>
      </c>
      <c r="N465" s="585">
        <f t="shared" si="74"/>
        <v>4.4549999999999992E-2</v>
      </c>
      <c r="O465" s="586">
        <f t="shared" si="82"/>
        <v>0.13298501697332021</v>
      </c>
      <c r="P465" s="585">
        <f t="shared" si="75"/>
        <v>0.12683501697332022</v>
      </c>
      <c r="Q465" s="585">
        <f t="shared" si="76"/>
        <v>5.8848195583106833E-2</v>
      </c>
      <c r="R465" s="585">
        <f t="shared" si="77"/>
        <v>4.53E-2</v>
      </c>
      <c r="S465" s="586">
        <f t="shared" si="78"/>
        <v>1.3548195583106833E-2</v>
      </c>
      <c r="U465" s="587"/>
      <c r="V465" s="587"/>
      <c r="W465" s="587"/>
      <c r="X465" s="587"/>
      <c r="Y465" s="587"/>
      <c r="Z465" s="587"/>
      <c r="AA465" s="587"/>
      <c r="AB465" s="587"/>
      <c r="AC465" s="587"/>
      <c r="AE465" s="587"/>
      <c r="AF465" s="587"/>
      <c r="AG465" s="587"/>
      <c r="AH465" s="587"/>
      <c r="AI465" s="587"/>
      <c r="AJ465" s="587"/>
      <c r="AK465" s="587"/>
      <c r="AL465" s="587"/>
      <c r="AM465" s="587"/>
      <c r="AO465" s="587"/>
      <c r="AP465" s="587"/>
      <c r="AQ465" s="587"/>
      <c r="AR465" s="587"/>
      <c r="AS465" s="587"/>
      <c r="AT465" s="587"/>
      <c r="AU465" s="587"/>
      <c r="AV465" s="587"/>
      <c r="AW465" s="587"/>
    </row>
    <row r="466" spans="1:49">
      <c r="A466" s="581">
        <v>23529</v>
      </c>
      <c r="B466" s="594">
        <v>1.78E-2</v>
      </c>
      <c r="C466" s="577">
        <v>2.3399999999999997E-2</v>
      </c>
      <c r="D466" s="577">
        <v>3.8E-3</v>
      </c>
      <c r="E466" s="577">
        <v>3.6749999999999999E-3</v>
      </c>
      <c r="F466" s="577">
        <v>3.7583333333333331E-3</v>
      </c>
      <c r="G466" s="577">
        <v>3.7166666666666663E-3</v>
      </c>
      <c r="H466" s="577">
        <v>3.7916666666666667E-3</v>
      </c>
      <c r="I466" s="577">
        <f t="shared" si="79"/>
        <v>1.4E-2</v>
      </c>
      <c r="J466" s="577">
        <f t="shared" si="72"/>
        <v>1.4083333333333333E-2</v>
      </c>
      <c r="K466" s="577">
        <f t="shared" si="73"/>
        <v>1.9608333333333332E-2</v>
      </c>
      <c r="L466" s="585">
        <f t="shared" si="80"/>
        <v>0.2150791584543883</v>
      </c>
      <c r="M466" s="585">
        <f t="shared" si="81"/>
        <v>4.5600000000000002E-2</v>
      </c>
      <c r="N466" s="585">
        <f t="shared" si="74"/>
        <v>4.4599999999999994E-2</v>
      </c>
      <c r="O466" s="586">
        <f t="shared" si="82"/>
        <v>0.1694791584543883</v>
      </c>
      <c r="P466" s="585">
        <f t="shared" si="75"/>
        <v>0.1704791584543883</v>
      </c>
      <c r="Q466" s="585">
        <f t="shared" si="76"/>
        <v>9.7119817110207007E-2</v>
      </c>
      <c r="R466" s="585">
        <f t="shared" si="77"/>
        <v>4.5499999999999999E-2</v>
      </c>
      <c r="S466" s="586">
        <f t="shared" si="78"/>
        <v>5.1619817110207009E-2</v>
      </c>
      <c r="U466" s="587"/>
      <c r="V466" s="587"/>
      <c r="W466" s="587"/>
      <c r="X466" s="587"/>
      <c r="Y466" s="587"/>
      <c r="Z466" s="587"/>
      <c r="AA466" s="587"/>
      <c r="AB466" s="587"/>
      <c r="AC466" s="587"/>
      <c r="AE466" s="587"/>
      <c r="AF466" s="587"/>
      <c r="AG466" s="587"/>
      <c r="AH466" s="587"/>
      <c r="AI466" s="587"/>
      <c r="AJ466" s="587"/>
      <c r="AK466" s="587"/>
      <c r="AL466" s="587"/>
      <c r="AM466" s="587"/>
      <c r="AO466" s="587"/>
      <c r="AP466" s="587"/>
      <c r="AQ466" s="587"/>
      <c r="AR466" s="587"/>
      <c r="AS466" s="587"/>
      <c r="AT466" s="587"/>
      <c r="AU466" s="587"/>
      <c r="AV466" s="587"/>
      <c r="AW466" s="587"/>
    </row>
    <row r="467" spans="1:49">
      <c r="A467" s="581">
        <v>23559</v>
      </c>
      <c r="B467" s="594">
        <v>1.95E-2</v>
      </c>
      <c r="C467" s="577">
        <v>4.7100000000000003E-2</v>
      </c>
      <c r="D467" s="577">
        <v>3.5000000000000005E-3</v>
      </c>
      <c r="E467" s="577">
        <v>3.666666666666667E-3</v>
      </c>
      <c r="F467" s="577">
        <v>3.7499999999999999E-3</v>
      </c>
      <c r="G467" s="577">
        <v>3.7083333333333334E-3</v>
      </c>
      <c r="H467" s="577">
        <v>3.7833333333333334E-3</v>
      </c>
      <c r="I467" s="577">
        <f t="shared" si="79"/>
        <v>1.6E-2</v>
      </c>
      <c r="J467" s="577">
        <f t="shared" si="72"/>
        <v>1.5791666666666666E-2</v>
      </c>
      <c r="K467" s="577">
        <f t="shared" si="73"/>
        <v>4.331666666666667E-2</v>
      </c>
      <c r="L467" s="585">
        <f t="shared" si="80"/>
        <v>0.24150451197058431</v>
      </c>
      <c r="M467" s="585">
        <f t="shared" si="81"/>
        <v>4.200000000000001E-2</v>
      </c>
      <c r="N467" s="585">
        <f t="shared" si="74"/>
        <v>4.4499999999999998E-2</v>
      </c>
      <c r="O467" s="586">
        <f t="shared" si="82"/>
        <v>0.1995045119705843</v>
      </c>
      <c r="P467" s="585">
        <f t="shared" si="75"/>
        <v>0.19700451197058433</v>
      </c>
      <c r="Q467" s="585">
        <f t="shared" si="76"/>
        <v>0.13483568161226711</v>
      </c>
      <c r="R467" s="585">
        <f t="shared" si="77"/>
        <v>4.5400000000000003E-2</v>
      </c>
      <c r="S467" s="586">
        <f t="shared" si="78"/>
        <v>8.9435681612267115E-2</v>
      </c>
      <c r="U467" s="587"/>
      <c r="V467" s="587"/>
      <c r="W467" s="587"/>
      <c r="X467" s="587"/>
      <c r="Y467" s="587"/>
      <c r="Z467" s="587"/>
      <c r="AA467" s="587"/>
      <c r="AB467" s="587"/>
      <c r="AC467" s="587"/>
      <c r="AE467" s="587"/>
      <c r="AF467" s="587"/>
      <c r="AG467" s="587"/>
      <c r="AH467" s="587"/>
      <c r="AI467" s="587"/>
      <c r="AJ467" s="587"/>
      <c r="AK467" s="587"/>
      <c r="AL467" s="587"/>
      <c r="AM467" s="587"/>
      <c r="AO467" s="587"/>
      <c r="AP467" s="587"/>
      <c r="AQ467" s="587"/>
      <c r="AR467" s="587"/>
      <c r="AS467" s="587"/>
      <c r="AT467" s="587"/>
      <c r="AU467" s="587"/>
      <c r="AV467" s="587"/>
      <c r="AW467" s="587"/>
    </row>
    <row r="468" spans="1:49">
      <c r="A468" s="581">
        <v>23590</v>
      </c>
      <c r="B468" s="594">
        <v>-1.18E-2</v>
      </c>
      <c r="C468" s="577">
        <v>3.1000000000000003E-3</v>
      </c>
      <c r="D468" s="577">
        <v>3.5000000000000005E-3</v>
      </c>
      <c r="E468" s="577">
        <v>3.6749999999999999E-3</v>
      </c>
      <c r="F468" s="577">
        <v>3.741666666666667E-3</v>
      </c>
      <c r="G468" s="577">
        <v>3.7083333333333334E-3</v>
      </c>
      <c r="H468" s="577">
        <v>3.7833333333333334E-3</v>
      </c>
      <c r="I468" s="577">
        <f t="shared" si="79"/>
        <v>-1.5300000000000001E-2</v>
      </c>
      <c r="J468" s="577">
        <f t="shared" si="72"/>
        <v>-1.5508333333333332E-2</v>
      </c>
      <c r="K468" s="577">
        <f t="shared" si="73"/>
        <v>-6.833333333333331E-4</v>
      </c>
      <c r="L468" s="585">
        <f t="shared" si="80"/>
        <v>0.16455126599841585</v>
      </c>
      <c r="M468" s="585">
        <f t="shared" si="81"/>
        <v>4.200000000000001E-2</v>
      </c>
      <c r="N468" s="585">
        <f t="shared" si="74"/>
        <v>4.4499999999999998E-2</v>
      </c>
      <c r="O468" s="586">
        <f t="shared" si="82"/>
        <v>0.12255126599841584</v>
      </c>
      <c r="P468" s="585">
        <f t="shared" si="75"/>
        <v>0.12005126599841585</v>
      </c>
      <c r="Q468" s="585">
        <f t="shared" si="76"/>
        <v>9.1945968561405689E-2</v>
      </c>
      <c r="R468" s="585">
        <f t="shared" si="77"/>
        <v>4.5400000000000003E-2</v>
      </c>
      <c r="S468" s="586">
        <f t="shared" si="78"/>
        <v>4.6545968561405686E-2</v>
      </c>
      <c r="U468" s="587"/>
      <c r="V468" s="587"/>
      <c r="W468" s="587"/>
      <c r="X468" s="587"/>
      <c r="Y468" s="587"/>
      <c r="Z468" s="587"/>
      <c r="AA468" s="587"/>
      <c r="AB468" s="587"/>
      <c r="AC468" s="587"/>
      <c r="AE468" s="587"/>
      <c r="AF468" s="587"/>
      <c r="AG468" s="587"/>
      <c r="AH468" s="587"/>
      <c r="AI468" s="587"/>
      <c r="AJ468" s="587"/>
      <c r="AK468" s="587"/>
      <c r="AL468" s="587"/>
      <c r="AM468" s="587"/>
      <c r="AO468" s="587"/>
      <c r="AP468" s="587"/>
      <c r="AQ468" s="587"/>
      <c r="AR468" s="587"/>
      <c r="AS468" s="587"/>
      <c r="AT468" s="587"/>
      <c r="AU468" s="587"/>
      <c r="AV468" s="587"/>
      <c r="AW468" s="587"/>
    </row>
    <row r="469" spans="1:49">
      <c r="A469" s="581">
        <v>23621</v>
      </c>
      <c r="B469" s="594">
        <v>3.0099999999999998E-2</v>
      </c>
      <c r="C469" s="577">
        <v>1.7000000000000001E-2</v>
      </c>
      <c r="D469" s="577">
        <v>3.3999999999999998E-3</v>
      </c>
      <c r="E469" s="577">
        <v>3.6833333333333336E-3</v>
      </c>
      <c r="F469" s="577">
        <v>3.7333333333333333E-3</v>
      </c>
      <c r="G469" s="577">
        <v>3.7083333333333334E-3</v>
      </c>
      <c r="H469" s="577">
        <v>3.7750000000000001E-3</v>
      </c>
      <c r="I469" s="577">
        <f t="shared" si="79"/>
        <v>2.6699999999999998E-2</v>
      </c>
      <c r="J469" s="577">
        <f t="shared" si="72"/>
        <v>2.6391666666666664E-2</v>
      </c>
      <c r="K469" s="577">
        <f t="shared" si="73"/>
        <v>1.3225000000000001E-2</v>
      </c>
      <c r="L469" s="585">
        <f t="shared" si="80"/>
        <v>0.21135439675347678</v>
      </c>
      <c r="M469" s="585">
        <f t="shared" si="81"/>
        <v>4.0799999999999996E-2</v>
      </c>
      <c r="N469" s="585">
        <f t="shared" si="74"/>
        <v>4.4499999999999998E-2</v>
      </c>
      <c r="O469" s="586">
        <f t="shared" si="82"/>
        <v>0.17055439675347678</v>
      </c>
      <c r="P469" s="585">
        <f t="shared" si="75"/>
        <v>0.1668543967534768</v>
      </c>
      <c r="Q469" s="585">
        <f t="shared" si="76"/>
        <v>0.1399189591736294</v>
      </c>
      <c r="R469" s="585">
        <f t="shared" si="77"/>
        <v>4.53E-2</v>
      </c>
      <c r="S469" s="586">
        <f t="shared" si="78"/>
        <v>9.4618959173629391E-2</v>
      </c>
      <c r="U469" s="587"/>
      <c r="V469" s="587"/>
      <c r="W469" s="587"/>
      <c r="X469" s="587"/>
      <c r="Y469" s="587"/>
      <c r="Z469" s="587"/>
      <c r="AA469" s="587"/>
      <c r="AB469" s="587"/>
      <c r="AC469" s="587"/>
      <c r="AE469" s="587"/>
      <c r="AF469" s="587"/>
      <c r="AG469" s="587"/>
      <c r="AH469" s="587"/>
      <c r="AI469" s="587"/>
      <c r="AJ469" s="587"/>
      <c r="AK469" s="587"/>
      <c r="AL469" s="587"/>
      <c r="AM469" s="587"/>
      <c r="AO469" s="587"/>
      <c r="AP469" s="587"/>
      <c r="AQ469" s="587"/>
      <c r="AR469" s="587"/>
      <c r="AS469" s="587"/>
      <c r="AT469" s="587"/>
      <c r="AU469" s="587"/>
      <c r="AV469" s="587"/>
      <c r="AW469" s="587"/>
    </row>
    <row r="470" spans="1:49">
      <c r="A470" s="581">
        <v>23651</v>
      </c>
      <c r="B470" s="594">
        <v>9.5999999999999992E-3</v>
      </c>
      <c r="C470" s="577">
        <v>1.6500000000000001E-2</v>
      </c>
      <c r="D470" s="577">
        <v>3.3999999999999998E-3</v>
      </c>
      <c r="E470" s="577">
        <v>3.6833333333333336E-3</v>
      </c>
      <c r="F470" s="577">
        <v>3.741666666666667E-3</v>
      </c>
      <c r="G470" s="577">
        <v>3.7125000000000001E-3</v>
      </c>
      <c r="H470" s="577">
        <v>3.7583333333333331E-3</v>
      </c>
      <c r="I470" s="577">
        <f t="shared" si="79"/>
        <v>6.1999999999999989E-3</v>
      </c>
      <c r="J470" s="577">
        <f t="shared" si="72"/>
        <v>5.8874999999999986E-3</v>
      </c>
      <c r="K470" s="577">
        <f t="shared" si="73"/>
        <v>1.2741666666666669E-2</v>
      </c>
      <c r="L470" s="585">
        <f t="shared" si="80"/>
        <v>0.18288364344937658</v>
      </c>
      <c r="M470" s="585">
        <f t="shared" si="81"/>
        <v>4.0799999999999996E-2</v>
      </c>
      <c r="N470" s="585">
        <f t="shared" si="74"/>
        <v>4.4549999999999999E-2</v>
      </c>
      <c r="O470" s="586">
        <f t="shared" si="82"/>
        <v>0.14208364344937657</v>
      </c>
      <c r="P470" s="585">
        <f t="shared" si="75"/>
        <v>0.13833364344937657</v>
      </c>
      <c r="Q470" s="585">
        <f t="shared" si="76"/>
        <v>0.1625640834754627</v>
      </c>
      <c r="R470" s="585">
        <f t="shared" si="77"/>
        <v>4.5100000000000001E-2</v>
      </c>
      <c r="S470" s="586">
        <f t="shared" si="78"/>
        <v>0.11746408347546269</v>
      </c>
      <c r="U470" s="587"/>
      <c r="V470" s="587"/>
      <c r="W470" s="587"/>
      <c r="X470" s="587"/>
      <c r="Y470" s="587"/>
      <c r="Z470" s="587"/>
      <c r="AA470" s="587"/>
      <c r="AB470" s="587"/>
      <c r="AC470" s="587"/>
      <c r="AE470" s="587"/>
      <c r="AF470" s="587"/>
      <c r="AG470" s="587"/>
      <c r="AH470" s="587"/>
      <c r="AI470" s="587"/>
      <c r="AJ470" s="587"/>
      <c r="AK470" s="587"/>
      <c r="AL470" s="587"/>
      <c r="AM470" s="587"/>
      <c r="AO470" s="587"/>
      <c r="AP470" s="587"/>
      <c r="AQ470" s="587"/>
      <c r="AR470" s="587"/>
      <c r="AS470" s="587"/>
      <c r="AT470" s="587"/>
      <c r="AU470" s="587"/>
      <c r="AV470" s="587"/>
      <c r="AW470" s="587"/>
    </row>
    <row r="471" spans="1:49">
      <c r="A471" s="581">
        <v>23682</v>
      </c>
      <c r="B471" s="594">
        <v>5.0000000000000001E-4</v>
      </c>
      <c r="C471" s="577">
        <v>1.14E-2</v>
      </c>
      <c r="D471" s="577">
        <v>3.5000000000000005E-3</v>
      </c>
      <c r="E471" s="577">
        <v>3.6916666666666664E-3</v>
      </c>
      <c r="F471" s="577">
        <v>3.741666666666667E-3</v>
      </c>
      <c r="G471" s="577">
        <v>3.7166666666666672E-3</v>
      </c>
      <c r="H471" s="577">
        <v>3.7750000000000001E-3</v>
      </c>
      <c r="I471" s="577">
        <f t="shared" si="79"/>
        <v>-3.0000000000000005E-3</v>
      </c>
      <c r="J471" s="577">
        <f t="shared" si="72"/>
        <v>-3.2166666666666672E-3</v>
      </c>
      <c r="K471" s="577">
        <f t="shared" si="73"/>
        <v>7.6249999999999998E-3</v>
      </c>
      <c r="L471" s="585">
        <f t="shared" si="80"/>
        <v>0.18894422872322814</v>
      </c>
      <c r="M471" s="585">
        <f t="shared" si="81"/>
        <v>4.200000000000001E-2</v>
      </c>
      <c r="N471" s="585">
        <f t="shared" si="74"/>
        <v>4.4600000000000008E-2</v>
      </c>
      <c r="O471" s="586">
        <f t="shared" si="82"/>
        <v>0.14694422872322813</v>
      </c>
      <c r="P471" s="585">
        <f t="shared" si="75"/>
        <v>0.14434422872322814</v>
      </c>
      <c r="Q471" s="585">
        <f t="shared" si="76"/>
        <v>0.18553873162642009</v>
      </c>
      <c r="R471" s="585">
        <f t="shared" si="77"/>
        <v>4.53E-2</v>
      </c>
      <c r="S471" s="586">
        <f t="shared" si="78"/>
        <v>0.14023873162642009</v>
      </c>
      <c r="U471" s="587"/>
      <c r="V471" s="587"/>
      <c r="W471" s="587"/>
      <c r="X471" s="587"/>
      <c r="Y471" s="587"/>
      <c r="Z471" s="587"/>
      <c r="AA471" s="587"/>
      <c r="AB471" s="587"/>
      <c r="AC471" s="587"/>
      <c r="AE471" s="587"/>
      <c r="AF471" s="587"/>
      <c r="AG471" s="587"/>
      <c r="AH471" s="587"/>
      <c r="AI471" s="587"/>
      <c r="AJ471" s="587"/>
      <c r="AK471" s="587"/>
      <c r="AL471" s="587"/>
      <c r="AM471" s="587"/>
      <c r="AO471" s="587"/>
      <c r="AP471" s="587"/>
      <c r="AQ471" s="587"/>
      <c r="AR471" s="587"/>
      <c r="AS471" s="587"/>
      <c r="AT471" s="587"/>
      <c r="AU471" s="587"/>
      <c r="AV471" s="587"/>
      <c r="AW471" s="587"/>
    </row>
    <row r="472" spans="1:49">
      <c r="A472" s="581">
        <v>23712</v>
      </c>
      <c r="B472" s="594">
        <v>5.5999999999999999E-3</v>
      </c>
      <c r="C472" s="577">
        <v>8.6E-3</v>
      </c>
      <c r="D472" s="577">
        <v>3.5000000000000005E-3</v>
      </c>
      <c r="E472" s="577">
        <v>3.7000000000000006E-3</v>
      </c>
      <c r="F472" s="577">
        <v>3.7499999999999999E-3</v>
      </c>
      <c r="G472" s="577">
        <v>3.7250000000000004E-3</v>
      </c>
      <c r="H472" s="577">
        <v>3.7833333333333334E-3</v>
      </c>
      <c r="I472" s="577">
        <f t="shared" si="79"/>
        <v>2.0999999999999994E-3</v>
      </c>
      <c r="J472" s="577">
        <f t="shared" si="72"/>
        <v>1.8749999999999995E-3</v>
      </c>
      <c r="K472" s="577">
        <f t="shared" si="73"/>
        <v>4.816666666666667E-3</v>
      </c>
      <c r="L472" s="585">
        <f t="shared" si="80"/>
        <v>0.16507729137017924</v>
      </c>
      <c r="M472" s="585">
        <f t="shared" si="81"/>
        <v>4.200000000000001E-2</v>
      </c>
      <c r="N472" s="585">
        <f t="shared" si="74"/>
        <v>4.4700000000000004E-2</v>
      </c>
      <c r="O472" s="586">
        <f t="shared" si="82"/>
        <v>0.12307729137017923</v>
      </c>
      <c r="P472" s="585">
        <f t="shared" si="75"/>
        <v>0.12037729137017923</v>
      </c>
      <c r="Q472" s="585">
        <f t="shared" si="76"/>
        <v>0.15899424708578724</v>
      </c>
      <c r="R472" s="585">
        <f t="shared" si="77"/>
        <v>4.5400000000000003E-2</v>
      </c>
      <c r="S472" s="586">
        <f t="shared" si="78"/>
        <v>0.11359424708578725</v>
      </c>
      <c r="U472" s="587"/>
      <c r="V472" s="587"/>
      <c r="W472" s="587"/>
      <c r="X472" s="587"/>
      <c r="Y472" s="587"/>
      <c r="Z472" s="587"/>
      <c r="AA472" s="587"/>
      <c r="AB472" s="587"/>
      <c r="AC472" s="587"/>
      <c r="AE472" s="587"/>
      <c r="AF472" s="587"/>
      <c r="AG472" s="587"/>
      <c r="AH472" s="587"/>
      <c r="AI472" s="587"/>
      <c r="AJ472" s="587"/>
      <c r="AK472" s="587"/>
      <c r="AL472" s="587"/>
      <c r="AM472" s="587"/>
      <c r="AO472" s="587"/>
      <c r="AP472" s="587"/>
      <c r="AQ472" s="587"/>
      <c r="AR472" s="587"/>
      <c r="AS472" s="587"/>
      <c r="AT472" s="587"/>
      <c r="AU472" s="587"/>
      <c r="AV472" s="587"/>
      <c r="AW472" s="587"/>
    </row>
    <row r="473" spans="1:49">
      <c r="A473" s="581">
        <v>23743</v>
      </c>
      <c r="B473" s="594">
        <v>3.4500000000000003E-2</v>
      </c>
      <c r="C473" s="577">
        <v>3.7100000000000001E-2</v>
      </c>
      <c r="D473" s="577">
        <v>3.3E-3</v>
      </c>
      <c r="E473" s="577">
        <v>3.6916666666666664E-3</v>
      </c>
      <c r="F473" s="577">
        <v>3.7333333333333333E-3</v>
      </c>
      <c r="G473" s="577">
        <v>3.7124999999999997E-3</v>
      </c>
      <c r="H473" s="577">
        <v>3.7750000000000001E-3</v>
      </c>
      <c r="I473" s="577">
        <f t="shared" si="79"/>
        <v>3.1200000000000002E-2</v>
      </c>
      <c r="J473" s="577">
        <f t="shared" si="72"/>
        <v>3.0787500000000002E-2</v>
      </c>
      <c r="K473" s="577">
        <f t="shared" si="73"/>
        <v>3.3325E-2</v>
      </c>
      <c r="L473" s="585">
        <f t="shared" si="80"/>
        <v>0.17210197211169009</v>
      </c>
      <c r="M473" s="585">
        <f t="shared" si="81"/>
        <v>3.9599999999999996E-2</v>
      </c>
      <c r="N473" s="585">
        <f t="shared" si="74"/>
        <v>4.4549999999999992E-2</v>
      </c>
      <c r="O473" s="586">
        <f t="shared" si="82"/>
        <v>0.1325019721116901</v>
      </c>
      <c r="P473" s="585">
        <f t="shared" si="75"/>
        <v>0.12755197211169012</v>
      </c>
      <c r="Q473" s="585">
        <f t="shared" si="76"/>
        <v>0.18691906157072191</v>
      </c>
      <c r="R473" s="585">
        <f t="shared" si="77"/>
        <v>4.53E-2</v>
      </c>
      <c r="S473" s="586">
        <f t="shared" si="78"/>
        <v>0.1416190615707219</v>
      </c>
      <c r="U473" s="587"/>
      <c r="V473" s="587"/>
      <c r="W473" s="587"/>
      <c r="X473" s="587"/>
      <c r="Y473" s="587"/>
      <c r="Z473" s="587"/>
      <c r="AA473" s="587"/>
      <c r="AB473" s="587"/>
      <c r="AC473" s="587"/>
      <c r="AE473" s="587"/>
      <c r="AF473" s="587"/>
      <c r="AG473" s="587"/>
      <c r="AH473" s="587"/>
      <c r="AI473" s="587"/>
      <c r="AJ473" s="587"/>
      <c r="AK473" s="587"/>
      <c r="AL473" s="587"/>
      <c r="AM473" s="587"/>
      <c r="AO473" s="587"/>
      <c r="AP473" s="587"/>
      <c r="AQ473" s="587"/>
      <c r="AR473" s="587"/>
      <c r="AS473" s="587"/>
      <c r="AT473" s="587"/>
      <c r="AU473" s="587"/>
      <c r="AV473" s="587"/>
      <c r="AW473" s="587"/>
    </row>
    <row r="474" spans="1:49">
      <c r="A474" s="581">
        <v>23774</v>
      </c>
      <c r="B474" s="594">
        <v>3.0999999999999999E-3</v>
      </c>
      <c r="C474" s="577">
        <v>8.9999999999999998E-4</v>
      </c>
      <c r="D474" s="577">
        <v>3.2000000000000002E-3</v>
      </c>
      <c r="E474" s="577">
        <v>3.6749999999999999E-3</v>
      </c>
      <c r="F474" s="577">
        <v>3.7166666666666663E-3</v>
      </c>
      <c r="G474" s="577">
        <v>3.6958333333333331E-3</v>
      </c>
      <c r="H474" s="577">
        <v>3.7583333333333331E-3</v>
      </c>
      <c r="I474" s="577">
        <f t="shared" si="79"/>
        <v>-1.0000000000000026E-4</v>
      </c>
      <c r="J474" s="577">
        <f t="shared" si="72"/>
        <v>-5.958333333333332E-4</v>
      </c>
      <c r="K474" s="577">
        <f t="shared" si="73"/>
        <v>-2.8583333333333334E-3</v>
      </c>
      <c r="L474" s="585">
        <f t="shared" si="80"/>
        <v>0.15870256058464216</v>
      </c>
      <c r="M474" s="585">
        <f t="shared" si="81"/>
        <v>3.8400000000000004E-2</v>
      </c>
      <c r="N474" s="585">
        <f t="shared" si="74"/>
        <v>4.4350000000000001E-2</v>
      </c>
      <c r="O474" s="586">
        <f t="shared" si="82"/>
        <v>0.12030256058464216</v>
      </c>
      <c r="P474" s="585">
        <f t="shared" si="75"/>
        <v>0.11435256058464216</v>
      </c>
      <c r="Q474" s="585">
        <f t="shared" si="76"/>
        <v>0.1841978555882533</v>
      </c>
      <c r="R474" s="585">
        <f t="shared" si="77"/>
        <v>4.5100000000000001E-2</v>
      </c>
      <c r="S474" s="586">
        <f t="shared" si="78"/>
        <v>0.1390978555882533</v>
      </c>
      <c r="U474" s="587"/>
      <c r="V474" s="587"/>
      <c r="W474" s="587"/>
      <c r="X474" s="587"/>
      <c r="Y474" s="587"/>
      <c r="Z474" s="587"/>
      <c r="AA474" s="587"/>
      <c r="AB474" s="587"/>
      <c r="AC474" s="587"/>
      <c r="AE474" s="587"/>
      <c r="AF474" s="587"/>
      <c r="AG474" s="587"/>
      <c r="AH474" s="587"/>
      <c r="AI474" s="587"/>
      <c r="AJ474" s="587"/>
      <c r="AK474" s="587"/>
      <c r="AL474" s="587"/>
      <c r="AM474" s="587"/>
      <c r="AO474" s="587"/>
      <c r="AP474" s="587"/>
      <c r="AQ474" s="587"/>
      <c r="AR474" s="587"/>
      <c r="AS474" s="587"/>
      <c r="AT474" s="587"/>
      <c r="AU474" s="587"/>
      <c r="AV474" s="587"/>
      <c r="AW474" s="587"/>
    </row>
    <row r="475" spans="1:49">
      <c r="A475" s="581">
        <v>23802</v>
      </c>
      <c r="B475" s="594">
        <v>-1.3299999999999999E-2</v>
      </c>
      <c r="C475" s="577">
        <v>6.9999999999999988E-4</v>
      </c>
      <c r="D475" s="577">
        <v>3.8E-3</v>
      </c>
      <c r="E475" s="577">
        <v>3.6833333333333336E-3</v>
      </c>
      <c r="F475" s="577">
        <v>3.7333333333333333E-3</v>
      </c>
      <c r="G475" s="577">
        <v>3.7083333333333334E-3</v>
      </c>
      <c r="H475" s="577">
        <v>3.7499999999999999E-3</v>
      </c>
      <c r="I475" s="577">
        <f t="shared" si="79"/>
        <v>-1.7100000000000001E-2</v>
      </c>
      <c r="J475" s="577">
        <f t="shared" si="72"/>
        <v>-1.7008333333333334E-2</v>
      </c>
      <c r="K475" s="577">
        <f t="shared" si="73"/>
        <v>-3.0499999999999998E-3</v>
      </c>
      <c r="L475" s="585">
        <f t="shared" si="80"/>
        <v>0.12473371030877178</v>
      </c>
      <c r="M475" s="585">
        <f t="shared" si="81"/>
        <v>4.5600000000000002E-2</v>
      </c>
      <c r="N475" s="585">
        <f t="shared" si="74"/>
        <v>4.4499999999999998E-2</v>
      </c>
      <c r="O475" s="586">
        <f t="shared" si="82"/>
        <v>7.9133710308771782E-2</v>
      </c>
      <c r="P475" s="585">
        <f t="shared" si="75"/>
        <v>8.0233710308771786E-2</v>
      </c>
      <c r="Q475" s="585">
        <f t="shared" si="76"/>
        <v>0.18918895543117387</v>
      </c>
      <c r="R475" s="585">
        <f t="shared" si="77"/>
        <v>4.4999999999999998E-2</v>
      </c>
      <c r="S475" s="586">
        <f t="shared" si="78"/>
        <v>0.14418895543117388</v>
      </c>
      <c r="U475" s="587"/>
      <c r="V475" s="587"/>
      <c r="W475" s="587"/>
      <c r="X475" s="587"/>
      <c r="Y475" s="587"/>
      <c r="Z475" s="587"/>
      <c r="AA475" s="587"/>
      <c r="AB475" s="587"/>
      <c r="AC475" s="587"/>
      <c r="AE475" s="587"/>
      <c r="AF475" s="587"/>
      <c r="AG475" s="587"/>
      <c r="AH475" s="587"/>
      <c r="AI475" s="587"/>
      <c r="AJ475" s="587"/>
      <c r="AK475" s="587"/>
      <c r="AL475" s="587"/>
      <c r="AM475" s="587"/>
      <c r="AO475" s="587"/>
      <c r="AP475" s="587"/>
      <c r="AQ475" s="587"/>
      <c r="AR475" s="587"/>
      <c r="AS475" s="587"/>
      <c r="AT475" s="587"/>
      <c r="AU475" s="587"/>
      <c r="AV475" s="587"/>
      <c r="AW475" s="587"/>
    </row>
    <row r="476" spans="1:49">
      <c r="A476" s="581">
        <v>23833</v>
      </c>
      <c r="B476" s="594">
        <v>3.56E-2</v>
      </c>
      <c r="C476" s="577">
        <v>1.09E-2</v>
      </c>
      <c r="D476" s="577">
        <v>3.3E-3</v>
      </c>
      <c r="E476" s="577">
        <v>3.6916666666666664E-3</v>
      </c>
      <c r="F476" s="577">
        <v>3.7333333333333333E-3</v>
      </c>
      <c r="G476" s="577">
        <v>3.7124999999999997E-3</v>
      </c>
      <c r="H476" s="577">
        <v>3.741666666666667E-3</v>
      </c>
      <c r="I476" s="577">
        <f t="shared" si="79"/>
        <v>3.2300000000000002E-2</v>
      </c>
      <c r="J476" s="577">
        <f t="shared" si="72"/>
        <v>3.1887499999999999E-2</v>
      </c>
      <c r="K476" s="577">
        <f t="shared" si="73"/>
        <v>7.1583333333333325E-3</v>
      </c>
      <c r="L476" s="585">
        <f t="shared" si="80"/>
        <v>0.15610345448711049</v>
      </c>
      <c r="M476" s="585">
        <f t="shared" si="81"/>
        <v>3.9599999999999996E-2</v>
      </c>
      <c r="N476" s="585">
        <f t="shared" si="74"/>
        <v>4.4549999999999992E-2</v>
      </c>
      <c r="O476" s="586">
        <f t="shared" si="82"/>
        <v>0.1165034544871105</v>
      </c>
      <c r="P476" s="585">
        <f t="shared" si="75"/>
        <v>0.1115534544871105</v>
      </c>
      <c r="Q476" s="585">
        <f t="shared" si="76"/>
        <v>0.19415030798189514</v>
      </c>
      <c r="R476" s="585">
        <f t="shared" si="77"/>
        <v>4.4900000000000002E-2</v>
      </c>
      <c r="S476" s="586">
        <f t="shared" si="78"/>
        <v>0.14925030798189515</v>
      </c>
      <c r="U476" s="587"/>
      <c r="V476" s="587"/>
      <c r="W476" s="587"/>
      <c r="X476" s="587"/>
      <c r="Y476" s="587"/>
      <c r="Z476" s="587"/>
      <c r="AA476" s="587"/>
      <c r="AB476" s="587"/>
      <c r="AC476" s="587"/>
      <c r="AE476" s="587"/>
      <c r="AF476" s="587"/>
      <c r="AG476" s="587"/>
      <c r="AH476" s="587"/>
      <c r="AI476" s="587"/>
      <c r="AJ476" s="587"/>
      <c r="AK476" s="587"/>
      <c r="AL476" s="587"/>
      <c r="AM476" s="587"/>
      <c r="AO476" s="587"/>
      <c r="AP476" s="587"/>
      <c r="AQ476" s="587"/>
      <c r="AR476" s="587"/>
      <c r="AS476" s="587"/>
      <c r="AT476" s="587"/>
      <c r="AU476" s="587"/>
      <c r="AV476" s="587"/>
      <c r="AW476" s="587"/>
    </row>
    <row r="477" spans="1:49">
      <c r="A477" s="581">
        <v>23863</v>
      </c>
      <c r="B477" s="594">
        <v>-3.0000000000000001E-3</v>
      </c>
      <c r="C477" s="577">
        <v>-8.3999999999999995E-3</v>
      </c>
      <c r="D477" s="577">
        <v>3.3E-3</v>
      </c>
      <c r="E477" s="577">
        <v>3.7000000000000006E-3</v>
      </c>
      <c r="F477" s="577">
        <v>3.741666666666667E-3</v>
      </c>
      <c r="G477" s="577">
        <v>3.7208333333333338E-3</v>
      </c>
      <c r="H477" s="577">
        <v>3.7499999999999999E-3</v>
      </c>
      <c r="I477" s="577">
        <f t="shared" si="79"/>
        <v>-6.3E-3</v>
      </c>
      <c r="J477" s="577">
        <f t="shared" ref="J477:J540" si="83">B477-G477</f>
        <v>-6.7208333333333339E-3</v>
      </c>
      <c r="K477" s="577">
        <f t="shared" ref="K477:K540" si="84">$C477-H477</f>
        <v>-1.2149999999999999E-2</v>
      </c>
      <c r="L477" s="585">
        <f t="shared" si="80"/>
        <v>0.13426013001736781</v>
      </c>
      <c r="M477" s="585">
        <f t="shared" si="81"/>
        <v>3.9599999999999996E-2</v>
      </c>
      <c r="N477" s="585">
        <f t="shared" si="74"/>
        <v>4.4650000000000009E-2</v>
      </c>
      <c r="O477" s="586">
        <f t="shared" si="82"/>
        <v>9.4660130017367811E-2</v>
      </c>
      <c r="P477" s="585">
        <f t="shared" si="75"/>
        <v>8.9610130017367798E-2</v>
      </c>
      <c r="Q477" s="585">
        <f t="shared" si="76"/>
        <v>0.18034234987524611</v>
      </c>
      <c r="R477" s="585">
        <f t="shared" si="77"/>
        <v>4.4999999999999998E-2</v>
      </c>
      <c r="S477" s="586">
        <f t="shared" si="78"/>
        <v>0.13534234987524613</v>
      </c>
      <c r="U477" s="587"/>
      <c r="V477" s="587"/>
      <c r="W477" s="587"/>
      <c r="X477" s="587"/>
      <c r="Y477" s="587"/>
      <c r="Z477" s="587"/>
      <c r="AA477" s="587"/>
      <c r="AB477" s="587"/>
      <c r="AC477" s="587"/>
      <c r="AE477" s="587"/>
      <c r="AF477" s="587"/>
      <c r="AG477" s="587"/>
      <c r="AH477" s="587"/>
      <c r="AI477" s="587"/>
      <c r="AJ477" s="587"/>
      <c r="AK477" s="587"/>
      <c r="AL477" s="587"/>
      <c r="AM477" s="587"/>
      <c r="AO477" s="587"/>
      <c r="AP477" s="587"/>
      <c r="AQ477" s="587"/>
      <c r="AR477" s="587"/>
      <c r="AS477" s="587"/>
      <c r="AT477" s="587"/>
      <c r="AU477" s="587"/>
      <c r="AV477" s="587"/>
      <c r="AW477" s="587"/>
    </row>
    <row r="478" spans="1:49">
      <c r="A478" s="581">
        <v>23894</v>
      </c>
      <c r="B478" s="594">
        <v>-4.7300000000000002E-2</v>
      </c>
      <c r="C478" s="577">
        <v>-3.4000000000000002E-2</v>
      </c>
      <c r="D478" s="577">
        <v>3.8E-3</v>
      </c>
      <c r="E478" s="577">
        <v>3.7166666666666663E-3</v>
      </c>
      <c r="F478" s="577">
        <v>3.7666666666666664E-3</v>
      </c>
      <c r="G478" s="577">
        <v>3.7416666666666666E-3</v>
      </c>
      <c r="H478" s="577">
        <v>3.7666666666666664E-3</v>
      </c>
      <c r="I478" s="577">
        <f t="shared" si="79"/>
        <v>-5.11E-2</v>
      </c>
      <c r="J478" s="577">
        <f t="shared" si="83"/>
        <v>-5.1041666666666666E-2</v>
      </c>
      <c r="K478" s="577">
        <f t="shared" si="84"/>
        <v>-3.7766666666666671E-2</v>
      </c>
      <c r="L478" s="585">
        <f t="shared" si="80"/>
        <v>6.1711167093285724E-2</v>
      </c>
      <c r="M478" s="585">
        <f t="shared" si="81"/>
        <v>4.5600000000000002E-2</v>
      </c>
      <c r="N478" s="585">
        <f t="shared" si="74"/>
        <v>4.4899999999999995E-2</v>
      </c>
      <c r="O478" s="586">
        <f t="shared" si="82"/>
        <v>1.6111167093285722E-2</v>
      </c>
      <c r="P478" s="585">
        <f t="shared" si="75"/>
        <v>1.6811167093285728E-2</v>
      </c>
      <c r="Q478" s="585">
        <f t="shared" si="76"/>
        <v>0.11413983777553982</v>
      </c>
      <c r="R478" s="585">
        <f t="shared" si="77"/>
        <v>4.5199999999999997E-2</v>
      </c>
      <c r="S478" s="586">
        <f t="shared" si="78"/>
        <v>6.8939837775539831E-2</v>
      </c>
      <c r="U478" s="587"/>
      <c r="V478" s="587"/>
      <c r="W478" s="587"/>
      <c r="X478" s="587"/>
      <c r="Y478" s="587"/>
      <c r="Z478" s="587"/>
      <c r="AA478" s="587"/>
      <c r="AB478" s="587"/>
      <c r="AC478" s="587"/>
      <c r="AE478" s="587"/>
      <c r="AF478" s="587"/>
      <c r="AG478" s="587"/>
      <c r="AH478" s="587"/>
      <c r="AI478" s="587"/>
      <c r="AJ478" s="587"/>
      <c r="AK478" s="587"/>
      <c r="AL478" s="587"/>
      <c r="AM478" s="587"/>
      <c r="AO478" s="587"/>
      <c r="AP478" s="587"/>
      <c r="AQ478" s="587"/>
      <c r="AR478" s="587"/>
      <c r="AS478" s="587"/>
      <c r="AT478" s="587"/>
      <c r="AU478" s="587"/>
      <c r="AV478" s="587"/>
      <c r="AW478" s="587"/>
    </row>
    <row r="479" spans="1:49">
      <c r="A479" s="581">
        <v>23924</v>
      </c>
      <c r="B479" s="594">
        <v>1.47E-2</v>
      </c>
      <c r="C479" s="577">
        <v>1.0500000000000001E-2</v>
      </c>
      <c r="D479" s="577">
        <v>3.3999999999999998E-3</v>
      </c>
      <c r="E479" s="577">
        <v>3.7333333333333333E-3</v>
      </c>
      <c r="F479" s="577">
        <v>3.7999999999999996E-3</v>
      </c>
      <c r="G479" s="577">
        <v>3.7666666666666664E-3</v>
      </c>
      <c r="H479" s="577">
        <v>3.7833333333333334E-3</v>
      </c>
      <c r="I479" s="577">
        <f t="shared" si="79"/>
        <v>1.1299999999999999E-2</v>
      </c>
      <c r="J479" s="577">
        <f t="shared" si="83"/>
        <v>1.0933333333333333E-2</v>
      </c>
      <c r="K479" s="577">
        <f t="shared" si="84"/>
        <v>6.7166666666666677E-3</v>
      </c>
      <c r="L479" s="585">
        <f t="shared" si="80"/>
        <v>5.6712428886274591E-2</v>
      </c>
      <c r="M479" s="585">
        <f t="shared" si="81"/>
        <v>4.0799999999999996E-2</v>
      </c>
      <c r="N479" s="585">
        <f t="shared" si="74"/>
        <v>4.5199999999999997E-2</v>
      </c>
      <c r="O479" s="586">
        <f t="shared" si="82"/>
        <v>1.5912428886274595E-2</v>
      </c>
      <c r="P479" s="585">
        <f t="shared" si="75"/>
        <v>1.1512428886274594E-2</v>
      </c>
      <c r="Q479" s="585">
        <f t="shared" si="76"/>
        <v>7.5196548631633719E-2</v>
      </c>
      <c r="R479" s="585">
        <f t="shared" si="77"/>
        <v>4.5400000000000003E-2</v>
      </c>
      <c r="S479" s="586">
        <f t="shared" si="78"/>
        <v>2.9796548631633717E-2</v>
      </c>
      <c r="U479" s="587"/>
      <c r="V479" s="587"/>
      <c r="W479" s="587"/>
      <c r="X479" s="587"/>
      <c r="Y479" s="587"/>
      <c r="Z479" s="587"/>
      <c r="AA479" s="587"/>
      <c r="AB479" s="587"/>
      <c r="AC479" s="587"/>
      <c r="AE479" s="587"/>
      <c r="AF479" s="587"/>
      <c r="AG479" s="587"/>
      <c r="AH479" s="587"/>
      <c r="AI479" s="587"/>
      <c r="AJ479" s="587"/>
      <c r="AK479" s="587"/>
      <c r="AL479" s="587"/>
      <c r="AM479" s="587"/>
      <c r="AO479" s="587"/>
      <c r="AP479" s="587"/>
      <c r="AQ479" s="587"/>
      <c r="AR479" s="587"/>
      <c r="AS479" s="587"/>
      <c r="AT479" s="587"/>
      <c r="AU479" s="587"/>
      <c r="AV479" s="587"/>
      <c r="AW479" s="587"/>
    </row>
    <row r="480" spans="1:49">
      <c r="A480" s="581">
        <v>23955</v>
      </c>
      <c r="B480" s="594">
        <v>2.7199999999999998E-2</v>
      </c>
      <c r="C480" s="577">
        <v>9.7000000000000003E-3</v>
      </c>
      <c r="D480" s="577">
        <v>3.7000000000000002E-3</v>
      </c>
      <c r="E480" s="577">
        <v>3.741666666666667E-3</v>
      </c>
      <c r="F480" s="577">
        <v>3.8250000000000003E-3</v>
      </c>
      <c r="G480" s="577">
        <v>3.7833333333333334E-3</v>
      </c>
      <c r="H480" s="577">
        <v>3.8166666666666666E-3</v>
      </c>
      <c r="I480" s="577">
        <f t="shared" si="79"/>
        <v>2.35E-2</v>
      </c>
      <c r="J480" s="577">
        <f t="shared" si="83"/>
        <v>2.3416666666666665E-2</v>
      </c>
      <c r="K480" s="577">
        <f t="shared" si="84"/>
        <v>5.8833333333333342E-3</v>
      </c>
      <c r="L480" s="585">
        <f t="shared" si="80"/>
        <v>9.841631952234442E-2</v>
      </c>
      <c r="M480" s="585">
        <f t="shared" si="81"/>
        <v>4.4400000000000002E-2</v>
      </c>
      <c r="N480" s="585">
        <f t="shared" si="74"/>
        <v>4.5400000000000003E-2</v>
      </c>
      <c r="O480" s="586">
        <f t="shared" si="82"/>
        <v>5.4016319522344418E-2</v>
      </c>
      <c r="P480" s="585">
        <f t="shared" si="75"/>
        <v>5.3016319522344417E-2</v>
      </c>
      <c r="Q480" s="585">
        <f t="shared" si="76"/>
        <v>8.227091531588071E-2</v>
      </c>
      <c r="R480" s="585">
        <f t="shared" si="77"/>
        <v>4.58E-2</v>
      </c>
      <c r="S480" s="586">
        <f t="shared" si="78"/>
        <v>3.647091531588071E-2</v>
      </c>
      <c r="U480" s="587"/>
      <c r="V480" s="587"/>
      <c r="W480" s="587"/>
      <c r="X480" s="587"/>
      <c r="Y480" s="587"/>
      <c r="Z480" s="587"/>
      <c r="AA480" s="587"/>
      <c r="AB480" s="587"/>
      <c r="AC480" s="587"/>
      <c r="AE480" s="587"/>
      <c r="AF480" s="587"/>
      <c r="AG480" s="587"/>
      <c r="AH480" s="587"/>
      <c r="AI480" s="587"/>
      <c r="AJ480" s="587"/>
      <c r="AK480" s="587"/>
      <c r="AL480" s="587"/>
      <c r="AM480" s="587"/>
      <c r="AO480" s="587"/>
      <c r="AP480" s="587"/>
      <c r="AQ480" s="587"/>
      <c r="AR480" s="587"/>
      <c r="AS480" s="587"/>
      <c r="AT480" s="587"/>
      <c r="AU480" s="587"/>
      <c r="AV480" s="587"/>
      <c r="AW480" s="587"/>
    </row>
    <row r="481" spans="1:49">
      <c r="A481" s="581">
        <v>23986</v>
      </c>
      <c r="B481" s="594">
        <v>3.3399999999999999E-2</v>
      </c>
      <c r="C481" s="577">
        <v>1.9400000000000001E-2</v>
      </c>
      <c r="D481" s="577">
        <v>3.5000000000000005E-3</v>
      </c>
      <c r="E481" s="577">
        <v>3.7666666666666664E-3</v>
      </c>
      <c r="F481" s="577">
        <v>3.858333333333333E-3</v>
      </c>
      <c r="G481" s="577">
        <v>3.8124999999999999E-3</v>
      </c>
      <c r="H481" s="577">
        <v>3.858333333333333E-3</v>
      </c>
      <c r="I481" s="577">
        <f t="shared" si="79"/>
        <v>2.9899999999999999E-2</v>
      </c>
      <c r="J481" s="577">
        <f t="shared" si="83"/>
        <v>2.9587499999999999E-2</v>
      </c>
      <c r="K481" s="577">
        <f t="shared" si="84"/>
        <v>1.5541666666666667E-2</v>
      </c>
      <c r="L481" s="585">
        <f t="shared" si="80"/>
        <v>0.10193517580272937</v>
      </c>
      <c r="M481" s="585">
        <f t="shared" si="81"/>
        <v>4.200000000000001E-2</v>
      </c>
      <c r="N481" s="585">
        <f t="shared" si="74"/>
        <v>4.5749999999999999E-2</v>
      </c>
      <c r="O481" s="586">
        <f t="shared" si="82"/>
        <v>5.9935175802729362E-2</v>
      </c>
      <c r="P481" s="585">
        <f t="shared" si="75"/>
        <v>5.6185175802729373E-2</v>
      </c>
      <c r="Q481" s="585">
        <f t="shared" si="76"/>
        <v>8.4824946974443538E-2</v>
      </c>
      <c r="R481" s="585">
        <f t="shared" si="77"/>
        <v>4.6299999999999994E-2</v>
      </c>
      <c r="S481" s="586">
        <f t="shared" si="78"/>
        <v>3.8524946974443544E-2</v>
      </c>
      <c r="U481" s="587"/>
      <c r="V481" s="587"/>
      <c r="W481" s="587"/>
      <c r="X481" s="587"/>
      <c r="Y481" s="587"/>
      <c r="Z481" s="587"/>
      <c r="AA481" s="587"/>
      <c r="AB481" s="587"/>
      <c r="AC481" s="587"/>
      <c r="AE481" s="587"/>
      <c r="AF481" s="587"/>
      <c r="AG481" s="587"/>
      <c r="AH481" s="587"/>
      <c r="AI481" s="587"/>
      <c r="AJ481" s="587"/>
      <c r="AK481" s="587"/>
      <c r="AL481" s="587"/>
      <c r="AM481" s="587"/>
      <c r="AO481" s="587"/>
      <c r="AP481" s="587"/>
      <c r="AQ481" s="587"/>
      <c r="AR481" s="587"/>
      <c r="AS481" s="587"/>
      <c r="AT481" s="587"/>
      <c r="AU481" s="587"/>
      <c r="AV481" s="587"/>
      <c r="AW481" s="587"/>
    </row>
    <row r="482" spans="1:49">
      <c r="A482" s="581">
        <v>24016</v>
      </c>
      <c r="B482" s="594">
        <v>2.8899999999999999E-2</v>
      </c>
      <c r="C482" s="577">
        <v>1.2900000000000002E-2</v>
      </c>
      <c r="D482" s="577">
        <v>3.3999999999999998E-3</v>
      </c>
      <c r="E482" s="577">
        <v>3.7999999999999996E-3</v>
      </c>
      <c r="F482" s="577">
        <v>3.8833333333333337E-3</v>
      </c>
      <c r="G482" s="577">
        <v>3.8416666666666664E-3</v>
      </c>
      <c r="H482" s="577">
        <v>3.8833333333333337E-3</v>
      </c>
      <c r="I482" s="577">
        <f t="shared" si="79"/>
        <v>2.5499999999999998E-2</v>
      </c>
      <c r="J482" s="577">
        <f t="shared" si="83"/>
        <v>2.5058333333333332E-2</v>
      </c>
      <c r="K482" s="577">
        <f t="shared" si="84"/>
        <v>9.0166666666666676E-3</v>
      </c>
      <c r="L482" s="585">
        <f t="shared" si="80"/>
        <v>0.12300029950814961</v>
      </c>
      <c r="M482" s="585">
        <f t="shared" si="81"/>
        <v>4.0799999999999996E-2</v>
      </c>
      <c r="N482" s="585">
        <f t="shared" si="74"/>
        <v>4.6099999999999995E-2</v>
      </c>
      <c r="O482" s="586">
        <f t="shared" si="82"/>
        <v>8.220029950814961E-2</v>
      </c>
      <c r="P482" s="585">
        <f t="shared" si="75"/>
        <v>7.6900299508149611E-2</v>
      </c>
      <c r="Q482" s="585">
        <f t="shared" si="76"/>
        <v>8.0982969788897075E-2</v>
      </c>
      <c r="R482" s="585">
        <f t="shared" si="77"/>
        <v>4.6600000000000003E-2</v>
      </c>
      <c r="S482" s="586">
        <f t="shared" si="78"/>
        <v>3.4382969788897072E-2</v>
      </c>
      <c r="U482" s="587"/>
      <c r="V482" s="587"/>
      <c r="W482" s="587"/>
      <c r="X482" s="587"/>
      <c r="Y482" s="587"/>
      <c r="Z482" s="587"/>
      <c r="AA482" s="587"/>
      <c r="AB482" s="587"/>
      <c r="AC482" s="587"/>
      <c r="AE482" s="587"/>
      <c r="AF482" s="587"/>
      <c r="AG482" s="587"/>
      <c r="AH482" s="587"/>
      <c r="AI482" s="587"/>
      <c r="AJ482" s="587"/>
      <c r="AK482" s="587"/>
      <c r="AL482" s="587"/>
      <c r="AM482" s="587"/>
      <c r="AO482" s="587"/>
      <c r="AP482" s="587"/>
      <c r="AQ482" s="587"/>
      <c r="AR482" s="587"/>
      <c r="AS482" s="587"/>
      <c r="AT482" s="587"/>
      <c r="AU482" s="587"/>
      <c r="AV482" s="587"/>
      <c r="AW482" s="587"/>
    </row>
    <row r="483" spans="1:49">
      <c r="A483" s="581">
        <v>24047</v>
      </c>
      <c r="B483" s="594">
        <v>-3.0999999999999999E-3</v>
      </c>
      <c r="C483" s="577">
        <v>-1.1599999999999999E-2</v>
      </c>
      <c r="D483" s="577">
        <v>3.7000000000000002E-3</v>
      </c>
      <c r="E483" s="577">
        <v>3.8333333333333331E-3</v>
      </c>
      <c r="F483" s="577">
        <v>3.908333333333334E-3</v>
      </c>
      <c r="G483" s="577">
        <v>3.8708333333333333E-3</v>
      </c>
      <c r="H483" s="577">
        <v>3.9250000000000005E-3</v>
      </c>
      <c r="I483" s="577">
        <f t="shared" si="79"/>
        <v>-6.8000000000000005E-3</v>
      </c>
      <c r="J483" s="577">
        <f t="shared" si="83"/>
        <v>-6.9708333333333332E-3</v>
      </c>
      <c r="K483" s="577">
        <f t="shared" si="84"/>
        <v>-1.5525000000000001E-2</v>
      </c>
      <c r="L483" s="585">
        <f t="shared" si="80"/>
        <v>0.11895951882026434</v>
      </c>
      <c r="M483" s="585">
        <f t="shared" si="81"/>
        <v>4.4400000000000002E-2</v>
      </c>
      <c r="N483" s="585">
        <f t="shared" si="74"/>
        <v>4.6449999999999998E-2</v>
      </c>
      <c r="O483" s="586">
        <f t="shared" si="82"/>
        <v>7.4559518820264348E-2</v>
      </c>
      <c r="P483" s="585">
        <f t="shared" si="75"/>
        <v>7.2509518820264351E-2</v>
      </c>
      <c r="Q483" s="585">
        <f t="shared" si="76"/>
        <v>5.6400600493716979E-2</v>
      </c>
      <c r="R483" s="585">
        <f t="shared" si="77"/>
        <v>4.7100000000000003E-2</v>
      </c>
      <c r="S483" s="586">
        <f t="shared" si="78"/>
        <v>9.3006004937169762E-3</v>
      </c>
      <c r="U483" s="587"/>
      <c r="V483" s="587"/>
      <c r="W483" s="587"/>
      <c r="X483" s="587"/>
      <c r="Y483" s="587"/>
      <c r="Z483" s="587"/>
      <c r="AA483" s="587"/>
      <c r="AB483" s="587"/>
      <c r="AC483" s="587"/>
      <c r="AE483" s="587"/>
      <c r="AF483" s="587"/>
      <c r="AG483" s="587"/>
      <c r="AH483" s="587"/>
      <c r="AI483" s="587"/>
      <c r="AJ483" s="587"/>
      <c r="AK483" s="587"/>
      <c r="AL483" s="587"/>
      <c r="AM483" s="587"/>
      <c r="AO483" s="587"/>
      <c r="AP483" s="587"/>
      <c r="AQ483" s="587"/>
      <c r="AR483" s="587"/>
      <c r="AS483" s="587"/>
      <c r="AT483" s="587"/>
      <c r="AU483" s="587"/>
      <c r="AV483" s="587"/>
      <c r="AW483" s="587"/>
    </row>
    <row r="484" spans="1:49">
      <c r="A484" s="581">
        <v>24077</v>
      </c>
      <c r="B484" s="594">
        <v>1.06E-2</v>
      </c>
      <c r="C484" s="577">
        <v>-7.9999999999999993E-4</v>
      </c>
      <c r="D484" s="577">
        <v>3.7000000000000002E-3</v>
      </c>
      <c r="E484" s="577">
        <v>3.8999999999999994E-3</v>
      </c>
      <c r="F484" s="577">
        <v>4.0000000000000001E-3</v>
      </c>
      <c r="G484" s="577">
        <v>3.9499999999999995E-3</v>
      </c>
      <c r="H484" s="577">
        <v>4.0249999999999999E-3</v>
      </c>
      <c r="I484" s="577">
        <f t="shared" si="79"/>
        <v>6.8999999999999999E-3</v>
      </c>
      <c r="J484" s="577">
        <f t="shared" si="83"/>
        <v>6.6500000000000005E-3</v>
      </c>
      <c r="K484" s="577">
        <f t="shared" si="84"/>
        <v>-4.8249999999999994E-3</v>
      </c>
      <c r="L484" s="585">
        <f t="shared" si="80"/>
        <v>0.12452316002362673</v>
      </c>
      <c r="M484" s="585">
        <f t="shared" si="81"/>
        <v>4.4400000000000002E-2</v>
      </c>
      <c r="N484" s="585">
        <f t="shared" si="74"/>
        <v>4.7399999999999998E-2</v>
      </c>
      <c r="O484" s="586">
        <f t="shared" si="82"/>
        <v>8.0123160023626738E-2</v>
      </c>
      <c r="P484" s="585">
        <f t="shared" si="75"/>
        <v>7.7123160023626736E-2</v>
      </c>
      <c r="Q484" s="585">
        <f t="shared" si="76"/>
        <v>4.6555106100854671E-2</v>
      </c>
      <c r="R484" s="585">
        <f t="shared" si="77"/>
        <v>4.8299999999999996E-2</v>
      </c>
      <c r="S484" s="586">
        <f t="shared" si="78"/>
        <v>-1.744893899145325E-3</v>
      </c>
      <c r="U484" s="587"/>
      <c r="V484" s="587"/>
      <c r="W484" s="587"/>
      <c r="X484" s="587"/>
      <c r="Y484" s="587"/>
      <c r="Z484" s="587"/>
      <c r="AA484" s="587"/>
      <c r="AB484" s="587"/>
      <c r="AC484" s="587"/>
      <c r="AE484" s="587"/>
      <c r="AF484" s="587"/>
      <c r="AG484" s="587"/>
      <c r="AH484" s="587"/>
      <c r="AI484" s="587"/>
      <c r="AJ484" s="587"/>
      <c r="AK484" s="587"/>
      <c r="AL484" s="587"/>
      <c r="AM484" s="587"/>
      <c r="AO484" s="587"/>
      <c r="AP484" s="587"/>
      <c r="AQ484" s="587"/>
      <c r="AR484" s="587"/>
      <c r="AS484" s="587"/>
      <c r="AT484" s="587"/>
      <c r="AU484" s="587"/>
      <c r="AV484" s="587"/>
      <c r="AW484" s="587"/>
    </row>
    <row r="485" spans="1:49">
      <c r="A485" s="581">
        <v>24108</v>
      </c>
      <c r="B485" s="594">
        <v>6.1999999999999998E-3</v>
      </c>
      <c r="C485" s="577">
        <v>-2.9699999999999997E-2</v>
      </c>
      <c r="D485" s="577">
        <v>3.8E-3</v>
      </c>
      <c r="E485" s="577">
        <v>3.9500000000000004E-3</v>
      </c>
      <c r="F485" s="577">
        <v>4.0249999999999999E-3</v>
      </c>
      <c r="G485" s="577">
        <v>3.9875000000000006E-3</v>
      </c>
      <c r="H485" s="577">
        <v>4.0500000000000006E-3</v>
      </c>
      <c r="I485" s="577">
        <f t="shared" si="79"/>
        <v>2.3999999999999998E-3</v>
      </c>
      <c r="J485" s="577">
        <f t="shared" si="83"/>
        <v>2.2124999999999992E-3</v>
      </c>
      <c r="K485" s="577">
        <f t="shared" si="84"/>
        <v>-3.3749999999999995E-2</v>
      </c>
      <c r="L485" s="585">
        <f t="shared" si="80"/>
        <v>9.3760467487455701E-2</v>
      </c>
      <c r="M485" s="585">
        <f t="shared" si="81"/>
        <v>4.5600000000000002E-2</v>
      </c>
      <c r="N485" s="585">
        <f t="shared" si="74"/>
        <v>4.7850000000000004E-2</v>
      </c>
      <c r="O485" s="586">
        <f t="shared" si="82"/>
        <v>4.8160467487455699E-2</v>
      </c>
      <c r="P485" s="585">
        <f t="shared" si="75"/>
        <v>4.5910467487455697E-2</v>
      </c>
      <c r="Q485" s="585">
        <f t="shared" si="76"/>
        <v>-2.0853900829563288E-2</v>
      </c>
      <c r="R485" s="585">
        <f t="shared" si="77"/>
        <v>4.8600000000000004E-2</v>
      </c>
      <c r="S485" s="586">
        <f t="shared" si="78"/>
        <v>-6.9453900829563292E-2</v>
      </c>
      <c r="U485" s="587"/>
      <c r="V485" s="587"/>
      <c r="W485" s="587"/>
      <c r="X485" s="587"/>
      <c r="Y485" s="587"/>
      <c r="Z485" s="587"/>
      <c r="AA485" s="587"/>
      <c r="AB485" s="587"/>
      <c r="AC485" s="587"/>
      <c r="AE485" s="587"/>
      <c r="AF485" s="587"/>
      <c r="AG485" s="587"/>
      <c r="AH485" s="587"/>
      <c r="AI485" s="587"/>
      <c r="AJ485" s="587"/>
      <c r="AK485" s="587"/>
      <c r="AL485" s="587"/>
      <c r="AM485" s="587"/>
      <c r="AO485" s="587"/>
      <c r="AP485" s="587"/>
      <c r="AQ485" s="587"/>
      <c r="AR485" s="587"/>
      <c r="AS485" s="587"/>
      <c r="AT485" s="587"/>
      <c r="AU485" s="587"/>
      <c r="AV485" s="587"/>
      <c r="AW485" s="587"/>
    </row>
    <row r="486" spans="1:49">
      <c r="A486" s="581">
        <v>24139</v>
      </c>
      <c r="B486" s="594">
        <v>-1.3100000000000001E-2</v>
      </c>
      <c r="C486" s="577">
        <v>-4.1399999999999999E-2</v>
      </c>
      <c r="D486" s="577">
        <v>3.3999999999999998E-3</v>
      </c>
      <c r="E486" s="577">
        <v>3.9833333333333335E-3</v>
      </c>
      <c r="F486" s="577">
        <v>4.0833333333333338E-3</v>
      </c>
      <c r="G486" s="577">
        <v>4.0333333333333341E-3</v>
      </c>
      <c r="H486" s="577">
        <v>4.0999999999999995E-3</v>
      </c>
      <c r="I486" s="577">
        <f t="shared" si="79"/>
        <v>-1.6500000000000001E-2</v>
      </c>
      <c r="J486" s="577">
        <f t="shared" si="83"/>
        <v>-1.7133333333333334E-2</v>
      </c>
      <c r="K486" s="577">
        <f t="shared" si="84"/>
        <v>-4.5499999999999999E-2</v>
      </c>
      <c r="L486" s="585">
        <f t="shared" si="80"/>
        <v>7.6096306812252212E-2</v>
      </c>
      <c r="M486" s="585">
        <f t="shared" si="81"/>
        <v>4.0799999999999996E-2</v>
      </c>
      <c r="N486" s="585">
        <f t="shared" si="74"/>
        <v>4.8400000000000012E-2</v>
      </c>
      <c r="O486" s="586">
        <f t="shared" si="82"/>
        <v>3.5296306812252216E-2</v>
      </c>
      <c r="P486" s="585">
        <f t="shared" si="75"/>
        <v>2.76963068122522E-2</v>
      </c>
      <c r="Q486" s="585">
        <f t="shared" si="76"/>
        <v>-6.2234538250793392E-2</v>
      </c>
      <c r="R486" s="585">
        <f t="shared" si="77"/>
        <v>4.9199999999999994E-2</v>
      </c>
      <c r="S486" s="586">
        <f t="shared" si="78"/>
        <v>-0.11143453825079339</v>
      </c>
      <c r="U486" s="587"/>
      <c r="V486" s="587"/>
      <c r="W486" s="587"/>
      <c r="X486" s="587"/>
      <c r="Y486" s="587"/>
      <c r="Z486" s="587"/>
      <c r="AA486" s="587"/>
      <c r="AB486" s="587"/>
      <c r="AC486" s="587"/>
      <c r="AE486" s="587"/>
      <c r="AF486" s="587"/>
      <c r="AG486" s="587"/>
      <c r="AH486" s="587"/>
      <c r="AI486" s="587"/>
      <c r="AJ486" s="587"/>
      <c r="AK486" s="587"/>
      <c r="AL486" s="587"/>
      <c r="AM486" s="587"/>
      <c r="AO486" s="587"/>
      <c r="AP486" s="587"/>
      <c r="AQ486" s="587"/>
      <c r="AR486" s="587"/>
      <c r="AS486" s="587"/>
      <c r="AT486" s="587"/>
      <c r="AU486" s="587"/>
      <c r="AV486" s="587"/>
      <c r="AW486" s="587"/>
    </row>
    <row r="487" spans="1:49">
      <c r="A487" s="581">
        <v>24167</v>
      </c>
      <c r="B487" s="594">
        <v>-2.0500000000000001E-2</v>
      </c>
      <c r="C487" s="577">
        <v>-4.5000000000000005E-3</v>
      </c>
      <c r="D487" s="577">
        <v>4.0000000000000001E-3</v>
      </c>
      <c r="E487" s="577">
        <v>4.0999999999999995E-3</v>
      </c>
      <c r="F487" s="577">
        <v>4.208333333333333E-3</v>
      </c>
      <c r="G487" s="577">
        <v>4.1541666666666663E-3</v>
      </c>
      <c r="H487" s="577">
        <v>4.2833333333333326E-3</v>
      </c>
      <c r="I487" s="577">
        <f t="shared" si="79"/>
        <v>-2.4500000000000001E-2</v>
      </c>
      <c r="J487" s="577">
        <f t="shared" si="83"/>
        <v>-2.4654166666666668E-2</v>
      </c>
      <c r="K487" s="577">
        <f t="shared" si="84"/>
        <v>-8.783333333333334E-3</v>
      </c>
      <c r="L487" s="585">
        <f t="shared" si="80"/>
        <v>6.8243977422317803E-2</v>
      </c>
      <c r="M487" s="585">
        <f t="shared" si="81"/>
        <v>4.8000000000000001E-2</v>
      </c>
      <c r="N487" s="585">
        <f t="shared" si="74"/>
        <v>4.9849999999999992E-2</v>
      </c>
      <c r="O487" s="586">
        <f t="shared" si="82"/>
        <v>2.0243977422317802E-2</v>
      </c>
      <c r="P487" s="585">
        <f t="shared" si="75"/>
        <v>1.8393977422317812E-2</v>
      </c>
      <c r="Q487" s="585">
        <f t="shared" si="76"/>
        <v>-6.7107507573363478E-2</v>
      </c>
      <c r="R487" s="585">
        <f t="shared" si="77"/>
        <v>5.1399999999999987E-2</v>
      </c>
      <c r="S487" s="586">
        <f t="shared" si="78"/>
        <v>-0.11850750757336347</v>
      </c>
      <c r="U487" s="587"/>
      <c r="V487" s="587"/>
      <c r="W487" s="587"/>
      <c r="X487" s="587"/>
      <c r="Y487" s="587"/>
      <c r="Z487" s="587"/>
      <c r="AA487" s="587"/>
      <c r="AB487" s="587"/>
      <c r="AC487" s="587"/>
      <c r="AE487" s="587"/>
      <c r="AF487" s="587"/>
      <c r="AG487" s="587"/>
      <c r="AH487" s="587"/>
      <c r="AI487" s="587"/>
      <c r="AJ487" s="587"/>
      <c r="AK487" s="587"/>
      <c r="AL487" s="587"/>
      <c r="AM487" s="587"/>
      <c r="AO487" s="587"/>
      <c r="AP487" s="587"/>
      <c r="AQ487" s="587"/>
      <c r="AR487" s="587"/>
      <c r="AS487" s="587"/>
      <c r="AT487" s="587"/>
      <c r="AU487" s="587"/>
      <c r="AV487" s="587"/>
      <c r="AW487" s="587"/>
    </row>
    <row r="488" spans="1:49">
      <c r="A488" s="581">
        <v>24198</v>
      </c>
      <c r="B488" s="594">
        <v>2.1999999999999999E-2</v>
      </c>
      <c r="C488" s="577">
        <v>1.72E-2</v>
      </c>
      <c r="D488" s="577">
        <v>3.5999999999999999E-3</v>
      </c>
      <c r="E488" s="577">
        <v>4.1083333333333336E-3</v>
      </c>
      <c r="F488" s="577">
        <v>4.2500000000000003E-3</v>
      </c>
      <c r="G488" s="577">
        <v>4.179166666666667E-3</v>
      </c>
      <c r="H488" s="577">
        <v>4.3750000000000004E-3</v>
      </c>
      <c r="I488" s="577">
        <f t="shared" si="79"/>
        <v>1.84E-2</v>
      </c>
      <c r="J488" s="577">
        <f t="shared" si="83"/>
        <v>1.7820833333333331E-2</v>
      </c>
      <c r="K488" s="577">
        <f t="shared" si="84"/>
        <v>1.2825E-2</v>
      </c>
      <c r="L488" s="585">
        <f t="shared" si="80"/>
        <v>5.4215280924689635E-2</v>
      </c>
      <c r="M488" s="585">
        <f t="shared" si="81"/>
        <v>4.3200000000000002E-2</v>
      </c>
      <c r="N488" s="585">
        <f t="shared" ref="N488:N551" si="85">G488*12</f>
        <v>5.015E-2</v>
      </c>
      <c r="O488" s="586">
        <f t="shared" si="82"/>
        <v>1.1015280924689633E-2</v>
      </c>
      <c r="P488" s="585">
        <f t="shared" ref="P488:P551" si="86">L488-N488</f>
        <v>4.0652809246896349E-3</v>
      </c>
      <c r="Q488" s="585">
        <f t="shared" ref="Q488:Q551" si="87">((1+C477)*(1+C478)*(1+C479)*(1+C480)*(1+C481)*(1+C482)*(1+C483)*(1+C484)*(1+C485)*(1+C486)*(1+C487)*(1+C488))-1</f>
        <v>-6.1293655854807949E-2</v>
      </c>
      <c r="R488" s="585">
        <f t="shared" ref="R488:R551" si="88">H488*12</f>
        <v>5.2500000000000005E-2</v>
      </c>
      <c r="S488" s="586">
        <f t="shared" ref="S488:S551" si="89">Q488-R488</f>
        <v>-0.11379365585480795</v>
      </c>
      <c r="U488" s="587"/>
      <c r="V488" s="587"/>
      <c r="W488" s="587"/>
      <c r="X488" s="587"/>
      <c r="Y488" s="587"/>
      <c r="Z488" s="587"/>
      <c r="AA488" s="587"/>
      <c r="AB488" s="587"/>
      <c r="AC488" s="587"/>
      <c r="AE488" s="587"/>
      <c r="AF488" s="587"/>
      <c r="AG488" s="587"/>
      <c r="AH488" s="587"/>
      <c r="AI488" s="587"/>
      <c r="AJ488" s="587"/>
      <c r="AK488" s="587"/>
      <c r="AL488" s="587"/>
      <c r="AM488" s="587"/>
      <c r="AO488" s="587"/>
      <c r="AP488" s="587"/>
      <c r="AQ488" s="587"/>
      <c r="AR488" s="587"/>
      <c r="AS488" s="587"/>
      <c r="AT488" s="587"/>
      <c r="AU488" s="587"/>
      <c r="AV488" s="587"/>
      <c r="AW488" s="587"/>
    </row>
    <row r="489" spans="1:49">
      <c r="A489" s="581">
        <v>24228</v>
      </c>
      <c r="B489" s="594">
        <v>-4.9200000000000001E-2</v>
      </c>
      <c r="C489" s="577">
        <v>-2.9600000000000001E-2</v>
      </c>
      <c r="D489" s="577">
        <v>4.1000000000000003E-3</v>
      </c>
      <c r="E489" s="577">
        <v>4.15E-3</v>
      </c>
      <c r="F489" s="577">
        <v>4.2500000000000003E-3</v>
      </c>
      <c r="G489" s="577">
        <v>4.2000000000000006E-3</v>
      </c>
      <c r="H489" s="577">
        <v>4.3750000000000004E-3</v>
      </c>
      <c r="I489" s="577">
        <f t="shared" si="79"/>
        <v>-5.33E-2</v>
      </c>
      <c r="J489" s="577">
        <f t="shared" si="83"/>
        <v>-5.3400000000000003E-2</v>
      </c>
      <c r="K489" s="577">
        <f t="shared" si="84"/>
        <v>-3.3975000000000005E-2</v>
      </c>
      <c r="L489" s="585">
        <f t="shared" si="80"/>
        <v>5.3639810463337323E-3</v>
      </c>
      <c r="M489" s="585">
        <f t="shared" si="81"/>
        <v>4.9200000000000008E-2</v>
      </c>
      <c r="N489" s="585">
        <f t="shared" si="85"/>
        <v>5.0400000000000007E-2</v>
      </c>
      <c r="O489" s="586">
        <f t="shared" si="82"/>
        <v>-4.3836018953666275E-2</v>
      </c>
      <c r="P489" s="585">
        <f t="shared" si="86"/>
        <v>-4.5036018953666275E-2</v>
      </c>
      <c r="Q489" s="585">
        <f t="shared" si="87"/>
        <v>-8.1362811256056267E-2</v>
      </c>
      <c r="R489" s="585">
        <f t="shared" si="88"/>
        <v>5.2500000000000005E-2</v>
      </c>
      <c r="S489" s="586">
        <f t="shared" si="89"/>
        <v>-0.13386281125605626</v>
      </c>
      <c r="U489" s="587"/>
      <c r="V489" s="587"/>
      <c r="W489" s="587"/>
      <c r="X489" s="587"/>
      <c r="Y489" s="587"/>
      <c r="Z489" s="587"/>
      <c r="AA489" s="587"/>
      <c r="AB489" s="587"/>
      <c r="AC489" s="587"/>
      <c r="AE489" s="587"/>
      <c r="AF489" s="587"/>
      <c r="AG489" s="587"/>
      <c r="AH489" s="587"/>
      <c r="AI489" s="587"/>
      <c r="AJ489" s="587"/>
      <c r="AK489" s="587"/>
      <c r="AL489" s="587"/>
      <c r="AM489" s="587"/>
      <c r="AO489" s="587"/>
      <c r="AP489" s="587"/>
      <c r="AQ489" s="587"/>
      <c r="AR489" s="587"/>
      <c r="AS489" s="587"/>
      <c r="AT489" s="587"/>
      <c r="AU489" s="587"/>
      <c r="AV489" s="587"/>
      <c r="AW489" s="587"/>
    </row>
    <row r="490" spans="1:49">
      <c r="A490" s="581">
        <v>24259</v>
      </c>
      <c r="B490" s="594">
        <v>-1.46E-2</v>
      </c>
      <c r="C490" s="577">
        <v>-1.8099999999999998E-2</v>
      </c>
      <c r="D490" s="577">
        <v>3.8999999999999994E-3</v>
      </c>
      <c r="E490" s="577">
        <v>4.2250000000000005E-3</v>
      </c>
      <c r="F490" s="577">
        <v>4.3E-3</v>
      </c>
      <c r="G490" s="577">
        <v>4.2624999999999998E-3</v>
      </c>
      <c r="H490" s="577">
        <v>4.5000000000000005E-3</v>
      </c>
      <c r="I490" s="577">
        <f t="shared" si="79"/>
        <v>-1.8499999999999999E-2</v>
      </c>
      <c r="J490" s="577">
        <f t="shared" si="83"/>
        <v>-1.8862500000000001E-2</v>
      </c>
      <c r="K490" s="577">
        <f t="shared" si="84"/>
        <v>-2.2599999999999999E-2</v>
      </c>
      <c r="L490" s="585">
        <f t="shared" si="80"/>
        <v>3.9871593285460083E-2</v>
      </c>
      <c r="M490" s="585">
        <f t="shared" si="81"/>
        <v>4.6799999999999994E-2</v>
      </c>
      <c r="N490" s="585">
        <f t="shared" si="85"/>
        <v>5.1150000000000001E-2</v>
      </c>
      <c r="O490" s="586">
        <f t="shared" si="82"/>
        <v>-6.9284067145399114E-3</v>
      </c>
      <c r="P490" s="585">
        <f t="shared" si="86"/>
        <v>-1.1278406714539918E-2</v>
      </c>
      <c r="Q490" s="585">
        <f t="shared" si="87"/>
        <v>-6.6242385478594068E-2</v>
      </c>
      <c r="R490" s="585">
        <f t="shared" si="88"/>
        <v>5.4000000000000006E-2</v>
      </c>
      <c r="S490" s="586">
        <f t="shared" si="89"/>
        <v>-0.12024238547859407</v>
      </c>
      <c r="U490" s="587"/>
      <c r="V490" s="587"/>
      <c r="W490" s="587"/>
      <c r="X490" s="587"/>
      <c r="Y490" s="587"/>
      <c r="Z490" s="587"/>
      <c r="AA490" s="587"/>
      <c r="AB490" s="587"/>
      <c r="AC490" s="587"/>
      <c r="AE490" s="587"/>
      <c r="AF490" s="587"/>
      <c r="AG490" s="587"/>
      <c r="AH490" s="587"/>
      <c r="AI490" s="587"/>
      <c r="AJ490" s="587"/>
      <c r="AK490" s="587"/>
      <c r="AL490" s="587"/>
      <c r="AM490" s="587"/>
      <c r="AO490" s="587"/>
      <c r="AP490" s="587"/>
      <c r="AQ490" s="587"/>
      <c r="AR490" s="587"/>
      <c r="AS490" s="587"/>
      <c r="AT490" s="587"/>
      <c r="AU490" s="587"/>
      <c r="AV490" s="587"/>
      <c r="AW490" s="587"/>
    </row>
    <row r="491" spans="1:49">
      <c r="A491" s="581">
        <v>24289</v>
      </c>
      <c r="B491" s="594">
        <v>-1.2E-2</v>
      </c>
      <c r="C491" s="577">
        <v>9.0000000000000019E-4</v>
      </c>
      <c r="D491" s="577">
        <v>3.8E-3</v>
      </c>
      <c r="E491" s="577">
        <v>4.3E-3</v>
      </c>
      <c r="F491" s="577">
        <v>4.3750000000000004E-3</v>
      </c>
      <c r="G491" s="577">
        <v>4.3374999999999993E-3</v>
      </c>
      <c r="H491" s="577">
        <v>4.5416666666666669E-3</v>
      </c>
      <c r="I491" s="577">
        <f t="shared" si="79"/>
        <v>-1.5800000000000002E-2</v>
      </c>
      <c r="J491" s="577">
        <f t="shared" si="83"/>
        <v>-1.6337499999999998E-2</v>
      </c>
      <c r="K491" s="577">
        <f t="shared" si="84"/>
        <v>-3.6416666666666667E-3</v>
      </c>
      <c r="L491" s="585">
        <f t="shared" si="80"/>
        <v>1.2509248217241087E-2</v>
      </c>
      <c r="M491" s="585">
        <f t="shared" si="81"/>
        <v>4.5600000000000002E-2</v>
      </c>
      <c r="N491" s="585">
        <f t="shared" si="85"/>
        <v>5.2049999999999992E-2</v>
      </c>
      <c r="O491" s="586">
        <f t="shared" si="82"/>
        <v>-3.3090751782758915E-2</v>
      </c>
      <c r="P491" s="585">
        <f t="shared" si="86"/>
        <v>-3.9540751782758905E-2</v>
      </c>
      <c r="Q491" s="585">
        <f t="shared" si="87"/>
        <v>-7.5113313830306394E-2</v>
      </c>
      <c r="R491" s="585">
        <f t="shared" si="88"/>
        <v>5.4500000000000007E-2</v>
      </c>
      <c r="S491" s="586">
        <f t="shared" si="89"/>
        <v>-0.12961331383030639</v>
      </c>
      <c r="U491" s="587"/>
      <c r="V491" s="587"/>
      <c r="W491" s="587"/>
      <c r="X491" s="587"/>
      <c r="Y491" s="587"/>
      <c r="Z491" s="587"/>
      <c r="AA491" s="587"/>
      <c r="AB491" s="587"/>
      <c r="AC491" s="587"/>
      <c r="AE491" s="587"/>
      <c r="AF491" s="587"/>
      <c r="AG491" s="587"/>
      <c r="AH491" s="587"/>
      <c r="AI491" s="587"/>
      <c r="AJ491" s="587"/>
      <c r="AK491" s="587"/>
      <c r="AL491" s="587"/>
      <c r="AM491" s="587"/>
      <c r="AO491" s="587"/>
      <c r="AP491" s="587"/>
      <c r="AQ491" s="587"/>
      <c r="AR491" s="587"/>
      <c r="AS491" s="587"/>
      <c r="AT491" s="587"/>
      <c r="AU491" s="587"/>
      <c r="AV491" s="587"/>
      <c r="AW491" s="587"/>
    </row>
    <row r="492" spans="1:49">
      <c r="A492" s="581">
        <v>24320</v>
      </c>
      <c r="B492" s="594">
        <v>-7.2499999999999995E-2</v>
      </c>
      <c r="C492" s="577">
        <v>-8.7499999999999994E-2</v>
      </c>
      <c r="D492" s="577">
        <v>4.3E-3</v>
      </c>
      <c r="E492" s="577">
        <v>4.4249999999999992E-3</v>
      </c>
      <c r="F492" s="577">
        <v>4.4833333333333331E-3</v>
      </c>
      <c r="G492" s="577">
        <v>4.4541666666666662E-3</v>
      </c>
      <c r="H492" s="577">
        <v>4.6500000000000005E-3</v>
      </c>
      <c r="I492" s="577">
        <f t="shared" si="79"/>
        <v>-7.6799999999999993E-2</v>
      </c>
      <c r="J492" s="577">
        <f t="shared" si="83"/>
        <v>-7.6954166666666657E-2</v>
      </c>
      <c r="K492" s="577">
        <f t="shared" si="84"/>
        <v>-9.2149999999999996E-2</v>
      </c>
      <c r="L492" s="585">
        <f t="shared" si="80"/>
        <v>-8.5764867872380024E-2</v>
      </c>
      <c r="M492" s="585">
        <f t="shared" si="81"/>
        <v>5.16E-2</v>
      </c>
      <c r="N492" s="585">
        <f t="shared" si="85"/>
        <v>5.3449999999999998E-2</v>
      </c>
      <c r="O492" s="586">
        <f t="shared" si="82"/>
        <v>-0.13736486787238003</v>
      </c>
      <c r="P492" s="585">
        <f t="shared" si="86"/>
        <v>-0.13921486787238002</v>
      </c>
      <c r="Q492" s="585">
        <f t="shared" si="87"/>
        <v>-0.16414865689824198</v>
      </c>
      <c r="R492" s="585">
        <f t="shared" si="88"/>
        <v>5.5800000000000002E-2</v>
      </c>
      <c r="S492" s="586">
        <f t="shared" si="89"/>
        <v>-0.219948656898242</v>
      </c>
      <c r="U492" s="587"/>
      <c r="V492" s="587"/>
      <c r="W492" s="587"/>
      <c r="X492" s="587"/>
      <c r="Y492" s="587"/>
      <c r="Z492" s="587"/>
      <c r="AA492" s="587"/>
      <c r="AB492" s="587"/>
      <c r="AC492" s="587"/>
      <c r="AE492" s="587"/>
      <c r="AF492" s="587"/>
      <c r="AG492" s="587"/>
      <c r="AH492" s="587"/>
      <c r="AI492" s="587"/>
      <c r="AJ492" s="587"/>
      <c r="AK492" s="587"/>
      <c r="AL492" s="587"/>
      <c r="AM492" s="587"/>
      <c r="AO492" s="587"/>
      <c r="AP492" s="587"/>
      <c r="AQ492" s="587"/>
      <c r="AR492" s="587"/>
      <c r="AS492" s="587"/>
      <c r="AT492" s="587"/>
      <c r="AU492" s="587"/>
      <c r="AV492" s="587"/>
      <c r="AW492" s="587"/>
    </row>
    <row r="493" spans="1:49">
      <c r="A493" s="581">
        <v>24351</v>
      </c>
      <c r="B493" s="594">
        <v>-5.3E-3</v>
      </c>
      <c r="C493" s="577">
        <v>4.7500000000000001E-2</v>
      </c>
      <c r="D493" s="577">
        <v>4.1000000000000003E-3</v>
      </c>
      <c r="E493" s="577">
        <v>4.5750000000000001E-3</v>
      </c>
      <c r="F493" s="577">
        <v>4.6500000000000005E-3</v>
      </c>
      <c r="G493" s="577">
        <v>4.6125000000000003E-3</v>
      </c>
      <c r="H493" s="577">
        <v>4.8416666666666669E-3</v>
      </c>
      <c r="I493" s="577">
        <f t="shared" si="79"/>
        <v>-9.4000000000000004E-3</v>
      </c>
      <c r="J493" s="577">
        <f t="shared" si="83"/>
        <v>-9.9125000000000012E-3</v>
      </c>
      <c r="K493" s="577">
        <f t="shared" si="84"/>
        <v>4.2658333333333333E-2</v>
      </c>
      <c r="L493" s="585">
        <f t="shared" si="80"/>
        <v>-0.12000223928068188</v>
      </c>
      <c r="M493" s="585">
        <f t="shared" si="81"/>
        <v>4.9200000000000008E-2</v>
      </c>
      <c r="N493" s="585">
        <f t="shared" si="85"/>
        <v>5.5350000000000003E-2</v>
      </c>
      <c r="O493" s="586">
        <f t="shared" si="82"/>
        <v>-0.1692022392806819</v>
      </c>
      <c r="P493" s="585">
        <f t="shared" si="86"/>
        <v>-0.17535223928068189</v>
      </c>
      <c r="Q493" s="585">
        <f t="shared" si="87"/>
        <v>-0.1411082186589252</v>
      </c>
      <c r="R493" s="585">
        <f t="shared" si="88"/>
        <v>5.8099999999999999E-2</v>
      </c>
      <c r="S493" s="586">
        <f t="shared" si="89"/>
        <v>-0.19920821865892518</v>
      </c>
      <c r="U493" s="587"/>
      <c r="V493" s="587"/>
      <c r="W493" s="587"/>
      <c r="X493" s="587"/>
      <c r="Y493" s="587"/>
      <c r="Z493" s="587"/>
      <c r="AA493" s="587"/>
      <c r="AB493" s="587"/>
      <c r="AC493" s="587"/>
      <c r="AE493" s="587"/>
      <c r="AF493" s="587"/>
      <c r="AG493" s="587"/>
      <c r="AH493" s="587"/>
      <c r="AI493" s="587"/>
      <c r="AJ493" s="587"/>
      <c r="AK493" s="587"/>
      <c r="AL493" s="587"/>
      <c r="AM493" s="587"/>
      <c r="AO493" s="587"/>
      <c r="AP493" s="587"/>
      <c r="AQ493" s="587"/>
      <c r="AR493" s="587"/>
      <c r="AS493" s="587"/>
      <c r="AT493" s="587"/>
      <c r="AU493" s="587"/>
      <c r="AV493" s="587"/>
      <c r="AW493" s="587"/>
    </row>
    <row r="494" spans="1:49">
      <c r="A494" s="581">
        <v>24381</v>
      </c>
      <c r="B494" s="594">
        <v>4.9399999999999999E-2</v>
      </c>
      <c r="C494" s="577">
        <v>9.7000000000000017E-2</v>
      </c>
      <c r="D494" s="577">
        <v>4.0000000000000001E-3</v>
      </c>
      <c r="E494" s="577">
        <v>4.5083333333333338E-3</v>
      </c>
      <c r="F494" s="577">
        <v>4.5833333333333334E-3</v>
      </c>
      <c r="G494" s="577">
        <v>4.5458333333333331E-3</v>
      </c>
      <c r="H494" s="577">
        <v>4.783333333333333E-3</v>
      </c>
      <c r="I494" s="577">
        <f t="shared" si="79"/>
        <v>4.5399999999999996E-2</v>
      </c>
      <c r="J494" s="577">
        <f t="shared" si="83"/>
        <v>4.4854166666666667E-2</v>
      </c>
      <c r="K494" s="577">
        <f t="shared" si="84"/>
        <v>9.2216666666666683E-2</v>
      </c>
      <c r="L494" s="585">
        <f t="shared" si="80"/>
        <v>-0.10246899591908598</v>
      </c>
      <c r="M494" s="585">
        <f t="shared" si="81"/>
        <v>4.8000000000000001E-2</v>
      </c>
      <c r="N494" s="585">
        <f t="shared" si="85"/>
        <v>5.4550000000000001E-2</v>
      </c>
      <c r="O494" s="586">
        <f t="shared" si="82"/>
        <v>-0.15046899591908597</v>
      </c>
      <c r="P494" s="585">
        <f t="shared" si="86"/>
        <v>-0.15701899591908597</v>
      </c>
      <c r="Q494" s="585">
        <f t="shared" si="87"/>
        <v>-6.9795355779288082E-2</v>
      </c>
      <c r="R494" s="585">
        <f t="shared" si="88"/>
        <v>5.7399999999999993E-2</v>
      </c>
      <c r="S494" s="586">
        <f t="shared" si="89"/>
        <v>-0.12719535577928809</v>
      </c>
      <c r="U494" s="587"/>
      <c r="V494" s="587"/>
      <c r="W494" s="587"/>
      <c r="X494" s="587"/>
      <c r="Y494" s="587"/>
      <c r="Z494" s="587"/>
      <c r="AA494" s="587"/>
      <c r="AB494" s="587"/>
      <c r="AC494" s="587"/>
      <c r="AE494" s="587"/>
      <c r="AF494" s="587"/>
      <c r="AG494" s="587"/>
      <c r="AH494" s="587"/>
      <c r="AI494" s="587"/>
      <c r="AJ494" s="587"/>
      <c r="AK494" s="587"/>
      <c r="AL494" s="587"/>
      <c r="AM494" s="587"/>
      <c r="AO494" s="587"/>
      <c r="AP494" s="587"/>
      <c r="AQ494" s="587"/>
      <c r="AR494" s="587"/>
      <c r="AS494" s="587"/>
      <c r="AT494" s="587"/>
      <c r="AU494" s="587"/>
      <c r="AV494" s="587"/>
      <c r="AW494" s="587"/>
    </row>
    <row r="495" spans="1:49">
      <c r="A495" s="581">
        <v>24412</v>
      </c>
      <c r="B495" s="594">
        <v>9.4999999999999998E-3</v>
      </c>
      <c r="C495" s="577">
        <v>-7.6E-3</v>
      </c>
      <c r="D495" s="577">
        <v>3.8E-3</v>
      </c>
      <c r="E495" s="577">
        <v>4.4583333333333332E-3</v>
      </c>
      <c r="F495" s="577">
        <v>4.5500000000000002E-3</v>
      </c>
      <c r="G495" s="577">
        <v>4.5041666666666667E-3</v>
      </c>
      <c r="H495" s="577">
        <v>4.6916666666666669E-3</v>
      </c>
      <c r="I495" s="577">
        <f t="shared" si="79"/>
        <v>5.7000000000000002E-3</v>
      </c>
      <c r="J495" s="577">
        <f t="shared" si="83"/>
        <v>4.995833333333333E-3</v>
      </c>
      <c r="K495" s="577">
        <f t="shared" si="84"/>
        <v>-1.2291666666666666E-2</v>
      </c>
      <c r="L495" s="585">
        <f t="shared" si="80"/>
        <v>-9.1124938690257284E-2</v>
      </c>
      <c r="M495" s="585">
        <f t="shared" si="81"/>
        <v>4.5600000000000002E-2</v>
      </c>
      <c r="N495" s="585">
        <f t="shared" si="85"/>
        <v>5.4050000000000001E-2</v>
      </c>
      <c r="O495" s="586">
        <f t="shared" si="82"/>
        <v>-0.13672493869025729</v>
      </c>
      <c r="P495" s="585">
        <f t="shared" si="86"/>
        <v>-0.14517493869025727</v>
      </c>
      <c r="Q495" s="585">
        <f t="shared" si="87"/>
        <v>-6.6030869157593597E-2</v>
      </c>
      <c r="R495" s="585">
        <f t="shared" si="88"/>
        <v>5.6300000000000003E-2</v>
      </c>
      <c r="S495" s="586">
        <f t="shared" si="89"/>
        <v>-0.1223308691575936</v>
      </c>
      <c r="U495" s="587"/>
      <c r="V495" s="587"/>
      <c r="W495" s="587"/>
      <c r="X495" s="587"/>
      <c r="Y495" s="587"/>
      <c r="Z495" s="587"/>
      <c r="AA495" s="587"/>
      <c r="AB495" s="587"/>
      <c r="AC495" s="587"/>
      <c r="AE495" s="587"/>
      <c r="AF495" s="587"/>
      <c r="AG495" s="587"/>
      <c r="AH495" s="587"/>
      <c r="AI495" s="587"/>
      <c r="AJ495" s="587"/>
      <c r="AK495" s="587"/>
      <c r="AL495" s="587"/>
      <c r="AM495" s="587"/>
      <c r="AO495" s="587"/>
      <c r="AP495" s="587"/>
      <c r="AQ495" s="587"/>
      <c r="AR495" s="587"/>
      <c r="AS495" s="587"/>
      <c r="AT495" s="587"/>
      <c r="AU495" s="587"/>
      <c r="AV495" s="587"/>
      <c r="AW495" s="587"/>
    </row>
    <row r="496" spans="1:49">
      <c r="A496" s="581">
        <v>24442</v>
      </c>
      <c r="B496" s="594">
        <v>2.0000000000000001E-4</v>
      </c>
      <c r="C496" s="577">
        <v>2.2099999999999998E-2</v>
      </c>
      <c r="D496" s="577">
        <v>3.8999999999999994E-3</v>
      </c>
      <c r="E496" s="577">
        <v>4.4916666666666664E-3</v>
      </c>
      <c r="F496" s="577">
        <v>4.5666666666666668E-3</v>
      </c>
      <c r="G496" s="577">
        <v>4.5291666666666666E-3</v>
      </c>
      <c r="H496" s="577">
        <v>4.725E-3</v>
      </c>
      <c r="I496" s="577">
        <f t="shared" si="79"/>
        <v>-3.6999999999999993E-3</v>
      </c>
      <c r="J496" s="577">
        <f t="shared" si="83"/>
        <v>-4.3291666666666669E-3</v>
      </c>
      <c r="K496" s="577">
        <f t="shared" si="84"/>
        <v>1.7374999999999998E-2</v>
      </c>
      <c r="L496" s="585">
        <f t="shared" si="80"/>
        <v>-0.10047809586185941</v>
      </c>
      <c r="M496" s="585">
        <f t="shared" si="81"/>
        <v>4.6799999999999994E-2</v>
      </c>
      <c r="N496" s="585">
        <f t="shared" si="85"/>
        <v>5.4349999999999996E-2</v>
      </c>
      <c r="O496" s="586">
        <f t="shared" si="82"/>
        <v>-0.14727809586185941</v>
      </c>
      <c r="P496" s="585">
        <f t="shared" si="86"/>
        <v>-0.15482809586185942</v>
      </c>
      <c r="Q496" s="585">
        <f t="shared" si="87"/>
        <v>-4.4625852047614489E-2</v>
      </c>
      <c r="R496" s="585">
        <f t="shared" si="88"/>
        <v>5.67E-2</v>
      </c>
      <c r="S496" s="586">
        <f t="shared" si="89"/>
        <v>-0.10132585204761449</v>
      </c>
      <c r="U496" s="587"/>
      <c r="V496" s="587"/>
      <c r="W496" s="587"/>
      <c r="X496" s="587"/>
      <c r="Y496" s="587"/>
      <c r="Z496" s="587"/>
      <c r="AA496" s="587"/>
      <c r="AB496" s="587"/>
      <c r="AC496" s="587"/>
      <c r="AE496" s="587"/>
      <c r="AF496" s="587"/>
      <c r="AG496" s="587"/>
      <c r="AH496" s="587"/>
      <c r="AI496" s="587"/>
      <c r="AJ496" s="587"/>
      <c r="AK496" s="587"/>
      <c r="AL496" s="587"/>
      <c r="AM496" s="587"/>
      <c r="AO496" s="587"/>
      <c r="AP496" s="587"/>
      <c r="AQ496" s="587"/>
      <c r="AR496" s="587"/>
      <c r="AS496" s="587"/>
      <c r="AT496" s="587"/>
      <c r="AU496" s="587"/>
      <c r="AV496" s="587"/>
      <c r="AW496" s="587"/>
    </row>
    <row r="497" spans="1:49">
      <c r="A497" s="581">
        <v>24473</v>
      </c>
      <c r="B497" s="594">
        <v>7.9799999999999996E-2</v>
      </c>
      <c r="C497" s="577">
        <v>2.7100000000000003E-2</v>
      </c>
      <c r="D497" s="577">
        <v>4.0000000000000001E-3</v>
      </c>
      <c r="E497" s="577">
        <v>4.3333333333333331E-3</v>
      </c>
      <c r="F497" s="577">
        <v>4.4166666666666668E-3</v>
      </c>
      <c r="G497" s="577">
        <v>4.3750000000000004E-3</v>
      </c>
      <c r="H497" s="577">
        <v>4.5500000000000002E-3</v>
      </c>
      <c r="I497" s="577">
        <f t="shared" si="79"/>
        <v>7.5799999999999992E-2</v>
      </c>
      <c r="J497" s="577">
        <f t="shared" si="83"/>
        <v>7.5424999999999992E-2</v>
      </c>
      <c r="K497" s="577">
        <f t="shared" si="84"/>
        <v>2.2550000000000001E-2</v>
      </c>
      <c r="L497" s="585">
        <f t="shared" si="80"/>
        <v>-3.4681224320846304E-2</v>
      </c>
      <c r="M497" s="585">
        <f t="shared" si="81"/>
        <v>4.8000000000000001E-2</v>
      </c>
      <c r="N497" s="585">
        <f t="shared" si="85"/>
        <v>5.2500000000000005E-2</v>
      </c>
      <c r="O497" s="586">
        <f t="shared" si="82"/>
        <v>-8.2681224320846305E-2</v>
      </c>
      <c r="P497" s="585">
        <f t="shared" si="86"/>
        <v>-8.7181224320846309E-2</v>
      </c>
      <c r="Q497" s="585">
        <f t="shared" si="87"/>
        <v>1.1300409524781063E-2</v>
      </c>
      <c r="R497" s="585">
        <f t="shared" si="88"/>
        <v>5.4600000000000003E-2</v>
      </c>
      <c r="S497" s="586">
        <f t="shared" si="89"/>
        <v>-4.329959047521894E-2</v>
      </c>
      <c r="U497" s="587"/>
      <c r="V497" s="587"/>
      <c r="W497" s="587"/>
      <c r="X497" s="587"/>
      <c r="Y497" s="587"/>
      <c r="Z497" s="587"/>
      <c r="AA497" s="587"/>
      <c r="AB497" s="587"/>
      <c r="AC497" s="587"/>
      <c r="AE497" s="587"/>
      <c r="AF497" s="587"/>
      <c r="AG497" s="587"/>
      <c r="AH497" s="587"/>
      <c r="AI497" s="587"/>
      <c r="AJ497" s="587"/>
      <c r="AK497" s="587"/>
      <c r="AL497" s="587"/>
      <c r="AM497" s="587"/>
      <c r="AO497" s="587"/>
      <c r="AP497" s="587"/>
      <c r="AQ497" s="587"/>
      <c r="AR497" s="587"/>
      <c r="AS497" s="587"/>
      <c r="AT497" s="587"/>
      <c r="AU497" s="587"/>
      <c r="AV497" s="587"/>
      <c r="AW497" s="587"/>
    </row>
    <row r="498" spans="1:49">
      <c r="A498" s="581">
        <v>24504</v>
      </c>
      <c r="B498" s="594">
        <v>7.1999999999999998E-3</v>
      </c>
      <c r="C498" s="577">
        <v>-1.5699999999999999E-2</v>
      </c>
      <c r="D498" s="577">
        <v>3.3999999999999998E-3</v>
      </c>
      <c r="E498" s="577">
        <v>4.1916666666666665E-3</v>
      </c>
      <c r="F498" s="577">
        <v>4.3166666666666666E-3</v>
      </c>
      <c r="G498" s="577">
        <v>4.2541666666666665E-3</v>
      </c>
      <c r="H498" s="577">
        <v>4.4000000000000003E-3</v>
      </c>
      <c r="I498" s="577">
        <f t="shared" si="79"/>
        <v>3.8E-3</v>
      </c>
      <c r="J498" s="577">
        <f t="shared" si="83"/>
        <v>2.9458333333333333E-3</v>
      </c>
      <c r="K498" s="577">
        <f t="shared" si="84"/>
        <v>-2.01E-2</v>
      </c>
      <c r="L498" s="585">
        <f t="shared" si="80"/>
        <v>-1.4825138449646724E-2</v>
      </c>
      <c r="M498" s="585">
        <f t="shared" si="81"/>
        <v>4.0799999999999996E-2</v>
      </c>
      <c r="N498" s="585">
        <f t="shared" si="85"/>
        <v>5.1049999999999998E-2</v>
      </c>
      <c r="O498" s="586">
        <f t="shared" si="82"/>
        <v>-5.562513844964672E-2</v>
      </c>
      <c r="P498" s="585">
        <f t="shared" si="86"/>
        <v>-6.5875138449646722E-2</v>
      </c>
      <c r="Q498" s="585">
        <f t="shared" si="87"/>
        <v>3.8413303875695748E-2</v>
      </c>
      <c r="R498" s="585">
        <f t="shared" si="88"/>
        <v>5.28E-2</v>
      </c>
      <c r="S498" s="586">
        <f t="shared" si="89"/>
        <v>-1.4386696124304252E-2</v>
      </c>
      <c r="U498" s="587"/>
      <c r="V498" s="587"/>
      <c r="W498" s="587"/>
      <c r="X498" s="587"/>
      <c r="Y498" s="587"/>
      <c r="Z498" s="587"/>
      <c r="AA498" s="587"/>
      <c r="AB498" s="587"/>
      <c r="AC498" s="587"/>
      <c r="AE498" s="587"/>
      <c r="AF498" s="587"/>
      <c r="AG498" s="587"/>
      <c r="AH498" s="587"/>
      <c r="AI498" s="587"/>
      <c r="AJ498" s="587"/>
      <c r="AK498" s="587"/>
      <c r="AL498" s="587"/>
      <c r="AM498" s="587"/>
      <c r="AO498" s="587"/>
      <c r="AP498" s="587"/>
      <c r="AQ498" s="587"/>
      <c r="AR498" s="587"/>
      <c r="AS498" s="587"/>
      <c r="AT498" s="587"/>
      <c r="AU498" s="587"/>
      <c r="AV498" s="587"/>
      <c r="AW498" s="587"/>
    </row>
    <row r="499" spans="1:49">
      <c r="A499" s="581">
        <v>24532</v>
      </c>
      <c r="B499" s="594">
        <v>4.0899999999999999E-2</v>
      </c>
      <c r="C499" s="577">
        <v>1.9700000000000002E-2</v>
      </c>
      <c r="D499" s="577">
        <v>3.8999999999999994E-3</v>
      </c>
      <c r="E499" s="577">
        <v>4.2750000000000002E-3</v>
      </c>
      <c r="F499" s="577">
        <v>4.3583333333333339E-3</v>
      </c>
      <c r="G499" s="577">
        <v>4.3166666666666666E-3</v>
      </c>
      <c r="H499" s="577">
        <v>4.5333333333333337E-3</v>
      </c>
      <c r="I499" s="577">
        <f t="shared" si="79"/>
        <v>3.6999999999999998E-2</v>
      </c>
      <c r="J499" s="577">
        <f t="shared" si="83"/>
        <v>3.6583333333333329E-2</v>
      </c>
      <c r="K499" s="577">
        <f t="shared" si="84"/>
        <v>1.5166666666666669E-2</v>
      </c>
      <c r="L499" s="585">
        <f t="shared" si="80"/>
        <v>4.6930590492866076E-2</v>
      </c>
      <c r="M499" s="585">
        <f t="shared" si="81"/>
        <v>4.6799999999999994E-2</v>
      </c>
      <c r="N499" s="585">
        <f t="shared" si="85"/>
        <v>5.1799999999999999E-2</v>
      </c>
      <c r="O499" s="586">
        <f t="shared" si="82"/>
        <v>1.3059049286608115E-4</v>
      </c>
      <c r="P499" s="585">
        <f t="shared" si="86"/>
        <v>-4.8694095071339233E-3</v>
      </c>
      <c r="Q499" s="585">
        <f t="shared" si="87"/>
        <v>6.3656500213005396E-2</v>
      </c>
      <c r="R499" s="585">
        <f t="shared" si="88"/>
        <v>5.4400000000000004E-2</v>
      </c>
      <c r="S499" s="586">
        <f t="shared" si="89"/>
        <v>9.2565002130053919E-3</v>
      </c>
      <c r="U499" s="587"/>
      <c r="V499" s="587"/>
      <c r="W499" s="587"/>
      <c r="X499" s="587"/>
      <c r="Y499" s="587"/>
      <c r="Z499" s="587"/>
      <c r="AA499" s="587"/>
      <c r="AB499" s="587"/>
      <c r="AC499" s="587"/>
      <c r="AE499" s="587"/>
      <c r="AF499" s="587"/>
      <c r="AG499" s="587"/>
      <c r="AH499" s="587"/>
      <c r="AI499" s="587"/>
      <c r="AJ499" s="587"/>
      <c r="AK499" s="587"/>
      <c r="AL499" s="587"/>
      <c r="AM499" s="587"/>
      <c r="AO499" s="587"/>
      <c r="AP499" s="587"/>
      <c r="AQ499" s="587"/>
      <c r="AR499" s="587"/>
      <c r="AS499" s="587"/>
      <c r="AT499" s="587"/>
      <c r="AU499" s="587"/>
      <c r="AV499" s="587"/>
      <c r="AW499" s="587"/>
    </row>
    <row r="500" spans="1:49">
      <c r="A500" s="581">
        <v>24563</v>
      </c>
      <c r="B500" s="594">
        <v>4.3700000000000003E-2</v>
      </c>
      <c r="C500" s="577">
        <v>2.0199999999999999E-2</v>
      </c>
      <c r="D500" s="577">
        <v>3.5000000000000005E-3</v>
      </c>
      <c r="E500" s="577">
        <v>4.2583333333333336E-3</v>
      </c>
      <c r="F500" s="577">
        <v>4.3833333333333328E-3</v>
      </c>
      <c r="G500" s="577">
        <v>4.3208333333333328E-3</v>
      </c>
      <c r="H500" s="577">
        <v>4.5166666666666662E-3</v>
      </c>
      <c r="I500" s="577">
        <f t="shared" si="79"/>
        <v>4.02E-2</v>
      </c>
      <c r="J500" s="577">
        <f t="shared" si="83"/>
        <v>3.9379166666666673E-2</v>
      </c>
      <c r="K500" s="577">
        <f t="shared" si="84"/>
        <v>1.5683333333333334E-2</v>
      </c>
      <c r="L500" s="585">
        <f t="shared" si="80"/>
        <v>6.9159938647167074E-2</v>
      </c>
      <c r="M500" s="585">
        <f t="shared" si="81"/>
        <v>4.200000000000001E-2</v>
      </c>
      <c r="N500" s="585">
        <f t="shared" si="85"/>
        <v>5.1849999999999993E-2</v>
      </c>
      <c r="O500" s="586">
        <f t="shared" si="82"/>
        <v>2.7159938647167065E-2</v>
      </c>
      <c r="P500" s="585">
        <f t="shared" si="86"/>
        <v>1.7309938647167081E-2</v>
      </c>
      <c r="Q500" s="585">
        <f t="shared" si="87"/>
        <v>6.6793513092123558E-2</v>
      </c>
      <c r="R500" s="585">
        <f t="shared" si="88"/>
        <v>5.4199999999999998E-2</v>
      </c>
      <c r="S500" s="586">
        <f t="shared" si="89"/>
        <v>1.2593513092123559E-2</v>
      </c>
      <c r="U500" s="587"/>
      <c r="V500" s="587"/>
      <c r="W500" s="587"/>
      <c r="X500" s="587"/>
      <c r="Y500" s="587"/>
      <c r="Z500" s="587"/>
      <c r="AA500" s="587"/>
      <c r="AB500" s="587"/>
      <c r="AC500" s="587"/>
      <c r="AE500" s="587"/>
      <c r="AF500" s="587"/>
      <c r="AG500" s="587"/>
      <c r="AH500" s="587"/>
      <c r="AI500" s="587"/>
      <c r="AJ500" s="587"/>
      <c r="AK500" s="587"/>
      <c r="AL500" s="587"/>
      <c r="AM500" s="587"/>
      <c r="AO500" s="587"/>
      <c r="AP500" s="587"/>
      <c r="AQ500" s="587"/>
      <c r="AR500" s="587"/>
      <c r="AS500" s="587"/>
      <c r="AT500" s="587"/>
      <c r="AU500" s="587"/>
      <c r="AV500" s="587"/>
      <c r="AW500" s="587"/>
    </row>
    <row r="501" spans="1:49">
      <c r="A501" s="581">
        <v>24593</v>
      </c>
      <c r="B501" s="594">
        <v>-4.7699999999999999E-2</v>
      </c>
      <c r="C501" s="577">
        <v>-5.0600000000000006E-2</v>
      </c>
      <c r="D501" s="577">
        <v>4.3E-3</v>
      </c>
      <c r="E501" s="577">
        <v>4.3666666666666671E-3</v>
      </c>
      <c r="F501" s="577">
        <v>4.5166666666666662E-3</v>
      </c>
      <c r="G501" s="577">
        <v>4.4416666666666667E-3</v>
      </c>
      <c r="H501" s="577">
        <v>4.7166666666666668E-3</v>
      </c>
      <c r="I501" s="577">
        <f t="shared" si="79"/>
        <v>-5.1999999999999998E-2</v>
      </c>
      <c r="J501" s="577">
        <f t="shared" si="83"/>
        <v>-5.2141666666666669E-2</v>
      </c>
      <c r="K501" s="577">
        <f t="shared" si="84"/>
        <v>-5.5316666666666674E-2</v>
      </c>
      <c r="L501" s="585">
        <f t="shared" si="80"/>
        <v>7.0846665517140694E-2</v>
      </c>
      <c r="M501" s="585">
        <f t="shared" si="81"/>
        <v>5.16E-2</v>
      </c>
      <c r="N501" s="585">
        <f t="shared" si="85"/>
        <v>5.33E-2</v>
      </c>
      <c r="O501" s="586">
        <f t="shared" si="82"/>
        <v>1.9246665517140694E-2</v>
      </c>
      <c r="P501" s="585">
        <f t="shared" si="86"/>
        <v>1.7546665517140694E-2</v>
      </c>
      <c r="Q501" s="585">
        <f t="shared" si="87"/>
        <v>4.3707503431226424E-2</v>
      </c>
      <c r="R501" s="585">
        <f t="shared" si="88"/>
        <v>5.6599999999999998E-2</v>
      </c>
      <c r="S501" s="586">
        <f t="shared" si="89"/>
        <v>-1.2892496568773573E-2</v>
      </c>
      <c r="U501" s="587"/>
      <c r="V501" s="587"/>
      <c r="W501" s="587"/>
      <c r="X501" s="587"/>
      <c r="Y501" s="587"/>
      <c r="Z501" s="587"/>
      <c r="AA501" s="587"/>
      <c r="AB501" s="587"/>
      <c r="AC501" s="587"/>
      <c r="AE501" s="587"/>
      <c r="AF501" s="587"/>
      <c r="AG501" s="587"/>
      <c r="AH501" s="587"/>
      <c r="AI501" s="587"/>
      <c r="AJ501" s="587"/>
      <c r="AK501" s="587"/>
      <c r="AL501" s="587"/>
      <c r="AM501" s="587"/>
      <c r="AO501" s="587"/>
      <c r="AP501" s="587"/>
      <c r="AQ501" s="587"/>
      <c r="AR501" s="587"/>
      <c r="AS501" s="587"/>
      <c r="AT501" s="587"/>
      <c r="AU501" s="587"/>
      <c r="AV501" s="587"/>
      <c r="AW501" s="587"/>
    </row>
    <row r="502" spans="1:49">
      <c r="A502" s="581">
        <v>24624</v>
      </c>
      <c r="B502" s="594">
        <v>1.9E-2</v>
      </c>
      <c r="C502" s="577">
        <v>-1.3100000000000001E-2</v>
      </c>
      <c r="D502" s="577">
        <v>3.8999999999999994E-3</v>
      </c>
      <c r="E502" s="577">
        <v>4.5333333333333337E-3</v>
      </c>
      <c r="F502" s="577">
        <v>4.6916666666666669E-3</v>
      </c>
      <c r="G502" s="577">
        <v>4.6125000000000003E-3</v>
      </c>
      <c r="H502" s="577">
        <v>4.8666666666666667E-3</v>
      </c>
      <c r="I502" s="577">
        <f t="shared" si="79"/>
        <v>1.5100000000000001E-2</v>
      </c>
      <c r="J502" s="577">
        <f t="shared" si="83"/>
        <v>1.4387499999999999E-2</v>
      </c>
      <c r="K502" s="577">
        <f t="shared" si="84"/>
        <v>-1.7966666666666666E-2</v>
      </c>
      <c r="L502" s="585">
        <f t="shared" si="80"/>
        <v>0.10736021124616002</v>
      </c>
      <c r="M502" s="585">
        <f t="shared" si="81"/>
        <v>4.6799999999999994E-2</v>
      </c>
      <c r="N502" s="585">
        <f t="shared" si="85"/>
        <v>5.5350000000000003E-2</v>
      </c>
      <c r="O502" s="586">
        <f t="shared" si="82"/>
        <v>6.0560211246160026E-2</v>
      </c>
      <c r="P502" s="585">
        <f t="shared" si="86"/>
        <v>5.2010211246160017E-2</v>
      </c>
      <c r="Q502" s="585">
        <f t="shared" si="87"/>
        <v>4.9022237637516675E-2</v>
      </c>
      <c r="R502" s="585">
        <f t="shared" si="88"/>
        <v>5.8400000000000001E-2</v>
      </c>
      <c r="S502" s="586">
        <f t="shared" si="89"/>
        <v>-9.3777623624833259E-3</v>
      </c>
      <c r="U502" s="587"/>
      <c r="V502" s="587"/>
      <c r="W502" s="587"/>
      <c r="X502" s="587"/>
      <c r="Y502" s="587"/>
      <c r="Z502" s="587"/>
      <c r="AA502" s="587"/>
      <c r="AB502" s="587"/>
      <c r="AC502" s="587"/>
      <c r="AE502" s="587"/>
      <c r="AF502" s="587"/>
      <c r="AG502" s="587"/>
      <c r="AH502" s="587"/>
      <c r="AI502" s="587"/>
      <c r="AJ502" s="587"/>
      <c r="AK502" s="587"/>
      <c r="AL502" s="587"/>
      <c r="AM502" s="587"/>
      <c r="AO502" s="587"/>
      <c r="AP502" s="587"/>
      <c r="AQ502" s="587"/>
      <c r="AR502" s="587"/>
      <c r="AS502" s="587"/>
      <c r="AT502" s="587"/>
      <c r="AU502" s="587"/>
      <c r="AV502" s="587"/>
      <c r="AW502" s="587"/>
    </row>
    <row r="503" spans="1:49">
      <c r="A503" s="581">
        <v>24654</v>
      </c>
      <c r="B503" s="594">
        <v>4.6800000000000001E-2</v>
      </c>
      <c r="C503" s="577">
        <v>2.0399999999999995E-2</v>
      </c>
      <c r="D503" s="577">
        <v>4.3E-3</v>
      </c>
      <c r="E503" s="577">
        <v>4.6500000000000005E-3</v>
      </c>
      <c r="F503" s="577">
        <v>4.7666666666666664E-3</v>
      </c>
      <c r="G503" s="577">
        <v>4.7083333333333335E-3</v>
      </c>
      <c r="H503" s="577">
        <v>4.9500000000000004E-3</v>
      </c>
      <c r="I503" s="577">
        <f t="shared" si="79"/>
        <v>4.2500000000000003E-2</v>
      </c>
      <c r="J503" s="577">
        <f t="shared" si="83"/>
        <v>4.2091666666666666E-2</v>
      </c>
      <c r="K503" s="577">
        <f t="shared" si="84"/>
        <v>1.5449999999999995E-2</v>
      </c>
      <c r="L503" s="585">
        <f t="shared" si="80"/>
        <v>0.17326383515433186</v>
      </c>
      <c r="M503" s="585">
        <f t="shared" si="81"/>
        <v>5.16E-2</v>
      </c>
      <c r="N503" s="585">
        <f t="shared" si="85"/>
        <v>5.6500000000000002E-2</v>
      </c>
      <c r="O503" s="586">
        <f t="shared" si="82"/>
        <v>0.12166383515433185</v>
      </c>
      <c r="P503" s="585">
        <f t="shared" si="86"/>
        <v>0.11676383515433186</v>
      </c>
      <c r="Q503" s="585">
        <f t="shared" si="87"/>
        <v>6.9459777485584739E-2</v>
      </c>
      <c r="R503" s="585">
        <f t="shared" si="88"/>
        <v>5.9400000000000008E-2</v>
      </c>
      <c r="S503" s="586">
        <f t="shared" si="89"/>
        <v>1.0059777485584731E-2</v>
      </c>
      <c r="U503" s="587"/>
      <c r="V503" s="587"/>
      <c r="W503" s="587"/>
      <c r="X503" s="587"/>
      <c r="Y503" s="587"/>
      <c r="Z503" s="587"/>
      <c r="AA503" s="587"/>
      <c r="AB503" s="587"/>
      <c r="AC503" s="587"/>
      <c r="AE503" s="587"/>
      <c r="AF503" s="587"/>
      <c r="AG503" s="587"/>
      <c r="AH503" s="587"/>
      <c r="AI503" s="587"/>
      <c r="AJ503" s="587"/>
      <c r="AK503" s="587"/>
      <c r="AL503" s="587"/>
      <c r="AM503" s="587"/>
      <c r="AO503" s="587"/>
      <c r="AP503" s="587"/>
      <c r="AQ503" s="587"/>
      <c r="AR503" s="587"/>
      <c r="AS503" s="587"/>
      <c r="AT503" s="587"/>
      <c r="AU503" s="587"/>
      <c r="AV503" s="587"/>
      <c r="AW503" s="587"/>
    </row>
    <row r="504" spans="1:49">
      <c r="A504" s="581">
        <v>24685</v>
      </c>
      <c r="B504" s="594">
        <v>-7.0000000000000001E-3</v>
      </c>
      <c r="C504" s="577">
        <v>-6.5000000000000006E-3</v>
      </c>
      <c r="D504" s="577">
        <v>4.1999999999999997E-3</v>
      </c>
      <c r="E504" s="577">
        <v>4.6833333333333336E-3</v>
      </c>
      <c r="F504" s="577">
        <v>4.7999999999999996E-3</v>
      </c>
      <c r="G504" s="577">
        <v>4.7416666666666666E-3</v>
      </c>
      <c r="H504" s="577">
        <v>4.9666666666666661E-3</v>
      </c>
      <c r="I504" s="577">
        <f t="shared" si="79"/>
        <v>-1.12E-2</v>
      </c>
      <c r="J504" s="577">
        <f t="shared" si="83"/>
        <v>-1.1741666666666668E-2</v>
      </c>
      <c r="K504" s="577">
        <f t="shared" si="84"/>
        <v>-1.1466666666666667E-2</v>
      </c>
      <c r="L504" s="585">
        <f t="shared" si="80"/>
        <v>0.25611966394420738</v>
      </c>
      <c r="M504" s="585">
        <f t="shared" si="81"/>
        <v>5.04E-2</v>
      </c>
      <c r="N504" s="585">
        <f t="shared" si="85"/>
        <v>5.6899999999999999E-2</v>
      </c>
      <c r="O504" s="586">
        <f t="shared" si="82"/>
        <v>0.20571966394420738</v>
      </c>
      <c r="P504" s="585">
        <f t="shared" si="86"/>
        <v>0.19921966394420737</v>
      </c>
      <c r="Q504" s="585">
        <f t="shared" si="87"/>
        <v>0.16439264540485321</v>
      </c>
      <c r="R504" s="585">
        <f t="shared" si="88"/>
        <v>5.9599999999999993E-2</v>
      </c>
      <c r="S504" s="586">
        <f t="shared" si="89"/>
        <v>0.10479264540485322</v>
      </c>
      <c r="U504" s="587"/>
      <c r="V504" s="587"/>
      <c r="W504" s="587"/>
      <c r="X504" s="587"/>
      <c r="Y504" s="587"/>
      <c r="Z504" s="587"/>
      <c r="AA504" s="587"/>
      <c r="AB504" s="587"/>
      <c r="AC504" s="587"/>
      <c r="AE504" s="587"/>
      <c r="AF504" s="587"/>
      <c r="AG504" s="587"/>
      <c r="AH504" s="587"/>
      <c r="AI504" s="587"/>
      <c r="AJ504" s="587"/>
      <c r="AK504" s="587"/>
      <c r="AL504" s="587"/>
      <c r="AM504" s="587"/>
      <c r="AO504" s="587"/>
      <c r="AP504" s="587"/>
      <c r="AQ504" s="587"/>
      <c r="AR504" s="587"/>
      <c r="AS504" s="587"/>
      <c r="AT504" s="587"/>
      <c r="AU504" s="587"/>
      <c r="AV504" s="587"/>
      <c r="AW504" s="587"/>
    </row>
    <row r="505" spans="1:49">
      <c r="A505" s="581">
        <v>24716</v>
      </c>
      <c r="B505" s="594">
        <v>3.4200000000000001E-2</v>
      </c>
      <c r="C505" s="577">
        <v>-3.7000000000000002E-3</v>
      </c>
      <c r="D505" s="577">
        <v>4.0000000000000001E-3</v>
      </c>
      <c r="E505" s="577">
        <v>4.7083333333333335E-3</v>
      </c>
      <c r="F505" s="577">
        <v>4.8916666666666666E-3</v>
      </c>
      <c r="G505" s="577">
        <v>4.8000000000000004E-3</v>
      </c>
      <c r="H505" s="577">
        <v>5.0416666666666665E-3</v>
      </c>
      <c r="I505" s="577">
        <f t="shared" si="79"/>
        <v>3.0200000000000001E-2</v>
      </c>
      <c r="J505" s="577">
        <f t="shared" si="83"/>
        <v>2.9400000000000003E-2</v>
      </c>
      <c r="K505" s="577">
        <f t="shared" si="84"/>
        <v>-8.7416666666666667E-3</v>
      </c>
      <c r="L505" s="585">
        <f t="shared" si="80"/>
        <v>0.30600076048165148</v>
      </c>
      <c r="M505" s="585">
        <f t="shared" si="81"/>
        <v>4.8000000000000001E-2</v>
      </c>
      <c r="N505" s="585">
        <f t="shared" si="85"/>
        <v>5.7600000000000005E-2</v>
      </c>
      <c r="O505" s="586">
        <f t="shared" si="82"/>
        <v>0.25800076048165149</v>
      </c>
      <c r="P505" s="585">
        <f t="shared" si="86"/>
        <v>0.24840076048165147</v>
      </c>
      <c r="Q505" s="585">
        <f t="shared" si="87"/>
        <v>0.10747913376310758</v>
      </c>
      <c r="R505" s="585">
        <f t="shared" si="88"/>
        <v>6.0499999999999998E-2</v>
      </c>
      <c r="S505" s="586">
        <f t="shared" si="89"/>
        <v>4.6979133763107583E-2</v>
      </c>
      <c r="U505" s="587"/>
      <c r="V505" s="587"/>
      <c r="W505" s="587"/>
      <c r="X505" s="587"/>
      <c r="Y505" s="587"/>
      <c r="Z505" s="587"/>
      <c r="AA505" s="587"/>
      <c r="AB505" s="587"/>
      <c r="AC505" s="587"/>
      <c r="AE505" s="587"/>
      <c r="AF505" s="587"/>
      <c r="AG505" s="587"/>
      <c r="AH505" s="587"/>
      <c r="AI505" s="587"/>
      <c r="AJ505" s="587"/>
      <c r="AK505" s="587"/>
      <c r="AL505" s="587"/>
      <c r="AM505" s="587"/>
      <c r="AO505" s="587"/>
      <c r="AP505" s="587"/>
      <c r="AQ505" s="587"/>
      <c r="AR505" s="587"/>
      <c r="AS505" s="587"/>
      <c r="AT505" s="587"/>
      <c r="AU505" s="587"/>
      <c r="AV505" s="587"/>
      <c r="AW505" s="587"/>
    </row>
    <row r="506" spans="1:49">
      <c r="A506" s="581">
        <v>24746</v>
      </c>
      <c r="B506" s="594">
        <v>-2.76E-2</v>
      </c>
      <c r="C506" s="577">
        <v>-5.7200000000000001E-2</v>
      </c>
      <c r="D506" s="577">
        <v>4.4999999999999997E-3</v>
      </c>
      <c r="E506" s="577">
        <v>4.8500000000000001E-3</v>
      </c>
      <c r="F506" s="577">
        <v>5.0083333333333334E-3</v>
      </c>
      <c r="G506" s="577">
        <v>4.9291666666666668E-3</v>
      </c>
      <c r="H506" s="577">
        <v>5.1500000000000001E-3</v>
      </c>
      <c r="I506" s="577">
        <f t="shared" si="79"/>
        <v>-3.2099999999999997E-2</v>
      </c>
      <c r="J506" s="577">
        <f t="shared" si="83"/>
        <v>-3.2529166666666665E-2</v>
      </c>
      <c r="K506" s="577">
        <f t="shared" si="84"/>
        <v>-6.2350000000000003E-2</v>
      </c>
      <c r="L506" s="585">
        <f t="shared" si="80"/>
        <v>0.21017261243792484</v>
      </c>
      <c r="M506" s="585">
        <f t="shared" si="81"/>
        <v>5.3999999999999992E-2</v>
      </c>
      <c r="N506" s="585">
        <f t="shared" si="85"/>
        <v>5.9150000000000001E-2</v>
      </c>
      <c r="O506" s="586">
        <f t="shared" si="82"/>
        <v>0.15617261243792485</v>
      </c>
      <c r="P506" s="585">
        <f t="shared" si="86"/>
        <v>0.15102261243792484</v>
      </c>
      <c r="Q506" s="585">
        <f t="shared" si="87"/>
        <v>-4.8193867537048352E-2</v>
      </c>
      <c r="R506" s="585">
        <f t="shared" si="88"/>
        <v>6.1800000000000001E-2</v>
      </c>
      <c r="S506" s="586">
        <f t="shared" si="89"/>
        <v>-0.10999386753704835</v>
      </c>
      <c r="U506" s="587"/>
      <c r="V506" s="587"/>
      <c r="W506" s="587"/>
      <c r="X506" s="587"/>
      <c r="Y506" s="587"/>
      <c r="Z506" s="587"/>
      <c r="AA506" s="587"/>
      <c r="AB506" s="587"/>
      <c r="AC506" s="587"/>
      <c r="AE506" s="587"/>
      <c r="AF506" s="587"/>
      <c r="AG506" s="587"/>
      <c r="AH506" s="587"/>
      <c r="AI506" s="587"/>
      <c r="AJ506" s="587"/>
      <c r="AK506" s="587"/>
      <c r="AL506" s="587"/>
      <c r="AM506" s="587"/>
      <c r="AO506" s="587"/>
      <c r="AP506" s="587"/>
      <c r="AQ506" s="587"/>
      <c r="AR506" s="587"/>
      <c r="AS506" s="587"/>
      <c r="AT506" s="587"/>
      <c r="AU506" s="587"/>
      <c r="AV506" s="587"/>
      <c r="AW506" s="587"/>
    </row>
    <row r="507" spans="1:49">
      <c r="A507" s="581">
        <v>24777</v>
      </c>
      <c r="B507" s="594">
        <v>6.4999999999999997E-3</v>
      </c>
      <c r="C507" s="577">
        <v>2.9300000000000003E-2</v>
      </c>
      <c r="D507" s="577">
        <v>4.4999999999999997E-3</v>
      </c>
      <c r="E507" s="577">
        <v>5.058333333333334E-3</v>
      </c>
      <c r="F507" s="577">
        <v>5.1916666666666665E-3</v>
      </c>
      <c r="G507" s="577">
        <v>5.1249999999999993E-3</v>
      </c>
      <c r="H507" s="577">
        <v>5.4000000000000003E-3</v>
      </c>
      <c r="I507" s="577">
        <f t="shared" si="79"/>
        <v>2E-3</v>
      </c>
      <c r="J507" s="577">
        <f t="shared" si="83"/>
        <v>1.3750000000000004E-3</v>
      </c>
      <c r="K507" s="577">
        <f t="shared" si="84"/>
        <v>2.3900000000000005E-2</v>
      </c>
      <c r="L507" s="585">
        <f t="shared" si="80"/>
        <v>0.2065762599492531</v>
      </c>
      <c r="M507" s="585">
        <f t="shared" si="81"/>
        <v>5.3999999999999992E-2</v>
      </c>
      <c r="N507" s="585">
        <f t="shared" si="85"/>
        <v>6.1499999999999992E-2</v>
      </c>
      <c r="O507" s="586">
        <f t="shared" si="82"/>
        <v>0.15257625994925311</v>
      </c>
      <c r="P507" s="585">
        <f t="shared" si="86"/>
        <v>0.14507625994925311</v>
      </c>
      <c r="Q507" s="585">
        <f t="shared" si="87"/>
        <v>-1.2803252575457336E-2</v>
      </c>
      <c r="R507" s="585">
        <f t="shared" si="88"/>
        <v>6.4799999999999996E-2</v>
      </c>
      <c r="S507" s="586">
        <f t="shared" si="89"/>
        <v>-7.7603252575457332E-2</v>
      </c>
      <c r="U507" s="587"/>
      <c r="V507" s="587"/>
      <c r="W507" s="587"/>
      <c r="X507" s="587"/>
      <c r="Y507" s="587"/>
      <c r="Z507" s="587"/>
      <c r="AA507" s="587"/>
      <c r="AB507" s="587"/>
      <c r="AC507" s="587"/>
      <c r="AE507" s="587"/>
      <c r="AF507" s="587"/>
      <c r="AG507" s="587"/>
      <c r="AH507" s="587"/>
      <c r="AI507" s="587"/>
      <c r="AJ507" s="587"/>
      <c r="AK507" s="587"/>
      <c r="AL507" s="587"/>
      <c r="AM507" s="587"/>
      <c r="AO507" s="587"/>
      <c r="AP507" s="587"/>
      <c r="AQ507" s="587"/>
      <c r="AR507" s="587"/>
      <c r="AS507" s="587"/>
      <c r="AT507" s="587"/>
      <c r="AU507" s="587"/>
      <c r="AV507" s="587"/>
      <c r="AW507" s="587"/>
    </row>
    <row r="508" spans="1:49">
      <c r="A508" s="581">
        <v>24807</v>
      </c>
      <c r="B508" s="594">
        <v>2.7799999999999998E-2</v>
      </c>
      <c r="C508" s="577">
        <v>2.86E-2</v>
      </c>
      <c r="D508" s="577">
        <v>4.4000000000000003E-3</v>
      </c>
      <c r="E508" s="577">
        <v>5.1583333333333333E-3</v>
      </c>
      <c r="F508" s="577">
        <v>5.2916666666666667E-3</v>
      </c>
      <c r="G508" s="577">
        <v>5.2249999999999996E-3</v>
      </c>
      <c r="H508" s="577">
        <v>5.5583333333333327E-3</v>
      </c>
      <c r="I508" s="577">
        <f t="shared" si="79"/>
        <v>2.3399999999999997E-2</v>
      </c>
      <c r="J508" s="577">
        <f t="shared" si="83"/>
        <v>2.2574999999999998E-2</v>
      </c>
      <c r="K508" s="577">
        <f t="shared" si="84"/>
        <v>2.3041666666666669E-2</v>
      </c>
      <c r="L508" s="585">
        <f t="shared" si="80"/>
        <v>0.23987110575469139</v>
      </c>
      <c r="M508" s="585">
        <f t="shared" si="81"/>
        <v>5.28E-2</v>
      </c>
      <c r="N508" s="585">
        <f t="shared" si="85"/>
        <v>6.2699999999999992E-2</v>
      </c>
      <c r="O508" s="586">
        <f t="shared" si="82"/>
        <v>0.18707110575469138</v>
      </c>
      <c r="P508" s="585">
        <f t="shared" si="86"/>
        <v>0.17717110575469142</v>
      </c>
      <c r="Q508" s="585">
        <f t="shared" si="87"/>
        <v>-6.5252182752328913E-3</v>
      </c>
      <c r="R508" s="585">
        <f t="shared" si="88"/>
        <v>6.6699999999999995E-2</v>
      </c>
      <c r="S508" s="586">
        <f t="shared" si="89"/>
        <v>-7.3225218275232887E-2</v>
      </c>
      <c r="U508" s="587"/>
      <c r="V508" s="587"/>
      <c r="W508" s="587"/>
      <c r="X508" s="587"/>
      <c r="Y508" s="587"/>
      <c r="Z508" s="587"/>
      <c r="AA508" s="587"/>
      <c r="AB508" s="587"/>
      <c r="AC508" s="587"/>
      <c r="AE508" s="587"/>
      <c r="AF508" s="587"/>
      <c r="AG508" s="587"/>
      <c r="AH508" s="587"/>
      <c r="AI508" s="587"/>
      <c r="AJ508" s="587"/>
      <c r="AK508" s="587"/>
      <c r="AL508" s="587"/>
      <c r="AM508" s="587"/>
      <c r="AO508" s="587"/>
      <c r="AP508" s="587"/>
      <c r="AQ508" s="587"/>
      <c r="AR508" s="587"/>
      <c r="AS508" s="587"/>
      <c r="AT508" s="587"/>
      <c r="AU508" s="587"/>
      <c r="AV508" s="587"/>
      <c r="AW508" s="587"/>
    </row>
    <row r="509" spans="1:49">
      <c r="A509" s="581">
        <v>24838</v>
      </c>
      <c r="B509" s="594">
        <v>-4.2500000000000003E-2</v>
      </c>
      <c r="C509" s="577">
        <v>8.199999999999999E-3</v>
      </c>
      <c r="D509" s="577">
        <v>5.0000000000000001E-3</v>
      </c>
      <c r="E509" s="577">
        <v>5.1416666666666668E-3</v>
      </c>
      <c r="F509" s="577">
        <v>5.241666666666667E-3</v>
      </c>
      <c r="G509" s="577">
        <v>5.1916666666666665E-3</v>
      </c>
      <c r="H509" s="577">
        <v>5.45E-3</v>
      </c>
      <c r="I509" s="577">
        <f t="shared" si="79"/>
        <v>-4.7500000000000001E-2</v>
      </c>
      <c r="J509" s="577">
        <f t="shared" si="83"/>
        <v>-4.7691666666666667E-2</v>
      </c>
      <c r="K509" s="577">
        <f t="shared" si="84"/>
        <v>2.749999999999999E-3</v>
      </c>
      <c r="L509" s="585">
        <f t="shared" si="80"/>
        <v>9.9441177773770262E-2</v>
      </c>
      <c r="M509" s="585">
        <f t="shared" si="81"/>
        <v>0.06</v>
      </c>
      <c r="N509" s="585">
        <f t="shared" si="85"/>
        <v>6.2299999999999994E-2</v>
      </c>
      <c r="O509" s="586">
        <f t="shared" si="82"/>
        <v>3.9441177773770264E-2</v>
      </c>
      <c r="P509" s="585">
        <f t="shared" si="86"/>
        <v>3.7141177773770268E-2</v>
      </c>
      <c r="Q509" s="585">
        <f t="shared" si="87"/>
        <v>-2.4806469735264014E-2</v>
      </c>
      <c r="R509" s="585">
        <f t="shared" si="88"/>
        <v>6.54E-2</v>
      </c>
      <c r="S509" s="586">
        <f t="shared" si="89"/>
        <v>-9.0206469735264014E-2</v>
      </c>
      <c r="U509" s="587"/>
      <c r="V509" s="587"/>
      <c r="W509" s="587"/>
      <c r="X509" s="587"/>
      <c r="Y509" s="587"/>
      <c r="Z509" s="587"/>
      <c r="AA509" s="587"/>
      <c r="AB509" s="587"/>
      <c r="AC509" s="587"/>
      <c r="AE509" s="587"/>
      <c r="AF509" s="587"/>
      <c r="AG509" s="587"/>
      <c r="AH509" s="587"/>
      <c r="AI509" s="587"/>
      <c r="AJ509" s="587"/>
      <c r="AK509" s="587"/>
      <c r="AL509" s="587"/>
      <c r="AM509" s="587"/>
      <c r="AO509" s="587"/>
      <c r="AP509" s="587"/>
      <c r="AQ509" s="587"/>
      <c r="AR509" s="587"/>
      <c r="AS509" s="587"/>
      <c r="AT509" s="587"/>
      <c r="AU509" s="587"/>
      <c r="AV509" s="587"/>
      <c r="AW509" s="587"/>
    </row>
    <row r="510" spans="1:49">
      <c r="A510" s="581">
        <v>24869</v>
      </c>
      <c r="B510" s="594">
        <v>-2.6100000000000002E-2</v>
      </c>
      <c r="C510" s="577">
        <v>-2.3300000000000001E-2</v>
      </c>
      <c r="D510" s="577">
        <v>4.1999999999999997E-3</v>
      </c>
      <c r="E510" s="577">
        <v>5.0833333333333329E-3</v>
      </c>
      <c r="F510" s="577">
        <v>5.2249999999999996E-3</v>
      </c>
      <c r="G510" s="577">
        <v>5.1541666666666663E-3</v>
      </c>
      <c r="H510" s="577">
        <v>5.3083333333333342E-3</v>
      </c>
      <c r="I510" s="577">
        <f t="shared" si="79"/>
        <v>-3.0300000000000001E-2</v>
      </c>
      <c r="J510" s="577">
        <f t="shared" si="83"/>
        <v>-3.1254166666666666E-2</v>
      </c>
      <c r="K510" s="577">
        <f t="shared" si="84"/>
        <v>-2.8608333333333336E-2</v>
      </c>
      <c r="L510" s="585">
        <f t="shared" si="80"/>
        <v>6.309150420360865E-2</v>
      </c>
      <c r="M510" s="585">
        <f t="shared" si="81"/>
        <v>5.04E-2</v>
      </c>
      <c r="N510" s="585">
        <f t="shared" si="85"/>
        <v>6.1849999999999995E-2</v>
      </c>
      <c r="O510" s="586">
        <f t="shared" si="82"/>
        <v>1.269150420360865E-2</v>
      </c>
      <c r="P510" s="585">
        <f t="shared" si="86"/>
        <v>1.2415042036086552E-3</v>
      </c>
      <c r="Q510" s="585">
        <f t="shared" si="87"/>
        <v>-3.233615664983458E-2</v>
      </c>
      <c r="R510" s="585">
        <f t="shared" si="88"/>
        <v>6.3700000000000007E-2</v>
      </c>
      <c r="S510" s="586">
        <f t="shared" si="89"/>
        <v>-9.6036156649834586E-2</v>
      </c>
      <c r="U510" s="587"/>
      <c r="V510" s="587"/>
      <c r="W510" s="587"/>
      <c r="X510" s="587"/>
      <c r="Y510" s="587"/>
      <c r="Z510" s="587"/>
      <c r="AA510" s="587"/>
      <c r="AB510" s="587"/>
      <c r="AC510" s="587"/>
      <c r="AE510" s="587"/>
      <c r="AF510" s="587"/>
      <c r="AG510" s="587"/>
      <c r="AH510" s="587"/>
      <c r="AI510" s="587"/>
      <c r="AJ510" s="587"/>
      <c r="AK510" s="587"/>
      <c r="AL510" s="587"/>
      <c r="AM510" s="587"/>
      <c r="AO510" s="587"/>
      <c r="AP510" s="587"/>
      <c r="AQ510" s="587"/>
      <c r="AR510" s="587"/>
      <c r="AS510" s="587"/>
      <c r="AT510" s="587"/>
      <c r="AU510" s="587"/>
      <c r="AV510" s="587"/>
      <c r="AW510" s="587"/>
    </row>
    <row r="511" spans="1:49">
      <c r="A511" s="581">
        <v>24898</v>
      </c>
      <c r="B511" s="594">
        <v>1.0999999999999999E-2</v>
      </c>
      <c r="C511" s="577">
        <v>-3.9900000000000005E-2</v>
      </c>
      <c r="D511" s="577">
        <v>4.3E-3</v>
      </c>
      <c r="E511" s="577">
        <v>5.0916666666666662E-3</v>
      </c>
      <c r="F511" s="577">
        <v>5.2333333333333329E-3</v>
      </c>
      <c r="G511" s="577">
        <v>5.1624999999999996E-3</v>
      </c>
      <c r="H511" s="577">
        <v>5.3416666666666664E-3</v>
      </c>
      <c r="I511" s="577">
        <f t="shared" si="79"/>
        <v>6.6999999999999994E-3</v>
      </c>
      <c r="J511" s="577">
        <f t="shared" si="83"/>
        <v>5.8374999999999998E-3</v>
      </c>
      <c r="K511" s="577">
        <f t="shared" si="84"/>
        <v>-4.5241666666666673E-2</v>
      </c>
      <c r="L511" s="585">
        <f t="shared" si="80"/>
        <v>3.2554050100728871E-2</v>
      </c>
      <c r="M511" s="585">
        <f t="shared" si="81"/>
        <v>5.16E-2</v>
      </c>
      <c r="N511" s="585">
        <f t="shared" si="85"/>
        <v>6.1949999999999991E-2</v>
      </c>
      <c r="O511" s="586">
        <f t="shared" si="82"/>
        <v>-1.9045949899271129E-2</v>
      </c>
      <c r="P511" s="585">
        <f t="shared" si="86"/>
        <v>-2.939594989927112E-2</v>
      </c>
      <c r="Q511" s="585">
        <f t="shared" si="87"/>
        <v>-8.8894718053845856E-2</v>
      </c>
      <c r="R511" s="585">
        <f t="shared" si="88"/>
        <v>6.409999999999999E-2</v>
      </c>
      <c r="S511" s="586">
        <f t="shared" si="89"/>
        <v>-0.15299471805384585</v>
      </c>
      <c r="U511" s="587"/>
      <c r="V511" s="587"/>
      <c r="W511" s="587"/>
      <c r="X511" s="587"/>
      <c r="Y511" s="587"/>
      <c r="Z511" s="587"/>
      <c r="AA511" s="587"/>
      <c r="AB511" s="587"/>
      <c r="AC511" s="587"/>
      <c r="AE511" s="587"/>
      <c r="AF511" s="587"/>
      <c r="AG511" s="587"/>
      <c r="AH511" s="587"/>
      <c r="AI511" s="587"/>
      <c r="AJ511" s="587"/>
      <c r="AK511" s="587"/>
      <c r="AL511" s="587"/>
      <c r="AM511" s="587"/>
      <c r="AO511" s="587"/>
      <c r="AP511" s="587"/>
      <c r="AQ511" s="587"/>
      <c r="AR511" s="587"/>
      <c r="AS511" s="587"/>
      <c r="AT511" s="587"/>
      <c r="AU511" s="587"/>
      <c r="AV511" s="587"/>
      <c r="AW511" s="587"/>
    </row>
    <row r="512" spans="1:49">
      <c r="A512" s="581">
        <v>24929</v>
      </c>
      <c r="B512" s="594">
        <v>8.3400000000000002E-2</v>
      </c>
      <c r="C512" s="577">
        <v>2.75E-2</v>
      </c>
      <c r="D512" s="577">
        <v>4.8999999999999998E-3</v>
      </c>
      <c r="E512" s="577">
        <v>5.1749999999999999E-3</v>
      </c>
      <c r="F512" s="577">
        <v>5.3166666666666666E-3</v>
      </c>
      <c r="G512" s="577">
        <v>5.2458333333333333E-3</v>
      </c>
      <c r="H512" s="577">
        <v>5.4833333333333331E-3</v>
      </c>
      <c r="I512" s="577">
        <f t="shared" si="79"/>
        <v>7.85E-2</v>
      </c>
      <c r="J512" s="577">
        <f t="shared" si="83"/>
        <v>7.8154166666666663E-2</v>
      </c>
      <c r="K512" s="577">
        <f t="shared" si="84"/>
        <v>2.2016666666666667E-2</v>
      </c>
      <c r="L512" s="585">
        <f t="shared" si="80"/>
        <v>7.1830083241476661E-2</v>
      </c>
      <c r="M512" s="585">
        <f t="shared" si="81"/>
        <v>5.8799999999999998E-2</v>
      </c>
      <c r="N512" s="585">
        <f t="shared" si="85"/>
        <v>6.2950000000000006E-2</v>
      </c>
      <c r="O512" s="586">
        <f t="shared" si="82"/>
        <v>1.3030083241476663E-2</v>
      </c>
      <c r="P512" s="585">
        <f t="shared" si="86"/>
        <v>8.8800832414766551E-3</v>
      </c>
      <c r="Q512" s="585">
        <f t="shared" si="87"/>
        <v>-8.2375340913866113E-2</v>
      </c>
      <c r="R512" s="585">
        <f t="shared" si="88"/>
        <v>6.5799999999999997E-2</v>
      </c>
      <c r="S512" s="586">
        <f t="shared" si="89"/>
        <v>-0.14817534091386611</v>
      </c>
      <c r="U512" s="587"/>
      <c r="V512" s="587"/>
      <c r="W512" s="587"/>
      <c r="X512" s="587"/>
      <c r="Y512" s="587"/>
      <c r="Z512" s="587"/>
      <c r="AA512" s="587"/>
      <c r="AB512" s="587"/>
      <c r="AC512" s="587"/>
      <c r="AE512" s="587"/>
      <c r="AF512" s="587"/>
      <c r="AG512" s="587"/>
      <c r="AH512" s="587"/>
      <c r="AI512" s="587"/>
      <c r="AJ512" s="587"/>
      <c r="AK512" s="587"/>
      <c r="AL512" s="587"/>
      <c r="AM512" s="587"/>
      <c r="AO512" s="587"/>
      <c r="AP512" s="587"/>
      <c r="AQ512" s="587"/>
      <c r="AR512" s="587"/>
      <c r="AS512" s="587"/>
      <c r="AT512" s="587"/>
      <c r="AU512" s="587"/>
      <c r="AV512" s="587"/>
      <c r="AW512" s="587"/>
    </row>
    <row r="513" spans="1:49">
      <c r="A513" s="581">
        <v>24959</v>
      </c>
      <c r="B513" s="594">
        <v>1.61E-2</v>
      </c>
      <c r="C513" s="577">
        <v>-6.1999999999999998E-3</v>
      </c>
      <c r="D513" s="577">
        <v>4.5999999999999999E-3</v>
      </c>
      <c r="E513" s="577">
        <v>5.2249999999999996E-3</v>
      </c>
      <c r="F513" s="577">
        <v>5.4000000000000003E-3</v>
      </c>
      <c r="G513" s="577">
        <v>5.3125000000000004E-3</v>
      </c>
      <c r="H513" s="577">
        <v>5.5166666666666662E-3</v>
      </c>
      <c r="I513" s="577">
        <f t="shared" si="79"/>
        <v>1.15E-2</v>
      </c>
      <c r="J513" s="577">
        <f t="shared" si="83"/>
        <v>1.0787499999999998E-2</v>
      </c>
      <c r="K513" s="577">
        <f t="shared" si="84"/>
        <v>-1.1716666666666667E-2</v>
      </c>
      <c r="L513" s="585">
        <f t="shared" si="80"/>
        <v>0.14363808419790436</v>
      </c>
      <c r="M513" s="585">
        <f t="shared" si="81"/>
        <v>5.5199999999999999E-2</v>
      </c>
      <c r="N513" s="585">
        <f t="shared" si="85"/>
        <v>6.3750000000000001E-2</v>
      </c>
      <c r="O513" s="586">
        <f t="shared" si="82"/>
        <v>8.843808419790436E-2</v>
      </c>
      <c r="P513" s="585">
        <f t="shared" si="86"/>
        <v>7.9888084197904358E-2</v>
      </c>
      <c r="Q513" s="585">
        <f t="shared" si="87"/>
        <v>-3.9461358542448144E-2</v>
      </c>
      <c r="R513" s="585">
        <f t="shared" si="88"/>
        <v>6.6199999999999995E-2</v>
      </c>
      <c r="S513" s="586">
        <f t="shared" si="89"/>
        <v>-0.10566135854244814</v>
      </c>
      <c r="U513" s="587"/>
      <c r="V513" s="587"/>
      <c r="W513" s="587"/>
      <c r="X513" s="587"/>
      <c r="Y513" s="587"/>
      <c r="Z513" s="587"/>
      <c r="AA513" s="587"/>
      <c r="AB513" s="587"/>
      <c r="AC513" s="587"/>
      <c r="AE513" s="587"/>
      <c r="AF513" s="587"/>
      <c r="AG513" s="587"/>
      <c r="AH513" s="587"/>
      <c r="AI513" s="587"/>
      <c r="AJ513" s="587"/>
      <c r="AK513" s="587"/>
      <c r="AL513" s="587"/>
      <c r="AM513" s="587"/>
      <c r="AO513" s="587"/>
      <c r="AP513" s="587"/>
      <c r="AQ513" s="587"/>
      <c r="AR513" s="587"/>
      <c r="AS513" s="587"/>
      <c r="AT513" s="587"/>
      <c r="AU513" s="587"/>
      <c r="AV513" s="587"/>
      <c r="AW513" s="587"/>
    </row>
    <row r="514" spans="1:49">
      <c r="A514" s="581">
        <v>24990</v>
      </c>
      <c r="B514" s="594">
        <v>1.0500000000000001E-2</v>
      </c>
      <c r="C514" s="577">
        <v>8.0700000000000008E-2</v>
      </c>
      <c r="D514" s="577">
        <v>4.1999999999999997E-3</v>
      </c>
      <c r="E514" s="577">
        <v>5.2333333333333329E-3</v>
      </c>
      <c r="F514" s="577">
        <v>5.416666666666666E-3</v>
      </c>
      <c r="G514" s="577">
        <v>5.3249999999999999E-3</v>
      </c>
      <c r="H514" s="577">
        <v>5.5166666666666662E-3</v>
      </c>
      <c r="I514" s="577">
        <f t="shared" si="79"/>
        <v>6.3000000000000009E-3</v>
      </c>
      <c r="J514" s="577">
        <f t="shared" si="83"/>
        <v>5.1750000000000008E-3</v>
      </c>
      <c r="K514" s="577">
        <f t="shared" si="84"/>
        <v>7.5183333333333338E-2</v>
      </c>
      <c r="L514" s="585">
        <f t="shared" si="80"/>
        <v>0.13409841421195567</v>
      </c>
      <c r="M514" s="585">
        <f t="shared" si="81"/>
        <v>5.04E-2</v>
      </c>
      <c r="N514" s="585">
        <f t="shared" si="85"/>
        <v>6.3899999999999998E-2</v>
      </c>
      <c r="O514" s="586">
        <f t="shared" si="82"/>
        <v>8.3698414211955674E-2</v>
      </c>
      <c r="P514" s="585">
        <f t="shared" si="86"/>
        <v>7.0198414211955676E-2</v>
      </c>
      <c r="Q514" s="585">
        <f t="shared" si="87"/>
        <v>5.1833123744225773E-2</v>
      </c>
      <c r="R514" s="585">
        <f t="shared" si="88"/>
        <v>6.6199999999999995E-2</v>
      </c>
      <c r="S514" s="586">
        <f t="shared" si="89"/>
        <v>-1.4366876255774222E-2</v>
      </c>
      <c r="U514" s="587"/>
      <c r="V514" s="587"/>
      <c r="W514" s="587"/>
      <c r="X514" s="587"/>
      <c r="Y514" s="587"/>
      <c r="Z514" s="587"/>
      <c r="AA514" s="587"/>
      <c r="AB514" s="587"/>
      <c r="AC514" s="587"/>
      <c r="AE514" s="587"/>
      <c r="AF514" s="587"/>
      <c r="AG514" s="587"/>
      <c r="AH514" s="587"/>
      <c r="AI514" s="587"/>
      <c r="AJ514" s="587"/>
      <c r="AK514" s="587"/>
      <c r="AL514" s="587"/>
      <c r="AM514" s="587"/>
      <c r="AO514" s="587"/>
      <c r="AP514" s="587"/>
      <c r="AQ514" s="587"/>
      <c r="AR514" s="587"/>
      <c r="AS514" s="587"/>
      <c r="AT514" s="587"/>
      <c r="AU514" s="587"/>
      <c r="AV514" s="587"/>
      <c r="AW514" s="587"/>
    </row>
    <row r="515" spans="1:49">
      <c r="A515" s="581">
        <v>25020</v>
      </c>
      <c r="B515" s="594">
        <v>-1.72E-2</v>
      </c>
      <c r="C515" s="577">
        <v>-6.9999999999999993E-3</v>
      </c>
      <c r="D515" s="577">
        <v>4.7999999999999996E-3</v>
      </c>
      <c r="E515" s="577">
        <v>5.1999999999999998E-3</v>
      </c>
      <c r="F515" s="577">
        <v>5.3749999999999996E-3</v>
      </c>
      <c r="G515" s="577">
        <v>5.2875000000000005E-3</v>
      </c>
      <c r="H515" s="577">
        <v>5.4416666666666667E-3</v>
      </c>
      <c r="I515" s="577">
        <f t="shared" si="79"/>
        <v>-2.1999999999999999E-2</v>
      </c>
      <c r="J515" s="577">
        <f t="shared" si="83"/>
        <v>-2.2487500000000001E-2</v>
      </c>
      <c r="K515" s="577">
        <f t="shared" si="84"/>
        <v>-1.2441666666666667E-2</v>
      </c>
      <c r="L515" s="585">
        <f t="shared" si="80"/>
        <v>6.4761101917758301E-2</v>
      </c>
      <c r="M515" s="585">
        <f t="shared" si="81"/>
        <v>5.7599999999999998E-2</v>
      </c>
      <c r="N515" s="585">
        <f t="shared" si="85"/>
        <v>6.3450000000000006E-2</v>
      </c>
      <c r="O515" s="586">
        <f t="shared" si="82"/>
        <v>7.161101917758303E-3</v>
      </c>
      <c r="P515" s="585">
        <f t="shared" si="86"/>
        <v>1.311101917758295E-3</v>
      </c>
      <c r="Q515" s="585">
        <f t="shared" si="87"/>
        <v>2.3589074753053829E-2</v>
      </c>
      <c r="R515" s="585">
        <f t="shared" si="88"/>
        <v>6.5299999999999997E-2</v>
      </c>
      <c r="S515" s="586">
        <f t="shared" si="89"/>
        <v>-4.1710925246946168E-2</v>
      </c>
      <c r="U515" s="587"/>
      <c r="V515" s="587"/>
      <c r="W515" s="587"/>
      <c r="X515" s="587"/>
      <c r="Y515" s="587"/>
      <c r="Z515" s="587"/>
      <c r="AA515" s="587"/>
      <c r="AB515" s="587"/>
      <c r="AC515" s="587"/>
      <c r="AE515" s="587"/>
      <c r="AF515" s="587"/>
      <c r="AG515" s="587"/>
      <c r="AH515" s="587"/>
      <c r="AI515" s="587"/>
      <c r="AJ515" s="587"/>
      <c r="AK515" s="587"/>
      <c r="AL515" s="587"/>
      <c r="AM515" s="587"/>
      <c r="AO515" s="587"/>
      <c r="AP515" s="587"/>
      <c r="AQ515" s="587"/>
      <c r="AR515" s="587"/>
      <c r="AS515" s="587"/>
      <c r="AT515" s="587"/>
      <c r="AU515" s="587"/>
      <c r="AV515" s="587"/>
      <c r="AW515" s="587"/>
    </row>
    <row r="516" spans="1:49">
      <c r="A516" s="581">
        <v>25051</v>
      </c>
      <c r="B516" s="594">
        <v>1.6400000000000001E-2</v>
      </c>
      <c r="C516" s="577">
        <v>4.0000000000000024E-4</v>
      </c>
      <c r="D516" s="577">
        <v>4.1999999999999997E-3</v>
      </c>
      <c r="E516" s="577">
        <v>5.0166666666666658E-3</v>
      </c>
      <c r="F516" s="577">
        <v>5.2083333333333339E-3</v>
      </c>
      <c r="G516" s="577">
        <v>5.1124999999999999E-3</v>
      </c>
      <c r="H516" s="577">
        <v>5.2250000000000005E-3</v>
      </c>
      <c r="I516" s="577">
        <f t="shared" si="79"/>
        <v>1.2200000000000003E-2</v>
      </c>
      <c r="J516" s="577">
        <f t="shared" si="83"/>
        <v>1.1287500000000002E-2</v>
      </c>
      <c r="K516" s="577">
        <f t="shared" si="84"/>
        <v>-4.8250000000000003E-3</v>
      </c>
      <c r="L516" s="585">
        <f t="shared" si="80"/>
        <v>8.9852149032436879E-2</v>
      </c>
      <c r="M516" s="585">
        <f t="shared" si="81"/>
        <v>5.04E-2</v>
      </c>
      <c r="N516" s="585">
        <f t="shared" si="85"/>
        <v>6.1350000000000002E-2</v>
      </c>
      <c r="O516" s="586">
        <f t="shared" si="82"/>
        <v>3.9452149032436878E-2</v>
      </c>
      <c r="P516" s="585">
        <f t="shared" si="86"/>
        <v>2.8502149032436877E-2</v>
      </c>
      <c r="Q516" s="585">
        <f t="shared" si="87"/>
        <v>3.069804769295903E-2</v>
      </c>
      <c r="R516" s="585">
        <f t="shared" si="88"/>
        <v>6.2700000000000006E-2</v>
      </c>
      <c r="S516" s="586">
        <f t="shared" si="89"/>
        <v>-3.2001952307040976E-2</v>
      </c>
      <c r="U516" s="587"/>
      <c r="V516" s="587"/>
      <c r="W516" s="587"/>
      <c r="X516" s="587"/>
      <c r="Y516" s="587"/>
      <c r="Z516" s="587"/>
      <c r="AA516" s="587"/>
      <c r="AB516" s="587"/>
      <c r="AC516" s="587"/>
      <c r="AE516" s="587"/>
      <c r="AF516" s="587"/>
      <c r="AG516" s="587"/>
      <c r="AH516" s="587"/>
      <c r="AI516" s="587"/>
      <c r="AJ516" s="587"/>
      <c r="AK516" s="587"/>
      <c r="AL516" s="587"/>
      <c r="AM516" s="587"/>
      <c r="AO516" s="587"/>
      <c r="AP516" s="587"/>
      <c r="AQ516" s="587"/>
      <c r="AR516" s="587"/>
      <c r="AS516" s="587"/>
      <c r="AT516" s="587"/>
      <c r="AU516" s="587"/>
      <c r="AV516" s="587"/>
      <c r="AW516" s="587"/>
    </row>
    <row r="517" spans="1:49">
      <c r="A517" s="581">
        <v>25082</v>
      </c>
      <c r="B517" s="594">
        <v>0.04</v>
      </c>
      <c r="C517" s="577">
        <v>0.01</v>
      </c>
      <c r="D517" s="577">
        <v>4.4000000000000003E-3</v>
      </c>
      <c r="E517" s="577">
        <v>4.9750000000000003E-3</v>
      </c>
      <c r="F517" s="577">
        <v>5.1916666666666665E-3</v>
      </c>
      <c r="G517" s="577">
        <v>5.0833333333333329E-3</v>
      </c>
      <c r="H517" s="577">
        <v>5.2250000000000005E-3</v>
      </c>
      <c r="I517" s="577">
        <f t="shared" si="79"/>
        <v>3.56E-2</v>
      </c>
      <c r="J517" s="577">
        <f t="shared" si="83"/>
        <v>3.4916666666666665E-2</v>
      </c>
      <c r="K517" s="577">
        <f t="shared" si="84"/>
        <v>4.7749999999999997E-3</v>
      </c>
      <c r="L517" s="585">
        <f t="shared" si="80"/>
        <v>9.5964257390962926E-2</v>
      </c>
      <c r="M517" s="585">
        <f t="shared" si="81"/>
        <v>5.28E-2</v>
      </c>
      <c r="N517" s="585">
        <f t="shared" si="85"/>
        <v>6.0999999999999999E-2</v>
      </c>
      <c r="O517" s="586">
        <f t="shared" si="82"/>
        <v>4.3164257390962926E-2</v>
      </c>
      <c r="P517" s="585">
        <f t="shared" si="86"/>
        <v>3.4964257390962927E-2</v>
      </c>
      <c r="Q517" s="585">
        <f t="shared" si="87"/>
        <v>4.4871051058806399E-2</v>
      </c>
      <c r="R517" s="585">
        <f t="shared" si="88"/>
        <v>6.2700000000000006E-2</v>
      </c>
      <c r="S517" s="586">
        <f t="shared" si="89"/>
        <v>-1.7828948941193606E-2</v>
      </c>
      <c r="U517" s="587"/>
      <c r="V517" s="587"/>
      <c r="W517" s="587"/>
      <c r="X517" s="587"/>
      <c r="Y517" s="587"/>
      <c r="Z517" s="587"/>
      <c r="AA517" s="587"/>
      <c r="AB517" s="587"/>
      <c r="AC517" s="587"/>
      <c r="AE517" s="587"/>
      <c r="AF517" s="587"/>
      <c r="AG517" s="587"/>
      <c r="AH517" s="587"/>
      <c r="AI517" s="587"/>
      <c r="AJ517" s="587"/>
      <c r="AK517" s="587"/>
      <c r="AL517" s="587"/>
      <c r="AM517" s="587"/>
      <c r="AO517" s="587"/>
      <c r="AP517" s="587"/>
      <c r="AQ517" s="587"/>
      <c r="AR517" s="587"/>
      <c r="AS517" s="587"/>
      <c r="AT517" s="587"/>
      <c r="AU517" s="587"/>
      <c r="AV517" s="587"/>
      <c r="AW517" s="587"/>
    </row>
    <row r="518" spans="1:49">
      <c r="A518" s="581">
        <v>25112</v>
      </c>
      <c r="B518" s="594">
        <v>8.6999999999999994E-3</v>
      </c>
      <c r="C518" s="577">
        <v>8.6E-3</v>
      </c>
      <c r="D518" s="577">
        <v>4.4999999999999997E-3</v>
      </c>
      <c r="E518" s="577">
        <v>5.0749999999999997E-3</v>
      </c>
      <c r="F518" s="577">
        <v>5.2666666666666669E-3</v>
      </c>
      <c r="G518" s="577">
        <v>5.1708333333333337E-3</v>
      </c>
      <c r="H518" s="577">
        <v>5.3333333333333332E-3</v>
      </c>
      <c r="I518" s="577">
        <f t="shared" ref="I518:I581" si="90">B518-D518</f>
        <v>4.1999999999999997E-3</v>
      </c>
      <c r="J518" s="577">
        <f t="shared" si="83"/>
        <v>3.5291666666666657E-3</v>
      </c>
      <c r="K518" s="577">
        <f t="shared" si="84"/>
        <v>3.2666666666666669E-3</v>
      </c>
      <c r="L518" s="585">
        <f t="shared" si="80"/>
        <v>0.1368769502573679</v>
      </c>
      <c r="M518" s="585">
        <f t="shared" si="81"/>
        <v>5.3999999999999992E-2</v>
      </c>
      <c r="N518" s="585">
        <f t="shared" si="85"/>
        <v>6.2050000000000008E-2</v>
      </c>
      <c r="O518" s="586">
        <f t="shared" si="82"/>
        <v>8.287695025736791E-2</v>
      </c>
      <c r="P518" s="585">
        <f t="shared" si="86"/>
        <v>7.4826950257367894E-2</v>
      </c>
      <c r="Q518" s="585">
        <f t="shared" si="87"/>
        <v>0.11779480494050931</v>
      </c>
      <c r="R518" s="585">
        <f t="shared" si="88"/>
        <v>6.4000000000000001E-2</v>
      </c>
      <c r="S518" s="586">
        <f t="shared" si="89"/>
        <v>5.3794804940509311E-2</v>
      </c>
      <c r="U518" s="587"/>
      <c r="V518" s="587"/>
      <c r="W518" s="587"/>
      <c r="X518" s="587"/>
      <c r="Y518" s="587"/>
      <c r="Z518" s="587"/>
      <c r="AA518" s="587"/>
      <c r="AB518" s="587"/>
      <c r="AC518" s="587"/>
      <c r="AE518" s="587"/>
      <c r="AF518" s="587"/>
      <c r="AG518" s="587"/>
      <c r="AH518" s="587"/>
      <c r="AI518" s="587"/>
      <c r="AJ518" s="587"/>
      <c r="AK518" s="587"/>
      <c r="AL518" s="587"/>
      <c r="AM518" s="587"/>
      <c r="AO518" s="587"/>
      <c r="AP518" s="587"/>
      <c r="AQ518" s="587"/>
      <c r="AR518" s="587"/>
      <c r="AS518" s="587"/>
      <c r="AT518" s="587"/>
      <c r="AU518" s="587"/>
      <c r="AV518" s="587"/>
      <c r="AW518" s="587"/>
    </row>
    <row r="519" spans="1:49">
      <c r="A519" s="581">
        <v>25143</v>
      </c>
      <c r="B519" s="594">
        <v>5.3100000000000001E-2</v>
      </c>
      <c r="C519" s="577">
        <v>7.8099999999999989E-2</v>
      </c>
      <c r="D519" s="577">
        <v>4.3E-3</v>
      </c>
      <c r="E519" s="577">
        <v>5.1583333333333333E-3</v>
      </c>
      <c r="F519" s="577">
        <v>5.3749999999999996E-3</v>
      </c>
      <c r="G519" s="577">
        <v>5.266666666666666E-3</v>
      </c>
      <c r="H519" s="577">
        <v>5.4916666666666673E-3</v>
      </c>
      <c r="I519" s="577">
        <f t="shared" si="90"/>
        <v>4.8800000000000003E-2</v>
      </c>
      <c r="J519" s="577">
        <f t="shared" si="83"/>
        <v>4.7833333333333339E-2</v>
      </c>
      <c r="K519" s="577">
        <f t="shared" si="84"/>
        <v>7.2608333333333316E-2</v>
      </c>
      <c r="L519" s="585">
        <f t="shared" si="80"/>
        <v>0.18951327999605971</v>
      </c>
      <c r="M519" s="585">
        <f t="shared" si="81"/>
        <v>5.16E-2</v>
      </c>
      <c r="N519" s="585">
        <f t="shared" si="85"/>
        <v>6.3199999999999992E-2</v>
      </c>
      <c r="O519" s="586">
        <f t="shared" si="82"/>
        <v>0.13791327999605971</v>
      </c>
      <c r="P519" s="585">
        <f t="shared" si="86"/>
        <v>0.12631327999605974</v>
      </c>
      <c r="Q519" s="585">
        <f t="shared" si="87"/>
        <v>0.17079041990319954</v>
      </c>
      <c r="R519" s="585">
        <f t="shared" si="88"/>
        <v>6.5900000000000014E-2</v>
      </c>
      <c r="S519" s="586">
        <f t="shared" si="89"/>
        <v>0.10489041990319953</v>
      </c>
      <c r="U519" s="587"/>
      <c r="V519" s="587"/>
      <c r="W519" s="587"/>
      <c r="X519" s="587"/>
      <c r="Y519" s="587"/>
      <c r="Z519" s="587"/>
      <c r="AA519" s="587"/>
      <c r="AB519" s="587"/>
      <c r="AC519" s="587"/>
      <c r="AE519" s="587"/>
      <c r="AF519" s="587"/>
      <c r="AG519" s="587"/>
      <c r="AH519" s="587"/>
      <c r="AI519" s="587"/>
      <c r="AJ519" s="587"/>
      <c r="AK519" s="587"/>
      <c r="AL519" s="587"/>
      <c r="AM519" s="587"/>
      <c r="AO519" s="587"/>
      <c r="AP519" s="587"/>
      <c r="AQ519" s="587"/>
      <c r="AR519" s="587"/>
      <c r="AS519" s="587"/>
      <c r="AT519" s="587"/>
      <c r="AU519" s="587"/>
      <c r="AV519" s="587"/>
      <c r="AW519" s="587"/>
    </row>
    <row r="520" spans="1:49">
      <c r="A520" s="581">
        <v>25173</v>
      </c>
      <c r="B520" s="594">
        <v>-4.02E-2</v>
      </c>
      <c r="C520" s="577">
        <v>-3.0899999999999997E-2</v>
      </c>
      <c r="D520" s="577">
        <v>4.8999999999999998E-3</v>
      </c>
      <c r="E520" s="577">
        <v>5.3749999999999996E-3</v>
      </c>
      <c r="F520" s="577">
        <v>5.5500000000000002E-3</v>
      </c>
      <c r="G520" s="577">
        <v>5.4625000000000003E-3</v>
      </c>
      <c r="H520" s="577">
        <v>5.7250000000000001E-3</v>
      </c>
      <c r="I520" s="577">
        <f t="shared" si="90"/>
        <v>-4.5100000000000001E-2</v>
      </c>
      <c r="J520" s="577">
        <f t="shared" si="83"/>
        <v>-4.5662500000000002E-2</v>
      </c>
      <c r="K520" s="577">
        <f t="shared" si="84"/>
        <v>-3.6624999999999998E-2</v>
      </c>
      <c r="L520" s="585">
        <f t="shared" si="80"/>
        <v>0.11081421107240508</v>
      </c>
      <c r="M520" s="585">
        <f t="shared" si="81"/>
        <v>5.8799999999999998E-2</v>
      </c>
      <c r="N520" s="585">
        <f t="shared" si="85"/>
        <v>6.5549999999999997E-2</v>
      </c>
      <c r="O520" s="586">
        <f t="shared" si="82"/>
        <v>5.201421107240508E-2</v>
      </c>
      <c r="P520" s="585">
        <f t="shared" si="86"/>
        <v>4.5264211072405081E-2</v>
      </c>
      <c r="Q520" s="585">
        <f t="shared" si="87"/>
        <v>0.10306532755997488</v>
      </c>
      <c r="R520" s="585">
        <f t="shared" si="88"/>
        <v>6.8699999999999997E-2</v>
      </c>
      <c r="S520" s="586">
        <f t="shared" si="89"/>
        <v>3.4365327559974887E-2</v>
      </c>
      <c r="U520" s="587"/>
      <c r="V520" s="587"/>
      <c r="W520" s="587"/>
      <c r="X520" s="587"/>
      <c r="Y520" s="587"/>
      <c r="Z520" s="587"/>
      <c r="AA520" s="587"/>
      <c r="AB520" s="587"/>
      <c r="AC520" s="587"/>
      <c r="AE520" s="587"/>
      <c r="AF520" s="587"/>
      <c r="AG520" s="587"/>
      <c r="AH520" s="587"/>
      <c r="AI520" s="587"/>
      <c r="AJ520" s="587"/>
      <c r="AK520" s="587"/>
      <c r="AL520" s="587"/>
      <c r="AM520" s="587"/>
      <c r="AO520" s="587"/>
      <c r="AP520" s="587"/>
      <c r="AQ520" s="587"/>
      <c r="AR520" s="587"/>
      <c r="AS520" s="587"/>
      <c r="AT520" s="587"/>
      <c r="AU520" s="587"/>
      <c r="AV520" s="587"/>
      <c r="AW520" s="587"/>
    </row>
    <row r="521" spans="1:49">
      <c r="A521" s="581">
        <v>25204</v>
      </c>
      <c r="B521" s="594">
        <v>-6.7999999999999996E-3</v>
      </c>
      <c r="C521" s="577">
        <v>1.6899999999999998E-2</v>
      </c>
      <c r="D521" s="577">
        <v>5.0000000000000001E-3</v>
      </c>
      <c r="E521" s="577">
        <v>5.4916666666666673E-3</v>
      </c>
      <c r="F521" s="577">
        <v>5.6083333333333341E-3</v>
      </c>
      <c r="G521" s="577">
        <v>5.5500000000000002E-3</v>
      </c>
      <c r="H521" s="577">
        <v>5.8666666666666667E-3</v>
      </c>
      <c r="I521" s="577">
        <f t="shared" si="90"/>
        <v>-1.18E-2</v>
      </c>
      <c r="J521" s="577">
        <f t="shared" si="83"/>
        <v>-1.235E-2</v>
      </c>
      <c r="K521" s="577">
        <f t="shared" si="84"/>
        <v>1.1033333333333332E-2</v>
      </c>
      <c r="L521" s="585">
        <f t="shared" si="80"/>
        <v>0.15223046938601881</v>
      </c>
      <c r="M521" s="585">
        <f t="shared" si="81"/>
        <v>0.06</v>
      </c>
      <c r="N521" s="585">
        <f t="shared" si="85"/>
        <v>6.6600000000000006E-2</v>
      </c>
      <c r="O521" s="586">
        <f t="shared" si="82"/>
        <v>9.223046938601881E-2</v>
      </c>
      <c r="P521" s="585">
        <f t="shared" si="86"/>
        <v>8.5630469386018801E-2</v>
      </c>
      <c r="Q521" s="585">
        <f t="shared" si="87"/>
        <v>0.11258394326099808</v>
      </c>
      <c r="R521" s="585">
        <f t="shared" si="88"/>
        <v>7.0400000000000004E-2</v>
      </c>
      <c r="S521" s="586">
        <f t="shared" si="89"/>
        <v>4.2183943260998072E-2</v>
      </c>
      <c r="U521" s="587"/>
      <c r="V521" s="587"/>
      <c r="W521" s="587"/>
      <c r="X521" s="587"/>
      <c r="Y521" s="587"/>
      <c r="Z521" s="587"/>
      <c r="AA521" s="587"/>
      <c r="AB521" s="587"/>
      <c r="AC521" s="587"/>
      <c r="AE521" s="587"/>
      <c r="AF521" s="587"/>
      <c r="AG521" s="587"/>
      <c r="AH521" s="587"/>
      <c r="AI521" s="587"/>
      <c r="AJ521" s="587"/>
      <c r="AK521" s="587"/>
      <c r="AL521" s="587"/>
      <c r="AM521" s="587"/>
      <c r="AO521" s="587"/>
      <c r="AP521" s="587"/>
      <c r="AQ521" s="587"/>
      <c r="AR521" s="587"/>
      <c r="AS521" s="587"/>
      <c r="AT521" s="587"/>
      <c r="AU521" s="587"/>
      <c r="AV521" s="587"/>
      <c r="AW521" s="587"/>
    </row>
    <row r="522" spans="1:49">
      <c r="A522" s="581">
        <v>25235</v>
      </c>
      <c r="B522" s="594">
        <v>-4.2599999999999999E-2</v>
      </c>
      <c r="C522" s="577">
        <v>-5.3200000000000004E-2</v>
      </c>
      <c r="D522" s="577">
        <v>4.5999999999999999E-3</v>
      </c>
      <c r="E522" s="577">
        <v>5.5500000000000002E-3</v>
      </c>
      <c r="F522" s="577">
        <v>5.6416666666666664E-3</v>
      </c>
      <c r="G522" s="577">
        <v>5.5958333333333329E-3</v>
      </c>
      <c r="H522" s="577">
        <v>5.9416666666666663E-3</v>
      </c>
      <c r="I522" s="577">
        <f t="shared" si="90"/>
        <v>-4.7199999999999999E-2</v>
      </c>
      <c r="J522" s="577">
        <f t="shared" si="83"/>
        <v>-4.8195833333333334E-2</v>
      </c>
      <c r="K522" s="577">
        <f t="shared" si="84"/>
        <v>-5.9141666666666669E-2</v>
      </c>
      <c r="L522" s="585">
        <f t="shared" si="80"/>
        <v>0.13270916047866765</v>
      </c>
      <c r="M522" s="585">
        <f t="shared" si="81"/>
        <v>5.5199999999999999E-2</v>
      </c>
      <c r="N522" s="585">
        <f t="shared" si="85"/>
        <v>6.7149999999999987E-2</v>
      </c>
      <c r="O522" s="586">
        <f t="shared" si="82"/>
        <v>7.7509160478667655E-2</v>
      </c>
      <c r="P522" s="585">
        <f t="shared" si="86"/>
        <v>6.5559160478667666E-2</v>
      </c>
      <c r="Q522" s="585">
        <f t="shared" si="87"/>
        <v>7.8524088747326193E-2</v>
      </c>
      <c r="R522" s="585">
        <f t="shared" si="88"/>
        <v>7.1300000000000002E-2</v>
      </c>
      <c r="S522" s="586">
        <f t="shared" si="89"/>
        <v>7.2240887473261906E-3</v>
      </c>
      <c r="U522" s="587"/>
      <c r="V522" s="587"/>
      <c r="W522" s="587"/>
      <c r="X522" s="587"/>
      <c r="Y522" s="587"/>
      <c r="Z522" s="587"/>
      <c r="AA522" s="587"/>
      <c r="AB522" s="587"/>
      <c r="AC522" s="587"/>
      <c r="AE522" s="587"/>
      <c r="AF522" s="587"/>
      <c r="AG522" s="587"/>
      <c r="AH522" s="587"/>
      <c r="AI522" s="587"/>
      <c r="AJ522" s="587"/>
      <c r="AK522" s="587"/>
      <c r="AL522" s="587"/>
      <c r="AM522" s="587"/>
      <c r="AO522" s="587"/>
      <c r="AP522" s="587"/>
      <c r="AQ522" s="587"/>
      <c r="AR522" s="587"/>
      <c r="AS522" s="587"/>
      <c r="AT522" s="587"/>
      <c r="AU522" s="587"/>
      <c r="AV522" s="587"/>
      <c r="AW522" s="587"/>
    </row>
    <row r="523" spans="1:49">
      <c r="A523" s="581">
        <v>25263</v>
      </c>
      <c r="B523" s="594">
        <v>3.5900000000000001E-2</v>
      </c>
      <c r="C523" s="577">
        <v>-9.6000000000000009E-3</v>
      </c>
      <c r="D523" s="577">
        <v>4.7000000000000002E-3</v>
      </c>
      <c r="E523" s="577">
        <v>5.7083333333333326E-3</v>
      </c>
      <c r="F523" s="577">
        <v>5.7916666666666672E-3</v>
      </c>
      <c r="G523" s="577">
        <v>5.7499999999999999E-3</v>
      </c>
      <c r="H523" s="577">
        <v>6.0583333333333331E-3</v>
      </c>
      <c r="I523" s="577">
        <f t="shared" si="90"/>
        <v>3.1200000000000002E-2</v>
      </c>
      <c r="J523" s="577">
        <f t="shared" si="83"/>
        <v>3.0150000000000003E-2</v>
      </c>
      <c r="K523" s="577">
        <f t="shared" si="84"/>
        <v>-1.5658333333333333E-2</v>
      </c>
      <c r="L523" s="585">
        <f t="shared" si="80"/>
        <v>0.16060674514327555</v>
      </c>
      <c r="M523" s="585">
        <f t="shared" si="81"/>
        <v>5.6400000000000006E-2</v>
      </c>
      <c r="N523" s="585">
        <f t="shared" si="85"/>
        <v>6.9000000000000006E-2</v>
      </c>
      <c r="O523" s="586">
        <f t="shared" si="82"/>
        <v>0.10420674514327555</v>
      </c>
      <c r="P523" s="585">
        <f t="shared" si="86"/>
        <v>9.1606745143275548E-2</v>
      </c>
      <c r="Q523" s="585">
        <f t="shared" si="87"/>
        <v>0.11256145973893505</v>
      </c>
      <c r="R523" s="585">
        <f t="shared" si="88"/>
        <v>7.2700000000000001E-2</v>
      </c>
      <c r="S523" s="586">
        <f t="shared" si="89"/>
        <v>3.9861459738935054E-2</v>
      </c>
      <c r="U523" s="587"/>
      <c r="V523" s="587"/>
      <c r="W523" s="587"/>
      <c r="X523" s="587"/>
      <c r="Y523" s="587"/>
      <c r="Z523" s="587"/>
      <c r="AA523" s="587"/>
      <c r="AB523" s="587"/>
      <c r="AC523" s="587"/>
      <c r="AE523" s="587"/>
      <c r="AF523" s="587"/>
      <c r="AG523" s="587"/>
      <c r="AH523" s="587"/>
      <c r="AI523" s="587"/>
      <c r="AJ523" s="587"/>
      <c r="AK523" s="587"/>
      <c r="AL523" s="587"/>
      <c r="AM523" s="587"/>
      <c r="AO523" s="587"/>
      <c r="AP523" s="587"/>
      <c r="AQ523" s="587"/>
      <c r="AR523" s="587"/>
      <c r="AS523" s="587"/>
      <c r="AT523" s="587"/>
      <c r="AU523" s="587"/>
      <c r="AV523" s="587"/>
      <c r="AW523" s="587"/>
    </row>
    <row r="524" spans="1:49">
      <c r="A524" s="581">
        <v>25294</v>
      </c>
      <c r="B524" s="594">
        <v>2.29E-2</v>
      </c>
      <c r="C524" s="577">
        <v>1.3899999999999999E-2</v>
      </c>
      <c r="D524" s="577">
        <v>5.4999999999999997E-3</v>
      </c>
      <c r="E524" s="577">
        <v>5.7416666666666658E-3</v>
      </c>
      <c r="F524" s="577">
        <v>5.8499999999999993E-3</v>
      </c>
      <c r="G524" s="577">
        <v>5.7958333333333334E-3</v>
      </c>
      <c r="H524" s="577">
        <v>6.083333333333333E-3</v>
      </c>
      <c r="I524" s="577">
        <f t="shared" si="90"/>
        <v>1.7399999999999999E-2</v>
      </c>
      <c r="J524" s="577">
        <f t="shared" si="83"/>
        <v>1.7104166666666667E-2</v>
      </c>
      <c r="K524" s="577">
        <f t="shared" si="84"/>
        <v>7.8166666666666662E-3</v>
      </c>
      <c r="L524" s="585">
        <f t="shared" si="80"/>
        <v>9.57953106950864E-2</v>
      </c>
      <c r="M524" s="585">
        <f t="shared" si="81"/>
        <v>6.6000000000000003E-2</v>
      </c>
      <c r="N524" s="585">
        <f t="shared" si="85"/>
        <v>6.9550000000000001E-2</v>
      </c>
      <c r="O524" s="586">
        <f t="shared" si="82"/>
        <v>2.9795310695086397E-2</v>
      </c>
      <c r="P524" s="585">
        <f t="shared" si="86"/>
        <v>2.6245310695086399E-2</v>
      </c>
      <c r="Q524" s="585">
        <f t="shared" si="87"/>
        <v>9.7835585429981942E-2</v>
      </c>
      <c r="R524" s="585">
        <f t="shared" si="88"/>
        <v>7.2999999999999995E-2</v>
      </c>
      <c r="S524" s="586">
        <f t="shared" si="89"/>
        <v>2.4835585429981946E-2</v>
      </c>
      <c r="U524" s="587"/>
      <c r="V524" s="587"/>
      <c r="W524" s="587"/>
      <c r="X524" s="587"/>
      <c r="Y524" s="587"/>
      <c r="Z524" s="587"/>
      <c r="AA524" s="587"/>
      <c r="AB524" s="587"/>
      <c r="AC524" s="587"/>
      <c r="AE524" s="587"/>
      <c r="AF524" s="587"/>
      <c r="AG524" s="587"/>
      <c r="AH524" s="587"/>
      <c r="AI524" s="587"/>
      <c r="AJ524" s="587"/>
      <c r="AK524" s="587"/>
      <c r="AL524" s="587"/>
      <c r="AM524" s="587"/>
      <c r="AO524" s="587"/>
      <c r="AP524" s="587"/>
      <c r="AQ524" s="587"/>
      <c r="AR524" s="587"/>
      <c r="AS524" s="587"/>
      <c r="AT524" s="587"/>
      <c r="AU524" s="587"/>
      <c r="AV524" s="587"/>
      <c r="AW524" s="587"/>
    </row>
    <row r="525" spans="1:49">
      <c r="A525" s="581">
        <v>25324</v>
      </c>
      <c r="B525" s="594">
        <v>2.5999999999999999E-3</v>
      </c>
      <c r="C525" s="577">
        <v>-5.9999999999999984E-4</v>
      </c>
      <c r="D525" s="577">
        <v>4.7000000000000002E-3</v>
      </c>
      <c r="E525" s="577">
        <v>5.6583333333333329E-3</v>
      </c>
      <c r="F525" s="577">
        <v>5.7999999999999996E-3</v>
      </c>
      <c r="G525" s="577">
        <v>5.7291666666666663E-3</v>
      </c>
      <c r="H525" s="577">
        <v>5.966666666666667E-3</v>
      </c>
      <c r="I525" s="577">
        <f t="shared" si="90"/>
        <v>-2.1000000000000003E-3</v>
      </c>
      <c r="J525" s="577">
        <f t="shared" si="83"/>
        <v>-3.1291666666666664E-3</v>
      </c>
      <c r="K525" s="577">
        <f t="shared" si="84"/>
        <v>-6.5666666666666668E-3</v>
      </c>
      <c r="L525" s="585">
        <f t="shared" si="80"/>
        <v>8.1236471314726666E-2</v>
      </c>
      <c r="M525" s="585">
        <f t="shared" si="81"/>
        <v>5.6400000000000006E-2</v>
      </c>
      <c r="N525" s="585">
        <f t="shared" si="85"/>
        <v>6.8749999999999992E-2</v>
      </c>
      <c r="O525" s="586">
        <f t="shared" si="82"/>
        <v>2.483647131472666E-2</v>
      </c>
      <c r="P525" s="585">
        <f t="shared" si="86"/>
        <v>1.2486471314726674E-2</v>
      </c>
      <c r="Q525" s="585">
        <f t="shared" si="87"/>
        <v>0.1040218193587481</v>
      </c>
      <c r="R525" s="585">
        <f t="shared" si="88"/>
        <v>7.1599999999999997E-2</v>
      </c>
      <c r="S525" s="586">
        <f t="shared" si="89"/>
        <v>3.2421819358748105E-2</v>
      </c>
      <c r="U525" s="587"/>
      <c r="V525" s="587"/>
      <c r="W525" s="587"/>
      <c r="X525" s="587"/>
      <c r="Y525" s="587"/>
      <c r="Z525" s="587"/>
      <c r="AA525" s="587"/>
      <c r="AB525" s="587"/>
      <c r="AC525" s="587"/>
      <c r="AE525" s="587"/>
      <c r="AF525" s="587"/>
      <c r="AG525" s="587"/>
      <c r="AH525" s="587"/>
      <c r="AI525" s="587"/>
      <c r="AJ525" s="587"/>
      <c r="AK525" s="587"/>
      <c r="AL525" s="587"/>
      <c r="AM525" s="587"/>
      <c r="AO525" s="587"/>
      <c r="AP525" s="587"/>
      <c r="AQ525" s="587"/>
      <c r="AR525" s="587"/>
      <c r="AS525" s="587"/>
      <c r="AT525" s="587"/>
      <c r="AU525" s="587"/>
      <c r="AV525" s="587"/>
      <c r="AW525" s="587"/>
    </row>
    <row r="526" spans="1:49">
      <c r="A526" s="581">
        <v>25355</v>
      </c>
      <c r="B526" s="594">
        <v>-5.4199999999999998E-2</v>
      </c>
      <c r="C526" s="577">
        <v>-5.16E-2</v>
      </c>
      <c r="D526" s="577">
        <v>5.4999999999999997E-3</v>
      </c>
      <c r="E526" s="577">
        <v>5.816666666666667E-3</v>
      </c>
      <c r="F526" s="577">
        <v>5.9333333333333339E-3</v>
      </c>
      <c r="G526" s="577">
        <v>5.875E-3</v>
      </c>
      <c r="H526" s="577">
        <v>6.1750000000000008E-3</v>
      </c>
      <c r="I526" s="577">
        <f t="shared" si="90"/>
        <v>-5.9699999999999996E-2</v>
      </c>
      <c r="J526" s="577">
        <f t="shared" si="83"/>
        <v>-6.0074999999999996E-2</v>
      </c>
      <c r="K526" s="577">
        <f t="shared" si="84"/>
        <v>-5.7775E-2</v>
      </c>
      <c r="L526" s="585">
        <f t="shared" si="80"/>
        <v>1.200737710981592E-2</v>
      </c>
      <c r="M526" s="585">
        <f t="shared" si="81"/>
        <v>6.6000000000000003E-2</v>
      </c>
      <c r="N526" s="585">
        <f t="shared" si="85"/>
        <v>7.0500000000000007E-2</v>
      </c>
      <c r="O526" s="586">
        <f t="shared" si="82"/>
        <v>-5.3992622890184083E-2</v>
      </c>
      <c r="P526" s="585">
        <f t="shared" si="86"/>
        <v>-5.8492622890184087E-2</v>
      </c>
      <c r="Q526" s="585">
        <f t="shared" si="87"/>
        <v>-3.1133253002834649E-2</v>
      </c>
      <c r="R526" s="585">
        <f t="shared" si="88"/>
        <v>7.4100000000000013E-2</v>
      </c>
      <c r="S526" s="586">
        <f t="shared" si="89"/>
        <v>-0.10523325300283466</v>
      </c>
      <c r="U526" s="587"/>
      <c r="V526" s="587"/>
      <c r="W526" s="587"/>
      <c r="X526" s="587"/>
      <c r="Y526" s="587"/>
      <c r="Z526" s="587"/>
      <c r="AA526" s="587"/>
      <c r="AB526" s="587"/>
      <c r="AC526" s="587"/>
      <c r="AE526" s="587"/>
      <c r="AF526" s="587"/>
      <c r="AG526" s="587"/>
      <c r="AH526" s="587"/>
      <c r="AI526" s="587"/>
      <c r="AJ526" s="587"/>
      <c r="AK526" s="587"/>
      <c r="AL526" s="587"/>
      <c r="AM526" s="587"/>
      <c r="AO526" s="587"/>
      <c r="AP526" s="587"/>
      <c r="AQ526" s="587"/>
      <c r="AR526" s="587"/>
      <c r="AS526" s="587"/>
      <c r="AT526" s="587"/>
      <c r="AU526" s="587"/>
      <c r="AV526" s="587"/>
      <c r="AW526" s="587"/>
    </row>
    <row r="527" spans="1:49">
      <c r="A527" s="581">
        <v>25385</v>
      </c>
      <c r="B527" s="594">
        <v>-5.8700000000000002E-2</v>
      </c>
      <c r="C527" s="577">
        <v>-3.6299999999999999E-2</v>
      </c>
      <c r="D527" s="577">
        <v>5.1999999999999998E-3</v>
      </c>
      <c r="E527" s="577">
        <v>5.8999999999999999E-3</v>
      </c>
      <c r="F527" s="577">
        <v>6.0333333333333341E-3</v>
      </c>
      <c r="G527" s="577">
        <v>5.966666666666667E-3</v>
      </c>
      <c r="H527" s="577">
        <v>6.2666666666666669E-3</v>
      </c>
      <c r="I527" s="577">
        <f t="shared" si="90"/>
        <v>-6.3899999999999998E-2</v>
      </c>
      <c r="J527" s="577">
        <f t="shared" si="83"/>
        <v>-6.4666666666666664E-2</v>
      </c>
      <c r="K527" s="577">
        <f t="shared" si="84"/>
        <v>-4.2566666666666669E-2</v>
      </c>
      <c r="L527" s="585">
        <f t="shared" si="80"/>
        <v>-3.0725942131187289E-2</v>
      </c>
      <c r="M527" s="585">
        <f t="shared" si="81"/>
        <v>6.2399999999999997E-2</v>
      </c>
      <c r="N527" s="585">
        <f t="shared" si="85"/>
        <v>7.1599999999999997E-2</v>
      </c>
      <c r="O527" s="586">
        <f t="shared" si="82"/>
        <v>-9.3125942131187286E-2</v>
      </c>
      <c r="P527" s="585">
        <f t="shared" si="86"/>
        <v>-0.10232594213118729</v>
      </c>
      <c r="Q527" s="585">
        <f t="shared" si="87"/>
        <v>-5.9721164067303212E-2</v>
      </c>
      <c r="R527" s="585">
        <f t="shared" si="88"/>
        <v>7.5200000000000003E-2</v>
      </c>
      <c r="S527" s="586">
        <f t="shared" si="89"/>
        <v>-0.1349211640673032</v>
      </c>
      <c r="U527" s="587"/>
      <c r="V527" s="587"/>
      <c r="W527" s="587"/>
      <c r="X527" s="587"/>
      <c r="Y527" s="587"/>
      <c r="Z527" s="587"/>
      <c r="AA527" s="587"/>
      <c r="AB527" s="587"/>
      <c r="AC527" s="587"/>
      <c r="AE527" s="587"/>
      <c r="AF527" s="587"/>
      <c r="AG527" s="587"/>
      <c r="AH527" s="587"/>
      <c r="AI527" s="587"/>
      <c r="AJ527" s="587"/>
      <c r="AK527" s="587"/>
      <c r="AL527" s="587"/>
      <c r="AM527" s="587"/>
      <c r="AO527" s="587"/>
      <c r="AP527" s="587"/>
      <c r="AQ527" s="587"/>
      <c r="AR527" s="587"/>
      <c r="AS527" s="587"/>
      <c r="AT527" s="587"/>
      <c r="AU527" s="587"/>
      <c r="AV527" s="587"/>
      <c r="AW527" s="587"/>
    </row>
    <row r="528" spans="1:49">
      <c r="A528" s="581">
        <v>25416</v>
      </c>
      <c r="B528" s="594">
        <v>4.5400000000000003E-2</v>
      </c>
      <c r="C528" s="577">
        <v>-1.1399999999999999E-2</v>
      </c>
      <c r="D528" s="577">
        <v>4.7999999999999996E-3</v>
      </c>
      <c r="E528" s="577">
        <v>5.8083333333333329E-3</v>
      </c>
      <c r="F528" s="577">
        <v>6.025E-3</v>
      </c>
      <c r="G528" s="577">
        <v>5.9166666666666664E-3</v>
      </c>
      <c r="H528" s="577">
        <v>6.1999999999999998E-3</v>
      </c>
      <c r="I528" s="577">
        <f t="shared" si="90"/>
        <v>4.0600000000000004E-2</v>
      </c>
      <c r="J528" s="577">
        <f t="shared" si="83"/>
        <v>3.9483333333333336E-2</v>
      </c>
      <c r="K528" s="577">
        <f t="shared" si="84"/>
        <v>-1.7599999999999998E-2</v>
      </c>
      <c r="L528" s="585">
        <f t="shared" ref="L528:L591" si="91">((1+B517)*(1+B518)*(1+B519)*(1+B520)*(1+B521)*(1+B522)*(1+B523)*(1+B524)*(1+B525)*(1+B526)*(1+B527)*(1+B528))-1</f>
        <v>-3.0705429987629707E-3</v>
      </c>
      <c r="M528" s="585">
        <f t="shared" ref="M528:M591" si="92">D528*12</f>
        <v>5.7599999999999998E-2</v>
      </c>
      <c r="N528" s="585">
        <f t="shared" si="85"/>
        <v>7.0999999999999994E-2</v>
      </c>
      <c r="O528" s="586">
        <f t="shared" ref="O528:O591" si="93">L528-M528</f>
        <v>-6.0670542998762969E-2</v>
      </c>
      <c r="P528" s="585">
        <f t="shared" si="86"/>
        <v>-7.4070542998762964E-2</v>
      </c>
      <c r="Q528" s="585">
        <f t="shared" si="87"/>
        <v>-7.0812017989739906E-2</v>
      </c>
      <c r="R528" s="585">
        <f t="shared" si="88"/>
        <v>7.4399999999999994E-2</v>
      </c>
      <c r="S528" s="586">
        <f t="shared" si="89"/>
        <v>-0.1452120179897399</v>
      </c>
      <c r="U528" s="587"/>
      <c r="V528" s="587"/>
      <c r="W528" s="587"/>
      <c r="X528" s="587"/>
      <c r="Y528" s="587"/>
      <c r="Z528" s="587"/>
      <c r="AA528" s="587"/>
      <c r="AB528" s="587"/>
      <c r="AC528" s="587"/>
      <c r="AE528" s="587"/>
      <c r="AF528" s="587"/>
      <c r="AG528" s="587"/>
      <c r="AH528" s="587"/>
      <c r="AI528" s="587"/>
      <c r="AJ528" s="587"/>
      <c r="AK528" s="587"/>
      <c r="AL528" s="587"/>
      <c r="AM528" s="587"/>
      <c r="AO528" s="587"/>
      <c r="AP528" s="587"/>
      <c r="AQ528" s="587"/>
      <c r="AR528" s="587"/>
      <c r="AS528" s="587"/>
      <c r="AT528" s="587"/>
      <c r="AU528" s="587"/>
      <c r="AV528" s="587"/>
      <c r="AW528" s="587"/>
    </row>
    <row r="529" spans="1:49">
      <c r="A529" s="581">
        <v>25447</v>
      </c>
      <c r="B529" s="594">
        <v>-2.3599999999999999E-2</v>
      </c>
      <c r="C529" s="577">
        <v>-3.7200000000000004E-2</v>
      </c>
      <c r="D529" s="577">
        <v>5.4999999999999997E-3</v>
      </c>
      <c r="E529" s="577">
        <v>5.9499999999999996E-3</v>
      </c>
      <c r="F529" s="577">
        <v>6.1333333333333344E-3</v>
      </c>
      <c r="G529" s="577">
        <v>6.0416666666666674E-3</v>
      </c>
      <c r="H529" s="577">
        <v>6.3583333333333339E-3</v>
      </c>
      <c r="I529" s="577">
        <f t="shared" si="90"/>
        <v>-2.9100000000000001E-2</v>
      </c>
      <c r="J529" s="577">
        <f t="shared" si="83"/>
        <v>-2.9641666666666667E-2</v>
      </c>
      <c r="K529" s="577">
        <f t="shared" si="84"/>
        <v>-4.3558333333333338E-2</v>
      </c>
      <c r="L529" s="585">
        <f t="shared" si="91"/>
        <v>-6.4036613638454032E-2</v>
      </c>
      <c r="M529" s="585">
        <f t="shared" si="92"/>
        <v>6.6000000000000003E-2</v>
      </c>
      <c r="N529" s="585">
        <f t="shared" si="85"/>
        <v>7.2500000000000009E-2</v>
      </c>
      <c r="O529" s="586">
        <f t="shared" si="93"/>
        <v>-0.13003661363845403</v>
      </c>
      <c r="P529" s="585">
        <f t="shared" si="86"/>
        <v>-0.13653661363845404</v>
      </c>
      <c r="Q529" s="585">
        <f t="shared" si="87"/>
        <v>-0.11423545635695187</v>
      </c>
      <c r="R529" s="585">
        <f t="shared" si="88"/>
        <v>7.6300000000000007E-2</v>
      </c>
      <c r="S529" s="586">
        <f t="shared" si="89"/>
        <v>-0.19053545635695188</v>
      </c>
      <c r="U529" s="587"/>
      <c r="V529" s="587"/>
      <c r="W529" s="587"/>
      <c r="X529" s="587"/>
      <c r="Y529" s="587"/>
      <c r="Z529" s="587"/>
      <c r="AA529" s="587"/>
      <c r="AB529" s="587"/>
      <c r="AC529" s="587"/>
      <c r="AE529" s="587"/>
      <c r="AF529" s="587"/>
      <c r="AG529" s="587"/>
      <c r="AH529" s="587"/>
      <c r="AI529" s="587"/>
      <c r="AJ529" s="587"/>
      <c r="AK529" s="587"/>
      <c r="AL529" s="587"/>
      <c r="AM529" s="587"/>
      <c r="AO529" s="587"/>
      <c r="AP529" s="587"/>
      <c r="AQ529" s="587"/>
      <c r="AR529" s="587"/>
      <c r="AS529" s="587"/>
      <c r="AT529" s="587"/>
      <c r="AU529" s="587"/>
      <c r="AV529" s="587"/>
      <c r="AW529" s="587"/>
    </row>
    <row r="530" spans="1:49">
      <c r="A530" s="581">
        <v>25477</v>
      </c>
      <c r="B530" s="594">
        <v>4.5900000000000003E-2</v>
      </c>
      <c r="C530" s="577">
        <v>7.980000000000001E-2</v>
      </c>
      <c r="D530" s="577">
        <v>5.7000000000000002E-3</v>
      </c>
      <c r="E530" s="577">
        <v>6.1083333333333337E-3</v>
      </c>
      <c r="F530" s="577">
        <v>6.2750000000000002E-3</v>
      </c>
      <c r="G530" s="577">
        <v>6.1916666666666665E-3</v>
      </c>
      <c r="H530" s="577">
        <v>6.6833333333333337E-3</v>
      </c>
      <c r="I530" s="577">
        <f t="shared" si="90"/>
        <v>4.02E-2</v>
      </c>
      <c r="J530" s="577">
        <f t="shared" si="83"/>
        <v>3.9708333333333339E-2</v>
      </c>
      <c r="K530" s="577">
        <f t="shared" si="84"/>
        <v>7.3116666666666677E-2</v>
      </c>
      <c r="L530" s="585">
        <f t="shared" si="91"/>
        <v>-2.9519078223911088E-2</v>
      </c>
      <c r="M530" s="585">
        <f t="shared" si="92"/>
        <v>6.8400000000000002E-2</v>
      </c>
      <c r="N530" s="585">
        <f t="shared" si="85"/>
        <v>7.4300000000000005E-2</v>
      </c>
      <c r="O530" s="586">
        <f t="shared" si="93"/>
        <v>-9.7919078223911091E-2</v>
      </c>
      <c r="P530" s="585">
        <f t="shared" si="86"/>
        <v>-0.10381907822391109</v>
      </c>
      <c r="Q530" s="585">
        <f t="shared" si="87"/>
        <v>-5.1706767573107881E-2</v>
      </c>
      <c r="R530" s="585">
        <f t="shared" si="88"/>
        <v>8.0200000000000007E-2</v>
      </c>
      <c r="S530" s="586">
        <f t="shared" si="89"/>
        <v>-0.13190676757310787</v>
      </c>
      <c r="U530" s="587"/>
      <c r="V530" s="587"/>
      <c r="W530" s="587"/>
      <c r="X530" s="587"/>
      <c r="Y530" s="587"/>
      <c r="Z530" s="587"/>
      <c r="AA530" s="587"/>
      <c r="AB530" s="587"/>
      <c r="AC530" s="587"/>
      <c r="AE530" s="587"/>
      <c r="AF530" s="587"/>
      <c r="AG530" s="587"/>
      <c r="AH530" s="587"/>
      <c r="AI530" s="587"/>
      <c r="AJ530" s="587"/>
      <c r="AK530" s="587"/>
      <c r="AL530" s="587"/>
      <c r="AM530" s="587"/>
      <c r="AO530" s="587"/>
      <c r="AP530" s="587"/>
      <c r="AQ530" s="587"/>
      <c r="AR530" s="587"/>
      <c r="AS530" s="587"/>
      <c r="AT530" s="587"/>
      <c r="AU530" s="587"/>
      <c r="AV530" s="587"/>
      <c r="AW530" s="587"/>
    </row>
    <row r="531" spans="1:49">
      <c r="A531" s="581">
        <v>25508</v>
      </c>
      <c r="B531" s="594">
        <v>-2.9700000000000001E-2</v>
      </c>
      <c r="C531" s="577">
        <v>-5.8800000000000005E-2</v>
      </c>
      <c r="D531" s="577">
        <v>4.8999999999999998E-3</v>
      </c>
      <c r="E531" s="577">
        <v>6.1249999999999994E-3</v>
      </c>
      <c r="F531" s="577">
        <v>6.3166666666666675E-3</v>
      </c>
      <c r="G531" s="577">
        <v>6.2208333333333334E-3</v>
      </c>
      <c r="H531" s="577">
        <v>6.6666666666666662E-3</v>
      </c>
      <c r="I531" s="577">
        <f t="shared" si="90"/>
        <v>-3.4599999999999999E-2</v>
      </c>
      <c r="J531" s="577">
        <f t="shared" si="83"/>
        <v>-3.5920833333333332E-2</v>
      </c>
      <c r="K531" s="577">
        <f t="shared" si="84"/>
        <v>-6.5466666666666673E-2</v>
      </c>
      <c r="L531" s="585">
        <f t="shared" si="91"/>
        <v>-0.10582315221789074</v>
      </c>
      <c r="M531" s="585">
        <f t="shared" si="92"/>
        <v>5.8799999999999998E-2</v>
      </c>
      <c r="N531" s="585">
        <f t="shared" si="85"/>
        <v>7.4649999999999994E-2</v>
      </c>
      <c r="O531" s="586">
        <f t="shared" si="93"/>
        <v>-0.16462315221789073</v>
      </c>
      <c r="P531" s="585">
        <f t="shared" si="86"/>
        <v>-0.18047315221789073</v>
      </c>
      <c r="Q531" s="585">
        <f t="shared" si="87"/>
        <v>-0.17212355963251003</v>
      </c>
      <c r="R531" s="585">
        <f t="shared" si="88"/>
        <v>7.9999999999999988E-2</v>
      </c>
      <c r="S531" s="586">
        <f t="shared" si="89"/>
        <v>-0.25212355963250999</v>
      </c>
      <c r="U531" s="587"/>
      <c r="V531" s="587"/>
      <c r="W531" s="587"/>
      <c r="X531" s="587"/>
      <c r="Y531" s="587"/>
      <c r="Z531" s="587"/>
      <c r="AA531" s="587"/>
      <c r="AB531" s="587"/>
      <c r="AC531" s="587"/>
      <c r="AE531" s="587"/>
      <c r="AF531" s="587"/>
      <c r="AG531" s="587"/>
      <c r="AH531" s="587"/>
      <c r="AI531" s="587"/>
      <c r="AJ531" s="587"/>
      <c r="AK531" s="587"/>
      <c r="AL531" s="587"/>
      <c r="AM531" s="587"/>
      <c r="AO531" s="587"/>
      <c r="AP531" s="587"/>
      <c r="AQ531" s="587"/>
      <c r="AR531" s="587"/>
      <c r="AS531" s="587"/>
      <c r="AT531" s="587"/>
      <c r="AU531" s="587"/>
      <c r="AV531" s="587"/>
      <c r="AW531" s="587"/>
    </row>
    <row r="532" spans="1:49">
      <c r="A532" s="581">
        <v>25538</v>
      </c>
      <c r="B532" s="594">
        <v>-1.77E-2</v>
      </c>
      <c r="C532" s="577">
        <v>-9.7000000000000003E-3</v>
      </c>
      <c r="D532" s="577">
        <v>6.0000000000000001E-3</v>
      </c>
      <c r="E532" s="577">
        <v>6.4333333333333334E-3</v>
      </c>
      <c r="F532" s="577">
        <v>6.6083333333333324E-3</v>
      </c>
      <c r="G532" s="577">
        <v>6.5208333333333333E-3</v>
      </c>
      <c r="H532" s="577">
        <v>7.1583333333333334E-3</v>
      </c>
      <c r="I532" s="577">
        <f t="shared" si="90"/>
        <v>-2.3699999999999999E-2</v>
      </c>
      <c r="J532" s="577">
        <f t="shared" si="83"/>
        <v>-2.4220833333333334E-2</v>
      </c>
      <c r="K532" s="577">
        <f t="shared" si="84"/>
        <v>-1.6858333333333333E-2</v>
      </c>
      <c r="L532" s="585">
        <f t="shared" si="91"/>
        <v>-8.4861515340314941E-2</v>
      </c>
      <c r="M532" s="585">
        <f t="shared" si="92"/>
        <v>7.2000000000000008E-2</v>
      </c>
      <c r="N532" s="585">
        <f t="shared" si="85"/>
        <v>7.825E-2</v>
      </c>
      <c r="O532" s="586">
        <f t="shared" si="93"/>
        <v>-0.15686151534031495</v>
      </c>
      <c r="P532" s="585">
        <f t="shared" si="86"/>
        <v>-0.16311151534031493</v>
      </c>
      <c r="Q532" s="585">
        <f t="shared" si="87"/>
        <v>-0.1540129616180731</v>
      </c>
      <c r="R532" s="585">
        <f t="shared" si="88"/>
        <v>8.5900000000000004E-2</v>
      </c>
      <c r="S532" s="586">
        <f t="shared" si="89"/>
        <v>-0.2399129616180731</v>
      </c>
      <c r="U532" s="587"/>
      <c r="V532" s="587"/>
      <c r="W532" s="587"/>
      <c r="X532" s="587"/>
      <c r="Y532" s="587"/>
      <c r="Z532" s="587"/>
      <c r="AA532" s="587"/>
      <c r="AB532" s="587"/>
      <c r="AC532" s="587"/>
      <c r="AE532" s="587"/>
      <c r="AF532" s="587"/>
      <c r="AG532" s="587"/>
      <c r="AH532" s="587"/>
      <c r="AI532" s="587"/>
      <c r="AJ532" s="587"/>
      <c r="AK532" s="587"/>
      <c r="AL532" s="587"/>
      <c r="AM532" s="587"/>
      <c r="AO532" s="587"/>
      <c r="AP532" s="587"/>
      <c r="AQ532" s="587"/>
      <c r="AR532" s="587"/>
      <c r="AS532" s="587"/>
      <c r="AT532" s="587"/>
      <c r="AU532" s="587"/>
      <c r="AV532" s="587"/>
      <c r="AW532" s="587"/>
    </row>
    <row r="533" spans="1:49">
      <c r="A533" s="581">
        <v>25569</v>
      </c>
      <c r="B533" s="594">
        <v>-7.4300000000000005E-2</v>
      </c>
      <c r="C533" s="577">
        <v>-4.53E-2</v>
      </c>
      <c r="D533" s="577">
        <v>5.5999999999999991E-3</v>
      </c>
      <c r="E533" s="577">
        <v>6.5916666666666667E-3</v>
      </c>
      <c r="F533" s="577">
        <v>6.7916666666666672E-3</v>
      </c>
      <c r="G533" s="577">
        <v>6.6916666666666669E-3</v>
      </c>
      <c r="H533" s="577">
        <v>7.2416666666666662E-3</v>
      </c>
      <c r="I533" s="577">
        <f t="shared" si="90"/>
        <v>-7.9899999999999999E-2</v>
      </c>
      <c r="J533" s="577">
        <f t="shared" si="83"/>
        <v>-8.099166666666667E-2</v>
      </c>
      <c r="K533" s="577">
        <f t="shared" si="84"/>
        <v>-5.2541666666666667E-2</v>
      </c>
      <c r="L533" s="585">
        <f t="shared" si="91"/>
        <v>-0.14705628750556732</v>
      </c>
      <c r="M533" s="585">
        <f t="shared" si="92"/>
        <v>6.7199999999999982E-2</v>
      </c>
      <c r="N533" s="585">
        <f t="shared" si="85"/>
        <v>8.030000000000001E-2</v>
      </c>
      <c r="O533" s="586">
        <f t="shared" si="93"/>
        <v>-0.2142562875055673</v>
      </c>
      <c r="P533" s="585">
        <f t="shared" si="86"/>
        <v>-0.22735628750556733</v>
      </c>
      <c r="Q533" s="585">
        <f t="shared" si="87"/>
        <v>-0.20575884989357307</v>
      </c>
      <c r="R533" s="585">
        <f t="shared" si="88"/>
        <v>8.6899999999999991E-2</v>
      </c>
      <c r="S533" s="586">
        <f t="shared" si="89"/>
        <v>-0.29265884989357305</v>
      </c>
      <c r="U533" s="587"/>
      <c r="V533" s="587"/>
      <c r="W533" s="587"/>
      <c r="X533" s="587"/>
      <c r="Y533" s="587"/>
      <c r="Z533" s="587"/>
      <c r="AA533" s="587"/>
      <c r="AB533" s="587"/>
      <c r="AC533" s="587"/>
      <c r="AE533" s="587"/>
      <c r="AF533" s="587"/>
      <c r="AG533" s="587"/>
      <c r="AH533" s="587"/>
      <c r="AI533" s="587"/>
      <c r="AJ533" s="587"/>
      <c r="AK533" s="587"/>
      <c r="AL533" s="587"/>
      <c r="AM533" s="587"/>
      <c r="AO533" s="587"/>
      <c r="AP533" s="587"/>
      <c r="AQ533" s="587"/>
      <c r="AR533" s="587"/>
      <c r="AS533" s="587"/>
      <c r="AT533" s="587"/>
      <c r="AU533" s="587"/>
      <c r="AV533" s="587"/>
      <c r="AW533" s="587"/>
    </row>
    <row r="534" spans="1:49">
      <c r="A534" s="581">
        <v>25600</v>
      </c>
      <c r="B534" s="594">
        <v>5.5800000000000002E-2</v>
      </c>
      <c r="C534" s="577">
        <v>0.1053</v>
      </c>
      <c r="D534" s="577">
        <v>5.1999999999999998E-3</v>
      </c>
      <c r="E534" s="577">
        <v>6.6083333333333324E-3</v>
      </c>
      <c r="F534" s="577">
        <v>6.7750000000000006E-3</v>
      </c>
      <c r="G534" s="577">
        <v>6.6916666666666669E-3</v>
      </c>
      <c r="H534" s="577">
        <v>7.0916666666666663E-3</v>
      </c>
      <c r="I534" s="577">
        <f t="shared" si="90"/>
        <v>5.0600000000000006E-2</v>
      </c>
      <c r="J534" s="577">
        <f t="shared" si="83"/>
        <v>4.9108333333333337E-2</v>
      </c>
      <c r="K534" s="577">
        <f t="shared" si="84"/>
        <v>9.8208333333333342E-2</v>
      </c>
      <c r="L534" s="585">
        <f t="shared" si="91"/>
        <v>-5.9392133223707955E-2</v>
      </c>
      <c r="M534" s="585">
        <f t="shared" si="92"/>
        <v>6.2399999999999997E-2</v>
      </c>
      <c r="N534" s="585">
        <f t="shared" si="85"/>
        <v>8.030000000000001E-2</v>
      </c>
      <c r="O534" s="586">
        <f t="shared" si="93"/>
        <v>-0.12179213322370795</v>
      </c>
      <c r="P534" s="585">
        <f t="shared" si="86"/>
        <v>-0.13969213322370796</v>
      </c>
      <c r="Q534" s="585">
        <f t="shared" si="87"/>
        <v>-7.2798116589951722E-2</v>
      </c>
      <c r="R534" s="585">
        <f t="shared" si="88"/>
        <v>8.5099999999999995E-2</v>
      </c>
      <c r="S534" s="586">
        <f t="shared" si="89"/>
        <v>-0.15789811658995173</v>
      </c>
      <c r="U534" s="587"/>
      <c r="V534" s="587"/>
      <c r="W534" s="587"/>
      <c r="X534" s="587"/>
      <c r="Y534" s="587"/>
      <c r="Z534" s="587"/>
      <c r="AA534" s="587"/>
      <c r="AB534" s="587"/>
      <c r="AC534" s="587"/>
      <c r="AE534" s="587"/>
      <c r="AF534" s="587"/>
      <c r="AG534" s="587"/>
      <c r="AH534" s="587"/>
      <c r="AI534" s="587"/>
      <c r="AJ534" s="587"/>
      <c r="AK534" s="587"/>
      <c r="AL534" s="587"/>
      <c r="AM534" s="587"/>
      <c r="AO534" s="587"/>
      <c r="AP534" s="587"/>
      <c r="AQ534" s="587"/>
      <c r="AR534" s="587"/>
      <c r="AS534" s="587"/>
      <c r="AT534" s="587"/>
      <c r="AU534" s="587"/>
      <c r="AV534" s="587"/>
      <c r="AW534" s="587"/>
    </row>
    <row r="535" spans="1:49">
      <c r="A535" s="581">
        <v>25628</v>
      </c>
      <c r="B535" s="594">
        <v>4.4000000000000003E-3</v>
      </c>
      <c r="C535" s="577">
        <v>2.3200000000000002E-2</v>
      </c>
      <c r="D535" s="577">
        <v>5.5999999999999991E-3</v>
      </c>
      <c r="E535" s="577">
        <v>6.5333333333333328E-3</v>
      </c>
      <c r="F535" s="577">
        <v>6.7166666666666677E-3</v>
      </c>
      <c r="G535" s="577">
        <v>6.6250000000000007E-3</v>
      </c>
      <c r="H535" s="577">
        <v>6.9249999999999997E-3</v>
      </c>
      <c r="I535" s="577">
        <f t="shared" si="90"/>
        <v>-1.1999999999999988E-3</v>
      </c>
      <c r="J535" s="577">
        <f t="shared" si="83"/>
        <v>-2.2250000000000004E-3</v>
      </c>
      <c r="K535" s="577">
        <f t="shared" si="84"/>
        <v>1.6275000000000001E-2</v>
      </c>
      <c r="L535" s="585">
        <f t="shared" si="91"/>
        <v>-8.7994457582674102E-2</v>
      </c>
      <c r="M535" s="585">
        <f t="shared" si="92"/>
        <v>6.7199999999999982E-2</v>
      </c>
      <c r="N535" s="585">
        <f t="shared" si="85"/>
        <v>7.9500000000000015E-2</v>
      </c>
      <c r="O535" s="586">
        <f t="shared" si="93"/>
        <v>-0.15519445758267408</v>
      </c>
      <c r="P535" s="585">
        <f t="shared" si="86"/>
        <v>-0.16749445758267412</v>
      </c>
      <c r="Q535" s="585">
        <f t="shared" si="87"/>
        <v>-4.2091107527098437E-2</v>
      </c>
      <c r="R535" s="585">
        <f t="shared" si="88"/>
        <v>8.3099999999999993E-2</v>
      </c>
      <c r="S535" s="586">
        <f t="shared" si="89"/>
        <v>-0.12519110752709844</v>
      </c>
      <c r="U535" s="587"/>
      <c r="V535" s="587"/>
      <c r="W535" s="587"/>
      <c r="X535" s="587"/>
      <c r="Y535" s="587"/>
      <c r="Z535" s="587"/>
      <c r="AA535" s="587"/>
      <c r="AB535" s="587"/>
      <c r="AC535" s="587"/>
      <c r="AE535" s="587"/>
      <c r="AF535" s="587"/>
      <c r="AG535" s="587"/>
      <c r="AH535" s="587"/>
      <c r="AI535" s="587"/>
      <c r="AJ535" s="587"/>
      <c r="AK535" s="587"/>
      <c r="AL535" s="587"/>
      <c r="AM535" s="587"/>
      <c r="AO535" s="587"/>
      <c r="AP535" s="587"/>
      <c r="AQ535" s="587"/>
      <c r="AR535" s="587"/>
      <c r="AS535" s="587"/>
      <c r="AT535" s="587"/>
      <c r="AU535" s="587"/>
      <c r="AV535" s="587"/>
      <c r="AW535" s="587"/>
    </row>
    <row r="536" spans="1:49">
      <c r="A536" s="581">
        <v>25659</v>
      </c>
      <c r="B536" s="594">
        <v>-8.7499999999999994E-2</v>
      </c>
      <c r="C536" s="577">
        <v>-9.2899999999999996E-2</v>
      </c>
      <c r="D536" s="577">
        <v>5.4000000000000003E-3</v>
      </c>
      <c r="E536" s="577">
        <v>6.5249999999999996E-3</v>
      </c>
      <c r="F536" s="577">
        <v>6.6916666666666661E-3</v>
      </c>
      <c r="G536" s="577">
        <v>6.6083333333333324E-3</v>
      </c>
      <c r="H536" s="577">
        <v>6.9249999999999997E-3</v>
      </c>
      <c r="I536" s="577">
        <f t="shared" si="90"/>
        <v>-9.2899999999999996E-2</v>
      </c>
      <c r="J536" s="577">
        <f t="shared" si="83"/>
        <v>-9.4108333333333322E-2</v>
      </c>
      <c r="K536" s="577">
        <f t="shared" si="84"/>
        <v>-9.9824999999999997E-2</v>
      </c>
      <c r="L536" s="585">
        <f t="shared" si="91"/>
        <v>-0.1864257919094634</v>
      </c>
      <c r="M536" s="585">
        <f t="shared" si="92"/>
        <v>6.4799999999999996E-2</v>
      </c>
      <c r="N536" s="585">
        <f t="shared" si="85"/>
        <v>7.9299999999999982E-2</v>
      </c>
      <c r="O536" s="586">
        <f t="shared" si="93"/>
        <v>-0.25122579190946337</v>
      </c>
      <c r="P536" s="585">
        <f t="shared" si="86"/>
        <v>-0.26572579190946338</v>
      </c>
      <c r="Q536" s="585">
        <f t="shared" si="87"/>
        <v>-0.14299323763470873</v>
      </c>
      <c r="R536" s="585">
        <f t="shared" si="88"/>
        <v>8.3099999999999993E-2</v>
      </c>
      <c r="S536" s="586">
        <f t="shared" si="89"/>
        <v>-0.22609323763470873</v>
      </c>
      <c r="U536" s="587"/>
      <c r="V536" s="587"/>
      <c r="W536" s="587"/>
      <c r="X536" s="587"/>
      <c r="Y536" s="587"/>
      <c r="Z536" s="587"/>
      <c r="AA536" s="587"/>
      <c r="AB536" s="587"/>
      <c r="AC536" s="587"/>
      <c r="AE536" s="587"/>
      <c r="AF536" s="587"/>
      <c r="AG536" s="587"/>
      <c r="AH536" s="587"/>
      <c r="AI536" s="587"/>
      <c r="AJ536" s="587"/>
      <c r="AK536" s="587"/>
      <c r="AL536" s="587"/>
      <c r="AM536" s="587"/>
      <c r="AO536" s="587"/>
      <c r="AP536" s="587"/>
      <c r="AQ536" s="587"/>
      <c r="AR536" s="587"/>
      <c r="AS536" s="587"/>
      <c r="AT536" s="587"/>
      <c r="AU536" s="587"/>
      <c r="AV536" s="587"/>
      <c r="AW536" s="587"/>
    </row>
    <row r="537" spans="1:49">
      <c r="A537" s="581">
        <v>25689</v>
      </c>
      <c r="B537" s="594">
        <v>-5.7799999999999997E-2</v>
      </c>
      <c r="C537" s="577">
        <v>-5.1499999999999997E-2</v>
      </c>
      <c r="D537" s="577">
        <v>5.4999999999999997E-3</v>
      </c>
      <c r="E537" s="577">
        <v>6.7583333333333332E-3</v>
      </c>
      <c r="F537" s="577">
        <v>6.8666666666666668E-3</v>
      </c>
      <c r="G537" s="577">
        <v>6.8124999999999991E-3</v>
      </c>
      <c r="H537" s="577">
        <v>7.2250000000000005E-3</v>
      </c>
      <c r="I537" s="577">
        <f t="shared" si="90"/>
        <v>-6.3299999999999995E-2</v>
      </c>
      <c r="J537" s="577">
        <f t="shared" si="83"/>
        <v>-6.4612499999999989E-2</v>
      </c>
      <c r="K537" s="577">
        <f t="shared" si="84"/>
        <v>-5.8724999999999999E-2</v>
      </c>
      <c r="L537" s="585">
        <f t="shared" si="91"/>
        <v>-0.23543824170865391</v>
      </c>
      <c r="M537" s="585">
        <f t="shared" si="92"/>
        <v>6.6000000000000003E-2</v>
      </c>
      <c r="N537" s="585">
        <f t="shared" si="85"/>
        <v>8.1749999999999989E-2</v>
      </c>
      <c r="O537" s="586">
        <f t="shared" si="93"/>
        <v>-0.30143824170865391</v>
      </c>
      <c r="P537" s="585">
        <f t="shared" si="86"/>
        <v>-0.3171882417086539</v>
      </c>
      <c r="Q537" s="585">
        <f t="shared" si="87"/>
        <v>-0.1866410705388446</v>
      </c>
      <c r="R537" s="585">
        <f t="shared" si="88"/>
        <v>8.6699999999999999E-2</v>
      </c>
      <c r="S537" s="586">
        <f t="shared" si="89"/>
        <v>-0.2733410705388446</v>
      </c>
      <c r="U537" s="587"/>
      <c r="V537" s="587"/>
      <c r="W537" s="587"/>
      <c r="X537" s="587"/>
      <c r="Y537" s="587"/>
      <c r="Z537" s="587"/>
      <c r="AA537" s="587"/>
      <c r="AB537" s="587"/>
      <c r="AC537" s="587"/>
      <c r="AE537" s="587"/>
      <c r="AF537" s="587"/>
      <c r="AG537" s="587"/>
      <c r="AH537" s="587"/>
      <c r="AI537" s="587"/>
      <c r="AJ537" s="587"/>
      <c r="AK537" s="587"/>
      <c r="AL537" s="587"/>
      <c r="AM537" s="587"/>
      <c r="AO537" s="587"/>
      <c r="AP537" s="587"/>
      <c r="AQ537" s="587"/>
      <c r="AR537" s="587"/>
      <c r="AS537" s="587"/>
      <c r="AT537" s="587"/>
      <c r="AU537" s="587"/>
      <c r="AV537" s="587"/>
      <c r="AW537" s="587"/>
    </row>
    <row r="538" spans="1:49">
      <c r="A538" s="581">
        <v>25720</v>
      </c>
      <c r="B538" s="594">
        <v>-4.6600000000000003E-2</v>
      </c>
      <c r="C538" s="577">
        <v>-5.8199999999999995E-2</v>
      </c>
      <c r="D538" s="577">
        <v>6.4000000000000003E-3</v>
      </c>
      <c r="E538" s="577">
        <v>7.0666666666666664E-3</v>
      </c>
      <c r="F538" s="577">
        <v>7.1500000000000001E-3</v>
      </c>
      <c r="G538" s="577">
        <v>7.1083333333333328E-3</v>
      </c>
      <c r="H538" s="577">
        <v>7.5333333333333329E-3</v>
      </c>
      <c r="I538" s="577">
        <f t="shared" si="90"/>
        <v>-5.3000000000000005E-2</v>
      </c>
      <c r="J538" s="577">
        <f t="shared" si="83"/>
        <v>-5.3708333333333337E-2</v>
      </c>
      <c r="K538" s="577">
        <f t="shared" si="84"/>
        <v>-6.5733333333333324E-2</v>
      </c>
      <c r="L538" s="585">
        <f t="shared" si="91"/>
        <v>-0.22929458621804877</v>
      </c>
      <c r="M538" s="585">
        <f t="shared" si="92"/>
        <v>7.6800000000000007E-2</v>
      </c>
      <c r="N538" s="585">
        <f t="shared" si="85"/>
        <v>8.5299999999999987E-2</v>
      </c>
      <c r="O538" s="586">
        <f t="shared" si="93"/>
        <v>-0.30609458621804875</v>
      </c>
      <c r="P538" s="585">
        <f t="shared" si="86"/>
        <v>-0.31459458621804876</v>
      </c>
      <c r="Q538" s="585">
        <f t="shared" si="87"/>
        <v>-0.19230130771139153</v>
      </c>
      <c r="R538" s="585">
        <f t="shared" si="88"/>
        <v>9.0399999999999994E-2</v>
      </c>
      <c r="S538" s="586">
        <f t="shared" si="89"/>
        <v>-0.28270130771139151</v>
      </c>
      <c r="U538" s="587"/>
      <c r="V538" s="587"/>
      <c r="W538" s="587"/>
      <c r="X538" s="587"/>
      <c r="Y538" s="587"/>
      <c r="Z538" s="587"/>
      <c r="AA538" s="587"/>
      <c r="AB538" s="587"/>
      <c r="AC538" s="587"/>
      <c r="AE538" s="587"/>
      <c r="AF538" s="587"/>
      <c r="AG538" s="587"/>
      <c r="AH538" s="587"/>
      <c r="AI538" s="587"/>
      <c r="AJ538" s="587"/>
      <c r="AK538" s="587"/>
      <c r="AL538" s="587"/>
      <c r="AM538" s="587"/>
      <c r="AO538" s="587"/>
      <c r="AP538" s="587"/>
      <c r="AQ538" s="587"/>
      <c r="AR538" s="587"/>
      <c r="AS538" s="587"/>
      <c r="AT538" s="587"/>
      <c r="AU538" s="587"/>
      <c r="AV538" s="587"/>
      <c r="AW538" s="587"/>
    </row>
    <row r="539" spans="1:49">
      <c r="A539" s="581">
        <v>25750</v>
      </c>
      <c r="B539" s="594">
        <v>7.6899999999999996E-2</v>
      </c>
      <c r="C539" s="577">
        <v>9.7299999999999998E-2</v>
      </c>
      <c r="D539" s="577">
        <v>5.8999999999999999E-3</v>
      </c>
      <c r="E539" s="577">
        <v>7.0333333333333324E-3</v>
      </c>
      <c r="F539" s="577">
        <v>7.2000000000000007E-3</v>
      </c>
      <c r="G539" s="577">
        <v>7.116666666666667E-3</v>
      </c>
      <c r="H539" s="577">
        <v>7.5500000000000003E-3</v>
      </c>
      <c r="I539" s="577">
        <f t="shared" si="90"/>
        <v>7.0999999999999994E-2</v>
      </c>
      <c r="J539" s="577">
        <f t="shared" si="83"/>
        <v>6.9783333333333336E-2</v>
      </c>
      <c r="K539" s="577">
        <f t="shared" si="84"/>
        <v>8.9749999999999996E-2</v>
      </c>
      <c r="L539" s="585">
        <f t="shared" si="91"/>
        <v>-0.11826977573379016</v>
      </c>
      <c r="M539" s="585">
        <f t="shared" si="92"/>
        <v>7.0800000000000002E-2</v>
      </c>
      <c r="N539" s="585">
        <f t="shared" si="85"/>
        <v>8.5400000000000004E-2</v>
      </c>
      <c r="O539" s="586">
        <f t="shared" si="93"/>
        <v>-0.18906977573379016</v>
      </c>
      <c r="P539" s="585">
        <f t="shared" si="86"/>
        <v>-0.20366977573379016</v>
      </c>
      <c r="Q539" s="585">
        <f t="shared" si="87"/>
        <v>-8.0328136299377406E-2</v>
      </c>
      <c r="R539" s="585">
        <f t="shared" si="88"/>
        <v>9.06E-2</v>
      </c>
      <c r="S539" s="586">
        <f t="shared" si="89"/>
        <v>-0.17092813629937742</v>
      </c>
      <c r="U539" s="587"/>
      <c r="V539" s="587"/>
      <c r="W539" s="587"/>
      <c r="X539" s="587"/>
      <c r="Y539" s="587"/>
      <c r="Z539" s="587"/>
      <c r="AA539" s="587"/>
      <c r="AB539" s="587"/>
      <c r="AC539" s="587"/>
      <c r="AE539" s="587"/>
      <c r="AF539" s="587"/>
      <c r="AG539" s="587"/>
      <c r="AH539" s="587"/>
      <c r="AI539" s="587"/>
      <c r="AJ539" s="587"/>
      <c r="AK539" s="587"/>
      <c r="AL539" s="587"/>
      <c r="AM539" s="587"/>
      <c r="AO539" s="587"/>
      <c r="AP539" s="587"/>
      <c r="AQ539" s="587"/>
      <c r="AR539" s="587"/>
      <c r="AS539" s="587"/>
      <c r="AT539" s="587"/>
      <c r="AU539" s="587"/>
      <c r="AV539" s="587"/>
      <c r="AW539" s="587"/>
    </row>
    <row r="540" spans="1:49">
      <c r="A540" s="581">
        <v>25781</v>
      </c>
      <c r="B540" s="594">
        <v>4.7800000000000002E-2</v>
      </c>
      <c r="C540" s="577">
        <v>5.8099999999999999E-2</v>
      </c>
      <c r="D540" s="577">
        <v>5.7000000000000002E-3</v>
      </c>
      <c r="E540" s="577">
        <v>6.7750000000000006E-3</v>
      </c>
      <c r="F540" s="577">
        <v>7.0750000000000006E-3</v>
      </c>
      <c r="G540" s="577">
        <v>6.9250000000000015E-3</v>
      </c>
      <c r="H540" s="577">
        <v>7.4000000000000012E-3</v>
      </c>
      <c r="I540" s="577">
        <f t="shared" si="90"/>
        <v>4.2099999999999999E-2</v>
      </c>
      <c r="J540" s="577">
        <f t="shared" si="83"/>
        <v>4.0875000000000002E-2</v>
      </c>
      <c r="K540" s="577">
        <f t="shared" si="84"/>
        <v>5.0699999999999995E-2</v>
      </c>
      <c r="L540" s="585">
        <f t="shared" si="91"/>
        <v>-0.11624552421452583</v>
      </c>
      <c r="M540" s="585">
        <f t="shared" si="92"/>
        <v>6.8400000000000002E-2</v>
      </c>
      <c r="N540" s="585">
        <f t="shared" si="85"/>
        <v>8.3100000000000021E-2</v>
      </c>
      <c r="O540" s="586">
        <f t="shared" si="93"/>
        <v>-0.18464552421452585</v>
      </c>
      <c r="P540" s="585">
        <f t="shared" si="86"/>
        <v>-0.19934552421452584</v>
      </c>
      <c r="Q540" s="585">
        <f t="shared" si="87"/>
        <v>-1.5673883287852686E-2</v>
      </c>
      <c r="R540" s="585">
        <f t="shared" si="88"/>
        <v>8.8800000000000018E-2</v>
      </c>
      <c r="S540" s="586">
        <f t="shared" si="89"/>
        <v>-0.1044738832878527</v>
      </c>
      <c r="U540" s="587"/>
      <c r="V540" s="587"/>
      <c r="W540" s="587"/>
      <c r="X540" s="587"/>
      <c r="Y540" s="587"/>
      <c r="Z540" s="587"/>
      <c r="AA540" s="587"/>
      <c r="AB540" s="587"/>
      <c r="AC540" s="587"/>
      <c r="AE540" s="587"/>
      <c r="AF540" s="587"/>
      <c r="AG540" s="587"/>
      <c r="AH540" s="587"/>
      <c r="AI540" s="587"/>
      <c r="AJ540" s="587"/>
      <c r="AK540" s="587"/>
      <c r="AL540" s="587"/>
      <c r="AM540" s="587"/>
      <c r="AO540" s="587"/>
      <c r="AP540" s="587"/>
      <c r="AQ540" s="587"/>
      <c r="AR540" s="587"/>
      <c r="AS540" s="587"/>
      <c r="AT540" s="587"/>
      <c r="AU540" s="587"/>
      <c r="AV540" s="587"/>
      <c r="AW540" s="587"/>
    </row>
    <row r="541" spans="1:49">
      <c r="A541" s="581">
        <v>25812</v>
      </c>
      <c r="B541" s="594">
        <v>3.6200000000000003E-2</v>
      </c>
      <c r="C541" s="577">
        <v>-1.14E-2</v>
      </c>
      <c r="D541" s="577">
        <v>5.5999999999999991E-3</v>
      </c>
      <c r="E541" s="577">
        <v>6.7416666666666666E-3</v>
      </c>
      <c r="F541" s="577">
        <v>7.058333333333334E-3</v>
      </c>
      <c r="G541" s="577">
        <v>6.9000000000000008E-3</v>
      </c>
      <c r="H541" s="577">
        <v>7.3499999999999998E-3</v>
      </c>
      <c r="I541" s="577">
        <f t="shared" si="90"/>
        <v>3.0600000000000002E-2</v>
      </c>
      <c r="J541" s="577">
        <f t="shared" ref="J541:J604" si="94">B541-G541</f>
        <v>2.9300000000000003E-2</v>
      </c>
      <c r="K541" s="577">
        <f t="shared" ref="K541:K604" si="95">$C541-H541</f>
        <v>-1.8749999999999999E-2</v>
      </c>
      <c r="L541" s="585">
        <f t="shared" si="91"/>
        <v>-6.2119635591040612E-2</v>
      </c>
      <c r="M541" s="585">
        <f t="shared" si="92"/>
        <v>6.7199999999999982E-2</v>
      </c>
      <c r="N541" s="585">
        <f t="shared" si="85"/>
        <v>8.2800000000000012E-2</v>
      </c>
      <c r="O541" s="586">
        <f t="shared" si="93"/>
        <v>-0.12931963559104059</v>
      </c>
      <c r="P541" s="585">
        <f t="shared" si="86"/>
        <v>-0.14491963559104062</v>
      </c>
      <c r="Q541" s="585">
        <f t="shared" si="87"/>
        <v>1.070294867223609E-2</v>
      </c>
      <c r="R541" s="585">
        <f t="shared" si="88"/>
        <v>8.8200000000000001E-2</v>
      </c>
      <c r="S541" s="586">
        <f t="shared" si="89"/>
        <v>-7.7497051327763911E-2</v>
      </c>
      <c r="U541" s="587"/>
      <c r="V541" s="587"/>
      <c r="W541" s="587"/>
      <c r="X541" s="587"/>
      <c r="Y541" s="587"/>
      <c r="Z541" s="587"/>
      <c r="AA541" s="587"/>
      <c r="AB541" s="587"/>
      <c r="AC541" s="587"/>
      <c r="AE541" s="587"/>
      <c r="AF541" s="587"/>
      <c r="AG541" s="587"/>
      <c r="AH541" s="587"/>
      <c r="AI541" s="587"/>
      <c r="AJ541" s="587"/>
      <c r="AK541" s="587"/>
      <c r="AL541" s="587"/>
      <c r="AM541" s="587"/>
      <c r="AO541" s="587"/>
      <c r="AP541" s="587"/>
      <c r="AQ541" s="587"/>
      <c r="AR541" s="587"/>
      <c r="AS541" s="587"/>
      <c r="AT541" s="587"/>
      <c r="AU541" s="587"/>
      <c r="AV541" s="587"/>
      <c r="AW541" s="587"/>
    </row>
    <row r="542" spans="1:49">
      <c r="A542" s="581">
        <v>25842</v>
      </c>
      <c r="B542" s="594">
        <v>-8.3000000000000001E-3</v>
      </c>
      <c r="C542" s="577">
        <v>-1.4900000000000002E-2</v>
      </c>
      <c r="D542" s="577">
        <v>5.4999999999999997E-3</v>
      </c>
      <c r="E542" s="577">
        <v>6.6916666666666661E-3</v>
      </c>
      <c r="F542" s="577">
        <v>7.0333333333333324E-3</v>
      </c>
      <c r="G542" s="577">
        <v>6.8624999999999988E-3</v>
      </c>
      <c r="H542" s="577">
        <v>7.3000000000000001E-3</v>
      </c>
      <c r="I542" s="577">
        <f t="shared" si="90"/>
        <v>-1.38E-2</v>
      </c>
      <c r="J542" s="577">
        <f t="shared" si="94"/>
        <v>-1.5162499999999999E-2</v>
      </c>
      <c r="K542" s="577">
        <f t="shared" si="95"/>
        <v>-2.2200000000000001E-2</v>
      </c>
      <c r="L542" s="585">
        <f t="shared" si="91"/>
        <v>-0.1107219070806339</v>
      </c>
      <c r="M542" s="585">
        <f t="shared" si="92"/>
        <v>6.6000000000000003E-2</v>
      </c>
      <c r="N542" s="585">
        <f t="shared" si="85"/>
        <v>8.2349999999999979E-2</v>
      </c>
      <c r="O542" s="586">
        <f t="shared" si="93"/>
        <v>-0.1767219070806339</v>
      </c>
      <c r="P542" s="585">
        <f t="shared" si="86"/>
        <v>-0.19307190708063388</v>
      </c>
      <c r="Q542" s="585">
        <f t="shared" si="87"/>
        <v>-7.7937141380792996E-2</v>
      </c>
      <c r="R542" s="585">
        <f t="shared" si="88"/>
        <v>8.7599999999999997E-2</v>
      </c>
      <c r="S542" s="586">
        <f t="shared" si="89"/>
        <v>-0.16553714138079301</v>
      </c>
      <c r="U542" s="587"/>
      <c r="V542" s="587"/>
      <c r="W542" s="587"/>
      <c r="X542" s="587"/>
      <c r="Y542" s="587"/>
      <c r="Z542" s="587"/>
      <c r="AA542" s="587"/>
      <c r="AB542" s="587"/>
      <c r="AC542" s="587"/>
      <c r="AE542" s="587"/>
      <c r="AF542" s="587"/>
      <c r="AG542" s="587"/>
      <c r="AH542" s="587"/>
      <c r="AI542" s="587"/>
      <c r="AJ542" s="587"/>
      <c r="AK542" s="587"/>
      <c r="AL542" s="587"/>
      <c r="AM542" s="587"/>
      <c r="AO542" s="587"/>
      <c r="AP542" s="587"/>
      <c r="AQ542" s="587"/>
      <c r="AR542" s="587"/>
      <c r="AS542" s="587"/>
      <c r="AT542" s="587"/>
      <c r="AU542" s="587"/>
      <c r="AV542" s="587"/>
      <c r="AW542" s="587"/>
    </row>
    <row r="543" spans="1:49">
      <c r="A543" s="581">
        <v>25873</v>
      </c>
      <c r="B543" s="594">
        <v>5.0599999999999999E-2</v>
      </c>
      <c r="C543" s="577">
        <v>9.7500000000000003E-2</v>
      </c>
      <c r="D543" s="577">
        <v>5.7999999999999996E-3</v>
      </c>
      <c r="E543" s="577">
        <v>6.7083333333333335E-3</v>
      </c>
      <c r="F543" s="577">
        <v>7.0166666666666667E-3</v>
      </c>
      <c r="G543" s="577">
        <v>6.8625000000000005E-3</v>
      </c>
      <c r="H543" s="577">
        <v>7.324999999999999E-3</v>
      </c>
      <c r="I543" s="577">
        <f t="shared" si="90"/>
        <v>4.48E-2</v>
      </c>
      <c r="J543" s="577">
        <f t="shared" si="94"/>
        <v>4.3737499999999999E-2</v>
      </c>
      <c r="K543" s="577">
        <f t="shared" si="95"/>
        <v>9.0175000000000005E-2</v>
      </c>
      <c r="L543" s="585">
        <f t="shared" si="91"/>
        <v>-3.712711076874553E-2</v>
      </c>
      <c r="M543" s="585">
        <f t="shared" si="92"/>
        <v>6.9599999999999995E-2</v>
      </c>
      <c r="N543" s="585">
        <f t="shared" si="85"/>
        <v>8.2350000000000007E-2</v>
      </c>
      <c r="O543" s="586">
        <f t="shared" si="93"/>
        <v>-0.10672711076874553</v>
      </c>
      <c r="P543" s="585">
        <f t="shared" si="86"/>
        <v>-0.11947711076874554</v>
      </c>
      <c r="Q543" s="585">
        <f t="shared" si="87"/>
        <v>7.5184856921567622E-2</v>
      </c>
      <c r="R543" s="585">
        <f t="shared" si="88"/>
        <v>8.7899999999999992E-2</v>
      </c>
      <c r="S543" s="586">
        <f t="shared" si="89"/>
        <v>-1.271514307843237E-2</v>
      </c>
      <c r="U543" s="587"/>
      <c r="V543" s="587"/>
      <c r="W543" s="587"/>
      <c r="X543" s="587"/>
      <c r="Y543" s="587"/>
      <c r="Z543" s="587"/>
      <c r="AA543" s="587"/>
      <c r="AB543" s="587"/>
      <c r="AC543" s="587"/>
      <c r="AE543" s="587"/>
      <c r="AF543" s="587"/>
      <c r="AG543" s="587"/>
      <c r="AH543" s="587"/>
      <c r="AI543" s="587"/>
      <c r="AJ543" s="587"/>
      <c r="AK543" s="587"/>
      <c r="AL543" s="587"/>
      <c r="AM543" s="587"/>
      <c r="AO543" s="587"/>
      <c r="AP543" s="587"/>
      <c r="AQ543" s="587"/>
      <c r="AR543" s="587"/>
      <c r="AS543" s="587"/>
      <c r="AT543" s="587"/>
      <c r="AU543" s="587"/>
      <c r="AV543" s="587"/>
      <c r="AW543" s="587"/>
    </row>
    <row r="544" spans="1:49">
      <c r="A544" s="581">
        <v>25903</v>
      </c>
      <c r="B544" s="594">
        <v>5.9700000000000003E-2</v>
      </c>
      <c r="C544" s="577">
        <v>7.350000000000001E-2</v>
      </c>
      <c r="D544" s="577">
        <v>5.3E-3</v>
      </c>
      <c r="E544" s="577">
        <v>6.3666666666666663E-3</v>
      </c>
      <c r="F544" s="577">
        <v>6.7750000000000006E-3</v>
      </c>
      <c r="G544" s="577">
        <v>6.5708333333333339E-3</v>
      </c>
      <c r="H544" s="577">
        <v>7.0666666666666664E-3</v>
      </c>
      <c r="I544" s="577">
        <f t="shared" si="90"/>
        <v>5.4400000000000004E-2</v>
      </c>
      <c r="J544" s="577">
        <f t="shared" si="94"/>
        <v>5.3129166666666672E-2</v>
      </c>
      <c r="K544" s="577">
        <f t="shared" si="95"/>
        <v>6.6433333333333344E-2</v>
      </c>
      <c r="L544" s="585">
        <f t="shared" si="91"/>
        <v>3.8742136535030225E-2</v>
      </c>
      <c r="M544" s="585">
        <f t="shared" si="92"/>
        <v>6.3600000000000004E-2</v>
      </c>
      <c r="N544" s="585">
        <f t="shared" si="85"/>
        <v>7.8850000000000003E-2</v>
      </c>
      <c r="O544" s="586">
        <f t="shared" si="93"/>
        <v>-2.4857863464969779E-2</v>
      </c>
      <c r="P544" s="585">
        <f t="shared" si="86"/>
        <v>-4.0107863464969778E-2</v>
      </c>
      <c r="Q544" s="585">
        <f t="shared" si="87"/>
        <v>0.16551645350429456</v>
      </c>
      <c r="R544" s="585">
        <f t="shared" si="88"/>
        <v>8.48E-2</v>
      </c>
      <c r="S544" s="586">
        <f t="shared" si="89"/>
        <v>8.0716453504294558E-2</v>
      </c>
      <c r="U544" s="587"/>
      <c r="V544" s="587"/>
      <c r="W544" s="587"/>
      <c r="X544" s="587"/>
      <c r="Y544" s="587"/>
      <c r="Z544" s="587"/>
      <c r="AA544" s="587"/>
      <c r="AB544" s="587"/>
      <c r="AC544" s="587"/>
      <c r="AE544" s="587"/>
      <c r="AF544" s="587"/>
      <c r="AG544" s="587"/>
      <c r="AH544" s="587"/>
      <c r="AI544" s="587"/>
      <c r="AJ544" s="587"/>
      <c r="AK544" s="587"/>
      <c r="AL544" s="587"/>
      <c r="AM544" s="587"/>
      <c r="AO544" s="587"/>
      <c r="AP544" s="587"/>
      <c r="AQ544" s="587"/>
      <c r="AR544" s="587"/>
      <c r="AS544" s="587"/>
      <c r="AT544" s="587"/>
      <c r="AU544" s="587"/>
      <c r="AV544" s="587"/>
      <c r="AW544" s="587"/>
    </row>
    <row r="545" spans="1:49">
      <c r="A545" s="581">
        <v>25934</v>
      </c>
      <c r="B545" s="594">
        <v>4.3200000000000002E-2</v>
      </c>
      <c r="C545" s="577">
        <v>2.5700000000000004E-2</v>
      </c>
      <c r="D545" s="577">
        <v>5.1000000000000004E-3</v>
      </c>
      <c r="E545" s="577">
        <v>6.1333333333333344E-3</v>
      </c>
      <c r="F545" s="577">
        <v>6.5833333333333334E-3</v>
      </c>
      <c r="G545" s="577">
        <v>6.3583333333333339E-3</v>
      </c>
      <c r="H545" s="577">
        <v>6.7916666666666672E-3</v>
      </c>
      <c r="I545" s="577">
        <f t="shared" si="90"/>
        <v>3.8100000000000002E-2</v>
      </c>
      <c r="J545" s="577">
        <f t="shared" si="94"/>
        <v>3.6841666666666668E-2</v>
      </c>
      <c r="K545" s="577">
        <f t="shared" si="95"/>
        <v>1.8908333333333336E-2</v>
      </c>
      <c r="L545" s="585">
        <f t="shared" si="91"/>
        <v>0.1705906847070795</v>
      </c>
      <c r="M545" s="585">
        <f t="shared" si="92"/>
        <v>6.1200000000000004E-2</v>
      </c>
      <c r="N545" s="585">
        <f t="shared" si="85"/>
        <v>7.6300000000000007E-2</v>
      </c>
      <c r="O545" s="586">
        <f t="shared" si="93"/>
        <v>0.10939068470707949</v>
      </c>
      <c r="P545" s="585">
        <f t="shared" si="86"/>
        <v>9.4290684707079492E-2</v>
      </c>
      <c r="Q545" s="585">
        <f t="shared" si="87"/>
        <v>0.252194643719865</v>
      </c>
      <c r="R545" s="585">
        <f t="shared" si="88"/>
        <v>8.1500000000000003E-2</v>
      </c>
      <c r="S545" s="586">
        <f t="shared" si="89"/>
        <v>0.17069464371986498</v>
      </c>
      <c r="U545" s="587"/>
      <c r="V545" s="587"/>
      <c r="W545" s="587"/>
      <c r="X545" s="587"/>
      <c r="Y545" s="587"/>
      <c r="Z545" s="587"/>
      <c r="AA545" s="587"/>
      <c r="AB545" s="587"/>
      <c r="AC545" s="587"/>
      <c r="AE545" s="587"/>
      <c r="AF545" s="587"/>
      <c r="AG545" s="587"/>
      <c r="AH545" s="587"/>
      <c r="AI545" s="587"/>
      <c r="AJ545" s="587"/>
      <c r="AK545" s="587"/>
      <c r="AL545" s="587"/>
      <c r="AM545" s="587"/>
      <c r="AO545" s="587"/>
      <c r="AP545" s="587"/>
      <c r="AQ545" s="587"/>
      <c r="AR545" s="587"/>
      <c r="AS545" s="587"/>
      <c r="AT545" s="587"/>
      <c r="AU545" s="587"/>
      <c r="AV545" s="587"/>
      <c r="AW545" s="587"/>
    </row>
    <row r="546" spans="1:49">
      <c r="A546" s="581">
        <v>25965</v>
      </c>
      <c r="B546" s="594">
        <v>1.17E-2</v>
      </c>
      <c r="C546" s="577">
        <v>-2.7699999999999999E-2</v>
      </c>
      <c r="D546" s="577">
        <v>4.5999999999999999E-3</v>
      </c>
      <c r="E546" s="577">
        <v>5.8999999999999999E-3</v>
      </c>
      <c r="F546" s="577">
        <v>6.391666666666667E-3</v>
      </c>
      <c r="G546" s="577">
        <v>6.145833333333333E-3</v>
      </c>
      <c r="H546" s="577">
        <v>6.575000000000001E-3</v>
      </c>
      <c r="I546" s="577">
        <f t="shared" si="90"/>
        <v>7.1000000000000004E-3</v>
      </c>
      <c r="J546" s="577">
        <f t="shared" si="94"/>
        <v>5.5541666666666673E-3</v>
      </c>
      <c r="K546" s="577">
        <f t="shared" si="95"/>
        <v>-3.4275E-2</v>
      </c>
      <c r="L546" s="585">
        <f t="shared" si="91"/>
        <v>0.1216959610893662</v>
      </c>
      <c r="M546" s="585">
        <f t="shared" si="92"/>
        <v>5.5199999999999999E-2</v>
      </c>
      <c r="N546" s="585">
        <f t="shared" si="85"/>
        <v>7.3749999999999996E-2</v>
      </c>
      <c r="O546" s="586">
        <f t="shared" si="93"/>
        <v>6.6495961089366201E-2</v>
      </c>
      <c r="P546" s="585">
        <f t="shared" si="86"/>
        <v>4.7945961089366204E-2</v>
      </c>
      <c r="Q546" s="585">
        <f t="shared" si="87"/>
        <v>0.10151891078333919</v>
      </c>
      <c r="R546" s="585">
        <f t="shared" si="88"/>
        <v>7.8900000000000012E-2</v>
      </c>
      <c r="S546" s="586">
        <f t="shared" si="89"/>
        <v>2.2618910783339177E-2</v>
      </c>
      <c r="U546" s="587"/>
      <c r="V546" s="587"/>
      <c r="W546" s="587"/>
      <c r="X546" s="587"/>
      <c r="Y546" s="587"/>
      <c r="Z546" s="587"/>
      <c r="AA546" s="587"/>
      <c r="AB546" s="587"/>
      <c r="AC546" s="587"/>
      <c r="AE546" s="587"/>
      <c r="AF546" s="587"/>
      <c r="AG546" s="587"/>
      <c r="AH546" s="587"/>
      <c r="AI546" s="587"/>
      <c r="AJ546" s="587"/>
      <c r="AK546" s="587"/>
      <c r="AL546" s="587"/>
      <c r="AM546" s="587"/>
      <c r="AO546" s="587"/>
      <c r="AP546" s="587"/>
      <c r="AQ546" s="587"/>
      <c r="AR546" s="587"/>
      <c r="AS546" s="587"/>
      <c r="AT546" s="587"/>
      <c r="AU546" s="587"/>
      <c r="AV546" s="587"/>
      <c r="AW546" s="587"/>
    </row>
    <row r="547" spans="1:49">
      <c r="A547" s="581">
        <v>25993</v>
      </c>
      <c r="B547" s="594">
        <v>3.9399999999999998E-2</v>
      </c>
      <c r="C547" s="577">
        <v>3.3099999999999997E-2</v>
      </c>
      <c r="D547" s="577">
        <v>5.5999999999999991E-3</v>
      </c>
      <c r="E547" s="577">
        <v>6.0083333333333334E-3</v>
      </c>
      <c r="F547" s="577">
        <v>6.4416666666666667E-3</v>
      </c>
      <c r="G547" s="577">
        <v>6.2250000000000005E-3</v>
      </c>
      <c r="H547" s="577">
        <v>6.7083333333333335E-3</v>
      </c>
      <c r="I547" s="577">
        <f t="shared" si="90"/>
        <v>3.3799999999999997E-2</v>
      </c>
      <c r="J547" s="577">
        <f t="shared" si="94"/>
        <v>3.3174999999999996E-2</v>
      </c>
      <c r="K547" s="577">
        <f t="shared" si="95"/>
        <v>2.6391666666666664E-2</v>
      </c>
      <c r="L547" s="585">
        <f t="shared" si="91"/>
        <v>0.1607833352810506</v>
      </c>
      <c r="M547" s="585">
        <f t="shared" si="92"/>
        <v>6.7199999999999982E-2</v>
      </c>
      <c r="N547" s="585">
        <f t="shared" si="85"/>
        <v>7.4700000000000003E-2</v>
      </c>
      <c r="O547" s="586">
        <f t="shared" si="93"/>
        <v>9.3583335281050617E-2</v>
      </c>
      <c r="P547" s="585">
        <f t="shared" si="86"/>
        <v>8.6083335281050596E-2</v>
      </c>
      <c r="Q547" s="585">
        <f t="shared" si="87"/>
        <v>0.11217668757844756</v>
      </c>
      <c r="R547" s="585">
        <f t="shared" si="88"/>
        <v>8.0500000000000002E-2</v>
      </c>
      <c r="S547" s="586">
        <f t="shared" si="89"/>
        <v>3.1676687578447563E-2</v>
      </c>
      <c r="U547" s="587"/>
      <c r="V547" s="587"/>
      <c r="W547" s="587"/>
      <c r="X547" s="587"/>
      <c r="Y547" s="587"/>
      <c r="Z547" s="587"/>
      <c r="AA547" s="587"/>
      <c r="AB547" s="587"/>
      <c r="AC547" s="587"/>
      <c r="AE547" s="587"/>
      <c r="AF547" s="587"/>
      <c r="AG547" s="587"/>
      <c r="AH547" s="587"/>
      <c r="AI547" s="587"/>
      <c r="AJ547" s="587"/>
      <c r="AK547" s="587"/>
      <c r="AL547" s="587"/>
      <c r="AM547" s="587"/>
      <c r="AO547" s="587"/>
      <c r="AP547" s="587"/>
      <c r="AQ547" s="587"/>
      <c r="AR547" s="587"/>
      <c r="AS547" s="587"/>
      <c r="AT547" s="587"/>
      <c r="AU547" s="587"/>
      <c r="AV547" s="587"/>
      <c r="AW547" s="587"/>
    </row>
    <row r="548" spans="1:49">
      <c r="A548" s="581">
        <v>26024</v>
      </c>
      <c r="B548" s="594">
        <v>3.8899999999999997E-2</v>
      </c>
      <c r="C548" s="577">
        <v>-3.49E-2</v>
      </c>
      <c r="D548" s="577">
        <v>4.7999999999999996E-3</v>
      </c>
      <c r="E548" s="577">
        <v>6.0416666666666665E-3</v>
      </c>
      <c r="F548" s="577">
        <v>6.45E-3</v>
      </c>
      <c r="G548" s="577">
        <v>6.2458333333333324E-3</v>
      </c>
      <c r="H548" s="577">
        <v>6.7250000000000001E-3</v>
      </c>
      <c r="I548" s="577">
        <f t="shared" si="90"/>
        <v>3.4099999999999998E-2</v>
      </c>
      <c r="J548" s="577">
        <f t="shared" si="94"/>
        <v>3.2654166666666665E-2</v>
      </c>
      <c r="K548" s="577">
        <f t="shared" si="95"/>
        <v>-4.1625000000000002E-2</v>
      </c>
      <c r="L548" s="585">
        <f t="shared" si="91"/>
        <v>0.32157567892984407</v>
      </c>
      <c r="M548" s="585">
        <f t="shared" si="92"/>
        <v>5.7599999999999998E-2</v>
      </c>
      <c r="N548" s="585">
        <f t="shared" si="85"/>
        <v>7.4949999999999989E-2</v>
      </c>
      <c r="O548" s="586">
        <f t="shared" si="93"/>
        <v>0.26397567892984408</v>
      </c>
      <c r="P548" s="585">
        <f t="shared" si="86"/>
        <v>0.24662567892984408</v>
      </c>
      <c r="Q548" s="585">
        <f t="shared" si="87"/>
        <v>0.18328929686027973</v>
      </c>
      <c r="R548" s="585">
        <f t="shared" si="88"/>
        <v>8.0699999999999994E-2</v>
      </c>
      <c r="S548" s="586">
        <f t="shared" si="89"/>
        <v>0.10258929686027973</v>
      </c>
      <c r="U548" s="587"/>
      <c r="V548" s="587"/>
      <c r="W548" s="587"/>
      <c r="X548" s="587"/>
      <c r="Y548" s="587"/>
      <c r="Z548" s="587"/>
      <c r="AA548" s="587"/>
      <c r="AB548" s="587"/>
      <c r="AC548" s="587"/>
      <c r="AE548" s="587"/>
      <c r="AF548" s="587"/>
      <c r="AG548" s="587"/>
      <c r="AH548" s="587"/>
      <c r="AI548" s="587"/>
      <c r="AJ548" s="587"/>
      <c r="AK548" s="587"/>
      <c r="AL548" s="587"/>
      <c r="AM548" s="587"/>
      <c r="AO548" s="587"/>
      <c r="AP548" s="587"/>
      <c r="AQ548" s="587"/>
      <c r="AR548" s="587"/>
      <c r="AS548" s="587"/>
      <c r="AT548" s="587"/>
      <c r="AU548" s="587"/>
      <c r="AV548" s="587"/>
      <c r="AW548" s="587"/>
    </row>
    <row r="549" spans="1:49">
      <c r="A549" s="581">
        <v>26054</v>
      </c>
      <c r="B549" s="594">
        <v>-3.9100000000000003E-2</v>
      </c>
      <c r="C549" s="577">
        <v>-3.5100000000000006E-2</v>
      </c>
      <c r="D549" s="577">
        <v>4.7000000000000002E-3</v>
      </c>
      <c r="E549" s="577">
        <v>6.2750000000000002E-3</v>
      </c>
      <c r="F549" s="577">
        <v>6.5333333333333328E-3</v>
      </c>
      <c r="G549" s="577">
        <v>6.4041666666666665E-3</v>
      </c>
      <c r="H549" s="577">
        <v>6.9499999999999996E-3</v>
      </c>
      <c r="I549" s="577">
        <f t="shared" si="90"/>
        <v>-4.3800000000000006E-2</v>
      </c>
      <c r="J549" s="577">
        <f t="shared" si="94"/>
        <v>-4.5504166666666672E-2</v>
      </c>
      <c r="K549" s="577">
        <f t="shared" si="95"/>
        <v>-4.2050000000000004E-2</v>
      </c>
      <c r="L549" s="585">
        <f t="shared" si="91"/>
        <v>0.34780521108436369</v>
      </c>
      <c r="M549" s="585">
        <f t="shared" si="92"/>
        <v>5.6400000000000006E-2</v>
      </c>
      <c r="N549" s="585">
        <f t="shared" si="85"/>
        <v>7.6850000000000002E-2</v>
      </c>
      <c r="O549" s="586">
        <f t="shared" si="93"/>
        <v>0.29140521108436368</v>
      </c>
      <c r="P549" s="585">
        <f t="shared" si="86"/>
        <v>0.27095521108436371</v>
      </c>
      <c r="Q549" s="585">
        <f t="shared" si="87"/>
        <v>0.2037489114817963</v>
      </c>
      <c r="R549" s="585">
        <f t="shared" si="88"/>
        <v>8.3400000000000002E-2</v>
      </c>
      <c r="S549" s="586">
        <f t="shared" si="89"/>
        <v>0.1203489114817963</v>
      </c>
      <c r="U549" s="587"/>
      <c r="V549" s="587"/>
      <c r="W549" s="587"/>
      <c r="X549" s="587"/>
      <c r="Y549" s="587"/>
      <c r="Z549" s="587"/>
      <c r="AA549" s="587"/>
      <c r="AB549" s="587"/>
      <c r="AC549" s="587"/>
      <c r="AE549" s="587"/>
      <c r="AF549" s="587"/>
      <c r="AG549" s="587"/>
      <c r="AH549" s="587"/>
      <c r="AI549" s="587"/>
      <c r="AJ549" s="587"/>
      <c r="AK549" s="587"/>
      <c r="AL549" s="587"/>
      <c r="AM549" s="587"/>
      <c r="AO549" s="587"/>
      <c r="AP549" s="587"/>
      <c r="AQ549" s="587"/>
      <c r="AR549" s="587"/>
      <c r="AS549" s="587"/>
      <c r="AT549" s="587"/>
      <c r="AU549" s="587"/>
      <c r="AV549" s="587"/>
      <c r="AW549" s="587"/>
    </row>
    <row r="550" spans="1:49">
      <c r="A550" s="581">
        <v>26085</v>
      </c>
      <c r="B550" s="594">
        <v>3.3E-3</v>
      </c>
      <c r="C550" s="577">
        <v>3.9800000000000002E-2</v>
      </c>
      <c r="D550" s="577">
        <v>5.5999999999999991E-3</v>
      </c>
      <c r="E550" s="577">
        <v>6.3666666666666663E-3</v>
      </c>
      <c r="F550" s="577">
        <v>6.6333333333333331E-3</v>
      </c>
      <c r="G550" s="577">
        <v>6.4999999999999988E-3</v>
      </c>
      <c r="H550" s="577">
        <v>7.0416666666666657E-3</v>
      </c>
      <c r="I550" s="577">
        <f t="shared" si="90"/>
        <v>-2.2999999999999991E-3</v>
      </c>
      <c r="J550" s="577">
        <f t="shared" si="94"/>
        <v>-3.1999999999999989E-3</v>
      </c>
      <c r="K550" s="577">
        <f t="shared" si="95"/>
        <v>3.2758333333333334E-2</v>
      </c>
      <c r="L550" s="585">
        <f t="shared" si="91"/>
        <v>0.41834798435173282</v>
      </c>
      <c r="M550" s="585">
        <f t="shared" si="92"/>
        <v>6.7199999999999982E-2</v>
      </c>
      <c r="N550" s="585">
        <f t="shared" si="85"/>
        <v>7.7999999999999986E-2</v>
      </c>
      <c r="O550" s="586">
        <f t="shared" si="93"/>
        <v>0.35114798435173283</v>
      </c>
      <c r="P550" s="585">
        <f t="shared" si="86"/>
        <v>0.34034798435173286</v>
      </c>
      <c r="Q550" s="585">
        <f t="shared" si="87"/>
        <v>0.32900628388062403</v>
      </c>
      <c r="R550" s="585">
        <f t="shared" si="88"/>
        <v>8.4499999999999992E-2</v>
      </c>
      <c r="S550" s="586">
        <f t="shared" si="89"/>
        <v>0.24450628388062404</v>
      </c>
      <c r="U550" s="587"/>
      <c r="V550" s="587"/>
      <c r="W550" s="587"/>
      <c r="X550" s="587"/>
      <c r="Y550" s="587"/>
      <c r="Z550" s="587"/>
      <c r="AA550" s="587"/>
      <c r="AB550" s="587"/>
      <c r="AC550" s="587"/>
      <c r="AE550" s="587"/>
      <c r="AF550" s="587"/>
      <c r="AG550" s="587"/>
      <c r="AH550" s="587"/>
      <c r="AI550" s="587"/>
      <c r="AJ550" s="587"/>
      <c r="AK550" s="587"/>
      <c r="AL550" s="587"/>
      <c r="AM550" s="587"/>
      <c r="AO550" s="587"/>
      <c r="AP550" s="587"/>
      <c r="AQ550" s="587"/>
      <c r="AR550" s="587"/>
      <c r="AS550" s="587"/>
      <c r="AT550" s="587"/>
      <c r="AU550" s="587"/>
      <c r="AV550" s="587"/>
      <c r="AW550" s="587"/>
    </row>
    <row r="551" spans="1:49">
      <c r="A551" s="581">
        <v>26115</v>
      </c>
      <c r="B551" s="594">
        <v>-3.8699999999999998E-2</v>
      </c>
      <c r="C551" s="577">
        <v>-2.2499999999999999E-2</v>
      </c>
      <c r="D551" s="577">
        <v>5.1999999999999998E-3</v>
      </c>
      <c r="E551" s="577">
        <v>6.3666666666666663E-3</v>
      </c>
      <c r="F551" s="577">
        <v>6.6333333333333331E-3</v>
      </c>
      <c r="G551" s="577">
        <v>6.4999999999999988E-3</v>
      </c>
      <c r="H551" s="577">
        <v>7.0416666666666657E-3</v>
      </c>
      <c r="I551" s="577">
        <f t="shared" si="90"/>
        <v>-4.3899999999999995E-2</v>
      </c>
      <c r="J551" s="577">
        <f t="shared" si="94"/>
        <v>-4.5199999999999997E-2</v>
      </c>
      <c r="K551" s="577">
        <f t="shared" si="95"/>
        <v>-2.9541666666666664E-2</v>
      </c>
      <c r="L551" s="585">
        <f t="shared" si="91"/>
        <v>0.26609519672887072</v>
      </c>
      <c r="M551" s="585">
        <f t="shared" si="92"/>
        <v>6.2399999999999997E-2</v>
      </c>
      <c r="N551" s="585">
        <f t="shared" si="85"/>
        <v>7.7999999999999986E-2</v>
      </c>
      <c r="O551" s="586">
        <f t="shared" si="93"/>
        <v>0.20369519672887071</v>
      </c>
      <c r="P551" s="585">
        <f t="shared" si="86"/>
        <v>0.18809519672887073</v>
      </c>
      <c r="Q551" s="585">
        <f t="shared" si="87"/>
        <v>0.1839092704759957</v>
      </c>
      <c r="R551" s="585">
        <f t="shared" si="88"/>
        <v>8.4499999999999992E-2</v>
      </c>
      <c r="S551" s="586">
        <f t="shared" si="89"/>
        <v>9.9409270475995709E-2</v>
      </c>
      <c r="U551" s="587"/>
      <c r="V551" s="587"/>
      <c r="W551" s="587"/>
      <c r="X551" s="587"/>
      <c r="Y551" s="587"/>
      <c r="Z551" s="587"/>
      <c r="AA551" s="587"/>
      <c r="AB551" s="587"/>
      <c r="AC551" s="587"/>
      <c r="AE551" s="587"/>
      <c r="AF551" s="587"/>
      <c r="AG551" s="587"/>
      <c r="AH551" s="587"/>
      <c r="AI551" s="587"/>
      <c r="AJ551" s="587"/>
      <c r="AK551" s="587"/>
      <c r="AL551" s="587"/>
      <c r="AM551" s="587"/>
      <c r="AO551" s="587"/>
      <c r="AP551" s="587"/>
      <c r="AQ551" s="587"/>
      <c r="AR551" s="587"/>
      <c r="AS551" s="587"/>
      <c r="AT551" s="587"/>
      <c r="AU551" s="587"/>
      <c r="AV551" s="587"/>
      <c r="AW551" s="587"/>
    </row>
    <row r="552" spans="1:49">
      <c r="A552" s="581">
        <v>26146</v>
      </c>
      <c r="B552" s="594">
        <v>3.8800000000000001E-2</v>
      </c>
      <c r="C552" s="577">
        <v>-2.4699999999999996E-2</v>
      </c>
      <c r="D552" s="577">
        <v>5.4999999999999997E-3</v>
      </c>
      <c r="E552" s="577">
        <v>6.3249999999999999E-3</v>
      </c>
      <c r="F552" s="577">
        <v>6.6083333333333324E-3</v>
      </c>
      <c r="G552" s="577">
        <v>6.4666666666666657E-3</v>
      </c>
      <c r="H552" s="577">
        <v>7.000000000000001E-3</v>
      </c>
      <c r="I552" s="577">
        <f t="shared" si="90"/>
        <v>3.3300000000000003E-2</v>
      </c>
      <c r="J552" s="577">
        <f t="shared" si="94"/>
        <v>3.2333333333333339E-2</v>
      </c>
      <c r="K552" s="577">
        <f t="shared" si="95"/>
        <v>-3.1699999999999999E-2</v>
      </c>
      <c r="L552" s="585">
        <f t="shared" si="91"/>
        <v>0.25522016640766476</v>
      </c>
      <c r="M552" s="585">
        <f t="shared" si="92"/>
        <v>6.6000000000000003E-2</v>
      </c>
      <c r="N552" s="585">
        <f t="shared" ref="N552:N615" si="96">G552*12</f>
        <v>7.7599999999999988E-2</v>
      </c>
      <c r="O552" s="586">
        <f t="shared" si="93"/>
        <v>0.18922016640766476</v>
      </c>
      <c r="P552" s="585">
        <f t="shared" ref="P552:P615" si="97">L552-N552</f>
        <v>0.17762016640766476</v>
      </c>
      <c r="Q552" s="585">
        <f t="shared" ref="Q552:Q615" si="98">((1+C541)*(1+C542)*(1+C543)*(1+C544)*(1+C545)*(1+C546)*(1+C547)*(1+C548)*(1+C549)*(1+C550)*(1+C551)*(1+C552))-1</f>
        <v>9.126425809964922E-2</v>
      </c>
      <c r="R552" s="585">
        <f t="shared" ref="R552:R615" si="99">H552*12</f>
        <v>8.4000000000000019E-2</v>
      </c>
      <c r="S552" s="586">
        <f t="shared" ref="S552:S615" si="100">Q552-R552</f>
        <v>7.2642580996492012E-3</v>
      </c>
      <c r="U552" s="587"/>
      <c r="V552" s="587"/>
      <c r="W552" s="587"/>
      <c r="X552" s="587"/>
      <c r="Y552" s="587"/>
      <c r="Z552" s="587"/>
      <c r="AA552" s="587"/>
      <c r="AB552" s="587"/>
      <c r="AC552" s="587"/>
      <c r="AE552" s="587"/>
      <c r="AF552" s="587"/>
      <c r="AG552" s="587"/>
      <c r="AH552" s="587"/>
      <c r="AI552" s="587"/>
      <c r="AJ552" s="587"/>
      <c r="AK552" s="587"/>
      <c r="AL552" s="587"/>
      <c r="AM552" s="587"/>
      <c r="AO552" s="587"/>
      <c r="AP552" s="587"/>
      <c r="AQ552" s="587"/>
      <c r="AR552" s="587"/>
      <c r="AS552" s="587"/>
      <c r="AT552" s="587"/>
      <c r="AU552" s="587"/>
      <c r="AV552" s="587"/>
      <c r="AW552" s="587"/>
    </row>
    <row r="553" spans="1:49">
      <c r="A553" s="581">
        <v>26177</v>
      </c>
      <c r="B553" s="594">
        <v>-4.4000000000000003E-3</v>
      </c>
      <c r="C553" s="577">
        <v>-1.4600000000000002E-2</v>
      </c>
      <c r="D553" s="577">
        <v>5.0000000000000001E-3</v>
      </c>
      <c r="E553" s="577">
        <v>6.1999999999999998E-3</v>
      </c>
      <c r="F553" s="577">
        <v>6.508333333333333E-3</v>
      </c>
      <c r="G553" s="577">
        <v>6.3541666666666659E-3</v>
      </c>
      <c r="H553" s="577">
        <v>6.8166666666666662E-3</v>
      </c>
      <c r="I553" s="577">
        <f t="shared" si="90"/>
        <v>-9.4000000000000004E-3</v>
      </c>
      <c r="J553" s="577">
        <f t="shared" si="94"/>
        <v>-1.0754166666666665E-2</v>
      </c>
      <c r="K553" s="577">
        <f t="shared" si="95"/>
        <v>-2.1416666666666667E-2</v>
      </c>
      <c r="L553" s="585">
        <f t="shared" si="91"/>
        <v>0.20603860034305232</v>
      </c>
      <c r="M553" s="585">
        <f t="shared" si="92"/>
        <v>0.06</v>
      </c>
      <c r="N553" s="585">
        <f t="shared" si="96"/>
        <v>7.6249999999999984E-2</v>
      </c>
      <c r="O553" s="586">
        <f t="shared" si="93"/>
        <v>0.14603860034305233</v>
      </c>
      <c r="P553" s="585">
        <f t="shared" si="97"/>
        <v>0.12978860034305234</v>
      </c>
      <c r="Q553" s="585">
        <f t="shared" si="98"/>
        <v>8.7731944094066705E-2</v>
      </c>
      <c r="R553" s="585">
        <f t="shared" si="99"/>
        <v>8.1799999999999998E-2</v>
      </c>
      <c r="S553" s="586">
        <f t="shared" si="100"/>
        <v>5.9319440940667073E-3</v>
      </c>
      <c r="U553" s="587"/>
      <c r="V553" s="587"/>
      <c r="W553" s="587"/>
      <c r="X553" s="587"/>
      <c r="Y553" s="587"/>
      <c r="Z553" s="587"/>
      <c r="AA553" s="587"/>
      <c r="AB553" s="587"/>
      <c r="AC553" s="587"/>
      <c r="AE553" s="587"/>
      <c r="AF553" s="587"/>
      <c r="AG553" s="587"/>
      <c r="AH553" s="587"/>
      <c r="AI553" s="587"/>
      <c r="AJ553" s="587"/>
      <c r="AK553" s="587"/>
      <c r="AL553" s="587"/>
      <c r="AM553" s="587"/>
      <c r="AO553" s="587"/>
      <c r="AP553" s="587"/>
      <c r="AQ553" s="587"/>
      <c r="AR553" s="587"/>
      <c r="AS553" s="587"/>
      <c r="AT553" s="587"/>
      <c r="AU553" s="587"/>
      <c r="AV553" s="587"/>
      <c r="AW553" s="587"/>
    </row>
    <row r="554" spans="1:49">
      <c r="A554" s="581">
        <v>26207</v>
      </c>
      <c r="B554" s="594">
        <v>-3.9199999999999999E-2</v>
      </c>
      <c r="C554" s="577">
        <v>1.7000000000000001E-2</v>
      </c>
      <c r="D554" s="577">
        <v>4.7000000000000002E-3</v>
      </c>
      <c r="E554" s="577">
        <v>6.1583333333333334E-3</v>
      </c>
      <c r="F554" s="577">
        <v>6.4083333333333336E-3</v>
      </c>
      <c r="G554" s="577">
        <v>6.2833333333333343E-3</v>
      </c>
      <c r="H554" s="577">
        <v>6.7499999999999991E-3</v>
      </c>
      <c r="I554" s="577">
        <f t="shared" si="90"/>
        <v>-4.3900000000000002E-2</v>
      </c>
      <c r="J554" s="577">
        <f t="shared" si="94"/>
        <v>-4.5483333333333334E-2</v>
      </c>
      <c r="K554" s="577">
        <f t="shared" si="95"/>
        <v>1.0250000000000002E-2</v>
      </c>
      <c r="L554" s="585">
        <f t="shared" si="91"/>
        <v>0.16846010609015272</v>
      </c>
      <c r="M554" s="585">
        <f t="shared" si="92"/>
        <v>5.6400000000000006E-2</v>
      </c>
      <c r="N554" s="585">
        <f t="shared" si="96"/>
        <v>7.5400000000000009E-2</v>
      </c>
      <c r="O554" s="586">
        <f t="shared" si="93"/>
        <v>0.11206010609015271</v>
      </c>
      <c r="P554" s="585">
        <f t="shared" si="97"/>
        <v>9.3060106090152708E-2</v>
      </c>
      <c r="Q554" s="585">
        <f t="shared" si="98"/>
        <v>0.12295542294555473</v>
      </c>
      <c r="R554" s="585">
        <f t="shared" si="99"/>
        <v>8.0999999999999989E-2</v>
      </c>
      <c r="S554" s="586">
        <f t="shared" si="100"/>
        <v>4.1955422945554738E-2</v>
      </c>
      <c r="U554" s="587"/>
      <c r="V554" s="587"/>
      <c r="W554" s="587"/>
      <c r="X554" s="587"/>
      <c r="Y554" s="587"/>
      <c r="Z554" s="587"/>
      <c r="AA554" s="587"/>
      <c r="AB554" s="587"/>
      <c r="AC554" s="587"/>
      <c r="AE554" s="587"/>
      <c r="AF554" s="587"/>
      <c r="AG554" s="587"/>
      <c r="AH554" s="587"/>
      <c r="AI554" s="587"/>
      <c r="AJ554" s="587"/>
      <c r="AK554" s="587"/>
      <c r="AL554" s="587"/>
      <c r="AM554" s="587"/>
      <c r="AO554" s="587"/>
      <c r="AP554" s="587"/>
      <c r="AQ554" s="587"/>
      <c r="AR554" s="587"/>
      <c r="AS554" s="587"/>
      <c r="AT554" s="587"/>
      <c r="AU554" s="587"/>
      <c r="AV554" s="587"/>
      <c r="AW554" s="587"/>
    </row>
    <row r="555" spans="1:49">
      <c r="A555" s="581">
        <v>26238</v>
      </c>
      <c r="B555" s="594">
        <v>2.0000000000000001E-4</v>
      </c>
      <c r="C555" s="577">
        <v>-5.5000000000000005E-3</v>
      </c>
      <c r="D555" s="577">
        <v>5.1000000000000004E-3</v>
      </c>
      <c r="E555" s="577">
        <v>6.0499999999999998E-3</v>
      </c>
      <c r="F555" s="577">
        <v>6.3E-3</v>
      </c>
      <c r="G555" s="577">
        <v>6.1749999999999991E-3</v>
      </c>
      <c r="H555" s="577">
        <v>6.6333333333333331E-3</v>
      </c>
      <c r="I555" s="577">
        <f t="shared" si="90"/>
        <v>-4.9000000000000007E-3</v>
      </c>
      <c r="J555" s="577">
        <f t="shared" si="94"/>
        <v>-5.9749999999999994E-3</v>
      </c>
      <c r="K555" s="577">
        <f t="shared" si="95"/>
        <v>-1.2133333333333333E-2</v>
      </c>
      <c r="L555" s="585">
        <f t="shared" si="91"/>
        <v>0.11240605188594244</v>
      </c>
      <c r="M555" s="585">
        <f t="shared" si="92"/>
        <v>6.1200000000000004E-2</v>
      </c>
      <c r="N555" s="585">
        <f t="shared" si="96"/>
        <v>7.4099999999999985E-2</v>
      </c>
      <c r="O555" s="586">
        <f t="shared" si="93"/>
        <v>5.1206051885942433E-2</v>
      </c>
      <c r="P555" s="585">
        <f t="shared" si="97"/>
        <v>3.8306051885942452E-2</v>
      </c>
      <c r="Q555" s="585">
        <f t="shared" si="98"/>
        <v>1.7566440199867195E-2</v>
      </c>
      <c r="R555" s="585">
        <f t="shared" si="99"/>
        <v>7.9600000000000004E-2</v>
      </c>
      <c r="S555" s="586">
        <f t="shared" si="100"/>
        <v>-6.2033559800132809E-2</v>
      </c>
      <c r="U555" s="587"/>
      <c r="V555" s="587"/>
      <c r="W555" s="587"/>
      <c r="X555" s="587"/>
      <c r="Y555" s="587"/>
      <c r="Z555" s="587"/>
      <c r="AA555" s="587"/>
      <c r="AB555" s="587"/>
      <c r="AC555" s="587"/>
      <c r="AE555" s="587"/>
      <c r="AF555" s="587"/>
      <c r="AG555" s="587"/>
      <c r="AH555" s="587"/>
      <c r="AI555" s="587"/>
      <c r="AJ555" s="587"/>
      <c r="AK555" s="587"/>
      <c r="AL555" s="587"/>
      <c r="AM555" s="587"/>
      <c r="AO555" s="587"/>
      <c r="AP555" s="587"/>
      <c r="AQ555" s="587"/>
      <c r="AR555" s="587"/>
      <c r="AS555" s="587"/>
      <c r="AT555" s="587"/>
      <c r="AU555" s="587"/>
      <c r="AV555" s="587"/>
      <c r="AW555" s="587"/>
    </row>
    <row r="556" spans="1:49">
      <c r="A556" s="581">
        <v>26268</v>
      </c>
      <c r="B556" s="594">
        <v>8.8800000000000004E-2</v>
      </c>
      <c r="C556" s="577">
        <v>8.0600000000000005E-2</v>
      </c>
      <c r="D556" s="577">
        <v>5.0000000000000001E-3</v>
      </c>
      <c r="E556" s="577">
        <v>6.0416666666666665E-3</v>
      </c>
      <c r="F556" s="577">
        <v>6.3083333333333333E-3</v>
      </c>
      <c r="G556" s="577">
        <v>6.1749999999999991E-3</v>
      </c>
      <c r="H556" s="577">
        <v>6.5833333333333334E-3</v>
      </c>
      <c r="I556" s="577">
        <f t="shared" si="90"/>
        <v>8.3799999999999999E-2</v>
      </c>
      <c r="J556" s="577">
        <f t="shared" si="94"/>
        <v>8.2625000000000004E-2</v>
      </c>
      <c r="K556" s="577">
        <f t="shared" si="95"/>
        <v>7.4016666666666675E-2</v>
      </c>
      <c r="L556" s="585">
        <f t="shared" si="91"/>
        <v>0.14295339180278721</v>
      </c>
      <c r="M556" s="585">
        <f t="shared" si="92"/>
        <v>0.06</v>
      </c>
      <c r="N556" s="585">
        <f t="shared" si="96"/>
        <v>7.4099999999999985E-2</v>
      </c>
      <c r="O556" s="586">
        <f t="shared" si="93"/>
        <v>8.2953391802787213E-2</v>
      </c>
      <c r="P556" s="585">
        <f t="shared" si="97"/>
        <v>6.8853391802787225E-2</v>
      </c>
      <c r="Q556" s="585">
        <f t="shared" si="98"/>
        <v>2.4296502356754734E-2</v>
      </c>
      <c r="R556" s="585">
        <f t="shared" si="99"/>
        <v>7.9000000000000001E-2</v>
      </c>
      <c r="S556" s="586">
        <f t="shared" si="100"/>
        <v>-5.4703497643245266E-2</v>
      </c>
      <c r="U556" s="587"/>
      <c r="V556" s="587"/>
      <c r="W556" s="587"/>
      <c r="X556" s="587"/>
      <c r="Y556" s="587"/>
      <c r="Z556" s="587"/>
      <c r="AA556" s="587"/>
      <c r="AB556" s="587"/>
      <c r="AC556" s="587"/>
      <c r="AE556" s="587"/>
      <c r="AF556" s="587"/>
      <c r="AG556" s="587"/>
      <c r="AH556" s="587"/>
      <c r="AI556" s="587"/>
      <c r="AJ556" s="587"/>
      <c r="AK556" s="587"/>
      <c r="AL556" s="587"/>
      <c r="AM556" s="587"/>
      <c r="AO556" s="587"/>
      <c r="AP556" s="587"/>
      <c r="AQ556" s="587"/>
      <c r="AR556" s="587"/>
      <c r="AS556" s="587"/>
      <c r="AT556" s="587"/>
      <c r="AU556" s="587"/>
      <c r="AV556" s="587"/>
      <c r="AW556" s="587"/>
    </row>
    <row r="557" spans="1:49">
      <c r="A557" s="581">
        <v>26299</v>
      </c>
      <c r="B557" s="594">
        <v>2.06E-2</v>
      </c>
      <c r="C557" s="577">
        <v>-7.4000000000000012E-3</v>
      </c>
      <c r="D557" s="577">
        <v>5.0000000000000001E-3</v>
      </c>
      <c r="E557" s="577">
        <v>5.9916666666666677E-3</v>
      </c>
      <c r="F557" s="577">
        <v>6.266666666666666E-3</v>
      </c>
      <c r="G557" s="577">
        <v>6.1291666666666664E-3</v>
      </c>
      <c r="H557" s="577">
        <v>6.4916666666666664E-3</v>
      </c>
      <c r="I557" s="577">
        <f t="shared" si="90"/>
        <v>1.5599999999999999E-2</v>
      </c>
      <c r="J557" s="577">
        <f t="shared" si="94"/>
        <v>1.4470833333333334E-2</v>
      </c>
      <c r="K557" s="577">
        <f t="shared" si="95"/>
        <v>-1.3891666666666667E-2</v>
      </c>
      <c r="L557" s="585">
        <f t="shared" si="91"/>
        <v>0.11819232330705987</v>
      </c>
      <c r="M557" s="585">
        <f t="shared" si="92"/>
        <v>0.06</v>
      </c>
      <c r="N557" s="585">
        <f t="shared" si="96"/>
        <v>7.3550000000000004E-2</v>
      </c>
      <c r="O557" s="586">
        <f t="shared" si="93"/>
        <v>5.8192323307059868E-2</v>
      </c>
      <c r="P557" s="585">
        <f t="shared" si="97"/>
        <v>4.4642323307059861E-2</v>
      </c>
      <c r="Q557" s="585">
        <f t="shared" si="98"/>
        <v>-8.7582058698308929E-3</v>
      </c>
      <c r="R557" s="585">
        <f t="shared" si="99"/>
        <v>7.7899999999999997E-2</v>
      </c>
      <c r="S557" s="586">
        <f t="shared" si="100"/>
        <v>-8.665820586983089E-2</v>
      </c>
      <c r="U557" s="587"/>
      <c r="V557" s="587"/>
      <c r="W557" s="587"/>
      <c r="X557" s="587"/>
      <c r="Y557" s="587"/>
      <c r="Z557" s="587"/>
      <c r="AA557" s="587"/>
      <c r="AB557" s="587"/>
      <c r="AC557" s="587"/>
      <c r="AE557" s="587"/>
      <c r="AF557" s="587"/>
      <c r="AG557" s="587"/>
      <c r="AH557" s="587"/>
      <c r="AI557" s="587"/>
      <c r="AJ557" s="587"/>
      <c r="AK557" s="587"/>
      <c r="AL557" s="587"/>
      <c r="AM557" s="587"/>
      <c r="AO557" s="587"/>
      <c r="AP557" s="587"/>
      <c r="AQ557" s="587"/>
      <c r="AR557" s="587"/>
      <c r="AS557" s="587"/>
      <c r="AT557" s="587"/>
      <c r="AU557" s="587"/>
      <c r="AV557" s="587"/>
      <c r="AW557" s="587"/>
    </row>
    <row r="558" spans="1:49">
      <c r="A558" s="581">
        <v>26330</v>
      </c>
      <c r="B558" s="594">
        <v>2.7699999999999999E-2</v>
      </c>
      <c r="C558" s="577">
        <v>-2.4E-2</v>
      </c>
      <c r="D558" s="577">
        <v>4.7000000000000002E-3</v>
      </c>
      <c r="E558" s="577">
        <v>6.0583333333333331E-3</v>
      </c>
      <c r="F558" s="577">
        <v>6.266666666666666E-3</v>
      </c>
      <c r="G558" s="577">
        <v>6.1624999999999996E-3</v>
      </c>
      <c r="H558" s="577">
        <v>6.4833333333333331E-3</v>
      </c>
      <c r="I558" s="577">
        <f t="shared" si="90"/>
        <v>2.3E-2</v>
      </c>
      <c r="J558" s="577">
        <f t="shared" si="94"/>
        <v>2.1537500000000001E-2</v>
      </c>
      <c r="K558" s="577">
        <f t="shared" si="95"/>
        <v>-3.0483333333333335E-2</v>
      </c>
      <c r="L558" s="585">
        <f t="shared" si="91"/>
        <v>0.13587649566340398</v>
      </c>
      <c r="M558" s="585">
        <f t="shared" si="92"/>
        <v>5.6400000000000006E-2</v>
      </c>
      <c r="N558" s="585">
        <f t="shared" si="96"/>
        <v>7.3949999999999988E-2</v>
      </c>
      <c r="O558" s="586">
        <f t="shared" si="93"/>
        <v>7.9476495663403979E-2</v>
      </c>
      <c r="P558" s="585">
        <f t="shared" si="97"/>
        <v>6.1926495663403996E-2</v>
      </c>
      <c r="Q558" s="585">
        <f t="shared" si="98"/>
        <v>-4.9861245798156206E-3</v>
      </c>
      <c r="R558" s="585">
        <f t="shared" si="99"/>
        <v>7.7799999999999994E-2</v>
      </c>
      <c r="S558" s="586">
        <f t="shared" si="100"/>
        <v>-8.2786124579815615E-2</v>
      </c>
      <c r="U558" s="587"/>
      <c r="V558" s="587"/>
      <c r="W558" s="587"/>
      <c r="X558" s="587"/>
      <c r="Y558" s="587"/>
      <c r="Z558" s="587"/>
      <c r="AA558" s="587"/>
      <c r="AB558" s="587"/>
      <c r="AC558" s="587"/>
      <c r="AE558" s="587"/>
      <c r="AF558" s="587"/>
      <c r="AG558" s="587"/>
      <c r="AH558" s="587"/>
      <c r="AI558" s="587"/>
      <c r="AJ558" s="587"/>
      <c r="AK558" s="587"/>
      <c r="AL558" s="587"/>
      <c r="AM558" s="587"/>
      <c r="AO558" s="587"/>
      <c r="AP558" s="587"/>
      <c r="AQ558" s="587"/>
      <c r="AR558" s="587"/>
      <c r="AS558" s="587"/>
      <c r="AT558" s="587"/>
      <c r="AU558" s="587"/>
      <c r="AV558" s="587"/>
      <c r="AW558" s="587"/>
    </row>
    <row r="559" spans="1:49">
      <c r="A559" s="581">
        <v>26359</v>
      </c>
      <c r="B559" s="594">
        <v>8.3000000000000001E-3</v>
      </c>
      <c r="C559" s="577">
        <v>-3.5999999999999999E-3</v>
      </c>
      <c r="D559" s="577">
        <v>4.8999999999999998E-3</v>
      </c>
      <c r="E559" s="577">
        <v>6.0333333333333341E-3</v>
      </c>
      <c r="F559" s="577">
        <v>6.2750000000000002E-3</v>
      </c>
      <c r="G559" s="577">
        <v>6.1541666666666672E-3</v>
      </c>
      <c r="H559" s="577">
        <v>6.4750000000000007E-3</v>
      </c>
      <c r="I559" s="577">
        <f t="shared" si="90"/>
        <v>3.4000000000000002E-3</v>
      </c>
      <c r="J559" s="577">
        <f t="shared" si="94"/>
        <v>2.1458333333333329E-3</v>
      </c>
      <c r="K559" s="577">
        <f t="shared" si="95"/>
        <v>-1.0075000000000001E-2</v>
      </c>
      <c r="L559" s="585">
        <f t="shared" si="91"/>
        <v>0.1018898119851932</v>
      </c>
      <c r="M559" s="585">
        <f t="shared" si="92"/>
        <v>5.8799999999999998E-2</v>
      </c>
      <c r="N559" s="585">
        <f t="shared" si="96"/>
        <v>7.3849999999999999E-2</v>
      </c>
      <c r="O559" s="586">
        <f t="shared" si="93"/>
        <v>4.3089811985193203E-2</v>
      </c>
      <c r="P559" s="585">
        <f t="shared" si="97"/>
        <v>2.8039811985193203E-2</v>
      </c>
      <c r="Q559" s="585">
        <f t="shared" si="98"/>
        <v>-4.0333147353913801E-2</v>
      </c>
      <c r="R559" s="585">
        <f t="shared" si="99"/>
        <v>7.7700000000000005E-2</v>
      </c>
      <c r="S559" s="586">
        <f t="shared" si="100"/>
        <v>-0.11803314735391381</v>
      </c>
      <c r="U559" s="587"/>
      <c r="V559" s="587"/>
      <c r="W559" s="587"/>
      <c r="X559" s="587"/>
      <c r="Y559" s="587"/>
      <c r="Z559" s="587"/>
      <c r="AA559" s="587"/>
      <c r="AB559" s="587"/>
      <c r="AC559" s="587"/>
      <c r="AE559" s="587"/>
      <c r="AF559" s="587"/>
      <c r="AG559" s="587"/>
      <c r="AH559" s="587"/>
      <c r="AI559" s="587"/>
      <c r="AJ559" s="587"/>
      <c r="AK559" s="587"/>
      <c r="AL559" s="587"/>
      <c r="AM559" s="587"/>
      <c r="AO559" s="587"/>
      <c r="AP559" s="587"/>
      <c r="AQ559" s="587"/>
      <c r="AR559" s="587"/>
      <c r="AS559" s="587"/>
      <c r="AT559" s="587"/>
      <c r="AU559" s="587"/>
      <c r="AV559" s="587"/>
      <c r="AW559" s="587"/>
    </row>
    <row r="560" spans="1:49">
      <c r="A560" s="581">
        <v>26390</v>
      </c>
      <c r="B560" s="594">
        <v>6.7999999999999996E-3</v>
      </c>
      <c r="C560" s="577">
        <v>-2.7700000000000006E-2</v>
      </c>
      <c r="D560" s="577">
        <v>4.7999999999999996E-3</v>
      </c>
      <c r="E560" s="577">
        <v>6.083333333333333E-3</v>
      </c>
      <c r="F560" s="577">
        <v>6.3083333333333333E-3</v>
      </c>
      <c r="G560" s="577">
        <v>6.1958333333333336E-3</v>
      </c>
      <c r="H560" s="577">
        <v>6.5166666666666671E-3</v>
      </c>
      <c r="I560" s="577">
        <f t="shared" si="90"/>
        <v>2E-3</v>
      </c>
      <c r="J560" s="577">
        <f t="shared" si="94"/>
        <v>6.0416666666666605E-4</v>
      </c>
      <c r="K560" s="577">
        <f t="shared" si="95"/>
        <v>-3.4216666666666673E-2</v>
      </c>
      <c r="L560" s="585">
        <f t="shared" si="91"/>
        <v>6.7843548663675257E-2</v>
      </c>
      <c r="M560" s="585">
        <f t="shared" si="92"/>
        <v>5.7599999999999998E-2</v>
      </c>
      <c r="N560" s="585">
        <f t="shared" si="96"/>
        <v>7.4349999999999999E-2</v>
      </c>
      <c r="O560" s="586">
        <f t="shared" si="93"/>
        <v>1.0243548663675259E-2</v>
      </c>
      <c r="P560" s="585">
        <f t="shared" si="97"/>
        <v>-6.5064513363247423E-3</v>
      </c>
      <c r="Q560" s="585">
        <f t="shared" si="98"/>
        <v>-3.3173680626060187E-2</v>
      </c>
      <c r="R560" s="585">
        <f t="shared" si="99"/>
        <v>7.8200000000000006E-2</v>
      </c>
      <c r="S560" s="586">
        <f t="shared" si="100"/>
        <v>-0.11137368062606019</v>
      </c>
      <c r="U560" s="587"/>
      <c r="V560" s="587"/>
      <c r="W560" s="587"/>
      <c r="X560" s="587"/>
      <c r="Y560" s="587"/>
      <c r="Z560" s="587"/>
      <c r="AA560" s="587"/>
      <c r="AB560" s="587"/>
      <c r="AC560" s="587"/>
      <c r="AE560" s="587"/>
      <c r="AF560" s="587"/>
      <c r="AG560" s="587"/>
      <c r="AH560" s="587"/>
      <c r="AI560" s="587"/>
      <c r="AJ560" s="587"/>
      <c r="AK560" s="587"/>
      <c r="AL560" s="587"/>
      <c r="AM560" s="587"/>
      <c r="AO560" s="587"/>
      <c r="AP560" s="587"/>
      <c r="AQ560" s="587"/>
      <c r="AR560" s="587"/>
      <c r="AS560" s="587"/>
      <c r="AT560" s="587"/>
      <c r="AU560" s="587"/>
      <c r="AV560" s="587"/>
      <c r="AW560" s="587"/>
    </row>
    <row r="561" spans="1:49">
      <c r="A561" s="581">
        <v>26420</v>
      </c>
      <c r="B561" s="594">
        <v>1.9699999999999999E-2</v>
      </c>
      <c r="C561" s="577">
        <v>-1.7000000000000001E-3</v>
      </c>
      <c r="D561" s="577">
        <v>5.4999999999999997E-3</v>
      </c>
      <c r="E561" s="577">
        <v>6.083333333333333E-3</v>
      </c>
      <c r="F561" s="577">
        <v>6.3E-3</v>
      </c>
      <c r="G561" s="577">
        <v>6.1916666666666665E-3</v>
      </c>
      <c r="H561" s="577">
        <v>6.5333333333333328E-3</v>
      </c>
      <c r="I561" s="577">
        <f t="shared" si="90"/>
        <v>1.4199999999999999E-2</v>
      </c>
      <c r="J561" s="577">
        <f t="shared" si="94"/>
        <v>1.3508333333333332E-2</v>
      </c>
      <c r="K561" s="577">
        <f t="shared" si="95"/>
        <v>-8.2333333333333321E-3</v>
      </c>
      <c r="L561" s="585">
        <f t="shared" si="91"/>
        <v>0.13318770587194284</v>
      </c>
      <c r="M561" s="585">
        <f t="shared" si="92"/>
        <v>6.6000000000000003E-2</v>
      </c>
      <c r="N561" s="585">
        <f t="shared" si="96"/>
        <v>7.4300000000000005E-2</v>
      </c>
      <c r="O561" s="586">
        <f t="shared" si="93"/>
        <v>6.7187705871942838E-2</v>
      </c>
      <c r="P561" s="585">
        <f t="shared" si="97"/>
        <v>5.8887705871942836E-2</v>
      </c>
      <c r="Q561" s="585">
        <f t="shared" si="98"/>
        <v>2.9299889211786834E-4</v>
      </c>
      <c r="R561" s="585">
        <f t="shared" si="99"/>
        <v>7.8399999999999997E-2</v>
      </c>
      <c r="S561" s="586">
        <f t="shared" si="100"/>
        <v>-7.8107001107882129E-2</v>
      </c>
      <c r="U561" s="587"/>
      <c r="V561" s="587"/>
      <c r="W561" s="587"/>
      <c r="X561" s="587"/>
      <c r="Y561" s="587"/>
      <c r="Z561" s="587"/>
      <c r="AA561" s="587"/>
      <c r="AB561" s="587"/>
      <c r="AC561" s="587"/>
      <c r="AE561" s="587"/>
      <c r="AF561" s="587"/>
      <c r="AG561" s="587"/>
      <c r="AH561" s="587"/>
      <c r="AI561" s="587"/>
      <c r="AJ561" s="587"/>
      <c r="AK561" s="587"/>
      <c r="AL561" s="587"/>
      <c r="AM561" s="587"/>
      <c r="AO561" s="587"/>
      <c r="AP561" s="587"/>
      <c r="AQ561" s="587"/>
      <c r="AR561" s="587"/>
      <c r="AS561" s="587"/>
      <c r="AT561" s="587"/>
      <c r="AU561" s="587"/>
      <c r="AV561" s="587"/>
      <c r="AW561" s="587"/>
    </row>
    <row r="562" spans="1:49">
      <c r="A562" s="581">
        <v>26451</v>
      </c>
      <c r="B562" s="594">
        <v>-1.9400000000000001E-2</v>
      </c>
      <c r="C562" s="577">
        <v>-2.1000000000000001E-2</v>
      </c>
      <c r="D562" s="577">
        <v>4.8999999999999998E-3</v>
      </c>
      <c r="E562" s="577">
        <v>6.025E-3</v>
      </c>
      <c r="F562" s="577">
        <v>6.2583333333333336E-3</v>
      </c>
      <c r="G562" s="577">
        <v>6.1416666666666677E-3</v>
      </c>
      <c r="H562" s="577">
        <v>6.4750000000000007E-3</v>
      </c>
      <c r="I562" s="577">
        <f t="shared" si="90"/>
        <v>-2.4300000000000002E-2</v>
      </c>
      <c r="J562" s="577">
        <f t="shared" si="94"/>
        <v>-2.5541666666666667E-2</v>
      </c>
      <c r="K562" s="577">
        <f t="shared" si="95"/>
        <v>-2.7475000000000003E-2</v>
      </c>
      <c r="L562" s="585">
        <f t="shared" si="91"/>
        <v>0.10754895283367594</v>
      </c>
      <c r="M562" s="585">
        <f t="shared" si="92"/>
        <v>5.8799999999999998E-2</v>
      </c>
      <c r="N562" s="585">
        <f t="shared" si="96"/>
        <v>7.3700000000000015E-2</v>
      </c>
      <c r="O562" s="586">
        <f t="shared" si="93"/>
        <v>4.8748952833675939E-2</v>
      </c>
      <c r="P562" s="585">
        <f t="shared" si="97"/>
        <v>3.3848952833675922E-2</v>
      </c>
      <c r="Q562" s="585">
        <f t="shared" si="98"/>
        <v>-5.8196916796130593E-2</v>
      </c>
      <c r="R562" s="585">
        <f t="shared" si="99"/>
        <v>7.7700000000000005E-2</v>
      </c>
      <c r="S562" s="586">
        <f t="shared" si="100"/>
        <v>-0.13589691679613058</v>
      </c>
      <c r="U562" s="587"/>
      <c r="V562" s="587"/>
      <c r="W562" s="587"/>
      <c r="X562" s="587"/>
      <c r="Y562" s="587"/>
      <c r="Z562" s="587"/>
      <c r="AA562" s="587"/>
      <c r="AB562" s="587"/>
      <c r="AC562" s="587"/>
      <c r="AE562" s="587"/>
      <c r="AF562" s="587"/>
      <c r="AG562" s="587"/>
      <c r="AH562" s="587"/>
      <c r="AI562" s="587"/>
      <c r="AJ562" s="587"/>
      <c r="AK562" s="587"/>
      <c r="AL562" s="587"/>
      <c r="AM562" s="587"/>
      <c r="AO562" s="587"/>
      <c r="AP562" s="587"/>
      <c r="AQ562" s="587"/>
      <c r="AR562" s="587"/>
      <c r="AS562" s="587"/>
      <c r="AT562" s="587"/>
      <c r="AU562" s="587"/>
      <c r="AV562" s="587"/>
      <c r="AW562" s="587"/>
    </row>
    <row r="563" spans="1:49">
      <c r="A563" s="581">
        <v>26481</v>
      </c>
      <c r="B563" s="594">
        <v>4.7999999999999996E-3</v>
      </c>
      <c r="C563" s="577">
        <v>-1.4000000000000002E-3</v>
      </c>
      <c r="D563" s="577">
        <v>5.1000000000000004E-3</v>
      </c>
      <c r="E563" s="577">
        <v>6.0083333333333334E-3</v>
      </c>
      <c r="F563" s="577">
        <v>6.2500000000000003E-3</v>
      </c>
      <c r="G563" s="577">
        <v>6.1291666666666664E-3</v>
      </c>
      <c r="H563" s="577">
        <v>6.5166666666666671E-3</v>
      </c>
      <c r="I563" s="577">
        <f t="shared" si="90"/>
        <v>-3.0000000000000079E-4</v>
      </c>
      <c r="J563" s="577">
        <f t="shared" si="94"/>
        <v>-1.3291666666666669E-3</v>
      </c>
      <c r="K563" s="577">
        <f t="shared" si="95"/>
        <v>-7.9166666666666673E-3</v>
      </c>
      <c r="L563" s="585">
        <f t="shared" si="91"/>
        <v>0.1576668967099526</v>
      </c>
      <c r="M563" s="585">
        <f t="shared" si="92"/>
        <v>6.1200000000000004E-2</v>
      </c>
      <c r="N563" s="585">
        <f t="shared" si="96"/>
        <v>7.3550000000000004E-2</v>
      </c>
      <c r="O563" s="586">
        <f t="shared" si="93"/>
        <v>9.6466896709952593E-2</v>
      </c>
      <c r="P563" s="585">
        <f t="shared" si="97"/>
        <v>8.4116896709952593E-2</v>
      </c>
      <c r="Q563" s="585">
        <f t="shared" si="98"/>
        <v>-3.7867458938737664E-2</v>
      </c>
      <c r="R563" s="585">
        <f t="shared" si="99"/>
        <v>7.8200000000000006E-2</v>
      </c>
      <c r="S563" s="586">
        <f t="shared" si="100"/>
        <v>-0.11606745893873767</v>
      </c>
      <c r="U563" s="587"/>
      <c r="V563" s="587"/>
      <c r="W563" s="587"/>
      <c r="X563" s="587"/>
      <c r="Y563" s="587"/>
      <c r="Z563" s="587"/>
      <c r="AA563" s="587"/>
      <c r="AB563" s="587"/>
      <c r="AC563" s="587"/>
      <c r="AE563" s="587"/>
      <c r="AF563" s="587"/>
      <c r="AG563" s="587"/>
      <c r="AH563" s="587"/>
      <c r="AI563" s="587"/>
      <c r="AJ563" s="587"/>
      <c r="AK563" s="587"/>
      <c r="AL563" s="587"/>
      <c r="AM563" s="587"/>
      <c r="AO563" s="587"/>
      <c r="AP563" s="587"/>
      <c r="AQ563" s="587"/>
      <c r="AR563" s="587"/>
      <c r="AS563" s="587"/>
      <c r="AT563" s="587"/>
      <c r="AU563" s="587"/>
      <c r="AV563" s="587"/>
      <c r="AW563" s="587"/>
    </row>
    <row r="564" spans="1:49">
      <c r="A564" s="581">
        <v>26512</v>
      </c>
      <c r="B564" s="594">
        <v>3.6900000000000002E-2</v>
      </c>
      <c r="C564" s="577">
        <v>5.74E-2</v>
      </c>
      <c r="D564" s="577">
        <v>4.8999999999999998E-3</v>
      </c>
      <c r="E564" s="577">
        <v>5.9916666666666677E-3</v>
      </c>
      <c r="F564" s="577">
        <v>6.1916666666666665E-3</v>
      </c>
      <c r="G564" s="577">
        <v>6.0916666666666662E-3</v>
      </c>
      <c r="H564" s="577">
        <v>6.3666666666666672E-3</v>
      </c>
      <c r="I564" s="577">
        <f t="shared" si="90"/>
        <v>3.2000000000000001E-2</v>
      </c>
      <c r="J564" s="577">
        <f t="shared" si="94"/>
        <v>3.0808333333333337E-2</v>
      </c>
      <c r="K564" s="577">
        <f t="shared" si="95"/>
        <v>5.1033333333333333E-2</v>
      </c>
      <c r="L564" s="585">
        <f t="shared" si="91"/>
        <v>0.1555494851738064</v>
      </c>
      <c r="M564" s="585">
        <f t="shared" si="92"/>
        <v>5.8799999999999998E-2</v>
      </c>
      <c r="N564" s="585">
        <f t="shared" si="96"/>
        <v>7.3099999999999998E-2</v>
      </c>
      <c r="O564" s="586">
        <f t="shared" si="93"/>
        <v>9.674948517380641E-2</v>
      </c>
      <c r="P564" s="585">
        <f t="shared" si="97"/>
        <v>8.2449485173806403E-2</v>
      </c>
      <c r="Q564" s="585">
        <f t="shared" si="98"/>
        <v>4.3124114547502312E-2</v>
      </c>
      <c r="R564" s="585">
        <f t="shared" si="99"/>
        <v>7.640000000000001E-2</v>
      </c>
      <c r="S564" s="586">
        <f t="shared" si="100"/>
        <v>-3.3275885452497697E-2</v>
      </c>
      <c r="U564" s="587"/>
      <c r="V564" s="587"/>
      <c r="W564" s="587"/>
      <c r="X564" s="587"/>
      <c r="Y564" s="587"/>
      <c r="Z564" s="587"/>
      <c r="AA564" s="587"/>
      <c r="AB564" s="587"/>
      <c r="AC564" s="587"/>
      <c r="AE564" s="587"/>
      <c r="AF564" s="587"/>
      <c r="AG564" s="587"/>
      <c r="AH564" s="587"/>
      <c r="AI564" s="587"/>
      <c r="AJ564" s="587"/>
      <c r="AK564" s="587"/>
      <c r="AL564" s="587"/>
      <c r="AM564" s="587"/>
      <c r="AO564" s="587"/>
      <c r="AP564" s="587"/>
      <c r="AQ564" s="587"/>
      <c r="AR564" s="587"/>
      <c r="AS564" s="587"/>
      <c r="AT564" s="587"/>
      <c r="AU564" s="587"/>
      <c r="AV564" s="587"/>
      <c r="AW564" s="587"/>
    </row>
    <row r="565" spans="1:49">
      <c r="A565" s="581">
        <v>26543</v>
      </c>
      <c r="B565" s="594">
        <v>-2.5000000000000001E-3</v>
      </c>
      <c r="C565" s="577">
        <v>2.7000000000000001E-3</v>
      </c>
      <c r="D565" s="577">
        <v>4.7000000000000002E-3</v>
      </c>
      <c r="E565" s="577">
        <v>6.0166666666666667E-3</v>
      </c>
      <c r="F565" s="577">
        <v>6.1750000000000008E-3</v>
      </c>
      <c r="G565" s="577">
        <v>6.0958333333333333E-3</v>
      </c>
      <c r="H565" s="577">
        <v>6.3416666666666665E-3</v>
      </c>
      <c r="I565" s="577">
        <f t="shared" si="90"/>
        <v>-7.1999999999999998E-3</v>
      </c>
      <c r="J565" s="577">
        <f t="shared" si="94"/>
        <v>-8.5958333333333338E-3</v>
      </c>
      <c r="K565" s="577">
        <f t="shared" si="95"/>
        <v>-3.6416666666666663E-3</v>
      </c>
      <c r="L565" s="585">
        <f t="shared" si="91"/>
        <v>0.15775473228291648</v>
      </c>
      <c r="M565" s="585">
        <f t="shared" si="92"/>
        <v>5.6400000000000006E-2</v>
      </c>
      <c r="N565" s="585">
        <f t="shared" si="96"/>
        <v>7.3149999999999993E-2</v>
      </c>
      <c r="O565" s="586">
        <f t="shared" si="93"/>
        <v>0.10135473228291647</v>
      </c>
      <c r="P565" s="585">
        <f t="shared" si="97"/>
        <v>8.4604732282916484E-2</v>
      </c>
      <c r="Q565" s="585">
        <f t="shared" si="98"/>
        <v>6.1437537707306422E-2</v>
      </c>
      <c r="R565" s="585">
        <f t="shared" si="99"/>
        <v>7.6100000000000001E-2</v>
      </c>
      <c r="S565" s="586">
        <f t="shared" si="100"/>
        <v>-1.4662462292693579E-2</v>
      </c>
      <c r="U565" s="587"/>
      <c r="V565" s="587"/>
      <c r="W565" s="587"/>
      <c r="X565" s="587"/>
      <c r="Y565" s="587"/>
      <c r="Z565" s="587"/>
      <c r="AA565" s="587"/>
      <c r="AB565" s="587"/>
      <c r="AC565" s="587"/>
      <c r="AE565" s="587"/>
      <c r="AF565" s="587"/>
      <c r="AG565" s="587"/>
      <c r="AH565" s="587"/>
      <c r="AI565" s="587"/>
      <c r="AJ565" s="587"/>
      <c r="AK565" s="587"/>
      <c r="AL565" s="587"/>
      <c r="AM565" s="587"/>
      <c r="AO565" s="587"/>
      <c r="AP565" s="587"/>
      <c r="AQ565" s="587"/>
      <c r="AR565" s="587"/>
      <c r="AS565" s="587"/>
      <c r="AT565" s="587"/>
      <c r="AU565" s="587"/>
      <c r="AV565" s="587"/>
      <c r="AW565" s="587"/>
    </row>
    <row r="566" spans="1:49">
      <c r="A566" s="581">
        <v>26573</v>
      </c>
      <c r="B566" s="594">
        <v>1.18E-2</v>
      </c>
      <c r="C566" s="577">
        <v>6.5100000000000005E-2</v>
      </c>
      <c r="D566" s="577">
        <v>5.1999999999999998E-3</v>
      </c>
      <c r="E566" s="577">
        <v>6.0083333333333334E-3</v>
      </c>
      <c r="F566" s="577">
        <v>6.2083333333333331E-3</v>
      </c>
      <c r="G566" s="577">
        <v>6.1083333333333337E-3</v>
      </c>
      <c r="H566" s="577">
        <v>6.3833333333333329E-3</v>
      </c>
      <c r="I566" s="577">
        <f t="shared" si="90"/>
        <v>6.6E-3</v>
      </c>
      <c r="J566" s="577">
        <f t="shared" si="94"/>
        <v>5.6916666666666661E-3</v>
      </c>
      <c r="K566" s="577">
        <f t="shared" si="95"/>
        <v>5.8716666666666674E-2</v>
      </c>
      <c r="L566" s="585">
        <f t="shared" si="91"/>
        <v>0.21920924034539446</v>
      </c>
      <c r="M566" s="585">
        <f t="shared" si="92"/>
        <v>6.2399999999999997E-2</v>
      </c>
      <c r="N566" s="585">
        <f t="shared" si="96"/>
        <v>7.3300000000000004E-2</v>
      </c>
      <c r="O566" s="586">
        <f t="shared" si="93"/>
        <v>0.15680924034539445</v>
      </c>
      <c r="P566" s="585">
        <f t="shared" si="97"/>
        <v>0.14590924034539446</v>
      </c>
      <c r="Q566" s="585">
        <f t="shared" si="98"/>
        <v>0.11163925409248021</v>
      </c>
      <c r="R566" s="585">
        <f t="shared" si="99"/>
        <v>7.6600000000000001E-2</v>
      </c>
      <c r="S566" s="586">
        <f t="shared" si="100"/>
        <v>3.503925409248021E-2</v>
      </c>
      <c r="U566" s="587"/>
      <c r="V566" s="587"/>
      <c r="W566" s="587"/>
      <c r="X566" s="587"/>
      <c r="Y566" s="587"/>
      <c r="Z566" s="587"/>
      <c r="AA566" s="587"/>
      <c r="AB566" s="587"/>
      <c r="AC566" s="587"/>
      <c r="AE566" s="587"/>
      <c r="AF566" s="587"/>
      <c r="AG566" s="587"/>
      <c r="AH566" s="587"/>
      <c r="AI566" s="587"/>
      <c r="AJ566" s="587"/>
      <c r="AK566" s="587"/>
      <c r="AL566" s="587"/>
      <c r="AM566" s="587"/>
      <c r="AO566" s="587"/>
      <c r="AP566" s="587"/>
      <c r="AQ566" s="587"/>
      <c r="AR566" s="587"/>
      <c r="AS566" s="587"/>
      <c r="AT566" s="587"/>
      <c r="AU566" s="587"/>
      <c r="AV566" s="587"/>
      <c r="AW566" s="587"/>
    </row>
    <row r="567" spans="1:49">
      <c r="A567" s="581">
        <v>26604</v>
      </c>
      <c r="B567" s="594">
        <v>4.8099999999999997E-2</v>
      </c>
      <c r="C567" s="577">
        <v>6.3899999999999998E-2</v>
      </c>
      <c r="D567" s="577">
        <v>4.7999999999999996E-3</v>
      </c>
      <c r="E567" s="577">
        <v>5.9333333333333339E-3</v>
      </c>
      <c r="F567" s="577">
        <v>6.1583333333333334E-3</v>
      </c>
      <c r="G567" s="577">
        <v>6.0458333333333336E-3</v>
      </c>
      <c r="H567" s="577">
        <v>6.333333333333334E-3</v>
      </c>
      <c r="I567" s="577">
        <f t="shared" si="90"/>
        <v>4.3299999999999998E-2</v>
      </c>
      <c r="J567" s="577">
        <f t="shared" si="94"/>
        <v>4.2054166666666663E-2</v>
      </c>
      <c r="K567" s="577">
        <f t="shared" si="95"/>
        <v>5.7566666666666662E-2</v>
      </c>
      <c r="L567" s="585">
        <f t="shared" si="91"/>
        <v>0.2775976852689539</v>
      </c>
      <c r="M567" s="585">
        <f t="shared" si="92"/>
        <v>5.7599999999999998E-2</v>
      </c>
      <c r="N567" s="585">
        <f t="shared" si="96"/>
        <v>7.2550000000000003E-2</v>
      </c>
      <c r="O567" s="586">
        <f t="shared" si="93"/>
        <v>0.21999768526895391</v>
      </c>
      <c r="P567" s="585">
        <f t="shared" si="97"/>
        <v>0.20504768526895389</v>
      </c>
      <c r="Q567" s="585">
        <f t="shared" si="98"/>
        <v>0.18921367765609798</v>
      </c>
      <c r="R567" s="585">
        <f t="shared" si="99"/>
        <v>7.6000000000000012E-2</v>
      </c>
      <c r="S567" s="586">
        <f t="shared" si="100"/>
        <v>0.11321367765609797</v>
      </c>
      <c r="U567" s="587"/>
      <c r="V567" s="587"/>
      <c r="W567" s="587"/>
      <c r="X567" s="587"/>
      <c r="Y567" s="587"/>
      <c r="Z567" s="587"/>
      <c r="AA567" s="587"/>
      <c r="AB567" s="587"/>
      <c r="AC567" s="587"/>
      <c r="AE567" s="587"/>
      <c r="AF567" s="587"/>
      <c r="AG567" s="587"/>
      <c r="AH567" s="587"/>
      <c r="AI567" s="587"/>
      <c r="AJ567" s="587"/>
      <c r="AK567" s="587"/>
      <c r="AL567" s="587"/>
      <c r="AM567" s="587"/>
      <c r="AO567" s="587"/>
      <c r="AP567" s="587"/>
      <c r="AQ567" s="587"/>
      <c r="AR567" s="587"/>
      <c r="AS567" s="587"/>
      <c r="AT567" s="587"/>
      <c r="AU567" s="587"/>
      <c r="AV567" s="587"/>
      <c r="AW567" s="587"/>
    </row>
    <row r="568" spans="1:49">
      <c r="A568" s="581">
        <v>26634</v>
      </c>
      <c r="B568" s="594">
        <v>1.4200000000000001E-2</v>
      </c>
      <c r="C568" s="577">
        <v>-1.7399999999999999E-2</v>
      </c>
      <c r="D568" s="577">
        <v>4.4999999999999997E-3</v>
      </c>
      <c r="E568" s="577">
        <v>5.8999999999999999E-3</v>
      </c>
      <c r="F568" s="577">
        <v>6.1333333333333344E-3</v>
      </c>
      <c r="G568" s="577">
        <v>6.0166666666666667E-3</v>
      </c>
      <c r="H568" s="577">
        <v>6.2333333333333338E-3</v>
      </c>
      <c r="I568" s="577">
        <f t="shared" si="90"/>
        <v>9.7000000000000003E-3</v>
      </c>
      <c r="J568" s="577">
        <f t="shared" si="94"/>
        <v>8.1833333333333341E-3</v>
      </c>
      <c r="K568" s="577">
        <f t="shared" si="95"/>
        <v>-2.3633333333333333E-2</v>
      </c>
      <c r="L568" s="585">
        <f t="shared" si="91"/>
        <v>0.1900620613517392</v>
      </c>
      <c r="M568" s="585">
        <f t="shared" si="92"/>
        <v>5.3999999999999992E-2</v>
      </c>
      <c r="N568" s="585">
        <f t="shared" si="96"/>
        <v>7.22E-2</v>
      </c>
      <c r="O568" s="586">
        <f t="shared" si="93"/>
        <v>0.13606206135173921</v>
      </c>
      <c r="P568" s="585">
        <f t="shared" si="97"/>
        <v>0.1178620613517392</v>
      </c>
      <c r="Q568" s="585">
        <f t="shared" si="98"/>
        <v>8.1363464431688071E-2</v>
      </c>
      <c r="R568" s="585">
        <f t="shared" si="99"/>
        <v>7.4800000000000005E-2</v>
      </c>
      <c r="S568" s="586">
        <f t="shared" si="100"/>
        <v>6.5634644316880653E-3</v>
      </c>
      <c r="U568" s="587"/>
      <c r="V568" s="587"/>
      <c r="W568" s="587"/>
      <c r="X568" s="587"/>
      <c r="Y568" s="587"/>
      <c r="Z568" s="587"/>
      <c r="AA568" s="587"/>
      <c r="AB568" s="587"/>
      <c r="AC568" s="587"/>
      <c r="AE568" s="587"/>
      <c r="AF568" s="587"/>
      <c r="AG568" s="587"/>
      <c r="AH568" s="587"/>
      <c r="AI568" s="587"/>
      <c r="AJ568" s="587"/>
      <c r="AK568" s="587"/>
      <c r="AL568" s="587"/>
      <c r="AM568" s="587"/>
      <c r="AO568" s="587"/>
      <c r="AP568" s="587"/>
      <c r="AQ568" s="587"/>
      <c r="AR568" s="587"/>
      <c r="AS568" s="587"/>
      <c r="AT568" s="587"/>
      <c r="AU568" s="587"/>
      <c r="AV568" s="587"/>
      <c r="AW568" s="587"/>
    </row>
    <row r="569" spans="1:49">
      <c r="A569" s="581">
        <v>26665</v>
      </c>
      <c r="B569" s="594">
        <v>-1.49E-2</v>
      </c>
      <c r="C569" s="577">
        <v>-4.3900000000000008E-2</v>
      </c>
      <c r="D569" s="577">
        <v>5.4000000000000003E-3</v>
      </c>
      <c r="E569" s="577">
        <v>5.9583333333333328E-3</v>
      </c>
      <c r="F569" s="577">
        <v>6.1416666666666668E-3</v>
      </c>
      <c r="G569" s="577">
        <v>6.0499999999999998E-3</v>
      </c>
      <c r="H569" s="577">
        <v>6.2666666666666669E-3</v>
      </c>
      <c r="I569" s="577">
        <f t="shared" si="90"/>
        <v>-2.0299999999999999E-2</v>
      </c>
      <c r="J569" s="577">
        <f t="shared" si="94"/>
        <v>-2.095E-2</v>
      </c>
      <c r="K569" s="577">
        <f t="shared" si="95"/>
        <v>-5.0166666666666679E-2</v>
      </c>
      <c r="L569" s="585">
        <f t="shared" si="91"/>
        <v>0.14866758439897931</v>
      </c>
      <c r="M569" s="585">
        <f t="shared" si="92"/>
        <v>6.4799999999999996E-2</v>
      </c>
      <c r="N569" s="585">
        <f t="shared" si="96"/>
        <v>7.2599999999999998E-2</v>
      </c>
      <c r="O569" s="586">
        <f t="shared" si="93"/>
        <v>8.3867584398979317E-2</v>
      </c>
      <c r="P569" s="585">
        <f t="shared" si="97"/>
        <v>7.6067584398979315E-2</v>
      </c>
      <c r="Q569" s="585">
        <f t="shared" si="98"/>
        <v>4.1599444230442151E-2</v>
      </c>
      <c r="R569" s="585">
        <f t="shared" si="99"/>
        <v>7.5200000000000003E-2</v>
      </c>
      <c r="S569" s="586">
        <f t="shared" si="100"/>
        <v>-3.3600555769557852E-2</v>
      </c>
      <c r="U569" s="587"/>
      <c r="V569" s="587"/>
      <c r="W569" s="587"/>
      <c r="X569" s="587"/>
      <c r="Y569" s="587"/>
      <c r="Z569" s="587"/>
      <c r="AA569" s="587"/>
      <c r="AB569" s="587"/>
      <c r="AC569" s="587"/>
      <c r="AE569" s="587"/>
      <c r="AF569" s="587"/>
      <c r="AG569" s="587"/>
      <c r="AH569" s="587"/>
      <c r="AI569" s="587"/>
      <c r="AJ569" s="587"/>
      <c r="AK569" s="587"/>
      <c r="AL569" s="587"/>
      <c r="AM569" s="587"/>
      <c r="AO569" s="587"/>
      <c r="AP569" s="587"/>
      <c r="AQ569" s="587"/>
      <c r="AR569" s="587"/>
      <c r="AS569" s="587"/>
      <c r="AT569" s="587"/>
      <c r="AU569" s="587"/>
      <c r="AV569" s="587"/>
      <c r="AW569" s="587"/>
    </row>
    <row r="570" spans="1:49">
      <c r="A570" s="581">
        <v>26696</v>
      </c>
      <c r="B570" s="594">
        <v>-3.5200000000000002E-2</v>
      </c>
      <c r="C570" s="577">
        <v>-2.3399999999999997E-2</v>
      </c>
      <c r="D570" s="577">
        <v>5.1000000000000004E-3</v>
      </c>
      <c r="E570" s="577">
        <v>6.0166666666666667E-3</v>
      </c>
      <c r="F570" s="577">
        <v>6.2249999999999996E-3</v>
      </c>
      <c r="G570" s="577">
        <v>6.1208333333333332E-3</v>
      </c>
      <c r="H570" s="577">
        <v>6.3499999999999997E-3</v>
      </c>
      <c r="I570" s="577">
        <f t="shared" si="90"/>
        <v>-4.0300000000000002E-2</v>
      </c>
      <c r="J570" s="577">
        <f t="shared" si="94"/>
        <v>-4.1320833333333334E-2</v>
      </c>
      <c r="K570" s="577">
        <f t="shared" si="95"/>
        <v>-2.9749999999999999E-2</v>
      </c>
      <c r="L570" s="585">
        <f t="shared" si="91"/>
        <v>7.8363807947976039E-2</v>
      </c>
      <c r="M570" s="585">
        <f t="shared" si="92"/>
        <v>6.1200000000000004E-2</v>
      </c>
      <c r="N570" s="585">
        <f t="shared" si="96"/>
        <v>7.3450000000000001E-2</v>
      </c>
      <c r="O570" s="586">
        <f t="shared" si="93"/>
        <v>1.7163807947976034E-2</v>
      </c>
      <c r="P570" s="585">
        <f t="shared" si="97"/>
        <v>4.9138079479760371E-3</v>
      </c>
      <c r="Q570" s="585">
        <f t="shared" si="98"/>
        <v>4.2239771757632827E-2</v>
      </c>
      <c r="R570" s="585">
        <f t="shared" si="99"/>
        <v>7.619999999999999E-2</v>
      </c>
      <c r="S570" s="586">
        <f t="shared" si="100"/>
        <v>-3.3960228242367163E-2</v>
      </c>
      <c r="U570" s="587"/>
      <c r="V570" s="587"/>
      <c r="W570" s="587"/>
      <c r="X570" s="587"/>
      <c r="Y570" s="587"/>
      <c r="Z570" s="587"/>
      <c r="AA570" s="587"/>
      <c r="AB570" s="587"/>
      <c r="AC570" s="587"/>
      <c r="AE570" s="587"/>
      <c r="AF570" s="587"/>
      <c r="AG570" s="587"/>
      <c r="AH570" s="587"/>
      <c r="AI570" s="587"/>
      <c r="AJ570" s="587"/>
      <c r="AK570" s="587"/>
      <c r="AL570" s="587"/>
      <c r="AM570" s="587"/>
      <c r="AO570" s="587"/>
      <c r="AP570" s="587"/>
      <c r="AQ570" s="587"/>
      <c r="AR570" s="587"/>
      <c r="AS570" s="587"/>
      <c r="AT570" s="587"/>
      <c r="AU570" s="587"/>
      <c r="AV570" s="587"/>
      <c r="AW570" s="587"/>
    </row>
    <row r="571" spans="1:49">
      <c r="A571" s="581">
        <v>26724</v>
      </c>
      <c r="B571" s="594">
        <v>8.0000000000000004E-4</v>
      </c>
      <c r="C571" s="577">
        <v>-1.3500000000000002E-2</v>
      </c>
      <c r="D571" s="577">
        <v>5.5999999999999991E-3</v>
      </c>
      <c r="E571" s="577">
        <v>6.0750000000000005E-3</v>
      </c>
      <c r="F571" s="577">
        <v>6.2416666666666662E-3</v>
      </c>
      <c r="G571" s="577">
        <v>6.1583333333333334E-3</v>
      </c>
      <c r="H571" s="577">
        <v>6.3833333333333329E-3</v>
      </c>
      <c r="I571" s="577">
        <f t="shared" si="90"/>
        <v>-4.7999999999999987E-3</v>
      </c>
      <c r="J571" s="577">
        <f t="shared" si="94"/>
        <v>-5.358333333333333E-3</v>
      </c>
      <c r="K571" s="577">
        <f t="shared" si="95"/>
        <v>-1.9883333333333336E-2</v>
      </c>
      <c r="L571" s="585">
        <f t="shared" si="91"/>
        <v>7.0342654958181372E-2</v>
      </c>
      <c r="M571" s="585">
        <f t="shared" si="92"/>
        <v>6.7199999999999982E-2</v>
      </c>
      <c r="N571" s="585">
        <f t="shared" si="96"/>
        <v>7.3899999999999993E-2</v>
      </c>
      <c r="O571" s="586">
        <f t="shared" si="93"/>
        <v>3.1426549581813901E-3</v>
      </c>
      <c r="P571" s="585">
        <f t="shared" si="97"/>
        <v>-3.5573450418186214E-3</v>
      </c>
      <c r="Q571" s="585">
        <f t="shared" si="98"/>
        <v>3.1884318385091648E-2</v>
      </c>
      <c r="R571" s="585">
        <f t="shared" si="99"/>
        <v>7.6600000000000001E-2</v>
      </c>
      <c r="S571" s="586">
        <f t="shared" si="100"/>
        <v>-4.4715681614908354E-2</v>
      </c>
      <c r="U571" s="587"/>
      <c r="V571" s="587"/>
      <c r="W571" s="587"/>
      <c r="X571" s="587"/>
      <c r="Y571" s="587"/>
      <c r="Z571" s="587"/>
      <c r="AA571" s="587"/>
      <c r="AB571" s="587"/>
      <c r="AC571" s="587"/>
      <c r="AE571" s="587"/>
      <c r="AF571" s="587"/>
      <c r="AG571" s="587"/>
      <c r="AH571" s="587"/>
      <c r="AI571" s="587"/>
      <c r="AJ571" s="587"/>
      <c r="AK571" s="587"/>
      <c r="AL571" s="587"/>
      <c r="AM571" s="587"/>
      <c r="AO571" s="587"/>
      <c r="AP571" s="587"/>
      <c r="AQ571" s="587"/>
      <c r="AR571" s="587"/>
      <c r="AS571" s="587"/>
      <c r="AT571" s="587"/>
      <c r="AU571" s="587"/>
      <c r="AV571" s="587"/>
      <c r="AW571" s="587"/>
    </row>
    <row r="572" spans="1:49">
      <c r="A572" s="581">
        <v>26755</v>
      </c>
      <c r="B572" s="594">
        <v>-3.8300000000000001E-2</v>
      </c>
      <c r="C572" s="577">
        <v>-4.9000000000000007E-3</v>
      </c>
      <c r="D572" s="577">
        <v>5.7000000000000002E-3</v>
      </c>
      <c r="E572" s="577">
        <v>6.0499999999999998E-3</v>
      </c>
      <c r="F572" s="577">
        <v>6.2416666666666662E-3</v>
      </c>
      <c r="G572" s="577">
        <v>6.145833333333333E-3</v>
      </c>
      <c r="H572" s="577">
        <v>6.3583333333333339E-3</v>
      </c>
      <c r="I572" s="577">
        <f t="shared" si="90"/>
        <v>-4.3999999999999997E-2</v>
      </c>
      <c r="J572" s="577">
        <f t="shared" si="94"/>
        <v>-4.4445833333333337E-2</v>
      </c>
      <c r="K572" s="577">
        <f t="shared" si="95"/>
        <v>-1.1258333333333335E-2</v>
      </c>
      <c r="L572" s="585">
        <f t="shared" si="91"/>
        <v>2.239623686261738E-2</v>
      </c>
      <c r="M572" s="585">
        <f t="shared" si="92"/>
        <v>6.8400000000000002E-2</v>
      </c>
      <c r="N572" s="585">
        <f t="shared" si="96"/>
        <v>7.3749999999999996E-2</v>
      </c>
      <c r="O572" s="586">
        <f t="shared" si="93"/>
        <v>-4.6003763137382622E-2</v>
      </c>
      <c r="P572" s="585">
        <f t="shared" si="97"/>
        <v>-5.1353763137382616E-2</v>
      </c>
      <c r="Q572" s="585">
        <f t="shared" si="98"/>
        <v>5.6081543993627969E-2</v>
      </c>
      <c r="R572" s="585">
        <f t="shared" si="99"/>
        <v>7.6300000000000007E-2</v>
      </c>
      <c r="S572" s="586">
        <f t="shared" si="100"/>
        <v>-2.0218456006372038E-2</v>
      </c>
      <c r="U572" s="587"/>
      <c r="V572" s="587"/>
      <c r="W572" s="587"/>
      <c r="X572" s="587"/>
      <c r="Y572" s="587"/>
      <c r="Z572" s="587"/>
      <c r="AA572" s="587"/>
      <c r="AB572" s="587"/>
      <c r="AC572" s="587"/>
      <c r="AE572" s="587"/>
      <c r="AF572" s="587"/>
      <c r="AG572" s="587"/>
      <c r="AH572" s="587"/>
      <c r="AI572" s="587"/>
      <c r="AJ572" s="587"/>
      <c r="AK572" s="587"/>
      <c r="AL572" s="587"/>
      <c r="AM572" s="587"/>
      <c r="AO572" s="587"/>
      <c r="AP572" s="587"/>
      <c r="AQ572" s="587"/>
      <c r="AR572" s="587"/>
      <c r="AS572" s="587"/>
      <c r="AT572" s="587"/>
      <c r="AU572" s="587"/>
      <c r="AV572" s="587"/>
      <c r="AW572" s="587"/>
    </row>
    <row r="573" spans="1:49">
      <c r="A573" s="581">
        <v>26785</v>
      </c>
      <c r="B573" s="594">
        <v>-1.6299999999999999E-2</v>
      </c>
      <c r="C573" s="577">
        <v>6.7000000000000002E-3</v>
      </c>
      <c r="D573" s="577">
        <v>5.7999999999999996E-3</v>
      </c>
      <c r="E573" s="577">
        <v>6.0750000000000005E-3</v>
      </c>
      <c r="F573" s="577">
        <v>6.2416666666666662E-3</v>
      </c>
      <c r="G573" s="577">
        <v>6.1583333333333334E-3</v>
      </c>
      <c r="H573" s="577">
        <v>6.3583333333333339E-3</v>
      </c>
      <c r="I573" s="577">
        <f t="shared" si="90"/>
        <v>-2.2099999999999998E-2</v>
      </c>
      <c r="J573" s="577">
        <f t="shared" si="94"/>
        <v>-2.245833333333333E-2</v>
      </c>
      <c r="K573" s="577">
        <f t="shared" si="95"/>
        <v>3.4166666666666633E-4</v>
      </c>
      <c r="L573" s="585">
        <f t="shared" si="91"/>
        <v>-1.3698952435268419E-2</v>
      </c>
      <c r="M573" s="585">
        <f t="shared" si="92"/>
        <v>6.9599999999999995E-2</v>
      </c>
      <c r="N573" s="585">
        <f t="shared" si="96"/>
        <v>7.3899999999999993E-2</v>
      </c>
      <c r="O573" s="586">
        <f t="shared" si="93"/>
        <v>-8.3298952435268414E-2</v>
      </c>
      <c r="P573" s="585">
        <f t="shared" si="97"/>
        <v>-8.7598952435268412E-2</v>
      </c>
      <c r="Q573" s="585">
        <f t="shared" si="98"/>
        <v>6.496773548871615E-2</v>
      </c>
      <c r="R573" s="585">
        <f t="shared" si="99"/>
        <v>7.6300000000000007E-2</v>
      </c>
      <c r="S573" s="586">
        <f t="shared" si="100"/>
        <v>-1.1332264511283857E-2</v>
      </c>
      <c r="U573" s="587"/>
      <c r="V573" s="587"/>
      <c r="W573" s="587"/>
      <c r="X573" s="587"/>
      <c r="Y573" s="587"/>
      <c r="Z573" s="587"/>
      <c r="AA573" s="587"/>
      <c r="AB573" s="587"/>
      <c r="AC573" s="587"/>
      <c r="AE573" s="587"/>
      <c r="AF573" s="587"/>
      <c r="AG573" s="587"/>
      <c r="AH573" s="587"/>
      <c r="AI573" s="587"/>
      <c r="AJ573" s="587"/>
      <c r="AK573" s="587"/>
      <c r="AL573" s="587"/>
      <c r="AM573" s="587"/>
      <c r="AO573" s="587"/>
      <c r="AP573" s="587"/>
      <c r="AQ573" s="587"/>
      <c r="AR573" s="587"/>
      <c r="AS573" s="587"/>
      <c r="AT573" s="587"/>
      <c r="AU573" s="587"/>
      <c r="AV573" s="587"/>
      <c r="AW573" s="587"/>
    </row>
    <row r="574" spans="1:49">
      <c r="A574" s="581">
        <v>26816</v>
      </c>
      <c r="B574" s="594">
        <v>-4.0000000000000001E-3</v>
      </c>
      <c r="C574" s="577">
        <v>-1.67E-2</v>
      </c>
      <c r="D574" s="577">
        <v>5.4999999999999997E-3</v>
      </c>
      <c r="E574" s="577">
        <v>6.1416666666666668E-3</v>
      </c>
      <c r="F574" s="577">
        <v>6.2916666666666668E-3</v>
      </c>
      <c r="G574" s="577">
        <v>6.2166666666666655E-3</v>
      </c>
      <c r="H574" s="577">
        <v>6.4249999999999993E-3</v>
      </c>
      <c r="I574" s="577">
        <f t="shared" si="90"/>
        <v>-9.4999999999999998E-3</v>
      </c>
      <c r="J574" s="577">
        <f t="shared" si="94"/>
        <v>-1.0216666666666666E-2</v>
      </c>
      <c r="K574" s="577">
        <f t="shared" si="95"/>
        <v>-2.3125E-2</v>
      </c>
      <c r="L574" s="585">
        <f t="shared" si="91"/>
        <v>1.7905806388665013E-3</v>
      </c>
      <c r="M574" s="585">
        <f t="shared" si="92"/>
        <v>6.6000000000000003E-2</v>
      </c>
      <c r="N574" s="585">
        <f t="shared" si="96"/>
        <v>7.4599999999999986E-2</v>
      </c>
      <c r="O574" s="586">
        <f t="shared" si="93"/>
        <v>-6.4209419361133502E-2</v>
      </c>
      <c r="P574" s="585">
        <f t="shared" si="97"/>
        <v>-7.2809419361133484E-2</v>
      </c>
      <c r="Q574" s="585">
        <f t="shared" si="98"/>
        <v>6.9645326155315823E-2</v>
      </c>
      <c r="R574" s="585">
        <f t="shared" si="99"/>
        <v>7.7099999999999988E-2</v>
      </c>
      <c r="S574" s="586">
        <f t="shared" si="100"/>
        <v>-7.4546738446841648E-3</v>
      </c>
      <c r="U574" s="587"/>
      <c r="V574" s="587"/>
      <c r="W574" s="587"/>
      <c r="X574" s="587"/>
      <c r="Y574" s="587"/>
      <c r="Z574" s="587"/>
      <c r="AA574" s="587"/>
      <c r="AB574" s="587"/>
      <c r="AC574" s="587"/>
      <c r="AE574" s="587"/>
      <c r="AF574" s="587"/>
      <c r="AG574" s="587"/>
      <c r="AH574" s="587"/>
      <c r="AI574" s="587"/>
      <c r="AJ574" s="587"/>
      <c r="AK574" s="587"/>
      <c r="AL574" s="587"/>
      <c r="AM574" s="587"/>
      <c r="AO574" s="587"/>
      <c r="AP574" s="587"/>
      <c r="AQ574" s="587"/>
      <c r="AR574" s="587"/>
      <c r="AS574" s="587"/>
      <c r="AT574" s="587"/>
      <c r="AU574" s="587"/>
      <c r="AV574" s="587"/>
      <c r="AW574" s="587"/>
    </row>
    <row r="575" spans="1:49">
      <c r="A575" s="581">
        <v>26846</v>
      </c>
      <c r="B575" s="594">
        <v>4.07E-2</v>
      </c>
      <c r="C575" s="577">
        <v>-1.9900000000000001E-2</v>
      </c>
      <c r="D575" s="577">
        <v>6.0999999999999995E-3</v>
      </c>
      <c r="E575" s="577">
        <v>6.2083333333333331E-3</v>
      </c>
      <c r="F575" s="577">
        <v>6.3666666666666663E-3</v>
      </c>
      <c r="G575" s="577">
        <v>6.2874999999999988E-3</v>
      </c>
      <c r="H575" s="577">
        <v>6.5166666666666671E-3</v>
      </c>
      <c r="I575" s="577">
        <f t="shared" si="90"/>
        <v>3.4599999999999999E-2</v>
      </c>
      <c r="J575" s="577">
        <f t="shared" si="94"/>
        <v>3.4412499999999999E-2</v>
      </c>
      <c r="K575" s="577">
        <f t="shared" si="95"/>
        <v>-2.6416666666666668E-2</v>
      </c>
      <c r="L575" s="585">
        <f t="shared" si="91"/>
        <v>3.7583058589637952E-2</v>
      </c>
      <c r="M575" s="585">
        <f t="shared" si="92"/>
        <v>7.3199999999999987E-2</v>
      </c>
      <c r="N575" s="585">
        <f t="shared" si="96"/>
        <v>7.5449999999999989E-2</v>
      </c>
      <c r="O575" s="586">
        <f t="shared" si="93"/>
        <v>-3.5616941410362035E-2</v>
      </c>
      <c r="P575" s="585">
        <f t="shared" si="97"/>
        <v>-3.7866941410362037E-2</v>
      </c>
      <c r="Q575" s="585">
        <f t="shared" si="98"/>
        <v>4.9829144967780348E-2</v>
      </c>
      <c r="R575" s="585">
        <f t="shared" si="99"/>
        <v>7.8200000000000006E-2</v>
      </c>
      <c r="S575" s="586">
        <f t="shared" si="100"/>
        <v>-2.8370855032219658E-2</v>
      </c>
      <c r="U575" s="587"/>
      <c r="V575" s="587"/>
      <c r="W575" s="587"/>
      <c r="X575" s="587"/>
      <c r="Y575" s="587"/>
      <c r="Z575" s="587"/>
      <c r="AA575" s="587"/>
      <c r="AB575" s="587"/>
      <c r="AC575" s="587"/>
      <c r="AE575" s="587"/>
      <c r="AF575" s="587"/>
      <c r="AG575" s="587"/>
      <c r="AH575" s="587"/>
      <c r="AI575" s="587"/>
      <c r="AJ575" s="587"/>
      <c r="AK575" s="587"/>
      <c r="AL575" s="587"/>
      <c r="AM575" s="587"/>
      <c r="AO575" s="587"/>
      <c r="AP575" s="587"/>
      <c r="AQ575" s="587"/>
      <c r="AR575" s="587"/>
      <c r="AS575" s="587"/>
      <c r="AT575" s="587"/>
      <c r="AU575" s="587"/>
      <c r="AV575" s="587"/>
      <c r="AW575" s="587"/>
    </row>
    <row r="576" spans="1:49">
      <c r="A576" s="581">
        <v>26877</v>
      </c>
      <c r="B576" s="594">
        <v>-3.4099999999999998E-2</v>
      </c>
      <c r="C576" s="577">
        <v>-2.8399999999999995E-2</v>
      </c>
      <c r="D576" s="577">
        <v>6.1999999999999998E-3</v>
      </c>
      <c r="E576" s="577">
        <v>6.4000000000000003E-3</v>
      </c>
      <c r="F576" s="577">
        <v>6.5333333333333328E-3</v>
      </c>
      <c r="G576" s="577">
        <v>6.4666666666666674E-3</v>
      </c>
      <c r="H576" s="577">
        <v>6.6999999999999994E-3</v>
      </c>
      <c r="I576" s="577">
        <f t="shared" si="90"/>
        <v>-4.0299999999999996E-2</v>
      </c>
      <c r="J576" s="577">
        <f t="shared" si="94"/>
        <v>-4.0566666666666668E-2</v>
      </c>
      <c r="K576" s="577">
        <f t="shared" si="95"/>
        <v>-3.5099999999999992E-2</v>
      </c>
      <c r="L576" s="585">
        <f t="shared" si="91"/>
        <v>-3.3463712709295379E-2</v>
      </c>
      <c r="M576" s="585">
        <f t="shared" si="92"/>
        <v>7.4399999999999994E-2</v>
      </c>
      <c r="N576" s="585">
        <f t="shared" si="96"/>
        <v>7.7600000000000002E-2</v>
      </c>
      <c r="O576" s="586">
        <f t="shared" si="93"/>
        <v>-0.10786371270929537</v>
      </c>
      <c r="P576" s="585">
        <f t="shared" si="97"/>
        <v>-0.11106371270929538</v>
      </c>
      <c r="Q576" s="585">
        <f t="shared" si="98"/>
        <v>-3.5356537496978313E-2</v>
      </c>
      <c r="R576" s="585">
        <f t="shared" si="99"/>
        <v>8.0399999999999999E-2</v>
      </c>
      <c r="S576" s="586">
        <f t="shared" si="100"/>
        <v>-0.11575653749697831</v>
      </c>
      <c r="U576" s="587"/>
      <c r="V576" s="587"/>
      <c r="W576" s="587"/>
      <c r="X576" s="587"/>
      <c r="Y576" s="587"/>
      <c r="Z576" s="587"/>
      <c r="AA576" s="587"/>
      <c r="AB576" s="587"/>
      <c r="AC576" s="587"/>
      <c r="AE576" s="587"/>
      <c r="AF576" s="587"/>
      <c r="AG576" s="587"/>
      <c r="AH576" s="587"/>
      <c r="AI576" s="587"/>
      <c r="AJ576" s="587"/>
      <c r="AK576" s="587"/>
      <c r="AL576" s="587"/>
      <c r="AM576" s="587"/>
      <c r="AO576" s="587"/>
      <c r="AP576" s="587"/>
      <c r="AQ576" s="587"/>
      <c r="AR576" s="587"/>
      <c r="AS576" s="587"/>
      <c r="AT576" s="587"/>
      <c r="AU576" s="587"/>
      <c r="AV576" s="587"/>
      <c r="AW576" s="587"/>
    </row>
    <row r="577" spans="1:49">
      <c r="A577" s="581">
        <v>26908</v>
      </c>
      <c r="B577" s="594">
        <v>4.2700000000000002E-2</v>
      </c>
      <c r="C577" s="577">
        <v>7.7099999999999988E-2</v>
      </c>
      <c r="D577" s="577">
        <v>5.4999999999999997E-3</v>
      </c>
      <c r="E577" s="577">
        <v>6.3583333333333339E-3</v>
      </c>
      <c r="F577" s="577">
        <v>6.5500000000000003E-3</v>
      </c>
      <c r="G577" s="577">
        <v>6.4541666666666671E-3</v>
      </c>
      <c r="H577" s="577">
        <v>6.6999999999999994E-3</v>
      </c>
      <c r="I577" s="577">
        <f t="shared" si="90"/>
        <v>3.7200000000000004E-2</v>
      </c>
      <c r="J577" s="577">
        <f t="shared" si="94"/>
        <v>3.6245833333333338E-2</v>
      </c>
      <c r="K577" s="577">
        <f t="shared" si="95"/>
        <v>7.039999999999999E-2</v>
      </c>
      <c r="L577" s="585">
        <f t="shared" si="91"/>
        <v>1.0333219807536542E-2</v>
      </c>
      <c r="M577" s="585">
        <f t="shared" si="92"/>
        <v>6.6000000000000003E-2</v>
      </c>
      <c r="N577" s="585">
        <f t="shared" si="96"/>
        <v>7.7450000000000005E-2</v>
      </c>
      <c r="O577" s="586">
        <f t="shared" si="93"/>
        <v>-5.5666780192463461E-2</v>
      </c>
      <c r="P577" s="585">
        <f t="shared" si="97"/>
        <v>-6.7116780192463463E-2</v>
      </c>
      <c r="Q577" s="585">
        <f t="shared" si="98"/>
        <v>3.6219680325127124E-2</v>
      </c>
      <c r="R577" s="585">
        <f t="shared" si="99"/>
        <v>8.0399999999999999E-2</v>
      </c>
      <c r="S577" s="586">
        <f t="shared" si="100"/>
        <v>-4.4180319674872875E-2</v>
      </c>
      <c r="U577" s="587"/>
      <c r="V577" s="587"/>
      <c r="W577" s="587"/>
      <c r="X577" s="587"/>
      <c r="Y577" s="587"/>
      <c r="Z577" s="587"/>
      <c r="AA577" s="587"/>
      <c r="AB577" s="587"/>
      <c r="AC577" s="587"/>
      <c r="AE577" s="587"/>
      <c r="AF577" s="587"/>
      <c r="AG577" s="587"/>
      <c r="AH577" s="587"/>
      <c r="AI577" s="587"/>
      <c r="AJ577" s="587"/>
      <c r="AK577" s="587"/>
      <c r="AL577" s="587"/>
      <c r="AM577" s="587"/>
      <c r="AO577" s="587"/>
      <c r="AP577" s="587"/>
      <c r="AQ577" s="587"/>
      <c r="AR577" s="587"/>
      <c r="AS577" s="587"/>
      <c r="AT577" s="587"/>
      <c r="AU577" s="587"/>
      <c r="AV577" s="587"/>
      <c r="AW577" s="587"/>
    </row>
    <row r="578" spans="1:49">
      <c r="A578" s="581">
        <v>26938</v>
      </c>
      <c r="B578" s="594">
        <v>1.6999999999999999E-3</v>
      </c>
      <c r="C578" s="577">
        <v>-3.8800000000000001E-2</v>
      </c>
      <c r="D578" s="577">
        <v>6.3E-3</v>
      </c>
      <c r="E578" s="577">
        <v>6.3333333333333332E-3</v>
      </c>
      <c r="F578" s="577">
        <v>6.5333333333333328E-3</v>
      </c>
      <c r="G578" s="577">
        <v>6.4333333333333334E-3</v>
      </c>
      <c r="H578" s="577">
        <v>6.6833333333333337E-3</v>
      </c>
      <c r="I578" s="577">
        <f t="shared" si="90"/>
        <v>-4.5999999999999999E-3</v>
      </c>
      <c r="J578" s="577">
        <f t="shared" si="94"/>
        <v>-4.7333333333333333E-3</v>
      </c>
      <c r="K578" s="577">
        <f t="shared" si="95"/>
        <v>-4.5483333333333334E-2</v>
      </c>
      <c r="L578" s="585">
        <f t="shared" si="91"/>
        <v>2.4786151532851797E-4</v>
      </c>
      <c r="M578" s="585">
        <f t="shared" si="92"/>
        <v>7.5600000000000001E-2</v>
      </c>
      <c r="N578" s="585">
        <f t="shared" si="96"/>
        <v>7.7200000000000005E-2</v>
      </c>
      <c r="O578" s="586">
        <f t="shared" si="93"/>
        <v>-7.5352138484671483E-2</v>
      </c>
      <c r="P578" s="585">
        <f t="shared" si="97"/>
        <v>-7.6952138484671487E-2</v>
      </c>
      <c r="Q578" s="585">
        <f t="shared" si="98"/>
        <v>-6.4863058183727174E-2</v>
      </c>
      <c r="R578" s="585">
        <f t="shared" si="99"/>
        <v>8.0200000000000007E-2</v>
      </c>
      <c r="S578" s="586">
        <f t="shared" si="100"/>
        <v>-0.14506305818372717</v>
      </c>
      <c r="U578" s="587"/>
      <c r="V578" s="587"/>
      <c r="W578" s="587"/>
      <c r="X578" s="587"/>
      <c r="Y578" s="587"/>
      <c r="Z578" s="587"/>
      <c r="AA578" s="587"/>
      <c r="AB578" s="587"/>
      <c r="AC578" s="587"/>
      <c r="AE578" s="587"/>
      <c r="AF578" s="587"/>
      <c r="AG578" s="587"/>
      <c r="AH578" s="587"/>
      <c r="AI578" s="587"/>
      <c r="AJ578" s="587"/>
      <c r="AK578" s="587"/>
      <c r="AL578" s="587"/>
      <c r="AM578" s="587"/>
      <c r="AO578" s="587"/>
      <c r="AP578" s="587"/>
      <c r="AQ578" s="587"/>
      <c r="AR578" s="587"/>
      <c r="AS578" s="587"/>
      <c r="AT578" s="587"/>
      <c r="AU578" s="587"/>
      <c r="AV578" s="587"/>
      <c r="AW578" s="587"/>
    </row>
    <row r="579" spans="1:49">
      <c r="A579" s="581">
        <v>26969</v>
      </c>
      <c r="B579" s="594">
        <v>-0.1109</v>
      </c>
      <c r="C579" s="577">
        <v>-0.11720000000000001</v>
      </c>
      <c r="D579" s="577">
        <v>5.5999999999999991E-3</v>
      </c>
      <c r="E579" s="577">
        <v>6.391666666666667E-3</v>
      </c>
      <c r="F579" s="577">
        <v>6.5833333333333334E-3</v>
      </c>
      <c r="G579" s="577">
        <v>6.4874999999999993E-3</v>
      </c>
      <c r="H579" s="577">
        <v>6.7916666666666672E-3</v>
      </c>
      <c r="I579" s="577">
        <f t="shared" si="90"/>
        <v>-0.11649999999999999</v>
      </c>
      <c r="J579" s="577">
        <f t="shared" si="94"/>
        <v>-0.11738749999999999</v>
      </c>
      <c r="K579" s="577">
        <f t="shared" si="95"/>
        <v>-0.12399166666666668</v>
      </c>
      <c r="L579" s="585">
        <f t="shared" si="91"/>
        <v>-0.15149282160740518</v>
      </c>
      <c r="M579" s="585">
        <f t="shared" si="92"/>
        <v>6.7199999999999982E-2</v>
      </c>
      <c r="N579" s="585">
        <f t="shared" si="96"/>
        <v>7.7849999999999989E-2</v>
      </c>
      <c r="O579" s="586">
        <f t="shared" si="93"/>
        <v>-0.21869282160740516</v>
      </c>
      <c r="P579" s="585">
        <f t="shared" si="97"/>
        <v>-0.22934282160740516</v>
      </c>
      <c r="Q579" s="585">
        <f t="shared" si="98"/>
        <v>-0.22404465435153142</v>
      </c>
      <c r="R579" s="585">
        <f t="shared" si="99"/>
        <v>8.1500000000000003E-2</v>
      </c>
      <c r="S579" s="586">
        <f t="shared" si="100"/>
        <v>-0.30554465435153144</v>
      </c>
      <c r="U579" s="587"/>
      <c r="V579" s="587"/>
      <c r="W579" s="587"/>
      <c r="X579" s="587"/>
      <c r="Y579" s="587"/>
      <c r="Z579" s="587"/>
      <c r="AA579" s="587"/>
      <c r="AB579" s="587"/>
      <c r="AC579" s="587"/>
      <c r="AE579" s="587"/>
      <c r="AF579" s="587"/>
      <c r="AG579" s="587"/>
      <c r="AH579" s="587"/>
      <c r="AI579" s="587"/>
      <c r="AJ579" s="587"/>
      <c r="AK579" s="587"/>
      <c r="AL579" s="587"/>
      <c r="AM579" s="587"/>
      <c r="AO579" s="587"/>
      <c r="AP579" s="587"/>
      <c r="AQ579" s="587"/>
      <c r="AR579" s="587"/>
      <c r="AS579" s="587"/>
      <c r="AT579" s="587"/>
      <c r="AU579" s="587"/>
      <c r="AV579" s="587"/>
      <c r="AW579" s="587"/>
    </row>
    <row r="580" spans="1:49">
      <c r="A580" s="581">
        <v>26999</v>
      </c>
      <c r="B580" s="594">
        <v>1.9800000000000002E-2</v>
      </c>
      <c r="C580" s="577">
        <v>3.7499999999999999E-2</v>
      </c>
      <c r="D580" s="577">
        <v>6.0000000000000001E-3</v>
      </c>
      <c r="E580" s="577">
        <v>6.4000000000000003E-3</v>
      </c>
      <c r="F580" s="577">
        <v>6.6E-3</v>
      </c>
      <c r="G580" s="577">
        <v>6.5000000000000006E-3</v>
      </c>
      <c r="H580" s="577">
        <v>6.8666666666666668E-3</v>
      </c>
      <c r="I580" s="577">
        <f t="shared" si="90"/>
        <v>1.3800000000000002E-2</v>
      </c>
      <c r="J580" s="577">
        <f t="shared" si="94"/>
        <v>1.3300000000000001E-2</v>
      </c>
      <c r="K580" s="577">
        <f t="shared" si="95"/>
        <v>3.0633333333333332E-2</v>
      </c>
      <c r="L580" s="585">
        <f t="shared" si="91"/>
        <v>-0.14680770999332649</v>
      </c>
      <c r="M580" s="585">
        <f t="shared" si="92"/>
        <v>7.2000000000000008E-2</v>
      </c>
      <c r="N580" s="585">
        <f t="shared" si="96"/>
        <v>7.8000000000000014E-2</v>
      </c>
      <c r="O580" s="586">
        <f t="shared" si="93"/>
        <v>-0.21880770999332649</v>
      </c>
      <c r="P580" s="585">
        <f t="shared" si="97"/>
        <v>-0.2248077099933265</v>
      </c>
      <c r="Q580" s="585">
        <f t="shared" si="98"/>
        <v>-0.18069034081998148</v>
      </c>
      <c r="R580" s="585">
        <f t="shared" si="99"/>
        <v>8.2400000000000001E-2</v>
      </c>
      <c r="S580" s="586">
        <f t="shared" si="100"/>
        <v>-0.26309034081998151</v>
      </c>
      <c r="U580" s="587"/>
      <c r="V580" s="587"/>
      <c r="W580" s="587"/>
      <c r="X580" s="587"/>
      <c r="Y580" s="587"/>
      <c r="Z580" s="587"/>
      <c r="AA580" s="587"/>
      <c r="AB580" s="587"/>
      <c r="AC580" s="587"/>
      <c r="AE580" s="587"/>
      <c r="AF580" s="587"/>
      <c r="AG580" s="587"/>
      <c r="AH580" s="587"/>
      <c r="AI580" s="587"/>
      <c r="AJ580" s="587"/>
      <c r="AK580" s="587"/>
      <c r="AL580" s="587"/>
      <c r="AM580" s="587"/>
      <c r="AO580" s="587"/>
      <c r="AP580" s="587"/>
      <c r="AQ580" s="587"/>
      <c r="AR580" s="587"/>
      <c r="AS580" s="587"/>
      <c r="AT580" s="587"/>
      <c r="AU580" s="587"/>
      <c r="AV580" s="587"/>
      <c r="AW580" s="587"/>
    </row>
    <row r="581" spans="1:49">
      <c r="A581" s="581">
        <v>27030</v>
      </c>
      <c r="B581" s="594">
        <v>-7.1999999999999998E-3</v>
      </c>
      <c r="C581" s="577">
        <v>4.1799999999999997E-2</v>
      </c>
      <c r="D581" s="577">
        <v>6.0999999999999995E-3</v>
      </c>
      <c r="E581" s="577">
        <v>6.5249999999999996E-3</v>
      </c>
      <c r="F581" s="577">
        <v>6.6666666666666662E-3</v>
      </c>
      <c r="G581" s="577">
        <v>6.5958333333333329E-3</v>
      </c>
      <c r="H581" s="577">
        <v>6.9666666666666661E-3</v>
      </c>
      <c r="I581" s="577">
        <f t="shared" si="90"/>
        <v>-1.3299999999999999E-2</v>
      </c>
      <c r="J581" s="577">
        <f t="shared" si="94"/>
        <v>-1.3795833333333334E-2</v>
      </c>
      <c r="K581" s="577">
        <f t="shared" si="95"/>
        <v>3.4833333333333327E-2</v>
      </c>
      <c r="L581" s="585">
        <f t="shared" si="91"/>
        <v>-0.14013876203570674</v>
      </c>
      <c r="M581" s="585">
        <f t="shared" si="92"/>
        <v>7.3199999999999987E-2</v>
      </c>
      <c r="N581" s="585">
        <f t="shared" si="96"/>
        <v>7.9149999999999998E-2</v>
      </c>
      <c r="O581" s="586">
        <f t="shared" si="93"/>
        <v>-0.21333876203570673</v>
      </c>
      <c r="P581" s="585">
        <f t="shared" si="97"/>
        <v>-0.21928876203570674</v>
      </c>
      <c r="Q581" s="585">
        <f t="shared" si="98"/>
        <v>-0.10725153965720813</v>
      </c>
      <c r="R581" s="585">
        <f t="shared" si="99"/>
        <v>8.3599999999999994E-2</v>
      </c>
      <c r="S581" s="586">
        <f t="shared" si="100"/>
        <v>-0.19085153965720814</v>
      </c>
      <c r="U581" s="587"/>
      <c r="V581" s="587"/>
      <c r="W581" s="587"/>
      <c r="X581" s="587"/>
      <c r="Y581" s="587"/>
      <c r="Z581" s="587"/>
      <c r="AA581" s="587"/>
      <c r="AB581" s="587"/>
      <c r="AC581" s="587"/>
      <c r="AE581" s="587"/>
      <c r="AF581" s="587"/>
      <c r="AG581" s="587"/>
      <c r="AH581" s="587"/>
      <c r="AI581" s="587"/>
      <c r="AJ581" s="587"/>
      <c r="AK581" s="587"/>
      <c r="AL581" s="587"/>
      <c r="AM581" s="587"/>
      <c r="AO581" s="587"/>
      <c r="AP581" s="587"/>
      <c r="AQ581" s="587"/>
      <c r="AR581" s="587"/>
      <c r="AS581" s="587"/>
      <c r="AT581" s="587"/>
      <c r="AU581" s="587"/>
      <c r="AV581" s="587"/>
      <c r="AW581" s="587"/>
    </row>
    <row r="582" spans="1:49">
      <c r="A582" s="581">
        <v>27061</v>
      </c>
      <c r="B582" s="594">
        <v>-6.9999999999999999E-4</v>
      </c>
      <c r="C582" s="577">
        <v>6.0000000000000001E-3</v>
      </c>
      <c r="D582" s="577">
        <v>5.4999999999999997E-3</v>
      </c>
      <c r="E582" s="577">
        <v>6.541666666666667E-3</v>
      </c>
      <c r="F582" s="577">
        <v>6.7083333333333335E-3</v>
      </c>
      <c r="G582" s="577">
        <v>6.6250000000000007E-3</v>
      </c>
      <c r="H582" s="577">
        <v>7.0166666666666667E-3</v>
      </c>
      <c r="I582" s="577">
        <f t="shared" ref="I582:I645" si="101">B582-D582</f>
        <v>-6.1999999999999998E-3</v>
      </c>
      <c r="J582" s="577">
        <f t="shared" si="94"/>
        <v>-7.3250000000000008E-3</v>
      </c>
      <c r="K582" s="577">
        <f t="shared" si="95"/>
        <v>-1.0166666666666666E-3</v>
      </c>
      <c r="L582" s="585">
        <f t="shared" si="91"/>
        <v>-0.10939123642442128</v>
      </c>
      <c r="M582" s="585">
        <f t="shared" si="92"/>
        <v>6.6000000000000003E-2</v>
      </c>
      <c r="N582" s="585">
        <f t="shared" si="96"/>
        <v>7.9500000000000015E-2</v>
      </c>
      <c r="O582" s="586">
        <f t="shared" si="93"/>
        <v>-0.17539123642442128</v>
      </c>
      <c r="P582" s="585">
        <f t="shared" si="97"/>
        <v>-0.18889123642442129</v>
      </c>
      <c r="Q582" s="585">
        <f t="shared" si="98"/>
        <v>-8.0375843636239175E-2</v>
      </c>
      <c r="R582" s="585">
        <f t="shared" si="99"/>
        <v>8.4199999999999997E-2</v>
      </c>
      <c r="S582" s="586">
        <f t="shared" si="100"/>
        <v>-0.16457584363623917</v>
      </c>
      <c r="U582" s="587"/>
      <c r="V582" s="587"/>
      <c r="W582" s="587"/>
      <c r="X582" s="587"/>
      <c r="Y582" s="587"/>
      <c r="Z582" s="587"/>
      <c r="AA582" s="587"/>
      <c r="AB582" s="587"/>
      <c r="AC582" s="587"/>
      <c r="AE582" s="587"/>
      <c r="AF582" s="587"/>
      <c r="AG582" s="587"/>
      <c r="AH582" s="587"/>
      <c r="AI582" s="587"/>
      <c r="AJ582" s="587"/>
      <c r="AK582" s="587"/>
      <c r="AL582" s="587"/>
      <c r="AM582" s="587"/>
      <c r="AO582" s="587"/>
      <c r="AP582" s="587"/>
      <c r="AQ582" s="587"/>
      <c r="AR582" s="587"/>
      <c r="AS582" s="587"/>
      <c r="AT582" s="587"/>
      <c r="AU582" s="587"/>
      <c r="AV582" s="587"/>
      <c r="AW582" s="587"/>
    </row>
    <row r="583" spans="1:49">
      <c r="A583" s="581">
        <v>27089</v>
      </c>
      <c r="B583" s="594">
        <v>-2.0500000000000001E-2</v>
      </c>
      <c r="C583" s="577">
        <v>-3.8900000000000004E-2</v>
      </c>
      <c r="D583" s="577">
        <v>5.8999999999999999E-3</v>
      </c>
      <c r="E583" s="577">
        <v>6.6749999999999995E-3</v>
      </c>
      <c r="F583" s="577">
        <v>6.8166666666666662E-3</v>
      </c>
      <c r="G583" s="577">
        <v>6.7458333333333328E-3</v>
      </c>
      <c r="H583" s="577">
        <v>7.0500000000000007E-3</v>
      </c>
      <c r="I583" s="577">
        <f t="shared" si="101"/>
        <v>-2.64E-2</v>
      </c>
      <c r="J583" s="577">
        <f t="shared" si="94"/>
        <v>-2.7245833333333334E-2</v>
      </c>
      <c r="K583" s="577">
        <f t="shared" si="95"/>
        <v>-4.5950000000000005E-2</v>
      </c>
      <c r="L583" s="585">
        <f t="shared" si="91"/>
        <v>-0.1283460392463236</v>
      </c>
      <c r="M583" s="585">
        <f t="shared" si="92"/>
        <v>7.0800000000000002E-2</v>
      </c>
      <c r="N583" s="585">
        <f t="shared" si="96"/>
        <v>8.0949999999999994E-2</v>
      </c>
      <c r="O583" s="586">
        <f t="shared" si="93"/>
        <v>-0.1991460392463236</v>
      </c>
      <c r="P583" s="585">
        <f t="shared" si="97"/>
        <v>-0.20929603924632359</v>
      </c>
      <c r="Q583" s="585">
        <f t="shared" si="98"/>
        <v>-0.10405395166628439</v>
      </c>
      <c r="R583" s="585">
        <f t="shared" si="99"/>
        <v>8.4600000000000009E-2</v>
      </c>
      <c r="S583" s="586">
        <f t="shared" si="100"/>
        <v>-0.1886539516662844</v>
      </c>
      <c r="U583" s="587"/>
      <c r="V583" s="587"/>
      <c r="W583" s="587"/>
      <c r="X583" s="587"/>
      <c r="Y583" s="587"/>
      <c r="Z583" s="587"/>
      <c r="AA583" s="587"/>
      <c r="AB583" s="587"/>
      <c r="AC583" s="587"/>
      <c r="AE583" s="587"/>
      <c r="AF583" s="587"/>
      <c r="AG583" s="587"/>
      <c r="AH583" s="587"/>
      <c r="AI583" s="587"/>
      <c r="AJ583" s="587"/>
      <c r="AK583" s="587"/>
      <c r="AL583" s="587"/>
      <c r="AM583" s="587"/>
      <c r="AO583" s="587"/>
      <c r="AP583" s="587"/>
      <c r="AQ583" s="587"/>
      <c r="AR583" s="587"/>
      <c r="AS583" s="587"/>
      <c r="AT583" s="587"/>
      <c r="AU583" s="587"/>
      <c r="AV583" s="587"/>
      <c r="AW583" s="587"/>
    </row>
    <row r="584" spans="1:49">
      <c r="A584" s="581">
        <v>27120</v>
      </c>
      <c r="B584" s="594">
        <v>-3.5900000000000001E-2</v>
      </c>
      <c r="C584" s="577">
        <v>-0.12959999999999999</v>
      </c>
      <c r="D584" s="577">
        <v>6.7999999999999996E-3</v>
      </c>
      <c r="E584" s="577">
        <v>6.875E-3</v>
      </c>
      <c r="F584" s="577">
        <v>7.025E-3</v>
      </c>
      <c r="G584" s="577">
        <v>6.9500000000000004E-3</v>
      </c>
      <c r="H584" s="577">
        <v>7.3083333333333333E-3</v>
      </c>
      <c r="I584" s="577">
        <f t="shared" si="101"/>
        <v>-4.2700000000000002E-2</v>
      </c>
      <c r="J584" s="577">
        <f t="shared" si="94"/>
        <v>-4.2849999999999999E-2</v>
      </c>
      <c r="K584" s="577">
        <f t="shared" si="95"/>
        <v>-0.13690833333333333</v>
      </c>
      <c r="L584" s="585">
        <f t="shared" si="91"/>
        <v>-0.12617075640779929</v>
      </c>
      <c r="M584" s="585">
        <f t="shared" si="92"/>
        <v>8.1599999999999992E-2</v>
      </c>
      <c r="N584" s="585">
        <f t="shared" si="96"/>
        <v>8.3400000000000002E-2</v>
      </c>
      <c r="O584" s="586">
        <f t="shared" si="93"/>
        <v>-0.2077707564077993</v>
      </c>
      <c r="P584" s="585">
        <f t="shared" si="97"/>
        <v>-0.20957075640779929</v>
      </c>
      <c r="Q584" s="585">
        <f t="shared" si="98"/>
        <v>-0.216328569520987</v>
      </c>
      <c r="R584" s="585">
        <f t="shared" si="99"/>
        <v>8.77E-2</v>
      </c>
      <c r="S584" s="586">
        <f t="shared" si="100"/>
        <v>-0.304028569520987</v>
      </c>
      <c r="U584" s="587"/>
      <c r="V584" s="587"/>
      <c r="W584" s="587"/>
      <c r="X584" s="587"/>
      <c r="Y584" s="587"/>
      <c r="Z584" s="587"/>
      <c r="AA584" s="587"/>
      <c r="AB584" s="587"/>
      <c r="AC584" s="587"/>
      <c r="AE584" s="587"/>
      <c r="AF584" s="587"/>
      <c r="AG584" s="587"/>
      <c r="AH584" s="587"/>
      <c r="AI584" s="587"/>
      <c r="AJ584" s="587"/>
      <c r="AK584" s="587"/>
      <c r="AL584" s="587"/>
      <c r="AM584" s="587"/>
      <c r="AO584" s="587"/>
      <c r="AP584" s="587"/>
      <c r="AQ584" s="587"/>
      <c r="AR584" s="587"/>
      <c r="AS584" s="587"/>
      <c r="AT584" s="587"/>
      <c r="AU584" s="587"/>
      <c r="AV584" s="587"/>
      <c r="AW584" s="587"/>
    </row>
    <row r="585" spans="1:49">
      <c r="A585" s="581">
        <v>27150</v>
      </c>
      <c r="B585" s="594">
        <v>-3.0200000000000001E-2</v>
      </c>
      <c r="C585" s="577">
        <v>-4.8399999999999999E-2</v>
      </c>
      <c r="D585" s="577">
        <v>6.7999999999999996E-3</v>
      </c>
      <c r="E585" s="577">
        <v>6.9749999999999986E-3</v>
      </c>
      <c r="F585" s="577">
        <v>7.1500000000000001E-3</v>
      </c>
      <c r="G585" s="577">
        <v>7.0624999999999993E-3</v>
      </c>
      <c r="H585" s="577">
        <v>7.4999999999999997E-3</v>
      </c>
      <c r="I585" s="577">
        <f t="shared" si="101"/>
        <v>-3.6999999999999998E-2</v>
      </c>
      <c r="J585" s="577">
        <f t="shared" si="94"/>
        <v>-3.7262500000000004E-2</v>
      </c>
      <c r="K585" s="577">
        <f t="shared" si="95"/>
        <v>-5.5899999999999998E-2</v>
      </c>
      <c r="L585" s="585">
        <f t="shared" si="91"/>
        <v>-0.13851824699022453</v>
      </c>
      <c r="M585" s="585">
        <f t="shared" si="92"/>
        <v>8.1599999999999992E-2</v>
      </c>
      <c r="N585" s="585">
        <f t="shared" si="96"/>
        <v>8.4749999999999992E-2</v>
      </c>
      <c r="O585" s="586">
        <f t="shared" si="93"/>
        <v>-0.22011824699022453</v>
      </c>
      <c r="P585" s="585">
        <f t="shared" si="97"/>
        <v>-0.22326824699022452</v>
      </c>
      <c r="Q585" s="585">
        <f t="shared" si="98"/>
        <v>-0.25922148282126856</v>
      </c>
      <c r="R585" s="585">
        <f t="shared" si="99"/>
        <v>0.09</v>
      </c>
      <c r="S585" s="586">
        <f t="shared" si="100"/>
        <v>-0.34922148282126853</v>
      </c>
      <c r="U585" s="587"/>
      <c r="V585" s="587"/>
      <c r="W585" s="587"/>
      <c r="X585" s="587"/>
      <c r="Y585" s="587"/>
      <c r="Z585" s="587"/>
      <c r="AA585" s="587"/>
      <c r="AB585" s="587"/>
      <c r="AC585" s="587"/>
      <c r="AE585" s="587"/>
      <c r="AF585" s="587"/>
      <c r="AG585" s="587"/>
      <c r="AH585" s="587"/>
      <c r="AI585" s="587"/>
      <c r="AJ585" s="587"/>
      <c r="AK585" s="587"/>
      <c r="AL585" s="587"/>
      <c r="AM585" s="587"/>
      <c r="AO585" s="587"/>
      <c r="AP585" s="587"/>
      <c r="AQ585" s="587"/>
      <c r="AR585" s="587"/>
      <c r="AS585" s="587"/>
      <c r="AT585" s="587"/>
      <c r="AU585" s="587"/>
      <c r="AV585" s="587"/>
      <c r="AW585" s="587"/>
    </row>
    <row r="586" spans="1:49">
      <c r="A586" s="581">
        <v>27181</v>
      </c>
      <c r="B586" s="594">
        <v>-1.1299999999999999E-2</v>
      </c>
      <c r="C586" s="577">
        <v>-5.6999999999999995E-2</v>
      </c>
      <c r="D586" s="577">
        <v>6.0999999999999995E-3</v>
      </c>
      <c r="E586" s="577">
        <v>7.058333333333334E-3</v>
      </c>
      <c r="F586" s="577">
        <v>7.2916666666666659E-3</v>
      </c>
      <c r="G586" s="577">
        <v>7.175E-3</v>
      </c>
      <c r="H586" s="577">
        <v>7.7666666666666674E-3</v>
      </c>
      <c r="I586" s="577">
        <f t="shared" si="101"/>
        <v>-1.7399999999999999E-2</v>
      </c>
      <c r="J586" s="577">
        <f t="shared" si="94"/>
        <v>-1.8474999999999998E-2</v>
      </c>
      <c r="K586" s="577">
        <f t="shared" si="95"/>
        <v>-6.4766666666666667E-2</v>
      </c>
      <c r="L586" s="585">
        <f t="shared" si="91"/>
        <v>-0.14483232007955305</v>
      </c>
      <c r="M586" s="585">
        <f t="shared" si="92"/>
        <v>7.3199999999999987E-2</v>
      </c>
      <c r="N586" s="585">
        <f t="shared" si="96"/>
        <v>8.6099999999999996E-2</v>
      </c>
      <c r="O586" s="586">
        <f t="shared" si="93"/>
        <v>-0.21803232007955303</v>
      </c>
      <c r="P586" s="585">
        <f t="shared" si="97"/>
        <v>-0.23093232007955306</v>
      </c>
      <c r="Q586" s="585">
        <f t="shared" si="98"/>
        <v>-0.28958187562336646</v>
      </c>
      <c r="R586" s="585">
        <f t="shared" si="99"/>
        <v>9.3200000000000005E-2</v>
      </c>
      <c r="S586" s="586">
        <f t="shared" si="100"/>
        <v>-0.38278187562336646</v>
      </c>
      <c r="U586" s="587"/>
      <c r="V586" s="587"/>
      <c r="W586" s="587"/>
      <c r="X586" s="587"/>
      <c r="Y586" s="587"/>
      <c r="Z586" s="587"/>
      <c r="AA586" s="587"/>
      <c r="AB586" s="587"/>
      <c r="AC586" s="587"/>
      <c r="AE586" s="587"/>
      <c r="AF586" s="587"/>
      <c r="AG586" s="587"/>
      <c r="AH586" s="587"/>
      <c r="AI586" s="587"/>
      <c r="AJ586" s="587"/>
      <c r="AK586" s="587"/>
      <c r="AL586" s="587"/>
      <c r="AM586" s="587"/>
      <c r="AO586" s="587"/>
      <c r="AP586" s="587"/>
      <c r="AQ586" s="587"/>
      <c r="AR586" s="587"/>
      <c r="AS586" s="587"/>
      <c r="AT586" s="587"/>
      <c r="AU586" s="587"/>
      <c r="AV586" s="587"/>
      <c r="AW586" s="587"/>
    </row>
    <row r="587" spans="1:49">
      <c r="A587" s="581">
        <v>27211</v>
      </c>
      <c r="B587" s="594">
        <v>-7.4200000000000002E-2</v>
      </c>
      <c r="C587" s="577">
        <v>-8.8999999999999982E-3</v>
      </c>
      <c r="D587" s="577">
        <v>7.1999999999999998E-3</v>
      </c>
      <c r="E587" s="577">
        <v>7.2666666666666669E-3</v>
      </c>
      <c r="F587" s="577">
        <v>7.5083333333333339E-3</v>
      </c>
      <c r="G587" s="577">
        <v>7.3875E-3</v>
      </c>
      <c r="H587" s="577">
        <v>8.0499999999999999E-3</v>
      </c>
      <c r="I587" s="577">
        <f t="shared" si="101"/>
        <v>-8.14E-2</v>
      </c>
      <c r="J587" s="577">
        <f t="shared" si="94"/>
        <v>-8.1587500000000007E-2</v>
      </c>
      <c r="K587" s="577">
        <f t="shared" si="95"/>
        <v>-1.695E-2</v>
      </c>
      <c r="L587" s="585">
        <f t="shared" si="91"/>
        <v>-0.23924835392490651</v>
      </c>
      <c r="M587" s="585">
        <f t="shared" si="92"/>
        <v>8.6400000000000005E-2</v>
      </c>
      <c r="N587" s="585">
        <f t="shared" si="96"/>
        <v>8.8650000000000007E-2</v>
      </c>
      <c r="O587" s="586">
        <f t="shared" si="93"/>
        <v>-0.32564835392490654</v>
      </c>
      <c r="P587" s="585">
        <f t="shared" si="97"/>
        <v>-0.32789835392490652</v>
      </c>
      <c r="Q587" s="585">
        <f t="shared" si="98"/>
        <v>-0.28160860823417866</v>
      </c>
      <c r="R587" s="585">
        <f t="shared" si="99"/>
        <v>9.6599999999999991E-2</v>
      </c>
      <c r="S587" s="586">
        <f t="shared" si="100"/>
        <v>-0.37820860823417868</v>
      </c>
      <c r="U587" s="587"/>
      <c r="V587" s="587"/>
      <c r="W587" s="587"/>
      <c r="X587" s="587"/>
      <c r="Y587" s="587"/>
      <c r="Z587" s="587"/>
      <c r="AA587" s="587"/>
      <c r="AB587" s="587"/>
      <c r="AC587" s="587"/>
      <c r="AE587" s="587"/>
      <c r="AF587" s="587"/>
      <c r="AG587" s="587"/>
      <c r="AH587" s="587"/>
      <c r="AI587" s="587"/>
      <c r="AJ587" s="587"/>
      <c r="AK587" s="587"/>
      <c r="AL587" s="587"/>
      <c r="AM587" s="587"/>
      <c r="AO587" s="587"/>
      <c r="AP587" s="587"/>
      <c r="AQ587" s="587"/>
      <c r="AR587" s="587"/>
      <c r="AS587" s="587"/>
      <c r="AT587" s="587"/>
      <c r="AU587" s="587"/>
      <c r="AV587" s="587"/>
      <c r="AW587" s="587"/>
    </row>
    <row r="588" spans="1:49">
      <c r="A588" s="581">
        <v>27242</v>
      </c>
      <c r="B588" s="594">
        <v>-8.6400000000000005E-2</v>
      </c>
      <c r="C588" s="577">
        <v>-8.7099999999999997E-2</v>
      </c>
      <c r="D588" s="577">
        <v>6.5000000000000006E-3</v>
      </c>
      <c r="E588" s="577">
        <v>7.4999999999999997E-3</v>
      </c>
      <c r="F588" s="577">
        <v>7.7333333333333334E-3</v>
      </c>
      <c r="G588" s="577">
        <v>7.6166666666666674E-3</v>
      </c>
      <c r="H588" s="577">
        <v>8.3583333333333339E-3</v>
      </c>
      <c r="I588" s="577">
        <f t="shared" si="101"/>
        <v>-9.290000000000001E-2</v>
      </c>
      <c r="J588" s="577">
        <f t="shared" si="94"/>
        <v>-9.4016666666666665E-2</v>
      </c>
      <c r="K588" s="577">
        <f t="shared" si="95"/>
        <v>-9.5458333333333326E-2</v>
      </c>
      <c r="L588" s="585">
        <f t="shared" si="91"/>
        <v>-0.2804403107421003</v>
      </c>
      <c r="M588" s="585">
        <f t="shared" si="92"/>
        <v>7.8000000000000014E-2</v>
      </c>
      <c r="N588" s="585">
        <f t="shared" si="96"/>
        <v>9.1400000000000009E-2</v>
      </c>
      <c r="O588" s="586">
        <f t="shared" si="93"/>
        <v>-0.35844031074210031</v>
      </c>
      <c r="P588" s="585">
        <f t="shared" si="97"/>
        <v>-0.37184031074210033</v>
      </c>
      <c r="Q588" s="585">
        <f t="shared" si="98"/>
        <v>-0.3250108053283054</v>
      </c>
      <c r="R588" s="585">
        <f t="shared" si="99"/>
        <v>0.1003</v>
      </c>
      <c r="S588" s="586">
        <f t="shared" si="100"/>
        <v>-0.4253108053283054</v>
      </c>
      <c r="U588" s="587"/>
      <c r="V588" s="587"/>
      <c r="W588" s="587"/>
      <c r="X588" s="587"/>
      <c r="Y588" s="587"/>
      <c r="Z588" s="587"/>
      <c r="AA588" s="587"/>
      <c r="AB588" s="587"/>
      <c r="AC588" s="587"/>
      <c r="AE588" s="587"/>
      <c r="AF588" s="587"/>
      <c r="AG588" s="587"/>
      <c r="AH588" s="587"/>
      <c r="AI588" s="587"/>
      <c r="AJ588" s="587"/>
      <c r="AK588" s="587"/>
      <c r="AL588" s="587"/>
      <c r="AM588" s="587"/>
      <c r="AO588" s="587"/>
      <c r="AP588" s="587"/>
      <c r="AQ588" s="587"/>
      <c r="AR588" s="587"/>
      <c r="AS588" s="587"/>
      <c r="AT588" s="587"/>
      <c r="AU588" s="587"/>
      <c r="AV588" s="587"/>
      <c r="AW588" s="587"/>
    </row>
    <row r="589" spans="1:49">
      <c r="A589" s="581">
        <v>27273</v>
      </c>
      <c r="B589" s="594">
        <v>-0.1152</v>
      </c>
      <c r="C589" s="577">
        <v>-8.6E-3</v>
      </c>
      <c r="D589" s="577">
        <v>7.1000000000000004E-3</v>
      </c>
      <c r="E589" s="577">
        <v>7.7000000000000002E-3</v>
      </c>
      <c r="F589" s="577">
        <v>8.0499999999999999E-3</v>
      </c>
      <c r="G589" s="577">
        <v>7.8750000000000001E-3</v>
      </c>
      <c r="H589" s="577">
        <v>8.7083333333333353E-3</v>
      </c>
      <c r="I589" s="577">
        <f t="shared" si="101"/>
        <v>-0.12229999999999999</v>
      </c>
      <c r="J589" s="577">
        <f t="shared" si="94"/>
        <v>-0.12307499999999999</v>
      </c>
      <c r="K589" s="577">
        <f t="shared" si="95"/>
        <v>-1.7308333333333335E-2</v>
      </c>
      <c r="L589" s="585">
        <f t="shared" si="91"/>
        <v>-0.38940595276168621</v>
      </c>
      <c r="M589" s="585">
        <f t="shared" si="92"/>
        <v>8.5199999999999998E-2</v>
      </c>
      <c r="N589" s="585">
        <f t="shared" si="96"/>
        <v>9.4500000000000001E-2</v>
      </c>
      <c r="O589" s="586">
        <f t="shared" si="93"/>
        <v>-0.47460595276168621</v>
      </c>
      <c r="P589" s="585">
        <f t="shared" si="97"/>
        <v>-0.48390595276168624</v>
      </c>
      <c r="Q589" s="585">
        <f t="shared" si="98"/>
        <v>-0.37871665806562249</v>
      </c>
      <c r="R589" s="585">
        <f t="shared" si="99"/>
        <v>0.10450000000000002</v>
      </c>
      <c r="S589" s="586">
        <f t="shared" si="100"/>
        <v>-0.48321665806562253</v>
      </c>
      <c r="U589" s="587"/>
      <c r="V589" s="587"/>
      <c r="W589" s="587"/>
      <c r="X589" s="587"/>
      <c r="Y589" s="587"/>
      <c r="Z589" s="587"/>
      <c r="AA589" s="587"/>
      <c r="AB589" s="587"/>
      <c r="AC589" s="587"/>
      <c r="AE589" s="587"/>
      <c r="AF589" s="587"/>
      <c r="AG589" s="587"/>
      <c r="AH589" s="587"/>
      <c r="AI589" s="587"/>
      <c r="AJ589" s="587"/>
      <c r="AK589" s="587"/>
      <c r="AL589" s="587"/>
      <c r="AM589" s="587"/>
      <c r="AO589" s="587"/>
      <c r="AP589" s="587"/>
      <c r="AQ589" s="587"/>
      <c r="AR589" s="587"/>
      <c r="AS589" s="587"/>
      <c r="AT589" s="587"/>
      <c r="AU589" s="587"/>
      <c r="AV589" s="587"/>
      <c r="AW589" s="587"/>
    </row>
    <row r="590" spans="1:49">
      <c r="A590" s="581">
        <v>27303</v>
      </c>
      <c r="B590" s="594">
        <v>0.1681</v>
      </c>
      <c r="C590" s="577">
        <v>0.11990000000000001</v>
      </c>
      <c r="D590" s="577">
        <v>7.000000000000001E-3</v>
      </c>
      <c r="E590" s="577">
        <v>7.7249999999999992E-3</v>
      </c>
      <c r="F590" s="577">
        <v>8.0333333333333333E-3</v>
      </c>
      <c r="G590" s="577">
        <v>7.8791666666666663E-3</v>
      </c>
      <c r="H590" s="577">
        <v>8.9833333333333328E-3</v>
      </c>
      <c r="I590" s="577">
        <f t="shared" si="101"/>
        <v>0.16109999999999999</v>
      </c>
      <c r="J590" s="577">
        <f t="shared" si="94"/>
        <v>0.16022083333333334</v>
      </c>
      <c r="K590" s="577">
        <f t="shared" si="95"/>
        <v>0.11091666666666668</v>
      </c>
      <c r="L590" s="585">
        <f t="shared" si="91"/>
        <v>-0.28797553501140638</v>
      </c>
      <c r="M590" s="585">
        <f t="shared" si="92"/>
        <v>8.4000000000000019E-2</v>
      </c>
      <c r="N590" s="585">
        <f t="shared" si="96"/>
        <v>9.4549999999999995E-2</v>
      </c>
      <c r="O590" s="586">
        <f t="shared" si="93"/>
        <v>-0.3719755350114064</v>
      </c>
      <c r="P590" s="585">
        <f t="shared" si="97"/>
        <v>-0.3825255350114064</v>
      </c>
      <c r="Q590" s="585">
        <f t="shared" si="98"/>
        <v>-0.27613897770254969</v>
      </c>
      <c r="R590" s="585">
        <f t="shared" si="99"/>
        <v>0.10779999999999999</v>
      </c>
      <c r="S590" s="586">
        <f t="shared" si="100"/>
        <v>-0.3839389777025497</v>
      </c>
      <c r="U590" s="587"/>
      <c r="V590" s="587"/>
      <c r="W590" s="587"/>
      <c r="X590" s="587"/>
      <c r="Y590" s="587"/>
      <c r="Z590" s="587"/>
      <c r="AA590" s="587"/>
      <c r="AB590" s="587"/>
      <c r="AC590" s="587"/>
      <c r="AE590" s="587"/>
      <c r="AF590" s="587"/>
      <c r="AG590" s="587"/>
      <c r="AH590" s="587"/>
      <c r="AI590" s="587"/>
      <c r="AJ590" s="587"/>
      <c r="AK590" s="587"/>
      <c r="AL590" s="587"/>
      <c r="AM590" s="587"/>
      <c r="AO590" s="587"/>
      <c r="AP590" s="587"/>
      <c r="AQ590" s="587"/>
      <c r="AR590" s="587"/>
      <c r="AS590" s="587"/>
      <c r="AT590" s="587"/>
      <c r="AU590" s="587"/>
      <c r="AV590" s="587"/>
      <c r="AW590" s="587"/>
    </row>
    <row r="591" spans="1:49">
      <c r="A591" s="581">
        <v>27334</v>
      </c>
      <c r="B591" s="594">
        <v>-4.8899999999999999E-2</v>
      </c>
      <c r="C591" s="577">
        <v>-1.1900000000000001E-2</v>
      </c>
      <c r="D591" s="577">
        <v>6.1999999999999998E-3</v>
      </c>
      <c r="E591" s="577">
        <v>7.4083333333333336E-3</v>
      </c>
      <c r="F591" s="577">
        <v>7.7833333333333331E-3</v>
      </c>
      <c r="G591" s="577">
        <v>7.5958333333333329E-3</v>
      </c>
      <c r="H591" s="577">
        <v>8.7166666666666677E-3</v>
      </c>
      <c r="I591" s="577">
        <f t="shared" si="101"/>
        <v>-5.5099999999999996E-2</v>
      </c>
      <c r="J591" s="577">
        <f t="shared" si="94"/>
        <v>-5.6495833333333328E-2</v>
      </c>
      <c r="K591" s="577">
        <f t="shared" si="95"/>
        <v>-2.0616666666666669E-2</v>
      </c>
      <c r="L591" s="585">
        <f t="shared" si="91"/>
        <v>-0.23832362090805137</v>
      </c>
      <c r="M591" s="585">
        <f t="shared" si="92"/>
        <v>7.4399999999999994E-2</v>
      </c>
      <c r="N591" s="585">
        <f t="shared" si="96"/>
        <v>9.1149999999999995E-2</v>
      </c>
      <c r="O591" s="586">
        <f t="shared" si="93"/>
        <v>-0.31272362090805139</v>
      </c>
      <c r="P591" s="585">
        <f t="shared" si="97"/>
        <v>-0.32947362090805138</v>
      </c>
      <c r="Q591" s="585">
        <f t="shared" si="98"/>
        <v>-0.18979714982769536</v>
      </c>
      <c r="R591" s="585">
        <f t="shared" si="99"/>
        <v>0.10460000000000001</v>
      </c>
      <c r="S591" s="586">
        <f t="shared" si="100"/>
        <v>-0.29439714982769538</v>
      </c>
      <c r="U591" s="587"/>
      <c r="V591" s="587"/>
      <c r="W591" s="587"/>
      <c r="X591" s="587"/>
      <c r="Y591" s="587"/>
      <c r="Z591" s="587"/>
      <c r="AA591" s="587"/>
      <c r="AB591" s="587"/>
      <c r="AC591" s="587"/>
      <c r="AE591" s="587"/>
      <c r="AF591" s="587"/>
      <c r="AG591" s="587"/>
      <c r="AH591" s="587"/>
      <c r="AI591" s="587"/>
      <c r="AJ591" s="587"/>
      <c r="AK591" s="587"/>
      <c r="AL591" s="587"/>
      <c r="AM591" s="587"/>
      <c r="AO591" s="587"/>
      <c r="AP591" s="587"/>
      <c r="AQ591" s="587"/>
      <c r="AR591" s="587"/>
      <c r="AS591" s="587"/>
      <c r="AT591" s="587"/>
      <c r="AU591" s="587"/>
      <c r="AV591" s="587"/>
      <c r="AW591" s="587"/>
    </row>
    <row r="592" spans="1:49">
      <c r="A592" s="581">
        <v>27364</v>
      </c>
      <c r="B592" s="594">
        <v>-1.5599999999999999E-2</v>
      </c>
      <c r="C592" s="577">
        <v>4.4000000000000003E-3</v>
      </c>
      <c r="D592" s="577">
        <v>6.7000000000000002E-3</v>
      </c>
      <c r="E592" s="577">
        <v>7.4083333333333336E-3</v>
      </c>
      <c r="F592" s="577">
        <v>7.6666666666666662E-3</v>
      </c>
      <c r="G592" s="577">
        <v>7.5374999999999991E-3</v>
      </c>
      <c r="H592" s="577">
        <v>8.5583333333333327E-3</v>
      </c>
      <c r="I592" s="577">
        <f t="shared" si="101"/>
        <v>-2.23E-2</v>
      </c>
      <c r="J592" s="577">
        <f t="shared" si="94"/>
        <v>-2.3137499999999998E-2</v>
      </c>
      <c r="K592" s="577">
        <f t="shared" si="95"/>
        <v>-4.1583333333333325E-3</v>
      </c>
      <c r="L592" s="585">
        <f t="shared" ref="L592:L655" si="102">((1+B581)*(1+B582)*(1+B583)*(1+B584)*(1+B585)*(1+B586)*(1+B587)*(1+B588)*(1+B589)*(1+B590)*(1+B591)*(1+B592))-1</f>
        <v>-0.26476345599322015</v>
      </c>
      <c r="M592" s="585">
        <f t="shared" ref="M592:M655" si="103">D592*12</f>
        <v>8.0399999999999999E-2</v>
      </c>
      <c r="N592" s="585">
        <f t="shared" si="96"/>
        <v>9.0449999999999989E-2</v>
      </c>
      <c r="O592" s="586">
        <f t="shared" ref="O592:O655" si="104">L592-M592</f>
        <v>-0.34516345599322018</v>
      </c>
      <c r="P592" s="585">
        <f t="shared" si="97"/>
        <v>-0.35521345599322013</v>
      </c>
      <c r="Q592" s="585">
        <f t="shared" si="98"/>
        <v>-0.21564554919222856</v>
      </c>
      <c r="R592" s="585">
        <f t="shared" si="99"/>
        <v>0.10269999999999999</v>
      </c>
      <c r="S592" s="586">
        <f t="shared" si="100"/>
        <v>-0.31834554919222857</v>
      </c>
      <c r="U592" s="587"/>
      <c r="V592" s="587"/>
      <c r="W592" s="587"/>
      <c r="X592" s="587"/>
      <c r="Y592" s="587"/>
      <c r="Z592" s="587"/>
      <c r="AA592" s="587"/>
      <c r="AB592" s="587"/>
      <c r="AC592" s="587"/>
      <c r="AE592" s="587"/>
      <c r="AF592" s="587"/>
      <c r="AG592" s="587"/>
      <c r="AH592" s="587"/>
      <c r="AI592" s="587"/>
      <c r="AJ592" s="587"/>
      <c r="AK592" s="587"/>
      <c r="AL592" s="587"/>
      <c r="AM592" s="587"/>
      <c r="AO592" s="587"/>
      <c r="AP592" s="587"/>
      <c r="AQ592" s="587"/>
      <c r="AR592" s="587"/>
      <c r="AS592" s="587"/>
      <c r="AT592" s="587"/>
      <c r="AU592" s="587"/>
      <c r="AV592" s="587"/>
      <c r="AW592" s="587"/>
    </row>
    <row r="593" spans="1:49">
      <c r="A593" s="581">
        <v>27395</v>
      </c>
      <c r="B593" s="594">
        <v>0.12720000000000001</v>
      </c>
      <c r="C593" s="577">
        <v>0.18969999999999998</v>
      </c>
      <c r="D593" s="577">
        <v>6.7999999999999996E-3</v>
      </c>
      <c r="E593" s="577">
        <v>7.358333333333333E-3</v>
      </c>
      <c r="F593" s="577">
        <v>7.6083333333333333E-3</v>
      </c>
      <c r="G593" s="577">
        <v>7.4833333333333332E-3</v>
      </c>
      <c r="H593" s="577">
        <v>8.6416666666666673E-3</v>
      </c>
      <c r="I593" s="577">
        <f t="shared" si="101"/>
        <v>0.12040000000000001</v>
      </c>
      <c r="J593" s="577">
        <f t="shared" si="94"/>
        <v>0.11971666666666668</v>
      </c>
      <c r="K593" s="577">
        <f t="shared" si="95"/>
        <v>0.18105833333333332</v>
      </c>
      <c r="L593" s="585">
        <f t="shared" si="102"/>
        <v>-0.1652310310188938</v>
      </c>
      <c r="M593" s="585">
        <f t="shared" si="103"/>
        <v>8.1599999999999992E-2</v>
      </c>
      <c r="N593" s="585">
        <f t="shared" si="96"/>
        <v>8.9799999999999991E-2</v>
      </c>
      <c r="O593" s="586">
        <f t="shared" si="104"/>
        <v>-0.24683103101889381</v>
      </c>
      <c r="P593" s="585">
        <f t="shared" si="97"/>
        <v>-0.25503103101889379</v>
      </c>
      <c r="Q593" s="585">
        <f t="shared" si="98"/>
        <v>-0.10429401984449438</v>
      </c>
      <c r="R593" s="585">
        <f t="shared" si="99"/>
        <v>0.10370000000000001</v>
      </c>
      <c r="S593" s="586">
        <f t="shared" si="100"/>
        <v>-0.20799401984449439</v>
      </c>
      <c r="U593" s="587"/>
      <c r="V593" s="587"/>
      <c r="W593" s="587"/>
      <c r="X593" s="587"/>
      <c r="Y593" s="587"/>
      <c r="Z593" s="587"/>
      <c r="AA593" s="587"/>
      <c r="AB593" s="587"/>
      <c r="AC593" s="587"/>
      <c r="AE593" s="587"/>
      <c r="AF593" s="587"/>
      <c r="AG593" s="587"/>
      <c r="AH593" s="587"/>
      <c r="AI593" s="587"/>
      <c r="AJ593" s="587"/>
      <c r="AK593" s="587"/>
      <c r="AL593" s="587"/>
      <c r="AM593" s="587"/>
      <c r="AO593" s="587"/>
      <c r="AP593" s="587"/>
      <c r="AQ593" s="587"/>
      <c r="AR593" s="587"/>
      <c r="AS593" s="587"/>
      <c r="AT593" s="587"/>
      <c r="AU593" s="587"/>
      <c r="AV593" s="587"/>
      <c r="AW593" s="587"/>
    </row>
    <row r="594" spans="1:49">
      <c r="A594" s="581">
        <v>27426</v>
      </c>
      <c r="B594" s="594">
        <v>6.3799999999999996E-2</v>
      </c>
      <c r="C594" s="577">
        <v>1.43E-2</v>
      </c>
      <c r="D594" s="577">
        <v>6.0000000000000001E-3</v>
      </c>
      <c r="E594" s="577">
        <v>7.1833333333333324E-3</v>
      </c>
      <c r="F594" s="577">
        <v>7.4250000000000002E-3</v>
      </c>
      <c r="G594" s="577">
        <v>7.3041666666666671E-3</v>
      </c>
      <c r="H594" s="577">
        <v>8.3250000000000008E-3</v>
      </c>
      <c r="I594" s="577">
        <f t="shared" si="101"/>
        <v>5.7799999999999997E-2</v>
      </c>
      <c r="J594" s="577">
        <f t="shared" si="94"/>
        <v>5.6495833333333328E-2</v>
      </c>
      <c r="K594" s="577">
        <f t="shared" si="95"/>
        <v>5.9749999999999994E-3</v>
      </c>
      <c r="L594" s="585">
        <f t="shared" si="102"/>
        <v>-0.11135071629930871</v>
      </c>
      <c r="M594" s="585">
        <f t="shared" si="103"/>
        <v>7.2000000000000008E-2</v>
      </c>
      <c r="N594" s="585">
        <f t="shared" si="96"/>
        <v>8.7650000000000006E-2</v>
      </c>
      <c r="O594" s="586">
        <f t="shared" si="104"/>
        <v>-0.18335071629930871</v>
      </c>
      <c r="P594" s="585">
        <f t="shared" si="97"/>
        <v>-0.19900071629930871</v>
      </c>
      <c r="Q594" s="585">
        <f t="shared" si="98"/>
        <v>-9.69040003263133E-2</v>
      </c>
      <c r="R594" s="585">
        <f t="shared" si="99"/>
        <v>9.9900000000000017E-2</v>
      </c>
      <c r="S594" s="586">
        <f t="shared" si="100"/>
        <v>-0.19680400032631332</v>
      </c>
      <c r="U594" s="587"/>
      <c r="V594" s="587"/>
      <c r="W594" s="587"/>
      <c r="X594" s="587"/>
      <c r="Y594" s="587"/>
      <c r="Z594" s="587"/>
      <c r="AA594" s="587"/>
      <c r="AB594" s="587"/>
      <c r="AC594" s="587"/>
      <c r="AE594" s="587"/>
      <c r="AF594" s="587"/>
      <c r="AG594" s="587"/>
      <c r="AH594" s="587"/>
      <c r="AI594" s="587"/>
      <c r="AJ594" s="587"/>
      <c r="AK594" s="587"/>
      <c r="AL594" s="587"/>
      <c r="AM594" s="587"/>
      <c r="AO594" s="587"/>
      <c r="AP594" s="587"/>
      <c r="AQ594" s="587"/>
      <c r="AR594" s="587"/>
      <c r="AS594" s="587"/>
      <c r="AT594" s="587"/>
      <c r="AU594" s="587"/>
      <c r="AV594" s="587"/>
      <c r="AW594" s="587"/>
    </row>
    <row r="595" spans="1:49">
      <c r="A595" s="581">
        <v>27454</v>
      </c>
      <c r="B595" s="594">
        <v>2.5399999999999999E-2</v>
      </c>
      <c r="C595" s="577">
        <v>-2.1600000000000001E-2</v>
      </c>
      <c r="D595" s="577">
        <v>6.6E-3</v>
      </c>
      <c r="E595" s="577">
        <v>7.2250000000000005E-3</v>
      </c>
      <c r="F595" s="577">
        <v>7.4333333333333326E-3</v>
      </c>
      <c r="G595" s="577">
        <v>7.329166666666667E-3</v>
      </c>
      <c r="H595" s="577">
        <v>8.1000000000000013E-3</v>
      </c>
      <c r="I595" s="577">
        <f t="shared" si="101"/>
        <v>1.8799999999999997E-2</v>
      </c>
      <c r="J595" s="577">
        <f t="shared" si="94"/>
        <v>1.8070833333333331E-2</v>
      </c>
      <c r="K595" s="577">
        <f t="shared" si="95"/>
        <v>-2.9700000000000004E-2</v>
      </c>
      <c r="L595" s="585">
        <f t="shared" si="102"/>
        <v>-6.9708039298939206E-2</v>
      </c>
      <c r="M595" s="585">
        <f t="shared" si="103"/>
        <v>7.9199999999999993E-2</v>
      </c>
      <c r="N595" s="585">
        <f t="shared" si="96"/>
        <v>8.795E-2</v>
      </c>
      <c r="O595" s="586">
        <f t="shared" si="104"/>
        <v>-0.1489080392989392</v>
      </c>
      <c r="P595" s="585">
        <f t="shared" si="97"/>
        <v>-0.15765803929893921</v>
      </c>
      <c r="Q595" s="585">
        <f t="shared" si="98"/>
        <v>-8.0648084402522469E-2</v>
      </c>
      <c r="R595" s="585">
        <f t="shared" si="99"/>
        <v>9.7200000000000009E-2</v>
      </c>
      <c r="S595" s="586">
        <f t="shared" si="100"/>
        <v>-0.17784808440252248</v>
      </c>
      <c r="U595" s="587"/>
      <c r="V595" s="587"/>
      <c r="W595" s="587"/>
      <c r="X595" s="587"/>
      <c r="Y595" s="587"/>
      <c r="Z595" s="587"/>
      <c r="AA595" s="587"/>
      <c r="AB595" s="587"/>
      <c r="AC595" s="587"/>
      <c r="AE595" s="587"/>
      <c r="AF595" s="587"/>
      <c r="AG595" s="587"/>
      <c r="AH595" s="587"/>
      <c r="AI595" s="587"/>
      <c r="AJ595" s="587"/>
      <c r="AK595" s="587"/>
      <c r="AL595" s="587"/>
      <c r="AM595" s="587"/>
      <c r="AO595" s="587"/>
      <c r="AP595" s="587"/>
      <c r="AQ595" s="587"/>
      <c r="AR595" s="587"/>
      <c r="AS595" s="587"/>
      <c r="AT595" s="587"/>
      <c r="AU595" s="587"/>
      <c r="AV595" s="587"/>
      <c r="AW595" s="587"/>
    </row>
    <row r="596" spans="1:49">
      <c r="A596" s="581">
        <v>27485</v>
      </c>
      <c r="B596" s="594">
        <v>5.0999999999999997E-2</v>
      </c>
      <c r="C596" s="577">
        <v>-1.4000000000000002E-2</v>
      </c>
      <c r="D596" s="577">
        <v>6.7000000000000002E-3</v>
      </c>
      <c r="E596" s="577">
        <v>7.4583333333333324E-3</v>
      </c>
      <c r="F596" s="577">
        <v>7.658333333333333E-3</v>
      </c>
      <c r="G596" s="577">
        <v>7.5583333333333327E-3</v>
      </c>
      <c r="H596" s="577">
        <v>8.3833333333333329E-3</v>
      </c>
      <c r="I596" s="577">
        <f t="shared" si="101"/>
        <v>4.4299999999999999E-2</v>
      </c>
      <c r="J596" s="577">
        <f t="shared" si="94"/>
        <v>4.3441666666666663E-2</v>
      </c>
      <c r="K596" s="577">
        <f t="shared" si="95"/>
        <v>-2.2383333333333335E-2</v>
      </c>
      <c r="L596" s="585">
        <f t="shared" si="102"/>
        <v>1.4144643394683909E-2</v>
      </c>
      <c r="M596" s="585">
        <f t="shared" si="103"/>
        <v>8.0399999999999999E-2</v>
      </c>
      <c r="N596" s="585">
        <f t="shared" si="96"/>
        <v>9.0699999999999989E-2</v>
      </c>
      <c r="O596" s="586">
        <f t="shared" si="104"/>
        <v>-6.625535660531609E-2</v>
      </c>
      <c r="P596" s="585">
        <f t="shared" si="97"/>
        <v>-7.655535660531608E-2</v>
      </c>
      <c r="Q596" s="585">
        <f t="shared" si="98"/>
        <v>4.1453341887767392E-2</v>
      </c>
      <c r="R596" s="585">
        <f t="shared" si="99"/>
        <v>0.10059999999999999</v>
      </c>
      <c r="S596" s="586">
        <f t="shared" si="100"/>
        <v>-5.9146658112232603E-2</v>
      </c>
      <c r="U596" s="587"/>
      <c r="V596" s="587"/>
      <c r="W596" s="587"/>
      <c r="X596" s="587"/>
      <c r="Y596" s="587"/>
      <c r="Z596" s="587"/>
      <c r="AA596" s="587"/>
      <c r="AB596" s="587"/>
      <c r="AC596" s="587"/>
      <c r="AE596" s="587"/>
      <c r="AF596" s="587"/>
      <c r="AG596" s="587"/>
      <c r="AH596" s="587"/>
      <c r="AI596" s="587"/>
      <c r="AJ596" s="587"/>
      <c r="AK596" s="587"/>
      <c r="AL596" s="587"/>
      <c r="AM596" s="587"/>
      <c r="AO596" s="587"/>
      <c r="AP596" s="587"/>
      <c r="AQ596" s="587"/>
      <c r="AR596" s="587"/>
      <c r="AS596" s="587"/>
      <c r="AT596" s="587"/>
      <c r="AU596" s="587"/>
      <c r="AV596" s="587"/>
      <c r="AW596" s="587"/>
    </row>
    <row r="597" spans="1:49">
      <c r="A597" s="581">
        <v>27515</v>
      </c>
      <c r="B597" s="594">
        <v>4.7600000000000003E-2</v>
      </c>
      <c r="C597" s="577">
        <v>8.6599999999999996E-2</v>
      </c>
      <c r="D597" s="577">
        <v>6.7000000000000002E-3</v>
      </c>
      <c r="E597" s="577">
        <v>7.4166666666666669E-3</v>
      </c>
      <c r="F597" s="577">
        <v>7.7000000000000002E-3</v>
      </c>
      <c r="G597" s="577">
        <v>7.5583333333333336E-3</v>
      </c>
      <c r="H597" s="577">
        <v>8.5249999999999996E-3</v>
      </c>
      <c r="I597" s="577">
        <f t="shared" si="101"/>
        <v>4.0900000000000006E-2</v>
      </c>
      <c r="J597" s="577">
        <f t="shared" si="94"/>
        <v>4.004166666666667E-2</v>
      </c>
      <c r="K597" s="577">
        <f t="shared" si="95"/>
        <v>7.8074999999999992E-2</v>
      </c>
      <c r="L597" s="585">
        <f t="shared" si="102"/>
        <v>9.550209158617351E-2</v>
      </c>
      <c r="M597" s="585">
        <f t="shared" si="103"/>
        <v>8.0399999999999999E-2</v>
      </c>
      <c r="N597" s="585">
        <f t="shared" si="96"/>
        <v>9.0700000000000003E-2</v>
      </c>
      <c r="O597" s="586">
        <f t="shared" si="104"/>
        <v>1.5102091586173511E-2</v>
      </c>
      <c r="P597" s="585">
        <f t="shared" si="97"/>
        <v>4.802091586173507E-3</v>
      </c>
      <c r="Q597" s="585">
        <f t="shared" si="98"/>
        <v>0.18920050577474568</v>
      </c>
      <c r="R597" s="585">
        <f t="shared" si="99"/>
        <v>0.1023</v>
      </c>
      <c r="S597" s="586">
        <f t="shared" si="100"/>
        <v>8.6900505774745673E-2</v>
      </c>
      <c r="U597" s="587"/>
      <c r="V597" s="587"/>
      <c r="W597" s="587"/>
      <c r="X597" s="587"/>
      <c r="Y597" s="587"/>
      <c r="Z597" s="587"/>
      <c r="AA597" s="587"/>
      <c r="AB597" s="587"/>
      <c r="AC597" s="587"/>
      <c r="AE597" s="587"/>
      <c r="AF597" s="587"/>
      <c r="AG597" s="587"/>
      <c r="AH597" s="587"/>
      <c r="AI597" s="587"/>
      <c r="AJ597" s="587"/>
      <c r="AK597" s="587"/>
      <c r="AL597" s="587"/>
      <c r="AM597" s="587"/>
      <c r="AO597" s="587"/>
      <c r="AP597" s="587"/>
      <c r="AQ597" s="587"/>
      <c r="AR597" s="587"/>
      <c r="AS597" s="587"/>
      <c r="AT597" s="587"/>
      <c r="AU597" s="587"/>
      <c r="AV597" s="587"/>
      <c r="AW597" s="587"/>
    </row>
    <row r="598" spans="1:49">
      <c r="A598" s="581">
        <v>27546</v>
      </c>
      <c r="B598" s="594">
        <v>4.7699999999999999E-2</v>
      </c>
      <c r="C598" s="577">
        <v>0.1067</v>
      </c>
      <c r="D598" s="577">
        <v>7.000000000000001E-3</v>
      </c>
      <c r="E598" s="577">
        <v>7.3083333333333333E-3</v>
      </c>
      <c r="F598" s="577">
        <v>7.6083333333333333E-3</v>
      </c>
      <c r="G598" s="577">
        <v>7.4583333333333333E-3</v>
      </c>
      <c r="H598" s="577">
        <v>8.416666666666666E-3</v>
      </c>
      <c r="I598" s="577">
        <f t="shared" si="101"/>
        <v>4.07E-2</v>
      </c>
      <c r="J598" s="577">
        <f t="shared" si="94"/>
        <v>4.0241666666666669E-2</v>
      </c>
      <c r="K598" s="577">
        <f t="shared" si="95"/>
        <v>9.8283333333333334E-2</v>
      </c>
      <c r="L598" s="585">
        <f t="shared" si="102"/>
        <v>0.16087543375627988</v>
      </c>
      <c r="M598" s="585">
        <f t="shared" si="103"/>
        <v>8.4000000000000019E-2</v>
      </c>
      <c r="N598" s="585">
        <f t="shared" si="96"/>
        <v>8.9499999999999996E-2</v>
      </c>
      <c r="O598" s="586">
        <f t="shared" si="104"/>
        <v>7.6875433756279865E-2</v>
      </c>
      <c r="P598" s="585">
        <f t="shared" si="97"/>
        <v>7.1375433756279888E-2</v>
      </c>
      <c r="Q598" s="585">
        <f t="shared" si="98"/>
        <v>0.39563966038272613</v>
      </c>
      <c r="R598" s="585">
        <f t="shared" si="99"/>
        <v>0.10099999999999999</v>
      </c>
      <c r="S598" s="586">
        <f t="shared" si="100"/>
        <v>0.29463966038272615</v>
      </c>
      <c r="U598" s="587"/>
      <c r="V598" s="587"/>
      <c r="W598" s="587"/>
      <c r="X598" s="587"/>
      <c r="Y598" s="587"/>
      <c r="Z598" s="587"/>
      <c r="AA598" s="587"/>
      <c r="AB598" s="587"/>
      <c r="AC598" s="587"/>
      <c r="AE598" s="587"/>
      <c r="AF598" s="587"/>
      <c r="AG598" s="587"/>
      <c r="AH598" s="587"/>
      <c r="AI598" s="587"/>
      <c r="AJ598" s="587"/>
      <c r="AK598" s="587"/>
      <c r="AL598" s="587"/>
      <c r="AM598" s="587"/>
      <c r="AO598" s="587"/>
      <c r="AP598" s="587"/>
      <c r="AQ598" s="587"/>
      <c r="AR598" s="587"/>
      <c r="AS598" s="587"/>
      <c r="AT598" s="587"/>
      <c r="AU598" s="587"/>
      <c r="AV598" s="587"/>
      <c r="AW598" s="587"/>
    </row>
    <row r="599" spans="1:49">
      <c r="A599" s="581">
        <v>27576</v>
      </c>
      <c r="B599" s="594">
        <v>-6.4399999999999999E-2</v>
      </c>
      <c r="C599" s="577">
        <v>-5.1000000000000004E-2</v>
      </c>
      <c r="D599" s="577">
        <v>6.7999999999999996E-3</v>
      </c>
      <c r="E599" s="577">
        <v>7.3666666666666672E-3</v>
      </c>
      <c r="F599" s="577">
        <v>7.6083333333333333E-3</v>
      </c>
      <c r="G599" s="577">
        <v>7.4875000000000002E-3</v>
      </c>
      <c r="H599" s="577">
        <v>8.3416666666666656E-3</v>
      </c>
      <c r="I599" s="577">
        <f t="shared" si="101"/>
        <v>-7.1199999999999999E-2</v>
      </c>
      <c r="J599" s="577">
        <f t="shared" si="94"/>
        <v>-7.1887499999999993E-2</v>
      </c>
      <c r="K599" s="577">
        <f t="shared" si="95"/>
        <v>-5.9341666666666668E-2</v>
      </c>
      <c r="L599" s="585">
        <f t="shared" si="102"/>
        <v>0.17316381056640262</v>
      </c>
      <c r="M599" s="585">
        <f t="shared" si="103"/>
        <v>8.1599999999999992E-2</v>
      </c>
      <c r="N599" s="585">
        <f t="shared" si="96"/>
        <v>8.9849999999999999E-2</v>
      </c>
      <c r="O599" s="586">
        <f t="shared" si="104"/>
        <v>9.1563810566402629E-2</v>
      </c>
      <c r="P599" s="585">
        <f t="shared" si="97"/>
        <v>8.3313810566402621E-2</v>
      </c>
      <c r="Q599" s="585">
        <f t="shared" si="98"/>
        <v>0.33635560256604435</v>
      </c>
      <c r="R599" s="585">
        <f t="shared" si="99"/>
        <v>0.10009999999999999</v>
      </c>
      <c r="S599" s="586">
        <f t="shared" si="100"/>
        <v>0.23625560256604436</v>
      </c>
      <c r="U599" s="587"/>
      <c r="V599" s="587"/>
      <c r="W599" s="587"/>
      <c r="X599" s="587"/>
      <c r="Y599" s="587"/>
      <c r="Z599" s="587"/>
      <c r="AA599" s="587"/>
      <c r="AB599" s="587"/>
      <c r="AC599" s="587"/>
      <c r="AE599" s="587"/>
      <c r="AF599" s="587"/>
      <c r="AG599" s="587"/>
      <c r="AH599" s="587"/>
      <c r="AI599" s="587"/>
      <c r="AJ599" s="587"/>
      <c r="AK599" s="587"/>
      <c r="AL599" s="587"/>
      <c r="AM599" s="587"/>
      <c r="AO599" s="587"/>
      <c r="AP599" s="587"/>
      <c r="AQ599" s="587"/>
      <c r="AR599" s="587"/>
      <c r="AS599" s="587"/>
      <c r="AT599" s="587"/>
      <c r="AU599" s="587"/>
      <c r="AV599" s="587"/>
      <c r="AW599" s="587"/>
    </row>
    <row r="600" spans="1:49">
      <c r="A600" s="581">
        <v>27607</v>
      </c>
      <c r="B600" s="594">
        <v>-1.7600000000000001E-2</v>
      </c>
      <c r="C600" s="577">
        <v>-2.1199999999999997E-2</v>
      </c>
      <c r="D600" s="577">
        <v>6.5000000000000006E-3</v>
      </c>
      <c r="E600" s="577">
        <v>7.4583333333333324E-3</v>
      </c>
      <c r="F600" s="577">
        <v>7.691666666666667E-3</v>
      </c>
      <c r="G600" s="577">
        <v>7.5749999999999993E-3</v>
      </c>
      <c r="H600" s="577">
        <v>8.4333333333333326E-3</v>
      </c>
      <c r="I600" s="577">
        <f t="shared" si="101"/>
        <v>-2.4100000000000003E-2</v>
      </c>
      <c r="J600" s="577">
        <f t="shared" si="94"/>
        <v>-2.5174999999999999E-2</v>
      </c>
      <c r="K600" s="577">
        <f t="shared" si="95"/>
        <v>-2.9633333333333331E-2</v>
      </c>
      <c r="L600" s="585">
        <f t="shared" si="102"/>
        <v>0.26151064743917929</v>
      </c>
      <c r="M600" s="585">
        <f t="shared" si="103"/>
        <v>7.8000000000000014E-2</v>
      </c>
      <c r="N600" s="585">
        <f t="shared" si="96"/>
        <v>9.0899999999999995E-2</v>
      </c>
      <c r="O600" s="586">
        <f t="shared" si="104"/>
        <v>0.18351064743917928</v>
      </c>
      <c r="P600" s="585">
        <f t="shared" si="97"/>
        <v>0.17061064743917931</v>
      </c>
      <c r="Q600" s="585">
        <f t="shared" si="98"/>
        <v>0.43282381837183115</v>
      </c>
      <c r="R600" s="585">
        <f t="shared" si="99"/>
        <v>0.10119999999999998</v>
      </c>
      <c r="S600" s="586">
        <f t="shared" si="100"/>
        <v>0.33162381837183119</v>
      </c>
      <c r="U600" s="587"/>
      <c r="V600" s="587"/>
      <c r="W600" s="587"/>
      <c r="X600" s="587"/>
      <c r="Y600" s="587"/>
      <c r="Z600" s="587"/>
      <c r="AA600" s="587"/>
      <c r="AB600" s="587"/>
      <c r="AC600" s="587"/>
      <c r="AE600" s="587"/>
      <c r="AF600" s="587"/>
      <c r="AG600" s="587"/>
      <c r="AH600" s="587"/>
      <c r="AI600" s="587"/>
      <c r="AJ600" s="587"/>
      <c r="AK600" s="587"/>
      <c r="AL600" s="587"/>
      <c r="AM600" s="587"/>
      <c r="AO600" s="587"/>
      <c r="AP600" s="587"/>
      <c r="AQ600" s="587"/>
      <c r="AR600" s="587"/>
      <c r="AS600" s="587"/>
      <c r="AT600" s="587"/>
      <c r="AU600" s="587"/>
      <c r="AV600" s="587"/>
      <c r="AW600" s="587"/>
    </row>
    <row r="601" spans="1:49">
      <c r="A601" s="581">
        <v>27638</v>
      </c>
      <c r="B601" s="594">
        <v>-3.1199999999999999E-2</v>
      </c>
      <c r="C601" s="577">
        <v>-4.9000000000000007E-3</v>
      </c>
      <c r="D601" s="577">
        <v>7.3000000000000001E-3</v>
      </c>
      <c r="E601" s="577">
        <v>7.4583333333333324E-3</v>
      </c>
      <c r="F601" s="577">
        <v>7.7916666666666664E-3</v>
      </c>
      <c r="G601" s="577">
        <v>7.6249999999999998E-3</v>
      </c>
      <c r="H601" s="577">
        <v>8.4916666666666665E-3</v>
      </c>
      <c r="I601" s="577">
        <f t="shared" si="101"/>
        <v>-3.85E-2</v>
      </c>
      <c r="J601" s="577">
        <f t="shared" si="94"/>
        <v>-3.8824999999999998E-2</v>
      </c>
      <c r="K601" s="577">
        <f t="shared" si="95"/>
        <v>-1.3391666666666666E-2</v>
      </c>
      <c r="L601" s="585">
        <f t="shared" si="102"/>
        <v>0.38127431649986065</v>
      </c>
      <c r="M601" s="585">
        <f t="shared" si="103"/>
        <v>8.7599999999999997E-2</v>
      </c>
      <c r="N601" s="585">
        <f t="shared" si="96"/>
        <v>9.1499999999999998E-2</v>
      </c>
      <c r="O601" s="586">
        <f t="shared" si="104"/>
        <v>0.29367431649986064</v>
      </c>
      <c r="P601" s="585">
        <f t="shared" si="97"/>
        <v>0.28977431649986063</v>
      </c>
      <c r="Q601" s="585">
        <f t="shared" si="98"/>
        <v>0.43817125445007998</v>
      </c>
      <c r="R601" s="585">
        <f t="shared" si="99"/>
        <v>0.10189999999999999</v>
      </c>
      <c r="S601" s="586">
        <f t="shared" si="100"/>
        <v>0.33627125445007999</v>
      </c>
      <c r="U601" s="587"/>
      <c r="V601" s="587"/>
      <c r="W601" s="587"/>
      <c r="X601" s="587"/>
      <c r="Y601" s="587"/>
      <c r="Z601" s="587"/>
      <c r="AA601" s="587"/>
      <c r="AB601" s="587"/>
      <c r="AC601" s="587"/>
      <c r="AE601" s="587"/>
      <c r="AF601" s="587"/>
      <c r="AG601" s="587"/>
      <c r="AH601" s="587"/>
      <c r="AI601" s="587"/>
      <c r="AJ601" s="587"/>
      <c r="AK601" s="587"/>
      <c r="AL601" s="587"/>
      <c r="AM601" s="587"/>
      <c r="AO601" s="587"/>
      <c r="AP601" s="587"/>
      <c r="AQ601" s="587"/>
      <c r="AR601" s="587"/>
      <c r="AS601" s="587"/>
      <c r="AT601" s="587"/>
      <c r="AU601" s="587"/>
      <c r="AV601" s="587"/>
      <c r="AW601" s="587"/>
    </row>
    <row r="602" spans="1:49">
      <c r="A602" s="581">
        <v>27668</v>
      </c>
      <c r="B602" s="594">
        <v>6.5299999999999997E-2</v>
      </c>
      <c r="C602" s="577">
        <v>7.0800000000000002E-2</v>
      </c>
      <c r="D602" s="577">
        <v>7.1999999999999998E-3</v>
      </c>
      <c r="E602" s="577">
        <v>7.3833333333333329E-3</v>
      </c>
      <c r="F602" s="577">
        <v>7.7666666666666674E-3</v>
      </c>
      <c r="G602" s="577">
        <v>7.575000000000001E-3</v>
      </c>
      <c r="H602" s="577">
        <v>8.4666666666666675E-3</v>
      </c>
      <c r="I602" s="577">
        <f t="shared" si="101"/>
        <v>5.8099999999999999E-2</v>
      </c>
      <c r="J602" s="577">
        <f t="shared" si="94"/>
        <v>5.7724999999999999E-2</v>
      </c>
      <c r="K602" s="577">
        <f t="shared" si="95"/>
        <v>6.2333333333333338E-2</v>
      </c>
      <c r="L602" s="585">
        <f t="shared" si="102"/>
        <v>0.25971366267211859</v>
      </c>
      <c r="M602" s="585">
        <f t="shared" si="103"/>
        <v>8.6400000000000005E-2</v>
      </c>
      <c r="N602" s="585">
        <f t="shared" si="96"/>
        <v>9.0900000000000009E-2</v>
      </c>
      <c r="O602" s="586">
        <f t="shared" si="104"/>
        <v>0.17331366267211859</v>
      </c>
      <c r="P602" s="585">
        <f t="shared" si="97"/>
        <v>0.16881366267211859</v>
      </c>
      <c r="Q602" s="585">
        <f t="shared" si="98"/>
        <v>0.37511722409603165</v>
      </c>
      <c r="R602" s="585">
        <f t="shared" si="99"/>
        <v>0.10160000000000001</v>
      </c>
      <c r="S602" s="586">
        <f t="shared" si="100"/>
        <v>0.27351722409603163</v>
      </c>
      <c r="U602" s="587"/>
      <c r="V602" s="587"/>
      <c r="W602" s="587"/>
      <c r="X602" s="587"/>
      <c r="Y602" s="587"/>
      <c r="Z602" s="587"/>
      <c r="AA602" s="587"/>
      <c r="AB602" s="587"/>
      <c r="AC602" s="587"/>
      <c r="AE602" s="587"/>
      <c r="AF602" s="587"/>
      <c r="AG602" s="587"/>
      <c r="AH602" s="587"/>
      <c r="AI602" s="587"/>
      <c r="AJ602" s="587"/>
      <c r="AK602" s="587"/>
      <c r="AL602" s="587"/>
      <c r="AM602" s="587"/>
      <c r="AO602" s="587"/>
      <c r="AP602" s="587"/>
      <c r="AQ602" s="587"/>
      <c r="AR602" s="587"/>
      <c r="AS602" s="587"/>
      <c r="AT602" s="587"/>
      <c r="AU602" s="587"/>
      <c r="AV602" s="587"/>
      <c r="AW602" s="587"/>
    </row>
    <row r="603" spans="1:49">
      <c r="A603" s="581">
        <v>27699</v>
      </c>
      <c r="B603" s="594">
        <v>2.8199999999999999E-2</v>
      </c>
      <c r="C603" s="577">
        <v>3.5000000000000003E-2</v>
      </c>
      <c r="D603" s="577">
        <v>6.0999999999999995E-3</v>
      </c>
      <c r="E603" s="577">
        <v>7.3166666666666658E-3</v>
      </c>
      <c r="F603" s="577">
        <v>7.691666666666667E-3</v>
      </c>
      <c r="G603" s="577">
        <v>7.5041666666666659E-3</v>
      </c>
      <c r="H603" s="577">
        <v>8.3666666666666663E-3</v>
      </c>
      <c r="I603" s="577">
        <f t="shared" si="101"/>
        <v>2.2100000000000002E-2</v>
      </c>
      <c r="J603" s="577">
        <f t="shared" si="94"/>
        <v>2.0695833333333333E-2</v>
      </c>
      <c r="K603" s="577">
        <f t="shared" si="95"/>
        <v>2.6633333333333335E-2</v>
      </c>
      <c r="L603" s="585">
        <f t="shared" si="102"/>
        <v>0.36183113022760183</v>
      </c>
      <c r="M603" s="585">
        <f t="shared" si="103"/>
        <v>7.3199999999999987E-2</v>
      </c>
      <c r="N603" s="585">
        <f t="shared" si="96"/>
        <v>9.0049999999999991E-2</v>
      </c>
      <c r="O603" s="586">
        <f t="shared" si="104"/>
        <v>0.28863113022760184</v>
      </c>
      <c r="P603" s="585">
        <f t="shared" si="97"/>
        <v>0.27178113022760186</v>
      </c>
      <c r="Q603" s="585">
        <f t="shared" si="98"/>
        <v>0.44038693142333041</v>
      </c>
      <c r="R603" s="585">
        <f t="shared" si="99"/>
        <v>0.10039999999999999</v>
      </c>
      <c r="S603" s="586">
        <f t="shared" si="100"/>
        <v>0.33998693142333042</v>
      </c>
      <c r="U603" s="587"/>
      <c r="V603" s="587"/>
      <c r="W603" s="587"/>
      <c r="X603" s="587"/>
      <c r="Y603" s="587"/>
      <c r="Z603" s="587"/>
      <c r="AA603" s="587"/>
      <c r="AB603" s="587"/>
      <c r="AC603" s="587"/>
      <c r="AE603" s="587"/>
      <c r="AF603" s="587"/>
      <c r="AG603" s="587"/>
      <c r="AH603" s="587"/>
      <c r="AI603" s="587"/>
      <c r="AJ603" s="587"/>
      <c r="AK603" s="587"/>
      <c r="AL603" s="587"/>
      <c r="AM603" s="587"/>
      <c r="AO603" s="587"/>
      <c r="AP603" s="587"/>
      <c r="AQ603" s="587"/>
      <c r="AR603" s="587"/>
      <c r="AS603" s="587"/>
      <c r="AT603" s="587"/>
      <c r="AU603" s="587"/>
      <c r="AV603" s="587"/>
      <c r="AW603" s="587"/>
    </row>
    <row r="604" spans="1:49">
      <c r="A604" s="581">
        <v>27729</v>
      </c>
      <c r="B604" s="594">
        <v>-8.0999999999999996E-3</v>
      </c>
      <c r="C604" s="577">
        <v>7.6999999999999994E-3</v>
      </c>
      <c r="D604" s="577">
        <v>7.4999999999999997E-3</v>
      </c>
      <c r="E604" s="577">
        <v>7.324999999999999E-3</v>
      </c>
      <c r="F604" s="577">
        <v>7.7125000000000006E-3</v>
      </c>
      <c r="G604" s="577">
        <v>7.5187500000000011E-3</v>
      </c>
      <c r="H604" s="577">
        <v>8.4249999999999985E-3</v>
      </c>
      <c r="I604" s="577">
        <f t="shared" si="101"/>
        <v>-1.5599999999999999E-2</v>
      </c>
      <c r="J604" s="577">
        <f t="shared" si="94"/>
        <v>-1.5618750000000001E-2</v>
      </c>
      <c r="K604" s="577">
        <f t="shared" si="95"/>
        <v>-7.2499999999999908E-4</v>
      </c>
      <c r="L604" s="585">
        <f t="shared" si="102"/>
        <v>0.37220672295079016</v>
      </c>
      <c r="M604" s="585">
        <f t="shared" si="103"/>
        <v>0.09</v>
      </c>
      <c r="N604" s="585">
        <f t="shared" si="96"/>
        <v>9.0225000000000014E-2</v>
      </c>
      <c r="O604" s="586">
        <f t="shared" si="104"/>
        <v>0.28220672295079019</v>
      </c>
      <c r="P604" s="585">
        <f t="shared" si="97"/>
        <v>0.28198172295079016</v>
      </c>
      <c r="Q604" s="585">
        <f t="shared" si="98"/>
        <v>0.44511938549909402</v>
      </c>
      <c r="R604" s="585">
        <f t="shared" si="99"/>
        <v>0.10109999999999998</v>
      </c>
      <c r="S604" s="586">
        <f t="shared" si="100"/>
        <v>0.34401938549909405</v>
      </c>
      <c r="U604" s="587"/>
      <c r="V604" s="587"/>
      <c r="W604" s="587"/>
      <c r="X604" s="587"/>
      <c r="Y604" s="587"/>
      <c r="Z604" s="587"/>
      <c r="AA604" s="587"/>
      <c r="AB604" s="587"/>
      <c r="AC604" s="587"/>
      <c r="AE604" s="587"/>
      <c r="AF604" s="587"/>
      <c r="AG604" s="587"/>
      <c r="AH604" s="587"/>
      <c r="AI604" s="587"/>
      <c r="AJ604" s="587"/>
      <c r="AK604" s="587"/>
      <c r="AL604" s="587"/>
      <c r="AM604" s="587"/>
      <c r="AO604" s="587"/>
      <c r="AP604" s="587"/>
      <c r="AQ604" s="587"/>
      <c r="AR604" s="587"/>
      <c r="AS604" s="587"/>
      <c r="AT604" s="587"/>
      <c r="AU604" s="587"/>
      <c r="AV604" s="587"/>
      <c r="AW604" s="587"/>
    </row>
    <row r="605" spans="1:49">
      <c r="A605" s="581">
        <v>27760</v>
      </c>
      <c r="B605" s="594">
        <v>0.1217</v>
      </c>
      <c r="C605" s="577">
        <v>8.9400000000000007E-2</v>
      </c>
      <c r="D605" s="577">
        <v>6.5000000000000006E-3</v>
      </c>
      <c r="E605" s="577">
        <v>7.1666666666666667E-3</v>
      </c>
      <c r="F605" s="577">
        <v>7.6083333333333333E-3</v>
      </c>
      <c r="G605" s="577">
        <v>7.3875E-3</v>
      </c>
      <c r="H605" s="577">
        <v>8.2500000000000004E-3</v>
      </c>
      <c r="I605" s="577">
        <f t="shared" si="101"/>
        <v>0.1152</v>
      </c>
      <c r="J605" s="577">
        <f t="shared" ref="J605:J668" si="105">B605-G605</f>
        <v>0.1143125</v>
      </c>
      <c r="K605" s="577">
        <f t="shared" ref="K605:K668" si="106">$C605-H605</f>
        <v>8.115E-2</v>
      </c>
      <c r="L605" s="585">
        <f t="shared" si="102"/>
        <v>0.36551125011879138</v>
      </c>
      <c r="M605" s="585">
        <f t="shared" si="103"/>
        <v>7.8000000000000014E-2</v>
      </c>
      <c r="N605" s="585">
        <f t="shared" si="96"/>
        <v>8.8650000000000007E-2</v>
      </c>
      <c r="O605" s="586">
        <f t="shared" si="104"/>
        <v>0.28751125011879136</v>
      </c>
      <c r="P605" s="585">
        <f t="shared" si="97"/>
        <v>0.27686125011879137</v>
      </c>
      <c r="Q605" s="585">
        <f t="shared" si="98"/>
        <v>0.32328575150265881</v>
      </c>
      <c r="R605" s="585">
        <f t="shared" si="99"/>
        <v>9.9000000000000005E-2</v>
      </c>
      <c r="S605" s="586">
        <f t="shared" si="100"/>
        <v>0.22428575150265881</v>
      </c>
      <c r="U605" s="587"/>
      <c r="V605" s="587"/>
      <c r="W605" s="587"/>
      <c r="X605" s="587"/>
      <c r="Y605" s="587"/>
      <c r="Z605" s="587"/>
      <c r="AA605" s="587"/>
      <c r="AB605" s="587"/>
      <c r="AC605" s="587"/>
      <c r="AE605" s="587"/>
      <c r="AF605" s="587"/>
      <c r="AG605" s="587"/>
      <c r="AH605" s="587"/>
      <c r="AI605" s="587"/>
      <c r="AJ605" s="587"/>
      <c r="AK605" s="587"/>
      <c r="AL605" s="587"/>
      <c r="AM605" s="587"/>
      <c r="AO605" s="587"/>
      <c r="AP605" s="587"/>
      <c r="AQ605" s="587"/>
      <c r="AR605" s="587"/>
      <c r="AS605" s="587"/>
      <c r="AT605" s="587"/>
      <c r="AU605" s="587"/>
      <c r="AV605" s="587"/>
      <c r="AW605" s="587"/>
    </row>
    <row r="606" spans="1:49">
      <c r="A606" s="581">
        <v>27791</v>
      </c>
      <c r="B606" s="594">
        <v>-8.3999999999999995E-3</v>
      </c>
      <c r="C606" s="577">
        <v>-3.56E-2</v>
      </c>
      <c r="D606" s="577">
        <v>6.1000000000000004E-3</v>
      </c>
      <c r="E606" s="577">
        <v>7.1250000000000003E-3</v>
      </c>
      <c r="F606" s="577">
        <v>7.5166666666666663E-3</v>
      </c>
      <c r="G606" s="577">
        <v>7.3208333333333328E-3</v>
      </c>
      <c r="H606" s="577">
        <v>8.0916666666666671E-3</v>
      </c>
      <c r="I606" s="577">
        <f t="shared" si="101"/>
        <v>-1.4499999999999999E-2</v>
      </c>
      <c r="J606" s="577">
        <f t="shared" si="105"/>
        <v>-1.5720833333333333E-2</v>
      </c>
      <c r="K606" s="577">
        <f t="shared" si="106"/>
        <v>-4.369166666666667E-2</v>
      </c>
      <c r="L606" s="585">
        <f t="shared" si="102"/>
        <v>0.27283413763658015</v>
      </c>
      <c r="M606" s="585">
        <f t="shared" si="103"/>
        <v>7.3200000000000001E-2</v>
      </c>
      <c r="N606" s="585">
        <f t="shared" si="96"/>
        <v>8.7849999999999998E-2</v>
      </c>
      <c r="O606" s="586">
        <f t="shared" si="104"/>
        <v>0.19963413763658017</v>
      </c>
      <c r="P606" s="585">
        <f t="shared" si="97"/>
        <v>0.18498413763658017</v>
      </c>
      <c r="Q606" s="585">
        <f t="shared" si="98"/>
        <v>0.25818473700992195</v>
      </c>
      <c r="R606" s="585">
        <f t="shared" si="99"/>
        <v>9.7100000000000006E-2</v>
      </c>
      <c r="S606" s="586">
        <f t="shared" si="100"/>
        <v>0.16108473700992193</v>
      </c>
      <c r="U606" s="587"/>
      <c r="V606" s="587"/>
      <c r="W606" s="587"/>
      <c r="X606" s="587"/>
      <c r="Y606" s="587"/>
      <c r="Z606" s="587"/>
      <c r="AA606" s="587"/>
      <c r="AB606" s="587"/>
      <c r="AC606" s="587"/>
      <c r="AE606" s="587"/>
      <c r="AF606" s="587"/>
      <c r="AG606" s="587"/>
      <c r="AH606" s="587"/>
      <c r="AI606" s="587"/>
      <c r="AJ606" s="587"/>
      <c r="AK606" s="587"/>
      <c r="AL606" s="587"/>
      <c r="AM606" s="587"/>
      <c r="AO606" s="587"/>
      <c r="AP606" s="587"/>
      <c r="AQ606" s="587"/>
      <c r="AR606" s="587"/>
      <c r="AS606" s="587"/>
      <c r="AT606" s="587"/>
      <c r="AU606" s="587"/>
      <c r="AV606" s="587"/>
      <c r="AW606" s="587"/>
    </row>
    <row r="607" spans="1:49">
      <c r="A607" s="581">
        <v>27820</v>
      </c>
      <c r="B607" s="594">
        <v>3.3700000000000001E-2</v>
      </c>
      <c r="C607" s="577">
        <v>0.01</v>
      </c>
      <c r="D607" s="577">
        <v>7.1000000000000004E-3</v>
      </c>
      <c r="E607" s="577">
        <v>7.0999999999999995E-3</v>
      </c>
      <c r="F607" s="577">
        <v>7.5083333333333339E-3</v>
      </c>
      <c r="G607" s="577">
        <v>7.3041666666666671E-3</v>
      </c>
      <c r="H607" s="577">
        <v>8.0583333333333323E-3</v>
      </c>
      <c r="I607" s="577">
        <f t="shared" si="101"/>
        <v>2.6599999999999999E-2</v>
      </c>
      <c r="J607" s="577">
        <f t="shared" si="105"/>
        <v>2.6395833333333334E-2</v>
      </c>
      <c r="K607" s="577">
        <f t="shared" si="106"/>
        <v>1.9416666666666679E-3</v>
      </c>
      <c r="L607" s="585">
        <f t="shared" si="102"/>
        <v>0.28313696906078833</v>
      </c>
      <c r="M607" s="585">
        <f t="shared" si="103"/>
        <v>8.5199999999999998E-2</v>
      </c>
      <c r="N607" s="585">
        <f t="shared" si="96"/>
        <v>8.7650000000000006E-2</v>
      </c>
      <c r="O607" s="586">
        <f t="shared" si="104"/>
        <v>0.19793696906078834</v>
      </c>
      <c r="P607" s="585">
        <f t="shared" si="97"/>
        <v>0.19548696906078833</v>
      </c>
      <c r="Q607" s="585">
        <f t="shared" si="98"/>
        <v>0.29882112058464982</v>
      </c>
      <c r="R607" s="585">
        <f t="shared" si="99"/>
        <v>9.669999999999998E-2</v>
      </c>
      <c r="S607" s="586">
        <f t="shared" si="100"/>
        <v>0.20212112058464984</v>
      </c>
      <c r="U607" s="587"/>
      <c r="V607" s="587"/>
      <c r="W607" s="587"/>
      <c r="X607" s="587"/>
      <c r="Y607" s="587"/>
      <c r="Z607" s="587"/>
      <c r="AA607" s="587"/>
      <c r="AB607" s="587"/>
      <c r="AC607" s="587"/>
      <c r="AE607" s="587"/>
      <c r="AF607" s="587"/>
      <c r="AG607" s="587"/>
      <c r="AH607" s="587"/>
      <c r="AI607" s="587"/>
      <c r="AJ607" s="587"/>
      <c r="AK607" s="587"/>
      <c r="AL607" s="587"/>
      <c r="AM607" s="587"/>
      <c r="AO607" s="587"/>
      <c r="AP607" s="587"/>
      <c r="AQ607" s="587"/>
      <c r="AR607" s="587"/>
      <c r="AS607" s="587"/>
      <c r="AT607" s="587"/>
      <c r="AU607" s="587"/>
      <c r="AV607" s="587"/>
      <c r="AW607" s="587"/>
    </row>
    <row r="608" spans="1:49">
      <c r="A608" s="581">
        <v>27851</v>
      </c>
      <c r="B608" s="594">
        <v>-7.7999999999999996E-3</v>
      </c>
      <c r="C608" s="577">
        <v>3.7000000000000002E-3</v>
      </c>
      <c r="D608" s="577">
        <v>6.4000000000000003E-3</v>
      </c>
      <c r="E608" s="577">
        <v>7.000000000000001E-3</v>
      </c>
      <c r="F608" s="577">
        <v>7.4083333333333336E-3</v>
      </c>
      <c r="G608" s="577">
        <v>7.2041666666666669E-3</v>
      </c>
      <c r="H608" s="577">
        <v>7.9416666666666663E-3</v>
      </c>
      <c r="I608" s="577">
        <f t="shared" si="101"/>
        <v>-1.4200000000000001E-2</v>
      </c>
      <c r="J608" s="577">
        <f t="shared" si="105"/>
        <v>-1.5004166666666666E-2</v>
      </c>
      <c r="K608" s="577">
        <f t="shared" si="106"/>
        <v>-4.2416666666666662E-3</v>
      </c>
      <c r="L608" s="585">
        <f t="shared" si="102"/>
        <v>0.21134966765186891</v>
      </c>
      <c r="M608" s="585">
        <f t="shared" si="103"/>
        <v>7.6800000000000007E-2</v>
      </c>
      <c r="N608" s="585">
        <f t="shared" si="96"/>
        <v>8.6449999999999999E-2</v>
      </c>
      <c r="O608" s="586">
        <f t="shared" si="104"/>
        <v>0.1345496676518689</v>
      </c>
      <c r="P608" s="585">
        <f t="shared" si="97"/>
        <v>0.12489966765186891</v>
      </c>
      <c r="Q608" s="585">
        <f t="shared" si="98"/>
        <v>0.3221366721407839</v>
      </c>
      <c r="R608" s="585">
        <f t="shared" si="99"/>
        <v>9.5299999999999996E-2</v>
      </c>
      <c r="S608" s="586">
        <f t="shared" si="100"/>
        <v>0.2268366721407839</v>
      </c>
      <c r="U608" s="587"/>
      <c r="V608" s="587"/>
      <c r="W608" s="587"/>
      <c r="X608" s="587"/>
      <c r="Y608" s="587"/>
      <c r="Z608" s="587"/>
      <c r="AA608" s="587"/>
      <c r="AB608" s="587"/>
      <c r="AC608" s="587"/>
      <c r="AE608" s="587"/>
      <c r="AF608" s="587"/>
      <c r="AG608" s="587"/>
      <c r="AH608" s="587"/>
      <c r="AI608" s="587"/>
      <c r="AJ608" s="587"/>
      <c r="AK608" s="587"/>
      <c r="AL608" s="587"/>
      <c r="AM608" s="587"/>
      <c r="AO608" s="587"/>
      <c r="AP608" s="587"/>
      <c r="AQ608" s="587"/>
      <c r="AR608" s="587"/>
      <c r="AS608" s="587"/>
      <c r="AT608" s="587"/>
      <c r="AU608" s="587"/>
      <c r="AV608" s="587"/>
      <c r="AW608" s="587"/>
    </row>
    <row r="609" spans="1:49">
      <c r="A609" s="581">
        <v>27881</v>
      </c>
      <c r="B609" s="594">
        <v>-1.11E-2</v>
      </c>
      <c r="C609" s="577">
        <v>-1.3899999999999999E-2</v>
      </c>
      <c r="D609" s="577">
        <v>5.8999999999999999E-3</v>
      </c>
      <c r="E609" s="577">
        <v>7.1500000000000001E-3</v>
      </c>
      <c r="F609" s="577">
        <v>7.4333333333333326E-3</v>
      </c>
      <c r="G609" s="577">
        <v>7.2916666666666659E-3</v>
      </c>
      <c r="H609" s="577">
        <v>7.9583333333333346E-3</v>
      </c>
      <c r="I609" s="577">
        <f t="shared" si="101"/>
        <v>-1.7000000000000001E-2</v>
      </c>
      <c r="J609" s="577">
        <f t="shared" si="105"/>
        <v>-1.8391666666666667E-2</v>
      </c>
      <c r="K609" s="577">
        <f t="shared" si="106"/>
        <v>-2.1858333333333334E-2</v>
      </c>
      <c r="L609" s="585">
        <f t="shared" si="102"/>
        <v>0.14347430922196747</v>
      </c>
      <c r="M609" s="585">
        <f t="shared" si="103"/>
        <v>7.0800000000000002E-2</v>
      </c>
      <c r="N609" s="585">
        <f t="shared" si="96"/>
        <v>8.7499999999999994E-2</v>
      </c>
      <c r="O609" s="586">
        <f t="shared" si="104"/>
        <v>7.2674309221967465E-2</v>
      </c>
      <c r="P609" s="585">
        <f t="shared" si="97"/>
        <v>5.5974309221967472E-2</v>
      </c>
      <c r="Q609" s="585">
        <f t="shared" si="98"/>
        <v>0.19985180599855212</v>
      </c>
      <c r="R609" s="585">
        <f t="shared" si="99"/>
        <v>9.5500000000000015E-2</v>
      </c>
      <c r="S609" s="586">
        <f t="shared" si="100"/>
        <v>0.10435180599855211</v>
      </c>
      <c r="U609" s="587"/>
      <c r="V609" s="587"/>
      <c r="W609" s="587"/>
      <c r="X609" s="587"/>
      <c r="Y609" s="587"/>
      <c r="Z609" s="587"/>
      <c r="AA609" s="587"/>
      <c r="AB609" s="587"/>
      <c r="AC609" s="587"/>
      <c r="AE609" s="587"/>
      <c r="AF609" s="587"/>
      <c r="AG609" s="587"/>
      <c r="AH609" s="587"/>
      <c r="AI609" s="587"/>
      <c r="AJ609" s="587"/>
      <c r="AK609" s="587"/>
      <c r="AL609" s="587"/>
      <c r="AM609" s="587"/>
      <c r="AO609" s="587"/>
      <c r="AP609" s="587"/>
      <c r="AQ609" s="587"/>
      <c r="AR609" s="587"/>
      <c r="AS609" s="587"/>
      <c r="AT609" s="587"/>
      <c r="AU609" s="587"/>
      <c r="AV609" s="587"/>
      <c r="AW609" s="587"/>
    </row>
    <row r="610" spans="1:49">
      <c r="A610" s="581">
        <v>27912</v>
      </c>
      <c r="B610" s="594">
        <v>4.4299999999999999E-2</v>
      </c>
      <c r="C610" s="577">
        <v>3.3700000000000001E-2</v>
      </c>
      <c r="D610" s="577">
        <v>7.3000000000000001E-3</v>
      </c>
      <c r="E610" s="577">
        <v>7.1833333333333324E-3</v>
      </c>
      <c r="F610" s="577">
        <v>7.4083333333333336E-3</v>
      </c>
      <c r="G610" s="577">
        <v>7.2958333333333321E-3</v>
      </c>
      <c r="H610" s="577">
        <v>7.9499999999999987E-3</v>
      </c>
      <c r="I610" s="577">
        <f t="shared" si="101"/>
        <v>3.6999999999999998E-2</v>
      </c>
      <c r="J610" s="577">
        <f t="shared" si="105"/>
        <v>3.7004166666666664E-2</v>
      </c>
      <c r="K610" s="577">
        <f t="shared" si="106"/>
        <v>2.5750000000000002E-2</v>
      </c>
      <c r="L610" s="585">
        <f t="shared" si="102"/>
        <v>0.1397635020716812</v>
      </c>
      <c r="M610" s="585">
        <f t="shared" si="103"/>
        <v>8.7599999999999997E-2</v>
      </c>
      <c r="N610" s="585">
        <f t="shared" si="96"/>
        <v>8.7549999999999989E-2</v>
      </c>
      <c r="O610" s="586">
        <f t="shared" si="104"/>
        <v>5.2163502071681203E-2</v>
      </c>
      <c r="P610" s="585">
        <f t="shared" si="97"/>
        <v>5.2213502071681211E-2</v>
      </c>
      <c r="Q610" s="585">
        <f t="shared" si="98"/>
        <v>0.12070733880970774</v>
      </c>
      <c r="R610" s="585">
        <f t="shared" si="99"/>
        <v>9.5399999999999985E-2</v>
      </c>
      <c r="S610" s="586">
        <f t="shared" si="100"/>
        <v>2.5307338809707758E-2</v>
      </c>
      <c r="U610" s="587"/>
      <c r="V610" s="587"/>
      <c r="W610" s="587"/>
      <c r="X610" s="587"/>
      <c r="Y610" s="587"/>
      <c r="Z610" s="587"/>
      <c r="AA610" s="587"/>
      <c r="AB610" s="587"/>
      <c r="AC610" s="587"/>
      <c r="AE610" s="587"/>
      <c r="AF610" s="587"/>
      <c r="AG610" s="587"/>
      <c r="AH610" s="587"/>
      <c r="AI610" s="587"/>
      <c r="AJ610" s="587"/>
      <c r="AK610" s="587"/>
      <c r="AL610" s="587"/>
      <c r="AM610" s="587"/>
      <c r="AO610" s="587"/>
      <c r="AP610" s="587"/>
      <c r="AQ610" s="587"/>
      <c r="AR610" s="587"/>
      <c r="AS610" s="587"/>
      <c r="AT610" s="587"/>
      <c r="AU610" s="587"/>
      <c r="AV610" s="587"/>
      <c r="AW610" s="587"/>
    </row>
    <row r="611" spans="1:49">
      <c r="A611" s="581">
        <v>27942</v>
      </c>
      <c r="B611" s="594">
        <v>-4.7999999999999996E-3</v>
      </c>
      <c r="C611" s="577">
        <v>3.4099999999999998E-2</v>
      </c>
      <c r="D611" s="577">
        <v>6.5000000000000006E-3</v>
      </c>
      <c r="E611" s="577">
        <v>7.1333333333333335E-3</v>
      </c>
      <c r="F611" s="577">
        <v>7.3416666666666673E-3</v>
      </c>
      <c r="G611" s="577">
        <v>7.2375000000000009E-3</v>
      </c>
      <c r="H611" s="577">
        <v>7.8083333333333329E-3</v>
      </c>
      <c r="I611" s="577">
        <f t="shared" si="101"/>
        <v>-1.1300000000000001E-2</v>
      </c>
      <c r="J611" s="577">
        <f t="shared" si="105"/>
        <v>-1.20375E-2</v>
      </c>
      <c r="K611" s="577">
        <f t="shared" si="106"/>
        <v>2.6291666666666665E-2</v>
      </c>
      <c r="L611" s="585">
        <f t="shared" si="102"/>
        <v>0.21236921468762016</v>
      </c>
      <c r="M611" s="585">
        <f t="shared" si="103"/>
        <v>7.8000000000000014E-2</v>
      </c>
      <c r="N611" s="585">
        <f t="shared" si="96"/>
        <v>8.6850000000000011E-2</v>
      </c>
      <c r="O611" s="586">
        <f t="shared" si="104"/>
        <v>0.13436921468762014</v>
      </c>
      <c r="P611" s="585">
        <f t="shared" si="97"/>
        <v>0.12551921468762015</v>
      </c>
      <c r="Q611" s="585">
        <f t="shared" si="98"/>
        <v>0.22120490944480364</v>
      </c>
      <c r="R611" s="585">
        <f t="shared" si="99"/>
        <v>9.3699999999999992E-2</v>
      </c>
      <c r="S611" s="586">
        <f t="shared" si="100"/>
        <v>0.12750490944480364</v>
      </c>
      <c r="U611" s="587"/>
      <c r="V611" s="587"/>
      <c r="W611" s="587"/>
      <c r="X611" s="587"/>
      <c r="Y611" s="587"/>
      <c r="Z611" s="587"/>
      <c r="AA611" s="587"/>
      <c r="AB611" s="587"/>
      <c r="AC611" s="587"/>
      <c r="AE611" s="587"/>
      <c r="AF611" s="587"/>
      <c r="AG611" s="587"/>
      <c r="AH611" s="587"/>
      <c r="AI611" s="587"/>
      <c r="AJ611" s="587"/>
      <c r="AK611" s="587"/>
      <c r="AL611" s="587"/>
      <c r="AM611" s="587"/>
      <c r="AO611" s="587"/>
      <c r="AP611" s="587"/>
      <c r="AQ611" s="587"/>
      <c r="AR611" s="587"/>
      <c r="AS611" s="587"/>
      <c r="AT611" s="587"/>
      <c r="AU611" s="587"/>
      <c r="AV611" s="587"/>
      <c r="AW611" s="587"/>
    </row>
    <row r="612" spans="1:49">
      <c r="A612" s="581">
        <v>27973</v>
      </c>
      <c r="B612" s="594">
        <v>-1.8E-3</v>
      </c>
      <c r="C612" s="577">
        <v>3.8300000000000001E-2</v>
      </c>
      <c r="D612" s="577">
        <v>6.8999999999999999E-3</v>
      </c>
      <c r="E612" s="577">
        <v>7.0416666666666657E-3</v>
      </c>
      <c r="F612" s="577">
        <v>7.2166666666666664E-3</v>
      </c>
      <c r="G612" s="577">
        <v>7.1291666666666665E-3</v>
      </c>
      <c r="H612" s="577">
        <v>7.6083333333333333E-3</v>
      </c>
      <c r="I612" s="577">
        <f t="shared" si="101"/>
        <v>-8.6999999999999994E-3</v>
      </c>
      <c r="J612" s="577">
        <f t="shared" si="105"/>
        <v>-8.9291666666666668E-3</v>
      </c>
      <c r="K612" s="577">
        <f t="shared" si="106"/>
        <v>3.0691666666666666E-2</v>
      </c>
      <c r="L612" s="585">
        <f t="shared" si="102"/>
        <v>0.23186782380006332</v>
      </c>
      <c r="M612" s="585">
        <f t="shared" si="103"/>
        <v>8.2799999999999999E-2</v>
      </c>
      <c r="N612" s="585">
        <f t="shared" si="96"/>
        <v>8.5550000000000001E-2</v>
      </c>
      <c r="O612" s="586">
        <f t="shared" si="104"/>
        <v>0.14906782380006334</v>
      </c>
      <c r="P612" s="585">
        <f t="shared" si="97"/>
        <v>0.14631782380006331</v>
      </c>
      <c r="Q612" s="585">
        <f t="shared" si="98"/>
        <v>0.29544039382564358</v>
      </c>
      <c r="R612" s="585">
        <f t="shared" si="99"/>
        <v>9.1299999999999992E-2</v>
      </c>
      <c r="S612" s="586">
        <f t="shared" si="100"/>
        <v>0.20414039382564358</v>
      </c>
      <c r="U612" s="587"/>
      <c r="V612" s="587"/>
      <c r="W612" s="587"/>
      <c r="X612" s="587"/>
      <c r="Y612" s="587"/>
      <c r="Z612" s="587"/>
      <c r="AA612" s="587"/>
      <c r="AB612" s="587"/>
      <c r="AC612" s="587"/>
      <c r="AE612" s="587"/>
      <c r="AF612" s="587"/>
      <c r="AG612" s="587"/>
      <c r="AH612" s="587"/>
      <c r="AI612" s="587"/>
      <c r="AJ612" s="587"/>
      <c r="AK612" s="587"/>
      <c r="AL612" s="587"/>
      <c r="AM612" s="587"/>
      <c r="AO612" s="587"/>
      <c r="AP612" s="587"/>
      <c r="AQ612" s="587"/>
      <c r="AR612" s="587"/>
      <c r="AS612" s="587"/>
      <c r="AT612" s="587"/>
      <c r="AU612" s="587"/>
      <c r="AV612" s="587"/>
      <c r="AW612" s="587"/>
    </row>
    <row r="613" spans="1:49">
      <c r="A613" s="581">
        <v>28004</v>
      </c>
      <c r="B613" s="594">
        <v>2.58E-2</v>
      </c>
      <c r="C613" s="577">
        <v>3.8100000000000002E-2</v>
      </c>
      <c r="D613" s="577">
        <v>6.4000000000000003E-3</v>
      </c>
      <c r="E613" s="577">
        <v>6.9833333333333336E-3</v>
      </c>
      <c r="F613" s="577">
        <v>7.1166666666666652E-3</v>
      </c>
      <c r="G613" s="577">
        <v>7.0499999999999998E-3</v>
      </c>
      <c r="H613" s="577">
        <v>7.4166666666666669E-3</v>
      </c>
      <c r="I613" s="577">
        <f t="shared" si="101"/>
        <v>1.9400000000000001E-2</v>
      </c>
      <c r="J613" s="577">
        <f t="shared" si="105"/>
        <v>1.8749999999999999E-2</v>
      </c>
      <c r="K613" s="577">
        <f t="shared" si="106"/>
        <v>3.0683333333333333E-2</v>
      </c>
      <c r="L613" s="585">
        <f t="shared" si="102"/>
        <v>0.30434559625733382</v>
      </c>
      <c r="M613" s="585">
        <f t="shared" si="103"/>
        <v>7.6800000000000007E-2</v>
      </c>
      <c r="N613" s="585">
        <f t="shared" si="96"/>
        <v>8.4599999999999995E-2</v>
      </c>
      <c r="O613" s="586">
        <f t="shared" si="104"/>
        <v>0.22754559625733381</v>
      </c>
      <c r="P613" s="585">
        <f t="shared" si="97"/>
        <v>0.21974559625733381</v>
      </c>
      <c r="Q613" s="585">
        <f t="shared" si="98"/>
        <v>0.35141862408843405</v>
      </c>
      <c r="R613" s="585">
        <f t="shared" si="99"/>
        <v>8.8999999999999996E-2</v>
      </c>
      <c r="S613" s="586">
        <f t="shared" si="100"/>
        <v>0.26241862408843408</v>
      </c>
      <c r="U613" s="587"/>
      <c r="V613" s="587"/>
      <c r="W613" s="587"/>
      <c r="X613" s="587"/>
      <c r="Y613" s="587"/>
      <c r="Z613" s="587"/>
      <c r="AA613" s="587"/>
      <c r="AB613" s="587"/>
      <c r="AC613" s="587"/>
      <c r="AE613" s="587"/>
      <c r="AF613" s="587"/>
      <c r="AG613" s="587"/>
      <c r="AH613" s="587"/>
      <c r="AI613" s="587"/>
      <c r="AJ613" s="587"/>
      <c r="AK613" s="587"/>
      <c r="AL613" s="587"/>
      <c r="AM613" s="587"/>
      <c r="AO613" s="587"/>
      <c r="AP613" s="587"/>
      <c r="AQ613" s="587"/>
      <c r="AR613" s="587"/>
      <c r="AS613" s="587"/>
      <c r="AT613" s="587"/>
      <c r="AU613" s="587"/>
      <c r="AV613" s="587"/>
      <c r="AW613" s="587"/>
    </row>
    <row r="614" spans="1:49">
      <c r="A614" s="581">
        <v>28034</v>
      </c>
      <c r="B614" s="594">
        <v>-1.8599999999999998E-2</v>
      </c>
      <c r="C614" s="577">
        <v>-2.1000000000000003E-3</v>
      </c>
      <c r="D614" s="577">
        <v>6.0999999999999995E-3</v>
      </c>
      <c r="E614" s="577">
        <v>6.9333333333333339E-3</v>
      </c>
      <c r="F614" s="577">
        <v>7.0666666666666664E-3</v>
      </c>
      <c r="G614" s="577">
        <v>6.9999999999999993E-3</v>
      </c>
      <c r="H614" s="577">
        <v>7.324999999999999E-3</v>
      </c>
      <c r="I614" s="577">
        <f t="shared" si="101"/>
        <v>-2.47E-2</v>
      </c>
      <c r="J614" s="577">
        <f t="shared" si="105"/>
        <v>-2.5599999999999998E-2</v>
      </c>
      <c r="K614" s="577">
        <f t="shared" si="106"/>
        <v>-9.4249999999999994E-3</v>
      </c>
      <c r="L614" s="585">
        <f t="shared" si="102"/>
        <v>0.20161904455735269</v>
      </c>
      <c r="M614" s="585">
        <f t="shared" si="103"/>
        <v>7.3199999999999987E-2</v>
      </c>
      <c r="N614" s="585">
        <f t="shared" si="96"/>
        <v>8.3999999999999991E-2</v>
      </c>
      <c r="O614" s="586">
        <f t="shared" si="104"/>
        <v>0.1284190445573527</v>
      </c>
      <c r="P614" s="585">
        <f t="shared" si="97"/>
        <v>0.1176190445573527</v>
      </c>
      <c r="Q614" s="585">
        <f t="shared" si="98"/>
        <v>0.25941412493261895</v>
      </c>
      <c r="R614" s="585">
        <f t="shared" si="99"/>
        <v>8.7899999999999992E-2</v>
      </c>
      <c r="S614" s="586">
        <f t="shared" si="100"/>
        <v>0.17151412493261897</v>
      </c>
      <c r="U614" s="587"/>
      <c r="V614" s="587"/>
      <c r="W614" s="587"/>
      <c r="X614" s="587"/>
      <c r="Y614" s="587"/>
      <c r="Z614" s="587"/>
      <c r="AA614" s="587"/>
      <c r="AB614" s="587"/>
      <c r="AC614" s="587"/>
      <c r="AE614" s="587"/>
      <c r="AF614" s="587"/>
      <c r="AG614" s="587"/>
      <c r="AH614" s="587"/>
      <c r="AI614" s="587"/>
      <c r="AJ614" s="587"/>
      <c r="AK614" s="587"/>
      <c r="AL614" s="587"/>
      <c r="AM614" s="587"/>
      <c r="AO614" s="587"/>
      <c r="AP614" s="587"/>
      <c r="AQ614" s="587"/>
      <c r="AR614" s="587"/>
      <c r="AS614" s="587"/>
      <c r="AT614" s="587"/>
      <c r="AU614" s="587"/>
      <c r="AV614" s="587"/>
      <c r="AW614" s="587"/>
    </row>
    <row r="615" spans="1:49">
      <c r="A615" s="581">
        <v>28065</v>
      </c>
      <c r="B615" s="594">
        <v>-4.1000000000000003E-3</v>
      </c>
      <c r="C615" s="577">
        <v>2.6800000000000001E-2</v>
      </c>
      <c r="D615" s="577">
        <v>6.6E-3</v>
      </c>
      <c r="E615" s="577">
        <v>6.875E-3</v>
      </c>
      <c r="F615" s="577">
        <v>7.0500000000000007E-3</v>
      </c>
      <c r="G615" s="577">
        <v>6.9624999999999999E-3</v>
      </c>
      <c r="H615" s="577">
        <v>7.3000000000000001E-3</v>
      </c>
      <c r="I615" s="577">
        <f t="shared" si="101"/>
        <v>-1.0700000000000001E-2</v>
      </c>
      <c r="J615" s="577">
        <f t="shared" si="105"/>
        <v>-1.1062499999999999E-2</v>
      </c>
      <c r="K615" s="577">
        <f t="shared" si="106"/>
        <v>1.95E-2</v>
      </c>
      <c r="L615" s="585">
        <f t="shared" si="102"/>
        <v>0.16387123757505062</v>
      </c>
      <c r="M615" s="585">
        <f t="shared" si="103"/>
        <v>7.9199999999999993E-2</v>
      </c>
      <c r="N615" s="585">
        <f t="shared" si="96"/>
        <v>8.3549999999999999E-2</v>
      </c>
      <c r="O615" s="586">
        <f t="shared" si="104"/>
        <v>8.4671237575050629E-2</v>
      </c>
      <c r="P615" s="585">
        <f t="shared" si="97"/>
        <v>8.0321237575050622E-2</v>
      </c>
      <c r="Q615" s="585">
        <f t="shared" si="98"/>
        <v>0.24943615795247664</v>
      </c>
      <c r="R615" s="585">
        <f t="shared" si="99"/>
        <v>8.7599999999999997E-2</v>
      </c>
      <c r="S615" s="586">
        <f t="shared" si="100"/>
        <v>0.16183615795247663</v>
      </c>
      <c r="U615" s="587"/>
      <c r="V615" s="587"/>
      <c r="W615" s="587"/>
      <c r="X615" s="587"/>
      <c r="Y615" s="587"/>
      <c r="Z615" s="587"/>
      <c r="AA615" s="587"/>
      <c r="AB615" s="587"/>
      <c r="AC615" s="587"/>
      <c r="AE615" s="587"/>
      <c r="AF615" s="587"/>
      <c r="AG615" s="587"/>
      <c r="AH615" s="587"/>
      <c r="AI615" s="587"/>
      <c r="AJ615" s="587"/>
      <c r="AK615" s="587"/>
      <c r="AL615" s="587"/>
      <c r="AM615" s="587"/>
      <c r="AO615" s="587"/>
      <c r="AP615" s="587"/>
      <c r="AQ615" s="587"/>
      <c r="AR615" s="587"/>
      <c r="AS615" s="587"/>
      <c r="AT615" s="587"/>
      <c r="AU615" s="587"/>
      <c r="AV615" s="587"/>
      <c r="AW615" s="587"/>
    </row>
    <row r="616" spans="1:49">
      <c r="A616" s="581">
        <v>28095</v>
      </c>
      <c r="B616" s="594">
        <v>5.6099999999999997E-2</v>
      </c>
      <c r="C616" s="577">
        <v>6.3100000000000003E-2</v>
      </c>
      <c r="D616" s="577">
        <v>6.3E-3</v>
      </c>
      <c r="E616" s="577">
        <v>6.6500000000000005E-3</v>
      </c>
      <c r="F616" s="577">
        <v>6.870833333333333E-3</v>
      </c>
      <c r="G616" s="577">
        <v>6.7604166666666663E-3</v>
      </c>
      <c r="H616" s="577">
        <v>7.1833333333333324E-3</v>
      </c>
      <c r="I616" s="577">
        <f t="shared" si="101"/>
        <v>4.9799999999999997E-2</v>
      </c>
      <c r="J616" s="577">
        <f t="shared" si="105"/>
        <v>4.9339583333333333E-2</v>
      </c>
      <c r="K616" s="577">
        <f t="shared" si="106"/>
        <v>5.591666666666667E-2</v>
      </c>
      <c r="L616" s="585">
        <f t="shared" si="102"/>
        <v>0.23920194979636178</v>
      </c>
      <c r="M616" s="585">
        <f t="shared" si="103"/>
        <v>7.5600000000000001E-2</v>
      </c>
      <c r="N616" s="585">
        <f t="shared" ref="N616:N679" si="107">G616*12</f>
        <v>8.1125000000000003E-2</v>
      </c>
      <c r="O616" s="586">
        <f t="shared" si="104"/>
        <v>0.16360194979636178</v>
      </c>
      <c r="P616" s="585">
        <f t="shared" ref="P616:P679" si="108">L616-N616</f>
        <v>0.15807694979636178</v>
      </c>
      <c r="Q616" s="585">
        <f t="shared" ref="Q616:Q679" si="109">((1+C605)*(1+C606)*(1+C607)*(1+C608)*(1+C609)*(1+C610)*(1+C611)*(1+C612)*(1+C613)*(1+C614)*(1+C615)*(1+C616))-1</f>
        <v>0.31812600924806733</v>
      </c>
      <c r="R616" s="585">
        <f t="shared" ref="R616:R679" si="110">H616*12</f>
        <v>8.6199999999999985E-2</v>
      </c>
      <c r="S616" s="586">
        <f t="shared" ref="S616:S679" si="111">Q616-R616</f>
        <v>0.23192600924806733</v>
      </c>
      <c r="U616" s="587"/>
      <c r="V616" s="587"/>
      <c r="W616" s="587"/>
      <c r="X616" s="587"/>
      <c r="Y616" s="587"/>
      <c r="Z616" s="587"/>
      <c r="AA616" s="587"/>
      <c r="AB616" s="587"/>
      <c r="AC616" s="587"/>
      <c r="AE616" s="587"/>
      <c r="AF616" s="587"/>
      <c r="AG616" s="587"/>
      <c r="AH616" s="587"/>
      <c r="AI616" s="587"/>
      <c r="AJ616" s="587"/>
      <c r="AK616" s="587"/>
      <c r="AL616" s="587"/>
      <c r="AM616" s="587"/>
      <c r="AO616" s="587"/>
      <c r="AP616" s="587"/>
      <c r="AQ616" s="587"/>
      <c r="AR616" s="587"/>
      <c r="AS616" s="587"/>
      <c r="AT616" s="587"/>
      <c r="AU616" s="587"/>
      <c r="AV616" s="587"/>
      <c r="AW616" s="587"/>
    </row>
    <row r="617" spans="1:49">
      <c r="A617" s="581">
        <v>28126</v>
      </c>
      <c r="B617" s="594">
        <v>-4.7300000000000002E-2</v>
      </c>
      <c r="C617" s="577">
        <v>3.5000000000000005E-3</v>
      </c>
      <c r="D617" s="577">
        <v>5.8999999999999999E-3</v>
      </c>
      <c r="E617" s="577">
        <v>6.6333333333333331E-3</v>
      </c>
      <c r="F617" s="577">
        <v>6.8000000000000005E-3</v>
      </c>
      <c r="G617" s="577">
        <v>6.7166666666666659E-3</v>
      </c>
      <c r="H617" s="577">
        <v>7.1749999999999991E-3</v>
      </c>
      <c r="I617" s="577">
        <f t="shared" si="101"/>
        <v>-5.3200000000000004E-2</v>
      </c>
      <c r="J617" s="577">
        <f t="shared" si="105"/>
        <v>-5.4016666666666671E-2</v>
      </c>
      <c r="K617" s="577">
        <f t="shared" si="106"/>
        <v>-3.6749999999999986E-3</v>
      </c>
      <c r="L617" s="585">
        <f t="shared" si="102"/>
        <v>5.2498616003382459E-2</v>
      </c>
      <c r="M617" s="585">
        <f t="shared" si="103"/>
        <v>7.0800000000000002E-2</v>
      </c>
      <c r="N617" s="585">
        <f t="shared" si="107"/>
        <v>8.0599999999999991E-2</v>
      </c>
      <c r="O617" s="586">
        <f t="shared" si="104"/>
        <v>-1.8301383996617543E-2</v>
      </c>
      <c r="P617" s="585">
        <f t="shared" si="108"/>
        <v>-2.8101383996617532E-2</v>
      </c>
      <c r="Q617" s="585">
        <f t="shared" si="109"/>
        <v>0.21419079335454017</v>
      </c>
      <c r="R617" s="585">
        <f t="shared" si="110"/>
        <v>8.6099999999999982E-2</v>
      </c>
      <c r="S617" s="586">
        <f t="shared" si="111"/>
        <v>0.12809079335454018</v>
      </c>
      <c r="U617" s="587"/>
      <c r="V617" s="587"/>
      <c r="W617" s="587"/>
      <c r="X617" s="587"/>
      <c r="Y617" s="587"/>
      <c r="Z617" s="587"/>
      <c r="AA617" s="587"/>
      <c r="AB617" s="587"/>
      <c r="AC617" s="587"/>
      <c r="AE617" s="587"/>
      <c r="AF617" s="587"/>
      <c r="AG617" s="587"/>
      <c r="AH617" s="587"/>
      <c r="AI617" s="587"/>
      <c r="AJ617" s="587"/>
      <c r="AK617" s="587"/>
      <c r="AL617" s="587"/>
      <c r="AM617" s="587"/>
      <c r="AO617" s="587"/>
      <c r="AP617" s="587"/>
      <c r="AQ617" s="587"/>
      <c r="AR617" s="587"/>
      <c r="AS617" s="587"/>
      <c r="AT617" s="587"/>
      <c r="AU617" s="587"/>
      <c r="AV617" s="587"/>
      <c r="AW617" s="587"/>
    </row>
    <row r="618" spans="1:49">
      <c r="A618" s="581">
        <v>28157</v>
      </c>
      <c r="B618" s="594">
        <v>-1.8200000000000001E-2</v>
      </c>
      <c r="C618" s="577">
        <v>-3.7200000000000004E-2</v>
      </c>
      <c r="D618" s="577">
        <v>5.7000000000000002E-3</v>
      </c>
      <c r="E618" s="577">
        <v>6.6999999999999994E-3</v>
      </c>
      <c r="F618" s="577">
        <v>6.8833333333333333E-3</v>
      </c>
      <c r="G618" s="577">
        <v>6.7916666666666672E-3</v>
      </c>
      <c r="H618" s="577">
        <v>7.2083333333333331E-3</v>
      </c>
      <c r="I618" s="577">
        <f t="shared" si="101"/>
        <v>-2.3900000000000001E-2</v>
      </c>
      <c r="J618" s="577">
        <f t="shared" si="105"/>
        <v>-2.4991666666666669E-2</v>
      </c>
      <c r="K618" s="577">
        <f t="shared" si="106"/>
        <v>-4.4408333333333334E-2</v>
      </c>
      <c r="L618" s="585">
        <f t="shared" si="102"/>
        <v>4.2096753925091157E-2</v>
      </c>
      <c r="M618" s="585">
        <f t="shared" si="103"/>
        <v>6.8400000000000002E-2</v>
      </c>
      <c r="N618" s="585">
        <f t="shared" si="107"/>
        <v>8.1500000000000003E-2</v>
      </c>
      <c r="O618" s="586">
        <f t="shared" si="104"/>
        <v>-2.6303246074908845E-2</v>
      </c>
      <c r="P618" s="585">
        <f t="shared" si="108"/>
        <v>-3.9403246074908846E-2</v>
      </c>
      <c r="Q618" s="585">
        <f t="shared" si="109"/>
        <v>0.21217637478406393</v>
      </c>
      <c r="R618" s="585">
        <f t="shared" si="110"/>
        <v>8.6499999999999994E-2</v>
      </c>
      <c r="S618" s="586">
        <f t="shared" si="111"/>
        <v>0.12567637478406393</v>
      </c>
      <c r="U618" s="587"/>
      <c r="V618" s="587"/>
      <c r="W618" s="587"/>
      <c r="X618" s="587"/>
      <c r="Y618" s="587"/>
      <c r="Z618" s="587"/>
      <c r="AA618" s="587"/>
      <c r="AB618" s="587"/>
      <c r="AC618" s="587"/>
      <c r="AE618" s="587"/>
      <c r="AF618" s="587"/>
      <c r="AG618" s="587"/>
      <c r="AH618" s="587"/>
      <c r="AI618" s="587"/>
      <c r="AJ618" s="587"/>
      <c r="AK618" s="587"/>
      <c r="AL618" s="587"/>
      <c r="AM618" s="587"/>
      <c r="AO618" s="587"/>
      <c r="AP618" s="587"/>
      <c r="AQ618" s="587"/>
      <c r="AR618" s="587"/>
      <c r="AS618" s="587"/>
      <c r="AT618" s="587"/>
      <c r="AU618" s="587"/>
      <c r="AV618" s="587"/>
      <c r="AW618" s="587"/>
    </row>
    <row r="619" spans="1:49">
      <c r="A619" s="581">
        <v>28185</v>
      </c>
      <c r="B619" s="594">
        <v>-1.0500000000000001E-2</v>
      </c>
      <c r="C619" s="577">
        <v>1.0200000000000001E-2</v>
      </c>
      <c r="D619" s="577">
        <v>6.5000000000000006E-3</v>
      </c>
      <c r="E619" s="577">
        <v>6.7499999999999991E-3</v>
      </c>
      <c r="F619" s="577">
        <v>6.8999999999999999E-3</v>
      </c>
      <c r="G619" s="577">
        <v>6.8249999999999986E-3</v>
      </c>
      <c r="H619" s="577">
        <v>7.2499999999999995E-3</v>
      </c>
      <c r="I619" s="577">
        <f t="shared" si="101"/>
        <v>-1.7000000000000001E-2</v>
      </c>
      <c r="J619" s="577">
        <f t="shared" si="105"/>
        <v>-1.7325E-2</v>
      </c>
      <c r="K619" s="577">
        <f t="shared" si="106"/>
        <v>2.9500000000000012E-3</v>
      </c>
      <c r="L619" s="585">
        <f t="shared" si="102"/>
        <v>-2.4622830522609274E-3</v>
      </c>
      <c r="M619" s="585">
        <f t="shared" si="103"/>
        <v>7.8000000000000014E-2</v>
      </c>
      <c r="N619" s="585">
        <f t="shared" si="107"/>
        <v>8.1899999999999987E-2</v>
      </c>
      <c r="O619" s="586">
        <f t="shared" si="104"/>
        <v>-8.0462283052260941E-2</v>
      </c>
      <c r="P619" s="585">
        <f t="shared" si="108"/>
        <v>-8.4362283052260914E-2</v>
      </c>
      <c r="Q619" s="585">
        <f t="shared" si="109"/>
        <v>0.21241640970976294</v>
      </c>
      <c r="R619" s="585">
        <f t="shared" si="110"/>
        <v>8.6999999999999994E-2</v>
      </c>
      <c r="S619" s="586">
        <f t="shared" si="111"/>
        <v>0.12541640970976295</v>
      </c>
      <c r="U619" s="587"/>
      <c r="V619" s="587"/>
      <c r="W619" s="587"/>
      <c r="X619" s="587"/>
      <c r="Y619" s="587"/>
      <c r="Z619" s="587"/>
      <c r="AA619" s="587"/>
      <c r="AB619" s="587"/>
      <c r="AC619" s="587"/>
      <c r="AE619" s="587"/>
      <c r="AF619" s="587"/>
      <c r="AG619" s="587"/>
      <c r="AH619" s="587"/>
      <c r="AI619" s="587"/>
      <c r="AJ619" s="587"/>
      <c r="AK619" s="587"/>
      <c r="AL619" s="587"/>
      <c r="AM619" s="587"/>
      <c r="AO619" s="587"/>
      <c r="AP619" s="587"/>
      <c r="AQ619" s="587"/>
      <c r="AR619" s="587"/>
      <c r="AS619" s="587"/>
      <c r="AT619" s="587"/>
      <c r="AU619" s="587"/>
      <c r="AV619" s="587"/>
      <c r="AW619" s="587"/>
    </row>
    <row r="620" spans="1:49">
      <c r="A620" s="581">
        <v>28216</v>
      </c>
      <c r="B620" s="594">
        <v>4.1999999999999997E-3</v>
      </c>
      <c r="C620" s="577">
        <v>2.0900000000000002E-2</v>
      </c>
      <c r="D620" s="577">
        <v>6.0999999999999995E-3</v>
      </c>
      <c r="E620" s="577">
        <v>6.6999999999999994E-3</v>
      </c>
      <c r="F620" s="577">
        <v>6.8999999999999999E-3</v>
      </c>
      <c r="G620" s="577">
        <v>6.7999999999999996E-3</v>
      </c>
      <c r="H620" s="577">
        <v>7.2583333333333345E-3</v>
      </c>
      <c r="I620" s="577">
        <f t="shared" si="101"/>
        <v>-1.8999999999999998E-3</v>
      </c>
      <c r="J620" s="577">
        <f t="shared" si="105"/>
        <v>-2.5999999999999999E-3</v>
      </c>
      <c r="K620" s="577">
        <f t="shared" si="106"/>
        <v>1.3641666666666667E-2</v>
      </c>
      <c r="L620" s="585">
        <f t="shared" si="102"/>
        <v>9.6022730890141794E-3</v>
      </c>
      <c r="M620" s="585">
        <f t="shared" si="103"/>
        <v>7.3199999999999987E-2</v>
      </c>
      <c r="N620" s="585">
        <f t="shared" si="107"/>
        <v>8.1599999999999992E-2</v>
      </c>
      <c r="O620" s="586">
        <f t="shared" si="104"/>
        <v>-6.3597726910985808E-2</v>
      </c>
      <c r="P620" s="585">
        <f t="shared" si="108"/>
        <v>-7.1997726910985813E-2</v>
      </c>
      <c r="Q620" s="585">
        <f t="shared" si="109"/>
        <v>0.23319309820932266</v>
      </c>
      <c r="R620" s="585">
        <f t="shared" si="110"/>
        <v>8.7100000000000011E-2</v>
      </c>
      <c r="S620" s="586">
        <f t="shared" si="111"/>
        <v>0.14609309820932265</v>
      </c>
      <c r="U620" s="587"/>
      <c r="V620" s="587"/>
      <c r="W620" s="587"/>
      <c r="X620" s="587"/>
      <c r="Y620" s="587"/>
      <c r="Z620" s="587"/>
      <c r="AA620" s="587"/>
      <c r="AB620" s="587"/>
      <c r="AC620" s="587"/>
      <c r="AE620" s="587"/>
      <c r="AF620" s="587"/>
      <c r="AG620" s="587"/>
      <c r="AH620" s="587"/>
      <c r="AI620" s="587"/>
      <c r="AJ620" s="587"/>
      <c r="AK620" s="587"/>
      <c r="AL620" s="587"/>
      <c r="AM620" s="587"/>
      <c r="AO620" s="587"/>
      <c r="AP620" s="587"/>
      <c r="AQ620" s="587"/>
      <c r="AR620" s="587"/>
      <c r="AS620" s="587"/>
      <c r="AT620" s="587"/>
      <c r="AU620" s="587"/>
      <c r="AV620" s="587"/>
      <c r="AW620" s="587"/>
    </row>
    <row r="621" spans="1:49">
      <c r="A621" s="581">
        <v>28246</v>
      </c>
      <c r="B621" s="594">
        <v>-1.9599999999999999E-2</v>
      </c>
      <c r="C621" s="577">
        <v>2.1099999999999997E-2</v>
      </c>
      <c r="D621" s="577">
        <v>6.7000000000000002E-3</v>
      </c>
      <c r="E621" s="577">
        <v>6.7083333333333335E-3</v>
      </c>
      <c r="F621" s="577">
        <v>6.8999999999999999E-3</v>
      </c>
      <c r="G621" s="577">
        <v>6.8041666666666667E-3</v>
      </c>
      <c r="H621" s="577">
        <v>7.2583333333333345E-3</v>
      </c>
      <c r="I621" s="577">
        <f t="shared" si="101"/>
        <v>-2.63E-2</v>
      </c>
      <c r="J621" s="577">
        <f t="shared" si="105"/>
        <v>-2.6404166666666666E-2</v>
      </c>
      <c r="K621" s="577">
        <f t="shared" si="106"/>
        <v>1.3841666666666662E-2</v>
      </c>
      <c r="L621" s="585">
        <f t="shared" si="102"/>
        <v>9.2432858374880134E-4</v>
      </c>
      <c r="M621" s="585">
        <f t="shared" si="103"/>
        <v>8.0399999999999999E-2</v>
      </c>
      <c r="N621" s="585">
        <f t="shared" si="107"/>
        <v>8.165E-2</v>
      </c>
      <c r="O621" s="586">
        <f t="shared" si="104"/>
        <v>-7.9475671416251198E-2</v>
      </c>
      <c r="P621" s="585">
        <f t="shared" si="108"/>
        <v>-8.0725671416251199E-2</v>
      </c>
      <c r="Q621" s="585">
        <f t="shared" si="109"/>
        <v>0.27696326192225884</v>
      </c>
      <c r="R621" s="585">
        <f t="shared" si="110"/>
        <v>8.7100000000000011E-2</v>
      </c>
      <c r="S621" s="586">
        <f t="shared" si="111"/>
        <v>0.18986326192225883</v>
      </c>
      <c r="U621" s="587"/>
      <c r="V621" s="587"/>
      <c r="W621" s="587"/>
      <c r="X621" s="587"/>
      <c r="Y621" s="587"/>
      <c r="Z621" s="587"/>
      <c r="AA621" s="587"/>
      <c r="AB621" s="587"/>
      <c r="AC621" s="587"/>
      <c r="AE621" s="587"/>
      <c r="AF621" s="587"/>
      <c r="AG621" s="587"/>
      <c r="AH621" s="587"/>
      <c r="AI621" s="587"/>
      <c r="AJ621" s="587"/>
      <c r="AK621" s="587"/>
      <c r="AL621" s="587"/>
      <c r="AM621" s="587"/>
      <c r="AO621" s="587"/>
      <c r="AP621" s="587"/>
      <c r="AQ621" s="587"/>
      <c r="AR621" s="587"/>
      <c r="AS621" s="587"/>
      <c r="AT621" s="587"/>
      <c r="AU621" s="587"/>
      <c r="AV621" s="587"/>
      <c r="AW621" s="587"/>
    </row>
    <row r="622" spans="1:49">
      <c r="A622" s="581">
        <v>28277</v>
      </c>
      <c r="B622" s="594">
        <v>4.9399999999999999E-2</v>
      </c>
      <c r="C622" s="577">
        <v>5.3099999999999994E-2</v>
      </c>
      <c r="D622" s="577">
        <v>6.1999999999999998E-3</v>
      </c>
      <c r="E622" s="577">
        <v>6.6249999999999998E-3</v>
      </c>
      <c r="F622" s="577">
        <v>6.8250000000000003E-3</v>
      </c>
      <c r="G622" s="577">
        <v>6.7250000000000001E-3</v>
      </c>
      <c r="H622" s="577">
        <v>7.1500000000000001E-3</v>
      </c>
      <c r="I622" s="577">
        <f t="shared" si="101"/>
        <v>4.3200000000000002E-2</v>
      </c>
      <c r="J622" s="577">
        <f t="shared" si="105"/>
        <v>4.2674999999999998E-2</v>
      </c>
      <c r="K622" s="577">
        <f t="shared" si="106"/>
        <v>4.5949999999999991E-2</v>
      </c>
      <c r="L622" s="585">
        <f t="shared" si="102"/>
        <v>5.8124968072261751E-3</v>
      </c>
      <c r="M622" s="585">
        <f t="shared" si="103"/>
        <v>7.4399999999999994E-2</v>
      </c>
      <c r="N622" s="585">
        <f t="shared" si="107"/>
        <v>8.0699999999999994E-2</v>
      </c>
      <c r="O622" s="586">
        <f t="shared" si="104"/>
        <v>-6.8587503192773819E-2</v>
      </c>
      <c r="P622" s="585">
        <f t="shared" si="108"/>
        <v>-7.4887503192773819E-2</v>
      </c>
      <c r="Q622" s="585">
        <f t="shared" si="109"/>
        <v>0.30092871348585692</v>
      </c>
      <c r="R622" s="585">
        <f t="shared" si="110"/>
        <v>8.5800000000000001E-2</v>
      </c>
      <c r="S622" s="586">
        <f t="shared" si="111"/>
        <v>0.21512871348585694</v>
      </c>
      <c r="U622" s="587"/>
      <c r="V622" s="587"/>
      <c r="W622" s="587"/>
      <c r="X622" s="587"/>
      <c r="Y622" s="587"/>
      <c r="Z622" s="587"/>
      <c r="AA622" s="587"/>
      <c r="AB622" s="587"/>
      <c r="AC622" s="587"/>
      <c r="AE622" s="587"/>
      <c r="AF622" s="587"/>
      <c r="AG622" s="587"/>
      <c r="AH622" s="587"/>
      <c r="AI622" s="587"/>
      <c r="AJ622" s="587"/>
      <c r="AK622" s="587"/>
      <c r="AL622" s="587"/>
      <c r="AM622" s="587"/>
      <c r="AO622" s="587"/>
      <c r="AP622" s="587"/>
      <c r="AQ622" s="587"/>
      <c r="AR622" s="587"/>
      <c r="AS622" s="587"/>
      <c r="AT622" s="587"/>
      <c r="AU622" s="587"/>
      <c r="AV622" s="587"/>
      <c r="AW622" s="587"/>
    </row>
    <row r="623" spans="1:49">
      <c r="A623" s="581">
        <v>28307</v>
      </c>
      <c r="B623" s="594">
        <v>-1.24E-2</v>
      </c>
      <c r="C623" s="577">
        <v>1.6399999999999998E-2</v>
      </c>
      <c r="D623" s="577">
        <v>5.8999999999999999E-3</v>
      </c>
      <c r="E623" s="577">
        <v>6.6166666666666674E-3</v>
      </c>
      <c r="F623" s="577">
        <v>6.7666666666666665E-3</v>
      </c>
      <c r="G623" s="577">
        <v>6.6916666666666669E-3</v>
      </c>
      <c r="H623" s="577">
        <v>7.0916666666666663E-3</v>
      </c>
      <c r="I623" s="577">
        <f t="shared" si="101"/>
        <v>-1.83E-2</v>
      </c>
      <c r="J623" s="577">
        <f t="shared" si="105"/>
        <v>-1.9091666666666667E-2</v>
      </c>
      <c r="K623" s="577">
        <f t="shared" si="106"/>
        <v>9.3083333333333317E-3</v>
      </c>
      <c r="L623" s="585">
        <f t="shared" si="102"/>
        <v>-1.8685471796455744E-3</v>
      </c>
      <c r="M623" s="585">
        <f t="shared" si="103"/>
        <v>7.0800000000000002E-2</v>
      </c>
      <c r="N623" s="585">
        <f t="shared" si="107"/>
        <v>8.030000000000001E-2</v>
      </c>
      <c r="O623" s="586">
        <f t="shared" si="104"/>
        <v>-7.2668547179645576E-2</v>
      </c>
      <c r="P623" s="585">
        <f t="shared" si="108"/>
        <v>-8.2168547179645585E-2</v>
      </c>
      <c r="Q623" s="585">
        <f t="shared" si="109"/>
        <v>0.2786615843603375</v>
      </c>
      <c r="R623" s="585">
        <f t="shared" si="110"/>
        <v>8.5099999999999995E-2</v>
      </c>
      <c r="S623" s="586">
        <f t="shared" si="111"/>
        <v>0.19356158436033749</v>
      </c>
      <c r="U623" s="587"/>
      <c r="V623" s="587"/>
      <c r="W623" s="587"/>
      <c r="X623" s="587"/>
      <c r="Y623" s="587"/>
      <c r="Z623" s="587"/>
      <c r="AA623" s="587"/>
      <c r="AB623" s="587"/>
      <c r="AC623" s="587"/>
      <c r="AE623" s="587"/>
      <c r="AF623" s="587"/>
      <c r="AG623" s="587"/>
      <c r="AH623" s="587"/>
      <c r="AI623" s="587"/>
      <c r="AJ623" s="587"/>
      <c r="AK623" s="587"/>
      <c r="AL623" s="587"/>
      <c r="AM623" s="587"/>
      <c r="AO623" s="587"/>
      <c r="AP623" s="587"/>
      <c r="AQ623" s="587"/>
      <c r="AR623" s="587"/>
      <c r="AS623" s="587"/>
      <c r="AT623" s="587"/>
      <c r="AU623" s="587"/>
      <c r="AV623" s="587"/>
      <c r="AW623" s="587"/>
    </row>
    <row r="624" spans="1:49">
      <c r="A624" s="581">
        <v>28338</v>
      </c>
      <c r="B624" s="594">
        <v>-1.72E-2</v>
      </c>
      <c r="C624" s="577">
        <v>-3.5300000000000005E-2</v>
      </c>
      <c r="D624" s="577">
        <v>6.7000000000000002E-3</v>
      </c>
      <c r="E624" s="577">
        <v>6.6500000000000005E-3</v>
      </c>
      <c r="F624" s="577">
        <v>6.8083333333333329E-3</v>
      </c>
      <c r="G624" s="577">
        <v>6.7291666666666663E-3</v>
      </c>
      <c r="H624" s="577">
        <v>7.0750000000000006E-3</v>
      </c>
      <c r="I624" s="577">
        <f t="shared" si="101"/>
        <v>-2.3900000000000001E-2</v>
      </c>
      <c r="J624" s="577">
        <f t="shared" si="105"/>
        <v>-2.3929166666666668E-2</v>
      </c>
      <c r="K624" s="577">
        <f t="shared" si="106"/>
        <v>-4.2375000000000003E-2</v>
      </c>
      <c r="L624" s="585">
        <f t="shared" si="102"/>
        <v>-1.7267489649525181E-2</v>
      </c>
      <c r="M624" s="585">
        <f t="shared" si="103"/>
        <v>8.0399999999999999E-2</v>
      </c>
      <c r="N624" s="585">
        <f t="shared" si="107"/>
        <v>8.0749999999999988E-2</v>
      </c>
      <c r="O624" s="586">
        <f t="shared" si="104"/>
        <v>-9.766748964952518E-2</v>
      </c>
      <c r="P624" s="585">
        <f t="shared" si="108"/>
        <v>-9.8017489649525169E-2</v>
      </c>
      <c r="Q624" s="585">
        <f t="shared" si="109"/>
        <v>0.18802352926169474</v>
      </c>
      <c r="R624" s="585">
        <f t="shared" si="110"/>
        <v>8.4900000000000003E-2</v>
      </c>
      <c r="S624" s="586">
        <f t="shared" si="111"/>
        <v>0.10312352926169474</v>
      </c>
      <c r="U624" s="587"/>
      <c r="V624" s="587"/>
      <c r="W624" s="587"/>
      <c r="X624" s="587"/>
      <c r="Y624" s="587"/>
      <c r="Z624" s="587"/>
      <c r="AA624" s="587"/>
      <c r="AB624" s="587"/>
      <c r="AC624" s="587"/>
      <c r="AE624" s="587"/>
      <c r="AF624" s="587"/>
      <c r="AG624" s="587"/>
      <c r="AH624" s="587"/>
      <c r="AI624" s="587"/>
      <c r="AJ624" s="587"/>
      <c r="AK624" s="587"/>
      <c r="AL624" s="587"/>
      <c r="AM624" s="587"/>
      <c r="AO624" s="587"/>
      <c r="AP624" s="587"/>
      <c r="AQ624" s="587"/>
      <c r="AR624" s="587"/>
      <c r="AS624" s="587"/>
      <c r="AT624" s="587"/>
      <c r="AU624" s="587"/>
      <c r="AV624" s="587"/>
      <c r="AW624" s="587"/>
    </row>
    <row r="625" spans="1:49">
      <c r="A625" s="581">
        <v>28369</v>
      </c>
      <c r="B625" s="594">
        <v>1.6000000000000001E-3</v>
      </c>
      <c r="C625" s="577">
        <v>2.4699999999999996E-2</v>
      </c>
      <c r="D625" s="577">
        <v>6.0999999999999995E-3</v>
      </c>
      <c r="E625" s="577">
        <v>6.6E-3</v>
      </c>
      <c r="F625" s="577">
        <v>6.7916666666666672E-3</v>
      </c>
      <c r="G625" s="577">
        <v>6.695833333333334E-3</v>
      </c>
      <c r="H625" s="577">
        <v>7.0500000000000007E-3</v>
      </c>
      <c r="I625" s="577">
        <f t="shared" si="101"/>
        <v>-4.4999999999999997E-3</v>
      </c>
      <c r="J625" s="577">
        <f t="shared" si="105"/>
        <v>-5.0958333333333342E-3</v>
      </c>
      <c r="K625" s="577">
        <f t="shared" si="106"/>
        <v>1.7649999999999996E-2</v>
      </c>
      <c r="L625" s="585">
        <f t="shared" si="102"/>
        <v>-4.0451469714334554E-2</v>
      </c>
      <c r="M625" s="585">
        <f t="shared" si="103"/>
        <v>7.3199999999999987E-2</v>
      </c>
      <c r="N625" s="585">
        <f t="shared" si="107"/>
        <v>8.0350000000000005E-2</v>
      </c>
      <c r="O625" s="586">
        <f t="shared" si="104"/>
        <v>-0.11365146971433454</v>
      </c>
      <c r="P625" s="585">
        <f t="shared" si="108"/>
        <v>-0.12080146971433456</v>
      </c>
      <c r="Q625" s="585">
        <f t="shared" si="109"/>
        <v>0.17268828671077774</v>
      </c>
      <c r="R625" s="585">
        <f t="shared" si="110"/>
        <v>8.4600000000000009E-2</v>
      </c>
      <c r="S625" s="586">
        <f t="shared" si="111"/>
        <v>8.808828671077773E-2</v>
      </c>
      <c r="U625" s="587"/>
      <c r="V625" s="587"/>
      <c r="W625" s="587"/>
      <c r="X625" s="587"/>
      <c r="Y625" s="587"/>
      <c r="Z625" s="587"/>
      <c r="AA625" s="587"/>
      <c r="AB625" s="587"/>
      <c r="AC625" s="587"/>
      <c r="AE625" s="587"/>
      <c r="AF625" s="587"/>
      <c r="AG625" s="587"/>
      <c r="AH625" s="587"/>
      <c r="AI625" s="587"/>
      <c r="AJ625" s="587"/>
      <c r="AK625" s="587"/>
      <c r="AL625" s="587"/>
      <c r="AM625" s="587"/>
      <c r="AO625" s="587"/>
      <c r="AP625" s="587"/>
      <c r="AQ625" s="587"/>
      <c r="AR625" s="587"/>
      <c r="AS625" s="587"/>
      <c r="AT625" s="587"/>
      <c r="AU625" s="587"/>
      <c r="AV625" s="587"/>
      <c r="AW625" s="587"/>
    </row>
    <row r="626" spans="1:49">
      <c r="A626" s="581">
        <v>28399</v>
      </c>
      <c r="B626" s="594">
        <v>-3.9E-2</v>
      </c>
      <c r="C626" s="577">
        <v>-2.9600000000000001E-2</v>
      </c>
      <c r="D626" s="577">
        <v>6.3E-3</v>
      </c>
      <c r="E626" s="577">
        <v>6.6999999999999994E-3</v>
      </c>
      <c r="F626" s="577">
        <v>6.8833333333333333E-3</v>
      </c>
      <c r="G626" s="577">
        <v>6.7916666666666672E-3</v>
      </c>
      <c r="H626" s="577">
        <v>7.1749999999999991E-3</v>
      </c>
      <c r="I626" s="577">
        <f t="shared" si="101"/>
        <v>-4.53E-2</v>
      </c>
      <c r="J626" s="577">
        <f t="shared" si="105"/>
        <v>-4.5791666666666668E-2</v>
      </c>
      <c r="K626" s="577">
        <f t="shared" si="106"/>
        <v>-3.6775000000000002E-2</v>
      </c>
      <c r="L626" s="585">
        <f t="shared" si="102"/>
        <v>-6.0397251269080132E-2</v>
      </c>
      <c r="M626" s="585">
        <f t="shared" si="103"/>
        <v>7.5600000000000001E-2</v>
      </c>
      <c r="N626" s="585">
        <f t="shared" si="107"/>
        <v>8.1500000000000003E-2</v>
      </c>
      <c r="O626" s="586">
        <f t="shared" si="104"/>
        <v>-0.13599725126908013</v>
      </c>
      <c r="P626" s="585">
        <f t="shared" si="108"/>
        <v>-0.14189725126908015</v>
      </c>
      <c r="Q626" s="585">
        <f t="shared" si="109"/>
        <v>0.14037149356061662</v>
      </c>
      <c r="R626" s="585">
        <f t="shared" si="110"/>
        <v>8.6099999999999982E-2</v>
      </c>
      <c r="S626" s="586">
        <f t="shared" si="111"/>
        <v>5.427149356061664E-2</v>
      </c>
      <c r="U626" s="587"/>
      <c r="V626" s="587"/>
      <c r="W626" s="587"/>
      <c r="X626" s="587"/>
      <c r="Y626" s="587"/>
      <c r="Z626" s="587"/>
      <c r="AA626" s="587"/>
      <c r="AB626" s="587"/>
      <c r="AC626" s="587"/>
      <c r="AE626" s="587"/>
      <c r="AF626" s="587"/>
      <c r="AG626" s="587"/>
      <c r="AH626" s="587"/>
      <c r="AI626" s="587"/>
      <c r="AJ626" s="587"/>
      <c r="AK626" s="587"/>
      <c r="AL626" s="587"/>
      <c r="AM626" s="587"/>
      <c r="AO626" s="587"/>
      <c r="AP626" s="587"/>
      <c r="AQ626" s="587"/>
      <c r="AR626" s="587"/>
      <c r="AS626" s="587"/>
      <c r="AT626" s="587"/>
      <c r="AU626" s="587"/>
      <c r="AV626" s="587"/>
      <c r="AW626" s="587"/>
    </row>
    <row r="627" spans="1:49">
      <c r="A627" s="581">
        <v>28430</v>
      </c>
      <c r="B627" s="594">
        <v>3.1600000000000003E-2</v>
      </c>
      <c r="C627" s="577">
        <v>3.8100000000000002E-2</v>
      </c>
      <c r="D627" s="577">
        <v>6.3E-3</v>
      </c>
      <c r="E627" s="577">
        <v>6.7333333333333334E-3</v>
      </c>
      <c r="F627" s="577">
        <v>6.9499999999999996E-3</v>
      </c>
      <c r="G627" s="577">
        <v>6.841666666666666E-3</v>
      </c>
      <c r="H627" s="577">
        <v>7.2000000000000007E-3</v>
      </c>
      <c r="I627" s="577">
        <f t="shared" si="101"/>
        <v>2.5300000000000003E-2</v>
      </c>
      <c r="J627" s="577">
        <f t="shared" si="105"/>
        <v>2.4758333333333337E-2</v>
      </c>
      <c r="K627" s="577">
        <f t="shared" si="106"/>
        <v>3.09E-2</v>
      </c>
      <c r="L627" s="585">
        <f t="shared" si="102"/>
        <v>-2.6715337292080865E-2</v>
      </c>
      <c r="M627" s="585">
        <f t="shared" si="103"/>
        <v>7.5600000000000001E-2</v>
      </c>
      <c r="N627" s="585">
        <f t="shared" si="107"/>
        <v>8.2099999999999992E-2</v>
      </c>
      <c r="O627" s="586">
        <f t="shared" si="104"/>
        <v>-0.10231533729208087</v>
      </c>
      <c r="P627" s="585">
        <f t="shared" si="108"/>
        <v>-0.10881533729208086</v>
      </c>
      <c r="Q627" s="585">
        <f t="shared" si="109"/>
        <v>0.15292135514732741</v>
      </c>
      <c r="R627" s="585">
        <f t="shared" si="110"/>
        <v>8.6400000000000005E-2</v>
      </c>
      <c r="S627" s="586">
        <f t="shared" si="111"/>
        <v>6.6521355147327405E-2</v>
      </c>
      <c r="U627" s="587"/>
      <c r="V627" s="587"/>
      <c r="W627" s="587"/>
      <c r="X627" s="587"/>
      <c r="Y627" s="587"/>
      <c r="Z627" s="587"/>
      <c r="AA627" s="587"/>
      <c r="AB627" s="587"/>
      <c r="AC627" s="587"/>
      <c r="AE627" s="587"/>
      <c r="AF627" s="587"/>
      <c r="AG627" s="587"/>
      <c r="AH627" s="587"/>
      <c r="AI627" s="587"/>
      <c r="AJ627" s="587"/>
      <c r="AK627" s="587"/>
      <c r="AL627" s="587"/>
      <c r="AM627" s="587"/>
      <c r="AO627" s="587"/>
      <c r="AP627" s="587"/>
      <c r="AQ627" s="587"/>
      <c r="AR627" s="587"/>
      <c r="AS627" s="587"/>
      <c r="AT627" s="587"/>
      <c r="AU627" s="587"/>
      <c r="AV627" s="587"/>
      <c r="AW627" s="587"/>
    </row>
    <row r="628" spans="1:49">
      <c r="A628" s="581">
        <v>28460</v>
      </c>
      <c r="B628" s="594">
        <v>7.4999999999999997E-3</v>
      </c>
      <c r="C628" s="577">
        <v>1.8999999999999998E-3</v>
      </c>
      <c r="D628" s="577">
        <v>6.1999999999999998E-3</v>
      </c>
      <c r="E628" s="577">
        <v>6.8250000000000003E-3</v>
      </c>
      <c r="F628" s="577">
        <v>7.0041666666666655E-3</v>
      </c>
      <c r="G628" s="577">
        <v>6.9145833333333325E-3</v>
      </c>
      <c r="H628" s="577">
        <v>7.2000000000000007E-3</v>
      </c>
      <c r="I628" s="577">
        <f t="shared" si="101"/>
        <v>1.2999999999999999E-3</v>
      </c>
      <c r="J628" s="577">
        <f t="shared" si="105"/>
        <v>5.8541666666666724E-4</v>
      </c>
      <c r="K628" s="577">
        <f t="shared" si="106"/>
        <v>-5.3000000000000009E-3</v>
      </c>
      <c r="L628" s="585">
        <f t="shared" si="102"/>
        <v>-7.1504310502576884E-2</v>
      </c>
      <c r="M628" s="585">
        <f t="shared" si="103"/>
        <v>7.4399999999999994E-2</v>
      </c>
      <c r="N628" s="585">
        <f t="shared" si="107"/>
        <v>8.2974999999999993E-2</v>
      </c>
      <c r="O628" s="586">
        <f t="shared" si="104"/>
        <v>-0.14590431050257688</v>
      </c>
      <c r="P628" s="585">
        <f t="shared" si="108"/>
        <v>-0.15447931050257688</v>
      </c>
      <c r="Q628" s="585">
        <f t="shared" si="109"/>
        <v>8.6550565066416452E-2</v>
      </c>
      <c r="R628" s="585">
        <f t="shared" si="110"/>
        <v>8.6400000000000005E-2</v>
      </c>
      <c r="S628" s="586">
        <f t="shared" si="111"/>
        <v>1.5056506641644707E-4</v>
      </c>
      <c r="U628" s="587"/>
      <c r="V628" s="587"/>
      <c r="W628" s="587"/>
      <c r="X628" s="587"/>
      <c r="Y628" s="587"/>
      <c r="Z628" s="587"/>
      <c r="AA628" s="587"/>
      <c r="AB628" s="587"/>
      <c r="AC628" s="587"/>
      <c r="AE628" s="587"/>
      <c r="AF628" s="587"/>
      <c r="AG628" s="587"/>
      <c r="AH628" s="587"/>
      <c r="AI628" s="587"/>
      <c r="AJ628" s="587"/>
      <c r="AK628" s="587"/>
      <c r="AL628" s="587"/>
      <c r="AM628" s="587"/>
      <c r="AO628" s="587"/>
      <c r="AP628" s="587"/>
      <c r="AQ628" s="587"/>
      <c r="AR628" s="587"/>
      <c r="AS628" s="587"/>
      <c r="AT628" s="587"/>
      <c r="AU628" s="587"/>
      <c r="AV628" s="587"/>
      <c r="AW628" s="587"/>
    </row>
    <row r="629" spans="1:49">
      <c r="A629" s="581">
        <v>28491</v>
      </c>
      <c r="B629" s="594">
        <v>-5.74E-2</v>
      </c>
      <c r="C629" s="577">
        <v>-5.33E-2</v>
      </c>
      <c r="D629" s="577">
        <v>6.8999999999999999E-3</v>
      </c>
      <c r="E629" s="577">
        <v>7.0083333333333334E-3</v>
      </c>
      <c r="F629" s="577">
        <v>7.1583333333333334E-3</v>
      </c>
      <c r="G629" s="577">
        <v>7.083333333333333E-3</v>
      </c>
      <c r="H629" s="577">
        <v>7.4333333333333326E-3</v>
      </c>
      <c r="I629" s="577">
        <f t="shared" si="101"/>
        <v>-6.4299999999999996E-2</v>
      </c>
      <c r="J629" s="577">
        <f t="shared" si="105"/>
        <v>-6.4483333333333337E-2</v>
      </c>
      <c r="K629" s="577">
        <f t="shared" si="106"/>
        <v>-6.0733333333333334E-2</v>
      </c>
      <c r="L629" s="585">
        <f t="shared" si="102"/>
        <v>-8.1347709750949071E-2</v>
      </c>
      <c r="M629" s="585">
        <f t="shared" si="103"/>
        <v>8.2799999999999999E-2</v>
      </c>
      <c r="N629" s="585">
        <f t="shared" si="107"/>
        <v>8.4999999999999992E-2</v>
      </c>
      <c r="O629" s="586">
        <f t="shared" si="104"/>
        <v>-0.16414770975094906</v>
      </c>
      <c r="P629" s="585">
        <f t="shared" si="108"/>
        <v>-0.16634770975094906</v>
      </c>
      <c r="Q629" s="585">
        <f t="shared" si="109"/>
        <v>2.5049745837943949E-2</v>
      </c>
      <c r="R629" s="585">
        <f t="shared" si="110"/>
        <v>8.9199999999999988E-2</v>
      </c>
      <c r="S629" s="586">
        <f t="shared" si="111"/>
        <v>-6.4150254162056039E-2</v>
      </c>
      <c r="U629" s="587"/>
      <c r="V629" s="587"/>
      <c r="W629" s="587"/>
      <c r="X629" s="587"/>
      <c r="Y629" s="587"/>
      <c r="Z629" s="587"/>
      <c r="AA629" s="587"/>
      <c r="AB629" s="587"/>
      <c r="AC629" s="587"/>
      <c r="AE629" s="587"/>
      <c r="AF629" s="587"/>
      <c r="AG629" s="587"/>
      <c r="AH629" s="587"/>
      <c r="AI629" s="587"/>
      <c r="AJ629" s="587"/>
      <c r="AK629" s="587"/>
      <c r="AL629" s="587"/>
      <c r="AM629" s="587"/>
      <c r="AO629" s="587"/>
      <c r="AP629" s="587"/>
      <c r="AQ629" s="587"/>
      <c r="AR629" s="587"/>
      <c r="AS629" s="587"/>
      <c r="AT629" s="587"/>
      <c r="AU629" s="587"/>
      <c r="AV629" s="587"/>
      <c r="AW629" s="587"/>
    </row>
    <row r="630" spans="1:49">
      <c r="A630" s="581">
        <v>28522</v>
      </c>
      <c r="B630" s="594">
        <v>-2.0299999999999999E-2</v>
      </c>
      <c r="C630" s="577">
        <v>-6.1999999999999998E-3</v>
      </c>
      <c r="D630" s="577">
        <v>6.0000000000000001E-3</v>
      </c>
      <c r="E630" s="577">
        <v>7.058333333333334E-3</v>
      </c>
      <c r="F630" s="577">
        <v>7.2083333333333331E-3</v>
      </c>
      <c r="G630" s="577">
        <v>7.1333333333333335E-3</v>
      </c>
      <c r="H630" s="577">
        <v>7.4750000000000007E-3</v>
      </c>
      <c r="I630" s="577">
        <f t="shared" si="101"/>
        <v>-2.6299999999999997E-2</v>
      </c>
      <c r="J630" s="577">
        <f t="shared" si="105"/>
        <v>-2.743333333333333E-2</v>
      </c>
      <c r="K630" s="577">
        <f t="shared" si="106"/>
        <v>-1.3675E-2</v>
      </c>
      <c r="L630" s="585">
        <f t="shared" si="102"/>
        <v>-8.3312641314936431E-2</v>
      </c>
      <c r="M630" s="585">
        <f t="shared" si="103"/>
        <v>7.2000000000000008E-2</v>
      </c>
      <c r="N630" s="585">
        <f t="shared" si="107"/>
        <v>8.5600000000000009E-2</v>
      </c>
      <c r="O630" s="586">
        <f t="shared" si="104"/>
        <v>-0.15531264131493644</v>
      </c>
      <c r="P630" s="585">
        <f t="shared" si="108"/>
        <v>-0.16891264131493644</v>
      </c>
      <c r="Q630" s="585">
        <f t="shared" si="109"/>
        <v>5.8054047999323233E-2</v>
      </c>
      <c r="R630" s="585">
        <f t="shared" si="110"/>
        <v>8.9700000000000002E-2</v>
      </c>
      <c r="S630" s="586">
        <f t="shared" si="111"/>
        <v>-3.1645952000676769E-2</v>
      </c>
      <c r="U630" s="587"/>
      <c r="V630" s="587"/>
      <c r="W630" s="587"/>
      <c r="X630" s="587"/>
      <c r="Y630" s="587"/>
      <c r="Z630" s="587"/>
      <c r="AA630" s="587"/>
      <c r="AB630" s="587"/>
      <c r="AC630" s="587"/>
      <c r="AE630" s="587"/>
      <c r="AF630" s="587"/>
      <c r="AG630" s="587"/>
      <c r="AH630" s="587"/>
      <c r="AI630" s="587"/>
      <c r="AJ630" s="587"/>
      <c r="AK630" s="587"/>
      <c r="AL630" s="587"/>
      <c r="AM630" s="587"/>
      <c r="AO630" s="587"/>
      <c r="AP630" s="587"/>
      <c r="AQ630" s="587"/>
      <c r="AR630" s="587"/>
      <c r="AS630" s="587"/>
      <c r="AT630" s="587"/>
      <c r="AU630" s="587"/>
      <c r="AV630" s="587"/>
      <c r="AW630" s="587"/>
    </row>
    <row r="631" spans="1:49">
      <c r="A631" s="581">
        <v>28550</v>
      </c>
      <c r="B631" s="594">
        <v>2.9399999999999999E-2</v>
      </c>
      <c r="C631" s="577">
        <v>3.0899999999999997E-2</v>
      </c>
      <c r="D631" s="577">
        <v>6.8999999999999999E-3</v>
      </c>
      <c r="E631" s="577">
        <v>7.058333333333334E-3</v>
      </c>
      <c r="F631" s="577">
        <v>7.2166666666666664E-3</v>
      </c>
      <c r="G631" s="577">
        <v>7.1375000000000015E-3</v>
      </c>
      <c r="H631" s="577">
        <v>7.483333333333334E-3</v>
      </c>
      <c r="I631" s="577">
        <f t="shared" si="101"/>
        <v>2.2499999999999999E-2</v>
      </c>
      <c r="J631" s="577">
        <f t="shared" si="105"/>
        <v>2.2262499999999998E-2</v>
      </c>
      <c r="K631" s="577">
        <f t="shared" si="106"/>
        <v>2.3416666666666662E-2</v>
      </c>
      <c r="L631" s="585">
        <f t="shared" si="102"/>
        <v>-4.6348694259318313E-2</v>
      </c>
      <c r="M631" s="585">
        <f t="shared" si="103"/>
        <v>8.2799999999999999E-2</v>
      </c>
      <c r="N631" s="585">
        <f t="shared" si="107"/>
        <v>8.5650000000000018E-2</v>
      </c>
      <c r="O631" s="586">
        <f t="shared" si="104"/>
        <v>-0.1291486942593183</v>
      </c>
      <c r="P631" s="585">
        <f t="shared" si="108"/>
        <v>-0.13199869425931832</v>
      </c>
      <c r="Q631" s="585">
        <f t="shared" si="109"/>
        <v>7.973462490843608E-2</v>
      </c>
      <c r="R631" s="585">
        <f t="shared" si="110"/>
        <v>8.9800000000000005E-2</v>
      </c>
      <c r="S631" s="586">
        <f t="shared" si="111"/>
        <v>-1.0065375091563925E-2</v>
      </c>
      <c r="U631" s="587"/>
      <c r="V631" s="587"/>
      <c r="W631" s="587"/>
      <c r="X631" s="587"/>
      <c r="Y631" s="587"/>
      <c r="Z631" s="587"/>
      <c r="AA631" s="587"/>
      <c r="AB631" s="587"/>
      <c r="AC631" s="587"/>
      <c r="AE631" s="587"/>
      <c r="AF631" s="587"/>
      <c r="AG631" s="587"/>
      <c r="AH631" s="587"/>
      <c r="AI631" s="587"/>
      <c r="AJ631" s="587"/>
      <c r="AK631" s="587"/>
      <c r="AL631" s="587"/>
      <c r="AM631" s="587"/>
      <c r="AO631" s="587"/>
      <c r="AP631" s="587"/>
      <c r="AQ631" s="587"/>
      <c r="AR631" s="587"/>
      <c r="AS631" s="587"/>
      <c r="AT631" s="587"/>
      <c r="AU631" s="587"/>
      <c r="AV631" s="587"/>
      <c r="AW631" s="587"/>
    </row>
    <row r="632" spans="1:49">
      <c r="A632" s="581">
        <v>28581</v>
      </c>
      <c r="B632" s="594">
        <v>9.0200000000000002E-2</v>
      </c>
      <c r="C632" s="577">
        <v>1.06E-2</v>
      </c>
      <c r="D632" s="577">
        <v>6.3E-3</v>
      </c>
      <c r="E632" s="577">
        <v>7.1333333333333335E-3</v>
      </c>
      <c r="F632" s="577">
        <v>7.2750000000000002E-3</v>
      </c>
      <c r="G632" s="577">
        <v>7.2041666666666669E-3</v>
      </c>
      <c r="H632" s="577">
        <v>7.5749999999999993E-3</v>
      </c>
      <c r="I632" s="577">
        <f t="shared" si="101"/>
        <v>8.3900000000000002E-2</v>
      </c>
      <c r="J632" s="577">
        <f t="shared" si="105"/>
        <v>8.2995833333333338E-2</v>
      </c>
      <c r="K632" s="577">
        <f t="shared" si="106"/>
        <v>3.0250000000000008E-3</v>
      </c>
      <c r="L632" s="585">
        <f t="shared" si="102"/>
        <v>3.5322299859083195E-2</v>
      </c>
      <c r="M632" s="585">
        <f t="shared" si="103"/>
        <v>7.5600000000000001E-2</v>
      </c>
      <c r="N632" s="585">
        <f t="shared" si="107"/>
        <v>8.6449999999999999E-2</v>
      </c>
      <c r="O632" s="586">
        <f t="shared" si="104"/>
        <v>-4.0277700140916806E-2</v>
      </c>
      <c r="P632" s="585">
        <f t="shared" si="108"/>
        <v>-5.1127700140916804E-2</v>
      </c>
      <c r="Q632" s="585">
        <f t="shared" si="109"/>
        <v>6.884103431527655E-2</v>
      </c>
      <c r="R632" s="585">
        <f t="shared" si="110"/>
        <v>9.0899999999999995E-2</v>
      </c>
      <c r="S632" s="586">
        <f t="shared" si="111"/>
        <v>-2.2058965684723444E-2</v>
      </c>
      <c r="U632" s="587"/>
      <c r="V632" s="587"/>
      <c r="W632" s="587"/>
      <c r="X632" s="587"/>
      <c r="Y632" s="587"/>
      <c r="Z632" s="587"/>
      <c r="AA632" s="587"/>
      <c r="AB632" s="587"/>
      <c r="AC632" s="587"/>
      <c r="AE632" s="587"/>
      <c r="AF632" s="587"/>
      <c r="AG632" s="587"/>
      <c r="AH632" s="587"/>
      <c r="AI632" s="587"/>
      <c r="AJ632" s="587"/>
      <c r="AK632" s="587"/>
      <c r="AL632" s="587"/>
      <c r="AM632" s="587"/>
      <c r="AO632" s="587"/>
      <c r="AP632" s="587"/>
      <c r="AQ632" s="587"/>
      <c r="AR632" s="587"/>
      <c r="AS632" s="587"/>
      <c r="AT632" s="587"/>
      <c r="AU632" s="587"/>
      <c r="AV632" s="587"/>
      <c r="AW632" s="587"/>
    </row>
    <row r="633" spans="1:49">
      <c r="A633" s="581">
        <v>28611</v>
      </c>
      <c r="B633" s="594">
        <v>9.1999999999999998E-3</v>
      </c>
      <c r="C633" s="577">
        <v>4.3E-3</v>
      </c>
      <c r="D633" s="577">
        <v>7.4999999999999997E-3</v>
      </c>
      <c r="E633" s="577">
        <v>7.2416666666666662E-3</v>
      </c>
      <c r="F633" s="577">
        <v>7.3666666666666672E-3</v>
      </c>
      <c r="G633" s="577">
        <v>7.3041666666666671E-3</v>
      </c>
      <c r="H633" s="577">
        <v>7.6833333333333345E-3</v>
      </c>
      <c r="I633" s="577">
        <f t="shared" si="101"/>
        <v>1.7000000000000001E-3</v>
      </c>
      <c r="J633" s="577">
        <f t="shared" si="105"/>
        <v>1.8958333333333327E-3</v>
      </c>
      <c r="K633" s="577">
        <f t="shared" si="106"/>
        <v>-3.3833333333333345E-3</v>
      </c>
      <c r="L633" s="585">
        <f t="shared" si="102"/>
        <v>6.5735684432666863E-2</v>
      </c>
      <c r="M633" s="585">
        <f t="shared" si="103"/>
        <v>0.09</v>
      </c>
      <c r="N633" s="585">
        <f t="shared" si="107"/>
        <v>8.7650000000000006E-2</v>
      </c>
      <c r="O633" s="586">
        <f t="shared" si="104"/>
        <v>-2.4264315567333133E-2</v>
      </c>
      <c r="P633" s="585">
        <f t="shared" si="108"/>
        <v>-2.1914315567333142E-2</v>
      </c>
      <c r="Q633" s="585">
        <f t="shared" si="109"/>
        <v>5.125555847892671E-2</v>
      </c>
      <c r="R633" s="585">
        <f t="shared" si="110"/>
        <v>9.2200000000000018E-2</v>
      </c>
      <c r="S633" s="586">
        <f t="shared" si="111"/>
        <v>-4.0944441521073308E-2</v>
      </c>
      <c r="U633" s="587"/>
      <c r="V633" s="587"/>
      <c r="W633" s="587"/>
      <c r="X633" s="587"/>
      <c r="Y633" s="587"/>
      <c r="Z633" s="587"/>
      <c r="AA633" s="587"/>
      <c r="AB633" s="587"/>
      <c r="AC633" s="587"/>
      <c r="AE633" s="587"/>
      <c r="AF633" s="587"/>
      <c r="AG633" s="587"/>
      <c r="AH633" s="587"/>
      <c r="AI633" s="587"/>
      <c r="AJ633" s="587"/>
      <c r="AK633" s="587"/>
      <c r="AL633" s="587"/>
      <c r="AM633" s="587"/>
      <c r="AO633" s="587"/>
      <c r="AP633" s="587"/>
      <c r="AQ633" s="587"/>
      <c r="AR633" s="587"/>
      <c r="AS633" s="587"/>
      <c r="AT633" s="587"/>
      <c r="AU633" s="587"/>
      <c r="AV633" s="587"/>
      <c r="AW633" s="587"/>
    </row>
    <row r="634" spans="1:49">
      <c r="A634" s="581">
        <v>28642</v>
      </c>
      <c r="B634" s="594">
        <v>-1.38E-2</v>
      </c>
      <c r="C634" s="577">
        <v>3.5999999999999999E-3</v>
      </c>
      <c r="D634" s="577">
        <v>6.8999999999999999E-3</v>
      </c>
      <c r="E634" s="577">
        <v>7.3000000000000001E-3</v>
      </c>
      <c r="F634" s="577">
        <v>7.4583333333333324E-3</v>
      </c>
      <c r="G634" s="577">
        <v>7.3791666666666658E-3</v>
      </c>
      <c r="H634" s="577">
        <v>7.8333333333333328E-3</v>
      </c>
      <c r="I634" s="577">
        <f t="shared" si="101"/>
        <v>-2.07E-2</v>
      </c>
      <c r="J634" s="577">
        <f t="shared" si="105"/>
        <v>-2.1179166666666666E-2</v>
      </c>
      <c r="K634" s="577">
        <f t="shared" si="106"/>
        <v>-4.2333333333333329E-3</v>
      </c>
      <c r="L634" s="585">
        <f t="shared" si="102"/>
        <v>1.551869627878899E-3</v>
      </c>
      <c r="M634" s="585">
        <f t="shared" si="103"/>
        <v>8.2799999999999999E-2</v>
      </c>
      <c r="N634" s="585">
        <f t="shared" si="107"/>
        <v>8.854999999999999E-2</v>
      </c>
      <c r="O634" s="586">
        <f t="shared" si="104"/>
        <v>-8.12481303721211E-2</v>
      </c>
      <c r="P634" s="585">
        <f t="shared" si="108"/>
        <v>-8.6998130372121091E-2</v>
      </c>
      <c r="Q634" s="585">
        <f t="shared" si="109"/>
        <v>1.8422547616097074E-3</v>
      </c>
      <c r="R634" s="585">
        <f t="shared" si="110"/>
        <v>9.4E-2</v>
      </c>
      <c r="S634" s="586">
        <f t="shared" si="111"/>
        <v>-9.2157745238390293E-2</v>
      </c>
      <c r="U634" s="587"/>
      <c r="V634" s="587"/>
      <c r="W634" s="587"/>
      <c r="X634" s="587"/>
      <c r="Y634" s="587"/>
      <c r="Z634" s="587"/>
      <c r="AA634" s="587"/>
      <c r="AB634" s="587"/>
      <c r="AC634" s="587"/>
      <c r="AE634" s="587"/>
      <c r="AF634" s="587"/>
      <c r="AG634" s="587"/>
      <c r="AH634" s="587"/>
      <c r="AI634" s="587"/>
      <c r="AJ634" s="587"/>
      <c r="AK634" s="587"/>
      <c r="AL634" s="587"/>
      <c r="AM634" s="587"/>
      <c r="AO634" s="587"/>
      <c r="AP634" s="587"/>
      <c r="AQ634" s="587"/>
      <c r="AR634" s="587"/>
      <c r="AS634" s="587"/>
      <c r="AT634" s="587"/>
      <c r="AU634" s="587"/>
      <c r="AV634" s="587"/>
      <c r="AW634" s="587"/>
    </row>
    <row r="635" spans="1:49">
      <c r="A635" s="581">
        <v>28672</v>
      </c>
      <c r="B635" s="594">
        <v>5.8299999999999998E-2</v>
      </c>
      <c r="C635" s="577">
        <v>3.1600000000000003E-2</v>
      </c>
      <c r="D635" s="577">
        <v>7.3000000000000001E-3</v>
      </c>
      <c r="E635" s="577">
        <v>7.4000000000000012E-3</v>
      </c>
      <c r="F635" s="577">
        <v>7.5583333333333336E-3</v>
      </c>
      <c r="G635" s="577">
        <v>7.4791666666666678E-3</v>
      </c>
      <c r="H635" s="577">
        <v>7.9249999999999998E-3</v>
      </c>
      <c r="I635" s="577">
        <f t="shared" si="101"/>
        <v>5.0999999999999997E-2</v>
      </c>
      <c r="J635" s="577">
        <f t="shared" si="105"/>
        <v>5.0820833333333329E-2</v>
      </c>
      <c r="K635" s="577">
        <f t="shared" si="106"/>
        <v>2.3675000000000002E-2</v>
      </c>
      <c r="L635" s="585">
        <f t="shared" si="102"/>
        <v>7.3250651708368419E-2</v>
      </c>
      <c r="M635" s="585">
        <f t="shared" si="103"/>
        <v>8.7599999999999997E-2</v>
      </c>
      <c r="N635" s="585">
        <f t="shared" si="107"/>
        <v>8.975000000000001E-2</v>
      </c>
      <c r="O635" s="586">
        <f t="shared" si="104"/>
        <v>-1.4349348291631578E-2</v>
      </c>
      <c r="P635" s="585">
        <f t="shared" si="108"/>
        <v>-1.6499348291631591E-2</v>
      </c>
      <c r="Q635" s="585">
        <f t="shared" si="109"/>
        <v>1.6824547434156623E-2</v>
      </c>
      <c r="R635" s="585">
        <f t="shared" si="110"/>
        <v>9.509999999999999E-2</v>
      </c>
      <c r="S635" s="586">
        <f t="shared" si="111"/>
        <v>-7.8275452565843368E-2</v>
      </c>
      <c r="U635" s="587"/>
      <c r="V635" s="587"/>
      <c r="W635" s="587"/>
      <c r="X635" s="587"/>
      <c r="Y635" s="587"/>
      <c r="Z635" s="587"/>
      <c r="AA635" s="587"/>
      <c r="AB635" s="587"/>
      <c r="AC635" s="587"/>
      <c r="AE635" s="587"/>
      <c r="AF635" s="587"/>
      <c r="AG635" s="587"/>
      <c r="AH635" s="587"/>
      <c r="AI635" s="587"/>
      <c r="AJ635" s="587"/>
      <c r="AK635" s="587"/>
      <c r="AL635" s="587"/>
      <c r="AM635" s="587"/>
      <c r="AO635" s="587"/>
      <c r="AP635" s="587"/>
      <c r="AQ635" s="587"/>
      <c r="AR635" s="587"/>
      <c r="AS635" s="587"/>
      <c r="AT635" s="587"/>
      <c r="AU635" s="587"/>
      <c r="AV635" s="587"/>
      <c r="AW635" s="587"/>
    </row>
    <row r="636" spans="1:49">
      <c r="A636" s="581">
        <v>28703</v>
      </c>
      <c r="B636" s="594">
        <v>3.0099999999999998E-2</v>
      </c>
      <c r="C636" s="577">
        <v>-3.0000000000000079E-4</v>
      </c>
      <c r="D636" s="577">
        <v>7.000000000000001E-3</v>
      </c>
      <c r="E636" s="577">
        <v>7.2416666666666662E-3</v>
      </c>
      <c r="F636" s="577">
        <v>7.4666666666666666E-3</v>
      </c>
      <c r="G636" s="577">
        <v>7.354166666666666E-3</v>
      </c>
      <c r="H636" s="577">
        <v>7.7666666666666674E-3</v>
      </c>
      <c r="I636" s="577">
        <f t="shared" si="101"/>
        <v>2.3099999999999996E-2</v>
      </c>
      <c r="J636" s="577">
        <f t="shared" si="105"/>
        <v>2.2745833333333333E-2</v>
      </c>
      <c r="K636" s="577">
        <f t="shared" si="106"/>
        <v>-8.0666666666666682E-3</v>
      </c>
      <c r="L636" s="585">
        <f t="shared" si="102"/>
        <v>0.12490384241431607</v>
      </c>
      <c r="M636" s="585">
        <f t="shared" si="103"/>
        <v>8.4000000000000019E-2</v>
      </c>
      <c r="N636" s="585">
        <f t="shared" si="107"/>
        <v>8.8249999999999995E-2</v>
      </c>
      <c r="O636" s="586">
        <f t="shared" si="104"/>
        <v>4.090384241431605E-2</v>
      </c>
      <c r="P636" s="585">
        <f t="shared" si="108"/>
        <v>3.6653842414316073E-2</v>
      </c>
      <c r="Q636" s="585">
        <f t="shared" si="109"/>
        <v>5.3715662972868339E-2</v>
      </c>
      <c r="R636" s="585">
        <f t="shared" si="110"/>
        <v>9.3200000000000005E-2</v>
      </c>
      <c r="S636" s="586">
        <f t="shared" si="111"/>
        <v>-3.9484337027131666E-2</v>
      </c>
      <c r="U636" s="587"/>
      <c r="V636" s="587"/>
      <c r="W636" s="587"/>
      <c r="X636" s="587"/>
      <c r="Y636" s="587"/>
      <c r="Z636" s="587"/>
      <c r="AA636" s="587"/>
      <c r="AB636" s="587"/>
      <c r="AC636" s="587"/>
      <c r="AE636" s="587"/>
      <c r="AF636" s="587"/>
      <c r="AG636" s="587"/>
      <c r="AH636" s="587"/>
      <c r="AI636" s="587"/>
      <c r="AJ636" s="587"/>
      <c r="AK636" s="587"/>
      <c r="AL636" s="587"/>
      <c r="AM636" s="587"/>
      <c r="AO636" s="587"/>
      <c r="AP636" s="587"/>
      <c r="AQ636" s="587"/>
      <c r="AR636" s="587"/>
      <c r="AS636" s="587"/>
      <c r="AT636" s="587"/>
      <c r="AU636" s="587"/>
      <c r="AV636" s="587"/>
      <c r="AW636" s="587"/>
    </row>
    <row r="637" spans="1:49">
      <c r="A637" s="581">
        <v>28734</v>
      </c>
      <c r="B637" s="594">
        <v>-3.2000000000000002E-3</v>
      </c>
      <c r="C637" s="577">
        <v>-5.6000000000000008E-3</v>
      </c>
      <c r="D637" s="577">
        <v>6.5000000000000006E-3</v>
      </c>
      <c r="E637" s="577">
        <v>7.2416666666666662E-3</v>
      </c>
      <c r="F637" s="577">
        <v>7.4333333333333326E-3</v>
      </c>
      <c r="G637" s="577">
        <v>7.3374999999999994E-3</v>
      </c>
      <c r="H637" s="577">
        <v>7.7333333333333334E-3</v>
      </c>
      <c r="I637" s="577">
        <f t="shared" si="101"/>
        <v>-9.7000000000000003E-3</v>
      </c>
      <c r="J637" s="577">
        <f t="shared" si="105"/>
        <v>-1.05375E-2</v>
      </c>
      <c r="K637" s="577">
        <f t="shared" si="106"/>
        <v>-1.3333333333333334E-2</v>
      </c>
      <c r="L637" s="585">
        <f t="shared" si="102"/>
        <v>0.11951292943150005</v>
      </c>
      <c r="M637" s="585">
        <f t="shared" si="103"/>
        <v>7.8000000000000014E-2</v>
      </c>
      <c r="N637" s="585">
        <f t="shared" si="107"/>
        <v>8.8049999999999989E-2</v>
      </c>
      <c r="O637" s="586">
        <f t="shared" si="104"/>
        <v>4.1512929431500034E-2</v>
      </c>
      <c r="P637" s="585">
        <f t="shared" si="108"/>
        <v>3.1462929431500058E-2</v>
      </c>
      <c r="Q637" s="585">
        <f t="shared" si="109"/>
        <v>2.2557680550620018E-2</v>
      </c>
      <c r="R637" s="585">
        <f t="shared" si="110"/>
        <v>9.2799999999999994E-2</v>
      </c>
      <c r="S637" s="586">
        <f t="shared" si="111"/>
        <v>-7.0242319449379975E-2</v>
      </c>
      <c r="U637" s="587"/>
      <c r="V637" s="587"/>
      <c r="W637" s="587"/>
      <c r="X637" s="587"/>
      <c r="Y637" s="587"/>
      <c r="Z637" s="587"/>
      <c r="AA637" s="587"/>
      <c r="AB637" s="587"/>
      <c r="AC637" s="587"/>
      <c r="AE637" s="587"/>
      <c r="AF637" s="587"/>
      <c r="AG637" s="587"/>
      <c r="AH637" s="587"/>
      <c r="AI637" s="587"/>
      <c r="AJ637" s="587"/>
      <c r="AK637" s="587"/>
      <c r="AL637" s="587"/>
      <c r="AM637" s="587"/>
      <c r="AO637" s="587"/>
      <c r="AP637" s="587"/>
      <c r="AQ637" s="587"/>
      <c r="AR637" s="587"/>
      <c r="AS637" s="587"/>
      <c r="AT637" s="587"/>
      <c r="AU637" s="587"/>
      <c r="AV637" s="587"/>
      <c r="AW637" s="587"/>
    </row>
    <row r="638" spans="1:49">
      <c r="A638" s="581">
        <v>28764</v>
      </c>
      <c r="B638" s="594">
        <v>-8.72E-2</v>
      </c>
      <c r="C638" s="577">
        <v>-6.8400000000000002E-2</v>
      </c>
      <c r="D638" s="577">
        <v>7.3000000000000001E-3</v>
      </c>
      <c r="E638" s="577">
        <v>7.4083333333333336E-3</v>
      </c>
      <c r="F638" s="577">
        <v>7.5583333333333336E-3</v>
      </c>
      <c r="G638" s="577">
        <v>7.4833333333333332E-3</v>
      </c>
      <c r="H638" s="577">
        <v>7.8833333333333342E-3</v>
      </c>
      <c r="I638" s="577">
        <f t="shared" si="101"/>
        <v>-9.4500000000000001E-2</v>
      </c>
      <c r="J638" s="577">
        <f t="shared" si="105"/>
        <v>-9.4683333333333328E-2</v>
      </c>
      <c r="K638" s="577">
        <f t="shared" si="106"/>
        <v>-7.6283333333333342E-2</v>
      </c>
      <c r="L638" s="585">
        <f t="shared" si="102"/>
        <v>6.3362541087485402E-2</v>
      </c>
      <c r="M638" s="585">
        <f t="shared" si="103"/>
        <v>8.7599999999999997E-2</v>
      </c>
      <c r="N638" s="585">
        <f t="shared" si="107"/>
        <v>8.9799999999999991E-2</v>
      </c>
      <c r="O638" s="586">
        <f t="shared" si="104"/>
        <v>-2.4237458912514595E-2</v>
      </c>
      <c r="P638" s="585">
        <f t="shared" si="108"/>
        <v>-2.6437458912514589E-2</v>
      </c>
      <c r="Q638" s="585">
        <f t="shared" si="109"/>
        <v>-1.8327766693160163E-2</v>
      </c>
      <c r="R638" s="585">
        <f t="shared" si="110"/>
        <v>9.4600000000000017E-2</v>
      </c>
      <c r="S638" s="586">
        <f t="shared" si="111"/>
        <v>-0.11292776669316018</v>
      </c>
      <c r="U638" s="587"/>
      <c r="V638" s="587"/>
      <c r="W638" s="587"/>
      <c r="X638" s="587"/>
      <c r="Y638" s="587"/>
      <c r="Z638" s="587"/>
      <c r="AA638" s="587"/>
      <c r="AB638" s="587"/>
      <c r="AC638" s="587"/>
      <c r="AE638" s="587"/>
      <c r="AF638" s="587"/>
      <c r="AG638" s="587"/>
      <c r="AH638" s="587"/>
      <c r="AI638" s="587"/>
      <c r="AJ638" s="587"/>
      <c r="AK638" s="587"/>
      <c r="AL638" s="587"/>
      <c r="AM638" s="587"/>
      <c r="AO638" s="587"/>
      <c r="AP638" s="587"/>
      <c r="AQ638" s="587"/>
      <c r="AR638" s="587"/>
      <c r="AS638" s="587"/>
      <c r="AT638" s="587"/>
      <c r="AU638" s="587"/>
      <c r="AV638" s="587"/>
      <c r="AW638" s="587"/>
    </row>
    <row r="639" spans="1:49">
      <c r="A639" s="581">
        <v>28795</v>
      </c>
      <c r="B639" s="594">
        <v>2.1499999999999998E-2</v>
      </c>
      <c r="C639" s="577">
        <v>3.56E-2</v>
      </c>
      <c r="D639" s="577">
        <v>7.1000000000000004E-3</v>
      </c>
      <c r="E639" s="577">
        <v>7.5249999999999996E-3</v>
      </c>
      <c r="F639" s="577">
        <v>7.7000000000000002E-3</v>
      </c>
      <c r="G639" s="577">
        <v>7.6124999999999995E-3</v>
      </c>
      <c r="H639" s="577">
        <v>8.0666666666666664E-3</v>
      </c>
      <c r="I639" s="577">
        <f t="shared" si="101"/>
        <v>1.4399999999999998E-2</v>
      </c>
      <c r="J639" s="577">
        <f t="shared" si="105"/>
        <v>1.3887499999999999E-2</v>
      </c>
      <c r="K639" s="577">
        <f t="shared" si="106"/>
        <v>2.7533333333333333E-2</v>
      </c>
      <c r="L639" s="585">
        <f t="shared" si="102"/>
        <v>5.2951566228059743E-2</v>
      </c>
      <c r="M639" s="585">
        <f t="shared" si="103"/>
        <v>8.5199999999999998E-2</v>
      </c>
      <c r="N639" s="585">
        <f t="shared" si="107"/>
        <v>9.1349999999999987E-2</v>
      </c>
      <c r="O639" s="586">
        <f t="shared" si="104"/>
        <v>-3.2248433771940255E-2</v>
      </c>
      <c r="P639" s="585">
        <f t="shared" si="108"/>
        <v>-3.8398433771940244E-2</v>
      </c>
      <c r="Q639" s="585">
        <f t="shared" si="109"/>
        <v>-2.069187475911427E-2</v>
      </c>
      <c r="R639" s="585">
        <f t="shared" si="110"/>
        <v>9.6799999999999997E-2</v>
      </c>
      <c r="S639" s="586">
        <f t="shared" si="111"/>
        <v>-0.11749187475911427</v>
      </c>
      <c r="U639" s="587"/>
      <c r="V639" s="587"/>
      <c r="W639" s="587"/>
      <c r="X639" s="587"/>
      <c r="Y639" s="587"/>
      <c r="Z639" s="587"/>
      <c r="AA639" s="587"/>
      <c r="AB639" s="587"/>
      <c r="AC639" s="587"/>
      <c r="AE639" s="587"/>
      <c r="AF639" s="587"/>
      <c r="AG639" s="587"/>
      <c r="AH639" s="587"/>
      <c r="AI639" s="587"/>
      <c r="AJ639" s="587"/>
      <c r="AK639" s="587"/>
      <c r="AL639" s="587"/>
      <c r="AM639" s="587"/>
      <c r="AO639" s="587"/>
      <c r="AP639" s="587"/>
      <c r="AQ639" s="587"/>
      <c r="AR639" s="587"/>
      <c r="AS639" s="587"/>
      <c r="AT639" s="587"/>
      <c r="AU639" s="587"/>
      <c r="AV639" s="587"/>
      <c r="AW639" s="587"/>
    </row>
    <row r="640" spans="1:49">
      <c r="A640" s="581">
        <v>28825</v>
      </c>
      <c r="B640" s="594">
        <v>1.9599999999999999E-2</v>
      </c>
      <c r="C640" s="577">
        <v>-1.49E-2</v>
      </c>
      <c r="D640" s="577">
        <v>6.7999999999999996E-3</v>
      </c>
      <c r="E640" s="577">
        <v>7.6333333333333331E-3</v>
      </c>
      <c r="F640" s="577">
        <v>7.7749999999999998E-3</v>
      </c>
      <c r="G640" s="577">
        <v>7.7041666666666665E-3</v>
      </c>
      <c r="H640" s="577">
        <v>8.083333333333333E-3</v>
      </c>
      <c r="I640" s="577">
        <f t="shared" si="101"/>
        <v>1.2799999999999999E-2</v>
      </c>
      <c r="J640" s="577">
        <f t="shared" si="105"/>
        <v>1.1895833333333333E-2</v>
      </c>
      <c r="K640" s="577">
        <f t="shared" si="106"/>
        <v>-2.2983333333333335E-2</v>
      </c>
      <c r="L640" s="585">
        <f t="shared" si="102"/>
        <v>6.5597436154967381E-2</v>
      </c>
      <c r="M640" s="585">
        <f t="shared" si="103"/>
        <v>8.1599999999999992E-2</v>
      </c>
      <c r="N640" s="585">
        <f t="shared" si="107"/>
        <v>9.2450000000000004E-2</v>
      </c>
      <c r="O640" s="586">
        <f t="shared" si="104"/>
        <v>-1.6002563845032611E-2</v>
      </c>
      <c r="P640" s="585">
        <f t="shared" si="108"/>
        <v>-2.6852563845032623E-2</v>
      </c>
      <c r="Q640" s="585">
        <f t="shared" si="109"/>
        <v>-3.7113051028249688E-2</v>
      </c>
      <c r="R640" s="585">
        <f t="shared" si="110"/>
        <v>9.7000000000000003E-2</v>
      </c>
      <c r="S640" s="586">
        <f t="shared" si="111"/>
        <v>-0.13411305102824969</v>
      </c>
      <c r="U640" s="587"/>
      <c r="V640" s="587"/>
      <c r="W640" s="587"/>
      <c r="X640" s="587"/>
      <c r="Y640" s="587"/>
      <c r="Z640" s="587"/>
      <c r="AA640" s="587"/>
      <c r="AB640" s="587"/>
      <c r="AC640" s="587"/>
      <c r="AE640" s="587"/>
      <c r="AF640" s="587"/>
      <c r="AG640" s="587"/>
      <c r="AH640" s="587"/>
      <c r="AI640" s="587"/>
      <c r="AJ640" s="587"/>
      <c r="AK640" s="587"/>
      <c r="AL640" s="587"/>
      <c r="AM640" s="587"/>
      <c r="AO640" s="587"/>
      <c r="AP640" s="587"/>
      <c r="AQ640" s="587"/>
      <c r="AR640" s="587"/>
      <c r="AS640" s="587"/>
      <c r="AT640" s="587"/>
      <c r="AU640" s="587"/>
      <c r="AV640" s="587"/>
      <c r="AW640" s="587"/>
    </row>
    <row r="641" spans="1:49">
      <c r="A641" s="581">
        <v>28856</v>
      </c>
      <c r="B641" s="594">
        <v>4.4299999999999999E-2</v>
      </c>
      <c r="C641" s="577">
        <v>6.9199999999999998E-2</v>
      </c>
      <c r="D641" s="577">
        <v>7.9000000000000008E-3</v>
      </c>
      <c r="E641" s="577">
        <v>7.7083333333333335E-3</v>
      </c>
      <c r="F641" s="577">
        <v>7.9000000000000008E-3</v>
      </c>
      <c r="G641" s="577">
        <v>7.8041666666666676E-3</v>
      </c>
      <c r="H641" s="577">
        <v>8.2500000000000004E-3</v>
      </c>
      <c r="I641" s="577">
        <f t="shared" si="101"/>
        <v>3.6400000000000002E-2</v>
      </c>
      <c r="J641" s="577">
        <f t="shared" si="105"/>
        <v>3.6495833333333332E-2</v>
      </c>
      <c r="K641" s="577">
        <f t="shared" si="106"/>
        <v>6.0949999999999997E-2</v>
      </c>
      <c r="L641" s="585">
        <f t="shared" si="102"/>
        <v>0.18056800612840274</v>
      </c>
      <c r="M641" s="585">
        <f t="shared" si="103"/>
        <v>9.4800000000000009E-2</v>
      </c>
      <c r="N641" s="585">
        <f t="shared" si="107"/>
        <v>9.3650000000000011E-2</v>
      </c>
      <c r="O641" s="586">
        <f t="shared" si="104"/>
        <v>8.5768006128402727E-2</v>
      </c>
      <c r="P641" s="585">
        <f t="shared" si="108"/>
        <v>8.6918006128402725E-2</v>
      </c>
      <c r="Q641" s="585">
        <f t="shared" si="109"/>
        <v>8.748148921579757E-2</v>
      </c>
      <c r="R641" s="585">
        <f t="shared" si="110"/>
        <v>9.9000000000000005E-2</v>
      </c>
      <c r="S641" s="586">
        <f t="shared" si="111"/>
        <v>-1.1518510784202435E-2</v>
      </c>
      <c r="U641" s="587"/>
      <c r="V641" s="587"/>
      <c r="W641" s="587"/>
      <c r="X641" s="587"/>
      <c r="Y641" s="587"/>
      <c r="Z641" s="587"/>
      <c r="AA641" s="587"/>
      <c r="AB641" s="587"/>
      <c r="AC641" s="587"/>
      <c r="AE641" s="587"/>
      <c r="AF641" s="587"/>
      <c r="AG641" s="587"/>
      <c r="AH641" s="587"/>
      <c r="AI641" s="587"/>
      <c r="AJ641" s="587"/>
      <c r="AK641" s="587"/>
      <c r="AL641" s="587"/>
      <c r="AM641" s="587"/>
      <c r="AO641" s="587"/>
      <c r="AP641" s="587"/>
      <c r="AQ641" s="587"/>
      <c r="AR641" s="587"/>
      <c r="AS641" s="587"/>
      <c r="AT641" s="587"/>
      <c r="AU641" s="587"/>
      <c r="AV641" s="587"/>
      <c r="AW641" s="587"/>
    </row>
    <row r="642" spans="1:49">
      <c r="A642" s="581">
        <v>28887</v>
      </c>
      <c r="B642" s="594">
        <v>-3.2099999999999997E-2</v>
      </c>
      <c r="C642" s="577">
        <v>-2.12E-2</v>
      </c>
      <c r="D642" s="577">
        <v>6.5000000000000006E-3</v>
      </c>
      <c r="E642" s="577">
        <v>7.7166666666666659E-3</v>
      </c>
      <c r="F642" s="577">
        <v>7.9166666666666656E-3</v>
      </c>
      <c r="G642" s="577">
        <v>7.8166666666666662E-3</v>
      </c>
      <c r="H642" s="577">
        <v>8.199999999999999E-3</v>
      </c>
      <c r="I642" s="577">
        <f t="shared" si="101"/>
        <v>-3.8599999999999995E-2</v>
      </c>
      <c r="J642" s="577">
        <f t="shared" si="105"/>
        <v>-3.9916666666666663E-2</v>
      </c>
      <c r="K642" s="577">
        <f t="shared" si="106"/>
        <v>-2.9399999999999999E-2</v>
      </c>
      <c r="L642" s="585">
        <f t="shared" si="102"/>
        <v>0.16634865074173799</v>
      </c>
      <c r="M642" s="585">
        <f t="shared" si="103"/>
        <v>7.8000000000000014E-2</v>
      </c>
      <c r="N642" s="585">
        <f t="shared" si="107"/>
        <v>9.3799999999999994E-2</v>
      </c>
      <c r="O642" s="586">
        <f t="shared" si="104"/>
        <v>8.8348650741737977E-2</v>
      </c>
      <c r="P642" s="585">
        <f t="shared" si="108"/>
        <v>7.2548650741737997E-2</v>
      </c>
      <c r="Q642" s="585">
        <f t="shared" si="109"/>
        <v>7.1067500145323814E-2</v>
      </c>
      <c r="R642" s="585">
        <f t="shared" si="110"/>
        <v>9.8399999999999987E-2</v>
      </c>
      <c r="S642" s="586">
        <f t="shared" si="111"/>
        <v>-2.7332499854676173E-2</v>
      </c>
      <c r="U642" s="587"/>
      <c r="V642" s="587"/>
      <c r="W642" s="587"/>
      <c r="X642" s="587"/>
      <c r="Y642" s="587"/>
      <c r="Z642" s="587"/>
      <c r="AA642" s="587"/>
      <c r="AB642" s="587"/>
      <c r="AC642" s="587"/>
      <c r="AE642" s="587"/>
      <c r="AF642" s="587"/>
      <c r="AG642" s="587"/>
      <c r="AH642" s="587"/>
      <c r="AI642" s="587"/>
      <c r="AJ642" s="587"/>
      <c r="AK642" s="587"/>
      <c r="AL642" s="587"/>
      <c r="AM642" s="587"/>
      <c r="AO642" s="587"/>
      <c r="AP642" s="587"/>
      <c r="AQ642" s="587"/>
      <c r="AR642" s="587"/>
      <c r="AS642" s="587"/>
      <c r="AT642" s="587"/>
      <c r="AU642" s="587"/>
      <c r="AV642" s="587"/>
      <c r="AW642" s="587"/>
    </row>
    <row r="643" spans="1:49">
      <c r="A643" s="581">
        <v>28915</v>
      </c>
      <c r="B643" s="594">
        <v>5.96E-2</v>
      </c>
      <c r="C643" s="577">
        <v>1.9599999999999999E-2</v>
      </c>
      <c r="D643" s="577">
        <v>7.4000000000000003E-3</v>
      </c>
      <c r="E643" s="577">
        <v>7.8083333333333329E-3</v>
      </c>
      <c r="F643" s="577">
        <v>8.0083333333333326E-3</v>
      </c>
      <c r="G643" s="577">
        <v>7.9083333333333332E-3</v>
      </c>
      <c r="H643" s="577">
        <v>8.3666666666666663E-3</v>
      </c>
      <c r="I643" s="577">
        <f t="shared" si="101"/>
        <v>5.2199999999999996E-2</v>
      </c>
      <c r="J643" s="577">
        <f t="shared" si="105"/>
        <v>5.1691666666666664E-2</v>
      </c>
      <c r="K643" s="577">
        <f t="shared" si="106"/>
        <v>1.1233333333333333E-2</v>
      </c>
      <c r="L643" s="585">
        <f t="shared" si="102"/>
        <v>0.20056637878953332</v>
      </c>
      <c r="M643" s="585">
        <f t="shared" si="103"/>
        <v>8.8800000000000004E-2</v>
      </c>
      <c r="N643" s="585">
        <f t="shared" si="107"/>
        <v>9.4899999999999998E-2</v>
      </c>
      <c r="O643" s="586">
        <f t="shared" si="104"/>
        <v>0.11176637878953331</v>
      </c>
      <c r="P643" s="585">
        <f t="shared" si="108"/>
        <v>0.10566637878953332</v>
      </c>
      <c r="Q643" s="585">
        <f t="shared" si="109"/>
        <v>5.9327212288458941E-2</v>
      </c>
      <c r="R643" s="585">
        <f t="shared" si="110"/>
        <v>0.10039999999999999</v>
      </c>
      <c r="S643" s="586">
        <f t="shared" si="111"/>
        <v>-4.1072787711541048E-2</v>
      </c>
      <c r="U643" s="587"/>
      <c r="V643" s="587"/>
      <c r="W643" s="587"/>
      <c r="X643" s="587"/>
      <c r="Y643" s="587"/>
      <c r="Z643" s="587"/>
      <c r="AA643" s="587"/>
      <c r="AB643" s="587"/>
      <c r="AC643" s="587"/>
      <c r="AE643" s="587"/>
      <c r="AF643" s="587"/>
      <c r="AG643" s="587"/>
      <c r="AH643" s="587"/>
      <c r="AI643" s="587"/>
      <c r="AJ643" s="587"/>
      <c r="AK643" s="587"/>
      <c r="AL643" s="587"/>
      <c r="AM643" s="587"/>
      <c r="AO643" s="587"/>
      <c r="AP643" s="587"/>
      <c r="AQ643" s="587"/>
      <c r="AR643" s="587"/>
      <c r="AS643" s="587"/>
      <c r="AT643" s="587"/>
      <c r="AU643" s="587"/>
      <c r="AV643" s="587"/>
      <c r="AW643" s="587"/>
    </row>
    <row r="644" spans="1:49">
      <c r="A644" s="581">
        <v>28946</v>
      </c>
      <c r="B644" s="594">
        <v>6.3E-3</v>
      </c>
      <c r="C644" s="577">
        <v>-2.4899999999999999E-2</v>
      </c>
      <c r="D644" s="577">
        <v>7.6E-3</v>
      </c>
      <c r="E644" s="577">
        <v>7.8166666666666679E-3</v>
      </c>
      <c r="F644" s="577">
        <v>8.0416666666666674E-3</v>
      </c>
      <c r="G644" s="577">
        <v>7.9291666666666677E-3</v>
      </c>
      <c r="H644" s="577">
        <v>8.416666666666666E-3</v>
      </c>
      <c r="I644" s="577">
        <f t="shared" si="101"/>
        <v>-1.2999999999999999E-3</v>
      </c>
      <c r="J644" s="577">
        <f t="shared" si="105"/>
        <v>-1.6291666666666677E-3</v>
      </c>
      <c r="K644" s="577">
        <f t="shared" si="106"/>
        <v>-3.3316666666666661E-2</v>
      </c>
      <c r="L644" s="585">
        <f t="shared" si="102"/>
        <v>0.10817276369098106</v>
      </c>
      <c r="M644" s="585">
        <f t="shared" si="103"/>
        <v>9.1200000000000003E-2</v>
      </c>
      <c r="N644" s="585">
        <f t="shared" si="107"/>
        <v>9.5150000000000012E-2</v>
      </c>
      <c r="O644" s="586">
        <f t="shared" si="104"/>
        <v>1.6972763690981052E-2</v>
      </c>
      <c r="P644" s="585">
        <f t="shared" si="108"/>
        <v>1.3022763690981043E-2</v>
      </c>
      <c r="Q644" s="585">
        <f t="shared" si="109"/>
        <v>2.2115539978702081E-2</v>
      </c>
      <c r="R644" s="585">
        <f t="shared" si="110"/>
        <v>0.10099999999999999</v>
      </c>
      <c r="S644" s="586">
        <f t="shared" si="111"/>
        <v>-7.8884460021297911E-2</v>
      </c>
      <c r="U644" s="587"/>
      <c r="V644" s="587"/>
      <c r="W644" s="587"/>
      <c r="X644" s="587"/>
      <c r="Y644" s="587"/>
      <c r="Z644" s="587"/>
      <c r="AA644" s="587"/>
      <c r="AB644" s="587"/>
      <c r="AC644" s="587"/>
      <c r="AE644" s="587"/>
      <c r="AF644" s="587"/>
      <c r="AG644" s="587"/>
      <c r="AH644" s="587"/>
      <c r="AI644" s="587"/>
      <c r="AJ644" s="587"/>
      <c r="AK644" s="587"/>
      <c r="AL644" s="587"/>
      <c r="AM644" s="587"/>
      <c r="AO644" s="587"/>
      <c r="AP644" s="587"/>
      <c r="AQ644" s="587"/>
      <c r="AR644" s="587"/>
      <c r="AS644" s="587"/>
      <c r="AT644" s="587"/>
      <c r="AU644" s="587"/>
      <c r="AV644" s="587"/>
      <c r="AW644" s="587"/>
    </row>
    <row r="645" spans="1:49">
      <c r="A645" s="581">
        <v>28976</v>
      </c>
      <c r="B645" s="594">
        <v>-2.1700000000000001E-2</v>
      </c>
      <c r="C645" s="577">
        <v>1.4999999999999999E-2</v>
      </c>
      <c r="D645" s="577">
        <v>7.7000000000000002E-3</v>
      </c>
      <c r="E645" s="577">
        <v>7.9166666666666656E-3</v>
      </c>
      <c r="F645" s="577">
        <v>8.2166666666666673E-3</v>
      </c>
      <c r="G645" s="577">
        <v>8.0666666666666664E-3</v>
      </c>
      <c r="H645" s="577">
        <v>8.5833333333333334E-3</v>
      </c>
      <c r="I645" s="577">
        <f t="shared" si="101"/>
        <v>-2.9400000000000003E-2</v>
      </c>
      <c r="J645" s="577">
        <f t="shared" si="105"/>
        <v>-2.9766666666666667E-2</v>
      </c>
      <c r="K645" s="577">
        <f t="shared" si="106"/>
        <v>6.416666666666666E-3</v>
      </c>
      <c r="L645" s="585">
        <f t="shared" si="102"/>
        <v>7.4242384778920645E-2</v>
      </c>
      <c r="M645" s="585">
        <f t="shared" si="103"/>
        <v>9.240000000000001E-2</v>
      </c>
      <c r="N645" s="585">
        <f t="shared" si="107"/>
        <v>9.6799999999999997E-2</v>
      </c>
      <c r="O645" s="586">
        <f t="shared" si="104"/>
        <v>-1.8157615221079365E-2</v>
      </c>
      <c r="P645" s="585">
        <f t="shared" si="108"/>
        <v>-2.2557615221079352E-2</v>
      </c>
      <c r="Q645" s="585">
        <f t="shared" si="109"/>
        <v>3.3005350073068485E-2</v>
      </c>
      <c r="R645" s="585">
        <f t="shared" si="110"/>
        <v>0.10300000000000001</v>
      </c>
      <c r="S645" s="586">
        <f t="shared" si="111"/>
        <v>-6.9994649926931524E-2</v>
      </c>
      <c r="U645" s="587"/>
      <c r="V645" s="587"/>
      <c r="W645" s="587"/>
      <c r="X645" s="587"/>
      <c r="Y645" s="587"/>
      <c r="Z645" s="587"/>
      <c r="AA645" s="587"/>
      <c r="AB645" s="587"/>
      <c r="AC645" s="587"/>
      <c r="AE645" s="587"/>
      <c r="AF645" s="587"/>
      <c r="AG645" s="587"/>
      <c r="AH645" s="587"/>
      <c r="AI645" s="587"/>
      <c r="AJ645" s="587"/>
      <c r="AK645" s="587"/>
      <c r="AL645" s="587"/>
      <c r="AM645" s="587"/>
      <c r="AO645" s="587"/>
      <c r="AP645" s="587"/>
      <c r="AQ645" s="587"/>
      <c r="AR645" s="587"/>
      <c r="AS645" s="587"/>
      <c r="AT645" s="587"/>
      <c r="AU645" s="587"/>
      <c r="AV645" s="587"/>
      <c r="AW645" s="587"/>
    </row>
    <row r="646" spans="1:49">
      <c r="A646" s="581">
        <v>29007</v>
      </c>
      <c r="B646" s="594">
        <v>4.3499999999999997E-2</v>
      </c>
      <c r="C646" s="577">
        <v>3.8600000000000002E-2</v>
      </c>
      <c r="D646" s="577">
        <v>7.1000000000000004E-3</v>
      </c>
      <c r="E646" s="577">
        <v>7.7416666666666658E-3</v>
      </c>
      <c r="F646" s="577">
        <v>8.0499999999999999E-3</v>
      </c>
      <c r="G646" s="577">
        <v>7.8958333333333328E-3</v>
      </c>
      <c r="H646" s="577">
        <v>8.4500000000000009E-3</v>
      </c>
      <c r="I646" s="577">
        <f t="shared" ref="I646:I709" si="112">B646-D646</f>
        <v>3.6399999999999995E-2</v>
      </c>
      <c r="J646" s="577">
        <f t="shared" si="105"/>
        <v>3.5604166666666666E-2</v>
      </c>
      <c r="K646" s="577">
        <f t="shared" si="106"/>
        <v>3.0150000000000003E-2</v>
      </c>
      <c r="L646" s="585">
        <f t="shared" si="102"/>
        <v>0.13665780624295598</v>
      </c>
      <c r="M646" s="585">
        <f t="shared" si="103"/>
        <v>8.5199999999999998E-2</v>
      </c>
      <c r="N646" s="585">
        <f t="shared" si="107"/>
        <v>9.4750000000000001E-2</v>
      </c>
      <c r="O646" s="586">
        <f t="shared" si="104"/>
        <v>5.1457806242955983E-2</v>
      </c>
      <c r="P646" s="585">
        <f t="shared" si="108"/>
        <v>4.1907806242955981E-2</v>
      </c>
      <c r="Q646" s="585">
        <f t="shared" si="109"/>
        <v>6.9030845541937724E-2</v>
      </c>
      <c r="R646" s="585">
        <f t="shared" si="110"/>
        <v>0.10140000000000002</v>
      </c>
      <c r="S646" s="586">
        <f t="shared" si="111"/>
        <v>-3.2369154458062294E-2</v>
      </c>
      <c r="U646" s="587"/>
      <c r="V646" s="587"/>
      <c r="W646" s="587"/>
      <c r="X646" s="587"/>
      <c r="Y646" s="587"/>
      <c r="Z646" s="587"/>
      <c r="AA646" s="587"/>
      <c r="AB646" s="587"/>
      <c r="AC646" s="587"/>
      <c r="AE646" s="587"/>
      <c r="AF646" s="587"/>
      <c r="AG646" s="587"/>
      <c r="AH646" s="587"/>
      <c r="AI646" s="587"/>
      <c r="AJ646" s="587"/>
      <c r="AK646" s="587"/>
      <c r="AL646" s="587"/>
      <c r="AM646" s="587"/>
      <c r="AO646" s="587"/>
      <c r="AP646" s="587"/>
      <c r="AQ646" s="587"/>
      <c r="AR646" s="587"/>
      <c r="AS646" s="587"/>
      <c r="AT646" s="587"/>
      <c r="AU646" s="587"/>
      <c r="AV646" s="587"/>
      <c r="AW646" s="587"/>
    </row>
    <row r="647" spans="1:49">
      <c r="A647" s="581">
        <v>29037</v>
      </c>
      <c r="B647" s="594">
        <v>1.34E-2</v>
      </c>
      <c r="C647" s="577">
        <v>3.4200000000000001E-2</v>
      </c>
      <c r="D647" s="577">
        <v>7.6E-3</v>
      </c>
      <c r="E647" s="577">
        <v>7.6666666666666662E-3</v>
      </c>
      <c r="F647" s="577">
        <v>7.9083333333333332E-3</v>
      </c>
      <c r="G647" s="577">
        <v>7.7875000000000002E-3</v>
      </c>
      <c r="H647" s="577">
        <v>8.3166666666666667E-3</v>
      </c>
      <c r="I647" s="577">
        <f t="shared" si="112"/>
        <v>5.8000000000000005E-3</v>
      </c>
      <c r="J647" s="577">
        <f t="shared" si="105"/>
        <v>5.6125000000000003E-3</v>
      </c>
      <c r="K647" s="577">
        <f t="shared" si="106"/>
        <v>2.5883333333333335E-2</v>
      </c>
      <c r="L647" s="585">
        <f t="shared" si="102"/>
        <v>8.8433356181245371E-2</v>
      </c>
      <c r="M647" s="585">
        <f t="shared" si="103"/>
        <v>9.1200000000000003E-2</v>
      </c>
      <c r="N647" s="585">
        <f t="shared" si="107"/>
        <v>9.3450000000000005E-2</v>
      </c>
      <c r="O647" s="586">
        <f t="shared" si="104"/>
        <v>-2.7666438187546327E-3</v>
      </c>
      <c r="P647" s="585">
        <f t="shared" si="108"/>
        <v>-5.0166438187546347E-3</v>
      </c>
      <c r="Q647" s="585">
        <f t="shared" si="109"/>
        <v>7.1725184625311744E-2</v>
      </c>
      <c r="R647" s="585">
        <f t="shared" si="110"/>
        <v>9.98E-2</v>
      </c>
      <c r="S647" s="586">
        <f t="shared" si="111"/>
        <v>-2.8074815374688256E-2</v>
      </c>
      <c r="U647" s="587"/>
      <c r="V647" s="587"/>
      <c r="W647" s="587"/>
      <c r="X647" s="587"/>
      <c r="Y647" s="587"/>
      <c r="Z647" s="587"/>
      <c r="AA647" s="587"/>
      <c r="AB647" s="587"/>
      <c r="AC647" s="587"/>
      <c r="AE647" s="587"/>
      <c r="AF647" s="587"/>
      <c r="AG647" s="587"/>
      <c r="AH647" s="587"/>
      <c r="AI647" s="587"/>
      <c r="AJ647" s="587"/>
      <c r="AK647" s="587"/>
      <c r="AL647" s="587"/>
      <c r="AM647" s="587"/>
      <c r="AO647" s="587"/>
      <c r="AP647" s="587"/>
      <c r="AQ647" s="587"/>
      <c r="AR647" s="587"/>
      <c r="AS647" s="587"/>
      <c r="AT647" s="587"/>
      <c r="AU647" s="587"/>
      <c r="AV647" s="587"/>
      <c r="AW647" s="587"/>
    </row>
    <row r="648" spans="1:49">
      <c r="A648" s="581">
        <v>29068</v>
      </c>
      <c r="B648" s="594">
        <v>5.7700000000000001E-2</v>
      </c>
      <c r="C648" s="577">
        <v>1.0200000000000001E-2</v>
      </c>
      <c r="D648" s="577">
        <v>7.3000000000000001E-3</v>
      </c>
      <c r="E648" s="577">
        <v>7.691666666666667E-3</v>
      </c>
      <c r="F648" s="577">
        <v>7.9416666666666663E-3</v>
      </c>
      <c r="G648" s="577">
        <v>7.8166666666666662E-3</v>
      </c>
      <c r="H648" s="577">
        <v>8.4500000000000009E-3</v>
      </c>
      <c r="I648" s="577">
        <f t="shared" si="112"/>
        <v>5.04E-2</v>
      </c>
      <c r="J648" s="577">
        <f t="shared" si="105"/>
        <v>4.9883333333333335E-2</v>
      </c>
      <c r="K648" s="577">
        <f t="shared" si="106"/>
        <v>1.7499999999999998E-3</v>
      </c>
      <c r="L648" s="585">
        <f t="shared" si="102"/>
        <v>0.11759631184632879</v>
      </c>
      <c r="M648" s="585">
        <f t="shared" si="103"/>
        <v>8.7599999999999997E-2</v>
      </c>
      <c r="N648" s="585">
        <f t="shared" si="107"/>
        <v>9.3799999999999994E-2</v>
      </c>
      <c r="O648" s="586">
        <f t="shared" si="104"/>
        <v>2.9996311846328796E-2</v>
      </c>
      <c r="P648" s="585">
        <f t="shared" si="108"/>
        <v>2.3796311846328799E-2</v>
      </c>
      <c r="Q648" s="585">
        <f t="shared" si="109"/>
        <v>8.2981676011293137E-2</v>
      </c>
      <c r="R648" s="585">
        <f t="shared" si="110"/>
        <v>0.10140000000000002</v>
      </c>
      <c r="S648" s="586">
        <f t="shared" si="111"/>
        <v>-1.8418323988706881E-2</v>
      </c>
      <c r="U648" s="587"/>
      <c r="V648" s="587"/>
      <c r="W648" s="587"/>
      <c r="X648" s="587"/>
      <c r="Y648" s="587"/>
      <c r="Z648" s="587"/>
      <c r="AA648" s="587"/>
      <c r="AB648" s="587"/>
      <c r="AC648" s="587"/>
      <c r="AE648" s="587"/>
      <c r="AF648" s="587"/>
      <c r="AG648" s="587"/>
      <c r="AH648" s="587"/>
      <c r="AI648" s="587"/>
      <c r="AJ648" s="587"/>
      <c r="AK648" s="587"/>
      <c r="AL648" s="587"/>
      <c r="AM648" s="587"/>
      <c r="AO648" s="587"/>
      <c r="AP648" s="587"/>
      <c r="AQ648" s="587"/>
      <c r="AR648" s="587"/>
      <c r="AS648" s="587"/>
      <c r="AT648" s="587"/>
      <c r="AU648" s="587"/>
      <c r="AV648" s="587"/>
      <c r="AW648" s="587"/>
    </row>
    <row r="649" spans="1:49">
      <c r="A649" s="581">
        <v>29099</v>
      </c>
      <c r="B649" s="594">
        <v>4.3E-3</v>
      </c>
      <c r="C649" s="577">
        <v>-1.77E-2</v>
      </c>
      <c r="D649" s="577">
        <v>6.7999999999999996E-3</v>
      </c>
      <c r="E649" s="577">
        <v>7.8666666666666659E-3</v>
      </c>
      <c r="F649" s="577">
        <v>8.083333333333333E-3</v>
      </c>
      <c r="G649" s="577">
        <v>7.9749999999999995E-3</v>
      </c>
      <c r="H649" s="577">
        <v>8.6333333333333331E-3</v>
      </c>
      <c r="I649" s="577">
        <f t="shared" si="112"/>
        <v>-2.4999999999999996E-3</v>
      </c>
      <c r="J649" s="577">
        <f t="shared" si="105"/>
        <v>-3.6749999999999994E-3</v>
      </c>
      <c r="K649" s="577">
        <f t="shared" si="106"/>
        <v>-2.6333333333333334E-2</v>
      </c>
      <c r="L649" s="585">
        <f t="shared" si="102"/>
        <v>0.12600519260359921</v>
      </c>
      <c r="M649" s="585">
        <f t="shared" si="103"/>
        <v>8.1599999999999992E-2</v>
      </c>
      <c r="N649" s="585">
        <f t="shared" si="107"/>
        <v>9.5699999999999993E-2</v>
      </c>
      <c r="O649" s="586">
        <f t="shared" si="104"/>
        <v>4.4405192603599222E-2</v>
      </c>
      <c r="P649" s="585">
        <f t="shared" si="108"/>
        <v>3.0305192603599221E-2</v>
      </c>
      <c r="Q649" s="585">
        <f t="shared" si="109"/>
        <v>6.9803801635049734E-2</v>
      </c>
      <c r="R649" s="585">
        <f t="shared" si="110"/>
        <v>0.1036</v>
      </c>
      <c r="S649" s="586">
        <f t="shared" si="111"/>
        <v>-3.3796198364950264E-2</v>
      </c>
      <c r="U649" s="587"/>
      <c r="V649" s="587"/>
      <c r="W649" s="587"/>
      <c r="X649" s="587"/>
      <c r="Y649" s="587"/>
      <c r="Z649" s="587"/>
      <c r="AA649" s="587"/>
      <c r="AB649" s="587"/>
      <c r="AC649" s="587"/>
      <c r="AE649" s="587"/>
      <c r="AF649" s="587"/>
      <c r="AG649" s="587"/>
      <c r="AH649" s="587"/>
      <c r="AI649" s="587"/>
      <c r="AJ649" s="587"/>
      <c r="AK649" s="587"/>
      <c r="AL649" s="587"/>
      <c r="AM649" s="587"/>
      <c r="AO649" s="587"/>
      <c r="AP649" s="587"/>
      <c r="AQ649" s="587"/>
      <c r="AR649" s="587"/>
      <c r="AS649" s="587"/>
      <c r="AT649" s="587"/>
      <c r="AU649" s="587"/>
      <c r="AV649" s="587"/>
      <c r="AW649" s="587"/>
    </row>
    <row r="650" spans="1:49">
      <c r="A650" s="581">
        <v>29129</v>
      </c>
      <c r="B650" s="594">
        <v>-6.4000000000000001E-2</v>
      </c>
      <c r="C650" s="577">
        <v>-5.0499999999999996E-2</v>
      </c>
      <c r="D650" s="577">
        <v>8.2000000000000007E-3</v>
      </c>
      <c r="E650" s="577">
        <v>8.4416666666666668E-3</v>
      </c>
      <c r="F650" s="577">
        <v>8.7166666666666677E-3</v>
      </c>
      <c r="G650" s="577">
        <v>8.5791666666666672E-3</v>
      </c>
      <c r="H650" s="577">
        <v>9.5000000000000015E-3</v>
      </c>
      <c r="I650" s="577">
        <f t="shared" si="112"/>
        <v>-7.22E-2</v>
      </c>
      <c r="J650" s="577">
        <f t="shared" si="105"/>
        <v>-7.2579166666666667E-2</v>
      </c>
      <c r="K650" s="577">
        <f t="shared" si="106"/>
        <v>-0.06</v>
      </c>
      <c r="L650" s="585">
        <f t="shared" si="102"/>
        <v>0.15462408005802919</v>
      </c>
      <c r="M650" s="585">
        <f t="shared" si="103"/>
        <v>9.8400000000000015E-2</v>
      </c>
      <c r="N650" s="585">
        <f t="shared" si="107"/>
        <v>0.10295000000000001</v>
      </c>
      <c r="O650" s="586">
        <f t="shared" si="104"/>
        <v>5.6224080058029174E-2</v>
      </c>
      <c r="P650" s="585">
        <f t="shared" si="108"/>
        <v>5.1674080058029176E-2</v>
      </c>
      <c r="Q650" s="585">
        <f t="shared" si="109"/>
        <v>9.0359284727865807E-2</v>
      </c>
      <c r="R650" s="585">
        <f t="shared" si="110"/>
        <v>0.11400000000000002</v>
      </c>
      <c r="S650" s="586">
        <f t="shared" si="111"/>
        <v>-2.3640715272134211E-2</v>
      </c>
      <c r="U650" s="587"/>
      <c r="V650" s="587"/>
      <c r="W650" s="587"/>
      <c r="X650" s="587"/>
      <c r="Y650" s="587"/>
      <c r="Z650" s="587"/>
      <c r="AA650" s="587"/>
      <c r="AB650" s="587"/>
      <c r="AC650" s="587"/>
      <c r="AE650" s="587"/>
      <c r="AF650" s="587"/>
      <c r="AG650" s="587"/>
      <c r="AH650" s="587"/>
      <c r="AI650" s="587"/>
      <c r="AJ650" s="587"/>
      <c r="AK650" s="587"/>
      <c r="AL650" s="587"/>
      <c r="AM650" s="587"/>
      <c r="AO650" s="587"/>
      <c r="AP650" s="587"/>
      <c r="AQ650" s="587"/>
      <c r="AR650" s="587"/>
      <c r="AS650" s="587"/>
      <c r="AT650" s="587"/>
      <c r="AU650" s="587"/>
      <c r="AV650" s="587"/>
      <c r="AW650" s="587"/>
    </row>
    <row r="651" spans="1:49">
      <c r="A651" s="581">
        <v>29160</v>
      </c>
      <c r="B651" s="594">
        <v>4.7500000000000001E-2</v>
      </c>
      <c r="C651" s="577">
        <v>6.0699999999999997E-2</v>
      </c>
      <c r="D651" s="577">
        <v>8.3000000000000001E-3</v>
      </c>
      <c r="E651" s="577">
        <v>8.9666666666666662E-3</v>
      </c>
      <c r="F651" s="577">
        <v>9.3500000000000007E-3</v>
      </c>
      <c r="G651" s="577">
        <v>9.1583333333333326E-3</v>
      </c>
      <c r="H651" s="577">
        <v>9.9083333333333332E-3</v>
      </c>
      <c r="I651" s="577">
        <f t="shared" si="112"/>
        <v>3.9199999999999999E-2</v>
      </c>
      <c r="J651" s="577">
        <f t="shared" si="105"/>
        <v>3.834166666666667E-2</v>
      </c>
      <c r="K651" s="577">
        <f t="shared" si="106"/>
        <v>5.0791666666666666E-2</v>
      </c>
      <c r="L651" s="585">
        <f t="shared" si="102"/>
        <v>0.18401245605559025</v>
      </c>
      <c r="M651" s="585">
        <f t="shared" si="103"/>
        <v>9.9599999999999994E-2</v>
      </c>
      <c r="N651" s="585">
        <f t="shared" si="107"/>
        <v>0.1099</v>
      </c>
      <c r="O651" s="586">
        <f t="shared" si="104"/>
        <v>8.4412456055590251E-2</v>
      </c>
      <c r="P651" s="585">
        <f t="shared" si="108"/>
        <v>7.4112456055590248E-2</v>
      </c>
      <c r="Q651" s="585">
        <f t="shared" si="109"/>
        <v>0.11678649412016884</v>
      </c>
      <c r="R651" s="585">
        <f t="shared" si="110"/>
        <v>0.11890000000000001</v>
      </c>
      <c r="S651" s="586">
        <f t="shared" si="111"/>
        <v>-2.1135058798311679E-3</v>
      </c>
      <c r="U651" s="587"/>
      <c r="V651" s="587"/>
      <c r="W651" s="587"/>
      <c r="X651" s="587"/>
      <c r="Y651" s="587"/>
      <c r="Z651" s="587"/>
      <c r="AA651" s="587"/>
      <c r="AB651" s="587"/>
      <c r="AC651" s="587"/>
      <c r="AE651" s="587"/>
      <c r="AF651" s="587"/>
      <c r="AG651" s="587"/>
      <c r="AH651" s="587"/>
      <c r="AI651" s="587"/>
      <c r="AJ651" s="587"/>
      <c r="AK651" s="587"/>
      <c r="AL651" s="587"/>
      <c r="AM651" s="587"/>
      <c r="AO651" s="587"/>
      <c r="AP651" s="587"/>
      <c r="AQ651" s="587"/>
      <c r="AR651" s="587"/>
      <c r="AS651" s="587"/>
      <c r="AT651" s="587"/>
      <c r="AU651" s="587"/>
      <c r="AV651" s="587"/>
      <c r="AW651" s="587"/>
    </row>
    <row r="652" spans="1:49">
      <c r="A652" s="581">
        <v>29190</v>
      </c>
      <c r="B652" s="594">
        <v>2.1399999999999999E-2</v>
      </c>
      <c r="C652" s="577">
        <v>2.2000000000000006E-3</v>
      </c>
      <c r="D652" s="577">
        <v>8.3000000000000001E-3</v>
      </c>
      <c r="E652" s="577">
        <v>8.9499999999999996E-3</v>
      </c>
      <c r="F652" s="577">
        <v>9.2916666666666668E-3</v>
      </c>
      <c r="G652" s="577">
        <v>9.1208333333333332E-3</v>
      </c>
      <c r="H652" s="577">
        <v>1.0125E-2</v>
      </c>
      <c r="I652" s="577">
        <f t="shared" si="112"/>
        <v>1.3099999999999999E-2</v>
      </c>
      <c r="J652" s="577">
        <f t="shared" si="105"/>
        <v>1.2279166666666666E-2</v>
      </c>
      <c r="K652" s="577">
        <f t="shared" si="106"/>
        <v>-7.9249999999999998E-3</v>
      </c>
      <c r="L652" s="585">
        <f t="shared" si="102"/>
        <v>0.18610270950880725</v>
      </c>
      <c r="M652" s="585">
        <f t="shared" si="103"/>
        <v>9.9599999999999994E-2</v>
      </c>
      <c r="N652" s="585">
        <f t="shared" si="107"/>
        <v>0.10944999999999999</v>
      </c>
      <c r="O652" s="586">
        <f t="shared" si="104"/>
        <v>8.6502709508807257E-2</v>
      </c>
      <c r="P652" s="585">
        <f t="shared" si="108"/>
        <v>7.665270950880726E-2</v>
      </c>
      <c r="Q652" s="585">
        <f t="shared" si="109"/>
        <v>0.1361723930638854</v>
      </c>
      <c r="R652" s="585">
        <f t="shared" si="110"/>
        <v>0.1215</v>
      </c>
      <c r="S652" s="586">
        <f t="shared" si="111"/>
        <v>1.4672393063885403E-2</v>
      </c>
      <c r="U652" s="587"/>
      <c r="V652" s="587"/>
      <c r="W652" s="587"/>
      <c r="X652" s="587"/>
      <c r="Y652" s="587"/>
      <c r="Z652" s="587"/>
      <c r="AA652" s="587"/>
      <c r="AB652" s="587"/>
      <c r="AC652" s="587"/>
      <c r="AE652" s="587"/>
      <c r="AF652" s="587"/>
      <c r="AG652" s="587"/>
      <c r="AH652" s="587"/>
      <c r="AI652" s="587"/>
      <c r="AJ652" s="587"/>
      <c r="AK652" s="587"/>
      <c r="AL652" s="587"/>
      <c r="AM652" s="587"/>
      <c r="AO652" s="587"/>
      <c r="AP652" s="587"/>
      <c r="AQ652" s="587"/>
      <c r="AR652" s="587"/>
      <c r="AS652" s="587"/>
      <c r="AT652" s="587"/>
      <c r="AU652" s="587"/>
      <c r="AV652" s="587"/>
      <c r="AW652" s="587"/>
    </row>
    <row r="653" spans="1:49">
      <c r="A653" s="581">
        <v>29221</v>
      </c>
      <c r="B653" s="594">
        <v>6.2199999999999998E-2</v>
      </c>
      <c r="C653" s="577">
        <v>-2.3E-3</v>
      </c>
      <c r="D653" s="577">
        <v>8.3000000000000001E-3</v>
      </c>
      <c r="E653" s="577">
        <v>9.2416666666666671E-3</v>
      </c>
      <c r="F653" s="577">
        <v>9.633333333333334E-3</v>
      </c>
      <c r="G653" s="577">
        <v>9.4375000000000014E-3</v>
      </c>
      <c r="H653" s="577">
        <v>1.0177083333333335E-2</v>
      </c>
      <c r="I653" s="577">
        <f t="shared" si="112"/>
        <v>5.3899999999999997E-2</v>
      </c>
      <c r="J653" s="577">
        <f t="shared" si="105"/>
        <v>5.2762499999999997E-2</v>
      </c>
      <c r="K653" s="577">
        <f t="shared" si="106"/>
        <v>-1.2477083333333335E-2</v>
      </c>
      <c r="L653" s="585">
        <f t="shared" si="102"/>
        <v>0.20643330272934546</v>
      </c>
      <c r="M653" s="585">
        <f t="shared" si="103"/>
        <v>9.9599999999999994E-2</v>
      </c>
      <c r="N653" s="585">
        <f t="shared" si="107"/>
        <v>0.11325000000000002</v>
      </c>
      <c r="O653" s="586">
        <f t="shared" si="104"/>
        <v>0.10683330272934546</v>
      </c>
      <c r="P653" s="585">
        <f t="shared" si="108"/>
        <v>9.3183302729345441E-2</v>
      </c>
      <c r="Q653" s="585">
        <f t="shared" si="109"/>
        <v>6.0193786531835825E-2</v>
      </c>
      <c r="R653" s="585">
        <f t="shared" si="110"/>
        <v>0.12212500000000001</v>
      </c>
      <c r="S653" s="586">
        <f t="shared" si="111"/>
        <v>-6.1931213468164187E-2</v>
      </c>
      <c r="U653" s="587"/>
      <c r="V653" s="587"/>
      <c r="W653" s="587"/>
      <c r="X653" s="587"/>
      <c r="Y653" s="587"/>
      <c r="Z653" s="587"/>
      <c r="AA653" s="587"/>
      <c r="AB653" s="587"/>
      <c r="AC653" s="587"/>
      <c r="AE653" s="587"/>
      <c r="AF653" s="587"/>
      <c r="AG653" s="587"/>
      <c r="AH653" s="587"/>
      <c r="AI653" s="587"/>
      <c r="AJ653" s="587"/>
      <c r="AK653" s="587"/>
      <c r="AL653" s="587"/>
      <c r="AM653" s="587"/>
      <c r="AO653" s="587"/>
      <c r="AP653" s="587"/>
      <c r="AQ653" s="587"/>
      <c r="AR653" s="587"/>
      <c r="AS653" s="587"/>
      <c r="AT653" s="587"/>
      <c r="AU653" s="587"/>
      <c r="AV653" s="587"/>
      <c r="AW653" s="587"/>
    </row>
    <row r="654" spans="1:49">
      <c r="A654" s="581">
        <v>29252</v>
      </c>
      <c r="B654" s="594">
        <v>-1E-4</v>
      </c>
      <c r="C654" s="577">
        <v>-2.4700000000000003E-2</v>
      </c>
      <c r="D654" s="577">
        <v>8.3999999999999995E-3</v>
      </c>
      <c r="E654" s="577">
        <v>1.0316666666666667E-2</v>
      </c>
      <c r="F654" s="577">
        <v>1.0608333333333332E-2</v>
      </c>
      <c r="G654" s="577">
        <v>1.0462500000000001E-2</v>
      </c>
      <c r="H654" s="577">
        <v>1.1028333333333333E-2</v>
      </c>
      <c r="I654" s="577">
        <f t="shared" si="112"/>
        <v>-8.4999999999999989E-3</v>
      </c>
      <c r="J654" s="577">
        <f t="shared" si="105"/>
        <v>-1.0562500000000001E-2</v>
      </c>
      <c r="K654" s="577">
        <f t="shared" si="106"/>
        <v>-3.5728333333333334E-2</v>
      </c>
      <c r="L654" s="585">
        <f t="shared" si="102"/>
        <v>0.24631951585811751</v>
      </c>
      <c r="M654" s="585">
        <f t="shared" si="103"/>
        <v>0.1008</v>
      </c>
      <c r="N654" s="585">
        <f t="shared" si="107"/>
        <v>0.12555000000000002</v>
      </c>
      <c r="O654" s="586">
        <f t="shared" si="104"/>
        <v>0.14551951585811751</v>
      </c>
      <c r="P654" s="585">
        <f t="shared" si="108"/>
        <v>0.12076951585811749</v>
      </c>
      <c r="Q654" s="585">
        <f t="shared" si="109"/>
        <v>5.6402738051183787E-2</v>
      </c>
      <c r="R654" s="585">
        <f t="shared" si="110"/>
        <v>0.13233999999999999</v>
      </c>
      <c r="S654" s="586">
        <f t="shared" si="111"/>
        <v>-7.5937261948816198E-2</v>
      </c>
      <c r="U654" s="587"/>
      <c r="V654" s="587"/>
      <c r="W654" s="587"/>
      <c r="X654" s="587"/>
      <c r="Y654" s="587"/>
      <c r="Z654" s="587"/>
      <c r="AA654" s="587"/>
      <c r="AB654" s="587"/>
      <c r="AC654" s="587"/>
      <c r="AE654" s="587"/>
      <c r="AF654" s="587"/>
      <c r="AG654" s="587"/>
      <c r="AH654" s="587"/>
      <c r="AI654" s="587"/>
      <c r="AJ654" s="587"/>
      <c r="AK654" s="587"/>
      <c r="AL654" s="587"/>
      <c r="AM654" s="587"/>
      <c r="AO654" s="587"/>
      <c r="AP654" s="587"/>
      <c r="AQ654" s="587"/>
      <c r="AR654" s="587"/>
      <c r="AS654" s="587"/>
      <c r="AT654" s="587"/>
      <c r="AU654" s="587"/>
      <c r="AV654" s="587"/>
      <c r="AW654" s="587"/>
    </row>
    <row r="655" spans="1:49">
      <c r="A655" s="581">
        <v>29281</v>
      </c>
      <c r="B655" s="594">
        <v>-9.7199999999999995E-2</v>
      </c>
      <c r="C655" s="577">
        <v>-5.2900000000000003E-2</v>
      </c>
      <c r="D655" s="577">
        <v>9.9000000000000008E-3</v>
      </c>
      <c r="E655" s="577">
        <v>1.0800000000000001E-2</v>
      </c>
      <c r="F655" s="577">
        <v>1.1258333333333332E-2</v>
      </c>
      <c r="G655" s="577">
        <v>1.1029166666666668E-2</v>
      </c>
      <c r="H655" s="577">
        <v>1.2158333333333333E-2</v>
      </c>
      <c r="I655" s="577">
        <f t="shared" si="112"/>
        <v>-0.1071</v>
      </c>
      <c r="J655" s="577">
        <f t="shared" si="105"/>
        <v>-0.10822916666666667</v>
      </c>
      <c r="K655" s="577">
        <f t="shared" si="106"/>
        <v>-6.5058333333333329E-2</v>
      </c>
      <c r="L655" s="585">
        <f t="shared" si="102"/>
        <v>6.1888692824376035E-2</v>
      </c>
      <c r="M655" s="585">
        <f t="shared" si="103"/>
        <v>0.11880000000000002</v>
      </c>
      <c r="N655" s="585">
        <f t="shared" si="107"/>
        <v>0.13235000000000002</v>
      </c>
      <c r="O655" s="586">
        <f t="shared" si="104"/>
        <v>-5.6911307175623982E-2</v>
      </c>
      <c r="P655" s="585">
        <f t="shared" si="108"/>
        <v>-7.0461307175623988E-2</v>
      </c>
      <c r="Q655" s="585">
        <f t="shared" si="109"/>
        <v>-1.8714169077798659E-2</v>
      </c>
      <c r="R655" s="585">
        <f t="shared" si="110"/>
        <v>0.1459</v>
      </c>
      <c r="S655" s="586">
        <f t="shared" si="111"/>
        <v>-0.16461416907779866</v>
      </c>
      <c r="U655" s="587"/>
      <c r="V655" s="587"/>
      <c r="W655" s="587"/>
      <c r="X655" s="587"/>
      <c r="Y655" s="587"/>
      <c r="Z655" s="587"/>
      <c r="AA655" s="587"/>
      <c r="AB655" s="587"/>
      <c r="AC655" s="587"/>
      <c r="AE655" s="587"/>
      <c r="AF655" s="587"/>
      <c r="AG655" s="587"/>
      <c r="AH655" s="587"/>
      <c r="AI655" s="587"/>
      <c r="AJ655" s="587"/>
      <c r="AK655" s="587"/>
      <c r="AL655" s="587"/>
      <c r="AM655" s="587"/>
      <c r="AO655" s="587"/>
      <c r="AP655" s="587"/>
      <c r="AQ655" s="587"/>
      <c r="AR655" s="587"/>
      <c r="AS655" s="587"/>
      <c r="AT655" s="587"/>
      <c r="AU655" s="587"/>
      <c r="AV655" s="587"/>
      <c r="AW655" s="587"/>
    </row>
    <row r="656" spans="1:49">
      <c r="A656" s="581">
        <v>29312</v>
      </c>
      <c r="B656" s="594">
        <v>4.6199999999999998E-2</v>
      </c>
      <c r="C656" s="577">
        <v>0.1186</v>
      </c>
      <c r="D656" s="577">
        <v>0.01</v>
      </c>
      <c r="E656" s="577">
        <v>1.0033333333333332E-2</v>
      </c>
      <c r="F656" s="577">
        <v>1.0883333333333333E-2</v>
      </c>
      <c r="G656" s="577">
        <v>1.0458333333333333E-2</v>
      </c>
      <c r="H656" s="577">
        <v>1.1908333333333333E-2</v>
      </c>
      <c r="I656" s="577">
        <f t="shared" si="112"/>
        <v>3.6199999999999996E-2</v>
      </c>
      <c r="J656" s="577">
        <f t="shared" si="105"/>
        <v>3.5741666666666665E-2</v>
      </c>
      <c r="K656" s="577">
        <f t="shared" si="106"/>
        <v>0.10669166666666666</v>
      </c>
      <c r="L656" s="585">
        <f t="shared" ref="L656:L719" si="113">((1+B645)*(1+B646)*(1+B647)*(1+B648)*(1+B649)*(1+B650)*(1+B651)*(1+B652)*(1+B653)*(1+B654)*(1+B655)*(1+B656))-1</f>
        <v>0.10399279581920129</v>
      </c>
      <c r="M656" s="585">
        <f t="shared" ref="M656:M719" si="114">D656*12</f>
        <v>0.12</v>
      </c>
      <c r="N656" s="585">
        <f t="shared" si="107"/>
        <v>0.1255</v>
      </c>
      <c r="O656" s="586">
        <f t="shared" ref="O656:O719" si="115">L656-M656</f>
        <v>-1.6007204180798706E-2</v>
      </c>
      <c r="P656" s="585">
        <f t="shared" si="108"/>
        <v>-2.1507204180798711E-2</v>
      </c>
      <c r="Q656" s="585">
        <f t="shared" si="109"/>
        <v>0.12569616497751457</v>
      </c>
      <c r="R656" s="585">
        <f t="shared" si="110"/>
        <v>0.1429</v>
      </c>
      <c r="S656" s="586">
        <f t="shared" si="111"/>
        <v>-1.7203835022485431E-2</v>
      </c>
      <c r="U656" s="587"/>
      <c r="V656" s="587"/>
      <c r="W656" s="587"/>
      <c r="X656" s="587"/>
      <c r="Y656" s="587"/>
      <c r="Z656" s="587"/>
      <c r="AA656" s="587"/>
      <c r="AB656" s="587"/>
      <c r="AC656" s="587"/>
      <c r="AE656" s="587"/>
      <c r="AF656" s="587"/>
      <c r="AG656" s="587"/>
      <c r="AH656" s="587"/>
      <c r="AI656" s="587"/>
      <c r="AJ656" s="587"/>
      <c r="AK656" s="587"/>
      <c r="AL656" s="587"/>
      <c r="AM656" s="587"/>
      <c r="AO656" s="587"/>
      <c r="AP656" s="587"/>
      <c r="AQ656" s="587"/>
      <c r="AR656" s="587"/>
      <c r="AS656" s="587"/>
      <c r="AT656" s="587"/>
      <c r="AU656" s="587"/>
      <c r="AV656" s="587"/>
      <c r="AW656" s="587"/>
    </row>
    <row r="657" spans="1:49">
      <c r="A657" s="581">
        <v>29342</v>
      </c>
      <c r="B657" s="594">
        <v>5.1499999999999997E-2</v>
      </c>
      <c r="C657" s="577">
        <v>3.2299999999999995E-2</v>
      </c>
      <c r="D657" s="577">
        <v>8.6999999999999994E-3</v>
      </c>
      <c r="E657" s="577">
        <v>9.1583333333333343E-3</v>
      </c>
      <c r="F657" s="577">
        <v>9.9249999999999998E-3</v>
      </c>
      <c r="G657" s="577">
        <v>9.541666666666667E-3</v>
      </c>
      <c r="H657" s="577">
        <v>1.0613333333333334E-2</v>
      </c>
      <c r="I657" s="577">
        <f t="shared" si="112"/>
        <v>4.2799999999999998E-2</v>
      </c>
      <c r="J657" s="577">
        <f t="shared" si="105"/>
        <v>4.1958333333333334E-2</v>
      </c>
      <c r="K657" s="577">
        <f t="shared" si="106"/>
        <v>2.168666666666666E-2</v>
      </c>
      <c r="L657" s="585">
        <f t="shared" si="113"/>
        <v>0.18659759256249631</v>
      </c>
      <c r="M657" s="585">
        <f t="shared" si="114"/>
        <v>0.10439999999999999</v>
      </c>
      <c r="N657" s="585">
        <f t="shared" si="107"/>
        <v>0.1145</v>
      </c>
      <c r="O657" s="586">
        <f t="shared" si="115"/>
        <v>8.2197592562496313E-2</v>
      </c>
      <c r="P657" s="585">
        <f t="shared" si="108"/>
        <v>7.2097592562496302E-2</v>
      </c>
      <c r="Q657" s="585">
        <f t="shared" si="109"/>
        <v>0.14488290749388066</v>
      </c>
      <c r="R657" s="585">
        <f t="shared" si="110"/>
        <v>0.12736</v>
      </c>
      <c r="S657" s="586">
        <f t="shared" si="111"/>
        <v>1.7522907493880663E-2</v>
      </c>
      <c r="U657" s="587"/>
      <c r="V657" s="587"/>
      <c r="W657" s="587"/>
      <c r="X657" s="587"/>
      <c r="Y657" s="587"/>
      <c r="Z657" s="587"/>
      <c r="AA657" s="587"/>
      <c r="AB657" s="587"/>
      <c r="AC657" s="587"/>
      <c r="AE657" s="587"/>
      <c r="AF657" s="587"/>
      <c r="AG657" s="587"/>
      <c r="AH657" s="587"/>
      <c r="AI657" s="587"/>
      <c r="AJ657" s="587"/>
      <c r="AK657" s="587"/>
      <c r="AL657" s="587"/>
      <c r="AM657" s="587"/>
      <c r="AO657" s="587"/>
      <c r="AP657" s="587"/>
      <c r="AQ657" s="587"/>
      <c r="AR657" s="587"/>
      <c r="AS657" s="587"/>
      <c r="AT657" s="587"/>
      <c r="AU657" s="587"/>
      <c r="AV657" s="587"/>
      <c r="AW657" s="587"/>
    </row>
    <row r="658" spans="1:49">
      <c r="A658" s="581">
        <v>29373</v>
      </c>
      <c r="B658" s="594">
        <v>3.1600000000000003E-2</v>
      </c>
      <c r="C658" s="577">
        <v>3.3700000000000001E-2</v>
      </c>
      <c r="D658" s="577">
        <v>8.6E-3</v>
      </c>
      <c r="E658" s="577">
        <v>8.8166666666666671E-3</v>
      </c>
      <c r="F658" s="577">
        <v>9.4916666666666673E-3</v>
      </c>
      <c r="G658" s="577">
        <v>9.1541666666666681E-3</v>
      </c>
      <c r="H658" s="577">
        <v>1.033125E-2</v>
      </c>
      <c r="I658" s="577">
        <f t="shared" si="112"/>
        <v>2.3000000000000003E-2</v>
      </c>
      <c r="J658" s="577">
        <f t="shared" si="105"/>
        <v>2.2445833333333335E-2</v>
      </c>
      <c r="K658" s="577">
        <f t="shared" si="106"/>
        <v>2.3368750000000001E-2</v>
      </c>
      <c r="L658" s="585">
        <f t="shared" si="113"/>
        <v>0.17306571776470658</v>
      </c>
      <c r="M658" s="585">
        <f t="shared" si="114"/>
        <v>0.1032</v>
      </c>
      <c r="N658" s="585">
        <f t="shared" si="107"/>
        <v>0.10985000000000002</v>
      </c>
      <c r="O658" s="586">
        <f t="shared" si="115"/>
        <v>6.9865717764706584E-2</v>
      </c>
      <c r="P658" s="585">
        <f t="shared" si="108"/>
        <v>6.3215717764706567E-2</v>
      </c>
      <c r="Q658" s="585">
        <f t="shared" si="109"/>
        <v>0.13948147648413611</v>
      </c>
      <c r="R658" s="585">
        <f t="shared" si="110"/>
        <v>0.123975</v>
      </c>
      <c r="S658" s="586">
        <f t="shared" si="111"/>
        <v>1.5506476484136111E-2</v>
      </c>
      <c r="U658" s="587"/>
      <c r="V658" s="587"/>
      <c r="W658" s="587"/>
      <c r="X658" s="587"/>
      <c r="Y658" s="587"/>
      <c r="Z658" s="587"/>
      <c r="AA658" s="587"/>
      <c r="AB658" s="587"/>
      <c r="AC658" s="587"/>
      <c r="AE658" s="587"/>
      <c r="AF658" s="587"/>
      <c r="AG658" s="587"/>
      <c r="AH658" s="587"/>
      <c r="AI658" s="587"/>
      <c r="AJ658" s="587"/>
      <c r="AK658" s="587"/>
      <c r="AL658" s="587"/>
      <c r="AM658" s="587"/>
      <c r="AO658" s="587"/>
      <c r="AP658" s="587"/>
      <c r="AQ658" s="587"/>
      <c r="AR658" s="587"/>
      <c r="AS658" s="587"/>
      <c r="AT658" s="587"/>
      <c r="AU658" s="587"/>
      <c r="AV658" s="587"/>
      <c r="AW658" s="587"/>
    </row>
    <row r="659" spans="1:49">
      <c r="A659" s="581">
        <v>29403</v>
      </c>
      <c r="B659" s="594">
        <v>6.9599999999999995E-2</v>
      </c>
      <c r="C659" s="577">
        <v>-4.0999999999999995E-3</v>
      </c>
      <c r="D659" s="577">
        <v>8.3999999999999995E-3</v>
      </c>
      <c r="E659" s="577">
        <v>9.2250000000000006E-3</v>
      </c>
      <c r="F659" s="577">
        <v>9.5250000000000005E-3</v>
      </c>
      <c r="G659" s="577">
        <v>9.3749999999999997E-3</v>
      </c>
      <c r="H659" s="577">
        <v>1.0127083333333333E-2</v>
      </c>
      <c r="I659" s="577">
        <f t="shared" si="112"/>
        <v>6.1199999999999997E-2</v>
      </c>
      <c r="J659" s="577">
        <f t="shared" si="105"/>
        <v>6.0224999999999994E-2</v>
      </c>
      <c r="K659" s="577">
        <f t="shared" si="106"/>
        <v>-1.4227083333333333E-2</v>
      </c>
      <c r="L659" s="585">
        <f t="shared" si="113"/>
        <v>0.23812027996953811</v>
      </c>
      <c r="M659" s="585">
        <f t="shared" si="114"/>
        <v>0.1008</v>
      </c>
      <c r="N659" s="585">
        <f t="shared" si="107"/>
        <v>0.11249999999999999</v>
      </c>
      <c r="O659" s="586">
        <f t="shared" si="115"/>
        <v>0.13732027996953811</v>
      </c>
      <c r="P659" s="585">
        <f t="shared" si="108"/>
        <v>0.12562027996953812</v>
      </c>
      <c r="Q659" s="585">
        <f t="shared" si="109"/>
        <v>9.7282539577017602E-2</v>
      </c>
      <c r="R659" s="585">
        <f t="shared" si="110"/>
        <v>0.12152499999999999</v>
      </c>
      <c r="S659" s="586">
        <f t="shared" si="111"/>
        <v>-2.4242460422982393E-2</v>
      </c>
      <c r="U659" s="587"/>
      <c r="V659" s="587"/>
      <c r="W659" s="587"/>
      <c r="X659" s="587"/>
      <c r="Y659" s="587"/>
      <c r="Z659" s="587"/>
      <c r="AA659" s="587"/>
      <c r="AB659" s="587"/>
      <c r="AC659" s="587"/>
      <c r="AE659" s="587"/>
      <c r="AF659" s="587"/>
      <c r="AG659" s="587"/>
      <c r="AH659" s="587"/>
      <c r="AI659" s="587"/>
      <c r="AJ659" s="587"/>
      <c r="AK659" s="587"/>
      <c r="AL659" s="587"/>
      <c r="AM659" s="587"/>
      <c r="AO659" s="587"/>
      <c r="AP659" s="587"/>
      <c r="AQ659" s="587"/>
      <c r="AR659" s="587"/>
      <c r="AS659" s="587"/>
      <c r="AT659" s="587"/>
      <c r="AU659" s="587"/>
      <c r="AV659" s="587"/>
      <c r="AW659" s="587"/>
    </row>
    <row r="660" spans="1:49">
      <c r="A660" s="581">
        <v>29434</v>
      </c>
      <c r="B660" s="594">
        <v>1.01E-2</v>
      </c>
      <c r="C660" s="577">
        <v>-1.3899999999999999E-2</v>
      </c>
      <c r="D660" s="577">
        <v>8.0999999999999996E-3</v>
      </c>
      <c r="E660" s="577">
        <v>9.7000000000000003E-3</v>
      </c>
      <c r="F660" s="577">
        <v>1.0075000000000001E-2</v>
      </c>
      <c r="G660" s="577">
        <v>9.8875000000000005E-3</v>
      </c>
      <c r="H660" s="577">
        <v>1.0549999999999999E-2</v>
      </c>
      <c r="I660" s="577">
        <f t="shared" si="112"/>
        <v>2E-3</v>
      </c>
      <c r="J660" s="577">
        <f t="shared" si="105"/>
        <v>2.1249999999999915E-4</v>
      </c>
      <c r="K660" s="577">
        <f t="shared" si="106"/>
        <v>-2.445E-2</v>
      </c>
      <c r="L660" s="585">
        <f t="shared" si="113"/>
        <v>0.18240077034814273</v>
      </c>
      <c r="M660" s="585">
        <f t="shared" si="114"/>
        <v>9.7199999999999995E-2</v>
      </c>
      <c r="N660" s="585">
        <f t="shared" si="107"/>
        <v>0.11865000000000001</v>
      </c>
      <c r="O660" s="586">
        <f t="shared" si="115"/>
        <v>8.5200770348142732E-2</v>
      </c>
      <c r="P660" s="585">
        <f t="shared" si="108"/>
        <v>6.3750770348142721E-2</v>
      </c>
      <c r="Q660" s="585">
        <f t="shared" si="109"/>
        <v>7.1105040860123703E-2</v>
      </c>
      <c r="R660" s="585">
        <f t="shared" si="110"/>
        <v>0.12659999999999999</v>
      </c>
      <c r="S660" s="586">
        <f t="shared" si="111"/>
        <v>-5.5494959139876288E-2</v>
      </c>
      <c r="U660" s="587"/>
      <c r="V660" s="587"/>
      <c r="W660" s="587"/>
      <c r="X660" s="587"/>
      <c r="Y660" s="587"/>
      <c r="Z660" s="587"/>
      <c r="AA660" s="587"/>
      <c r="AB660" s="587"/>
      <c r="AC660" s="587"/>
      <c r="AE660" s="587"/>
      <c r="AF660" s="587"/>
      <c r="AG660" s="587"/>
      <c r="AH660" s="587"/>
      <c r="AI660" s="587"/>
      <c r="AJ660" s="587"/>
      <c r="AK660" s="587"/>
      <c r="AL660" s="587"/>
      <c r="AM660" s="587"/>
      <c r="AO660" s="587"/>
      <c r="AP660" s="587"/>
      <c r="AQ660" s="587"/>
      <c r="AR660" s="587"/>
      <c r="AS660" s="587"/>
      <c r="AT660" s="587"/>
      <c r="AU660" s="587"/>
      <c r="AV660" s="587"/>
      <c r="AW660" s="587"/>
    </row>
    <row r="661" spans="1:49">
      <c r="A661" s="581">
        <v>29465</v>
      </c>
      <c r="B661" s="594">
        <v>2.9399999999999999E-2</v>
      </c>
      <c r="C661" s="577">
        <v>-1.14E-2</v>
      </c>
      <c r="D661" s="577">
        <v>9.7000000000000003E-3</v>
      </c>
      <c r="E661" s="577">
        <v>1.0016666666666667E-2</v>
      </c>
      <c r="F661" s="577">
        <v>1.0433333333333333E-2</v>
      </c>
      <c r="G661" s="577">
        <v>1.0225E-2</v>
      </c>
      <c r="H661" s="577">
        <v>1.1077083333333333E-2</v>
      </c>
      <c r="I661" s="577">
        <f t="shared" si="112"/>
        <v>1.9699999999999999E-2</v>
      </c>
      <c r="J661" s="577">
        <f t="shared" si="105"/>
        <v>1.9174999999999998E-2</v>
      </c>
      <c r="K661" s="577">
        <f t="shared" si="106"/>
        <v>-2.2477083333333335E-2</v>
      </c>
      <c r="L661" s="585">
        <f t="shared" si="113"/>
        <v>0.21195195957022617</v>
      </c>
      <c r="M661" s="585">
        <f t="shared" si="114"/>
        <v>0.1164</v>
      </c>
      <c r="N661" s="585">
        <f t="shared" si="107"/>
        <v>0.1227</v>
      </c>
      <c r="O661" s="586">
        <f t="shared" si="115"/>
        <v>9.5551959570226164E-2</v>
      </c>
      <c r="P661" s="585">
        <f t="shared" si="108"/>
        <v>8.9251959570226164E-2</v>
      </c>
      <c r="Q661" s="585">
        <f t="shared" si="109"/>
        <v>7.7974593702858863E-2</v>
      </c>
      <c r="R661" s="585">
        <f t="shared" si="110"/>
        <v>0.13292499999999999</v>
      </c>
      <c r="S661" s="586">
        <f t="shared" si="111"/>
        <v>-5.4950406297141124E-2</v>
      </c>
      <c r="U661" s="587"/>
      <c r="V661" s="587"/>
      <c r="W661" s="587"/>
      <c r="X661" s="587"/>
      <c r="Y661" s="587"/>
      <c r="Z661" s="587"/>
      <c r="AA661" s="587"/>
      <c r="AB661" s="587"/>
      <c r="AC661" s="587"/>
      <c r="AE661" s="587"/>
      <c r="AF661" s="587"/>
      <c r="AG661" s="587"/>
      <c r="AH661" s="587"/>
      <c r="AI661" s="587"/>
      <c r="AJ661" s="587"/>
      <c r="AK661" s="587"/>
      <c r="AL661" s="587"/>
      <c r="AM661" s="587"/>
      <c r="AO661" s="587"/>
      <c r="AP661" s="587"/>
      <c r="AQ661" s="587"/>
      <c r="AR661" s="587"/>
      <c r="AS661" s="587"/>
      <c r="AT661" s="587"/>
      <c r="AU661" s="587"/>
      <c r="AV661" s="587"/>
      <c r="AW661" s="587"/>
    </row>
    <row r="662" spans="1:49">
      <c r="A662" s="581">
        <v>29495</v>
      </c>
      <c r="B662" s="594">
        <v>2.0199999999999999E-2</v>
      </c>
      <c r="C662" s="577">
        <v>2.7400000000000001E-2</v>
      </c>
      <c r="D662" s="577">
        <v>9.7000000000000003E-3</v>
      </c>
      <c r="E662" s="577">
        <v>1.0258333333333335E-2</v>
      </c>
      <c r="F662" s="577">
        <v>1.0566666666666667E-2</v>
      </c>
      <c r="G662" s="577">
        <v>1.04125E-2</v>
      </c>
      <c r="H662" s="577">
        <v>1.1279999999999998E-2</v>
      </c>
      <c r="I662" s="577">
        <f t="shared" si="112"/>
        <v>1.0499999999999999E-2</v>
      </c>
      <c r="J662" s="577">
        <f t="shared" si="105"/>
        <v>9.7874999999999993E-3</v>
      </c>
      <c r="K662" s="577">
        <f t="shared" si="106"/>
        <v>1.6120000000000002E-2</v>
      </c>
      <c r="L662" s="585">
        <f t="shared" si="113"/>
        <v>0.32097584311276184</v>
      </c>
      <c r="M662" s="585">
        <f t="shared" si="114"/>
        <v>0.1164</v>
      </c>
      <c r="N662" s="585">
        <f t="shared" si="107"/>
        <v>0.12495000000000001</v>
      </c>
      <c r="O662" s="586">
        <f t="shared" si="115"/>
        <v>0.20457584311276183</v>
      </c>
      <c r="P662" s="585">
        <f t="shared" si="108"/>
        <v>0.19602584311276183</v>
      </c>
      <c r="Q662" s="585">
        <f t="shared" si="109"/>
        <v>0.16641505799928114</v>
      </c>
      <c r="R662" s="585">
        <f t="shared" si="110"/>
        <v>0.13535999999999998</v>
      </c>
      <c r="S662" s="586">
        <f t="shared" si="111"/>
        <v>3.1055057999281155E-2</v>
      </c>
      <c r="U662" s="587"/>
      <c r="V662" s="587"/>
      <c r="W662" s="587"/>
      <c r="X662" s="587"/>
      <c r="Y662" s="587"/>
      <c r="Z662" s="587"/>
      <c r="AA662" s="587"/>
      <c r="AB662" s="587"/>
      <c r="AC662" s="587"/>
      <c r="AE662" s="587"/>
      <c r="AF662" s="587"/>
      <c r="AG662" s="587"/>
      <c r="AH662" s="587"/>
      <c r="AI662" s="587"/>
      <c r="AJ662" s="587"/>
      <c r="AK662" s="587"/>
      <c r="AL662" s="587"/>
      <c r="AM662" s="587"/>
      <c r="AO662" s="587"/>
      <c r="AP662" s="587"/>
      <c r="AQ662" s="587"/>
      <c r="AR662" s="587"/>
      <c r="AS662" s="587"/>
      <c r="AT662" s="587"/>
      <c r="AU662" s="587"/>
      <c r="AV662" s="587"/>
      <c r="AW662" s="587"/>
    </row>
    <row r="663" spans="1:49">
      <c r="A663" s="581">
        <v>29526</v>
      </c>
      <c r="B663" s="594">
        <v>0.1065</v>
      </c>
      <c r="C663" s="577">
        <v>5.0099999999999999E-2</v>
      </c>
      <c r="D663" s="577">
        <v>9.1000000000000004E-3</v>
      </c>
      <c r="E663" s="577">
        <v>1.0808333333333333E-2</v>
      </c>
      <c r="F663" s="577">
        <v>1.1116666666666665E-2</v>
      </c>
      <c r="G663" s="577">
        <v>1.09625E-2</v>
      </c>
      <c r="H663" s="577">
        <v>1.1677083333333333E-2</v>
      </c>
      <c r="I663" s="577">
        <f t="shared" si="112"/>
        <v>9.74E-2</v>
      </c>
      <c r="J663" s="577">
        <f t="shared" si="105"/>
        <v>9.5537499999999997E-2</v>
      </c>
      <c r="K663" s="577">
        <f t="shared" si="106"/>
        <v>3.8422916666666668E-2</v>
      </c>
      <c r="L663" s="585">
        <f t="shared" si="113"/>
        <v>0.39537925575586663</v>
      </c>
      <c r="M663" s="585">
        <f t="shared" si="114"/>
        <v>0.10920000000000001</v>
      </c>
      <c r="N663" s="585">
        <f t="shared" si="107"/>
        <v>0.13155</v>
      </c>
      <c r="O663" s="586">
        <f t="shared" si="115"/>
        <v>0.28617925575586661</v>
      </c>
      <c r="P663" s="585">
        <f t="shared" si="108"/>
        <v>0.26382925575586663</v>
      </c>
      <c r="Q663" s="585">
        <f t="shared" si="109"/>
        <v>0.15475860507687855</v>
      </c>
      <c r="R663" s="585">
        <f t="shared" si="110"/>
        <v>0.140125</v>
      </c>
      <c r="S663" s="586">
        <f t="shared" si="111"/>
        <v>1.4633605076878553E-2</v>
      </c>
      <c r="U663" s="587"/>
      <c r="V663" s="587"/>
      <c r="W663" s="587"/>
      <c r="X663" s="587"/>
      <c r="Y663" s="587"/>
      <c r="Z663" s="587"/>
      <c r="AA663" s="587"/>
      <c r="AB663" s="587"/>
      <c r="AC663" s="587"/>
      <c r="AE663" s="587"/>
      <c r="AF663" s="587"/>
      <c r="AG663" s="587"/>
      <c r="AH663" s="587"/>
      <c r="AI663" s="587"/>
      <c r="AJ663" s="587"/>
      <c r="AK663" s="587"/>
      <c r="AL663" s="587"/>
      <c r="AM663" s="587"/>
      <c r="AO663" s="587"/>
      <c r="AP663" s="587"/>
      <c r="AQ663" s="587"/>
      <c r="AR663" s="587"/>
      <c r="AS663" s="587"/>
      <c r="AT663" s="587"/>
      <c r="AU663" s="587"/>
      <c r="AV663" s="587"/>
      <c r="AW663" s="587"/>
    </row>
    <row r="664" spans="1:49">
      <c r="A664" s="581">
        <v>29556</v>
      </c>
      <c r="B664" s="594">
        <v>-3.0200000000000001E-2</v>
      </c>
      <c r="C664" s="577">
        <v>-1.4000000000000002E-3</v>
      </c>
      <c r="D664" s="577">
        <v>1.0800000000000001E-2</v>
      </c>
      <c r="E664" s="577">
        <v>1.1008333333333334E-2</v>
      </c>
      <c r="F664" s="577">
        <v>1.1483333333333332E-2</v>
      </c>
      <c r="G664" s="577">
        <v>1.1245833333333333E-2</v>
      </c>
      <c r="H664" s="577">
        <v>1.2216666666666667E-2</v>
      </c>
      <c r="I664" s="577">
        <f t="shared" si="112"/>
        <v>-4.1000000000000002E-2</v>
      </c>
      <c r="J664" s="577">
        <f t="shared" si="105"/>
        <v>-4.1445833333333335E-2</v>
      </c>
      <c r="K664" s="577">
        <f t="shared" si="106"/>
        <v>-1.3616666666666668E-2</v>
      </c>
      <c r="L664" s="585">
        <f t="shared" si="113"/>
        <v>0.32488623676526296</v>
      </c>
      <c r="M664" s="585">
        <f t="shared" si="114"/>
        <v>0.12959999999999999</v>
      </c>
      <c r="N664" s="585">
        <f t="shared" si="107"/>
        <v>0.13495000000000001</v>
      </c>
      <c r="O664" s="586">
        <f t="shared" si="115"/>
        <v>0.19528623676526297</v>
      </c>
      <c r="P664" s="585">
        <f t="shared" si="108"/>
        <v>0.18993623676526294</v>
      </c>
      <c r="Q664" s="585">
        <f t="shared" si="109"/>
        <v>0.15061059971040835</v>
      </c>
      <c r="R664" s="585">
        <f t="shared" si="110"/>
        <v>0.14660000000000001</v>
      </c>
      <c r="S664" s="586">
        <f t="shared" si="111"/>
        <v>4.0105997104083468E-3</v>
      </c>
      <c r="U664" s="587"/>
      <c r="V664" s="587"/>
      <c r="W664" s="587"/>
      <c r="X664" s="587"/>
      <c r="Y664" s="587"/>
      <c r="Z664" s="587"/>
      <c r="AA664" s="587"/>
      <c r="AB664" s="587"/>
      <c r="AC664" s="587"/>
      <c r="AE664" s="587"/>
      <c r="AF664" s="587"/>
      <c r="AG664" s="587"/>
      <c r="AH664" s="587"/>
      <c r="AI664" s="587"/>
      <c r="AJ664" s="587"/>
      <c r="AK664" s="587"/>
      <c r="AL664" s="587"/>
      <c r="AM664" s="587"/>
      <c r="AO664" s="587"/>
      <c r="AP664" s="587"/>
      <c r="AQ664" s="587"/>
      <c r="AR664" s="587"/>
      <c r="AS664" s="587"/>
      <c r="AT664" s="587"/>
      <c r="AU664" s="587"/>
      <c r="AV664" s="587"/>
      <c r="AW664" s="587"/>
    </row>
    <row r="665" spans="1:49">
      <c r="A665" s="581">
        <v>29587</v>
      </c>
      <c r="B665" s="594">
        <v>-4.1799999999999997E-2</v>
      </c>
      <c r="C665" s="577">
        <v>-1.8600000000000002E-2</v>
      </c>
      <c r="D665" s="577">
        <v>9.4000000000000004E-3</v>
      </c>
      <c r="E665" s="577">
        <v>1.0675E-2</v>
      </c>
      <c r="F665" s="577">
        <v>1.1266666666666668E-2</v>
      </c>
      <c r="G665" s="577">
        <v>1.0970833333333334E-2</v>
      </c>
      <c r="H665" s="577">
        <v>1.1894999999999999E-2</v>
      </c>
      <c r="I665" s="577">
        <f t="shared" si="112"/>
        <v>-5.1199999999999996E-2</v>
      </c>
      <c r="J665" s="577">
        <f t="shared" si="105"/>
        <v>-5.2770833333333329E-2</v>
      </c>
      <c r="K665" s="577">
        <f t="shared" si="106"/>
        <v>-3.0495000000000001E-2</v>
      </c>
      <c r="L665" s="585">
        <f t="shared" si="113"/>
        <v>0.19516662781818406</v>
      </c>
      <c r="M665" s="585">
        <f t="shared" si="114"/>
        <v>0.11280000000000001</v>
      </c>
      <c r="N665" s="585">
        <f t="shared" si="107"/>
        <v>0.13165000000000002</v>
      </c>
      <c r="O665" s="586">
        <f t="shared" si="115"/>
        <v>8.2366627818184046E-2</v>
      </c>
      <c r="P665" s="585">
        <f t="shared" si="108"/>
        <v>6.351662781818404E-2</v>
      </c>
      <c r="Q665" s="585">
        <f t="shared" si="109"/>
        <v>0.13181241110132769</v>
      </c>
      <c r="R665" s="585">
        <f t="shared" si="110"/>
        <v>0.14273999999999998</v>
      </c>
      <c r="S665" s="586">
        <f t="shared" si="111"/>
        <v>-1.0927588898672291E-2</v>
      </c>
      <c r="U665" s="587"/>
      <c r="V665" s="587"/>
      <c r="W665" s="587"/>
      <c r="X665" s="587"/>
      <c r="Y665" s="587"/>
      <c r="Z665" s="587"/>
      <c r="AA665" s="587"/>
      <c r="AB665" s="587"/>
      <c r="AC665" s="587"/>
      <c r="AE665" s="587"/>
      <c r="AF665" s="587"/>
      <c r="AG665" s="587"/>
      <c r="AH665" s="587"/>
      <c r="AI665" s="587"/>
      <c r="AJ665" s="587"/>
      <c r="AK665" s="587"/>
      <c r="AL665" s="587"/>
      <c r="AM665" s="587"/>
      <c r="AO665" s="587"/>
      <c r="AP665" s="587"/>
      <c r="AQ665" s="587"/>
      <c r="AR665" s="587"/>
      <c r="AS665" s="587"/>
      <c r="AT665" s="587"/>
      <c r="AU665" s="587"/>
      <c r="AV665" s="587"/>
      <c r="AW665" s="587"/>
    </row>
    <row r="666" spans="1:49">
      <c r="A666" s="581">
        <v>29618</v>
      </c>
      <c r="B666" s="594">
        <v>1.7399999999999999E-2</v>
      </c>
      <c r="C666" s="577">
        <v>-2.2400000000000003E-2</v>
      </c>
      <c r="D666" s="577">
        <v>8.8000000000000005E-3</v>
      </c>
      <c r="E666" s="577">
        <v>1.1125000000000001E-2</v>
      </c>
      <c r="F666" s="577">
        <v>1.1575E-2</v>
      </c>
      <c r="G666" s="577">
        <v>1.1350000000000001E-2</v>
      </c>
      <c r="H666" s="577">
        <v>1.2233333333333334E-2</v>
      </c>
      <c r="I666" s="577">
        <f t="shared" si="112"/>
        <v>8.5999999999999983E-3</v>
      </c>
      <c r="J666" s="577">
        <f t="shared" si="105"/>
        <v>6.0499999999999981E-3</v>
      </c>
      <c r="K666" s="577">
        <f t="shared" si="106"/>
        <v>-3.4633333333333335E-2</v>
      </c>
      <c r="L666" s="585">
        <f t="shared" si="113"/>
        <v>0.21608413555577588</v>
      </c>
      <c r="M666" s="585">
        <f t="shared" si="114"/>
        <v>0.1056</v>
      </c>
      <c r="N666" s="585">
        <f t="shared" si="107"/>
        <v>0.13620000000000002</v>
      </c>
      <c r="O666" s="586">
        <f t="shared" si="115"/>
        <v>0.11048413555577588</v>
      </c>
      <c r="P666" s="585">
        <f t="shared" si="108"/>
        <v>7.9884135555775865E-2</v>
      </c>
      <c r="Q666" s="585">
        <f t="shared" si="109"/>
        <v>0.13448150629822408</v>
      </c>
      <c r="R666" s="585">
        <f t="shared" si="110"/>
        <v>0.14680000000000001</v>
      </c>
      <c r="S666" s="586">
        <f t="shared" si="111"/>
        <v>-1.2318493701775929E-2</v>
      </c>
      <c r="U666" s="587"/>
      <c r="V666" s="587"/>
      <c r="W666" s="587"/>
      <c r="X666" s="587"/>
      <c r="Y666" s="587"/>
      <c r="Z666" s="587"/>
      <c r="AA666" s="587"/>
      <c r="AB666" s="587"/>
      <c r="AC666" s="587"/>
      <c r="AE666" s="587"/>
      <c r="AF666" s="587"/>
      <c r="AG666" s="587"/>
      <c r="AH666" s="587"/>
      <c r="AI666" s="587"/>
      <c r="AJ666" s="587"/>
      <c r="AK666" s="587"/>
      <c r="AL666" s="587"/>
      <c r="AM666" s="587"/>
      <c r="AO666" s="587"/>
      <c r="AP666" s="587"/>
      <c r="AQ666" s="587"/>
      <c r="AR666" s="587"/>
      <c r="AS666" s="587"/>
      <c r="AT666" s="587"/>
      <c r="AU666" s="587"/>
      <c r="AV666" s="587"/>
      <c r="AW666" s="587"/>
    </row>
    <row r="667" spans="1:49">
      <c r="A667" s="581">
        <v>29646</v>
      </c>
      <c r="B667" s="594">
        <v>0.04</v>
      </c>
      <c r="C667" s="577">
        <v>4.2000000000000003E-2</v>
      </c>
      <c r="D667" s="577">
        <v>1.11E-2</v>
      </c>
      <c r="E667" s="577">
        <v>1.1108333333333333E-2</v>
      </c>
      <c r="F667" s="577">
        <v>1.1583333333333334E-2</v>
      </c>
      <c r="G667" s="577">
        <v>1.1345833333333335E-2</v>
      </c>
      <c r="H667" s="577">
        <v>1.2604166666666668E-2</v>
      </c>
      <c r="I667" s="577">
        <f t="shared" si="112"/>
        <v>2.8900000000000002E-2</v>
      </c>
      <c r="J667" s="577">
        <f t="shared" si="105"/>
        <v>2.8654166666666668E-2</v>
      </c>
      <c r="K667" s="577">
        <f t="shared" si="106"/>
        <v>2.9395833333333336E-2</v>
      </c>
      <c r="L667" s="585">
        <f t="shared" si="113"/>
        <v>0.40089444060479296</v>
      </c>
      <c r="M667" s="585">
        <f t="shared" si="114"/>
        <v>0.13320000000000001</v>
      </c>
      <c r="N667" s="585">
        <f t="shared" si="107"/>
        <v>0.13615000000000002</v>
      </c>
      <c r="O667" s="586">
        <f t="shared" si="115"/>
        <v>0.26769444060479297</v>
      </c>
      <c r="P667" s="585">
        <f t="shared" si="108"/>
        <v>0.26474444060479296</v>
      </c>
      <c r="Q667" s="585">
        <f t="shared" si="109"/>
        <v>0.24815724798094108</v>
      </c>
      <c r="R667" s="585">
        <f t="shared" si="110"/>
        <v>0.15125000000000002</v>
      </c>
      <c r="S667" s="586">
        <f t="shared" si="111"/>
        <v>9.6907247980941053E-2</v>
      </c>
      <c r="U667" s="587"/>
      <c r="V667" s="587"/>
      <c r="W667" s="587"/>
      <c r="X667" s="587"/>
      <c r="Y667" s="587"/>
      <c r="Z667" s="587"/>
      <c r="AA667" s="587"/>
      <c r="AB667" s="587"/>
      <c r="AC667" s="587"/>
      <c r="AE667" s="587"/>
      <c r="AF667" s="587"/>
      <c r="AG667" s="587"/>
      <c r="AH667" s="587"/>
      <c r="AI667" s="587"/>
      <c r="AJ667" s="587"/>
      <c r="AK667" s="587"/>
      <c r="AL667" s="587"/>
      <c r="AM667" s="587"/>
      <c r="AO667" s="587"/>
      <c r="AP667" s="587"/>
      <c r="AQ667" s="587"/>
      <c r="AR667" s="587"/>
      <c r="AS667" s="587"/>
      <c r="AT667" s="587"/>
      <c r="AU667" s="587"/>
      <c r="AV667" s="587"/>
      <c r="AW667" s="587"/>
    </row>
    <row r="668" spans="1:49">
      <c r="A668" s="581">
        <v>29677</v>
      </c>
      <c r="B668" s="594">
        <v>-1.9300000000000001E-2</v>
      </c>
      <c r="C668" s="577">
        <v>-9.5999999999999992E-3</v>
      </c>
      <c r="D668" s="577">
        <v>1.01E-2</v>
      </c>
      <c r="E668" s="577">
        <v>1.1566666666666668E-2</v>
      </c>
      <c r="F668" s="577">
        <v>1.1991666666666668E-2</v>
      </c>
      <c r="G668" s="577">
        <v>1.1779166666666667E-2</v>
      </c>
      <c r="H668" s="577">
        <v>1.2708333333333332E-2</v>
      </c>
      <c r="I668" s="577">
        <f t="shared" si="112"/>
        <v>-2.9400000000000003E-2</v>
      </c>
      <c r="J668" s="577">
        <f t="shared" si="105"/>
        <v>-3.1079166666666668E-2</v>
      </c>
      <c r="K668" s="577">
        <f t="shared" si="106"/>
        <v>-2.2308333333333333E-2</v>
      </c>
      <c r="L668" s="585">
        <f t="shared" si="113"/>
        <v>0.31318789705708339</v>
      </c>
      <c r="M668" s="585">
        <f t="shared" si="114"/>
        <v>0.1212</v>
      </c>
      <c r="N668" s="585">
        <f t="shared" si="107"/>
        <v>0.14135</v>
      </c>
      <c r="O668" s="586">
        <f t="shared" si="115"/>
        <v>0.19198789705708338</v>
      </c>
      <c r="P668" s="585">
        <f t="shared" si="108"/>
        <v>0.17183789705708338</v>
      </c>
      <c r="Q668" s="585">
        <f t="shared" si="109"/>
        <v>0.10510900983401039</v>
      </c>
      <c r="R668" s="585">
        <f t="shared" si="110"/>
        <v>0.15249999999999997</v>
      </c>
      <c r="S668" s="586">
        <f t="shared" si="111"/>
        <v>-4.7390990165989577E-2</v>
      </c>
      <c r="U668" s="587"/>
      <c r="V668" s="587"/>
      <c r="W668" s="587"/>
      <c r="X668" s="587"/>
      <c r="Y668" s="587"/>
      <c r="Z668" s="587"/>
      <c r="AA668" s="587"/>
      <c r="AB668" s="587"/>
      <c r="AC668" s="587"/>
      <c r="AE668" s="587"/>
      <c r="AF668" s="587"/>
      <c r="AG668" s="587"/>
      <c r="AH668" s="587"/>
      <c r="AI668" s="587"/>
      <c r="AJ668" s="587"/>
      <c r="AK668" s="587"/>
      <c r="AL668" s="587"/>
      <c r="AM668" s="587"/>
      <c r="AO668" s="587"/>
      <c r="AP668" s="587"/>
      <c r="AQ668" s="587"/>
      <c r="AR668" s="587"/>
      <c r="AS668" s="587"/>
      <c r="AT668" s="587"/>
      <c r="AU668" s="587"/>
      <c r="AV668" s="587"/>
      <c r="AW668" s="587"/>
    </row>
    <row r="669" spans="1:49">
      <c r="A669" s="581">
        <v>29707</v>
      </c>
      <c r="B669" s="594">
        <v>2.5999999999999999E-3</v>
      </c>
      <c r="C669" s="577">
        <v>2.9100000000000001E-2</v>
      </c>
      <c r="D669" s="577">
        <v>1.04E-2</v>
      </c>
      <c r="E669" s="577">
        <v>1.1933333333333334E-2</v>
      </c>
      <c r="F669" s="577">
        <v>1.24E-2</v>
      </c>
      <c r="G669" s="577">
        <v>1.2166666666666668E-2</v>
      </c>
      <c r="H669" s="577">
        <v>1.3429999999999999E-2</v>
      </c>
      <c r="I669" s="577">
        <f t="shared" si="112"/>
        <v>-7.7999999999999996E-3</v>
      </c>
      <c r="J669" s="577">
        <f t="shared" ref="J669:J732" si="116">B669-G669</f>
        <v>-9.5666666666666678E-3</v>
      </c>
      <c r="K669" s="577">
        <f t="shared" ref="K669:K732" si="117">$C669-H669</f>
        <v>1.5670000000000003E-2</v>
      </c>
      <c r="L669" s="585">
        <f t="shared" si="113"/>
        <v>0.25211810327097628</v>
      </c>
      <c r="M669" s="585">
        <f t="shared" si="114"/>
        <v>0.12479999999999999</v>
      </c>
      <c r="N669" s="585">
        <f t="shared" si="107"/>
        <v>0.14600000000000002</v>
      </c>
      <c r="O669" s="586">
        <f t="shared" si="115"/>
        <v>0.12731810327097628</v>
      </c>
      <c r="P669" s="585">
        <f t="shared" si="108"/>
        <v>0.10611810327097626</v>
      </c>
      <c r="Q669" s="585">
        <f t="shared" si="109"/>
        <v>0.10168331107253747</v>
      </c>
      <c r="R669" s="585">
        <f t="shared" si="110"/>
        <v>0.16116</v>
      </c>
      <c r="S669" s="586">
        <f t="shared" si="111"/>
        <v>-5.9476688927462523E-2</v>
      </c>
      <c r="U669" s="587"/>
      <c r="V669" s="587"/>
      <c r="W669" s="587"/>
      <c r="X669" s="587"/>
      <c r="Y669" s="587"/>
      <c r="Z669" s="587"/>
      <c r="AA669" s="587"/>
      <c r="AB669" s="587"/>
      <c r="AC669" s="587"/>
      <c r="AE669" s="587"/>
      <c r="AF669" s="587"/>
      <c r="AG669" s="587"/>
      <c r="AH669" s="587"/>
      <c r="AI669" s="587"/>
      <c r="AJ669" s="587"/>
      <c r="AK669" s="587"/>
      <c r="AL669" s="587"/>
      <c r="AM669" s="587"/>
      <c r="AO669" s="587"/>
      <c r="AP669" s="587"/>
      <c r="AQ669" s="587"/>
      <c r="AR669" s="587"/>
      <c r="AS669" s="587"/>
      <c r="AT669" s="587"/>
      <c r="AU669" s="587"/>
      <c r="AV669" s="587"/>
      <c r="AW669" s="587"/>
    </row>
    <row r="670" spans="1:49">
      <c r="A670" s="581">
        <v>29738</v>
      </c>
      <c r="B670" s="594">
        <v>-6.3E-3</v>
      </c>
      <c r="C670" s="577">
        <v>2.7200000000000002E-2</v>
      </c>
      <c r="D670" s="577">
        <v>1.09E-2</v>
      </c>
      <c r="E670" s="577">
        <v>1.1458333333333333E-2</v>
      </c>
      <c r="F670" s="577">
        <v>1.2008333333333334E-2</v>
      </c>
      <c r="G670" s="577">
        <v>1.1733333333333333E-2</v>
      </c>
      <c r="H670" s="577">
        <v>1.3160416666666667E-2</v>
      </c>
      <c r="I670" s="577">
        <f t="shared" si="112"/>
        <v>-1.72E-2</v>
      </c>
      <c r="J670" s="577">
        <f t="shared" si="116"/>
        <v>-1.8033333333333332E-2</v>
      </c>
      <c r="K670" s="577">
        <f t="shared" si="117"/>
        <v>1.4039583333333334E-2</v>
      </c>
      <c r="L670" s="585">
        <f t="shared" si="113"/>
        <v>0.20611647849977599</v>
      </c>
      <c r="M670" s="585">
        <f t="shared" si="114"/>
        <v>0.1308</v>
      </c>
      <c r="N670" s="585">
        <f t="shared" si="107"/>
        <v>0.14080000000000001</v>
      </c>
      <c r="O670" s="586">
        <f t="shared" si="115"/>
        <v>7.5316478499775991E-2</v>
      </c>
      <c r="P670" s="585">
        <f t="shared" si="108"/>
        <v>6.5316478499775982E-2</v>
      </c>
      <c r="Q670" s="585">
        <f t="shared" si="109"/>
        <v>9.4755825804111904E-2</v>
      </c>
      <c r="R670" s="585">
        <f t="shared" si="110"/>
        <v>0.15792500000000001</v>
      </c>
      <c r="S670" s="586">
        <f t="shared" si="111"/>
        <v>-6.3169174195888106E-2</v>
      </c>
      <c r="U670" s="587"/>
      <c r="V670" s="587"/>
      <c r="W670" s="587"/>
      <c r="X670" s="587"/>
      <c r="Y670" s="587"/>
      <c r="Z670" s="587"/>
      <c r="AA670" s="587"/>
      <c r="AB670" s="587"/>
      <c r="AC670" s="587"/>
      <c r="AE670" s="587"/>
      <c r="AF670" s="587"/>
      <c r="AG670" s="587"/>
      <c r="AH670" s="587"/>
      <c r="AI670" s="587"/>
      <c r="AJ670" s="587"/>
      <c r="AK670" s="587"/>
      <c r="AL670" s="587"/>
      <c r="AM670" s="587"/>
      <c r="AO670" s="587"/>
      <c r="AP670" s="587"/>
      <c r="AQ670" s="587"/>
      <c r="AR670" s="587"/>
      <c r="AS670" s="587"/>
      <c r="AT670" s="587"/>
      <c r="AU670" s="587"/>
      <c r="AV670" s="587"/>
      <c r="AW670" s="587"/>
    </row>
    <row r="671" spans="1:49">
      <c r="A671" s="581">
        <v>29768</v>
      </c>
      <c r="B671" s="594">
        <v>2.0999999999999999E-3</v>
      </c>
      <c r="C671" s="577">
        <v>3.4099999999999998E-2</v>
      </c>
      <c r="D671" s="577">
        <v>1.09E-2</v>
      </c>
      <c r="E671" s="577">
        <v>1.1983333333333335E-2</v>
      </c>
      <c r="F671" s="577">
        <v>1.2324999999999999E-2</v>
      </c>
      <c r="G671" s="577">
        <v>1.2154166666666666E-2</v>
      </c>
      <c r="H671" s="577">
        <v>1.3393333333333333E-2</v>
      </c>
      <c r="I671" s="577">
        <f t="shared" si="112"/>
        <v>-8.8000000000000005E-3</v>
      </c>
      <c r="J671" s="577">
        <f t="shared" si="116"/>
        <v>-1.0054166666666666E-2</v>
      </c>
      <c r="K671" s="577">
        <f t="shared" si="117"/>
        <v>2.0706666666666665E-2</v>
      </c>
      <c r="L671" s="585">
        <f t="shared" si="113"/>
        <v>0.13000123700881239</v>
      </c>
      <c r="M671" s="585">
        <f t="shared" si="114"/>
        <v>0.1308</v>
      </c>
      <c r="N671" s="585">
        <f t="shared" si="107"/>
        <v>0.14584999999999998</v>
      </c>
      <c r="O671" s="586">
        <f t="shared" si="115"/>
        <v>-7.9876299118761263E-4</v>
      </c>
      <c r="P671" s="585">
        <f t="shared" si="108"/>
        <v>-1.5848762991187593E-2</v>
      </c>
      <c r="Q671" s="585">
        <f t="shared" si="109"/>
        <v>0.13674766489008139</v>
      </c>
      <c r="R671" s="585">
        <f t="shared" si="110"/>
        <v>0.16072</v>
      </c>
      <c r="S671" s="586">
        <f t="shared" si="111"/>
        <v>-2.3972335109918613E-2</v>
      </c>
      <c r="U671" s="587"/>
      <c r="V671" s="587"/>
      <c r="W671" s="587"/>
      <c r="X671" s="587"/>
      <c r="Y671" s="587"/>
      <c r="Z671" s="587"/>
      <c r="AA671" s="587"/>
      <c r="AB671" s="587"/>
      <c r="AC671" s="587"/>
      <c r="AE671" s="587"/>
      <c r="AF671" s="587"/>
      <c r="AG671" s="587"/>
      <c r="AH671" s="587"/>
      <c r="AI671" s="587"/>
      <c r="AJ671" s="587"/>
      <c r="AK671" s="587"/>
      <c r="AL671" s="587"/>
      <c r="AM671" s="587"/>
      <c r="AO671" s="587"/>
      <c r="AP671" s="587"/>
      <c r="AQ671" s="587"/>
      <c r="AR671" s="587"/>
      <c r="AS671" s="587"/>
      <c r="AT671" s="587"/>
      <c r="AU671" s="587"/>
      <c r="AV671" s="587"/>
      <c r="AW671" s="587"/>
    </row>
    <row r="672" spans="1:49">
      <c r="A672" s="581">
        <v>29799</v>
      </c>
      <c r="B672" s="594">
        <v>-5.7700000000000001E-2</v>
      </c>
      <c r="C672" s="577">
        <v>-2.3999999999999994E-3</v>
      </c>
      <c r="D672" s="577">
        <v>1.0999999999999999E-2</v>
      </c>
      <c r="E672" s="577">
        <v>1.2408333333333334E-2</v>
      </c>
      <c r="F672" s="577">
        <v>1.2849999999999999E-2</v>
      </c>
      <c r="G672" s="577">
        <v>1.2629166666666667E-2</v>
      </c>
      <c r="H672" s="577">
        <v>1.3706250000000001E-2</v>
      </c>
      <c r="I672" s="577">
        <f t="shared" si="112"/>
        <v>-6.8699999999999997E-2</v>
      </c>
      <c r="J672" s="577">
        <f t="shared" si="116"/>
        <v>-7.0329166666666665E-2</v>
      </c>
      <c r="K672" s="577">
        <f t="shared" si="117"/>
        <v>-1.6106250000000003E-2</v>
      </c>
      <c r="L672" s="585">
        <f t="shared" si="113"/>
        <v>5.4153218130288172E-2</v>
      </c>
      <c r="M672" s="585">
        <f t="shared" si="114"/>
        <v>0.13200000000000001</v>
      </c>
      <c r="N672" s="585">
        <f t="shared" si="107"/>
        <v>0.15155000000000002</v>
      </c>
      <c r="O672" s="586">
        <f t="shared" si="115"/>
        <v>-7.7846781869711834E-2</v>
      </c>
      <c r="P672" s="585">
        <f t="shared" si="108"/>
        <v>-9.7396781869711846E-2</v>
      </c>
      <c r="Q672" s="585">
        <f t="shared" si="109"/>
        <v>0.15000453351013587</v>
      </c>
      <c r="R672" s="585">
        <f t="shared" si="110"/>
        <v>0.16447500000000001</v>
      </c>
      <c r="S672" s="586">
        <f t="shared" si="111"/>
        <v>-1.4470466489864137E-2</v>
      </c>
      <c r="U672" s="587"/>
      <c r="V672" s="587"/>
      <c r="W672" s="587"/>
      <c r="X672" s="587"/>
      <c r="Y672" s="587"/>
      <c r="Z672" s="587"/>
      <c r="AA672" s="587"/>
      <c r="AB672" s="587"/>
      <c r="AC672" s="587"/>
      <c r="AE672" s="587"/>
      <c r="AF672" s="587"/>
      <c r="AG672" s="587"/>
      <c r="AH672" s="587"/>
      <c r="AI672" s="587"/>
      <c r="AJ672" s="587"/>
      <c r="AK672" s="587"/>
      <c r="AL672" s="587"/>
      <c r="AM672" s="587"/>
      <c r="AO672" s="587"/>
      <c r="AP672" s="587"/>
      <c r="AQ672" s="587"/>
      <c r="AR672" s="587"/>
      <c r="AS672" s="587"/>
      <c r="AT672" s="587"/>
      <c r="AU672" s="587"/>
      <c r="AV672" s="587"/>
      <c r="AW672" s="587"/>
    </row>
    <row r="673" spans="1:49">
      <c r="A673" s="581">
        <v>29830</v>
      </c>
      <c r="B673" s="594">
        <v>-4.9299999999999997E-2</v>
      </c>
      <c r="C673" s="577">
        <v>-4.0899999999999999E-2</v>
      </c>
      <c r="D673" s="577">
        <v>1.14E-2</v>
      </c>
      <c r="E673" s="577">
        <v>1.2908333333333332E-2</v>
      </c>
      <c r="F673" s="577">
        <v>1.3291666666666667E-2</v>
      </c>
      <c r="G673" s="577">
        <v>1.3100000000000001E-2</v>
      </c>
      <c r="H673" s="577">
        <v>1.4191666666666667E-2</v>
      </c>
      <c r="I673" s="577">
        <f t="shared" si="112"/>
        <v>-6.0699999999999997E-2</v>
      </c>
      <c r="J673" s="577">
        <f t="shared" si="116"/>
        <v>-6.2399999999999997E-2</v>
      </c>
      <c r="K673" s="577">
        <f t="shared" si="117"/>
        <v>-5.5091666666666664E-2</v>
      </c>
      <c r="L673" s="585">
        <f t="shared" si="113"/>
        <v>-2.6439222385404415E-2</v>
      </c>
      <c r="M673" s="585">
        <f t="shared" si="114"/>
        <v>0.1368</v>
      </c>
      <c r="N673" s="585">
        <f t="shared" si="107"/>
        <v>0.15720000000000001</v>
      </c>
      <c r="O673" s="586">
        <f t="shared" si="115"/>
        <v>-0.16323922238540442</v>
      </c>
      <c r="P673" s="585">
        <f t="shared" si="108"/>
        <v>-0.18363922238540442</v>
      </c>
      <c r="Q673" s="585">
        <f t="shared" si="109"/>
        <v>0.11568819349541881</v>
      </c>
      <c r="R673" s="585">
        <f t="shared" si="110"/>
        <v>0.17030000000000001</v>
      </c>
      <c r="S673" s="586">
        <f t="shared" si="111"/>
        <v>-5.4611806504581195E-2</v>
      </c>
      <c r="U673" s="587"/>
      <c r="V673" s="587"/>
      <c r="W673" s="587"/>
      <c r="X673" s="587"/>
      <c r="Y673" s="587"/>
      <c r="Z673" s="587"/>
      <c r="AA673" s="587"/>
      <c r="AB673" s="587"/>
      <c r="AC673" s="587"/>
      <c r="AE673" s="587"/>
      <c r="AF673" s="587"/>
      <c r="AG673" s="587"/>
      <c r="AH673" s="587"/>
      <c r="AI673" s="587"/>
      <c r="AJ673" s="587"/>
      <c r="AK673" s="587"/>
      <c r="AL673" s="587"/>
      <c r="AM673" s="587"/>
      <c r="AO673" s="587"/>
      <c r="AP673" s="587"/>
      <c r="AQ673" s="587"/>
      <c r="AR673" s="587"/>
      <c r="AS673" s="587"/>
      <c r="AT673" s="587"/>
      <c r="AU673" s="587"/>
      <c r="AV673" s="587"/>
      <c r="AW673" s="587"/>
    </row>
    <row r="674" spans="1:49">
      <c r="A674" s="581">
        <v>29860</v>
      </c>
      <c r="B674" s="594">
        <v>5.3999999999999999E-2</v>
      </c>
      <c r="C674" s="577">
        <v>6.1699999999999998E-2</v>
      </c>
      <c r="D674" s="577">
        <v>1.1699999999999999E-2</v>
      </c>
      <c r="E674" s="577">
        <v>1.2833333333333334E-2</v>
      </c>
      <c r="F674" s="577">
        <v>1.3183333333333333E-2</v>
      </c>
      <c r="G674" s="577">
        <v>1.3008333333333334E-2</v>
      </c>
      <c r="H674" s="577">
        <v>1.4379166666666665E-2</v>
      </c>
      <c r="I674" s="577">
        <f t="shared" si="112"/>
        <v>4.2300000000000004E-2</v>
      </c>
      <c r="J674" s="577">
        <f t="shared" si="116"/>
        <v>4.0991666666666662E-2</v>
      </c>
      <c r="K674" s="577">
        <f t="shared" si="117"/>
        <v>4.7320833333333333E-2</v>
      </c>
      <c r="L674" s="585">
        <f t="shared" si="113"/>
        <v>5.8155847929657334E-3</v>
      </c>
      <c r="M674" s="585">
        <f t="shared" si="114"/>
        <v>0.14039999999999997</v>
      </c>
      <c r="N674" s="585">
        <f t="shared" si="107"/>
        <v>0.15610000000000002</v>
      </c>
      <c r="O674" s="586">
        <f t="shared" si="115"/>
        <v>-0.13458441520703424</v>
      </c>
      <c r="P674" s="585">
        <f t="shared" si="108"/>
        <v>-0.15028441520703428</v>
      </c>
      <c r="Q674" s="585">
        <f t="shared" si="109"/>
        <v>0.1529357164046008</v>
      </c>
      <c r="R674" s="585">
        <f t="shared" si="110"/>
        <v>0.17254999999999998</v>
      </c>
      <c r="S674" s="586">
        <f t="shared" si="111"/>
        <v>-1.9614283595399185E-2</v>
      </c>
      <c r="U674" s="587"/>
      <c r="V674" s="587"/>
      <c r="W674" s="587"/>
      <c r="X674" s="587"/>
      <c r="Y674" s="587"/>
      <c r="Z674" s="587"/>
      <c r="AA674" s="587"/>
      <c r="AB674" s="587"/>
      <c r="AC674" s="587"/>
      <c r="AE674" s="587"/>
      <c r="AF674" s="587"/>
      <c r="AG674" s="587"/>
      <c r="AH674" s="587"/>
      <c r="AI674" s="587"/>
      <c r="AJ674" s="587"/>
      <c r="AK674" s="587"/>
      <c r="AL674" s="587"/>
      <c r="AM674" s="587"/>
      <c r="AO674" s="587"/>
      <c r="AP674" s="587"/>
      <c r="AQ674" s="587"/>
      <c r="AR674" s="587"/>
      <c r="AS674" s="587"/>
      <c r="AT674" s="587"/>
      <c r="AU674" s="587"/>
      <c r="AV674" s="587"/>
      <c r="AW674" s="587"/>
    </row>
    <row r="675" spans="1:49">
      <c r="A675" s="581">
        <v>29891</v>
      </c>
      <c r="B675" s="594">
        <v>4.1300000000000003E-2</v>
      </c>
      <c r="C675" s="577">
        <v>4.8100000000000004E-2</v>
      </c>
      <c r="D675" s="577">
        <v>1.1299999999999999E-2</v>
      </c>
      <c r="E675" s="577">
        <v>1.1850000000000001E-2</v>
      </c>
      <c r="F675" s="577">
        <v>1.2475E-2</v>
      </c>
      <c r="G675" s="577">
        <v>1.21625E-2</v>
      </c>
      <c r="H675" s="577">
        <v>1.3679166666666666E-2</v>
      </c>
      <c r="I675" s="577">
        <f t="shared" si="112"/>
        <v>3.0000000000000006E-2</v>
      </c>
      <c r="J675" s="577">
        <f t="shared" si="116"/>
        <v>2.9137500000000004E-2</v>
      </c>
      <c r="K675" s="577">
        <f t="shared" si="117"/>
        <v>3.4420833333333338E-2</v>
      </c>
      <c r="L675" s="585">
        <f t="shared" si="113"/>
        <v>-5.3451632675178051E-2</v>
      </c>
      <c r="M675" s="585">
        <f t="shared" si="114"/>
        <v>0.1356</v>
      </c>
      <c r="N675" s="585">
        <f t="shared" si="107"/>
        <v>0.14595</v>
      </c>
      <c r="O675" s="586">
        <f t="shared" si="115"/>
        <v>-0.18905163267517805</v>
      </c>
      <c r="P675" s="585">
        <f t="shared" si="108"/>
        <v>-0.19940163267517805</v>
      </c>
      <c r="Q675" s="585">
        <f t="shared" si="109"/>
        <v>0.15073985750277274</v>
      </c>
      <c r="R675" s="585">
        <f t="shared" si="110"/>
        <v>0.16414999999999999</v>
      </c>
      <c r="S675" s="586">
        <f t="shared" si="111"/>
        <v>-1.3410142497227245E-2</v>
      </c>
      <c r="U675" s="587"/>
      <c r="V675" s="587"/>
      <c r="W675" s="587"/>
      <c r="X675" s="587"/>
      <c r="Y675" s="587"/>
      <c r="Z675" s="587"/>
      <c r="AA675" s="587"/>
      <c r="AB675" s="587"/>
      <c r="AC675" s="587"/>
      <c r="AE675" s="587"/>
      <c r="AF675" s="587"/>
      <c r="AG675" s="587"/>
      <c r="AH675" s="587"/>
      <c r="AI675" s="587"/>
      <c r="AJ675" s="587"/>
      <c r="AK675" s="587"/>
      <c r="AL675" s="587"/>
      <c r="AM675" s="587"/>
      <c r="AO675" s="587"/>
      <c r="AP675" s="587"/>
      <c r="AQ675" s="587"/>
      <c r="AR675" s="587"/>
      <c r="AS675" s="587"/>
      <c r="AT675" s="587"/>
      <c r="AU675" s="587"/>
      <c r="AV675" s="587"/>
      <c r="AW675" s="587"/>
    </row>
    <row r="676" spans="1:49">
      <c r="A676" s="581">
        <v>29921</v>
      </c>
      <c r="B676" s="594">
        <v>-2.5600000000000001E-2</v>
      </c>
      <c r="C676" s="577">
        <v>-3.0499999999999999E-2</v>
      </c>
      <c r="D676" s="577">
        <v>0.01</v>
      </c>
      <c r="E676" s="577">
        <v>1.1858333333333334E-2</v>
      </c>
      <c r="F676" s="577">
        <v>1.2500000000000001E-2</v>
      </c>
      <c r="G676" s="577">
        <v>1.2179166666666665E-2</v>
      </c>
      <c r="H676" s="577">
        <v>1.3468333333333334E-2</v>
      </c>
      <c r="I676" s="577">
        <f t="shared" si="112"/>
        <v>-3.56E-2</v>
      </c>
      <c r="J676" s="577">
        <f t="shared" si="116"/>
        <v>-3.7779166666666669E-2</v>
      </c>
      <c r="K676" s="577">
        <f t="shared" si="117"/>
        <v>-4.3968333333333331E-2</v>
      </c>
      <c r="L676" s="585">
        <f t="shared" si="113"/>
        <v>-4.8961920889558197E-2</v>
      </c>
      <c r="M676" s="585">
        <f t="shared" si="114"/>
        <v>0.12</v>
      </c>
      <c r="N676" s="585">
        <f t="shared" si="107"/>
        <v>0.14614999999999997</v>
      </c>
      <c r="O676" s="586">
        <f t="shared" si="115"/>
        <v>-0.16896192088955819</v>
      </c>
      <c r="P676" s="585">
        <f t="shared" si="108"/>
        <v>-0.19511192088955817</v>
      </c>
      <c r="Q676" s="585">
        <f t="shared" si="109"/>
        <v>0.11720638078203316</v>
      </c>
      <c r="R676" s="585">
        <f t="shared" si="110"/>
        <v>0.16162000000000001</v>
      </c>
      <c r="S676" s="586">
        <f t="shared" si="111"/>
        <v>-4.4413619217966854E-2</v>
      </c>
      <c r="U676" s="587"/>
      <c r="V676" s="587"/>
      <c r="W676" s="587"/>
      <c r="X676" s="587"/>
      <c r="Y676" s="587"/>
      <c r="Z676" s="587"/>
      <c r="AA676" s="587"/>
      <c r="AB676" s="587"/>
      <c r="AC676" s="587"/>
      <c r="AE676" s="587"/>
      <c r="AF676" s="587"/>
      <c r="AG676" s="587"/>
      <c r="AH676" s="587"/>
      <c r="AI676" s="587"/>
      <c r="AJ676" s="587"/>
      <c r="AK676" s="587"/>
      <c r="AL676" s="587"/>
      <c r="AM676" s="587"/>
      <c r="AO676" s="587"/>
      <c r="AP676" s="587"/>
      <c r="AQ676" s="587"/>
      <c r="AR676" s="587"/>
      <c r="AS676" s="587"/>
      <c r="AT676" s="587"/>
      <c r="AU676" s="587"/>
      <c r="AV676" s="587"/>
      <c r="AW676" s="587"/>
    </row>
    <row r="677" spans="1:49">
      <c r="A677" s="581">
        <v>29952</v>
      </c>
      <c r="B677" s="594">
        <v>-1.3100000000000001E-2</v>
      </c>
      <c r="C677" s="577">
        <v>3.7000000000000002E-3</v>
      </c>
      <c r="D677" s="577">
        <v>1.0800000000000001E-2</v>
      </c>
      <c r="E677" s="577">
        <v>1.265E-2</v>
      </c>
      <c r="F677" s="577">
        <v>1.3125E-2</v>
      </c>
      <c r="G677" s="577">
        <v>1.2887499999999998E-2</v>
      </c>
      <c r="H677" s="577">
        <v>1.4000000000000002E-2</v>
      </c>
      <c r="I677" s="577">
        <f t="shared" si="112"/>
        <v>-2.3900000000000001E-2</v>
      </c>
      <c r="J677" s="577">
        <f t="shared" si="116"/>
        <v>-2.5987499999999997E-2</v>
      </c>
      <c r="K677" s="577">
        <f t="shared" si="117"/>
        <v>-1.0300000000000002E-2</v>
      </c>
      <c r="L677" s="585">
        <f t="shared" si="113"/>
        <v>-2.0476434696206747E-2</v>
      </c>
      <c r="M677" s="585">
        <f t="shared" si="114"/>
        <v>0.12959999999999999</v>
      </c>
      <c r="N677" s="585">
        <f t="shared" si="107"/>
        <v>0.15464999999999998</v>
      </c>
      <c r="O677" s="586">
        <f t="shared" si="115"/>
        <v>-0.15007643469620674</v>
      </c>
      <c r="P677" s="585">
        <f t="shared" si="108"/>
        <v>-0.17512643469620673</v>
      </c>
      <c r="Q677" s="585">
        <f t="shared" si="109"/>
        <v>0.14259226043501805</v>
      </c>
      <c r="R677" s="585">
        <f t="shared" si="110"/>
        <v>0.16800000000000004</v>
      </c>
      <c r="S677" s="586">
        <f t="shared" si="111"/>
        <v>-2.540773956498199E-2</v>
      </c>
      <c r="U677" s="587"/>
      <c r="V677" s="587"/>
      <c r="W677" s="587"/>
      <c r="X677" s="587"/>
      <c r="Y677" s="587"/>
      <c r="Z677" s="587"/>
      <c r="AA677" s="587"/>
      <c r="AB677" s="587"/>
      <c r="AC677" s="587"/>
      <c r="AE677" s="587"/>
      <c r="AF677" s="587"/>
      <c r="AG677" s="587"/>
      <c r="AH677" s="587"/>
      <c r="AI677" s="587"/>
      <c r="AJ677" s="587"/>
      <c r="AK677" s="587"/>
      <c r="AL677" s="587"/>
      <c r="AM677" s="587"/>
      <c r="AO677" s="587"/>
      <c r="AP677" s="587"/>
      <c r="AQ677" s="587"/>
      <c r="AR677" s="587"/>
      <c r="AS677" s="587"/>
      <c r="AT677" s="587"/>
      <c r="AU677" s="587"/>
      <c r="AV677" s="587"/>
      <c r="AW677" s="587"/>
    </row>
    <row r="678" spans="1:49">
      <c r="A678" s="581">
        <v>29983</v>
      </c>
      <c r="B678" s="594">
        <v>-5.5899999999999998E-2</v>
      </c>
      <c r="C678" s="577">
        <v>-3.4999999999999996E-3</v>
      </c>
      <c r="D678" s="577">
        <v>1.03E-2</v>
      </c>
      <c r="E678" s="577">
        <v>1.2725E-2</v>
      </c>
      <c r="F678" s="577">
        <v>1.3100000000000001E-2</v>
      </c>
      <c r="G678" s="577">
        <v>1.29125E-2</v>
      </c>
      <c r="H678" s="577">
        <v>1.4095833333333332E-2</v>
      </c>
      <c r="I678" s="577">
        <f t="shared" si="112"/>
        <v>-6.6199999999999995E-2</v>
      </c>
      <c r="J678" s="577">
        <f t="shared" si="116"/>
        <v>-6.8812499999999999E-2</v>
      </c>
      <c r="K678" s="577">
        <f t="shared" si="117"/>
        <v>-1.7595833333333331E-2</v>
      </c>
      <c r="L678" s="585">
        <f t="shared" si="113"/>
        <v>-9.1047574205512904E-2</v>
      </c>
      <c r="M678" s="585">
        <f t="shared" si="114"/>
        <v>0.1236</v>
      </c>
      <c r="N678" s="585">
        <f t="shared" si="107"/>
        <v>0.15495</v>
      </c>
      <c r="O678" s="586">
        <f t="shared" si="115"/>
        <v>-0.21464757420551289</v>
      </c>
      <c r="P678" s="585">
        <f t="shared" si="108"/>
        <v>-0.24599757420551291</v>
      </c>
      <c r="Q678" s="585">
        <f t="shared" si="109"/>
        <v>0.16468206579735578</v>
      </c>
      <c r="R678" s="585">
        <f t="shared" si="110"/>
        <v>0.16914999999999997</v>
      </c>
      <c r="S678" s="586">
        <f t="shared" si="111"/>
        <v>-4.4679342026441859E-3</v>
      </c>
      <c r="U678" s="587"/>
      <c r="V678" s="587"/>
      <c r="W678" s="587"/>
      <c r="X678" s="587"/>
      <c r="Y678" s="587"/>
      <c r="Z678" s="587"/>
      <c r="AA678" s="587"/>
      <c r="AB678" s="587"/>
      <c r="AC678" s="587"/>
      <c r="AE678" s="587"/>
      <c r="AF678" s="587"/>
      <c r="AG678" s="587"/>
      <c r="AH678" s="587"/>
      <c r="AI678" s="587"/>
      <c r="AJ678" s="587"/>
      <c r="AK678" s="587"/>
      <c r="AL678" s="587"/>
      <c r="AM678" s="587"/>
      <c r="AO678" s="587"/>
      <c r="AP678" s="587"/>
      <c r="AQ678" s="587"/>
      <c r="AR678" s="587"/>
      <c r="AS678" s="587"/>
      <c r="AT678" s="587"/>
      <c r="AU678" s="587"/>
      <c r="AV678" s="587"/>
      <c r="AW678" s="587"/>
    </row>
    <row r="679" spans="1:49">
      <c r="A679" s="581">
        <v>30011</v>
      </c>
      <c r="B679" s="594">
        <v>-5.1999999999999998E-3</v>
      </c>
      <c r="C679" s="577">
        <v>1.6800000000000002E-2</v>
      </c>
      <c r="D679" s="577">
        <v>1.24E-2</v>
      </c>
      <c r="E679" s="577">
        <v>1.2150000000000001E-2</v>
      </c>
      <c r="F679" s="577">
        <v>1.2675000000000001E-2</v>
      </c>
      <c r="G679" s="577">
        <v>1.24125E-2</v>
      </c>
      <c r="H679" s="577">
        <v>1.3739999999999999E-2</v>
      </c>
      <c r="I679" s="577">
        <f t="shared" si="112"/>
        <v>-1.7599999999999998E-2</v>
      </c>
      <c r="J679" s="577">
        <f t="shared" si="116"/>
        <v>-1.76125E-2</v>
      </c>
      <c r="K679" s="577">
        <f t="shared" si="117"/>
        <v>3.0600000000000037E-3</v>
      </c>
      <c r="L679" s="585">
        <f t="shared" si="113"/>
        <v>-0.13055204501888851</v>
      </c>
      <c r="M679" s="585">
        <f t="shared" si="114"/>
        <v>0.14879999999999999</v>
      </c>
      <c r="N679" s="585">
        <f t="shared" si="107"/>
        <v>0.14895</v>
      </c>
      <c r="O679" s="586">
        <f t="shared" si="115"/>
        <v>-0.2793520450188885</v>
      </c>
      <c r="P679" s="585">
        <f t="shared" si="108"/>
        <v>-0.27950204501888853</v>
      </c>
      <c r="Q679" s="585">
        <f t="shared" si="109"/>
        <v>0.13651509069361967</v>
      </c>
      <c r="R679" s="585">
        <f t="shared" si="110"/>
        <v>0.16487999999999997</v>
      </c>
      <c r="S679" s="586">
        <f t="shared" si="111"/>
        <v>-2.8364909306380304E-2</v>
      </c>
      <c r="U679" s="587"/>
      <c r="V679" s="587"/>
      <c r="W679" s="587"/>
      <c r="X679" s="587"/>
      <c r="Y679" s="587"/>
      <c r="Z679" s="587"/>
      <c r="AA679" s="587"/>
      <c r="AB679" s="587"/>
      <c r="AC679" s="587"/>
      <c r="AE679" s="587"/>
      <c r="AF679" s="587"/>
      <c r="AG679" s="587"/>
      <c r="AH679" s="587"/>
      <c r="AI679" s="587"/>
      <c r="AJ679" s="587"/>
      <c r="AK679" s="587"/>
      <c r="AL679" s="587"/>
      <c r="AM679" s="587"/>
      <c r="AO679" s="587"/>
      <c r="AP679" s="587"/>
      <c r="AQ679" s="587"/>
      <c r="AR679" s="587"/>
      <c r="AS679" s="587"/>
      <c r="AT679" s="587"/>
      <c r="AU679" s="587"/>
      <c r="AV679" s="587"/>
      <c r="AW679" s="587"/>
    </row>
    <row r="680" spans="1:49">
      <c r="A680" s="581">
        <v>30042</v>
      </c>
      <c r="B680" s="594">
        <v>4.5199999999999997E-2</v>
      </c>
      <c r="C680" s="577">
        <v>5.4800000000000001E-2</v>
      </c>
      <c r="D680" s="577">
        <v>1.1199999999999998E-2</v>
      </c>
      <c r="E680" s="577">
        <v>1.205E-2</v>
      </c>
      <c r="F680" s="577">
        <v>1.2416666666666666E-2</v>
      </c>
      <c r="G680" s="577">
        <v>1.2233333333333334E-2</v>
      </c>
      <c r="H680" s="577">
        <v>1.3664583333333334E-2</v>
      </c>
      <c r="I680" s="577">
        <f t="shared" si="112"/>
        <v>3.4000000000000002E-2</v>
      </c>
      <c r="J680" s="577">
        <f t="shared" si="116"/>
        <v>3.2966666666666665E-2</v>
      </c>
      <c r="K680" s="577">
        <f t="shared" si="117"/>
        <v>4.1135416666666667E-2</v>
      </c>
      <c r="L680" s="585">
        <f t="shared" si="113"/>
        <v>-7.3369019530684643E-2</v>
      </c>
      <c r="M680" s="585">
        <f t="shared" si="114"/>
        <v>0.13439999999999996</v>
      </c>
      <c r="N680" s="585">
        <f t="shared" ref="N680:N743" si="118">G680*12</f>
        <v>0.14680000000000001</v>
      </c>
      <c r="O680" s="586">
        <f t="shared" si="115"/>
        <v>-0.20776901953068461</v>
      </c>
      <c r="P680" s="585">
        <f t="shared" ref="P680:P743" si="119">L680-N680</f>
        <v>-0.22016901953068466</v>
      </c>
      <c r="Q680" s="585">
        <f t="shared" ref="Q680:Q743" si="120">((1+C669)*(1+C670)*(1+C671)*(1+C672)*(1+C673)*(1+C674)*(1+C675)*(1+C676)*(1+C677)*(1+C678)*(1+C679)*(1+C680))-1</f>
        <v>0.21041611234211399</v>
      </c>
      <c r="R680" s="585">
        <f t="shared" ref="R680:R743" si="121">H680*12</f>
        <v>0.16397500000000001</v>
      </c>
      <c r="S680" s="586">
        <f t="shared" ref="S680:S743" si="122">Q680-R680</f>
        <v>4.6441112342113983E-2</v>
      </c>
      <c r="U680" s="587"/>
      <c r="V680" s="587"/>
      <c r="W680" s="587"/>
      <c r="X680" s="587"/>
      <c r="Y680" s="587"/>
      <c r="Z680" s="587"/>
      <c r="AA680" s="587"/>
      <c r="AB680" s="587"/>
      <c r="AC680" s="587"/>
      <c r="AE680" s="587"/>
      <c r="AF680" s="587"/>
      <c r="AG680" s="587"/>
      <c r="AH680" s="587"/>
      <c r="AI680" s="587"/>
      <c r="AJ680" s="587"/>
      <c r="AK680" s="587"/>
      <c r="AL680" s="587"/>
      <c r="AM680" s="587"/>
      <c r="AO680" s="587"/>
      <c r="AP680" s="587"/>
      <c r="AQ680" s="587"/>
      <c r="AR680" s="587"/>
      <c r="AS680" s="587"/>
      <c r="AT680" s="587"/>
      <c r="AU680" s="587"/>
      <c r="AV680" s="587"/>
      <c r="AW680" s="587"/>
    </row>
    <row r="681" spans="1:49">
      <c r="A681" s="581">
        <v>30072</v>
      </c>
      <c r="B681" s="594">
        <v>-3.4099999999999998E-2</v>
      </c>
      <c r="C681" s="577">
        <v>-1.8700000000000001E-2</v>
      </c>
      <c r="D681" s="577">
        <v>1.01E-2</v>
      </c>
      <c r="E681" s="577">
        <v>1.1883333333333333E-2</v>
      </c>
      <c r="F681" s="577">
        <v>1.2308333333333333E-2</v>
      </c>
      <c r="G681" s="577">
        <v>1.2095833333333332E-2</v>
      </c>
      <c r="H681" s="577">
        <v>1.3399999999999999E-2</v>
      </c>
      <c r="I681" s="577">
        <f t="shared" si="112"/>
        <v>-4.4199999999999996E-2</v>
      </c>
      <c r="J681" s="577">
        <f t="shared" si="116"/>
        <v>-4.6195833333333332E-2</v>
      </c>
      <c r="K681" s="577">
        <f t="shared" si="117"/>
        <v>-3.2100000000000004E-2</v>
      </c>
      <c r="L681" s="585">
        <f t="shared" si="113"/>
        <v>-0.10728818667932183</v>
      </c>
      <c r="M681" s="585">
        <f t="shared" si="114"/>
        <v>0.1212</v>
      </c>
      <c r="N681" s="585">
        <f t="shared" si="118"/>
        <v>0.14514999999999997</v>
      </c>
      <c r="O681" s="586">
        <f t="shared" si="115"/>
        <v>-0.22848818667932183</v>
      </c>
      <c r="P681" s="585">
        <f t="shared" si="119"/>
        <v>-0.25243818667932183</v>
      </c>
      <c r="Q681" s="585">
        <f t="shared" si="120"/>
        <v>0.15419427756419846</v>
      </c>
      <c r="R681" s="585">
        <f t="shared" si="121"/>
        <v>0.1608</v>
      </c>
      <c r="S681" s="586">
        <f t="shared" si="122"/>
        <v>-6.6057224358015421E-3</v>
      </c>
      <c r="U681" s="587"/>
      <c r="V681" s="587"/>
      <c r="W681" s="587"/>
      <c r="X681" s="587"/>
      <c r="Y681" s="587"/>
      <c r="Z681" s="587"/>
      <c r="AA681" s="587"/>
      <c r="AB681" s="587"/>
      <c r="AC681" s="587"/>
      <c r="AE681" s="587"/>
      <c r="AF681" s="587"/>
      <c r="AG681" s="587"/>
      <c r="AH681" s="587"/>
      <c r="AI681" s="587"/>
      <c r="AJ681" s="587"/>
      <c r="AK681" s="587"/>
      <c r="AL681" s="587"/>
      <c r="AM681" s="587"/>
      <c r="AO681" s="587"/>
      <c r="AP681" s="587"/>
      <c r="AQ681" s="587"/>
      <c r="AR681" s="587"/>
      <c r="AS681" s="587"/>
      <c r="AT681" s="587"/>
      <c r="AU681" s="587"/>
      <c r="AV681" s="587"/>
      <c r="AW681" s="587"/>
    </row>
    <row r="682" spans="1:49">
      <c r="A682" s="581">
        <v>30103</v>
      </c>
      <c r="B682" s="594">
        <v>-1.4999999999999999E-2</v>
      </c>
      <c r="C682" s="577">
        <v>-1.6099999999999996E-2</v>
      </c>
      <c r="D682" s="577">
        <v>1.2E-2</v>
      </c>
      <c r="E682" s="577">
        <v>1.2341666666666666E-2</v>
      </c>
      <c r="F682" s="577">
        <v>1.2716666666666668E-2</v>
      </c>
      <c r="G682" s="577">
        <v>1.2529166666666668E-2</v>
      </c>
      <c r="H682" s="577">
        <v>1.3616666666666666E-2</v>
      </c>
      <c r="I682" s="577">
        <f t="shared" si="112"/>
        <v>-2.7E-2</v>
      </c>
      <c r="J682" s="577">
        <f t="shared" si="116"/>
        <v>-2.7529166666666667E-2</v>
      </c>
      <c r="K682" s="577">
        <f t="shared" si="117"/>
        <v>-2.9716666666666662E-2</v>
      </c>
      <c r="L682" s="585">
        <f t="shared" si="113"/>
        <v>-0.11510401920009261</v>
      </c>
      <c r="M682" s="585">
        <f t="shared" si="114"/>
        <v>0.14400000000000002</v>
      </c>
      <c r="N682" s="585">
        <f t="shared" si="118"/>
        <v>0.15035000000000001</v>
      </c>
      <c r="O682" s="586">
        <f t="shared" si="115"/>
        <v>-0.25910401920009263</v>
      </c>
      <c r="P682" s="585">
        <f t="shared" si="119"/>
        <v>-0.26545401920009259</v>
      </c>
      <c r="Q682" s="585">
        <f t="shared" si="120"/>
        <v>0.10554103358198486</v>
      </c>
      <c r="R682" s="585">
        <f t="shared" si="121"/>
        <v>0.16339999999999999</v>
      </c>
      <c r="S682" s="586">
        <f t="shared" si="122"/>
        <v>-5.7858966418015134E-2</v>
      </c>
      <c r="U682" s="587"/>
      <c r="V682" s="587"/>
      <c r="W682" s="587"/>
      <c r="X682" s="587"/>
      <c r="Y682" s="587"/>
      <c r="Z682" s="587"/>
      <c r="AA682" s="587"/>
      <c r="AB682" s="587"/>
      <c r="AC682" s="587"/>
      <c r="AE682" s="587"/>
      <c r="AF682" s="587"/>
      <c r="AG682" s="587"/>
      <c r="AH682" s="587"/>
      <c r="AI682" s="587"/>
      <c r="AJ682" s="587"/>
      <c r="AK682" s="587"/>
      <c r="AL682" s="587"/>
      <c r="AM682" s="587"/>
      <c r="AO682" s="587"/>
      <c r="AP682" s="587"/>
      <c r="AQ682" s="587"/>
      <c r="AR682" s="587"/>
      <c r="AS682" s="587"/>
      <c r="AT682" s="587"/>
      <c r="AU682" s="587"/>
      <c r="AV682" s="587"/>
      <c r="AW682" s="587"/>
    </row>
    <row r="683" spans="1:49">
      <c r="A683" s="581">
        <v>30133</v>
      </c>
      <c r="B683" s="594">
        <v>-1.78E-2</v>
      </c>
      <c r="C683" s="577">
        <v>-1.9800000000000002E-2</v>
      </c>
      <c r="D683" s="577">
        <v>1.14E-2</v>
      </c>
      <c r="E683" s="577">
        <v>1.2175E-2</v>
      </c>
      <c r="F683" s="577">
        <v>1.2675000000000001E-2</v>
      </c>
      <c r="G683" s="577">
        <v>1.2425000000000002E-2</v>
      </c>
      <c r="H683" s="577">
        <v>1.3716666666666669E-2</v>
      </c>
      <c r="I683" s="577">
        <f t="shared" si="112"/>
        <v>-2.92E-2</v>
      </c>
      <c r="J683" s="577">
        <f t="shared" si="116"/>
        <v>-3.0225000000000002E-2</v>
      </c>
      <c r="K683" s="577">
        <f t="shared" si="117"/>
        <v>-3.3516666666666667E-2</v>
      </c>
      <c r="L683" s="585">
        <f t="shared" si="113"/>
        <v>-0.13267654690982034</v>
      </c>
      <c r="M683" s="585">
        <f t="shared" si="114"/>
        <v>0.1368</v>
      </c>
      <c r="N683" s="585">
        <f t="shared" si="118"/>
        <v>0.14910000000000001</v>
      </c>
      <c r="O683" s="586">
        <f t="shared" si="115"/>
        <v>-0.26947654690982037</v>
      </c>
      <c r="P683" s="585">
        <f t="shared" si="119"/>
        <v>-0.28177654690982035</v>
      </c>
      <c r="Q683" s="585">
        <f t="shared" si="120"/>
        <v>4.7917339828896122E-2</v>
      </c>
      <c r="R683" s="585">
        <f t="shared" si="121"/>
        <v>0.16460000000000002</v>
      </c>
      <c r="S683" s="586">
        <f t="shared" si="122"/>
        <v>-0.1166826601711039</v>
      </c>
      <c r="U683" s="587"/>
      <c r="V683" s="587"/>
      <c r="W683" s="587"/>
      <c r="X683" s="587"/>
      <c r="Y683" s="587"/>
      <c r="Z683" s="587"/>
      <c r="AA683" s="587"/>
      <c r="AB683" s="587"/>
      <c r="AC683" s="587"/>
      <c r="AE683" s="587"/>
      <c r="AF683" s="587"/>
      <c r="AG683" s="587"/>
      <c r="AH683" s="587"/>
      <c r="AI683" s="587"/>
      <c r="AJ683" s="587"/>
      <c r="AK683" s="587"/>
      <c r="AL683" s="587"/>
      <c r="AM683" s="587"/>
      <c r="AO683" s="587"/>
      <c r="AP683" s="587"/>
      <c r="AQ683" s="587"/>
      <c r="AR683" s="587"/>
      <c r="AS683" s="587"/>
      <c r="AT683" s="587"/>
      <c r="AU683" s="587"/>
      <c r="AV683" s="587"/>
      <c r="AW683" s="587"/>
    </row>
    <row r="684" spans="1:49">
      <c r="A684" s="581">
        <v>30164</v>
      </c>
      <c r="B684" s="594">
        <v>0.12139999999999999</v>
      </c>
      <c r="C684" s="577">
        <v>0.1211</v>
      </c>
      <c r="D684" s="577">
        <v>1.1199999999999998E-2</v>
      </c>
      <c r="E684" s="577">
        <v>1.1425000000000001E-2</v>
      </c>
      <c r="F684" s="577">
        <v>1.2066666666666668E-2</v>
      </c>
      <c r="G684" s="577">
        <v>1.1745833333333336E-2</v>
      </c>
      <c r="H684" s="577">
        <v>1.3266666666666666E-2</v>
      </c>
      <c r="I684" s="577">
        <f t="shared" si="112"/>
        <v>0.11019999999999999</v>
      </c>
      <c r="J684" s="577">
        <f t="shared" si="116"/>
        <v>0.10965416666666666</v>
      </c>
      <c r="K684" s="577">
        <f t="shared" si="117"/>
        <v>0.10783333333333334</v>
      </c>
      <c r="L684" s="585">
        <f t="shared" si="113"/>
        <v>3.2172896418685593E-2</v>
      </c>
      <c r="M684" s="585">
        <f t="shared" si="114"/>
        <v>0.13439999999999996</v>
      </c>
      <c r="N684" s="585">
        <f t="shared" si="118"/>
        <v>0.14095000000000002</v>
      </c>
      <c r="O684" s="586">
        <f t="shared" si="115"/>
        <v>-0.10222710358131437</v>
      </c>
      <c r="P684" s="585">
        <f t="shared" si="119"/>
        <v>-0.10877710358131443</v>
      </c>
      <c r="Q684" s="585">
        <f t="shared" si="120"/>
        <v>0.17764648123714455</v>
      </c>
      <c r="R684" s="585">
        <f t="shared" si="121"/>
        <v>0.15920000000000001</v>
      </c>
      <c r="S684" s="586">
        <f t="shared" si="122"/>
        <v>1.8446481237144541E-2</v>
      </c>
      <c r="U684" s="587"/>
      <c r="V684" s="587"/>
      <c r="W684" s="587"/>
      <c r="X684" s="587"/>
      <c r="Y684" s="587"/>
      <c r="Z684" s="587"/>
      <c r="AA684" s="587"/>
      <c r="AB684" s="587"/>
      <c r="AC684" s="587"/>
      <c r="AE684" s="587"/>
      <c r="AF684" s="587"/>
      <c r="AG684" s="587"/>
      <c r="AH684" s="587"/>
      <c r="AI684" s="587"/>
      <c r="AJ684" s="587"/>
      <c r="AK684" s="587"/>
      <c r="AL684" s="587"/>
      <c r="AM684" s="587"/>
      <c r="AO684" s="587"/>
      <c r="AP684" s="587"/>
      <c r="AQ684" s="587"/>
      <c r="AR684" s="587"/>
      <c r="AS684" s="587"/>
      <c r="AT684" s="587"/>
      <c r="AU684" s="587"/>
      <c r="AV684" s="587"/>
      <c r="AW684" s="587"/>
    </row>
    <row r="685" spans="1:49">
      <c r="A685" s="581">
        <v>30195</v>
      </c>
      <c r="B685" s="594">
        <v>1.2500000000000001E-2</v>
      </c>
      <c r="C685" s="577">
        <v>5.1999999999999998E-3</v>
      </c>
      <c r="D685" s="577">
        <v>0.01</v>
      </c>
      <c r="E685" s="577">
        <v>1.0783333333333334E-2</v>
      </c>
      <c r="F685" s="577">
        <v>1.1433333333333334E-2</v>
      </c>
      <c r="G685" s="577">
        <v>1.1108333333333333E-2</v>
      </c>
      <c r="H685" s="577">
        <v>1.2875000000000001E-2</v>
      </c>
      <c r="I685" s="577">
        <f t="shared" si="112"/>
        <v>2.5000000000000005E-3</v>
      </c>
      <c r="J685" s="577">
        <f t="shared" si="116"/>
        <v>1.3916666666666678E-3</v>
      </c>
      <c r="K685" s="577">
        <f t="shared" si="117"/>
        <v>-7.6750000000000013E-3</v>
      </c>
      <c r="L685" s="585">
        <f t="shared" si="113"/>
        <v>9.9269020325990276E-2</v>
      </c>
      <c r="M685" s="585">
        <f t="shared" si="114"/>
        <v>0.12</v>
      </c>
      <c r="N685" s="585">
        <f t="shared" si="118"/>
        <v>0.1333</v>
      </c>
      <c r="O685" s="586">
        <f t="shared" si="115"/>
        <v>-2.073097967400972E-2</v>
      </c>
      <c r="P685" s="585">
        <f t="shared" si="119"/>
        <v>-3.4030979674009726E-2</v>
      </c>
      <c r="Q685" s="585">
        <f t="shared" si="120"/>
        <v>0.2342511134809484</v>
      </c>
      <c r="R685" s="585">
        <f t="shared" si="121"/>
        <v>0.15450000000000003</v>
      </c>
      <c r="S685" s="586">
        <f t="shared" si="122"/>
        <v>7.9751113480948377E-2</v>
      </c>
      <c r="U685" s="587"/>
      <c r="V685" s="587"/>
      <c r="W685" s="587"/>
      <c r="X685" s="587"/>
      <c r="Y685" s="587"/>
      <c r="Z685" s="587"/>
      <c r="AA685" s="587"/>
      <c r="AB685" s="587"/>
      <c r="AC685" s="587"/>
      <c r="AE685" s="587"/>
      <c r="AF685" s="587"/>
      <c r="AG685" s="587"/>
      <c r="AH685" s="587"/>
      <c r="AI685" s="587"/>
      <c r="AJ685" s="587"/>
      <c r="AK685" s="587"/>
      <c r="AL685" s="587"/>
      <c r="AM685" s="587"/>
      <c r="AO685" s="587"/>
      <c r="AP685" s="587"/>
      <c r="AQ685" s="587"/>
      <c r="AR685" s="587"/>
      <c r="AS685" s="587"/>
      <c r="AT685" s="587"/>
      <c r="AU685" s="587"/>
      <c r="AV685" s="587"/>
      <c r="AW685" s="587"/>
    </row>
    <row r="686" spans="1:49">
      <c r="A686" s="581">
        <v>30225</v>
      </c>
      <c r="B686" s="594">
        <v>0.11509999999999999</v>
      </c>
      <c r="C686" s="577">
        <v>6.59E-2</v>
      </c>
      <c r="D686" s="577">
        <v>9.1000000000000004E-3</v>
      </c>
      <c r="E686" s="577">
        <v>1.01E-2</v>
      </c>
      <c r="F686" s="577">
        <v>1.0808333333333333E-2</v>
      </c>
      <c r="G686" s="577">
        <v>1.0454166666666667E-2</v>
      </c>
      <c r="H686" s="577">
        <v>1.2486666666666667E-2</v>
      </c>
      <c r="I686" s="577">
        <f t="shared" si="112"/>
        <v>0.106</v>
      </c>
      <c r="J686" s="577">
        <f t="shared" si="116"/>
        <v>0.10464583333333333</v>
      </c>
      <c r="K686" s="577">
        <f t="shared" si="117"/>
        <v>5.3413333333333333E-2</v>
      </c>
      <c r="L686" s="585">
        <f t="shared" si="113"/>
        <v>0.16299324911338875</v>
      </c>
      <c r="M686" s="585">
        <f t="shared" si="114"/>
        <v>0.10920000000000001</v>
      </c>
      <c r="N686" s="585">
        <f t="shared" si="118"/>
        <v>0.12545000000000001</v>
      </c>
      <c r="O686" s="586">
        <f t="shared" si="115"/>
        <v>5.3793249113388744E-2</v>
      </c>
      <c r="P686" s="585">
        <f t="shared" si="119"/>
        <v>3.7543249113388744E-2</v>
      </c>
      <c r="Q686" s="585">
        <f t="shared" si="120"/>
        <v>0.23913371183888388</v>
      </c>
      <c r="R686" s="585">
        <f t="shared" si="121"/>
        <v>0.14984</v>
      </c>
      <c r="S686" s="586">
        <f t="shared" si="122"/>
        <v>8.9293711838883877E-2</v>
      </c>
      <c r="U686" s="587"/>
      <c r="V686" s="587"/>
      <c r="W686" s="587"/>
      <c r="X686" s="587"/>
      <c r="Y686" s="587"/>
      <c r="Z686" s="587"/>
      <c r="AA686" s="587"/>
      <c r="AB686" s="587"/>
      <c r="AC686" s="587"/>
      <c r="AE686" s="587"/>
      <c r="AF686" s="587"/>
      <c r="AG686" s="587"/>
      <c r="AH686" s="587"/>
      <c r="AI686" s="587"/>
      <c r="AJ686" s="587"/>
      <c r="AK686" s="587"/>
      <c r="AL686" s="587"/>
      <c r="AM686" s="587"/>
      <c r="AO686" s="587"/>
      <c r="AP686" s="587"/>
      <c r="AQ686" s="587"/>
      <c r="AR686" s="587"/>
      <c r="AS686" s="587"/>
      <c r="AT686" s="587"/>
      <c r="AU686" s="587"/>
      <c r="AV686" s="587"/>
      <c r="AW686" s="587"/>
    </row>
    <row r="687" spans="1:49">
      <c r="A687" s="581">
        <v>30256</v>
      </c>
      <c r="B687" s="594">
        <v>4.0399999999999998E-2</v>
      </c>
      <c r="C687" s="577">
        <v>1.6999999999999993E-3</v>
      </c>
      <c r="D687" s="577">
        <v>9.4999999999999998E-3</v>
      </c>
      <c r="E687" s="577">
        <v>9.7333333333333334E-3</v>
      </c>
      <c r="F687" s="577">
        <v>1.0425E-2</v>
      </c>
      <c r="G687" s="577">
        <v>1.0079166666666665E-2</v>
      </c>
      <c r="H687" s="577">
        <v>1.2052083333333335E-2</v>
      </c>
      <c r="I687" s="577">
        <f t="shared" si="112"/>
        <v>3.0899999999999997E-2</v>
      </c>
      <c r="J687" s="577">
        <f t="shared" si="116"/>
        <v>3.0320833333333332E-2</v>
      </c>
      <c r="K687" s="577">
        <f t="shared" si="117"/>
        <v>-1.0352083333333335E-2</v>
      </c>
      <c r="L687" s="585">
        <f t="shared" si="113"/>
        <v>0.16198806912279773</v>
      </c>
      <c r="M687" s="585">
        <f t="shared" si="114"/>
        <v>0.11399999999999999</v>
      </c>
      <c r="N687" s="585">
        <f t="shared" si="118"/>
        <v>0.12094999999999997</v>
      </c>
      <c r="O687" s="586">
        <f t="shared" si="115"/>
        <v>4.7988069122797739E-2</v>
      </c>
      <c r="P687" s="585">
        <f t="shared" si="119"/>
        <v>4.1038069122797755E-2</v>
      </c>
      <c r="Q687" s="585">
        <f t="shared" si="120"/>
        <v>0.18427653768629915</v>
      </c>
      <c r="R687" s="585">
        <f t="shared" si="121"/>
        <v>0.144625</v>
      </c>
      <c r="S687" s="586">
        <f t="shared" si="122"/>
        <v>3.9651537686299143E-2</v>
      </c>
      <c r="U687" s="587"/>
      <c r="V687" s="587"/>
      <c r="W687" s="587"/>
      <c r="X687" s="587"/>
      <c r="Y687" s="587"/>
      <c r="Z687" s="587"/>
      <c r="AA687" s="587"/>
      <c r="AB687" s="587"/>
      <c r="AC687" s="587"/>
      <c r="AE687" s="587"/>
      <c r="AF687" s="587"/>
      <c r="AG687" s="587"/>
      <c r="AH687" s="587"/>
      <c r="AI687" s="587"/>
      <c r="AJ687" s="587"/>
      <c r="AK687" s="587"/>
      <c r="AL687" s="587"/>
      <c r="AM687" s="587"/>
      <c r="AO687" s="587"/>
      <c r="AP687" s="587"/>
      <c r="AQ687" s="587"/>
      <c r="AR687" s="587"/>
      <c r="AS687" s="587"/>
      <c r="AT687" s="587"/>
      <c r="AU687" s="587"/>
      <c r="AV687" s="587"/>
      <c r="AW687" s="587"/>
    </row>
    <row r="688" spans="1:49">
      <c r="A688" s="581">
        <v>30286</v>
      </c>
      <c r="B688" s="594">
        <v>1.9300000000000001E-2</v>
      </c>
      <c r="C688" s="577">
        <v>3.5999999999999997E-2</v>
      </c>
      <c r="D688" s="577">
        <v>9.2999999999999992E-3</v>
      </c>
      <c r="E688" s="577">
        <v>9.8583333333333335E-3</v>
      </c>
      <c r="F688" s="577">
        <v>1.0366666666666666E-2</v>
      </c>
      <c r="G688" s="577">
        <v>1.01125E-2</v>
      </c>
      <c r="H688" s="577">
        <v>1.2021333333333334E-2</v>
      </c>
      <c r="I688" s="577">
        <f t="shared" si="112"/>
        <v>1.0000000000000002E-2</v>
      </c>
      <c r="J688" s="577">
        <f t="shared" si="116"/>
        <v>9.1875000000000012E-3</v>
      </c>
      <c r="K688" s="577">
        <f t="shared" si="117"/>
        <v>2.3978666666666662E-2</v>
      </c>
      <c r="L688" s="585">
        <f t="shared" si="113"/>
        <v>0.21553205958217148</v>
      </c>
      <c r="M688" s="585">
        <f t="shared" si="114"/>
        <v>0.11159999999999999</v>
      </c>
      <c r="N688" s="585">
        <f t="shared" si="118"/>
        <v>0.12135</v>
      </c>
      <c r="O688" s="586">
        <f t="shared" si="115"/>
        <v>0.10393205958217148</v>
      </c>
      <c r="P688" s="585">
        <f t="shared" si="119"/>
        <v>9.4182059582171476E-2</v>
      </c>
      <c r="Q688" s="585">
        <f t="shared" si="120"/>
        <v>0.26550850236514245</v>
      </c>
      <c r="R688" s="585">
        <f t="shared" si="121"/>
        <v>0.144256</v>
      </c>
      <c r="S688" s="586">
        <f t="shared" si="122"/>
        <v>0.12125250236514246</v>
      </c>
      <c r="U688" s="587"/>
      <c r="V688" s="587"/>
      <c r="W688" s="587"/>
      <c r="X688" s="587"/>
      <c r="Y688" s="587"/>
      <c r="Z688" s="587"/>
      <c r="AA688" s="587"/>
      <c r="AB688" s="587"/>
      <c r="AC688" s="587"/>
      <c r="AE688" s="587"/>
      <c r="AF688" s="587"/>
      <c r="AG688" s="587"/>
      <c r="AH688" s="587"/>
      <c r="AI688" s="587"/>
      <c r="AJ688" s="587"/>
      <c r="AK688" s="587"/>
      <c r="AL688" s="587"/>
      <c r="AM688" s="587"/>
      <c r="AO688" s="587"/>
      <c r="AP688" s="587"/>
      <c r="AQ688" s="587"/>
      <c r="AR688" s="587"/>
      <c r="AS688" s="587"/>
      <c r="AT688" s="587"/>
      <c r="AU688" s="587"/>
      <c r="AV688" s="587"/>
      <c r="AW688" s="587"/>
    </row>
    <row r="689" spans="1:49">
      <c r="A689" s="581">
        <v>30317</v>
      </c>
      <c r="B689" s="594">
        <v>3.7199999999999997E-2</v>
      </c>
      <c r="C689" s="577">
        <v>3.7199999999999997E-2</v>
      </c>
      <c r="D689" s="577">
        <v>8.6999999999999994E-3</v>
      </c>
      <c r="E689" s="577">
        <v>9.8249999999999987E-3</v>
      </c>
      <c r="F689" s="577">
        <v>1.0291666666666666E-2</v>
      </c>
      <c r="G689" s="577">
        <v>1.0058333333333334E-2</v>
      </c>
      <c r="H689" s="577">
        <v>1.18675E-2</v>
      </c>
      <c r="I689" s="577">
        <f t="shared" si="112"/>
        <v>2.8499999999999998E-2</v>
      </c>
      <c r="J689" s="577">
        <f t="shared" si="116"/>
        <v>2.7141666666666661E-2</v>
      </c>
      <c r="K689" s="577">
        <f t="shared" si="117"/>
        <v>2.5332499999999997E-2</v>
      </c>
      <c r="L689" s="585">
        <f t="shared" si="113"/>
        <v>0.27748490444688256</v>
      </c>
      <c r="M689" s="585">
        <f t="shared" si="114"/>
        <v>0.10439999999999999</v>
      </c>
      <c r="N689" s="585">
        <f t="shared" si="118"/>
        <v>0.1207</v>
      </c>
      <c r="O689" s="586">
        <f t="shared" si="115"/>
        <v>0.17308490444688257</v>
      </c>
      <c r="P689" s="585">
        <f t="shared" si="119"/>
        <v>0.15678490444688256</v>
      </c>
      <c r="Q689" s="585">
        <f t="shared" si="120"/>
        <v>0.30774675565719423</v>
      </c>
      <c r="R689" s="585">
        <f t="shared" si="121"/>
        <v>0.14240999999999998</v>
      </c>
      <c r="S689" s="586">
        <f t="shared" si="122"/>
        <v>0.16533675565719425</v>
      </c>
      <c r="U689" s="587"/>
      <c r="V689" s="587"/>
      <c r="W689" s="587"/>
      <c r="X689" s="587"/>
      <c r="Y689" s="587"/>
      <c r="Z689" s="587"/>
      <c r="AA689" s="587"/>
      <c r="AB689" s="587"/>
      <c r="AC689" s="587"/>
      <c r="AE689" s="587"/>
      <c r="AF689" s="587"/>
      <c r="AG689" s="587"/>
      <c r="AH689" s="587"/>
      <c r="AI689" s="587"/>
      <c r="AJ689" s="587"/>
      <c r="AK689" s="587"/>
      <c r="AL689" s="587"/>
      <c r="AM689" s="587"/>
      <c r="AO689" s="587"/>
      <c r="AP689" s="587"/>
      <c r="AQ689" s="587"/>
      <c r="AR689" s="587"/>
      <c r="AS689" s="587"/>
      <c r="AT689" s="587"/>
      <c r="AU689" s="587"/>
      <c r="AV689" s="587"/>
      <c r="AW689" s="587"/>
    </row>
    <row r="690" spans="1:49">
      <c r="A690" s="581">
        <v>30348</v>
      </c>
      <c r="B690" s="594">
        <v>2.29E-2</v>
      </c>
      <c r="C690" s="577">
        <v>-4.9999999999999871E-4</v>
      </c>
      <c r="D690" s="577">
        <v>8.0999999999999996E-3</v>
      </c>
      <c r="E690" s="577">
        <v>1.0008333333333333E-2</v>
      </c>
      <c r="F690" s="577">
        <v>1.0483333333333334E-2</v>
      </c>
      <c r="G690" s="577">
        <v>1.0245833333333332E-2</v>
      </c>
      <c r="H690" s="577">
        <v>1.1898250000000001E-2</v>
      </c>
      <c r="I690" s="577">
        <f t="shared" si="112"/>
        <v>1.4800000000000001E-2</v>
      </c>
      <c r="J690" s="577">
        <f t="shared" si="116"/>
        <v>1.2654166666666668E-2</v>
      </c>
      <c r="K690" s="577">
        <f t="shared" si="117"/>
        <v>-1.239825E-2</v>
      </c>
      <c r="L690" s="585">
        <f t="shared" si="113"/>
        <v>0.38411112038842865</v>
      </c>
      <c r="M690" s="585">
        <f t="shared" si="114"/>
        <v>9.7199999999999995E-2</v>
      </c>
      <c r="N690" s="585">
        <f t="shared" si="118"/>
        <v>0.12294999999999999</v>
      </c>
      <c r="O690" s="586">
        <f t="shared" si="115"/>
        <v>0.28691112038842864</v>
      </c>
      <c r="P690" s="585">
        <f t="shared" si="119"/>
        <v>0.26116112038842865</v>
      </c>
      <c r="Q690" s="585">
        <f t="shared" si="120"/>
        <v>0.31168377549359283</v>
      </c>
      <c r="R690" s="585">
        <f t="shared" si="121"/>
        <v>0.14277900000000002</v>
      </c>
      <c r="S690" s="586">
        <f t="shared" si="122"/>
        <v>0.16890477549359281</v>
      </c>
      <c r="U690" s="587"/>
      <c r="V690" s="587"/>
      <c r="W690" s="587"/>
      <c r="X690" s="587"/>
      <c r="Y690" s="587"/>
      <c r="Z690" s="587"/>
      <c r="AA690" s="587"/>
      <c r="AB690" s="587"/>
      <c r="AC690" s="587"/>
      <c r="AE690" s="587"/>
      <c r="AF690" s="587"/>
      <c r="AG690" s="587"/>
      <c r="AH690" s="587"/>
      <c r="AI690" s="587"/>
      <c r="AJ690" s="587"/>
      <c r="AK690" s="587"/>
      <c r="AL690" s="587"/>
      <c r="AM690" s="587"/>
      <c r="AO690" s="587"/>
      <c r="AP690" s="587"/>
      <c r="AQ690" s="587"/>
      <c r="AR690" s="587"/>
      <c r="AS690" s="587"/>
      <c r="AT690" s="587"/>
      <c r="AU690" s="587"/>
      <c r="AV690" s="587"/>
      <c r="AW690" s="587"/>
    </row>
    <row r="691" spans="1:49">
      <c r="A691" s="581">
        <v>30376</v>
      </c>
      <c r="B691" s="594">
        <v>3.6900000000000002E-2</v>
      </c>
      <c r="C691" s="577">
        <v>1.7000000000000001E-3</v>
      </c>
      <c r="D691" s="577">
        <v>8.8999999999999999E-3</v>
      </c>
      <c r="E691" s="577">
        <v>9.7750000000000007E-3</v>
      </c>
      <c r="F691" s="577">
        <v>1.0266666666666667E-2</v>
      </c>
      <c r="G691" s="577">
        <v>1.0020833333333333E-2</v>
      </c>
      <c r="H691" s="577">
        <v>1.1689499999999999E-2</v>
      </c>
      <c r="I691" s="577">
        <f t="shared" si="112"/>
        <v>2.8000000000000004E-2</v>
      </c>
      <c r="J691" s="577">
        <f t="shared" si="116"/>
        <v>2.6879166666666669E-2</v>
      </c>
      <c r="K691" s="577">
        <f t="shared" si="117"/>
        <v>-9.9894999999999984E-3</v>
      </c>
      <c r="L691" s="585">
        <f t="shared" si="113"/>
        <v>0.44268679204941863</v>
      </c>
      <c r="M691" s="585">
        <f t="shared" si="114"/>
        <v>0.10680000000000001</v>
      </c>
      <c r="N691" s="585">
        <f t="shared" si="118"/>
        <v>0.12025</v>
      </c>
      <c r="O691" s="586">
        <f t="shared" si="115"/>
        <v>0.33588679204941863</v>
      </c>
      <c r="P691" s="585">
        <f t="shared" si="119"/>
        <v>0.32243679204941866</v>
      </c>
      <c r="Q691" s="585">
        <f t="shared" si="120"/>
        <v>0.29220460062149134</v>
      </c>
      <c r="R691" s="585">
        <f t="shared" si="121"/>
        <v>0.14027399999999998</v>
      </c>
      <c r="S691" s="586">
        <f t="shared" si="122"/>
        <v>0.15193060062149136</v>
      </c>
      <c r="U691" s="587"/>
      <c r="V691" s="587"/>
      <c r="W691" s="587"/>
      <c r="X691" s="587"/>
      <c r="Y691" s="587"/>
      <c r="Z691" s="587"/>
      <c r="AA691" s="587"/>
      <c r="AB691" s="587"/>
      <c r="AC691" s="587"/>
      <c r="AE691" s="587"/>
      <c r="AF691" s="587"/>
      <c r="AG691" s="587"/>
      <c r="AH691" s="587"/>
      <c r="AI691" s="587"/>
      <c r="AJ691" s="587"/>
      <c r="AK691" s="587"/>
      <c r="AL691" s="587"/>
      <c r="AM691" s="587"/>
      <c r="AO691" s="587"/>
      <c r="AP691" s="587"/>
      <c r="AQ691" s="587"/>
      <c r="AR691" s="587"/>
      <c r="AS691" s="587"/>
      <c r="AT691" s="587"/>
      <c r="AU691" s="587"/>
      <c r="AV691" s="587"/>
      <c r="AW691" s="587"/>
    </row>
    <row r="692" spans="1:49">
      <c r="A692" s="581">
        <v>30407</v>
      </c>
      <c r="B692" s="594">
        <v>7.8799999999999995E-2</v>
      </c>
      <c r="C692" s="577">
        <v>5.7099999999999998E-2</v>
      </c>
      <c r="D692" s="577">
        <v>8.5000000000000006E-3</v>
      </c>
      <c r="E692" s="577">
        <v>9.5916666666666667E-3</v>
      </c>
      <c r="F692" s="577">
        <v>1.0050000000000002E-2</v>
      </c>
      <c r="G692" s="577">
        <v>9.8208333333333342E-3</v>
      </c>
      <c r="H692" s="577">
        <v>1.1364583333333334E-2</v>
      </c>
      <c r="I692" s="577">
        <f t="shared" si="112"/>
        <v>7.0300000000000001E-2</v>
      </c>
      <c r="J692" s="577">
        <f t="shared" si="116"/>
        <v>6.8979166666666661E-2</v>
      </c>
      <c r="K692" s="577">
        <f t="shared" si="117"/>
        <v>4.5735416666666667E-2</v>
      </c>
      <c r="L692" s="585">
        <f t="shared" si="113"/>
        <v>0.48906478306822909</v>
      </c>
      <c r="M692" s="585">
        <f t="shared" si="114"/>
        <v>0.10200000000000001</v>
      </c>
      <c r="N692" s="585">
        <f t="shared" si="118"/>
        <v>0.11785000000000001</v>
      </c>
      <c r="O692" s="586">
        <f t="shared" si="115"/>
        <v>0.38706478306822911</v>
      </c>
      <c r="P692" s="585">
        <f t="shared" si="119"/>
        <v>0.37121478306822908</v>
      </c>
      <c r="Q692" s="585">
        <f t="shared" si="120"/>
        <v>0.29502226328875514</v>
      </c>
      <c r="R692" s="585">
        <f t="shared" si="121"/>
        <v>0.13637500000000002</v>
      </c>
      <c r="S692" s="586">
        <f t="shared" si="122"/>
        <v>0.15864726328875511</v>
      </c>
      <c r="U692" s="587"/>
      <c r="V692" s="587"/>
      <c r="W692" s="587"/>
      <c r="X692" s="587"/>
      <c r="Y692" s="587"/>
      <c r="Z692" s="587"/>
      <c r="AA692" s="587"/>
      <c r="AB692" s="587"/>
      <c r="AC692" s="587"/>
      <c r="AE692" s="587"/>
      <c r="AF692" s="587"/>
      <c r="AG692" s="587"/>
      <c r="AH692" s="587"/>
      <c r="AI692" s="587"/>
      <c r="AJ692" s="587"/>
      <c r="AK692" s="587"/>
      <c r="AL692" s="587"/>
      <c r="AM692" s="587"/>
      <c r="AO692" s="587"/>
      <c r="AP692" s="587"/>
      <c r="AQ692" s="587"/>
      <c r="AR692" s="587"/>
      <c r="AS692" s="587"/>
      <c r="AT692" s="587"/>
      <c r="AU692" s="587"/>
      <c r="AV692" s="587"/>
      <c r="AW692" s="587"/>
    </row>
    <row r="693" spans="1:49">
      <c r="A693" s="581">
        <v>30437</v>
      </c>
      <c r="B693" s="594">
        <v>-8.6999999999999994E-3</v>
      </c>
      <c r="C693" s="577">
        <v>1.2400000000000001E-2</v>
      </c>
      <c r="D693" s="577">
        <v>9.1000000000000004E-3</v>
      </c>
      <c r="E693" s="577">
        <v>9.5500000000000012E-3</v>
      </c>
      <c r="F693" s="577">
        <v>9.9583333333333329E-3</v>
      </c>
      <c r="G693" s="577">
        <v>9.7541666666666662E-3</v>
      </c>
      <c r="H693" s="577">
        <v>1.1242833333333334E-2</v>
      </c>
      <c r="I693" s="577">
        <f t="shared" si="112"/>
        <v>-1.78E-2</v>
      </c>
      <c r="J693" s="577">
        <f t="shared" si="116"/>
        <v>-1.8454166666666667E-2</v>
      </c>
      <c r="K693" s="577">
        <f t="shared" si="117"/>
        <v>1.1571666666666675E-3</v>
      </c>
      <c r="L693" s="585">
        <f t="shared" si="113"/>
        <v>0.52822229988149449</v>
      </c>
      <c r="M693" s="585">
        <f t="shared" si="114"/>
        <v>0.10920000000000001</v>
      </c>
      <c r="N693" s="585">
        <f t="shared" si="118"/>
        <v>0.11704999999999999</v>
      </c>
      <c r="O693" s="586">
        <f t="shared" si="115"/>
        <v>0.41902229988149448</v>
      </c>
      <c r="P693" s="585">
        <f t="shared" si="119"/>
        <v>0.41117229988149451</v>
      </c>
      <c r="Q693" s="585">
        <f t="shared" si="120"/>
        <v>0.33606495399320813</v>
      </c>
      <c r="R693" s="585">
        <f t="shared" si="121"/>
        <v>0.13491400000000001</v>
      </c>
      <c r="S693" s="586">
        <f t="shared" si="122"/>
        <v>0.20115095399320812</v>
      </c>
      <c r="U693" s="587"/>
      <c r="V693" s="587"/>
      <c r="W693" s="587"/>
      <c r="X693" s="587"/>
      <c r="Y693" s="587"/>
      <c r="Z693" s="587"/>
      <c r="AA693" s="587"/>
      <c r="AB693" s="587"/>
      <c r="AC693" s="587"/>
      <c r="AE693" s="587"/>
      <c r="AF693" s="587"/>
      <c r="AG693" s="587"/>
      <c r="AH693" s="587"/>
      <c r="AI693" s="587"/>
      <c r="AJ693" s="587"/>
      <c r="AK693" s="587"/>
      <c r="AL693" s="587"/>
      <c r="AM693" s="587"/>
      <c r="AO693" s="587"/>
      <c r="AP693" s="587"/>
      <c r="AQ693" s="587"/>
      <c r="AR693" s="587"/>
      <c r="AS693" s="587"/>
      <c r="AT693" s="587"/>
      <c r="AU693" s="587"/>
      <c r="AV693" s="587"/>
      <c r="AW693" s="587"/>
    </row>
    <row r="694" spans="1:49">
      <c r="A694" s="581">
        <v>30468</v>
      </c>
      <c r="B694" s="594">
        <v>3.8899999999999997E-2</v>
      </c>
      <c r="C694" s="577">
        <v>-1.23E-2</v>
      </c>
      <c r="D694" s="577">
        <v>8.9999999999999993E-3</v>
      </c>
      <c r="E694" s="577">
        <v>9.7833333333333331E-3</v>
      </c>
      <c r="F694" s="577">
        <v>1.0125E-2</v>
      </c>
      <c r="G694" s="577">
        <v>9.9541666666666667E-3</v>
      </c>
      <c r="H694" s="577">
        <v>1.1372750000000001E-2</v>
      </c>
      <c r="I694" s="577">
        <f t="shared" si="112"/>
        <v>2.9899999999999996E-2</v>
      </c>
      <c r="J694" s="577">
        <f t="shared" si="116"/>
        <v>2.894583333333333E-2</v>
      </c>
      <c r="K694" s="577">
        <f t="shared" si="117"/>
        <v>-2.3672749999999999E-2</v>
      </c>
      <c r="L694" s="585">
        <f t="shared" si="113"/>
        <v>0.6118478653267867</v>
      </c>
      <c r="M694" s="585">
        <f t="shared" si="114"/>
        <v>0.10799999999999998</v>
      </c>
      <c r="N694" s="585">
        <f t="shared" si="118"/>
        <v>0.11945</v>
      </c>
      <c r="O694" s="586">
        <f t="shared" si="115"/>
        <v>0.50384786532678671</v>
      </c>
      <c r="P694" s="585">
        <f t="shared" si="119"/>
        <v>0.4923978653267867</v>
      </c>
      <c r="Q694" s="585">
        <f t="shared" si="120"/>
        <v>0.3412250788282265</v>
      </c>
      <c r="R694" s="585">
        <f t="shared" si="121"/>
        <v>0.13647300000000001</v>
      </c>
      <c r="S694" s="586">
        <f t="shared" si="122"/>
        <v>0.20475207882822649</v>
      </c>
      <c r="U694" s="587"/>
      <c r="V694" s="587"/>
      <c r="W694" s="587"/>
      <c r="X694" s="587"/>
      <c r="Y694" s="587"/>
      <c r="Z694" s="587"/>
      <c r="AA694" s="587"/>
      <c r="AB694" s="587"/>
      <c r="AC694" s="587"/>
      <c r="AE694" s="587"/>
      <c r="AF694" s="587"/>
      <c r="AG694" s="587"/>
      <c r="AH694" s="587"/>
      <c r="AI694" s="587"/>
      <c r="AJ694" s="587"/>
      <c r="AK694" s="587"/>
      <c r="AL694" s="587"/>
      <c r="AM694" s="587"/>
      <c r="AO694" s="587"/>
      <c r="AP694" s="587"/>
      <c r="AQ694" s="587"/>
      <c r="AR694" s="587"/>
      <c r="AS694" s="587"/>
      <c r="AT694" s="587"/>
      <c r="AU694" s="587"/>
      <c r="AV694" s="587"/>
      <c r="AW694" s="587"/>
    </row>
    <row r="695" spans="1:49">
      <c r="A695" s="581">
        <v>30498</v>
      </c>
      <c r="B695" s="594">
        <v>-2.9499999999999998E-2</v>
      </c>
      <c r="C695" s="577">
        <v>3.39E-2</v>
      </c>
      <c r="D695" s="577">
        <v>8.8000000000000005E-3</v>
      </c>
      <c r="E695" s="577">
        <v>1.0125E-2</v>
      </c>
      <c r="F695" s="577">
        <v>1.0324999999999999E-2</v>
      </c>
      <c r="G695" s="577">
        <v>1.0225E-2</v>
      </c>
      <c r="H695" s="577">
        <v>1.1310000000000001E-2</v>
      </c>
      <c r="I695" s="577">
        <f t="shared" si="112"/>
        <v>-3.8300000000000001E-2</v>
      </c>
      <c r="J695" s="577">
        <f t="shared" si="116"/>
        <v>-3.9724999999999996E-2</v>
      </c>
      <c r="K695" s="577">
        <f t="shared" si="117"/>
        <v>2.2589999999999999E-2</v>
      </c>
      <c r="L695" s="585">
        <f t="shared" si="113"/>
        <v>0.59264747841544163</v>
      </c>
      <c r="M695" s="585">
        <f t="shared" si="114"/>
        <v>0.1056</v>
      </c>
      <c r="N695" s="585">
        <f t="shared" si="118"/>
        <v>0.1227</v>
      </c>
      <c r="O695" s="586">
        <f t="shared" si="115"/>
        <v>0.4870474784154416</v>
      </c>
      <c r="P695" s="585">
        <f t="shared" si="119"/>
        <v>0.4699474784154416</v>
      </c>
      <c r="Q695" s="585">
        <f t="shared" si="120"/>
        <v>0.4147037431141638</v>
      </c>
      <c r="R695" s="585">
        <f t="shared" si="121"/>
        <v>0.13572000000000001</v>
      </c>
      <c r="S695" s="586">
        <f t="shared" si="122"/>
        <v>0.2789837431141638</v>
      </c>
      <c r="U695" s="587"/>
      <c r="V695" s="587"/>
      <c r="W695" s="587"/>
      <c r="X695" s="587"/>
      <c r="Y695" s="587"/>
      <c r="Z695" s="587"/>
      <c r="AA695" s="587"/>
      <c r="AB695" s="587"/>
      <c r="AC695" s="587"/>
      <c r="AE695" s="587"/>
      <c r="AF695" s="587"/>
      <c r="AG695" s="587"/>
      <c r="AH695" s="587"/>
      <c r="AI695" s="587"/>
      <c r="AJ695" s="587"/>
      <c r="AK695" s="587"/>
      <c r="AL695" s="587"/>
      <c r="AM695" s="587"/>
      <c r="AO695" s="587"/>
      <c r="AP695" s="587"/>
      <c r="AQ695" s="587"/>
      <c r="AR695" s="587"/>
      <c r="AS695" s="587"/>
      <c r="AT695" s="587"/>
      <c r="AU695" s="587"/>
      <c r="AV695" s="587"/>
      <c r="AW695" s="587"/>
    </row>
    <row r="696" spans="1:49">
      <c r="A696" s="581">
        <v>30529</v>
      </c>
      <c r="B696" s="594">
        <v>1.4999999999999999E-2</v>
      </c>
      <c r="C696" s="577">
        <v>4.0000000000000001E-3</v>
      </c>
      <c r="D696" s="577">
        <v>1.03E-2</v>
      </c>
      <c r="E696" s="577">
        <v>1.0425E-2</v>
      </c>
      <c r="F696" s="577">
        <v>1.06E-2</v>
      </c>
      <c r="G696" s="577">
        <v>1.0512500000000001E-2</v>
      </c>
      <c r="H696" s="577">
        <v>1.1305833333333333E-2</v>
      </c>
      <c r="I696" s="577">
        <f t="shared" si="112"/>
        <v>4.6999999999999993E-3</v>
      </c>
      <c r="J696" s="577">
        <f t="shared" si="116"/>
        <v>4.4874999999999984E-3</v>
      </c>
      <c r="K696" s="577">
        <f t="shared" si="117"/>
        <v>-7.3058333333333326E-3</v>
      </c>
      <c r="L696" s="585">
        <f t="shared" si="113"/>
        <v>0.44153485874056764</v>
      </c>
      <c r="M696" s="585">
        <f t="shared" si="114"/>
        <v>0.1236</v>
      </c>
      <c r="N696" s="585">
        <f t="shared" si="118"/>
        <v>0.12615000000000001</v>
      </c>
      <c r="O696" s="586">
        <f t="shared" si="115"/>
        <v>0.31793485874056765</v>
      </c>
      <c r="P696" s="585">
        <f t="shared" si="119"/>
        <v>0.31538485874056765</v>
      </c>
      <c r="Q696" s="585">
        <f t="shared" si="120"/>
        <v>0.26693654275855905</v>
      </c>
      <c r="R696" s="585">
        <f t="shared" si="121"/>
        <v>0.13566999999999999</v>
      </c>
      <c r="S696" s="586">
        <f t="shared" si="122"/>
        <v>0.13126654275855906</v>
      </c>
      <c r="U696" s="587"/>
      <c r="V696" s="587"/>
      <c r="W696" s="587"/>
      <c r="X696" s="587"/>
      <c r="Y696" s="587"/>
      <c r="Z696" s="587"/>
      <c r="AA696" s="587"/>
      <c r="AB696" s="587"/>
      <c r="AC696" s="587"/>
      <c r="AE696" s="587"/>
      <c r="AF696" s="587"/>
      <c r="AG696" s="587"/>
      <c r="AH696" s="587"/>
      <c r="AI696" s="587"/>
      <c r="AJ696" s="587"/>
      <c r="AK696" s="587"/>
      <c r="AL696" s="587"/>
      <c r="AM696" s="587"/>
      <c r="AO696" s="587"/>
      <c r="AP696" s="587"/>
      <c r="AQ696" s="587"/>
      <c r="AR696" s="587"/>
      <c r="AS696" s="587"/>
      <c r="AT696" s="587"/>
      <c r="AU696" s="587"/>
      <c r="AV696" s="587"/>
      <c r="AW696" s="587"/>
    </row>
    <row r="697" spans="1:49">
      <c r="A697" s="581">
        <v>30560</v>
      </c>
      <c r="B697" s="594">
        <v>1.38E-2</v>
      </c>
      <c r="C697" s="577">
        <v>4.4500000000000005E-2</v>
      </c>
      <c r="D697" s="577">
        <v>9.5999999999999992E-3</v>
      </c>
      <c r="E697" s="577">
        <v>1.0308333333333333E-2</v>
      </c>
      <c r="F697" s="577">
        <v>1.0516666666666665E-2</v>
      </c>
      <c r="G697" s="577">
        <v>1.0412499999999998E-2</v>
      </c>
      <c r="H697" s="577">
        <v>1.1197250000000001E-2</v>
      </c>
      <c r="I697" s="577">
        <f t="shared" si="112"/>
        <v>4.2000000000000006E-3</v>
      </c>
      <c r="J697" s="577">
        <f t="shared" si="116"/>
        <v>3.3875000000000016E-3</v>
      </c>
      <c r="K697" s="577">
        <f t="shared" si="117"/>
        <v>3.3302750000000006E-2</v>
      </c>
      <c r="L697" s="585">
        <f t="shared" si="113"/>
        <v>0.44338571831228424</v>
      </c>
      <c r="M697" s="585">
        <f t="shared" si="114"/>
        <v>0.1152</v>
      </c>
      <c r="N697" s="585">
        <f t="shared" si="118"/>
        <v>0.12494999999999998</v>
      </c>
      <c r="O697" s="586">
        <f t="shared" si="115"/>
        <v>0.32818571831228427</v>
      </c>
      <c r="P697" s="585">
        <f t="shared" si="119"/>
        <v>0.31843571831228423</v>
      </c>
      <c r="Q697" s="585">
        <f t="shared" si="120"/>
        <v>0.31646957711034052</v>
      </c>
      <c r="R697" s="585">
        <f t="shared" si="121"/>
        <v>0.13436700000000001</v>
      </c>
      <c r="S697" s="586">
        <f t="shared" si="122"/>
        <v>0.1821025771103405</v>
      </c>
      <c r="U697" s="587"/>
      <c r="V697" s="587"/>
      <c r="W697" s="587"/>
      <c r="X697" s="587"/>
      <c r="Y697" s="587"/>
      <c r="Z697" s="587"/>
      <c r="AA697" s="587"/>
      <c r="AB697" s="587"/>
      <c r="AC697" s="587"/>
      <c r="AE697" s="587"/>
      <c r="AF697" s="587"/>
      <c r="AG697" s="587"/>
      <c r="AH697" s="587"/>
      <c r="AI697" s="587"/>
      <c r="AJ697" s="587"/>
      <c r="AK697" s="587"/>
      <c r="AL697" s="587"/>
      <c r="AM697" s="587"/>
      <c r="AO697" s="587"/>
      <c r="AP697" s="587"/>
      <c r="AQ697" s="587"/>
      <c r="AR697" s="587"/>
      <c r="AS697" s="587"/>
      <c r="AT697" s="587"/>
      <c r="AU697" s="587"/>
      <c r="AV697" s="587"/>
      <c r="AW697" s="587"/>
    </row>
    <row r="698" spans="1:49">
      <c r="A698" s="581">
        <v>30590</v>
      </c>
      <c r="B698" s="594">
        <v>-1.1599999999999999E-2</v>
      </c>
      <c r="C698" s="577">
        <v>5.3199999999999997E-2</v>
      </c>
      <c r="D698" s="577">
        <v>9.4999999999999998E-3</v>
      </c>
      <c r="E698" s="577">
        <v>1.0208333333333333E-2</v>
      </c>
      <c r="F698" s="577">
        <v>1.0408333333333332E-2</v>
      </c>
      <c r="G698" s="577">
        <v>1.0308333333333333E-2</v>
      </c>
      <c r="H698" s="577">
        <v>1.1043666666666667E-2</v>
      </c>
      <c r="I698" s="577">
        <f t="shared" si="112"/>
        <v>-2.1100000000000001E-2</v>
      </c>
      <c r="J698" s="577">
        <f t="shared" si="116"/>
        <v>-2.1908333333333332E-2</v>
      </c>
      <c r="K698" s="577">
        <f t="shared" si="117"/>
        <v>4.215633333333333E-2</v>
      </c>
      <c r="L698" s="585">
        <f t="shared" si="113"/>
        <v>0.27938520668985878</v>
      </c>
      <c r="M698" s="585">
        <f t="shared" si="114"/>
        <v>0.11399999999999999</v>
      </c>
      <c r="N698" s="585">
        <f t="shared" si="118"/>
        <v>0.12369999999999999</v>
      </c>
      <c r="O698" s="586">
        <f t="shared" si="115"/>
        <v>0.16538520668985879</v>
      </c>
      <c r="P698" s="585">
        <f t="shared" si="119"/>
        <v>0.1556852066898588</v>
      </c>
      <c r="Q698" s="585">
        <f t="shared" si="120"/>
        <v>0.3007840872620422</v>
      </c>
      <c r="R698" s="585">
        <f t="shared" si="121"/>
        <v>0.132524</v>
      </c>
      <c r="S698" s="586">
        <f t="shared" si="122"/>
        <v>0.1682600872620422</v>
      </c>
      <c r="U698" s="587"/>
      <c r="V698" s="587"/>
      <c r="W698" s="587"/>
      <c r="X698" s="587"/>
      <c r="Y698" s="587"/>
      <c r="Z698" s="587"/>
      <c r="AA698" s="587"/>
      <c r="AB698" s="587"/>
      <c r="AC698" s="587"/>
      <c r="AE698" s="587"/>
      <c r="AF698" s="587"/>
      <c r="AG698" s="587"/>
      <c r="AH698" s="587"/>
      <c r="AI698" s="587"/>
      <c r="AJ698" s="587"/>
      <c r="AK698" s="587"/>
      <c r="AL698" s="587"/>
      <c r="AM698" s="587"/>
      <c r="AO698" s="587"/>
      <c r="AP698" s="587"/>
      <c r="AQ698" s="587"/>
      <c r="AR698" s="587"/>
      <c r="AS698" s="587"/>
      <c r="AT698" s="587"/>
      <c r="AU698" s="587"/>
      <c r="AV698" s="587"/>
      <c r="AW698" s="587"/>
    </row>
    <row r="699" spans="1:49">
      <c r="A699" s="581">
        <v>30621</v>
      </c>
      <c r="B699" s="594">
        <v>2.1100000000000001E-2</v>
      </c>
      <c r="C699" s="577">
        <v>-2.0400000000000001E-2</v>
      </c>
      <c r="D699" s="577">
        <v>9.4000000000000004E-3</v>
      </c>
      <c r="E699" s="577">
        <v>1.0341666666666667E-2</v>
      </c>
      <c r="F699" s="577">
        <v>1.0508333333333333E-2</v>
      </c>
      <c r="G699" s="577">
        <v>1.0425E-2</v>
      </c>
      <c r="H699" s="577">
        <v>1.1152749999999999E-2</v>
      </c>
      <c r="I699" s="577">
        <f t="shared" si="112"/>
        <v>1.17E-2</v>
      </c>
      <c r="J699" s="577">
        <f t="shared" si="116"/>
        <v>1.0675E-2</v>
      </c>
      <c r="K699" s="577">
        <f t="shared" si="117"/>
        <v>-3.1552750000000004E-2</v>
      </c>
      <c r="L699" s="585">
        <f t="shared" si="113"/>
        <v>0.25565189787679232</v>
      </c>
      <c r="M699" s="585">
        <f t="shared" si="114"/>
        <v>0.11280000000000001</v>
      </c>
      <c r="N699" s="585">
        <f t="shared" si="118"/>
        <v>0.12509999999999999</v>
      </c>
      <c r="O699" s="586">
        <f t="shared" si="115"/>
        <v>0.14285189787679231</v>
      </c>
      <c r="P699" s="585">
        <f t="shared" si="119"/>
        <v>0.13055189787679233</v>
      </c>
      <c r="Q699" s="585">
        <f t="shared" si="120"/>
        <v>0.27208554645292704</v>
      </c>
      <c r="R699" s="585">
        <f t="shared" si="121"/>
        <v>0.13383299999999998</v>
      </c>
      <c r="S699" s="586">
        <f t="shared" si="122"/>
        <v>0.13825254645292706</v>
      </c>
      <c r="U699" s="587"/>
      <c r="V699" s="587"/>
      <c r="W699" s="587"/>
      <c r="X699" s="587"/>
      <c r="Y699" s="587"/>
      <c r="Z699" s="587"/>
      <c r="AA699" s="587"/>
      <c r="AB699" s="587"/>
      <c r="AC699" s="587"/>
      <c r="AE699" s="587"/>
      <c r="AF699" s="587"/>
      <c r="AG699" s="587"/>
      <c r="AH699" s="587"/>
      <c r="AI699" s="587"/>
      <c r="AJ699" s="587"/>
      <c r="AK699" s="587"/>
      <c r="AL699" s="587"/>
      <c r="AM699" s="587"/>
      <c r="AO699" s="587"/>
      <c r="AP699" s="587"/>
      <c r="AQ699" s="587"/>
      <c r="AR699" s="587"/>
      <c r="AS699" s="587"/>
      <c r="AT699" s="587"/>
      <c r="AU699" s="587"/>
      <c r="AV699" s="587"/>
      <c r="AW699" s="587"/>
    </row>
    <row r="700" spans="1:49">
      <c r="A700" s="581">
        <v>30651</v>
      </c>
      <c r="B700" s="594">
        <v>-5.1999999999999998E-3</v>
      </c>
      <c r="C700" s="577">
        <v>-2.2600000000000002E-2</v>
      </c>
      <c r="D700" s="577">
        <v>9.4000000000000004E-3</v>
      </c>
      <c r="E700" s="577">
        <v>1.0475000000000002E-2</v>
      </c>
      <c r="F700" s="577">
        <v>1.0633333333333333E-2</v>
      </c>
      <c r="G700" s="577">
        <v>1.0554166666666667E-2</v>
      </c>
      <c r="H700" s="577">
        <v>1.126425E-2</v>
      </c>
      <c r="I700" s="577">
        <f t="shared" si="112"/>
        <v>-1.46E-2</v>
      </c>
      <c r="J700" s="577">
        <f t="shared" si="116"/>
        <v>-1.5754166666666666E-2</v>
      </c>
      <c r="K700" s="577">
        <f t="shared" si="117"/>
        <v>-3.3864249999999999E-2</v>
      </c>
      <c r="L700" s="585">
        <f t="shared" si="113"/>
        <v>0.22547091926599894</v>
      </c>
      <c r="M700" s="585">
        <f t="shared" si="114"/>
        <v>0.11280000000000001</v>
      </c>
      <c r="N700" s="585">
        <f t="shared" si="118"/>
        <v>0.12664999999999998</v>
      </c>
      <c r="O700" s="586">
        <f t="shared" si="115"/>
        <v>0.11267091926599893</v>
      </c>
      <c r="P700" s="585">
        <f t="shared" si="119"/>
        <v>9.8820919265998952E-2</v>
      </c>
      <c r="Q700" s="585">
        <f t="shared" si="120"/>
        <v>0.2001316728794309</v>
      </c>
      <c r="R700" s="585">
        <f t="shared" si="121"/>
        <v>0.13517099999999999</v>
      </c>
      <c r="S700" s="586">
        <f t="shared" si="122"/>
        <v>6.4960672879430914E-2</v>
      </c>
      <c r="U700" s="587"/>
      <c r="V700" s="587"/>
      <c r="W700" s="587"/>
      <c r="X700" s="587"/>
      <c r="Y700" s="587"/>
      <c r="Z700" s="587"/>
      <c r="AA700" s="587"/>
      <c r="AB700" s="587"/>
      <c r="AC700" s="587"/>
      <c r="AE700" s="587"/>
      <c r="AF700" s="587"/>
      <c r="AG700" s="587"/>
      <c r="AH700" s="587"/>
      <c r="AI700" s="587"/>
      <c r="AJ700" s="587"/>
      <c r="AK700" s="587"/>
      <c r="AL700" s="587"/>
      <c r="AM700" s="587"/>
      <c r="AO700" s="587"/>
      <c r="AP700" s="587"/>
      <c r="AQ700" s="587"/>
      <c r="AR700" s="587"/>
      <c r="AS700" s="587"/>
      <c r="AT700" s="587"/>
      <c r="AU700" s="587"/>
      <c r="AV700" s="587"/>
      <c r="AW700" s="587"/>
    </row>
    <row r="701" spans="1:49">
      <c r="A701" s="581">
        <v>30682</v>
      </c>
      <c r="B701" s="594">
        <v>-5.5999999999999999E-3</v>
      </c>
      <c r="C701" s="577">
        <v>4.82E-2</v>
      </c>
      <c r="D701" s="577">
        <v>1.03E-2</v>
      </c>
      <c r="E701" s="577">
        <v>1.0166666666666666E-2</v>
      </c>
      <c r="F701" s="577">
        <v>1.0591666666666668E-2</v>
      </c>
      <c r="G701" s="577">
        <v>1.0379166666666668E-2</v>
      </c>
      <c r="H701" s="577">
        <v>1.1167083333333333E-2</v>
      </c>
      <c r="I701" s="577">
        <f t="shared" si="112"/>
        <v>-1.5900000000000001E-2</v>
      </c>
      <c r="J701" s="577">
        <f t="shared" si="116"/>
        <v>-1.5979166666666669E-2</v>
      </c>
      <c r="K701" s="577">
        <f t="shared" si="117"/>
        <v>3.7032916666666665E-2</v>
      </c>
      <c r="L701" s="585">
        <f t="shared" si="113"/>
        <v>0.17490193031055679</v>
      </c>
      <c r="M701" s="585">
        <f t="shared" si="114"/>
        <v>0.1236</v>
      </c>
      <c r="N701" s="585">
        <f t="shared" si="118"/>
        <v>0.12455000000000002</v>
      </c>
      <c r="O701" s="586">
        <f t="shared" si="115"/>
        <v>5.1301930310556784E-2</v>
      </c>
      <c r="P701" s="585">
        <f t="shared" si="119"/>
        <v>5.0351930310556764E-2</v>
      </c>
      <c r="Q701" s="585">
        <f t="shared" si="120"/>
        <v>0.21285964087178932</v>
      </c>
      <c r="R701" s="585">
        <f t="shared" si="121"/>
        <v>0.13400499999999999</v>
      </c>
      <c r="S701" s="586">
        <f t="shared" si="122"/>
        <v>7.8854640871789339E-2</v>
      </c>
      <c r="U701" s="587"/>
      <c r="V701" s="587"/>
      <c r="W701" s="587"/>
      <c r="X701" s="587"/>
      <c r="Y701" s="587"/>
      <c r="Z701" s="587"/>
      <c r="AA701" s="587"/>
      <c r="AB701" s="587"/>
      <c r="AC701" s="587"/>
      <c r="AE701" s="587"/>
      <c r="AF701" s="587"/>
      <c r="AG701" s="587"/>
      <c r="AH701" s="587"/>
      <c r="AI701" s="587"/>
      <c r="AJ701" s="587"/>
      <c r="AK701" s="587"/>
      <c r="AL701" s="587"/>
      <c r="AM701" s="587"/>
      <c r="AO701" s="587"/>
      <c r="AP701" s="587"/>
      <c r="AQ701" s="587"/>
      <c r="AR701" s="587"/>
      <c r="AS701" s="587"/>
      <c r="AT701" s="587"/>
      <c r="AU701" s="587"/>
      <c r="AV701" s="587"/>
      <c r="AW701" s="587"/>
    </row>
    <row r="702" spans="1:49">
      <c r="A702" s="581">
        <v>30713</v>
      </c>
      <c r="B702" s="594">
        <v>-3.5200000000000002E-2</v>
      </c>
      <c r="C702" s="577">
        <v>-4.1100000000000005E-2</v>
      </c>
      <c r="D702" s="577">
        <v>9.1999999999999998E-3</v>
      </c>
      <c r="E702" s="577">
        <v>1.0066666666666666E-2</v>
      </c>
      <c r="F702" s="577">
        <v>1.0583333333333333E-2</v>
      </c>
      <c r="G702" s="577">
        <v>1.0324999999999999E-2</v>
      </c>
      <c r="H702" s="577">
        <v>1.1164166666666666E-2</v>
      </c>
      <c r="I702" s="577">
        <f t="shared" si="112"/>
        <v>-4.4400000000000002E-2</v>
      </c>
      <c r="J702" s="577">
        <f t="shared" si="116"/>
        <v>-4.5525000000000003E-2</v>
      </c>
      <c r="K702" s="577">
        <f t="shared" si="117"/>
        <v>-5.2264166666666667E-2</v>
      </c>
      <c r="L702" s="585">
        <f t="shared" si="113"/>
        <v>0.10816832766020701</v>
      </c>
      <c r="M702" s="585">
        <f t="shared" si="114"/>
        <v>0.1104</v>
      </c>
      <c r="N702" s="585">
        <f t="shared" si="118"/>
        <v>0.12389999999999998</v>
      </c>
      <c r="O702" s="586">
        <f t="shared" si="115"/>
        <v>-2.2316723397929894E-3</v>
      </c>
      <c r="P702" s="585">
        <f t="shared" si="119"/>
        <v>-1.5731672339792974E-2</v>
      </c>
      <c r="Q702" s="585">
        <f t="shared" si="120"/>
        <v>0.16359290608500099</v>
      </c>
      <c r="R702" s="585">
        <f t="shared" si="121"/>
        <v>0.13396999999999998</v>
      </c>
      <c r="S702" s="586">
        <f t="shared" si="122"/>
        <v>2.9622906085001011E-2</v>
      </c>
      <c r="U702" s="587"/>
      <c r="V702" s="587"/>
      <c r="W702" s="587"/>
      <c r="X702" s="587"/>
      <c r="Y702" s="587"/>
      <c r="Z702" s="587"/>
      <c r="AA702" s="587"/>
      <c r="AB702" s="587"/>
      <c r="AC702" s="587"/>
      <c r="AE702" s="587"/>
      <c r="AF702" s="587"/>
      <c r="AG702" s="587"/>
      <c r="AH702" s="587"/>
      <c r="AI702" s="587"/>
      <c r="AJ702" s="587"/>
      <c r="AK702" s="587"/>
      <c r="AL702" s="587"/>
      <c r="AM702" s="587"/>
      <c r="AO702" s="587"/>
      <c r="AP702" s="587"/>
      <c r="AQ702" s="587"/>
      <c r="AR702" s="587"/>
      <c r="AS702" s="587"/>
      <c r="AT702" s="587"/>
      <c r="AU702" s="587"/>
      <c r="AV702" s="587"/>
      <c r="AW702" s="587"/>
    </row>
    <row r="703" spans="1:49">
      <c r="A703" s="581">
        <v>30742</v>
      </c>
      <c r="B703" s="594">
        <v>1.7299999999999999E-2</v>
      </c>
      <c r="C703" s="577">
        <v>-5.4999999999999997E-3</v>
      </c>
      <c r="D703" s="577">
        <v>9.7999999999999997E-3</v>
      </c>
      <c r="E703" s="577">
        <v>1.0475000000000002E-2</v>
      </c>
      <c r="F703" s="577">
        <v>1.1016666666666668E-2</v>
      </c>
      <c r="G703" s="577">
        <v>1.0745833333333335E-2</v>
      </c>
      <c r="H703" s="577">
        <v>1.1476916666666665E-2</v>
      </c>
      <c r="I703" s="577">
        <f t="shared" si="112"/>
        <v>7.4999999999999997E-3</v>
      </c>
      <c r="J703" s="577">
        <f t="shared" si="116"/>
        <v>6.5541666666666647E-3</v>
      </c>
      <c r="K703" s="577">
        <f t="shared" si="117"/>
        <v>-1.6976916666666664E-2</v>
      </c>
      <c r="L703" s="585">
        <f t="shared" si="113"/>
        <v>8.7221178251257303E-2</v>
      </c>
      <c r="M703" s="585">
        <f t="shared" si="114"/>
        <v>0.1176</v>
      </c>
      <c r="N703" s="585">
        <f t="shared" si="118"/>
        <v>0.12895000000000001</v>
      </c>
      <c r="O703" s="586">
        <f t="shared" si="115"/>
        <v>-3.0378821748742693E-2</v>
      </c>
      <c r="P703" s="585">
        <f t="shared" si="119"/>
        <v>-4.1728821748742706E-2</v>
      </c>
      <c r="Q703" s="585">
        <f t="shared" si="120"/>
        <v>0.15522925536740884</v>
      </c>
      <c r="R703" s="585">
        <f t="shared" si="121"/>
        <v>0.13772299999999998</v>
      </c>
      <c r="S703" s="586">
        <f t="shared" si="122"/>
        <v>1.7506255367408852E-2</v>
      </c>
      <c r="U703" s="587"/>
      <c r="V703" s="587"/>
      <c r="W703" s="587"/>
      <c r="X703" s="587"/>
      <c r="Y703" s="587"/>
      <c r="Z703" s="587"/>
      <c r="AA703" s="587"/>
      <c r="AB703" s="587"/>
      <c r="AC703" s="587"/>
      <c r="AE703" s="587"/>
      <c r="AF703" s="587"/>
      <c r="AG703" s="587"/>
      <c r="AH703" s="587"/>
      <c r="AI703" s="587"/>
      <c r="AJ703" s="587"/>
      <c r="AK703" s="587"/>
      <c r="AL703" s="587"/>
      <c r="AM703" s="587"/>
      <c r="AO703" s="587"/>
      <c r="AP703" s="587"/>
      <c r="AQ703" s="587"/>
      <c r="AR703" s="587"/>
      <c r="AS703" s="587"/>
      <c r="AT703" s="587"/>
      <c r="AU703" s="587"/>
      <c r="AV703" s="587"/>
      <c r="AW703" s="587"/>
    </row>
    <row r="704" spans="1:49">
      <c r="A704" s="581">
        <v>30773</v>
      </c>
      <c r="B704" s="594">
        <v>9.4999999999999998E-3</v>
      </c>
      <c r="C704" s="577">
        <v>1.5900000000000001E-2</v>
      </c>
      <c r="D704" s="577">
        <v>1.04E-2</v>
      </c>
      <c r="E704" s="577">
        <v>1.0675E-2</v>
      </c>
      <c r="F704" s="577">
        <v>1.1233333333333333E-2</v>
      </c>
      <c r="G704" s="577">
        <v>1.0954166666666668E-2</v>
      </c>
      <c r="H704" s="577">
        <v>1.1774166666666665E-2</v>
      </c>
      <c r="I704" s="577">
        <f t="shared" si="112"/>
        <v>-8.9999999999999976E-4</v>
      </c>
      <c r="J704" s="577">
        <f t="shared" si="116"/>
        <v>-1.4541666666666678E-3</v>
      </c>
      <c r="K704" s="577">
        <f t="shared" si="117"/>
        <v>4.1258333333333355E-3</v>
      </c>
      <c r="L704" s="585">
        <f t="shared" si="113"/>
        <v>1.7380218246796586E-2</v>
      </c>
      <c r="M704" s="585">
        <f t="shared" si="114"/>
        <v>0.12479999999999999</v>
      </c>
      <c r="N704" s="585">
        <f t="shared" si="118"/>
        <v>0.13145000000000001</v>
      </c>
      <c r="O704" s="586">
        <f t="shared" si="115"/>
        <v>-0.10741978175320341</v>
      </c>
      <c r="P704" s="585">
        <f t="shared" si="119"/>
        <v>-0.11406978175320343</v>
      </c>
      <c r="Q704" s="585">
        <f t="shared" si="120"/>
        <v>0.11020471150104139</v>
      </c>
      <c r="R704" s="585">
        <f t="shared" si="121"/>
        <v>0.14128999999999997</v>
      </c>
      <c r="S704" s="586">
        <f t="shared" si="122"/>
        <v>-3.1085288498958585E-2</v>
      </c>
      <c r="U704" s="587"/>
      <c r="V704" s="587"/>
      <c r="W704" s="587"/>
      <c r="X704" s="587"/>
      <c r="Y704" s="587"/>
      <c r="Z704" s="587"/>
      <c r="AA704" s="587"/>
      <c r="AB704" s="587"/>
      <c r="AC704" s="587"/>
      <c r="AE704" s="587"/>
      <c r="AF704" s="587"/>
      <c r="AG704" s="587"/>
      <c r="AH704" s="587"/>
      <c r="AI704" s="587"/>
      <c r="AJ704" s="587"/>
      <c r="AK704" s="587"/>
      <c r="AL704" s="587"/>
      <c r="AM704" s="587"/>
      <c r="AO704" s="587"/>
      <c r="AP704" s="587"/>
      <c r="AQ704" s="587"/>
      <c r="AR704" s="587"/>
      <c r="AS704" s="587"/>
      <c r="AT704" s="587"/>
      <c r="AU704" s="587"/>
      <c r="AV704" s="587"/>
      <c r="AW704" s="587"/>
    </row>
    <row r="705" spans="1:49">
      <c r="A705" s="581">
        <v>30803</v>
      </c>
      <c r="B705" s="594">
        <v>-5.5399999999999998E-2</v>
      </c>
      <c r="C705" s="577">
        <v>-2.3E-2</v>
      </c>
      <c r="D705" s="577">
        <v>1.03E-2</v>
      </c>
      <c r="E705" s="577">
        <v>1.1066666666666667E-2</v>
      </c>
      <c r="F705" s="577">
        <v>1.175E-2</v>
      </c>
      <c r="G705" s="577">
        <v>1.1408333333333333E-2</v>
      </c>
      <c r="H705" s="577">
        <v>1.2399583333333332E-2</v>
      </c>
      <c r="I705" s="577">
        <f t="shared" si="112"/>
        <v>-6.5699999999999995E-2</v>
      </c>
      <c r="J705" s="577">
        <f t="shared" si="116"/>
        <v>-6.6808333333333331E-2</v>
      </c>
      <c r="K705" s="577">
        <f t="shared" si="117"/>
        <v>-3.5399583333333332E-2</v>
      </c>
      <c r="L705" s="585">
        <f t="shared" si="113"/>
        <v>-3.0548417072608025E-2</v>
      </c>
      <c r="M705" s="585">
        <f t="shared" si="114"/>
        <v>0.1236</v>
      </c>
      <c r="N705" s="585">
        <f t="shared" si="118"/>
        <v>0.13689999999999999</v>
      </c>
      <c r="O705" s="586">
        <f t="shared" si="115"/>
        <v>-0.15414841707260801</v>
      </c>
      <c r="P705" s="585">
        <f t="shared" si="119"/>
        <v>-0.16744841707260802</v>
      </c>
      <c r="Q705" s="585">
        <f t="shared" si="120"/>
        <v>7.1384831229274415E-2</v>
      </c>
      <c r="R705" s="585">
        <f t="shared" si="121"/>
        <v>0.14879499999999998</v>
      </c>
      <c r="S705" s="586">
        <f t="shared" si="122"/>
        <v>-7.7410168770725568E-2</v>
      </c>
      <c r="U705" s="587"/>
      <c r="V705" s="587"/>
      <c r="W705" s="587"/>
      <c r="X705" s="587"/>
      <c r="Y705" s="587"/>
      <c r="Z705" s="587"/>
      <c r="AA705" s="587"/>
      <c r="AB705" s="587"/>
      <c r="AC705" s="587"/>
      <c r="AE705" s="587"/>
      <c r="AF705" s="587"/>
      <c r="AG705" s="587"/>
      <c r="AH705" s="587"/>
      <c r="AI705" s="587"/>
      <c r="AJ705" s="587"/>
      <c r="AK705" s="587"/>
      <c r="AL705" s="587"/>
      <c r="AM705" s="587"/>
      <c r="AO705" s="587"/>
      <c r="AP705" s="587"/>
      <c r="AQ705" s="587"/>
      <c r="AR705" s="587"/>
      <c r="AS705" s="587"/>
      <c r="AT705" s="587"/>
      <c r="AU705" s="587"/>
      <c r="AV705" s="587"/>
      <c r="AW705" s="587"/>
    </row>
    <row r="706" spans="1:49">
      <c r="A706" s="581">
        <v>30834</v>
      </c>
      <c r="B706" s="594">
        <v>2.1700000000000001E-2</v>
      </c>
      <c r="C706" s="577">
        <v>6.9000000000000008E-3</v>
      </c>
      <c r="D706" s="577">
        <v>1.06E-2</v>
      </c>
      <c r="E706" s="577">
        <v>1.1291666666666667E-2</v>
      </c>
      <c r="F706" s="577">
        <v>1.1941666666666666E-2</v>
      </c>
      <c r="G706" s="577">
        <v>1.1616666666666666E-2</v>
      </c>
      <c r="H706" s="577">
        <v>1.2580916666666666E-2</v>
      </c>
      <c r="I706" s="577">
        <f t="shared" si="112"/>
        <v>1.11E-2</v>
      </c>
      <c r="J706" s="577">
        <f t="shared" si="116"/>
        <v>1.0083333333333335E-2</v>
      </c>
      <c r="K706" s="577">
        <f t="shared" si="117"/>
        <v>-5.6809166666666648E-3</v>
      </c>
      <c r="L706" s="585">
        <f t="shared" si="113"/>
        <v>-4.6598630978037514E-2</v>
      </c>
      <c r="M706" s="585">
        <f t="shared" si="114"/>
        <v>0.12720000000000001</v>
      </c>
      <c r="N706" s="585">
        <f t="shared" si="118"/>
        <v>0.1394</v>
      </c>
      <c r="O706" s="586">
        <f t="shared" si="115"/>
        <v>-0.17379863097803752</v>
      </c>
      <c r="P706" s="585">
        <f t="shared" si="119"/>
        <v>-0.18599863097803751</v>
      </c>
      <c r="Q706" s="585">
        <f t="shared" si="120"/>
        <v>9.2211589110819059E-2</v>
      </c>
      <c r="R706" s="585">
        <f t="shared" si="121"/>
        <v>0.15097099999999999</v>
      </c>
      <c r="S706" s="586">
        <f t="shared" si="122"/>
        <v>-5.8759410889180935E-2</v>
      </c>
      <c r="U706" s="587"/>
      <c r="V706" s="587"/>
      <c r="W706" s="587"/>
      <c r="X706" s="587"/>
      <c r="Y706" s="587"/>
      <c r="Z706" s="587"/>
      <c r="AA706" s="587"/>
      <c r="AB706" s="587"/>
      <c r="AC706" s="587"/>
      <c r="AE706" s="587"/>
      <c r="AF706" s="587"/>
      <c r="AG706" s="587"/>
      <c r="AH706" s="587"/>
      <c r="AI706" s="587"/>
      <c r="AJ706" s="587"/>
      <c r="AK706" s="587"/>
      <c r="AL706" s="587"/>
      <c r="AM706" s="587"/>
      <c r="AO706" s="587"/>
      <c r="AP706" s="587"/>
      <c r="AQ706" s="587"/>
      <c r="AR706" s="587"/>
      <c r="AS706" s="587"/>
      <c r="AT706" s="587"/>
      <c r="AU706" s="587"/>
      <c r="AV706" s="587"/>
      <c r="AW706" s="587"/>
    </row>
    <row r="707" spans="1:49">
      <c r="A707" s="581">
        <v>30864</v>
      </c>
      <c r="B707" s="594">
        <v>-1.24E-2</v>
      </c>
      <c r="C707" s="577">
        <v>4.3299999999999998E-2</v>
      </c>
      <c r="D707" s="577">
        <v>1.1599999999999999E-2</v>
      </c>
      <c r="E707" s="577">
        <v>1.1199999999999998E-2</v>
      </c>
      <c r="F707" s="577">
        <v>1.1766666666666665E-2</v>
      </c>
      <c r="G707" s="577">
        <v>1.1483333333333332E-2</v>
      </c>
      <c r="H707" s="577">
        <v>1.2383750000000001E-2</v>
      </c>
      <c r="I707" s="577">
        <f t="shared" si="112"/>
        <v>-2.4E-2</v>
      </c>
      <c r="J707" s="577">
        <f t="shared" si="116"/>
        <v>-2.3883333333333333E-2</v>
      </c>
      <c r="K707" s="577">
        <f t="shared" si="117"/>
        <v>3.0916249999999999E-2</v>
      </c>
      <c r="L707" s="585">
        <f t="shared" si="113"/>
        <v>-2.9799905156011941E-2</v>
      </c>
      <c r="M707" s="585">
        <f t="shared" si="114"/>
        <v>0.13919999999999999</v>
      </c>
      <c r="N707" s="585">
        <f t="shared" si="118"/>
        <v>0.13779999999999998</v>
      </c>
      <c r="O707" s="586">
        <f t="shared" si="115"/>
        <v>-0.16899990515601193</v>
      </c>
      <c r="P707" s="585">
        <f t="shared" si="119"/>
        <v>-0.16759990515601192</v>
      </c>
      <c r="Q707" s="585">
        <f t="shared" si="120"/>
        <v>0.10214174573877344</v>
      </c>
      <c r="R707" s="585">
        <f t="shared" si="121"/>
        <v>0.14860500000000001</v>
      </c>
      <c r="S707" s="586">
        <f t="shared" si="122"/>
        <v>-4.6463254261226578E-2</v>
      </c>
      <c r="U707" s="587"/>
      <c r="V707" s="587"/>
      <c r="W707" s="587"/>
      <c r="X707" s="587"/>
      <c r="Y707" s="587"/>
      <c r="Z707" s="587"/>
      <c r="AA707" s="587"/>
      <c r="AB707" s="587"/>
      <c r="AC707" s="587"/>
      <c r="AE707" s="587"/>
      <c r="AF707" s="587"/>
      <c r="AG707" s="587"/>
      <c r="AH707" s="587"/>
      <c r="AI707" s="587"/>
      <c r="AJ707" s="587"/>
      <c r="AK707" s="587"/>
      <c r="AL707" s="587"/>
      <c r="AM707" s="587"/>
      <c r="AO707" s="587"/>
      <c r="AP707" s="587"/>
      <c r="AQ707" s="587"/>
      <c r="AR707" s="587"/>
      <c r="AS707" s="587"/>
      <c r="AT707" s="587"/>
      <c r="AU707" s="587"/>
      <c r="AV707" s="587"/>
      <c r="AW707" s="587"/>
    </row>
    <row r="708" spans="1:49">
      <c r="A708" s="581">
        <v>30895</v>
      </c>
      <c r="B708" s="594">
        <v>0.1104</v>
      </c>
      <c r="C708" s="577">
        <v>6.4600000000000005E-2</v>
      </c>
      <c r="D708" s="577">
        <v>1.06E-2</v>
      </c>
      <c r="E708" s="577">
        <v>1.0725E-2</v>
      </c>
      <c r="F708" s="577">
        <v>1.1225000000000001E-2</v>
      </c>
      <c r="G708" s="577">
        <v>1.0975000000000002E-2</v>
      </c>
      <c r="H708" s="577">
        <v>1.202425E-2</v>
      </c>
      <c r="I708" s="577">
        <f t="shared" si="112"/>
        <v>9.98E-2</v>
      </c>
      <c r="J708" s="577">
        <f t="shared" si="116"/>
        <v>9.9424999999999999E-2</v>
      </c>
      <c r="K708" s="577">
        <f t="shared" si="117"/>
        <v>5.2575750000000004E-2</v>
      </c>
      <c r="L708" s="585">
        <f t="shared" si="113"/>
        <v>6.1389345137698781E-2</v>
      </c>
      <c r="M708" s="585">
        <f t="shared" si="114"/>
        <v>0.12720000000000001</v>
      </c>
      <c r="N708" s="585">
        <f t="shared" si="118"/>
        <v>0.13170000000000004</v>
      </c>
      <c r="O708" s="586">
        <f t="shared" si="115"/>
        <v>-6.5810654862301227E-2</v>
      </c>
      <c r="P708" s="585">
        <f t="shared" si="119"/>
        <v>-7.0310654862301258E-2</v>
      </c>
      <c r="Q708" s="585">
        <f t="shared" si="120"/>
        <v>0.16866544075049617</v>
      </c>
      <c r="R708" s="585">
        <f t="shared" si="121"/>
        <v>0.144291</v>
      </c>
      <c r="S708" s="586">
        <f t="shared" si="122"/>
        <v>2.4374440750496162E-2</v>
      </c>
      <c r="U708" s="587"/>
      <c r="V708" s="587"/>
      <c r="W708" s="587"/>
      <c r="X708" s="587"/>
      <c r="Y708" s="587"/>
      <c r="Z708" s="587"/>
      <c r="AA708" s="587"/>
      <c r="AB708" s="587"/>
      <c r="AC708" s="587"/>
      <c r="AE708" s="587"/>
      <c r="AF708" s="587"/>
      <c r="AG708" s="587"/>
      <c r="AH708" s="587"/>
      <c r="AI708" s="587"/>
      <c r="AJ708" s="587"/>
      <c r="AK708" s="587"/>
      <c r="AL708" s="587"/>
      <c r="AM708" s="587"/>
      <c r="AO708" s="587"/>
      <c r="AP708" s="587"/>
      <c r="AQ708" s="587"/>
      <c r="AR708" s="587"/>
      <c r="AS708" s="587"/>
      <c r="AT708" s="587"/>
      <c r="AU708" s="587"/>
      <c r="AV708" s="587"/>
      <c r="AW708" s="587"/>
    </row>
    <row r="709" spans="1:49">
      <c r="A709" s="581">
        <v>30926</v>
      </c>
      <c r="B709" s="594">
        <v>2.0000000000000001E-4</v>
      </c>
      <c r="C709" s="577">
        <v>4.3800000000000006E-2</v>
      </c>
      <c r="D709" s="577">
        <v>9.4000000000000004E-3</v>
      </c>
      <c r="E709" s="577">
        <v>1.0549999999999999E-2</v>
      </c>
      <c r="F709" s="577">
        <v>1.1058333333333331E-2</v>
      </c>
      <c r="G709" s="577">
        <v>1.0804166666666665E-2</v>
      </c>
      <c r="H709" s="577">
        <v>1.1822833333333333E-2</v>
      </c>
      <c r="I709" s="577">
        <f t="shared" si="112"/>
        <v>-9.1999999999999998E-3</v>
      </c>
      <c r="J709" s="577">
        <f t="shared" si="116"/>
        <v>-1.0604166666666665E-2</v>
      </c>
      <c r="K709" s="577">
        <f t="shared" si="117"/>
        <v>3.1977166666666675E-2</v>
      </c>
      <c r="L709" s="585">
        <f t="shared" si="113"/>
        <v>4.7150940034253352E-2</v>
      </c>
      <c r="M709" s="585">
        <f t="shared" si="114"/>
        <v>0.11280000000000001</v>
      </c>
      <c r="N709" s="585">
        <f t="shared" si="118"/>
        <v>0.12964999999999999</v>
      </c>
      <c r="O709" s="586">
        <f t="shared" si="115"/>
        <v>-6.5649059965746659E-2</v>
      </c>
      <c r="P709" s="585">
        <f t="shared" si="119"/>
        <v>-8.2499059965746635E-2</v>
      </c>
      <c r="Q709" s="585">
        <f t="shared" si="120"/>
        <v>0.1678822279132286</v>
      </c>
      <c r="R709" s="585">
        <f t="shared" si="121"/>
        <v>0.141874</v>
      </c>
      <c r="S709" s="586">
        <f t="shared" si="122"/>
        <v>2.6008227913228599E-2</v>
      </c>
      <c r="U709" s="587"/>
      <c r="V709" s="587"/>
      <c r="W709" s="587"/>
      <c r="X709" s="587"/>
      <c r="Y709" s="587"/>
      <c r="Z709" s="587"/>
      <c r="AA709" s="587"/>
      <c r="AB709" s="587"/>
      <c r="AC709" s="587"/>
      <c r="AE709" s="587"/>
      <c r="AF709" s="587"/>
      <c r="AG709" s="587"/>
      <c r="AH709" s="587"/>
      <c r="AI709" s="587"/>
      <c r="AJ709" s="587"/>
      <c r="AK709" s="587"/>
      <c r="AL709" s="587"/>
      <c r="AM709" s="587"/>
      <c r="AO709" s="587"/>
      <c r="AP709" s="587"/>
      <c r="AQ709" s="587"/>
      <c r="AR709" s="587"/>
      <c r="AS709" s="587"/>
      <c r="AT709" s="587"/>
      <c r="AU709" s="587"/>
      <c r="AV709" s="587"/>
      <c r="AW709" s="587"/>
    </row>
    <row r="710" spans="1:49">
      <c r="A710" s="581">
        <v>30956</v>
      </c>
      <c r="B710" s="594">
        <v>3.8999999999999998E-3</v>
      </c>
      <c r="C710" s="577">
        <v>2.7199999999999998E-2</v>
      </c>
      <c r="D710" s="577">
        <v>1.0800000000000001E-2</v>
      </c>
      <c r="E710" s="577">
        <v>1.0525E-2</v>
      </c>
      <c r="F710" s="577">
        <v>1.0925000000000001E-2</v>
      </c>
      <c r="G710" s="577">
        <v>1.0725E-2</v>
      </c>
      <c r="H710" s="577">
        <v>1.1524666666666666E-2</v>
      </c>
      <c r="I710" s="577">
        <f t="shared" ref="I710:I773" si="123">B710-D710</f>
        <v>-6.9000000000000008E-3</v>
      </c>
      <c r="J710" s="577">
        <f t="shared" si="116"/>
        <v>-6.8250000000000003E-3</v>
      </c>
      <c r="K710" s="577">
        <f t="shared" si="117"/>
        <v>1.5675333333333333E-2</v>
      </c>
      <c r="L710" s="585">
        <f t="shared" si="113"/>
        <v>6.3572266997558691E-2</v>
      </c>
      <c r="M710" s="585">
        <f t="shared" si="114"/>
        <v>0.12959999999999999</v>
      </c>
      <c r="N710" s="585">
        <f t="shared" si="118"/>
        <v>0.12870000000000001</v>
      </c>
      <c r="O710" s="586">
        <f t="shared" si="115"/>
        <v>-6.6027733002441302E-2</v>
      </c>
      <c r="P710" s="585">
        <f t="shared" si="119"/>
        <v>-6.5127733002441318E-2</v>
      </c>
      <c r="Q710" s="585">
        <f t="shared" si="120"/>
        <v>0.13905110568977297</v>
      </c>
      <c r="R710" s="585">
        <f t="shared" si="121"/>
        <v>0.13829599999999997</v>
      </c>
      <c r="S710" s="586">
        <f t="shared" si="122"/>
        <v>7.5510568977299464E-4</v>
      </c>
      <c r="U710" s="587"/>
      <c r="V710" s="587"/>
      <c r="W710" s="587"/>
      <c r="X710" s="587"/>
      <c r="Y710" s="587"/>
      <c r="Z710" s="587"/>
      <c r="AA710" s="587"/>
      <c r="AB710" s="587"/>
      <c r="AC710" s="587"/>
      <c r="AE710" s="587"/>
      <c r="AF710" s="587"/>
      <c r="AG710" s="587"/>
      <c r="AH710" s="587"/>
      <c r="AI710" s="587"/>
      <c r="AJ710" s="587"/>
      <c r="AK710" s="587"/>
      <c r="AL710" s="587"/>
      <c r="AM710" s="587"/>
      <c r="AO710" s="587"/>
      <c r="AP710" s="587"/>
      <c r="AQ710" s="587"/>
      <c r="AR710" s="587"/>
      <c r="AS710" s="587"/>
      <c r="AT710" s="587"/>
      <c r="AU710" s="587"/>
      <c r="AV710" s="587"/>
      <c r="AW710" s="587"/>
    </row>
    <row r="711" spans="1:49">
      <c r="A711" s="581">
        <v>30987</v>
      </c>
      <c r="B711" s="594">
        <v>-1.12E-2</v>
      </c>
      <c r="C711" s="577">
        <v>2.7000000000000003E-2</v>
      </c>
      <c r="D711" s="577">
        <v>9.1000000000000004E-3</v>
      </c>
      <c r="E711" s="577">
        <v>1.0241666666666666E-2</v>
      </c>
      <c r="F711" s="577">
        <v>1.0549999999999999E-2</v>
      </c>
      <c r="G711" s="577">
        <v>1.0395833333333333E-2</v>
      </c>
      <c r="H711" s="577">
        <v>1.1038916666666667E-2</v>
      </c>
      <c r="I711" s="577">
        <f t="shared" si="123"/>
        <v>-2.0299999999999999E-2</v>
      </c>
      <c r="J711" s="577">
        <f t="shared" si="116"/>
        <v>-2.1595833333333335E-2</v>
      </c>
      <c r="K711" s="577">
        <f t="shared" si="117"/>
        <v>1.5961083333333334E-2</v>
      </c>
      <c r="L711" s="585">
        <f t="shared" si="113"/>
        <v>2.9928760755250305E-2</v>
      </c>
      <c r="M711" s="585">
        <f t="shared" si="114"/>
        <v>0.10920000000000001</v>
      </c>
      <c r="N711" s="585">
        <f t="shared" si="118"/>
        <v>0.12475</v>
      </c>
      <c r="O711" s="586">
        <f t="shared" si="115"/>
        <v>-7.92712392447497E-2</v>
      </c>
      <c r="P711" s="585">
        <f t="shared" si="119"/>
        <v>-9.4821239244749694E-2</v>
      </c>
      <c r="Q711" s="585">
        <f t="shared" si="120"/>
        <v>0.19416648177153628</v>
      </c>
      <c r="R711" s="585">
        <f t="shared" si="121"/>
        <v>0.132467</v>
      </c>
      <c r="S711" s="586">
        <f t="shared" si="122"/>
        <v>6.169948177153628E-2</v>
      </c>
      <c r="U711" s="587"/>
      <c r="V711" s="587"/>
      <c r="W711" s="587"/>
      <c r="X711" s="587"/>
      <c r="Y711" s="587"/>
      <c r="Z711" s="587"/>
      <c r="AA711" s="587"/>
      <c r="AB711" s="587"/>
      <c r="AC711" s="587"/>
      <c r="AE711" s="587"/>
      <c r="AF711" s="587"/>
      <c r="AG711" s="587"/>
      <c r="AH711" s="587"/>
      <c r="AI711" s="587"/>
      <c r="AJ711" s="587"/>
      <c r="AK711" s="587"/>
      <c r="AL711" s="587"/>
      <c r="AM711" s="587"/>
      <c r="AO711" s="587"/>
      <c r="AP711" s="587"/>
      <c r="AQ711" s="587"/>
      <c r="AR711" s="587"/>
      <c r="AS711" s="587"/>
      <c r="AT711" s="587"/>
      <c r="AU711" s="587"/>
      <c r="AV711" s="587"/>
      <c r="AW711" s="587"/>
    </row>
    <row r="712" spans="1:49">
      <c r="A712" s="581">
        <v>31017</v>
      </c>
      <c r="B712" s="594">
        <v>2.63E-2</v>
      </c>
      <c r="C712" s="577">
        <v>3.1599999999999996E-2</v>
      </c>
      <c r="D712" s="577">
        <v>9.7999999999999997E-3</v>
      </c>
      <c r="E712" s="577">
        <v>1.0108333333333335E-2</v>
      </c>
      <c r="F712" s="577">
        <v>1.0416666666666668E-2</v>
      </c>
      <c r="G712" s="577">
        <v>1.0262500000000001E-2</v>
      </c>
      <c r="H712" s="577">
        <v>1.0891249999999998E-2</v>
      </c>
      <c r="I712" s="577">
        <f t="shared" si="123"/>
        <v>1.6500000000000001E-2</v>
      </c>
      <c r="J712" s="577">
        <f t="shared" si="116"/>
        <v>1.60375E-2</v>
      </c>
      <c r="K712" s="577">
        <f t="shared" si="117"/>
        <v>2.0708749999999998E-2</v>
      </c>
      <c r="L712" s="585">
        <f t="shared" si="113"/>
        <v>6.2541100887729906E-2</v>
      </c>
      <c r="M712" s="585">
        <f t="shared" si="114"/>
        <v>0.1176</v>
      </c>
      <c r="N712" s="585">
        <f t="shared" si="118"/>
        <v>0.12315000000000001</v>
      </c>
      <c r="O712" s="586">
        <f t="shared" si="115"/>
        <v>-5.505889911227009E-2</v>
      </c>
      <c r="P712" s="585">
        <f t="shared" si="119"/>
        <v>-6.0608899112270104E-2</v>
      </c>
      <c r="Q712" s="585">
        <f t="shared" si="120"/>
        <v>0.26038688622418338</v>
      </c>
      <c r="R712" s="585">
        <f t="shared" si="121"/>
        <v>0.13069499999999998</v>
      </c>
      <c r="S712" s="586">
        <f t="shared" si="122"/>
        <v>0.1296918862241834</v>
      </c>
      <c r="U712" s="587"/>
      <c r="V712" s="587"/>
      <c r="W712" s="587"/>
      <c r="X712" s="587"/>
      <c r="Y712" s="587"/>
      <c r="Z712" s="587"/>
      <c r="AA712" s="587"/>
      <c r="AB712" s="587"/>
      <c r="AC712" s="587"/>
      <c r="AE712" s="587"/>
      <c r="AF712" s="587"/>
      <c r="AG712" s="587"/>
      <c r="AH712" s="587"/>
      <c r="AI712" s="587"/>
      <c r="AJ712" s="587"/>
      <c r="AK712" s="587"/>
      <c r="AL712" s="587"/>
      <c r="AM712" s="587"/>
      <c r="AO712" s="587"/>
      <c r="AP712" s="587"/>
      <c r="AQ712" s="587"/>
      <c r="AR712" s="587"/>
      <c r="AS712" s="587"/>
      <c r="AT712" s="587"/>
      <c r="AU712" s="587"/>
      <c r="AV712" s="587"/>
      <c r="AW712" s="587"/>
    </row>
    <row r="713" spans="1:49">
      <c r="A713" s="581">
        <v>31048</v>
      </c>
      <c r="B713" s="594">
        <v>7.7899999999999997E-2</v>
      </c>
      <c r="C713" s="577">
        <v>2.35E-2</v>
      </c>
      <c r="D713" s="577">
        <v>9.5999999999999992E-3</v>
      </c>
      <c r="E713" s="577">
        <v>1.0066666666666666E-2</v>
      </c>
      <c r="F713" s="577">
        <v>1.0358333333333334E-2</v>
      </c>
      <c r="G713" s="577">
        <v>1.0212499999999999E-2</v>
      </c>
      <c r="H713" s="577">
        <v>1.0821583333333334E-2</v>
      </c>
      <c r="I713" s="577">
        <f t="shared" si="123"/>
        <v>6.83E-2</v>
      </c>
      <c r="J713" s="577">
        <f t="shared" si="116"/>
        <v>6.7687499999999998E-2</v>
      </c>
      <c r="K713" s="577">
        <f t="shared" si="117"/>
        <v>1.2678416666666666E-2</v>
      </c>
      <c r="L713" s="585">
        <f t="shared" si="113"/>
        <v>0.15176292502703559</v>
      </c>
      <c r="M713" s="585">
        <f t="shared" si="114"/>
        <v>0.1152</v>
      </c>
      <c r="N713" s="585">
        <f t="shared" si="118"/>
        <v>0.12254999999999999</v>
      </c>
      <c r="O713" s="586">
        <f t="shared" si="115"/>
        <v>3.6562925027035592E-2</v>
      </c>
      <c r="P713" s="585">
        <f t="shared" si="119"/>
        <v>2.9212925027035597E-2</v>
      </c>
      <c r="Q713" s="585">
        <f t="shared" si="120"/>
        <v>0.23068687087430995</v>
      </c>
      <c r="R713" s="585">
        <f t="shared" si="121"/>
        <v>0.129859</v>
      </c>
      <c r="S713" s="586">
        <f t="shared" si="122"/>
        <v>0.10082787087430994</v>
      </c>
      <c r="U713" s="587"/>
      <c r="V713" s="587"/>
      <c r="W713" s="587"/>
      <c r="X713" s="587"/>
      <c r="Y713" s="587"/>
      <c r="Z713" s="587"/>
      <c r="AA713" s="587"/>
      <c r="AB713" s="587"/>
      <c r="AC713" s="587"/>
      <c r="AE713" s="587"/>
      <c r="AF713" s="587"/>
      <c r="AG713" s="587"/>
      <c r="AH713" s="587"/>
      <c r="AI713" s="587"/>
      <c r="AJ713" s="587"/>
      <c r="AK713" s="587"/>
      <c r="AL713" s="587"/>
      <c r="AM713" s="587"/>
      <c r="AO713" s="587"/>
      <c r="AP713" s="587"/>
      <c r="AQ713" s="587"/>
      <c r="AR713" s="587"/>
      <c r="AS713" s="587"/>
      <c r="AT713" s="587"/>
      <c r="AU713" s="587"/>
      <c r="AV713" s="587"/>
      <c r="AW713" s="587"/>
    </row>
    <row r="714" spans="1:49">
      <c r="A714" s="581">
        <v>31079</v>
      </c>
      <c r="B714" s="594">
        <v>1.2200000000000001E-2</v>
      </c>
      <c r="C714" s="577">
        <v>1.9300000000000001E-2</v>
      </c>
      <c r="D714" s="577">
        <v>8.2000000000000007E-3</v>
      </c>
      <c r="E714" s="577">
        <v>1.0108333333333335E-2</v>
      </c>
      <c r="F714" s="577">
        <v>1.0408333333333332E-2</v>
      </c>
      <c r="G714" s="577">
        <v>1.0258333333333335E-2</v>
      </c>
      <c r="H714" s="577">
        <v>1.0861833333333333E-2</v>
      </c>
      <c r="I714" s="577">
        <f t="shared" si="123"/>
        <v>4.0000000000000001E-3</v>
      </c>
      <c r="J714" s="577">
        <f t="shared" si="116"/>
        <v>1.9416666666666662E-3</v>
      </c>
      <c r="K714" s="577">
        <f t="shared" si="117"/>
        <v>8.4381666666666685E-3</v>
      </c>
      <c r="L714" s="585">
        <f t="shared" si="113"/>
        <v>0.2083482926123188</v>
      </c>
      <c r="M714" s="585">
        <f t="shared" si="114"/>
        <v>9.8400000000000015E-2</v>
      </c>
      <c r="N714" s="585">
        <f t="shared" si="118"/>
        <v>0.12310000000000001</v>
      </c>
      <c r="O714" s="586">
        <f t="shared" si="115"/>
        <v>0.10994829261231878</v>
      </c>
      <c r="P714" s="585">
        <f t="shared" si="119"/>
        <v>8.5248292612318782E-2</v>
      </c>
      <c r="Q714" s="585">
        <f t="shared" si="120"/>
        <v>0.30820641097318235</v>
      </c>
      <c r="R714" s="585">
        <f t="shared" si="121"/>
        <v>0.13034199999999999</v>
      </c>
      <c r="S714" s="586">
        <f t="shared" si="122"/>
        <v>0.17786441097318237</v>
      </c>
      <c r="U714" s="587"/>
      <c r="V714" s="587"/>
      <c r="W714" s="587"/>
      <c r="X714" s="587"/>
      <c r="Y714" s="587"/>
      <c r="Z714" s="587"/>
      <c r="AA714" s="587"/>
      <c r="AB714" s="587"/>
      <c r="AC714" s="587"/>
      <c r="AE714" s="587"/>
      <c r="AF714" s="587"/>
      <c r="AG714" s="587"/>
      <c r="AH714" s="587"/>
      <c r="AI714" s="587"/>
      <c r="AJ714" s="587"/>
      <c r="AK714" s="587"/>
      <c r="AL714" s="587"/>
      <c r="AM714" s="587"/>
      <c r="AO714" s="587"/>
      <c r="AP714" s="587"/>
      <c r="AQ714" s="587"/>
      <c r="AR714" s="587"/>
      <c r="AS714" s="587"/>
      <c r="AT714" s="587"/>
      <c r="AU714" s="587"/>
      <c r="AV714" s="587"/>
      <c r="AW714" s="587"/>
    </row>
    <row r="715" spans="1:49">
      <c r="A715" s="581">
        <v>31107</v>
      </c>
      <c r="B715" s="594">
        <v>6.9999999999999999E-4</v>
      </c>
      <c r="C715" s="577">
        <v>3.6200000000000003E-2</v>
      </c>
      <c r="D715" s="577">
        <v>9.4000000000000004E-3</v>
      </c>
      <c r="E715" s="577">
        <v>1.0466666666666666E-2</v>
      </c>
      <c r="F715" s="577">
        <v>1.0758333333333335E-2</v>
      </c>
      <c r="G715" s="577">
        <v>1.06125E-2</v>
      </c>
      <c r="H715" s="577">
        <v>1.1501166666666666E-2</v>
      </c>
      <c r="I715" s="577">
        <f t="shared" si="123"/>
        <v>-8.7000000000000011E-3</v>
      </c>
      <c r="J715" s="577">
        <f t="shared" si="116"/>
        <v>-9.9125000000000012E-3</v>
      </c>
      <c r="K715" s="577">
        <f t="shared" si="117"/>
        <v>2.4698833333333337E-2</v>
      </c>
      <c r="L715" s="585">
        <f t="shared" si="113"/>
        <v>0.18863082317619906</v>
      </c>
      <c r="M715" s="585">
        <f t="shared" si="114"/>
        <v>0.11280000000000001</v>
      </c>
      <c r="N715" s="585">
        <f t="shared" si="118"/>
        <v>0.12735000000000002</v>
      </c>
      <c r="O715" s="586">
        <f t="shared" si="115"/>
        <v>7.5830823176199047E-2</v>
      </c>
      <c r="P715" s="585">
        <f t="shared" si="119"/>
        <v>6.128082317619904E-2</v>
      </c>
      <c r="Q715" s="585">
        <f t="shared" si="120"/>
        <v>0.36306031478171108</v>
      </c>
      <c r="R715" s="585">
        <f t="shared" si="121"/>
        <v>0.138014</v>
      </c>
      <c r="S715" s="586">
        <f t="shared" si="122"/>
        <v>0.22504631478171108</v>
      </c>
      <c r="U715" s="587"/>
      <c r="V715" s="587"/>
      <c r="W715" s="587"/>
      <c r="X715" s="587"/>
      <c r="Y715" s="587"/>
      <c r="Z715" s="587"/>
      <c r="AA715" s="587"/>
      <c r="AB715" s="587"/>
      <c r="AC715" s="587"/>
      <c r="AE715" s="587"/>
      <c r="AF715" s="587"/>
      <c r="AG715" s="587"/>
      <c r="AH715" s="587"/>
      <c r="AI715" s="587"/>
      <c r="AJ715" s="587"/>
      <c r="AK715" s="587"/>
      <c r="AL715" s="587"/>
      <c r="AM715" s="587"/>
      <c r="AO715" s="587"/>
      <c r="AP715" s="587"/>
      <c r="AQ715" s="587"/>
      <c r="AR715" s="587"/>
      <c r="AS715" s="587"/>
      <c r="AT715" s="587"/>
      <c r="AU715" s="587"/>
      <c r="AV715" s="587"/>
      <c r="AW715" s="587"/>
    </row>
    <row r="716" spans="1:49">
      <c r="A716" s="581">
        <v>31138</v>
      </c>
      <c r="B716" s="594">
        <v>-8.9999999999999998E-4</v>
      </c>
      <c r="C716" s="577">
        <v>2.07E-2</v>
      </c>
      <c r="D716" s="577">
        <v>1.0200000000000001E-2</v>
      </c>
      <c r="E716" s="577">
        <v>1.0191666666666668E-2</v>
      </c>
      <c r="F716" s="577">
        <v>1.0574999999999999E-2</v>
      </c>
      <c r="G716" s="577">
        <v>1.0383333333333333E-2</v>
      </c>
      <c r="H716" s="577">
        <v>1.1322250000000001E-2</v>
      </c>
      <c r="I716" s="577">
        <f t="shared" si="123"/>
        <v>-1.11E-2</v>
      </c>
      <c r="J716" s="577">
        <f t="shared" si="116"/>
        <v>-1.1283333333333333E-2</v>
      </c>
      <c r="K716" s="577">
        <f t="shared" si="117"/>
        <v>9.3777499999999989E-3</v>
      </c>
      <c r="L716" s="585">
        <f t="shared" si="113"/>
        <v>0.17638539419053023</v>
      </c>
      <c r="M716" s="585">
        <f t="shared" si="114"/>
        <v>0.12240000000000001</v>
      </c>
      <c r="N716" s="585">
        <f t="shared" si="118"/>
        <v>0.12459999999999999</v>
      </c>
      <c r="O716" s="586">
        <f t="shared" si="115"/>
        <v>5.3985394190530223E-2</v>
      </c>
      <c r="P716" s="585">
        <f t="shared" si="119"/>
        <v>5.1785394190530243E-2</v>
      </c>
      <c r="Q716" s="585">
        <f t="shared" si="120"/>
        <v>0.36950060369888016</v>
      </c>
      <c r="R716" s="585">
        <f t="shared" si="121"/>
        <v>0.13586700000000002</v>
      </c>
      <c r="S716" s="586">
        <f t="shared" si="122"/>
        <v>0.23363360369888014</v>
      </c>
      <c r="U716" s="587"/>
      <c r="V716" s="587"/>
      <c r="W716" s="587"/>
      <c r="X716" s="587"/>
      <c r="Y716" s="587"/>
      <c r="Z716" s="587"/>
      <c r="AA716" s="587"/>
      <c r="AB716" s="587"/>
      <c r="AC716" s="587"/>
      <c r="AE716" s="587"/>
      <c r="AF716" s="587"/>
      <c r="AG716" s="587"/>
      <c r="AH716" s="587"/>
      <c r="AI716" s="587"/>
      <c r="AJ716" s="587"/>
      <c r="AK716" s="587"/>
      <c r="AL716" s="587"/>
      <c r="AM716" s="587"/>
      <c r="AO716" s="587"/>
      <c r="AP716" s="587"/>
      <c r="AQ716" s="587"/>
      <c r="AR716" s="587"/>
      <c r="AS716" s="587"/>
      <c r="AT716" s="587"/>
      <c r="AU716" s="587"/>
      <c r="AV716" s="587"/>
      <c r="AW716" s="587"/>
    </row>
    <row r="717" spans="1:49">
      <c r="A717" s="581">
        <v>31168</v>
      </c>
      <c r="B717" s="594">
        <v>5.7799999999999997E-2</v>
      </c>
      <c r="C717" s="577">
        <v>6.0600000000000008E-2</v>
      </c>
      <c r="D717" s="577">
        <v>9.7000000000000003E-3</v>
      </c>
      <c r="E717" s="577">
        <v>9.7666666666666666E-3</v>
      </c>
      <c r="F717" s="577">
        <v>1.0250000000000002E-2</v>
      </c>
      <c r="G717" s="577">
        <v>1.0008333333333334E-2</v>
      </c>
      <c r="H717" s="577">
        <v>1.0978416666666666E-2</v>
      </c>
      <c r="I717" s="577">
        <f t="shared" si="123"/>
        <v>4.8099999999999997E-2</v>
      </c>
      <c r="J717" s="577">
        <f t="shared" si="116"/>
        <v>4.7791666666666663E-2</v>
      </c>
      <c r="K717" s="577">
        <f t="shared" si="117"/>
        <v>4.9621583333333344E-2</v>
      </c>
      <c r="L717" s="585">
        <f t="shared" si="113"/>
        <v>0.31736234382251016</v>
      </c>
      <c r="M717" s="585">
        <f t="shared" si="114"/>
        <v>0.1164</v>
      </c>
      <c r="N717" s="585">
        <f t="shared" si="118"/>
        <v>0.12010000000000001</v>
      </c>
      <c r="O717" s="586">
        <f t="shared" si="115"/>
        <v>0.20096234382251016</v>
      </c>
      <c r="P717" s="585">
        <f t="shared" si="119"/>
        <v>0.19726234382251015</v>
      </c>
      <c r="Q717" s="585">
        <f t="shared" si="120"/>
        <v>0.48668612106758635</v>
      </c>
      <c r="R717" s="585">
        <f t="shared" si="121"/>
        <v>0.131741</v>
      </c>
      <c r="S717" s="586">
        <f t="shared" si="122"/>
        <v>0.35494512106758636</v>
      </c>
      <c r="U717" s="587"/>
      <c r="V717" s="587"/>
      <c r="W717" s="587"/>
      <c r="X717" s="587"/>
      <c r="Y717" s="587"/>
      <c r="Z717" s="587"/>
      <c r="AA717" s="587"/>
      <c r="AB717" s="587"/>
      <c r="AC717" s="587"/>
      <c r="AE717" s="587"/>
      <c r="AF717" s="587"/>
      <c r="AG717" s="587"/>
      <c r="AH717" s="587"/>
      <c r="AI717" s="587"/>
      <c r="AJ717" s="587"/>
      <c r="AK717" s="587"/>
      <c r="AL717" s="587"/>
      <c r="AM717" s="587"/>
      <c r="AO717" s="587"/>
      <c r="AP717" s="587"/>
      <c r="AQ717" s="587"/>
      <c r="AR717" s="587"/>
      <c r="AS717" s="587"/>
      <c r="AT717" s="587"/>
      <c r="AU717" s="587"/>
      <c r="AV717" s="587"/>
      <c r="AW717" s="587"/>
    </row>
    <row r="718" spans="1:49">
      <c r="A718" s="581">
        <v>31199</v>
      </c>
      <c r="B718" s="594">
        <v>1.5699999999999999E-2</v>
      </c>
      <c r="C718" s="577">
        <v>2.7900000000000001E-2</v>
      </c>
      <c r="D718" s="577">
        <v>8.0000000000000002E-3</v>
      </c>
      <c r="E718" s="577">
        <v>9.116666666666667E-3</v>
      </c>
      <c r="F718" s="577">
        <v>9.5500000000000012E-3</v>
      </c>
      <c r="G718" s="577">
        <v>9.3333333333333341E-3</v>
      </c>
      <c r="H718" s="577">
        <v>1.0119583333333333E-2</v>
      </c>
      <c r="I718" s="577">
        <f t="shared" si="123"/>
        <v>7.6999999999999985E-3</v>
      </c>
      <c r="J718" s="577">
        <f t="shared" si="116"/>
        <v>6.3666666666666646E-3</v>
      </c>
      <c r="K718" s="577">
        <f t="shared" si="117"/>
        <v>1.7780416666666667E-2</v>
      </c>
      <c r="L718" s="585">
        <f t="shared" si="113"/>
        <v>0.30962604739211508</v>
      </c>
      <c r="M718" s="585">
        <f t="shared" si="114"/>
        <v>9.6000000000000002E-2</v>
      </c>
      <c r="N718" s="585">
        <f t="shared" si="118"/>
        <v>0.11200000000000002</v>
      </c>
      <c r="O718" s="586">
        <f t="shared" si="115"/>
        <v>0.21362604739211508</v>
      </c>
      <c r="P718" s="585">
        <f t="shared" si="119"/>
        <v>0.19762604739211506</v>
      </c>
      <c r="Q718" s="585">
        <f t="shared" si="120"/>
        <v>0.51769258500881121</v>
      </c>
      <c r="R718" s="585">
        <f t="shared" si="121"/>
        <v>0.12143499999999999</v>
      </c>
      <c r="S718" s="586">
        <f t="shared" si="122"/>
        <v>0.39625758500881125</v>
      </c>
      <c r="U718" s="587"/>
      <c r="V718" s="587"/>
      <c r="W718" s="587"/>
      <c r="X718" s="587"/>
      <c r="Y718" s="587"/>
      <c r="Z718" s="587"/>
      <c r="AA718" s="587"/>
      <c r="AB718" s="587"/>
      <c r="AC718" s="587"/>
      <c r="AE718" s="587"/>
      <c r="AF718" s="587"/>
      <c r="AG718" s="587"/>
      <c r="AH718" s="587"/>
      <c r="AI718" s="587"/>
      <c r="AJ718" s="587"/>
      <c r="AK718" s="587"/>
      <c r="AL718" s="587"/>
      <c r="AM718" s="587"/>
      <c r="AO718" s="587"/>
      <c r="AP718" s="587"/>
      <c r="AQ718" s="587"/>
      <c r="AR718" s="587"/>
      <c r="AS718" s="587"/>
      <c r="AT718" s="587"/>
      <c r="AU718" s="587"/>
      <c r="AV718" s="587"/>
      <c r="AW718" s="587"/>
    </row>
    <row r="719" spans="1:49">
      <c r="A719" s="581">
        <v>31229</v>
      </c>
      <c r="B719" s="594">
        <v>-1.5E-3</v>
      </c>
      <c r="C719" s="577">
        <v>-4.2700000000000002E-2</v>
      </c>
      <c r="D719" s="577">
        <v>9.4000000000000004E-3</v>
      </c>
      <c r="E719" s="577">
        <v>9.141666666666666E-3</v>
      </c>
      <c r="F719" s="577">
        <v>9.5166666666666663E-3</v>
      </c>
      <c r="G719" s="577">
        <v>9.3291666666666662E-3</v>
      </c>
      <c r="H719" s="577">
        <v>1.0053750000000002E-2</v>
      </c>
      <c r="I719" s="577">
        <f t="shared" si="123"/>
        <v>-1.09E-2</v>
      </c>
      <c r="J719" s="577">
        <f t="shared" si="116"/>
        <v>-1.0829166666666666E-2</v>
      </c>
      <c r="K719" s="577">
        <f t="shared" si="117"/>
        <v>-5.2753750000000002E-2</v>
      </c>
      <c r="L719" s="585">
        <f t="shared" si="113"/>
        <v>0.3240802028361951</v>
      </c>
      <c r="M719" s="585">
        <f t="shared" si="114"/>
        <v>0.11280000000000001</v>
      </c>
      <c r="N719" s="585">
        <f t="shared" si="118"/>
        <v>0.11194999999999999</v>
      </c>
      <c r="O719" s="586">
        <f t="shared" si="115"/>
        <v>0.21128020283619509</v>
      </c>
      <c r="P719" s="585">
        <f t="shared" si="119"/>
        <v>0.2121302028361951</v>
      </c>
      <c r="Q719" s="585">
        <f t="shared" si="120"/>
        <v>0.39258804910278511</v>
      </c>
      <c r="R719" s="585">
        <f t="shared" si="121"/>
        <v>0.12064500000000003</v>
      </c>
      <c r="S719" s="586">
        <f t="shared" si="122"/>
        <v>0.27194304910278511</v>
      </c>
      <c r="U719" s="587"/>
      <c r="V719" s="587"/>
      <c r="W719" s="587"/>
      <c r="X719" s="587"/>
      <c r="Y719" s="587"/>
      <c r="Z719" s="587"/>
      <c r="AA719" s="587"/>
      <c r="AB719" s="587"/>
      <c r="AC719" s="587"/>
      <c r="AE719" s="587"/>
      <c r="AF719" s="587"/>
      <c r="AG719" s="587"/>
      <c r="AH719" s="587"/>
      <c r="AI719" s="587"/>
      <c r="AJ719" s="587"/>
      <c r="AK719" s="587"/>
      <c r="AL719" s="587"/>
      <c r="AM719" s="587"/>
      <c r="AO719" s="587"/>
      <c r="AP719" s="587"/>
      <c r="AQ719" s="587"/>
      <c r="AR719" s="587"/>
      <c r="AS719" s="587"/>
      <c r="AT719" s="587"/>
      <c r="AU719" s="587"/>
      <c r="AV719" s="587"/>
      <c r="AW719" s="587"/>
    </row>
    <row r="720" spans="1:49">
      <c r="A720" s="581">
        <v>31260</v>
      </c>
      <c r="B720" s="594">
        <v>-8.5000000000000006E-3</v>
      </c>
      <c r="C720" s="577">
        <v>1.8099999999999998E-2</v>
      </c>
      <c r="D720" s="577">
        <v>8.5000000000000006E-3</v>
      </c>
      <c r="E720" s="577">
        <v>9.208333333333334E-3</v>
      </c>
      <c r="F720" s="577">
        <v>9.5583333333333336E-3</v>
      </c>
      <c r="G720" s="577">
        <v>9.3833333333333338E-3</v>
      </c>
      <c r="H720" s="577">
        <v>1.0114416666666666E-2</v>
      </c>
      <c r="I720" s="577">
        <f t="shared" si="123"/>
        <v>-1.7000000000000001E-2</v>
      </c>
      <c r="J720" s="577">
        <f t="shared" si="116"/>
        <v>-1.7883333333333334E-2</v>
      </c>
      <c r="K720" s="577">
        <f t="shared" si="117"/>
        <v>7.9855833333333324E-3</v>
      </c>
      <c r="L720" s="585">
        <f t="shared" ref="L720:L783" si="124">((1+B709)*(1+B710)*(1+B711)*(1+B712)*(1+B713)*(1+B714)*(1+B715)*(1+B716)*(1+B717)*(1+B718)*(1+B719)*(1+B720))-1</f>
        <v>0.18229964077097249</v>
      </c>
      <c r="M720" s="585">
        <f t="shared" ref="M720:M783" si="125">D720*12</f>
        <v>0.10200000000000001</v>
      </c>
      <c r="N720" s="585">
        <f t="shared" si="118"/>
        <v>0.11260000000000001</v>
      </c>
      <c r="O720" s="586">
        <f t="shared" ref="O720:O783" si="126">L720-M720</f>
        <v>8.0299640770972486E-2</v>
      </c>
      <c r="P720" s="585">
        <f t="shared" si="119"/>
        <v>6.9699640770972487E-2</v>
      </c>
      <c r="Q720" s="585">
        <f t="shared" si="120"/>
        <v>0.33176206349008575</v>
      </c>
      <c r="R720" s="585">
        <f t="shared" si="121"/>
        <v>0.12137299999999998</v>
      </c>
      <c r="S720" s="586">
        <f t="shared" si="122"/>
        <v>0.21038906349008576</v>
      </c>
      <c r="U720" s="587"/>
      <c r="V720" s="587"/>
      <c r="W720" s="587"/>
      <c r="X720" s="587"/>
      <c r="Y720" s="587"/>
      <c r="Z720" s="587"/>
      <c r="AA720" s="587"/>
      <c r="AB720" s="587"/>
      <c r="AC720" s="587"/>
      <c r="AE720" s="587"/>
      <c r="AF720" s="587"/>
      <c r="AG720" s="587"/>
      <c r="AH720" s="587"/>
      <c r="AI720" s="587"/>
      <c r="AJ720" s="587"/>
      <c r="AK720" s="587"/>
      <c r="AL720" s="587"/>
      <c r="AM720" s="587"/>
      <c r="AO720" s="587"/>
      <c r="AP720" s="587"/>
      <c r="AQ720" s="587"/>
      <c r="AR720" s="587"/>
      <c r="AS720" s="587"/>
      <c r="AT720" s="587"/>
      <c r="AU720" s="587"/>
      <c r="AV720" s="587"/>
      <c r="AW720" s="587"/>
    </row>
    <row r="721" spans="1:49">
      <c r="A721" s="581">
        <v>31291</v>
      </c>
      <c r="B721" s="594">
        <v>-3.1300000000000001E-2</v>
      </c>
      <c r="C721" s="577">
        <v>-5.21E-2</v>
      </c>
      <c r="D721" s="577">
        <v>8.8000000000000005E-3</v>
      </c>
      <c r="E721" s="577">
        <v>9.2250000000000006E-3</v>
      </c>
      <c r="F721" s="577">
        <v>9.5500000000000012E-3</v>
      </c>
      <c r="G721" s="577">
        <v>9.3875E-3</v>
      </c>
      <c r="H721" s="577">
        <v>1.0110083333333332E-2</v>
      </c>
      <c r="I721" s="577">
        <f t="shared" si="123"/>
        <v>-4.0100000000000004E-2</v>
      </c>
      <c r="J721" s="577">
        <f t="shared" si="116"/>
        <v>-4.0687500000000001E-2</v>
      </c>
      <c r="K721" s="577">
        <f t="shared" si="117"/>
        <v>-6.2210083333333333E-2</v>
      </c>
      <c r="L721" s="585">
        <f t="shared" si="124"/>
        <v>0.14506464908502381</v>
      </c>
      <c r="M721" s="585">
        <f t="shared" si="125"/>
        <v>0.1056</v>
      </c>
      <c r="N721" s="585">
        <f t="shared" si="118"/>
        <v>0.11265</v>
      </c>
      <c r="O721" s="586">
        <f t="shared" si="126"/>
        <v>3.9464649085023812E-2</v>
      </c>
      <c r="P721" s="585">
        <f t="shared" si="119"/>
        <v>3.2414649085023811E-2</v>
      </c>
      <c r="Q721" s="585">
        <f t="shared" si="120"/>
        <v>0.20940530751317499</v>
      </c>
      <c r="R721" s="585">
        <f t="shared" si="121"/>
        <v>0.12132099999999998</v>
      </c>
      <c r="S721" s="586">
        <f t="shared" si="122"/>
        <v>8.8084307513175003E-2</v>
      </c>
      <c r="U721" s="587"/>
      <c r="V721" s="587"/>
      <c r="W721" s="587"/>
      <c r="X721" s="587"/>
      <c r="Y721" s="587"/>
      <c r="Z721" s="587"/>
      <c r="AA721" s="587"/>
      <c r="AB721" s="587"/>
      <c r="AC721" s="587"/>
      <c r="AE721" s="587"/>
      <c r="AF721" s="587"/>
      <c r="AG721" s="587"/>
      <c r="AH721" s="587"/>
      <c r="AI721" s="587"/>
      <c r="AJ721" s="587"/>
      <c r="AK721" s="587"/>
      <c r="AL721" s="587"/>
      <c r="AM721" s="587"/>
      <c r="AO721" s="587"/>
      <c r="AP721" s="587"/>
      <c r="AQ721" s="587"/>
      <c r="AR721" s="587"/>
      <c r="AS721" s="587"/>
      <c r="AT721" s="587"/>
      <c r="AU721" s="587"/>
      <c r="AV721" s="587"/>
      <c r="AW721" s="587"/>
    </row>
    <row r="722" spans="1:49">
      <c r="A722" s="581">
        <v>31321</v>
      </c>
      <c r="B722" s="594">
        <v>4.6199999999999998E-2</v>
      </c>
      <c r="C722" s="577">
        <v>6.3799999999999996E-2</v>
      </c>
      <c r="D722" s="577">
        <v>8.8999999999999999E-3</v>
      </c>
      <c r="E722" s="577">
        <v>9.1833333333333333E-3</v>
      </c>
      <c r="F722" s="577">
        <v>9.5416666666666653E-3</v>
      </c>
      <c r="G722" s="577">
        <v>9.362500000000001E-3</v>
      </c>
      <c r="H722" s="577">
        <v>1.0011583333333334E-2</v>
      </c>
      <c r="I722" s="577">
        <f t="shared" si="123"/>
        <v>3.73E-2</v>
      </c>
      <c r="J722" s="577">
        <f t="shared" si="116"/>
        <v>3.6837499999999995E-2</v>
      </c>
      <c r="K722" s="577">
        <f t="shared" si="117"/>
        <v>5.3788416666666658E-2</v>
      </c>
      <c r="L722" s="585">
        <f t="shared" si="124"/>
        <v>0.19331271627926272</v>
      </c>
      <c r="M722" s="585">
        <f t="shared" si="125"/>
        <v>0.10680000000000001</v>
      </c>
      <c r="N722" s="585">
        <f t="shared" si="118"/>
        <v>0.11235000000000001</v>
      </c>
      <c r="O722" s="586">
        <f t="shared" si="126"/>
        <v>8.6512716279262714E-2</v>
      </c>
      <c r="P722" s="585">
        <f t="shared" si="119"/>
        <v>8.0962716279262714E-2</v>
      </c>
      <c r="Q722" s="585">
        <f t="shared" si="120"/>
        <v>0.25249743587667028</v>
      </c>
      <c r="R722" s="585">
        <f t="shared" si="121"/>
        <v>0.12013900000000001</v>
      </c>
      <c r="S722" s="586">
        <f t="shared" si="122"/>
        <v>0.13235843587667029</v>
      </c>
      <c r="U722" s="587"/>
      <c r="V722" s="587"/>
      <c r="W722" s="587"/>
      <c r="X722" s="587"/>
      <c r="Y722" s="587"/>
      <c r="Z722" s="587"/>
      <c r="AA722" s="587"/>
      <c r="AB722" s="587"/>
      <c r="AC722" s="587"/>
      <c r="AE722" s="587"/>
      <c r="AF722" s="587"/>
      <c r="AG722" s="587"/>
      <c r="AH722" s="587"/>
      <c r="AI722" s="587"/>
      <c r="AJ722" s="587"/>
      <c r="AK722" s="587"/>
      <c r="AL722" s="587"/>
      <c r="AM722" s="587"/>
      <c r="AO722" s="587"/>
      <c r="AP722" s="587"/>
      <c r="AQ722" s="587"/>
      <c r="AR722" s="587"/>
      <c r="AS722" s="587"/>
      <c r="AT722" s="587"/>
      <c r="AU722" s="587"/>
      <c r="AV722" s="587"/>
      <c r="AW722" s="587"/>
    </row>
    <row r="723" spans="1:49">
      <c r="A723" s="581">
        <v>31352</v>
      </c>
      <c r="B723" s="594">
        <v>6.8599999999999994E-2</v>
      </c>
      <c r="C723" s="577">
        <v>5.2200000000000003E-2</v>
      </c>
      <c r="D723" s="577">
        <v>8.0999999999999996E-3</v>
      </c>
      <c r="E723" s="577">
        <v>8.7916666666666681E-3</v>
      </c>
      <c r="F723" s="577">
        <v>9.2250000000000006E-3</v>
      </c>
      <c r="G723" s="577">
        <v>9.0083333333333335E-3</v>
      </c>
      <c r="H723" s="577">
        <v>9.5949999999999994E-3</v>
      </c>
      <c r="I723" s="577">
        <f t="shared" si="123"/>
        <v>6.0499999999999998E-2</v>
      </c>
      <c r="J723" s="577">
        <f t="shared" si="116"/>
        <v>5.9591666666666661E-2</v>
      </c>
      <c r="K723" s="577">
        <f t="shared" si="117"/>
        <v>4.2605000000000004E-2</v>
      </c>
      <c r="L723" s="585">
        <f t="shared" si="124"/>
        <v>0.2896176867071405</v>
      </c>
      <c r="M723" s="585">
        <f t="shared" si="125"/>
        <v>9.7199999999999995E-2</v>
      </c>
      <c r="N723" s="585">
        <f t="shared" si="118"/>
        <v>0.1081</v>
      </c>
      <c r="O723" s="586">
        <f t="shared" si="126"/>
        <v>0.19241768670714049</v>
      </c>
      <c r="P723" s="585">
        <f t="shared" si="119"/>
        <v>0.1815176867071405</v>
      </c>
      <c r="Q723" s="585">
        <f t="shared" si="120"/>
        <v>0.28323057646488103</v>
      </c>
      <c r="R723" s="585">
        <f t="shared" si="121"/>
        <v>0.11513999999999999</v>
      </c>
      <c r="S723" s="586">
        <f t="shared" si="122"/>
        <v>0.16809057646488104</v>
      </c>
      <c r="U723" s="587"/>
      <c r="V723" s="587"/>
      <c r="W723" s="587"/>
      <c r="X723" s="587"/>
      <c r="Y723" s="587"/>
      <c r="Z723" s="587"/>
      <c r="AA723" s="587"/>
      <c r="AB723" s="587"/>
      <c r="AC723" s="587"/>
      <c r="AE723" s="587"/>
      <c r="AF723" s="587"/>
      <c r="AG723" s="587"/>
      <c r="AH723" s="587"/>
      <c r="AI723" s="587"/>
      <c r="AJ723" s="587"/>
      <c r="AK723" s="587"/>
      <c r="AL723" s="587"/>
      <c r="AM723" s="587"/>
      <c r="AO723" s="587"/>
      <c r="AP723" s="587"/>
      <c r="AQ723" s="587"/>
      <c r="AR723" s="587"/>
      <c r="AS723" s="587"/>
      <c r="AT723" s="587"/>
      <c r="AU723" s="587"/>
      <c r="AV723" s="587"/>
      <c r="AW723" s="587"/>
    </row>
    <row r="724" spans="1:49">
      <c r="A724" s="581">
        <v>31382</v>
      </c>
      <c r="B724" s="594">
        <v>4.8399999999999999E-2</v>
      </c>
      <c r="C724" s="577">
        <v>6.9400000000000003E-2</v>
      </c>
      <c r="D724" s="577">
        <v>8.6E-3</v>
      </c>
      <c r="E724" s="577">
        <v>8.4666666666666675E-3</v>
      </c>
      <c r="F724" s="577">
        <v>8.8583333333333344E-3</v>
      </c>
      <c r="G724" s="577">
        <v>8.6625000000000001E-3</v>
      </c>
      <c r="H724" s="577">
        <v>9.173333333333332E-3</v>
      </c>
      <c r="I724" s="577">
        <f t="shared" si="123"/>
        <v>3.9800000000000002E-2</v>
      </c>
      <c r="J724" s="577">
        <f t="shared" si="116"/>
        <v>3.9737499999999995E-2</v>
      </c>
      <c r="K724" s="577">
        <f t="shared" si="117"/>
        <v>6.0226666666666671E-2</v>
      </c>
      <c r="L724" s="585">
        <f t="shared" si="124"/>
        <v>0.31738788146133268</v>
      </c>
      <c r="M724" s="585">
        <f t="shared" si="125"/>
        <v>0.1032</v>
      </c>
      <c r="N724" s="585">
        <f t="shared" si="118"/>
        <v>0.10395</v>
      </c>
      <c r="O724" s="586">
        <f t="shared" si="126"/>
        <v>0.21418788146133266</v>
      </c>
      <c r="P724" s="585">
        <f t="shared" si="119"/>
        <v>0.21343788146133269</v>
      </c>
      <c r="Q724" s="585">
        <f t="shared" si="120"/>
        <v>0.33025085156217893</v>
      </c>
      <c r="R724" s="585">
        <f t="shared" si="121"/>
        <v>0.11007999999999998</v>
      </c>
      <c r="S724" s="586">
        <f t="shared" si="122"/>
        <v>0.22017085156217894</v>
      </c>
      <c r="U724" s="587"/>
      <c r="V724" s="587"/>
      <c r="W724" s="587"/>
      <c r="X724" s="587"/>
      <c r="Y724" s="587"/>
      <c r="Z724" s="587"/>
      <c r="AA724" s="587"/>
      <c r="AB724" s="587"/>
      <c r="AC724" s="587"/>
      <c r="AE724" s="587"/>
      <c r="AF724" s="587"/>
      <c r="AG724" s="587"/>
      <c r="AH724" s="587"/>
      <c r="AI724" s="587"/>
      <c r="AJ724" s="587"/>
      <c r="AK724" s="587"/>
      <c r="AL724" s="587"/>
      <c r="AM724" s="587"/>
      <c r="AO724" s="587"/>
      <c r="AP724" s="587"/>
      <c r="AQ724" s="587"/>
      <c r="AR724" s="587"/>
      <c r="AS724" s="587"/>
      <c r="AT724" s="587"/>
      <c r="AU724" s="587"/>
      <c r="AV724" s="587"/>
      <c r="AW724" s="587"/>
    </row>
    <row r="725" spans="1:49">
      <c r="A725" s="581">
        <v>31413</v>
      </c>
      <c r="B725" s="594">
        <v>5.5999999999999999E-3</v>
      </c>
      <c r="C725" s="577">
        <v>2.9300000000000003E-2</v>
      </c>
      <c r="D725" s="577">
        <v>7.9000000000000008E-3</v>
      </c>
      <c r="E725" s="577">
        <v>8.3750000000000005E-3</v>
      </c>
      <c r="F725" s="577">
        <v>8.7166666666666677E-3</v>
      </c>
      <c r="G725" s="577">
        <v>8.5458333333333341E-3</v>
      </c>
      <c r="H725" s="577">
        <v>8.9988333333333344E-3</v>
      </c>
      <c r="I725" s="577">
        <f t="shared" si="123"/>
        <v>-2.3000000000000008E-3</v>
      </c>
      <c r="J725" s="577">
        <f t="shared" si="116"/>
        <v>-2.9458333333333342E-3</v>
      </c>
      <c r="K725" s="577">
        <f t="shared" si="117"/>
        <v>2.0301166666666669E-2</v>
      </c>
      <c r="L725" s="585">
        <f t="shared" si="124"/>
        <v>0.22902426347297222</v>
      </c>
      <c r="M725" s="585">
        <f t="shared" si="125"/>
        <v>9.4800000000000009E-2</v>
      </c>
      <c r="N725" s="585">
        <f t="shared" si="118"/>
        <v>0.10255</v>
      </c>
      <c r="O725" s="586">
        <f t="shared" si="126"/>
        <v>0.13422426347297223</v>
      </c>
      <c r="P725" s="585">
        <f t="shared" si="119"/>
        <v>0.12647426347297222</v>
      </c>
      <c r="Q725" s="585">
        <f t="shared" si="120"/>
        <v>0.33778915633898454</v>
      </c>
      <c r="R725" s="585">
        <f t="shared" si="121"/>
        <v>0.10798600000000001</v>
      </c>
      <c r="S725" s="586">
        <f t="shared" si="122"/>
        <v>0.22980315633898452</v>
      </c>
      <c r="U725" s="587"/>
      <c r="V725" s="587"/>
      <c r="W725" s="587"/>
      <c r="X725" s="587"/>
      <c r="Y725" s="587"/>
      <c r="Z725" s="587"/>
      <c r="AA725" s="587"/>
      <c r="AB725" s="587"/>
      <c r="AC725" s="587"/>
      <c r="AE725" s="587"/>
      <c r="AF725" s="587"/>
      <c r="AG725" s="587"/>
      <c r="AH725" s="587"/>
      <c r="AI725" s="587"/>
      <c r="AJ725" s="587"/>
      <c r="AK725" s="587"/>
      <c r="AL725" s="587"/>
      <c r="AM725" s="587"/>
      <c r="AO725" s="587"/>
      <c r="AP725" s="587"/>
      <c r="AQ725" s="587"/>
      <c r="AR725" s="587"/>
      <c r="AS725" s="587"/>
      <c r="AT725" s="587"/>
      <c r="AU725" s="587"/>
      <c r="AV725" s="587"/>
      <c r="AW725" s="587"/>
    </row>
    <row r="726" spans="1:49">
      <c r="A726" s="581">
        <v>31444</v>
      </c>
      <c r="B726" s="594">
        <v>7.4700000000000003E-2</v>
      </c>
      <c r="C726" s="577">
        <v>6.2300000000000001E-2</v>
      </c>
      <c r="D726" s="577">
        <v>7.3000000000000001E-3</v>
      </c>
      <c r="E726" s="577">
        <v>8.0583333333333323E-3</v>
      </c>
      <c r="F726" s="577">
        <v>8.4416666666666668E-3</v>
      </c>
      <c r="G726" s="577">
        <v>8.2500000000000004E-3</v>
      </c>
      <c r="H726" s="577">
        <v>8.5969166666666659E-3</v>
      </c>
      <c r="I726" s="577">
        <f t="shared" si="123"/>
        <v>6.7400000000000002E-2</v>
      </c>
      <c r="J726" s="577">
        <f t="shared" si="116"/>
        <v>6.6450000000000009E-2</v>
      </c>
      <c r="K726" s="577">
        <f t="shared" si="117"/>
        <v>5.3703083333333332E-2</v>
      </c>
      <c r="L726" s="585">
        <f t="shared" si="124"/>
        <v>0.30491244413594454</v>
      </c>
      <c r="M726" s="585">
        <f t="shared" si="125"/>
        <v>8.7599999999999997E-2</v>
      </c>
      <c r="N726" s="585">
        <f t="shared" si="118"/>
        <v>9.9000000000000005E-2</v>
      </c>
      <c r="O726" s="586">
        <f t="shared" si="126"/>
        <v>0.21731244413594453</v>
      </c>
      <c r="P726" s="585">
        <f t="shared" si="119"/>
        <v>0.20591244413594453</v>
      </c>
      <c r="Q726" s="585">
        <f t="shared" si="120"/>
        <v>0.39422488058363925</v>
      </c>
      <c r="R726" s="585">
        <f t="shared" si="121"/>
        <v>0.10316299999999999</v>
      </c>
      <c r="S726" s="586">
        <f t="shared" si="122"/>
        <v>0.29106188058363924</v>
      </c>
      <c r="U726" s="587"/>
      <c r="V726" s="587"/>
      <c r="W726" s="587"/>
      <c r="X726" s="587"/>
      <c r="Y726" s="587"/>
      <c r="Z726" s="587"/>
      <c r="AA726" s="587"/>
      <c r="AB726" s="587"/>
      <c r="AC726" s="587"/>
      <c r="AE726" s="587"/>
      <c r="AF726" s="587"/>
      <c r="AG726" s="587"/>
      <c r="AH726" s="587"/>
      <c r="AI726" s="587"/>
      <c r="AJ726" s="587"/>
      <c r="AK726" s="587"/>
      <c r="AL726" s="587"/>
      <c r="AM726" s="587"/>
      <c r="AO726" s="587"/>
      <c r="AP726" s="587"/>
      <c r="AQ726" s="587"/>
      <c r="AR726" s="587"/>
      <c r="AS726" s="587"/>
      <c r="AT726" s="587"/>
      <c r="AU726" s="587"/>
      <c r="AV726" s="587"/>
      <c r="AW726" s="587"/>
    </row>
    <row r="727" spans="1:49">
      <c r="A727" s="581">
        <v>31472</v>
      </c>
      <c r="B727" s="594">
        <v>5.5800000000000002E-2</v>
      </c>
      <c r="C727" s="577">
        <v>5.1400000000000008E-2</v>
      </c>
      <c r="D727" s="577">
        <v>7.1000000000000004E-3</v>
      </c>
      <c r="E727" s="577">
        <v>7.4999999999999997E-3</v>
      </c>
      <c r="F727" s="577">
        <v>7.9083333333333332E-3</v>
      </c>
      <c r="G727" s="577">
        <v>7.7041666666666673E-3</v>
      </c>
      <c r="H727" s="577">
        <v>7.9274999999999988E-3</v>
      </c>
      <c r="I727" s="577">
        <f t="shared" si="123"/>
        <v>4.87E-2</v>
      </c>
      <c r="J727" s="577">
        <f t="shared" si="116"/>
        <v>4.8095833333333338E-2</v>
      </c>
      <c r="K727" s="577">
        <f t="shared" si="117"/>
        <v>4.3472500000000011E-2</v>
      </c>
      <c r="L727" s="585">
        <f t="shared" si="124"/>
        <v>0.37676282454155108</v>
      </c>
      <c r="M727" s="585">
        <f t="shared" si="125"/>
        <v>8.5199999999999998E-2</v>
      </c>
      <c r="N727" s="585">
        <f t="shared" si="118"/>
        <v>9.2450000000000004E-2</v>
      </c>
      <c r="O727" s="586">
        <f t="shared" si="126"/>
        <v>0.29156282454155108</v>
      </c>
      <c r="P727" s="585">
        <f t="shared" si="119"/>
        <v>0.28431282454155105</v>
      </c>
      <c r="Q727" s="585">
        <f t="shared" si="120"/>
        <v>0.41467674140671495</v>
      </c>
      <c r="R727" s="585">
        <f t="shared" si="121"/>
        <v>9.5129999999999992E-2</v>
      </c>
      <c r="S727" s="586">
        <f t="shared" si="122"/>
        <v>0.31954674140671496</v>
      </c>
      <c r="U727" s="587"/>
      <c r="V727" s="587"/>
      <c r="W727" s="587"/>
      <c r="X727" s="587"/>
      <c r="Y727" s="587"/>
      <c r="Z727" s="587"/>
      <c r="AA727" s="587"/>
      <c r="AB727" s="587"/>
      <c r="AC727" s="587"/>
      <c r="AE727" s="587"/>
      <c r="AF727" s="587"/>
      <c r="AG727" s="587"/>
      <c r="AH727" s="587"/>
      <c r="AI727" s="587"/>
      <c r="AJ727" s="587"/>
      <c r="AK727" s="587"/>
      <c r="AL727" s="587"/>
      <c r="AM727" s="587"/>
      <c r="AO727" s="587"/>
      <c r="AP727" s="587"/>
      <c r="AQ727" s="587"/>
      <c r="AR727" s="587"/>
      <c r="AS727" s="587"/>
      <c r="AT727" s="587"/>
      <c r="AU727" s="587"/>
      <c r="AV727" s="587"/>
      <c r="AW727" s="587"/>
    </row>
    <row r="728" spans="1:49">
      <c r="A728" s="581">
        <v>31503</v>
      </c>
      <c r="B728" s="594">
        <v>-1.1299999999999999E-2</v>
      </c>
      <c r="C728" s="577">
        <v>-3.3300000000000003E-2</v>
      </c>
      <c r="D728" s="577">
        <v>6.3E-3</v>
      </c>
      <c r="E728" s="577">
        <v>7.324999999999999E-3</v>
      </c>
      <c r="F728" s="577">
        <v>7.6750000000000004E-3</v>
      </c>
      <c r="G728" s="577">
        <v>7.4999999999999997E-3</v>
      </c>
      <c r="H728" s="577">
        <v>7.609083333333334E-3</v>
      </c>
      <c r="I728" s="577">
        <f t="shared" si="123"/>
        <v>-1.7599999999999998E-2</v>
      </c>
      <c r="J728" s="577">
        <f t="shared" si="116"/>
        <v>-1.8799999999999997E-2</v>
      </c>
      <c r="K728" s="577">
        <f t="shared" si="117"/>
        <v>-4.0909083333333339E-2</v>
      </c>
      <c r="L728" s="585">
        <f t="shared" si="124"/>
        <v>0.362431593057984</v>
      </c>
      <c r="M728" s="585">
        <f t="shared" si="125"/>
        <v>7.5600000000000001E-2</v>
      </c>
      <c r="N728" s="585">
        <f t="shared" si="118"/>
        <v>0.09</v>
      </c>
      <c r="O728" s="586">
        <f t="shared" si="126"/>
        <v>0.286831593057984</v>
      </c>
      <c r="P728" s="585">
        <f t="shared" si="119"/>
        <v>0.27243159305798403</v>
      </c>
      <c r="Q728" s="585">
        <f t="shared" si="120"/>
        <v>0.33983345343183236</v>
      </c>
      <c r="R728" s="585">
        <f t="shared" si="121"/>
        <v>9.1309000000000001E-2</v>
      </c>
      <c r="S728" s="586">
        <f t="shared" si="122"/>
        <v>0.24852445343183235</v>
      </c>
      <c r="U728" s="587"/>
      <c r="V728" s="587"/>
      <c r="W728" s="587"/>
      <c r="X728" s="587"/>
      <c r="Y728" s="587"/>
      <c r="Z728" s="587"/>
      <c r="AA728" s="587"/>
      <c r="AB728" s="587"/>
      <c r="AC728" s="587"/>
      <c r="AE728" s="587"/>
      <c r="AF728" s="587"/>
      <c r="AG728" s="587"/>
      <c r="AH728" s="587"/>
      <c r="AI728" s="587"/>
      <c r="AJ728" s="587"/>
      <c r="AK728" s="587"/>
      <c r="AL728" s="587"/>
      <c r="AM728" s="587"/>
      <c r="AO728" s="587"/>
      <c r="AP728" s="587"/>
      <c r="AQ728" s="587"/>
      <c r="AR728" s="587"/>
      <c r="AS728" s="587"/>
      <c r="AT728" s="587"/>
      <c r="AU728" s="587"/>
      <c r="AV728" s="587"/>
      <c r="AW728" s="587"/>
    </row>
    <row r="729" spans="1:49">
      <c r="A729" s="581">
        <v>31533</v>
      </c>
      <c r="B729" s="594">
        <v>5.3199999999999997E-2</v>
      </c>
      <c r="C729" s="577">
        <v>5.2500000000000012E-2</v>
      </c>
      <c r="D729" s="577">
        <v>6.1999999999999998E-3</v>
      </c>
      <c r="E729" s="577">
        <v>7.5749999999999993E-3</v>
      </c>
      <c r="F729" s="577">
        <v>7.8583333333333335E-3</v>
      </c>
      <c r="G729" s="577">
        <v>7.7166666666666659E-3</v>
      </c>
      <c r="H729" s="577">
        <v>7.9722500000000002E-3</v>
      </c>
      <c r="I729" s="577">
        <f t="shared" si="123"/>
        <v>4.7E-2</v>
      </c>
      <c r="J729" s="577">
        <f t="shared" si="116"/>
        <v>4.5483333333333334E-2</v>
      </c>
      <c r="K729" s="577">
        <f t="shared" si="117"/>
        <v>4.4527750000000012E-2</v>
      </c>
      <c r="L729" s="585">
        <f t="shared" si="124"/>
        <v>0.35650685744816468</v>
      </c>
      <c r="M729" s="585">
        <f t="shared" si="125"/>
        <v>7.4399999999999994E-2</v>
      </c>
      <c r="N729" s="585">
        <f t="shared" si="118"/>
        <v>9.2599999999999988E-2</v>
      </c>
      <c r="O729" s="586">
        <f t="shared" si="126"/>
        <v>0.28210685744816466</v>
      </c>
      <c r="P729" s="585">
        <f t="shared" si="119"/>
        <v>0.26390685744816467</v>
      </c>
      <c r="Q729" s="585">
        <f t="shared" si="120"/>
        <v>0.3296008954714349</v>
      </c>
      <c r="R729" s="585">
        <f t="shared" si="121"/>
        <v>9.5667000000000002E-2</v>
      </c>
      <c r="S729" s="586">
        <f t="shared" si="122"/>
        <v>0.23393389547143489</v>
      </c>
      <c r="U729" s="587"/>
      <c r="V729" s="587"/>
      <c r="W729" s="587"/>
      <c r="X729" s="587"/>
      <c r="Y729" s="587"/>
      <c r="Z729" s="587"/>
      <c r="AA729" s="587"/>
      <c r="AB729" s="587"/>
      <c r="AC729" s="587"/>
      <c r="AE729" s="587"/>
      <c r="AF729" s="587"/>
      <c r="AG729" s="587"/>
      <c r="AH729" s="587"/>
      <c r="AI729" s="587"/>
      <c r="AJ729" s="587"/>
      <c r="AK729" s="587"/>
      <c r="AL729" s="587"/>
      <c r="AM729" s="587"/>
      <c r="AO729" s="587"/>
      <c r="AP729" s="587"/>
      <c r="AQ729" s="587"/>
      <c r="AR729" s="587"/>
      <c r="AS729" s="587"/>
      <c r="AT729" s="587"/>
      <c r="AU729" s="587"/>
      <c r="AV729" s="587"/>
      <c r="AW729" s="587"/>
    </row>
    <row r="730" spans="1:49">
      <c r="A730" s="581">
        <v>31564</v>
      </c>
      <c r="B730" s="594">
        <v>1.6899999999999998E-2</v>
      </c>
      <c r="C730" s="577">
        <v>5.9699999999999996E-2</v>
      </c>
      <c r="D730" s="577">
        <v>7.000000000000001E-3</v>
      </c>
      <c r="E730" s="577">
        <v>7.6083333333333333E-3</v>
      </c>
      <c r="F730" s="577">
        <v>7.9083333333333332E-3</v>
      </c>
      <c r="G730" s="577">
        <v>7.7583333333333341E-3</v>
      </c>
      <c r="H730" s="577">
        <v>8.0456666666666662E-3</v>
      </c>
      <c r="I730" s="577">
        <f t="shared" si="123"/>
        <v>9.8999999999999973E-3</v>
      </c>
      <c r="J730" s="577">
        <f t="shared" si="116"/>
        <v>9.1416666666666643E-3</v>
      </c>
      <c r="K730" s="577">
        <f t="shared" si="117"/>
        <v>5.165433333333333E-2</v>
      </c>
      <c r="L730" s="585">
        <f t="shared" si="124"/>
        <v>0.35810950412428655</v>
      </c>
      <c r="M730" s="585">
        <f t="shared" si="125"/>
        <v>8.4000000000000019E-2</v>
      </c>
      <c r="N730" s="585">
        <f t="shared" si="118"/>
        <v>9.3100000000000016E-2</v>
      </c>
      <c r="O730" s="586">
        <f t="shared" si="126"/>
        <v>0.27410950412428653</v>
      </c>
      <c r="P730" s="585">
        <f t="shared" si="119"/>
        <v>0.26500950412428653</v>
      </c>
      <c r="Q730" s="585">
        <f t="shared" si="120"/>
        <v>0.37073457430788936</v>
      </c>
      <c r="R730" s="585">
        <f t="shared" si="121"/>
        <v>9.6547999999999995E-2</v>
      </c>
      <c r="S730" s="586">
        <f t="shared" si="122"/>
        <v>0.2741865743078894</v>
      </c>
      <c r="U730" s="587"/>
      <c r="V730" s="587"/>
      <c r="W730" s="587"/>
      <c r="X730" s="587"/>
      <c r="Y730" s="587"/>
      <c r="Z730" s="587"/>
      <c r="AA730" s="587"/>
      <c r="AB730" s="587"/>
      <c r="AC730" s="587"/>
      <c r="AE730" s="587"/>
      <c r="AF730" s="587"/>
      <c r="AG730" s="587"/>
      <c r="AH730" s="587"/>
      <c r="AI730" s="587"/>
      <c r="AJ730" s="587"/>
      <c r="AK730" s="587"/>
      <c r="AL730" s="587"/>
      <c r="AM730" s="587"/>
      <c r="AO730" s="587"/>
      <c r="AP730" s="587"/>
      <c r="AQ730" s="587"/>
      <c r="AR730" s="587"/>
      <c r="AS730" s="587"/>
      <c r="AT730" s="587"/>
      <c r="AU730" s="587"/>
      <c r="AV730" s="587"/>
      <c r="AW730" s="587"/>
    </row>
    <row r="731" spans="1:49">
      <c r="A731" s="581">
        <v>31594</v>
      </c>
      <c r="B731" s="594">
        <v>-5.5899999999999998E-2</v>
      </c>
      <c r="C731" s="577">
        <v>2.8300000000000002E-2</v>
      </c>
      <c r="D731" s="577">
        <v>6.6E-3</v>
      </c>
      <c r="E731" s="577">
        <v>7.4000000000000012E-3</v>
      </c>
      <c r="F731" s="577">
        <v>7.7333333333333334E-3</v>
      </c>
      <c r="G731" s="577">
        <v>7.5666666666666669E-3</v>
      </c>
      <c r="H731" s="577">
        <v>7.7954166666666666E-3</v>
      </c>
      <c r="I731" s="577">
        <f t="shared" si="123"/>
        <v>-6.25E-2</v>
      </c>
      <c r="J731" s="577">
        <f t="shared" si="116"/>
        <v>-6.3466666666666671E-2</v>
      </c>
      <c r="K731" s="577">
        <f t="shared" si="117"/>
        <v>2.0504583333333336E-2</v>
      </c>
      <c r="L731" s="585">
        <f t="shared" si="124"/>
        <v>0.28411735888206291</v>
      </c>
      <c r="M731" s="585">
        <f t="shared" si="125"/>
        <v>7.9199999999999993E-2</v>
      </c>
      <c r="N731" s="585">
        <f t="shared" si="118"/>
        <v>9.0800000000000006E-2</v>
      </c>
      <c r="O731" s="586">
        <f t="shared" si="126"/>
        <v>0.20491735888206292</v>
      </c>
      <c r="P731" s="585">
        <f t="shared" si="119"/>
        <v>0.19331735888206292</v>
      </c>
      <c r="Q731" s="585">
        <f t="shared" si="120"/>
        <v>0.47239774653797428</v>
      </c>
      <c r="R731" s="585">
        <f t="shared" si="121"/>
        <v>9.3545000000000003E-2</v>
      </c>
      <c r="S731" s="586">
        <f t="shared" si="122"/>
        <v>0.37885274653797429</v>
      </c>
      <c r="U731" s="587"/>
      <c r="V731" s="587"/>
      <c r="W731" s="587"/>
      <c r="X731" s="587"/>
      <c r="Y731" s="587"/>
      <c r="Z731" s="587"/>
      <c r="AA731" s="587"/>
      <c r="AB731" s="587"/>
      <c r="AC731" s="587"/>
      <c r="AE731" s="587"/>
      <c r="AF731" s="587"/>
      <c r="AG731" s="587"/>
      <c r="AH731" s="587"/>
      <c r="AI731" s="587"/>
      <c r="AJ731" s="587"/>
      <c r="AK731" s="587"/>
      <c r="AL731" s="587"/>
      <c r="AM731" s="587"/>
      <c r="AO731" s="587"/>
      <c r="AP731" s="587"/>
      <c r="AQ731" s="587"/>
      <c r="AR731" s="587"/>
      <c r="AS731" s="587"/>
      <c r="AT731" s="587"/>
      <c r="AU731" s="587"/>
      <c r="AV731" s="587"/>
      <c r="AW731" s="587"/>
    </row>
    <row r="732" spans="1:49">
      <c r="A732" s="581">
        <v>31625</v>
      </c>
      <c r="B732" s="594">
        <v>7.4200000000000002E-2</v>
      </c>
      <c r="C732" s="577">
        <v>8.8399999999999992E-2</v>
      </c>
      <c r="D732" s="577">
        <v>6.3E-3</v>
      </c>
      <c r="E732" s="577">
        <v>7.2666666666666669E-3</v>
      </c>
      <c r="F732" s="577">
        <v>7.6833333333333345E-3</v>
      </c>
      <c r="G732" s="577">
        <v>7.4750000000000007E-3</v>
      </c>
      <c r="H732" s="577">
        <v>7.7555833333333322E-3</v>
      </c>
      <c r="I732" s="577">
        <f t="shared" si="123"/>
        <v>6.7900000000000002E-2</v>
      </c>
      <c r="J732" s="577">
        <f t="shared" si="116"/>
        <v>6.6725000000000007E-2</v>
      </c>
      <c r="K732" s="577">
        <f t="shared" si="117"/>
        <v>8.0644416666666663E-2</v>
      </c>
      <c r="L732" s="585">
        <f t="shared" si="124"/>
        <v>0.3912242732335971</v>
      </c>
      <c r="M732" s="585">
        <f t="shared" si="125"/>
        <v>7.5600000000000001E-2</v>
      </c>
      <c r="N732" s="585">
        <f t="shared" si="118"/>
        <v>8.9700000000000002E-2</v>
      </c>
      <c r="O732" s="586">
        <f t="shared" si="126"/>
        <v>0.3156242732335971</v>
      </c>
      <c r="P732" s="585">
        <f t="shared" si="119"/>
        <v>0.3015242732335971</v>
      </c>
      <c r="Q732" s="585">
        <f t="shared" si="120"/>
        <v>0.57406709294954394</v>
      </c>
      <c r="R732" s="585">
        <f t="shared" si="121"/>
        <v>9.3066999999999983E-2</v>
      </c>
      <c r="S732" s="586">
        <f t="shared" si="122"/>
        <v>0.48100009294954393</v>
      </c>
      <c r="U732" s="587"/>
      <c r="V732" s="587"/>
      <c r="W732" s="587"/>
      <c r="X732" s="587"/>
      <c r="Y732" s="587"/>
      <c r="Z732" s="587"/>
      <c r="AA732" s="587"/>
      <c r="AB732" s="587"/>
      <c r="AC732" s="587"/>
      <c r="AE732" s="587"/>
      <c r="AF732" s="587"/>
      <c r="AG732" s="587"/>
      <c r="AH732" s="587"/>
      <c r="AI732" s="587"/>
      <c r="AJ732" s="587"/>
      <c r="AK732" s="587"/>
      <c r="AL732" s="587"/>
      <c r="AM732" s="587"/>
      <c r="AO732" s="587"/>
      <c r="AP732" s="587"/>
      <c r="AQ732" s="587"/>
      <c r="AR732" s="587"/>
      <c r="AS732" s="587"/>
      <c r="AT732" s="587"/>
      <c r="AU732" s="587"/>
      <c r="AV732" s="587"/>
      <c r="AW732" s="587"/>
    </row>
    <row r="733" spans="1:49">
      <c r="A733" s="581">
        <v>31656</v>
      </c>
      <c r="B733" s="594">
        <v>-8.2699999999999996E-2</v>
      </c>
      <c r="C733" s="577">
        <v>-0.11370000000000001</v>
      </c>
      <c r="D733" s="577">
        <v>6.5000000000000006E-3</v>
      </c>
      <c r="E733" s="577">
        <v>7.4083333333333336E-3</v>
      </c>
      <c r="F733" s="577">
        <v>7.7999999999999988E-3</v>
      </c>
      <c r="G733" s="577">
        <v>7.6041666666666662E-3</v>
      </c>
      <c r="H733" s="577">
        <v>7.9194166666666666E-3</v>
      </c>
      <c r="I733" s="577">
        <f t="shared" si="123"/>
        <v>-8.9200000000000002E-2</v>
      </c>
      <c r="J733" s="577">
        <f t="shared" ref="J733:J796" si="127">B733-G733</f>
        <v>-9.0304166666666658E-2</v>
      </c>
      <c r="K733" s="577">
        <f t="shared" ref="K733:K796" si="128">$C733-H733</f>
        <v>-0.12161941666666667</v>
      </c>
      <c r="L733" s="585">
        <f t="shared" si="124"/>
        <v>0.31740479595042714</v>
      </c>
      <c r="M733" s="585">
        <f t="shared" si="125"/>
        <v>7.8000000000000014E-2</v>
      </c>
      <c r="N733" s="585">
        <f t="shared" si="118"/>
        <v>9.1249999999999998E-2</v>
      </c>
      <c r="O733" s="586">
        <f t="shared" si="126"/>
        <v>0.23940479595042713</v>
      </c>
      <c r="P733" s="585">
        <f t="shared" si="119"/>
        <v>0.22615479595042715</v>
      </c>
      <c r="Q733" s="585">
        <f t="shared" si="120"/>
        <v>0.47177514978497825</v>
      </c>
      <c r="R733" s="585">
        <f t="shared" si="121"/>
        <v>9.5033000000000006E-2</v>
      </c>
      <c r="S733" s="586">
        <f t="shared" si="122"/>
        <v>0.37674214978497822</v>
      </c>
      <c r="U733" s="587"/>
      <c r="V733" s="587"/>
      <c r="W733" s="587"/>
      <c r="X733" s="587"/>
      <c r="Y733" s="587"/>
      <c r="Z733" s="587"/>
      <c r="AA733" s="587"/>
      <c r="AB733" s="587"/>
      <c r="AC733" s="587"/>
      <c r="AE733" s="587"/>
      <c r="AF733" s="587"/>
      <c r="AG733" s="587"/>
      <c r="AH733" s="587"/>
      <c r="AI733" s="587"/>
      <c r="AJ733" s="587"/>
      <c r="AK733" s="587"/>
      <c r="AL733" s="587"/>
      <c r="AM733" s="587"/>
      <c r="AO733" s="587"/>
      <c r="AP733" s="587"/>
      <c r="AQ733" s="587"/>
      <c r="AR733" s="587"/>
      <c r="AS733" s="587"/>
      <c r="AT733" s="587"/>
      <c r="AU733" s="587"/>
      <c r="AV733" s="587"/>
      <c r="AW733" s="587"/>
    </row>
    <row r="734" spans="1:49">
      <c r="A734" s="581">
        <v>31686</v>
      </c>
      <c r="B734" s="594">
        <v>5.7700000000000001E-2</v>
      </c>
      <c r="C734" s="577">
        <v>5.050000000000001E-2</v>
      </c>
      <c r="D734" s="577">
        <v>6.8999999999999999E-3</v>
      </c>
      <c r="E734" s="577">
        <v>7.3833333333333329E-3</v>
      </c>
      <c r="F734" s="577">
        <v>7.7749999999999998E-3</v>
      </c>
      <c r="G734" s="577">
        <v>7.5791666666666655E-3</v>
      </c>
      <c r="H734" s="577">
        <v>7.9395000000000004E-3</v>
      </c>
      <c r="I734" s="577">
        <f t="shared" si="123"/>
        <v>5.0799999999999998E-2</v>
      </c>
      <c r="J734" s="577">
        <f t="shared" si="127"/>
        <v>5.0120833333333337E-2</v>
      </c>
      <c r="K734" s="577">
        <f t="shared" si="128"/>
        <v>4.2560500000000008E-2</v>
      </c>
      <c r="L734" s="585">
        <f t="shared" si="124"/>
        <v>0.33188592303265807</v>
      </c>
      <c r="M734" s="585">
        <f t="shared" si="125"/>
        <v>8.2799999999999999E-2</v>
      </c>
      <c r="N734" s="585">
        <f t="shared" si="118"/>
        <v>9.0949999999999989E-2</v>
      </c>
      <c r="O734" s="586">
        <f t="shared" si="126"/>
        <v>0.24908592303265809</v>
      </c>
      <c r="P734" s="585">
        <f t="shared" si="119"/>
        <v>0.24093592303265809</v>
      </c>
      <c r="Q734" s="585">
        <f t="shared" si="120"/>
        <v>0.45337450164421833</v>
      </c>
      <c r="R734" s="585">
        <f t="shared" si="121"/>
        <v>9.5273999999999998E-2</v>
      </c>
      <c r="S734" s="586">
        <f t="shared" si="122"/>
        <v>0.35810050164421836</v>
      </c>
      <c r="U734" s="587"/>
      <c r="V734" s="587"/>
      <c r="W734" s="587"/>
      <c r="X734" s="587"/>
      <c r="Y734" s="587"/>
      <c r="Z734" s="587"/>
      <c r="AA734" s="587"/>
      <c r="AB734" s="587"/>
      <c r="AC734" s="587"/>
      <c r="AE734" s="587"/>
      <c r="AF734" s="587"/>
      <c r="AG734" s="587"/>
      <c r="AH734" s="587"/>
      <c r="AI734" s="587"/>
      <c r="AJ734" s="587"/>
      <c r="AK734" s="587"/>
      <c r="AL734" s="587"/>
      <c r="AM734" s="587"/>
      <c r="AO734" s="587"/>
      <c r="AP734" s="587"/>
      <c r="AQ734" s="587"/>
      <c r="AR734" s="587"/>
      <c r="AS734" s="587"/>
      <c r="AT734" s="587"/>
      <c r="AU734" s="587"/>
      <c r="AV734" s="587"/>
      <c r="AW734" s="587"/>
    </row>
    <row r="735" spans="1:49">
      <c r="A735" s="581">
        <v>31717</v>
      </c>
      <c r="B735" s="594">
        <v>2.4299999999999999E-2</v>
      </c>
      <c r="C735" s="577">
        <v>2.1099999999999997E-2</v>
      </c>
      <c r="D735" s="577">
        <v>5.8999999999999999E-3</v>
      </c>
      <c r="E735" s="577">
        <v>7.2333333333333329E-3</v>
      </c>
      <c r="F735" s="577">
        <v>7.6666666666666662E-3</v>
      </c>
      <c r="G735" s="577">
        <v>7.4499999999999992E-3</v>
      </c>
      <c r="H735" s="577">
        <v>7.744749999999999E-3</v>
      </c>
      <c r="I735" s="577">
        <f t="shared" si="123"/>
        <v>1.84E-2</v>
      </c>
      <c r="J735" s="577">
        <f t="shared" si="127"/>
        <v>1.685E-2</v>
      </c>
      <c r="K735" s="577">
        <f t="shared" si="128"/>
        <v>1.3355249999999999E-2</v>
      </c>
      <c r="L735" s="585">
        <f t="shared" si="124"/>
        <v>0.27667111263555233</v>
      </c>
      <c r="M735" s="585">
        <f t="shared" si="125"/>
        <v>7.0800000000000002E-2</v>
      </c>
      <c r="N735" s="585">
        <f t="shared" si="118"/>
        <v>8.9399999999999993E-2</v>
      </c>
      <c r="O735" s="586">
        <f t="shared" si="126"/>
        <v>0.20587111263555233</v>
      </c>
      <c r="P735" s="585">
        <f t="shared" si="119"/>
        <v>0.18727111263555235</v>
      </c>
      <c r="Q735" s="585">
        <f t="shared" si="120"/>
        <v>0.41041693939261692</v>
      </c>
      <c r="R735" s="585">
        <f t="shared" si="121"/>
        <v>9.2936999999999992E-2</v>
      </c>
      <c r="S735" s="586">
        <f t="shared" si="122"/>
        <v>0.31747993939261693</v>
      </c>
      <c r="U735" s="587"/>
      <c r="V735" s="587"/>
      <c r="W735" s="587"/>
      <c r="X735" s="587"/>
      <c r="Y735" s="587"/>
      <c r="Z735" s="587"/>
      <c r="AA735" s="587"/>
      <c r="AB735" s="587"/>
      <c r="AC735" s="587"/>
      <c r="AE735" s="587"/>
      <c r="AF735" s="587"/>
      <c r="AG735" s="587"/>
      <c r="AH735" s="587"/>
      <c r="AI735" s="587"/>
      <c r="AJ735" s="587"/>
      <c r="AK735" s="587"/>
      <c r="AL735" s="587"/>
      <c r="AM735" s="587"/>
      <c r="AO735" s="587"/>
      <c r="AP735" s="587"/>
      <c r="AQ735" s="587"/>
      <c r="AR735" s="587"/>
      <c r="AS735" s="587"/>
      <c r="AT735" s="587"/>
      <c r="AU735" s="587"/>
      <c r="AV735" s="587"/>
      <c r="AW735" s="587"/>
    </row>
    <row r="736" spans="1:49">
      <c r="A736" s="581">
        <v>31747</v>
      </c>
      <c r="B736" s="594">
        <v>-2.5499999999999998E-2</v>
      </c>
      <c r="C736" s="577">
        <v>-2.5399999999999999E-2</v>
      </c>
      <c r="D736" s="577">
        <v>7.000000000000001E-3</v>
      </c>
      <c r="E736" s="577">
        <v>7.0750000000000006E-3</v>
      </c>
      <c r="F736" s="577">
        <v>7.5166666666666663E-3</v>
      </c>
      <c r="G736" s="577">
        <v>7.2958333333333321E-3</v>
      </c>
      <c r="H736" s="577">
        <v>7.5995833333333341E-3</v>
      </c>
      <c r="I736" s="577">
        <f t="shared" si="123"/>
        <v>-3.2500000000000001E-2</v>
      </c>
      <c r="J736" s="577">
        <f t="shared" si="127"/>
        <v>-3.279583333333333E-2</v>
      </c>
      <c r="K736" s="577">
        <f t="shared" si="128"/>
        <v>-3.2999583333333332E-2</v>
      </c>
      <c r="L736" s="585">
        <f t="shared" si="124"/>
        <v>0.18668065553543101</v>
      </c>
      <c r="M736" s="585">
        <f t="shared" si="125"/>
        <v>8.4000000000000019E-2</v>
      </c>
      <c r="N736" s="585">
        <f t="shared" si="118"/>
        <v>8.7549999999999989E-2</v>
      </c>
      <c r="O736" s="586">
        <f t="shared" si="126"/>
        <v>0.10268065553543099</v>
      </c>
      <c r="P736" s="585">
        <f t="shared" si="119"/>
        <v>9.9130655535431017E-2</v>
      </c>
      <c r="Q736" s="585">
        <f t="shared" si="120"/>
        <v>0.28538652434266387</v>
      </c>
      <c r="R736" s="585">
        <f t="shared" si="121"/>
        <v>9.1195000000000012E-2</v>
      </c>
      <c r="S736" s="586">
        <f t="shared" si="122"/>
        <v>0.19419152434266385</v>
      </c>
      <c r="U736" s="587"/>
      <c r="V736" s="587"/>
      <c r="W736" s="587"/>
      <c r="X736" s="587"/>
      <c r="Y736" s="587"/>
      <c r="Z736" s="587"/>
      <c r="AA736" s="587"/>
      <c r="AB736" s="587"/>
      <c r="AC736" s="587"/>
      <c r="AE736" s="587"/>
      <c r="AF736" s="587"/>
      <c r="AG736" s="587"/>
      <c r="AH736" s="587"/>
      <c r="AI736" s="587"/>
      <c r="AJ736" s="587"/>
      <c r="AK736" s="587"/>
      <c r="AL736" s="587"/>
      <c r="AM736" s="587"/>
      <c r="AO736" s="587"/>
      <c r="AP736" s="587"/>
      <c r="AQ736" s="587"/>
      <c r="AR736" s="587"/>
      <c r="AS736" s="587"/>
      <c r="AT736" s="587"/>
      <c r="AU736" s="587"/>
      <c r="AV736" s="587"/>
      <c r="AW736" s="587"/>
    </row>
    <row r="737" spans="1:49">
      <c r="A737" s="581">
        <v>31778</v>
      </c>
      <c r="B737" s="594">
        <v>0.13469999999999999</v>
      </c>
      <c r="C737" s="577">
        <v>9.8400000000000001E-2</v>
      </c>
      <c r="D737" s="577">
        <v>6.4000000000000003E-3</v>
      </c>
      <c r="E737" s="577">
        <v>6.9666666666666661E-3</v>
      </c>
      <c r="F737" s="577">
        <v>7.3833333333333329E-3</v>
      </c>
      <c r="G737" s="577">
        <v>7.175E-3</v>
      </c>
      <c r="H737" s="577">
        <v>7.4537500000000003E-3</v>
      </c>
      <c r="I737" s="577">
        <f t="shared" si="123"/>
        <v>0.1283</v>
      </c>
      <c r="J737" s="577">
        <f t="shared" si="127"/>
        <v>0.127525</v>
      </c>
      <c r="K737" s="577">
        <f t="shared" si="128"/>
        <v>9.0946250000000006E-2</v>
      </c>
      <c r="L737" s="585">
        <f t="shared" si="124"/>
        <v>0.33902798313052274</v>
      </c>
      <c r="M737" s="585">
        <f t="shared" si="125"/>
        <v>7.6800000000000007E-2</v>
      </c>
      <c r="N737" s="585">
        <f t="shared" si="118"/>
        <v>8.6099999999999996E-2</v>
      </c>
      <c r="O737" s="586">
        <f t="shared" si="126"/>
        <v>0.26222798313052276</v>
      </c>
      <c r="P737" s="585">
        <f t="shared" si="119"/>
        <v>0.25292798313052273</v>
      </c>
      <c r="Q737" s="585">
        <f t="shared" si="120"/>
        <v>0.37167838175262924</v>
      </c>
      <c r="R737" s="585">
        <f t="shared" si="121"/>
        <v>8.9444999999999997E-2</v>
      </c>
      <c r="S737" s="586">
        <f t="shared" si="122"/>
        <v>0.28223338175262924</v>
      </c>
      <c r="U737" s="587"/>
      <c r="V737" s="587"/>
      <c r="W737" s="587"/>
      <c r="X737" s="587"/>
      <c r="Y737" s="587"/>
      <c r="Z737" s="587"/>
      <c r="AA737" s="587"/>
      <c r="AB737" s="587"/>
      <c r="AC737" s="587"/>
      <c r="AE737" s="587"/>
      <c r="AF737" s="587"/>
      <c r="AG737" s="587"/>
      <c r="AH737" s="587"/>
      <c r="AI737" s="587"/>
      <c r="AJ737" s="587"/>
      <c r="AK737" s="587"/>
      <c r="AL737" s="587"/>
      <c r="AM737" s="587"/>
      <c r="AO737" s="587"/>
      <c r="AP737" s="587"/>
      <c r="AQ737" s="587"/>
      <c r="AR737" s="587"/>
      <c r="AS737" s="587"/>
      <c r="AT737" s="587"/>
      <c r="AU737" s="587"/>
      <c r="AV737" s="587"/>
      <c r="AW737" s="587"/>
    </row>
    <row r="738" spans="1:49">
      <c r="A738" s="581">
        <v>31809</v>
      </c>
      <c r="B738" s="594">
        <v>3.95E-2</v>
      </c>
      <c r="C738" s="577">
        <v>-3.0100000000000002E-2</v>
      </c>
      <c r="D738" s="577">
        <v>5.8999999999999999E-3</v>
      </c>
      <c r="E738" s="577">
        <v>6.9833333333333336E-3</v>
      </c>
      <c r="F738" s="577">
        <v>7.4000000000000012E-3</v>
      </c>
      <c r="G738" s="577">
        <v>7.1916666666666674E-3</v>
      </c>
      <c r="H738" s="577">
        <v>7.5030833333333338E-3</v>
      </c>
      <c r="I738" s="577">
        <f t="shared" si="123"/>
        <v>3.3599999999999998E-2</v>
      </c>
      <c r="J738" s="577">
        <f t="shared" si="127"/>
        <v>3.2308333333333335E-2</v>
      </c>
      <c r="K738" s="577">
        <f t="shared" si="128"/>
        <v>-3.7603083333333336E-2</v>
      </c>
      <c r="L738" s="585">
        <f t="shared" si="124"/>
        <v>0.29517036239339212</v>
      </c>
      <c r="M738" s="585">
        <f t="shared" si="125"/>
        <v>7.0800000000000002E-2</v>
      </c>
      <c r="N738" s="585">
        <f t="shared" si="118"/>
        <v>8.6300000000000016E-2</v>
      </c>
      <c r="O738" s="586">
        <f t="shared" si="126"/>
        <v>0.22437036239339211</v>
      </c>
      <c r="P738" s="585">
        <f t="shared" si="119"/>
        <v>0.2088703623933921</v>
      </c>
      <c r="Q738" s="585">
        <f t="shared" si="120"/>
        <v>0.25236831635307855</v>
      </c>
      <c r="R738" s="585">
        <f t="shared" si="121"/>
        <v>9.0037000000000006E-2</v>
      </c>
      <c r="S738" s="586">
        <f t="shared" si="122"/>
        <v>0.16233131635307854</v>
      </c>
      <c r="U738" s="587"/>
      <c r="V738" s="587"/>
      <c r="W738" s="587"/>
      <c r="X738" s="587"/>
      <c r="Y738" s="587"/>
      <c r="Z738" s="587"/>
      <c r="AA738" s="587"/>
      <c r="AB738" s="587"/>
      <c r="AC738" s="587"/>
      <c r="AE738" s="587"/>
      <c r="AF738" s="587"/>
      <c r="AG738" s="587"/>
      <c r="AH738" s="587"/>
      <c r="AI738" s="587"/>
      <c r="AJ738" s="587"/>
      <c r="AK738" s="587"/>
      <c r="AL738" s="587"/>
      <c r="AM738" s="587"/>
      <c r="AO738" s="587"/>
      <c r="AP738" s="587"/>
      <c r="AQ738" s="587"/>
      <c r="AR738" s="587"/>
      <c r="AS738" s="587"/>
      <c r="AT738" s="587"/>
      <c r="AU738" s="587"/>
      <c r="AV738" s="587"/>
      <c r="AW738" s="587"/>
    </row>
    <row r="739" spans="1:49">
      <c r="A739" s="581">
        <v>31837</v>
      </c>
      <c r="B739" s="594">
        <v>2.8899999999999999E-2</v>
      </c>
      <c r="C739" s="577">
        <v>-1.89E-2</v>
      </c>
      <c r="D739" s="577">
        <v>6.6E-3</v>
      </c>
      <c r="E739" s="577">
        <v>6.9666666666666661E-3</v>
      </c>
      <c r="F739" s="577">
        <v>7.3666666666666672E-3</v>
      </c>
      <c r="G739" s="577">
        <v>7.1666666666666667E-3</v>
      </c>
      <c r="H739" s="577">
        <v>7.4409166666666669E-3</v>
      </c>
      <c r="I739" s="577">
        <f t="shared" si="123"/>
        <v>2.23E-2</v>
      </c>
      <c r="J739" s="577">
        <f t="shared" si="127"/>
        <v>2.1733333333333334E-2</v>
      </c>
      <c r="K739" s="577">
        <f t="shared" si="128"/>
        <v>-2.6340916666666665E-2</v>
      </c>
      <c r="L739" s="585">
        <f t="shared" si="124"/>
        <v>0.26217161002705169</v>
      </c>
      <c r="M739" s="585">
        <f t="shared" si="125"/>
        <v>7.9199999999999993E-2</v>
      </c>
      <c r="N739" s="585">
        <f t="shared" si="118"/>
        <v>8.5999999999999993E-2</v>
      </c>
      <c r="O739" s="586">
        <f t="shared" si="126"/>
        <v>0.1829716100270517</v>
      </c>
      <c r="P739" s="585">
        <f t="shared" si="119"/>
        <v>0.1761716100270517</v>
      </c>
      <c r="Q739" s="585">
        <f t="shared" si="120"/>
        <v>0.16863092559825499</v>
      </c>
      <c r="R739" s="585">
        <f t="shared" si="121"/>
        <v>8.9291000000000009E-2</v>
      </c>
      <c r="S739" s="586">
        <f t="shared" si="122"/>
        <v>7.9339925598254979E-2</v>
      </c>
      <c r="U739" s="587"/>
      <c r="V739" s="587"/>
      <c r="W739" s="587"/>
      <c r="X739" s="587"/>
      <c r="Y739" s="587"/>
      <c r="Z739" s="587"/>
      <c r="AA739" s="587"/>
      <c r="AB739" s="587"/>
      <c r="AC739" s="587"/>
      <c r="AE739" s="587"/>
      <c r="AF739" s="587"/>
      <c r="AG739" s="587"/>
      <c r="AH739" s="587"/>
      <c r="AI739" s="587"/>
      <c r="AJ739" s="587"/>
      <c r="AK739" s="587"/>
      <c r="AL739" s="587"/>
      <c r="AM739" s="587"/>
      <c r="AO739" s="587"/>
      <c r="AP739" s="587"/>
      <c r="AQ739" s="587"/>
      <c r="AR739" s="587"/>
      <c r="AS739" s="587"/>
      <c r="AT739" s="587"/>
      <c r="AU739" s="587"/>
      <c r="AV739" s="587"/>
      <c r="AW739" s="587"/>
    </row>
    <row r="740" spans="1:49">
      <c r="A740" s="581">
        <v>31868</v>
      </c>
      <c r="B740" s="594">
        <v>-8.8999999999999999E-3</v>
      </c>
      <c r="C740" s="577">
        <v>-4.1399999999999999E-2</v>
      </c>
      <c r="D740" s="577">
        <v>6.5000000000000006E-3</v>
      </c>
      <c r="E740" s="577">
        <v>7.3749999999999996E-3</v>
      </c>
      <c r="F740" s="577">
        <v>7.6250000000000007E-3</v>
      </c>
      <c r="G740" s="577">
        <v>7.4999999999999997E-3</v>
      </c>
      <c r="H740" s="577">
        <v>7.7940833333333334E-3</v>
      </c>
      <c r="I740" s="577">
        <f t="shared" si="123"/>
        <v>-1.54E-2</v>
      </c>
      <c r="J740" s="577">
        <f t="shared" si="127"/>
        <v>-1.6399999999999998E-2</v>
      </c>
      <c r="K740" s="577">
        <f t="shared" si="128"/>
        <v>-4.9194083333333333E-2</v>
      </c>
      <c r="L740" s="585">
        <f t="shared" si="124"/>
        <v>0.26523544320603887</v>
      </c>
      <c r="M740" s="585">
        <f t="shared" si="125"/>
        <v>7.8000000000000014E-2</v>
      </c>
      <c r="N740" s="585">
        <f t="shared" si="118"/>
        <v>0.09</v>
      </c>
      <c r="O740" s="586">
        <f t="shared" si="126"/>
        <v>0.18723544320603885</v>
      </c>
      <c r="P740" s="585">
        <f t="shared" si="119"/>
        <v>0.17523544320603887</v>
      </c>
      <c r="Q740" s="585">
        <f t="shared" si="120"/>
        <v>0.15883894204870885</v>
      </c>
      <c r="R740" s="585">
        <f t="shared" si="121"/>
        <v>9.3529000000000001E-2</v>
      </c>
      <c r="S740" s="586">
        <f t="shared" si="122"/>
        <v>6.5309942048708852E-2</v>
      </c>
      <c r="U740" s="587"/>
      <c r="V740" s="587"/>
      <c r="W740" s="587"/>
      <c r="X740" s="587"/>
      <c r="Y740" s="587"/>
      <c r="Z740" s="587"/>
      <c r="AA740" s="587"/>
      <c r="AB740" s="587"/>
      <c r="AC740" s="587"/>
      <c r="AE740" s="587"/>
      <c r="AF740" s="587"/>
      <c r="AG740" s="587"/>
      <c r="AH740" s="587"/>
      <c r="AI740" s="587"/>
      <c r="AJ740" s="587"/>
      <c r="AK740" s="587"/>
      <c r="AL740" s="587"/>
      <c r="AM740" s="587"/>
      <c r="AO740" s="587"/>
      <c r="AP740" s="587"/>
      <c r="AQ740" s="587"/>
      <c r="AR740" s="587"/>
      <c r="AS740" s="587"/>
      <c r="AT740" s="587"/>
      <c r="AU740" s="587"/>
      <c r="AV740" s="587"/>
      <c r="AW740" s="587"/>
    </row>
    <row r="741" spans="1:49">
      <c r="A741" s="581">
        <v>31898</v>
      </c>
      <c r="B741" s="594">
        <v>8.6999999999999994E-3</v>
      </c>
      <c r="C741" s="577">
        <v>-6.4000000000000003E-3</v>
      </c>
      <c r="D741" s="577">
        <v>6.6E-3</v>
      </c>
      <c r="E741" s="577">
        <v>7.7749999999999998E-3</v>
      </c>
      <c r="F741" s="577">
        <v>7.9916666666666678E-3</v>
      </c>
      <c r="G741" s="577">
        <v>7.8833333333333325E-3</v>
      </c>
      <c r="H741" s="577">
        <v>8.2208333333333335E-3</v>
      </c>
      <c r="I741" s="577">
        <f t="shared" si="123"/>
        <v>2.0999999999999994E-3</v>
      </c>
      <c r="J741" s="577">
        <f t="shared" si="127"/>
        <v>8.1666666666666693E-4</v>
      </c>
      <c r="K741" s="577">
        <f t="shared" si="128"/>
        <v>-1.4620833333333333E-2</v>
      </c>
      <c r="L741" s="585">
        <f t="shared" si="124"/>
        <v>0.21177648268318627</v>
      </c>
      <c r="M741" s="585">
        <f t="shared" si="125"/>
        <v>7.9199999999999993E-2</v>
      </c>
      <c r="N741" s="585">
        <f t="shared" si="118"/>
        <v>9.459999999999999E-2</v>
      </c>
      <c r="O741" s="586">
        <f t="shared" si="126"/>
        <v>0.13257648268318628</v>
      </c>
      <c r="P741" s="585">
        <f t="shared" si="119"/>
        <v>0.11717648268318628</v>
      </c>
      <c r="Q741" s="585">
        <f t="shared" si="120"/>
        <v>9.3988002678952576E-2</v>
      </c>
      <c r="R741" s="585">
        <f t="shared" si="121"/>
        <v>9.8650000000000002E-2</v>
      </c>
      <c r="S741" s="586">
        <f t="shared" si="122"/>
        <v>-4.6619973210474258E-3</v>
      </c>
      <c r="U741" s="587"/>
      <c r="V741" s="587"/>
      <c r="W741" s="587"/>
      <c r="X741" s="587"/>
      <c r="Y741" s="587"/>
      <c r="Z741" s="587"/>
      <c r="AA741" s="587"/>
      <c r="AB741" s="587"/>
      <c r="AC741" s="587"/>
      <c r="AE741" s="587"/>
      <c r="AF741" s="587"/>
      <c r="AG741" s="587"/>
      <c r="AH741" s="587"/>
      <c r="AI741" s="587"/>
      <c r="AJ741" s="587"/>
      <c r="AK741" s="587"/>
      <c r="AL741" s="587"/>
      <c r="AM741" s="587"/>
      <c r="AO741" s="587"/>
      <c r="AP741" s="587"/>
      <c r="AQ741" s="587"/>
      <c r="AR741" s="587"/>
      <c r="AS741" s="587"/>
      <c r="AT741" s="587"/>
      <c r="AU741" s="587"/>
      <c r="AV741" s="587"/>
      <c r="AW741" s="587"/>
    </row>
    <row r="742" spans="1:49">
      <c r="A742" s="581">
        <v>31929</v>
      </c>
      <c r="B742" s="594">
        <v>5.0500000000000003E-2</v>
      </c>
      <c r="C742" s="577">
        <v>4.3899999999999995E-2</v>
      </c>
      <c r="D742" s="577">
        <v>7.4999999999999997E-3</v>
      </c>
      <c r="E742" s="577">
        <v>7.7666666666666674E-3</v>
      </c>
      <c r="F742" s="577">
        <v>8.0416666666666674E-3</v>
      </c>
      <c r="G742" s="577">
        <v>7.904166666666667E-3</v>
      </c>
      <c r="H742" s="577">
        <v>8.3485E-3</v>
      </c>
      <c r="I742" s="577">
        <f t="shared" si="123"/>
        <v>4.3000000000000003E-2</v>
      </c>
      <c r="J742" s="577">
        <f t="shared" si="127"/>
        <v>4.2595833333333333E-2</v>
      </c>
      <c r="K742" s="577">
        <f t="shared" si="128"/>
        <v>3.5551499999999993E-2</v>
      </c>
      <c r="L742" s="585">
        <f t="shared" si="124"/>
        <v>0.25181551289083171</v>
      </c>
      <c r="M742" s="585">
        <f t="shared" si="125"/>
        <v>0.09</v>
      </c>
      <c r="N742" s="585">
        <f t="shared" si="118"/>
        <v>9.4850000000000004E-2</v>
      </c>
      <c r="O742" s="586">
        <f t="shared" si="126"/>
        <v>0.16181551289083171</v>
      </c>
      <c r="P742" s="585">
        <f t="shared" si="119"/>
        <v>0.15696551289083172</v>
      </c>
      <c r="Q742" s="585">
        <f t="shared" si="120"/>
        <v>7.7676772668263228E-2</v>
      </c>
      <c r="R742" s="585">
        <f t="shared" si="121"/>
        <v>0.10018199999999999</v>
      </c>
      <c r="S742" s="586">
        <f t="shared" si="122"/>
        <v>-2.2505227331736766E-2</v>
      </c>
      <c r="U742" s="587"/>
      <c r="V742" s="587"/>
      <c r="W742" s="587"/>
      <c r="X742" s="587"/>
      <c r="Y742" s="587"/>
      <c r="Z742" s="587"/>
      <c r="AA742" s="587"/>
      <c r="AB742" s="587"/>
      <c r="AC742" s="587"/>
      <c r="AE742" s="587"/>
      <c r="AF742" s="587"/>
      <c r="AG742" s="587"/>
      <c r="AH742" s="587"/>
      <c r="AI742" s="587"/>
      <c r="AJ742" s="587"/>
      <c r="AK742" s="587"/>
      <c r="AL742" s="587"/>
      <c r="AM742" s="587"/>
      <c r="AO742" s="587"/>
      <c r="AP742" s="587"/>
      <c r="AQ742" s="587"/>
      <c r="AR742" s="587"/>
      <c r="AS742" s="587"/>
      <c r="AT742" s="587"/>
      <c r="AU742" s="587"/>
      <c r="AV742" s="587"/>
      <c r="AW742" s="587"/>
    </row>
    <row r="743" spans="1:49">
      <c r="A743" s="581">
        <v>31959</v>
      </c>
      <c r="B743" s="594">
        <v>5.0700000000000002E-2</v>
      </c>
      <c r="C743" s="577">
        <v>-2.5000000000000005E-3</v>
      </c>
      <c r="D743" s="577">
        <v>7.3000000000000001E-3</v>
      </c>
      <c r="E743" s="577">
        <v>7.8500000000000011E-3</v>
      </c>
      <c r="F743" s="577">
        <v>8.0416666666666674E-3</v>
      </c>
      <c r="G743" s="577">
        <v>7.9458333333333343E-3</v>
      </c>
      <c r="H743" s="577">
        <v>8.445833333333333E-3</v>
      </c>
      <c r="I743" s="577">
        <f t="shared" si="123"/>
        <v>4.3400000000000001E-2</v>
      </c>
      <c r="J743" s="577">
        <f t="shared" si="127"/>
        <v>4.2754166666666669E-2</v>
      </c>
      <c r="K743" s="577">
        <f t="shared" si="128"/>
        <v>-1.0945833333333333E-2</v>
      </c>
      <c r="L743" s="585">
        <f t="shared" si="124"/>
        <v>0.39316021543734481</v>
      </c>
      <c r="M743" s="585">
        <f t="shared" si="125"/>
        <v>8.7599999999999997E-2</v>
      </c>
      <c r="N743" s="585">
        <f t="shared" si="118"/>
        <v>9.5350000000000018E-2</v>
      </c>
      <c r="O743" s="586">
        <f t="shared" si="126"/>
        <v>0.3055602154373448</v>
      </c>
      <c r="P743" s="585">
        <f t="shared" si="119"/>
        <v>0.29781021543734476</v>
      </c>
      <c r="Q743" s="585">
        <f t="shared" si="120"/>
        <v>4.5397822363700158E-2</v>
      </c>
      <c r="R743" s="585">
        <f t="shared" si="121"/>
        <v>0.10135</v>
      </c>
      <c r="S743" s="586">
        <f t="shared" si="122"/>
        <v>-5.5952177636299838E-2</v>
      </c>
      <c r="U743" s="587"/>
      <c r="V743" s="587"/>
      <c r="W743" s="587"/>
      <c r="X743" s="587"/>
      <c r="Y743" s="587"/>
      <c r="Z743" s="587"/>
      <c r="AA743" s="587"/>
      <c r="AB743" s="587"/>
      <c r="AC743" s="587"/>
      <c r="AE743" s="587"/>
      <c r="AF743" s="587"/>
      <c r="AG743" s="587"/>
      <c r="AH743" s="587"/>
      <c r="AI743" s="587"/>
      <c r="AJ743" s="587"/>
      <c r="AK743" s="587"/>
      <c r="AL743" s="587"/>
      <c r="AM743" s="587"/>
      <c r="AO743" s="587"/>
      <c r="AP743" s="587"/>
      <c r="AQ743" s="587"/>
      <c r="AR743" s="587"/>
      <c r="AS743" s="587"/>
      <c r="AT743" s="587"/>
      <c r="AU743" s="587"/>
      <c r="AV743" s="587"/>
      <c r="AW743" s="587"/>
    </row>
    <row r="744" spans="1:49">
      <c r="A744" s="581">
        <v>31990</v>
      </c>
      <c r="B744" s="594">
        <v>3.73E-2</v>
      </c>
      <c r="C744" s="577">
        <v>5.2699999999999997E-2</v>
      </c>
      <c r="D744" s="577">
        <v>7.4999999999999997E-3</v>
      </c>
      <c r="E744" s="577">
        <v>8.0583333333333323E-3</v>
      </c>
      <c r="F744" s="577">
        <v>8.2166666666666673E-3</v>
      </c>
      <c r="G744" s="577">
        <v>8.1374999999999989E-3</v>
      </c>
      <c r="H744" s="577">
        <v>8.7027500000000004E-3</v>
      </c>
      <c r="I744" s="577">
        <f t="shared" si="123"/>
        <v>2.98E-2</v>
      </c>
      <c r="J744" s="577">
        <f t="shared" si="127"/>
        <v>2.9162500000000001E-2</v>
      </c>
      <c r="K744" s="577">
        <f t="shared" si="128"/>
        <v>4.3997249999999995E-2</v>
      </c>
      <c r="L744" s="585">
        <f t="shared" si="124"/>
        <v>0.34530356681545116</v>
      </c>
      <c r="M744" s="585">
        <f t="shared" si="125"/>
        <v>0.09</v>
      </c>
      <c r="N744" s="585">
        <f t="shared" ref="N744:N807" si="129">G744*12</f>
        <v>9.7649999999999987E-2</v>
      </c>
      <c r="O744" s="586">
        <f t="shared" si="126"/>
        <v>0.25530356681545119</v>
      </c>
      <c r="P744" s="585">
        <f t="shared" ref="P744:P807" si="130">L744-N744</f>
        <v>0.24765356681545117</v>
      </c>
      <c r="Q744" s="585">
        <f t="shared" ref="Q744:Q807" si="131">((1+C733)*(1+C734)*(1+C735)*(1+C736)*(1+C737)*(1+C738)*(1+C739)*(1+C740)*(1+C741)*(1+C742)*(1+C743)*(1+C744))-1</f>
        <v>1.1108312754746663E-2</v>
      </c>
      <c r="R744" s="585">
        <f t="shared" ref="R744:R807" si="132">H744*12</f>
        <v>0.104433</v>
      </c>
      <c r="S744" s="586">
        <f t="shared" ref="S744:S807" si="133">Q744-R744</f>
        <v>-9.3324687245253335E-2</v>
      </c>
      <c r="U744" s="587"/>
      <c r="V744" s="587"/>
      <c r="W744" s="587"/>
      <c r="X744" s="587"/>
      <c r="Y744" s="587"/>
      <c r="Z744" s="587"/>
      <c r="AA744" s="587"/>
      <c r="AB744" s="587"/>
      <c r="AC744" s="587"/>
      <c r="AE744" s="587"/>
      <c r="AF744" s="587"/>
      <c r="AG744" s="587"/>
      <c r="AH744" s="587"/>
      <c r="AI744" s="587"/>
      <c r="AJ744" s="587"/>
      <c r="AK744" s="587"/>
      <c r="AL744" s="587"/>
      <c r="AM744" s="587"/>
      <c r="AO744" s="587"/>
      <c r="AP744" s="587"/>
      <c r="AQ744" s="587"/>
      <c r="AR744" s="587"/>
      <c r="AS744" s="587"/>
      <c r="AT744" s="587"/>
      <c r="AU744" s="587"/>
      <c r="AV744" s="587"/>
      <c r="AW744" s="587"/>
    </row>
    <row r="745" spans="1:49">
      <c r="A745" s="581">
        <v>32021</v>
      </c>
      <c r="B745" s="594">
        <v>-2.1899999999999999E-2</v>
      </c>
      <c r="C745" s="577">
        <v>2.0999999999999999E-3</v>
      </c>
      <c r="D745" s="577">
        <v>7.4999999999999997E-3</v>
      </c>
      <c r="E745" s="577">
        <v>8.4833333333333323E-3</v>
      </c>
      <c r="F745" s="577">
        <v>8.624999999999999E-3</v>
      </c>
      <c r="G745" s="577">
        <v>8.5541666666666665E-3</v>
      </c>
      <c r="H745" s="577">
        <v>9.3135000000000006E-3</v>
      </c>
      <c r="I745" s="577">
        <f t="shared" si="123"/>
        <v>-2.9399999999999999E-2</v>
      </c>
      <c r="J745" s="577">
        <f t="shared" si="127"/>
        <v>-3.0454166666666664E-2</v>
      </c>
      <c r="K745" s="577">
        <f t="shared" si="128"/>
        <v>-7.2135000000000012E-3</v>
      </c>
      <c r="L745" s="585">
        <f t="shared" si="124"/>
        <v>0.43447227592084703</v>
      </c>
      <c r="M745" s="585">
        <f t="shared" si="125"/>
        <v>0.09</v>
      </c>
      <c r="N745" s="585">
        <f t="shared" si="129"/>
        <v>0.10264999999999999</v>
      </c>
      <c r="O745" s="586">
        <f t="shared" si="126"/>
        <v>0.34447227592084706</v>
      </c>
      <c r="P745" s="585">
        <f t="shared" si="130"/>
        <v>0.33182227592084701</v>
      </c>
      <c r="Q745" s="585">
        <f t="shared" si="131"/>
        <v>0.14321520953574685</v>
      </c>
      <c r="R745" s="585">
        <f t="shared" si="132"/>
        <v>0.111762</v>
      </c>
      <c r="S745" s="586">
        <f t="shared" si="133"/>
        <v>3.1453209535746846E-2</v>
      </c>
      <c r="U745" s="587"/>
      <c r="V745" s="587"/>
      <c r="W745" s="587"/>
      <c r="X745" s="587"/>
      <c r="Y745" s="587"/>
      <c r="Z745" s="587"/>
      <c r="AA745" s="587"/>
      <c r="AB745" s="587"/>
      <c r="AC745" s="587"/>
      <c r="AE745" s="587"/>
      <c r="AF745" s="587"/>
      <c r="AG745" s="587"/>
      <c r="AH745" s="587"/>
      <c r="AI745" s="587"/>
      <c r="AJ745" s="587"/>
      <c r="AK745" s="587"/>
      <c r="AL745" s="587"/>
      <c r="AM745" s="587"/>
      <c r="AO745" s="587"/>
      <c r="AP745" s="587"/>
      <c r="AQ745" s="587"/>
      <c r="AR745" s="587"/>
      <c r="AS745" s="587"/>
      <c r="AT745" s="587"/>
      <c r="AU745" s="587"/>
      <c r="AV745" s="587"/>
      <c r="AW745" s="587"/>
    </row>
    <row r="746" spans="1:49">
      <c r="A746" s="581">
        <v>32051</v>
      </c>
      <c r="B746" s="594">
        <v>-0.21540000000000001</v>
      </c>
      <c r="C746" s="577">
        <v>-7.0500000000000007E-2</v>
      </c>
      <c r="D746" s="577">
        <v>7.9000000000000008E-3</v>
      </c>
      <c r="E746" s="577">
        <v>8.7666666666666657E-3</v>
      </c>
      <c r="F746" s="577">
        <v>8.9499999999999996E-3</v>
      </c>
      <c r="G746" s="577">
        <v>8.8583333333333326E-3</v>
      </c>
      <c r="H746" s="577">
        <v>9.4654999999999982E-3</v>
      </c>
      <c r="I746" s="577">
        <f t="shared" si="123"/>
        <v>-0.2233</v>
      </c>
      <c r="J746" s="577">
        <f t="shared" si="127"/>
        <v>-0.22425833333333334</v>
      </c>
      <c r="K746" s="577">
        <f t="shared" si="128"/>
        <v>-7.9965500000000009E-2</v>
      </c>
      <c r="L746" s="585">
        <f t="shared" si="124"/>
        <v>6.4089011711729427E-2</v>
      </c>
      <c r="M746" s="585">
        <f t="shared" si="125"/>
        <v>9.4800000000000009E-2</v>
      </c>
      <c r="N746" s="585">
        <f t="shared" si="129"/>
        <v>0.10629999999999999</v>
      </c>
      <c r="O746" s="586">
        <f t="shared" si="126"/>
        <v>-3.0710988288270583E-2</v>
      </c>
      <c r="P746" s="585">
        <f t="shared" si="130"/>
        <v>-4.2210988288270565E-2</v>
      </c>
      <c r="Q746" s="585">
        <f t="shared" si="131"/>
        <v>1.153597074105317E-2</v>
      </c>
      <c r="R746" s="585">
        <f t="shared" si="132"/>
        <v>0.11358599999999998</v>
      </c>
      <c r="S746" s="586">
        <f t="shared" si="133"/>
        <v>-0.10205002925894681</v>
      </c>
      <c r="U746" s="587"/>
      <c r="V746" s="587"/>
      <c r="W746" s="587"/>
      <c r="X746" s="587"/>
      <c r="Y746" s="587"/>
      <c r="Z746" s="587"/>
      <c r="AA746" s="587"/>
      <c r="AB746" s="587"/>
      <c r="AC746" s="587"/>
      <c r="AE746" s="587"/>
      <c r="AF746" s="587"/>
      <c r="AG746" s="587"/>
      <c r="AH746" s="587"/>
      <c r="AI746" s="587"/>
      <c r="AJ746" s="587"/>
      <c r="AK746" s="587"/>
      <c r="AL746" s="587"/>
      <c r="AM746" s="587"/>
      <c r="AO746" s="587"/>
      <c r="AP746" s="587"/>
      <c r="AQ746" s="587"/>
      <c r="AR746" s="587"/>
      <c r="AS746" s="587"/>
      <c r="AT746" s="587"/>
      <c r="AU746" s="587"/>
      <c r="AV746" s="587"/>
      <c r="AW746" s="587"/>
    </row>
    <row r="747" spans="1:49">
      <c r="A747" s="581">
        <v>32082</v>
      </c>
      <c r="B747" s="594">
        <v>-8.2400000000000001E-2</v>
      </c>
      <c r="C747" s="577">
        <v>-5.5499999999999987E-2</v>
      </c>
      <c r="D747" s="577">
        <v>7.4999999999999997E-3</v>
      </c>
      <c r="E747" s="577">
        <v>8.3416666666666656E-3</v>
      </c>
      <c r="F747" s="577">
        <v>8.5583333333333327E-3</v>
      </c>
      <c r="G747" s="577">
        <v>8.4499999999999992E-3</v>
      </c>
      <c r="H747" s="577">
        <v>9.0204166666666679E-3</v>
      </c>
      <c r="I747" s="577">
        <f t="shared" si="123"/>
        <v>-8.9900000000000008E-2</v>
      </c>
      <c r="J747" s="577">
        <f t="shared" si="127"/>
        <v>-9.085E-2</v>
      </c>
      <c r="K747" s="577">
        <f t="shared" si="128"/>
        <v>-6.452041666666665E-2</v>
      </c>
      <c r="L747" s="585">
        <f t="shared" si="124"/>
        <v>-4.675575793548481E-2</v>
      </c>
      <c r="M747" s="585">
        <f t="shared" si="125"/>
        <v>0.09</v>
      </c>
      <c r="N747" s="585">
        <f t="shared" si="129"/>
        <v>0.10139999999999999</v>
      </c>
      <c r="O747" s="586">
        <f t="shared" si="126"/>
        <v>-0.13675575793548481</v>
      </c>
      <c r="P747" s="585">
        <f t="shared" si="130"/>
        <v>-0.1481557579354848</v>
      </c>
      <c r="Q747" s="585">
        <f t="shared" si="131"/>
        <v>-6.4346563152556269E-2</v>
      </c>
      <c r="R747" s="585">
        <f t="shared" si="132"/>
        <v>0.10824500000000001</v>
      </c>
      <c r="S747" s="586">
        <f t="shared" si="133"/>
        <v>-0.17259156315255628</v>
      </c>
      <c r="U747" s="587"/>
      <c r="V747" s="587"/>
      <c r="W747" s="587"/>
      <c r="X747" s="587"/>
      <c r="Y747" s="587"/>
      <c r="Z747" s="587"/>
      <c r="AA747" s="587"/>
      <c r="AB747" s="587"/>
      <c r="AC747" s="587"/>
      <c r="AE747" s="587"/>
      <c r="AF747" s="587"/>
      <c r="AG747" s="587"/>
      <c r="AH747" s="587"/>
      <c r="AI747" s="587"/>
      <c r="AJ747" s="587"/>
      <c r="AK747" s="587"/>
      <c r="AL747" s="587"/>
      <c r="AM747" s="587"/>
      <c r="AO747" s="587"/>
      <c r="AP747" s="587"/>
      <c r="AQ747" s="587"/>
      <c r="AR747" s="587"/>
      <c r="AS747" s="587"/>
      <c r="AT747" s="587"/>
      <c r="AU747" s="587"/>
      <c r="AV747" s="587"/>
      <c r="AW747" s="587"/>
    </row>
    <row r="748" spans="1:49">
      <c r="A748" s="581">
        <v>32112</v>
      </c>
      <c r="B748" s="594">
        <v>7.6100000000000001E-2</v>
      </c>
      <c r="C748" s="577">
        <v>1.0800000000000001E-2</v>
      </c>
      <c r="D748" s="577">
        <v>7.7999999999999988E-3</v>
      </c>
      <c r="E748" s="577">
        <v>8.4249999999999985E-3</v>
      </c>
      <c r="F748" s="577">
        <v>8.6083333333333342E-3</v>
      </c>
      <c r="G748" s="577">
        <v>8.5166666666666654E-3</v>
      </c>
      <c r="H748" s="577">
        <v>9.1140000000000006E-3</v>
      </c>
      <c r="I748" s="577">
        <f t="shared" si="123"/>
        <v>6.83E-2</v>
      </c>
      <c r="J748" s="577">
        <f t="shared" si="127"/>
        <v>6.7583333333333329E-2</v>
      </c>
      <c r="K748" s="577">
        <f t="shared" si="128"/>
        <v>1.686E-3</v>
      </c>
      <c r="L748" s="585">
        <f t="shared" si="124"/>
        <v>5.262814662455062E-2</v>
      </c>
      <c r="M748" s="585">
        <f t="shared" si="125"/>
        <v>9.3599999999999989E-2</v>
      </c>
      <c r="N748" s="585">
        <f t="shared" si="129"/>
        <v>0.10219999999999999</v>
      </c>
      <c r="O748" s="586">
        <f t="shared" si="126"/>
        <v>-4.0971853375449369E-2</v>
      </c>
      <c r="P748" s="585">
        <f t="shared" si="130"/>
        <v>-4.9571853375449365E-2</v>
      </c>
      <c r="Q748" s="585">
        <f t="shared" si="131"/>
        <v>-2.959317261912997E-2</v>
      </c>
      <c r="R748" s="585">
        <f t="shared" si="132"/>
        <v>0.10936800000000001</v>
      </c>
      <c r="S748" s="586">
        <f t="shared" si="133"/>
        <v>-0.13896117261912999</v>
      </c>
      <c r="U748" s="587"/>
      <c r="V748" s="587"/>
      <c r="W748" s="587"/>
      <c r="X748" s="587"/>
      <c r="Y748" s="587"/>
      <c r="Z748" s="587"/>
      <c r="AA748" s="587"/>
      <c r="AB748" s="587"/>
      <c r="AC748" s="587"/>
      <c r="AE748" s="587"/>
      <c r="AF748" s="587"/>
      <c r="AG748" s="587"/>
      <c r="AH748" s="587"/>
      <c r="AI748" s="587"/>
      <c r="AJ748" s="587"/>
      <c r="AK748" s="587"/>
      <c r="AL748" s="587"/>
      <c r="AM748" s="587"/>
      <c r="AO748" s="587"/>
      <c r="AP748" s="587"/>
      <c r="AQ748" s="587"/>
      <c r="AR748" s="587"/>
      <c r="AS748" s="587"/>
      <c r="AT748" s="587"/>
      <c r="AU748" s="587"/>
      <c r="AV748" s="587"/>
      <c r="AW748" s="587"/>
    </row>
    <row r="749" spans="1:49">
      <c r="A749" s="581">
        <v>32143</v>
      </c>
      <c r="B749" s="594">
        <v>4.2099999999999999E-2</v>
      </c>
      <c r="C749" s="577">
        <v>0.1153</v>
      </c>
      <c r="D749" s="577">
        <v>7.1999999999999998E-3</v>
      </c>
      <c r="E749" s="577">
        <v>8.2333333333333338E-3</v>
      </c>
      <c r="F749" s="577">
        <v>8.4083333333333336E-3</v>
      </c>
      <c r="G749" s="577">
        <v>8.3208333333333329E-3</v>
      </c>
      <c r="H749" s="577">
        <v>8.9983333333333339E-3</v>
      </c>
      <c r="I749" s="577">
        <f t="shared" si="123"/>
        <v>3.49E-2</v>
      </c>
      <c r="J749" s="577">
        <f t="shared" si="127"/>
        <v>3.3779166666666666E-2</v>
      </c>
      <c r="K749" s="577">
        <f t="shared" si="128"/>
        <v>0.10630166666666667</v>
      </c>
      <c r="L749" s="585">
        <f t="shared" si="124"/>
        <v>-3.3274176789067966E-2</v>
      </c>
      <c r="M749" s="585">
        <f t="shared" si="125"/>
        <v>8.6400000000000005E-2</v>
      </c>
      <c r="N749" s="585">
        <f t="shared" si="129"/>
        <v>9.9849999999999994E-2</v>
      </c>
      <c r="O749" s="586">
        <f t="shared" si="126"/>
        <v>-0.11967417678906797</v>
      </c>
      <c r="P749" s="585">
        <f t="shared" si="130"/>
        <v>-0.13312417678906796</v>
      </c>
      <c r="Q749" s="585">
        <f t="shared" si="131"/>
        <v>-1.4662477623921588E-2</v>
      </c>
      <c r="R749" s="585">
        <f t="shared" si="132"/>
        <v>0.10798000000000001</v>
      </c>
      <c r="S749" s="586">
        <f t="shared" si="133"/>
        <v>-0.12264247762392159</v>
      </c>
      <c r="U749" s="587"/>
      <c r="V749" s="587"/>
      <c r="W749" s="587"/>
      <c r="X749" s="587"/>
      <c r="Y749" s="587"/>
      <c r="Z749" s="587"/>
      <c r="AA749" s="587"/>
      <c r="AB749" s="587"/>
      <c r="AC749" s="587"/>
      <c r="AE749" s="587"/>
      <c r="AF749" s="587"/>
      <c r="AG749" s="587"/>
      <c r="AH749" s="587"/>
      <c r="AI749" s="587"/>
      <c r="AJ749" s="587"/>
      <c r="AK749" s="587"/>
      <c r="AL749" s="587"/>
      <c r="AM749" s="587"/>
      <c r="AO749" s="587"/>
      <c r="AP749" s="587"/>
      <c r="AQ749" s="587"/>
      <c r="AR749" s="587"/>
      <c r="AS749" s="587"/>
      <c r="AT749" s="587"/>
      <c r="AU749" s="587"/>
      <c r="AV749" s="587"/>
      <c r="AW749" s="587"/>
    </row>
    <row r="750" spans="1:49">
      <c r="A750" s="581">
        <v>32174</v>
      </c>
      <c r="B750" s="594">
        <v>4.6600000000000003E-2</v>
      </c>
      <c r="C750" s="577">
        <v>-1.7500000000000002E-2</v>
      </c>
      <c r="D750" s="577">
        <v>7.1000000000000004E-3</v>
      </c>
      <c r="E750" s="577">
        <v>7.8333333333333328E-3</v>
      </c>
      <c r="F750" s="577">
        <v>8.0000000000000002E-3</v>
      </c>
      <c r="G750" s="577">
        <v>7.9166666666666656E-3</v>
      </c>
      <c r="H750" s="577">
        <v>8.4295833333333341E-3</v>
      </c>
      <c r="I750" s="577">
        <f t="shared" si="123"/>
        <v>3.95E-2</v>
      </c>
      <c r="J750" s="577">
        <f t="shared" si="127"/>
        <v>3.8683333333333333E-2</v>
      </c>
      <c r="K750" s="577">
        <f t="shared" si="128"/>
        <v>-2.5929583333333336E-2</v>
      </c>
      <c r="L750" s="585">
        <f t="shared" si="124"/>
        <v>-2.6671239468435526E-2</v>
      </c>
      <c r="M750" s="585">
        <f t="shared" si="125"/>
        <v>8.5199999999999998E-2</v>
      </c>
      <c r="N750" s="585">
        <f t="shared" si="129"/>
        <v>9.4999999999999987E-2</v>
      </c>
      <c r="O750" s="586">
        <f t="shared" si="126"/>
        <v>-0.11187123946843552</v>
      </c>
      <c r="P750" s="585">
        <f t="shared" si="130"/>
        <v>-0.12167123946843551</v>
      </c>
      <c r="Q750" s="585">
        <f t="shared" si="131"/>
        <v>-1.8619283075606008E-3</v>
      </c>
      <c r="R750" s="585">
        <f t="shared" si="132"/>
        <v>0.10115500000000001</v>
      </c>
      <c r="S750" s="586">
        <f t="shared" si="133"/>
        <v>-0.10301692830756061</v>
      </c>
      <c r="U750" s="587"/>
      <c r="V750" s="587"/>
      <c r="W750" s="587"/>
      <c r="X750" s="587"/>
      <c r="Y750" s="587"/>
      <c r="Z750" s="587"/>
      <c r="AA750" s="587"/>
      <c r="AB750" s="587"/>
      <c r="AC750" s="587"/>
      <c r="AE750" s="587"/>
      <c r="AF750" s="587"/>
      <c r="AG750" s="587"/>
      <c r="AH750" s="587"/>
      <c r="AI750" s="587"/>
      <c r="AJ750" s="587"/>
      <c r="AK750" s="587"/>
      <c r="AL750" s="587"/>
      <c r="AM750" s="587"/>
      <c r="AO750" s="587"/>
      <c r="AP750" s="587"/>
      <c r="AQ750" s="587"/>
      <c r="AR750" s="587"/>
      <c r="AS750" s="587"/>
      <c r="AT750" s="587"/>
      <c r="AU750" s="587"/>
      <c r="AV750" s="587"/>
      <c r="AW750" s="587"/>
    </row>
    <row r="751" spans="1:49">
      <c r="A751" s="581">
        <v>32203</v>
      </c>
      <c r="B751" s="594">
        <v>-3.09E-2</v>
      </c>
      <c r="C751" s="577">
        <v>-5.2699999999999997E-2</v>
      </c>
      <c r="D751" s="577">
        <v>7.1999999999999998E-3</v>
      </c>
      <c r="E751" s="577">
        <v>7.8250000000000004E-3</v>
      </c>
      <c r="F751" s="577">
        <v>7.9916666666666678E-3</v>
      </c>
      <c r="G751" s="577">
        <v>7.9083333333333332E-3</v>
      </c>
      <c r="H751" s="577">
        <v>8.3956666666666676E-3</v>
      </c>
      <c r="I751" s="577">
        <f t="shared" si="123"/>
        <v>-3.8100000000000002E-2</v>
      </c>
      <c r="J751" s="577">
        <f t="shared" si="127"/>
        <v>-3.8808333333333334E-2</v>
      </c>
      <c r="K751" s="577">
        <f t="shared" si="128"/>
        <v>-6.1095666666666666E-2</v>
      </c>
      <c r="L751" s="585">
        <f t="shared" si="124"/>
        <v>-8.3241421099096824E-2</v>
      </c>
      <c r="M751" s="585">
        <f t="shared" si="125"/>
        <v>8.6400000000000005E-2</v>
      </c>
      <c r="N751" s="585">
        <f t="shared" si="129"/>
        <v>9.4899999999999998E-2</v>
      </c>
      <c r="O751" s="586">
        <f t="shared" si="126"/>
        <v>-0.16964142109909683</v>
      </c>
      <c r="P751" s="585">
        <f t="shared" si="130"/>
        <v>-0.17814142109909681</v>
      </c>
      <c r="Q751" s="585">
        <f t="shared" si="131"/>
        <v>-3.6248909067120749E-2</v>
      </c>
      <c r="R751" s="585">
        <f t="shared" si="132"/>
        <v>0.100748</v>
      </c>
      <c r="S751" s="586">
        <f t="shared" si="133"/>
        <v>-0.13699690906712075</v>
      </c>
      <c r="U751" s="587"/>
      <c r="V751" s="587"/>
      <c r="W751" s="587"/>
      <c r="X751" s="587"/>
      <c r="Y751" s="587"/>
      <c r="Z751" s="587"/>
      <c r="AA751" s="587"/>
      <c r="AB751" s="587"/>
      <c r="AC751" s="587"/>
      <c r="AE751" s="587"/>
      <c r="AF751" s="587"/>
      <c r="AG751" s="587"/>
      <c r="AH751" s="587"/>
      <c r="AI751" s="587"/>
      <c r="AJ751" s="587"/>
      <c r="AK751" s="587"/>
      <c r="AL751" s="587"/>
      <c r="AM751" s="587"/>
      <c r="AO751" s="587"/>
      <c r="AP751" s="587"/>
      <c r="AQ751" s="587"/>
      <c r="AR751" s="587"/>
      <c r="AS751" s="587"/>
      <c r="AT751" s="587"/>
      <c r="AU751" s="587"/>
      <c r="AV751" s="587"/>
      <c r="AW751" s="587"/>
    </row>
    <row r="752" spans="1:49">
      <c r="A752" s="581">
        <v>32234</v>
      </c>
      <c r="B752" s="594">
        <v>1.11E-2</v>
      </c>
      <c r="C752" s="577">
        <v>1.9000000000000006E-3</v>
      </c>
      <c r="D752" s="577">
        <v>7.000000000000001E-3</v>
      </c>
      <c r="E752" s="577">
        <v>8.0583333333333323E-3</v>
      </c>
      <c r="F752" s="577">
        <v>8.2166666666666673E-3</v>
      </c>
      <c r="G752" s="577">
        <v>8.1374999999999989E-3</v>
      </c>
      <c r="H752" s="577">
        <v>8.7683333333333328E-3</v>
      </c>
      <c r="I752" s="577">
        <f t="shared" si="123"/>
        <v>4.0999999999999995E-3</v>
      </c>
      <c r="J752" s="577">
        <f t="shared" si="127"/>
        <v>2.9625000000000016E-3</v>
      </c>
      <c r="K752" s="577">
        <f t="shared" si="128"/>
        <v>-6.8683333333333322E-3</v>
      </c>
      <c r="L752" s="585">
        <f t="shared" si="124"/>
        <v>-6.4741601123294412E-2</v>
      </c>
      <c r="M752" s="585">
        <f t="shared" si="125"/>
        <v>8.4000000000000019E-2</v>
      </c>
      <c r="N752" s="585">
        <f t="shared" si="129"/>
        <v>9.7649999999999987E-2</v>
      </c>
      <c r="O752" s="586">
        <f t="shared" si="126"/>
        <v>-0.14874160112329443</v>
      </c>
      <c r="P752" s="585">
        <f t="shared" si="130"/>
        <v>-0.1623916011232944</v>
      </c>
      <c r="Q752" s="585">
        <f t="shared" si="131"/>
        <v>7.2837659145126299E-3</v>
      </c>
      <c r="R752" s="585">
        <f t="shared" si="132"/>
        <v>0.10521999999999999</v>
      </c>
      <c r="S752" s="586">
        <f t="shared" si="133"/>
        <v>-9.7936234085487364E-2</v>
      </c>
      <c r="U752" s="587"/>
      <c r="V752" s="587"/>
      <c r="W752" s="587"/>
      <c r="X752" s="587"/>
      <c r="Y752" s="587"/>
      <c r="Z752" s="587"/>
      <c r="AA752" s="587"/>
      <c r="AB752" s="587"/>
      <c r="AC752" s="587"/>
      <c r="AE752" s="587"/>
      <c r="AF752" s="587"/>
      <c r="AG752" s="587"/>
      <c r="AH752" s="587"/>
      <c r="AI752" s="587"/>
      <c r="AJ752" s="587"/>
      <c r="AK752" s="587"/>
      <c r="AL752" s="587"/>
      <c r="AM752" s="587"/>
      <c r="AO752" s="587"/>
      <c r="AP752" s="587"/>
      <c r="AQ752" s="587"/>
      <c r="AR752" s="587"/>
      <c r="AS752" s="587"/>
      <c r="AT752" s="587"/>
      <c r="AU752" s="587"/>
      <c r="AV752" s="587"/>
      <c r="AW752" s="587"/>
    </row>
    <row r="753" spans="1:49">
      <c r="A753" s="581">
        <v>32264</v>
      </c>
      <c r="B753" s="594">
        <v>8.6E-3</v>
      </c>
      <c r="C753" s="577">
        <v>4.5999999999999999E-2</v>
      </c>
      <c r="D753" s="577">
        <v>7.7999999999999988E-3</v>
      </c>
      <c r="E753" s="577">
        <v>8.2500000000000004E-3</v>
      </c>
      <c r="F753" s="577">
        <v>8.416666666666666E-3</v>
      </c>
      <c r="G753" s="577">
        <v>8.3333333333333332E-3</v>
      </c>
      <c r="H753" s="577">
        <v>8.9932500000000012E-3</v>
      </c>
      <c r="I753" s="577">
        <f t="shared" si="123"/>
        <v>8.0000000000000123E-4</v>
      </c>
      <c r="J753" s="577">
        <f t="shared" si="127"/>
        <v>2.6666666666666679E-4</v>
      </c>
      <c r="K753" s="577">
        <f t="shared" si="128"/>
        <v>3.7006749999999998E-2</v>
      </c>
      <c r="L753" s="585">
        <f t="shared" si="124"/>
        <v>-6.4834320306289772E-2</v>
      </c>
      <c r="M753" s="585">
        <f t="shared" si="125"/>
        <v>9.3599999999999989E-2</v>
      </c>
      <c r="N753" s="585">
        <f t="shared" si="129"/>
        <v>0.1</v>
      </c>
      <c r="O753" s="586">
        <f t="shared" si="126"/>
        <v>-0.15843432030628976</v>
      </c>
      <c r="P753" s="585">
        <f t="shared" si="130"/>
        <v>-0.16483432030628978</v>
      </c>
      <c r="Q753" s="585">
        <f t="shared" si="131"/>
        <v>6.0405413794867302E-2</v>
      </c>
      <c r="R753" s="585">
        <f t="shared" si="132"/>
        <v>0.10791900000000001</v>
      </c>
      <c r="S753" s="586">
        <f t="shared" si="133"/>
        <v>-4.7513586205132713E-2</v>
      </c>
      <c r="U753" s="587"/>
      <c r="V753" s="587"/>
      <c r="W753" s="587"/>
      <c r="X753" s="587"/>
      <c r="Y753" s="587"/>
      <c r="Z753" s="587"/>
      <c r="AA753" s="587"/>
      <c r="AB753" s="587"/>
      <c r="AC753" s="587"/>
      <c r="AE753" s="587"/>
      <c r="AF753" s="587"/>
      <c r="AG753" s="587"/>
      <c r="AH753" s="587"/>
      <c r="AI753" s="587"/>
      <c r="AJ753" s="587"/>
      <c r="AK753" s="587"/>
      <c r="AL753" s="587"/>
      <c r="AM753" s="587"/>
      <c r="AO753" s="587"/>
      <c r="AP753" s="587"/>
      <c r="AQ753" s="587"/>
      <c r="AR753" s="587"/>
      <c r="AS753" s="587"/>
      <c r="AT753" s="587"/>
      <c r="AU753" s="587"/>
      <c r="AV753" s="587"/>
      <c r="AW753" s="587"/>
    </row>
    <row r="754" spans="1:49">
      <c r="A754" s="581">
        <v>32295</v>
      </c>
      <c r="B754" s="594">
        <v>4.5900000000000003E-2</v>
      </c>
      <c r="C754" s="577">
        <v>3.15E-2</v>
      </c>
      <c r="D754" s="577">
        <v>7.6E-3</v>
      </c>
      <c r="E754" s="577">
        <v>8.2166666666666673E-3</v>
      </c>
      <c r="F754" s="577">
        <v>8.4416666666666668E-3</v>
      </c>
      <c r="G754" s="577">
        <v>8.329166666666667E-3</v>
      </c>
      <c r="H754" s="577">
        <v>9.0045833333333332E-3</v>
      </c>
      <c r="I754" s="577">
        <f t="shared" si="123"/>
        <v>3.8300000000000001E-2</v>
      </c>
      <c r="J754" s="577">
        <f t="shared" si="127"/>
        <v>3.7570833333333338E-2</v>
      </c>
      <c r="K754" s="577">
        <f t="shared" si="128"/>
        <v>2.2495416666666667E-2</v>
      </c>
      <c r="L754" s="585">
        <f t="shared" si="124"/>
        <v>-6.8929286633363507E-2</v>
      </c>
      <c r="M754" s="585">
        <f t="shared" si="125"/>
        <v>9.1200000000000003E-2</v>
      </c>
      <c r="N754" s="585">
        <f t="shared" si="129"/>
        <v>9.9950000000000011E-2</v>
      </c>
      <c r="O754" s="586">
        <f t="shared" si="126"/>
        <v>-0.16012928663336351</v>
      </c>
      <c r="P754" s="585">
        <f t="shared" si="130"/>
        <v>-0.16887928663336352</v>
      </c>
      <c r="Q754" s="585">
        <f t="shared" si="131"/>
        <v>4.7809353701892432E-2</v>
      </c>
      <c r="R754" s="585">
        <f t="shared" si="132"/>
        <v>0.108055</v>
      </c>
      <c r="S754" s="586">
        <f t="shared" si="133"/>
        <v>-6.0245646298107566E-2</v>
      </c>
      <c r="U754" s="587"/>
      <c r="V754" s="587"/>
      <c r="W754" s="587"/>
      <c r="X754" s="587"/>
      <c r="Y754" s="587"/>
      <c r="Z754" s="587"/>
      <c r="AA754" s="587"/>
      <c r="AB754" s="587"/>
      <c r="AC754" s="587"/>
      <c r="AE754" s="587"/>
      <c r="AF754" s="587"/>
      <c r="AG754" s="587"/>
      <c r="AH754" s="587"/>
      <c r="AI754" s="587"/>
      <c r="AJ754" s="587"/>
      <c r="AK754" s="587"/>
      <c r="AL754" s="587"/>
      <c r="AM754" s="587"/>
      <c r="AO754" s="587"/>
      <c r="AP754" s="587"/>
      <c r="AQ754" s="587"/>
      <c r="AR754" s="587"/>
      <c r="AS754" s="587"/>
      <c r="AT754" s="587"/>
      <c r="AU754" s="587"/>
      <c r="AV754" s="587"/>
      <c r="AW754" s="587"/>
    </row>
    <row r="755" spans="1:49">
      <c r="A755" s="581">
        <v>32325</v>
      </c>
      <c r="B755" s="594">
        <v>-3.8E-3</v>
      </c>
      <c r="C755" s="577">
        <v>1.6999999999999993E-3</v>
      </c>
      <c r="D755" s="577">
        <v>7.1000000000000004E-3</v>
      </c>
      <c r="E755" s="577">
        <v>8.3000000000000001E-3</v>
      </c>
      <c r="F755" s="577">
        <v>8.5500000000000003E-3</v>
      </c>
      <c r="G755" s="577">
        <v>8.4250000000000002E-3</v>
      </c>
      <c r="H755" s="577">
        <v>9.1866666666666659E-3</v>
      </c>
      <c r="I755" s="577">
        <f t="shared" si="123"/>
        <v>-1.09E-2</v>
      </c>
      <c r="J755" s="577">
        <f t="shared" si="127"/>
        <v>-1.2225E-2</v>
      </c>
      <c r="K755" s="577">
        <f t="shared" si="128"/>
        <v>-7.4866666666666666E-3</v>
      </c>
      <c r="L755" s="585">
        <f t="shared" si="124"/>
        <v>-0.11722409378905185</v>
      </c>
      <c r="M755" s="585">
        <f t="shared" si="125"/>
        <v>8.5199999999999998E-2</v>
      </c>
      <c r="N755" s="585">
        <f t="shared" si="129"/>
        <v>0.1011</v>
      </c>
      <c r="O755" s="586">
        <f t="shared" si="126"/>
        <v>-0.20242409378905185</v>
      </c>
      <c r="P755" s="585">
        <f t="shared" si="130"/>
        <v>-0.21832409378905185</v>
      </c>
      <c r="Q755" s="585">
        <f t="shared" si="131"/>
        <v>5.2221182559584634E-2</v>
      </c>
      <c r="R755" s="585">
        <f t="shared" si="132"/>
        <v>0.11023999999999999</v>
      </c>
      <c r="S755" s="586">
        <f t="shared" si="133"/>
        <v>-5.8018817440415357E-2</v>
      </c>
      <c r="U755" s="587"/>
      <c r="V755" s="587"/>
      <c r="W755" s="587"/>
      <c r="X755" s="587"/>
      <c r="Y755" s="587"/>
      <c r="Z755" s="587"/>
      <c r="AA755" s="587"/>
      <c r="AB755" s="587"/>
      <c r="AC755" s="587"/>
      <c r="AE755" s="587"/>
      <c r="AF755" s="587"/>
      <c r="AG755" s="587"/>
      <c r="AH755" s="587"/>
      <c r="AI755" s="587"/>
      <c r="AJ755" s="587"/>
      <c r="AK755" s="587"/>
      <c r="AL755" s="587"/>
      <c r="AM755" s="587"/>
      <c r="AO755" s="587"/>
      <c r="AP755" s="587"/>
      <c r="AQ755" s="587"/>
      <c r="AR755" s="587"/>
      <c r="AS755" s="587"/>
      <c r="AT755" s="587"/>
      <c r="AU755" s="587"/>
      <c r="AV755" s="587"/>
      <c r="AW755" s="587"/>
    </row>
    <row r="756" spans="1:49">
      <c r="A756" s="581">
        <v>32356</v>
      </c>
      <c r="B756" s="594">
        <v>-3.39E-2</v>
      </c>
      <c r="C756" s="577">
        <v>-1.37E-2</v>
      </c>
      <c r="D756" s="577">
        <v>8.3000000000000001E-3</v>
      </c>
      <c r="E756" s="577">
        <v>8.4249999999999985E-3</v>
      </c>
      <c r="F756" s="577">
        <v>8.6416666666666656E-3</v>
      </c>
      <c r="G756" s="577">
        <v>8.533333333333332E-3</v>
      </c>
      <c r="H756" s="577">
        <v>9.3080000000000003E-3</v>
      </c>
      <c r="I756" s="577">
        <f t="shared" si="123"/>
        <v>-4.2200000000000001E-2</v>
      </c>
      <c r="J756" s="577">
        <f t="shared" si="127"/>
        <v>-4.243333333333333E-2</v>
      </c>
      <c r="K756" s="577">
        <f t="shared" si="128"/>
        <v>-2.3008000000000001E-2</v>
      </c>
      <c r="L756" s="585">
        <f t="shared" si="124"/>
        <v>-0.17781760051055917</v>
      </c>
      <c r="M756" s="585">
        <f t="shared" si="125"/>
        <v>9.9599999999999994E-2</v>
      </c>
      <c r="N756" s="585">
        <f t="shared" si="129"/>
        <v>0.10239999999999999</v>
      </c>
      <c r="O756" s="586">
        <f t="shared" si="126"/>
        <v>-0.27741760051055919</v>
      </c>
      <c r="P756" s="585">
        <f t="shared" si="130"/>
        <v>-0.28021760051055916</v>
      </c>
      <c r="Q756" s="585">
        <f t="shared" si="131"/>
        <v>-1.414861559939351E-2</v>
      </c>
      <c r="R756" s="585">
        <f t="shared" si="132"/>
        <v>0.111696</v>
      </c>
      <c r="S756" s="586">
        <f t="shared" si="133"/>
        <v>-0.12584461559939353</v>
      </c>
      <c r="U756" s="587"/>
      <c r="V756" s="587"/>
      <c r="W756" s="587"/>
      <c r="X756" s="587"/>
      <c r="Y756" s="587"/>
      <c r="Z756" s="587"/>
      <c r="AA756" s="587"/>
      <c r="AB756" s="587"/>
      <c r="AC756" s="587"/>
      <c r="AE756" s="587"/>
      <c r="AF756" s="587"/>
      <c r="AG756" s="587"/>
      <c r="AH756" s="587"/>
      <c r="AI756" s="587"/>
      <c r="AJ756" s="587"/>
      <c r="AK756" s="587"/>
      <c r="AL756" s="587"/>
      <c r="AM756" s="587"/>
      <c r="AO756" s="587"/>
      <c r="AP756" s="587"/>
      <c r="AQ756" s="587"/>
      <c r="AR756" s="587"/>
      <c r="AS756" s="587"/>
      <c r="AT756" s="587"/>
      <c r="AU756" s="587"/>
      <c r="AV756" s="587"/>
      <c r="AW756" s="587"/>
    </row>
    <row r="757" spans="1:49">
      <c r="A757" s="581">
        <v>32387</v>
      </c>
      <c r="B757" s="594">
        <v>4.2599999999999999E-2</v>
      </c>
      <c r="C757" s="577">
        <v>4.1299999999999996E-2</v>
      </c>
      <c r="D757" s="577">
        <v>7.6E-3</v>
      </c>
      <c r="E757" s="577">
        <v>8.1833333333333341E-3</v>
      </c>
      <c r="F757" s="577">
        <v>8.3833333333333329E-3</v>
      </c>
      <c r="G757" s="577">
        <v>8.2833333333333335E-3</v>
      </c>
      <c r="H757" s="577">
        <v>8.8885000000000006E-3</v>
      </c>
      <c r="I757" s="577">
        <f t="shared" si="123"/>
        <v>3.4999999999999996E-2</v>
      </c>
      <c r="J757" s="577">
        <f t="shared" si="127"/>
        <v>3.4316666666666662E-2</v>
      </c>
      <c r="K757" s="577">
        <f t="shared" si="128"/>
        <v>3.2411499999999996E-2</v>
      </c>
      <c r="L757" s="585">
        <f t="shared" si="124"/>
        <v>-0.12359945843196918</v>
      </c>
      <c r="M757" s="585">
        <f t="shared" si="125"/>
        <v>9.1200000000000003E-2</v>
      </c>
      <c r="N757" s="585">
        <f t="shared" si="129"/>
        <v>9.9400000000000002E-2</v>
      </c>
      <c r="O757" s="586">
        <f t="shared" si="126"/>
        <v>-0.21479945843196918</v>
      </c>
      <c r="P757" s="585">
        <f t="shared" si="130"/>
        <v>-0.22299945843196917</v>
      </c>
      <c r="Q757" s="585">
        <f t="shared" si="131"/>
        <v>2.4415773452101996E-2</v>
      </c>
      <c r="R757" s="585">
        <f t="shared" si="132"/>
        <v>0.10666200000000001</v>
      </c>
      <c r="S757" s="586">
        <f t="shared" si="133"/>
        <v>-8.224622654789801E-2</v>
      </c>
      <c r="U757" s="587"/>
      <c r="V757" s="587"/>
      <c r="W757" s="587"/>
      <c r="X757" s="587"/>
      <c r="Y757" s="587"/>
      <c r="Z757" s="587"/>
      <c r="AA757" s="587"/>
      <c r="AB757" s="587"/>
      <c r="AC757" s="587"/>
      <c r="AE757" s="587"/>
      <c r="AF757" s="587"/>
      <c r="AG757" s="587"/>
      <c r="AH757" s="587"/>
      <c r="AI757" s="587"/>
      <c r="AJ757" s="587"/>
      <c r="AK757" s="587"/>
      <c r="AL757" s="587"/>
      <c r="AM757" s="587"/>
      <c r="AO757" s="587"/>
      <c r="AP757" s="587"/>
      <c r="AQ757" s="587"/>
      <c r="AR757" s="587"/>
      <c r="AS757" s="587"/>
      <c r="AT757" s="587"/>
      <c r="AU757" s="587"/>
      <c r="AV757" s="587"/>
      <c r="AW757" s="587"/>
    </row>
    <row r="758" spans="1:49">
      <c r="A758" s="581">
        <v>32417</v>
      </c>
      <c r="B758" s="594">
        <v>2.7799999999999998E-2</v>
      </c>
      <c r="C758" s="577">
        <v>2.6199999999999998E-2</v>
      </c>
      <c r="D758" s="577">
        <v>7.6E-3</v>
      </c>
      <c r="E758" s="577">
        <v>7.9166666666666656E-3</v>
      </c>
      <c r="F758" s="577">
        <v>8.083333333333333E-3</v>
      </c>
      <c r="G758" s="577">
        <v>8.0000000000000002E-3</v>
      </c>
      <c r="H758" s="577">
        <v>8.3178333333333351E-3</v>
      </c>
      <c r="I758" s="577">
        <f t="shared" si="123"/>
        <v>2.0199999999999999E-2</v>
      </c>
      <c r="J758" s="577">
        <f t="shared" si="127"/>
        <v>1.9799999999999998E-2</v>
      </c>
      <c r="K758" s="577">
        <f t="shared" si="128"/>
        <v>1.7882166666666664E-2</v>
      </c>
      <c r="L758" s="585">
        <f t="shared" si="124"/>
        <v>0.14805566737652609</v>
      </c>
      <c r="M758" s="585">
        <f t="shared" si="125"/>
        <v>9.1200000000000003E-2</v>
      </c>
      <c r="N758" s="585">
        <f t="shared" si="129"/>
        <v>9.6000000000000002E-2</v>
      </c>
      <c r="O758" s="586">
        <f t="shared" si="126"/>
        <v>5.6855667376526087E-2</v>
      </c>
      <c r="P758" s="585">
        <f t="shared" si="130"/>
        <v>5.2055667376526088E-2</v>
      </c>
      <c r="Q758" s="585">
        <f t="shared" si="131"/>
        <v>0.13099028156702208</v>
      </c>
      <c r="R758" s="585">
        <f t="shared" si="132"/>
        <v>9.9814000000000014E-2</v>
      </c>
      <c r="S758" s="586">
        <f t="shared" si="133"/>
        <v>3.1176281567022068E-2</v>
      </c>
      <c r="U758" s="587"/>
      <c r="V758" s="587"/>
      <c r="W758" s="587"/>
      <c r="X758" s="587"/>
      <c r="Y758" s="587"/>
      <c r="Z758" s="587"/>
      <c r="AA758" s="587"/>
      <c r="AB758" s="587"/>
      <c r="AC758" s="587"/>
      <c r="AE758" s="587"/>
      <c r="AF758" s="587"/>
      <c r="AG758" s="587"/>
      <c r="AH758" s="587"/>
      <c r="AI758" s="587"/>
      <c r="AJ758" s="587"/>
      <c r="AK758" s="587"/>
      <c r="AL758" s="587"/>
      <c r="AM758" s="587"/>
      <c r="AO758" s="587"/>
      <c r="AP758" s="587"/>
      <c r="AQ758" s="587"/>
      <c r="AR758" s="587"/>
      <c r="AS758" s="587"/>
      <c r="AT758" s="587"/>
      <c r="AU758" s="587"/>
      <c r="AV758" s="587"/>
      <c r="AW758" s="587"/>
    </row>
    <row r="759" spans="1:49">
      <c r="A759" s="581">
        <v>32448</v>
      </c>
      <c r="B759" s="594">
        <v>-1.43E-2</v>
      </c>
      <c r="C759" s="577">
        <v>-7.899999999999999E-3</v>
      </c>
      <c r="D759" s="577">
        <v>7.000000000000001E-3</v>
      </c>
      <c r="E759" s="577">
        <v>7.8750000000000001E-3</v>
      </c>
      <c r="F759" s="577">
        <v>8.1000000000000013E-3</v>
      </c>
      <c r="G759" s="577">
        <v>7.9875000000000015E-3</v>
      </c>
      <c r="H759" s="577">
        <v>8.241666666666668E-3</v>
      </c>
      <c r="I759" s="577">
        <f t="shared" si="123"/>
        <v>-2.1299999999999999E-2</v>
      </c>
      <c r="J759" s="577">
        <f t="shared" si="127"/>
        <v>-2.2287500000000002E-2</v>
      </c>
      <c r="K759" s="577">
        <f t="shared" si="128"/>
        <v>-1.6141666666666665E-2</v>
      </c>
      <c r="L759" s="585">
        <f t="shared" si="124"/>
        <v>0.23325901409442218</v>
      </c>
      <c r="M759" s="585">
        <f t="shared" si="125"/>
        <v>8.4000000000000019E-2</v>
      </c>
      <c r="N759" s="585">
        <f t="shared" si="129"/>
        <v>9.5850000000000019E-2</v>
      </c>
      <c r="O759" s="586">
        <f t="shared" si="126"/>
        <v>0.14925901409442216</v>
      </c>
      <c r="P759" s="585">
        <f t="shared" si="130"/>
        <v>0.13740901409442216</v>
      </c>
      <c r="Q759" s="585">
        <f t="shared" si="131"/>
        <v>0.18798883890168594</v>
      </c>
      <c r="R759" s="585">
        <f t="shared" si="132"/>
        <v>9.8900000000000016E-2</v>
      </c>
      <c r="S759" s="586">
        <f t="shared" si="133"/>
        <v>8.9088838901685924E-2</v>
      </c>
      <c r="U759" s="587"/>
      <c r="V759" s="587"/>
      <c r="W759" s="587"/>
      <c r="X759" s="587"/>
      <c r="Y759" s="587"/>
      <c r="Z759" s="587"/>
      <c r="AA759" s="587"/>
      <c r="AB759" s="587"/>
      <c r="AC759" s="587"/>
      <c r="AE759" s="587"/>
      <c r="AF759" s="587"/>
      <c r="AG759" s="587"/>
      <c r="AH759" s="587"/>
      <c r="AI759" s="587"/>
      <c r="AJ759" s="587"/>
      <c r="AK759" s="587"/>
      <c r="AL759" s="587"/>
      <c r="AM759" s="587"/>
      <c r="AO759" s="587"/>
      <c r="AP759" s="587"/>
      <c r="AQ759" s="587"/>
      <c r="AR759" s="587"/>
      <c r="AS759" s="587"/>
      <c r="AT759" s="587"/>
      <c r="AU759" s="587"/>
      <c r="AV759" s="587"/>
      <c r="AW759" s="587"/>
    </row>
    <row r="760" spans="1:49">
      <c r="A760" s="581">
        <v>32478</v>
      </c>
      <c r="B760" s="594">
        <v>1.7399999999999999E-2</v>
      </c>
      <c r="C760" s="577">
        <v>6.3E-3</v>
      </c>
      <c r="D760" s="577">
        <v>7.4999999999999997E-3</v>
      </c>
      <c r="E760" s="577">
        <v>7.9749999999999995E-3</v>
      </c>
      <c r="F760" s="577">
        <v>8.175E-3</v>
      </c>
      <c r="G760" s="577">
        <v>8.0750000000000006E-3</v>
      </c>
      <c r="H760" s="577">
        <v>8.3765833333333331E-3</v>
      </c>
      <c r="I760" s="577">
        <f t="shared" si="123"/>
        <v>9.8999999999999991E-3</v>
      </c>
      <c r="J760" s="577">
        <f t="shared" si="127"/>
        <v>9.3249999999999982E-3</v>
      </c>
      <c r="K760" s="577">
        <f t="shared" si="128"/>
        <v>-2.0765833333333331E-3</v>
      </c>
      <c r="L760" s="585">
        <f t="shared" si="124"/>
        <v>0.16598617316203401</v>
      </c>
      <c r="M760" s="585">
        <f t="shared" si="125"/>
        <v>0.09</v>
      </c>
      <c r="N760" s="585">
        <f t="shared" si="129"/>
        <v>9.6900000000000014E-2</v>
      </c>
      <c r="O760" s="586">
        <f t="shared" si="126"/>
        <v>7.5986173162034015E-2</v>
      </c>
      <c r="P760" s="585">
        <f t="shared" si="130"/>
        <v>6.9086173162033998E-2</v>
      </c>
      <c r="Q760" s="585">
        <f t="shared" si="131"/>
        <v>0.18270000849502033</v>
      </c>
      <c r="R760" s="585">
        <f t="shared" si="132"/>
        <v>0.100519</v>
      </c>
      <c r="S760" s="586">
        <f t="shared" si="133"/>
        <v>8.218100849502033E-2</v>
      </c>
      <c r="U760" s="587"/>
      <c r="V760" s="587"/>
      <c r="W760" s="587"/>
      <c r="X760" s="587"/>
      <c r="Y760" s="587"/>
      <c r="Z760" s="587"/>
      <c r="AA760" s="587"/>
      <c r="AB760" s="587"/>
      <c r="AC760" s="587"/>
      <c r="AE760" s="587"/>
      <c r="AF760" s="587"/>
      <c r="AG760" s="587"/>
      <c r="AH760" s="587"/>
      <c r="AI760" s="587"/>
      <c r="AJ760" s="587"/>
      <c r="AK760" s="587"/>
      <c r="AL760" s="587"/>
      <c r="AM760" s="587"/>
      <c r="AO760" s="587"/>
      <c r="AP760" s="587"/>
      <c r="AQ760" s="587"/>
      <c r="AR760" s="587"/>
      <c r="AS760" s="587"/>
      <c r="AT760" s="587"/>
      <c r="AU760" s="587"/>
      <c r="AV760" s="587"/>
      <c r="AW760" s="587"/>
    </row>
    <row r="761" spans="1:49">
      <c r="A761" s="581">
        <v>32509</v>
      </c>
      <c r="B761" s="594">
        <v>7.3200000000000001E-2</v>
      </c>
      <c r="C761" s="577">
        <v>5.7100000000000012E-2</v>
      </c>
      <c r="D761" s="577">
        <v>8.0000000000000002E-3</v>
      </c>
      <c r="E761" s="577">
        <v>8.0166666666666667E-3</v>
      </c>
      <c r="F761" s="577">
        <v>8.175E-3</v>
      </c>
      <c r="G761" s="577">
        <v>8.0958333333333334E-3</v>
      </c>
      <c r="H761" s="577">
        <v>8.404E-3</v>
      </c>
      <c r="I761" s="577">
        <f t="shared" si="123"/>
        <v>6.5200000000000008E-2</v>
      </c>
      <c r="J761" s="577">
        <f t="shared" si="127"/>
        <v>6.5104166666666671E-2</v>
      </c>
      <c r="K761" s="577">
        <f t="shared" si="128"/>
        <v>4.869600000000001E-2</v>
      </c>
      <c r="L761" s="585">
        <f t="shared" si="124"/>
        <v>0.20078338070962021</v>
      </c>
      <c r="M761" s="585">
        <f t="shared" si="125"/>
        <v>9.6000000000000002E-2</v>
      </c>
      <c r="N761" s="585">
        <f t="shared" si="129"/>
        <v>9.715E-2</v>
      </c>
      <c r="O761" s="586">
        <f t="shared" si="126"/>
        <v>0.10478338070962021</v>
      </c>
      <c r="P761" s="585">
        <f t="shared" si="130"/>
        <v>0.10363338070962021</v>
      </c>
      <c r="Q761" s="585">
        <f t="shared" si="131"/>
        <v>0.12098285571602796</v>
      </c>
      <c r="R761" s="585">
        <f t="shared" si="132"/>
        <v>0.10084799999999999</v>
      </c>
      <c r="S761" s="586">
        <f t="shared" si="133"/>
        <v>2.0134855716027966E-2</v>
      </c>
      <c r="U761" s="587"/>
      <c r="V761" s="587"/>
      <c r="W761" s="587"/>
      <c r="X761" s="587"/>
      <c r="Y761" s="587"/>
      <c r="Z761" s="587"/>
      <c r="AA761" s="587"/>
      <c r="AB761" s="587"/>
      <c r="AC761" s="587"/>
      <c r="AE761" s="587"/>
      <c r="AF761" s="587"/>
      <c r="AG761" s="587"/>
      <c r="AH761" s="587"/>
      <c r="AI761" s="587"/>
      <c r="AJ761" s="587"/>
      <c r="AK761" s="587"/>
      <c r="AL761" s="587"/>
      <c r="AM761" s="587"/>
      <c r="AO761" s="587"/>
      <c r="AP761" s="587"/>
      <c r="AQ761" s="587"/>
      <c r="AR761" s="587"/>
      <c r="AS761" s="587"/>
      <c r="AT761" s="587"/>
      <c r="AU761" s="587"/>
      <c r="AV761" s="587"/>
      <c r="AW761" s="587"/>
    </row>
    <row r="762" spans="1:49">
      <c r="A762" s="581">
        <v>32540</v>
      </c>
      <c r="B762" s="594">
        <v>-2.4899999999999999E-2</v>
      </c>
      <c r="C762" s="577">
        <v>-2.1499999999999998E-2</v>
      </c>
      <c r="D762" s="577">
        <v>6.8999999999999999E-3</v>
      </c>
      <c r="E762" s="577">
        <v>8.0333333333333333E-3</v>
      </c>
      <c r="F762" s="577">
        <v>8.1916666666666665E-3</v>
      </c>
      <c r="G762" s="577">
        <v>8.1124999999999999E-3</v>
      </c>
      <c r="H762" s="577">
        <v>8.382916666666667E-3</v>
      </c>
      <c r="I762" s="577">
        <f t="shared" si="123"/>
        <v>-3.1799999999999995E-2</v>
      </c>
      <c r="J762" s="577">
        <f t="shared" si="127"/>
        <v>-3.30125E-2</v>
      </c>
      <c r="K762" s="577">
        <f t="shared" si="128"/>
        <v>-2.9882916666666665E-2</v>
      </c>
      <c r="L762" s="585">
        <f t="shared" si="124"/>
        <v>0.11875011898523802</v>
      </c>
      <c r="M762" s="585">
        <f t="shared" si="125"/>
        <v>8.2799999999999999E-2</v>
      </c>
      <c r="N762" s="585">
        <f t="shared" si="129"/>
        <v>9.7349999999999992E-2</v>
      </c>
      <c r="O762" s="586">
        <f t="shared" si="126"/>
        <v>3.5950118985238019E-2</v>
      </c>
      <c r="P762" s="585">
        <f t="shared" si="130"/>
        <v>2.1400118985238026E-2</v>
      </c>
      <c r="Q762" s="585">
        <f t="shared" si="131"/>
        <v>0.1164190578301616</v>
      </c>
      <c r="R762" s="585">
        <f t="shared" si="132"/>
        <v>0.100595</v>
      </c>
      <c r="S762" s="586">
        <f t="shared" si="133"/>
        <v>1.5824057830161595E-2</v>
      </c>
      <c r="U762" s="587"/>
      <c r="V762" s="587"/>
      <c r="W762" s="587"/>
      <c r="X762" s="587"/>
      <c r="Y762" s="587"/>
      <c r="Z762" s="587"/>
      <c r="AA762" s="587"/>
      <c r="AB762" s="587"/>
      <c r="AC762" s="587"/>
      <c r="AE762" s="587"/>
      <c r="AF762" s="587"/>
      <c r="AG762" s="587"/>
      <c r="AH762" s="587"/>
      <c r="AI762" s="587"/>
      <c r="AJ762" s="587"/>
      <c r="AK762" s="587"/>
      <c r="AL762" s="587"/>
      <c r="AM762" s="587"/>
      <c r="AO762" s="587"/>
      <c r="AP762" s="587"/>
      <c r="AQ762" s="587"/>
      <c r="AR762" s="587"/>
      <c r="AS762" s="587"/>
      <c r="AT762" s="587"/>
      <c r="AU762" s="587"/>
      <c r="AV762" s="587"/>
      <c r="AW762" s="587"/>
    </row>
    <row r="763" spans="1:49">
      <c r="A763" s="581">
        <v>32568</v>
      </c>
      <c r="B763" s="594">
        <v>2.3300000000000001E-2</v>
      </c>
      <c r="C763" s="577">
        <v>2.69E-2</v>
      </c>
      <c r="D763" s="577">
        <v>7.9000000000000008E-3</v>
      </c>
      <c r="E763" s="577">
        <v>8.1666666666666676E-3</v>
      </c>
      <c r="F763" s="577">
        <v>8.3166666666666667E-3</v>
      </c>
      <c r="G763" s="577">
        <v>8.241666666666668E-3</v>
      </c>
      <c r="H763" s="577">
        <v>8.5345000000000004E-3</v>
      </c>
      <c r="I763" s="577">
        <f t="shared" si="123"/>
        <v>1.54E-2</v>
      </c>
      <c r="J763" s="577">
        <f t="shared" si="127"/>
        <v>1.5058333333333333E-2</v>
      </c>
      <c r="K763" s="577">
        <f t="shared" si="128"/>
        <v>1.83655E-2</v>
      </c>
      <c r="L763" s="585">
        <f t="shared" si="124"/>
        <v>0.18131977789453591</v>
      </c>
      <c r="M763" s="585">
        <f t="shared" si="125"/>
        <v>9.4800000000000009E-2</v>
      </c>
      <c r="N763" s="585">
        <f t="shared" si="129"/>
        <v>9.8900000000000016E-2</v>
      </c>
      <c r="O763" s="586">
        <f t="shared" si="126"/>
        <v>8.6519777894535896E-2</v>
      </c>
      <c r="P763" s="585">
        <f t="shared" si="130"/>
        <v>8.2419777894535889E-2</v>
      </c>
      <c r="Q763" s="585">
        <f t="shared" si="131"/>
        <v>0.21022984322368043</v>
      </c>
      <c r="R763" s="585">
        <f t="shared" si="132"/>
        <v>0.10241400000000001</v>
      </c>
      <c r="S763" s="586">
        <f t="shared" si="133"/>
        <v>0.10781584322368043</v>
      </c>
      <c r="U763" s="587"/>
      <c r="V763" s="587"/>
      <c r="W763" s="587"/>
      <c r="X763" s="587"/>
      <c r="Y763" s="587"/>
      <c r="Z763" s="587"/>
      <c r="AA763" s="587"/>
      <c r="AB763" s="587"/>
      <c r="AC763" s="587"/>
      <c r="AE763" s="587"/>
      <c r="AF763" s="587"/>
      <c r="AG763" s="587"/>
      <c r="AH763" s="587"/>
      <c r="AI763" s="587"/>
      <c r="AJ763" s="587"/>
      <c r="AK763" s="587"/>
      <c r="AL763" s="587"/>
      <c r="AM763" s="587"/>
      <c r="AO763" s="587"/>
      <c r="AP763" s="587"/>
      <c r="AQ763" s="587"/>
      <c r="AR763" s="587"/>
      <c r="AS763" s="587"/>
      <c r="AT763" s="587"/>
      <c r="AU763" s="587"/>
      <c r="AV763" s="587"/>
      <c r="AW763" s="587"/>
    </row>
    <row r="764" spans="1:49">
      <c r="A764" s="581">
        <v>32599</v>
      </c>
      <c r="B764" s="594">
        <v>5.1900000000000002E-2</v>
      </c>
      <c r="C764" s="577">
        <v>6.3399999999999998E-2</v>
      </c>
      <c r="D764" s="577">
        <v>7.000000000000001E-3</v>
      </c>
      <c r="E764" s="577">
        <v>8.1583333333333334E-3</v>
      </c>
      <c r="F764" s="577">
        <v>8.2833333333333318E-3</v>
      </c>
      <c r="G764" s="577">
        <v>8.2208333333333335E-3</v>
      </c>
      <c r="H764" s="577">
        <v>8.4920833333333341E-3</v>
      </c>
      <c r="I764" s="577">
        <f t="shared" si="123"/>
        <v>4.4900000000000002E-2</v>
      </c>
      <c r="J764" s="577">
        <f t="shared" si="127"/>
        <v>4.3679166666666672E-2</v>
      </c>
      <c r="K764" s="577">
        <f t="shared" si="128"/>
        <v>5.4907916666666667E-2</v>
      </c>
      <c r="L764" s="585">
        <f t="shared" si="124"/>
        <v>0.22898850199511567</v>
      </c>
      <c r="M764" s="585">
        <f t="shared" si="125"/>
        <v>8.4000000000000019E-2</v>
      </c>
      <c r="N764" s="585">
        <f t="shared" si="129"/>
        <v>9.8650000000000002E-2</v>
      </c>
      <c r="O764" s="586">
        <f t="shared" si="126"/>
        <v>0.14498850199511565</v>
      </c>
      <c r="P764" s="585">
        <f t="shared" si="130"/>
        <v>0.13033850199511565</v>
      </c>
      <c r="Q764" s="585">
        <f t="shared" si="131"/>
        <v>0.28451783140439302</v>
      </c>
      <c r="R764" s="585">
        <f t="shared" si="132"/>
        <v>0.10190500000000001</v>
      </c>
      <c r="S764" s="586">
        <f t="shared" si="133"/>
        <v>0.18261283140439299</v>
      </c>
      <c r="U764" s="587"/>
      <c r="V764" s="587"/>
      <c r="W764" s="587"/>
      <c r="X764" s="587"/>
      <c r="Y764" s="587"/>
      <c r="Z764" s="587"/>
      <c r="AA764" s="587"/>
      <c r="AB764" s="587"/>
      <c r="AC764" s="587"/>
      <c r="AE764" s="587"/>
      <c r="AF764" s="587"/>
      <c r="AG764" s="587"/>
      <c r="AH764" s="587"/>
      <c r="AI764" s="587"/>
      <c r="AJ764" s="587"/>
      <c r="AK764" s="587"/>
      <c r="AL764" s="587"/>
      <c r="AM764" s="587"/>
      <c r="AO764" s="587"/>
      <c r="AP764" s="587"/>
      <c r="AQ764" s="587"/>
      <c r="AR764" s="587"/>
      <c r="AS764" s="587"/>
      <c r="AT764" s="587"/>
      <c r="AU764" s="587"/>
      <c r="AV764" s="587"/>
      <c r="AW764" s="587"/>
    </row>
    <row r="765" spans="1:49">
      <c r="A765" s="581">
        <v>32629</v>
      </c>
      <c r="B765" s="594">
        <v>4.0500000000000001E-2</v>
      </c>
      <c r="C765" s="577">
        <v>5.7999999999999996E-2</v>
      </c>
      <c r="D765" s="577">
        <v>8.0000000000000002E-3</v>
      </c>
      <c r="E765" s="577">
        <v>7.9749999999999995E-3</v>
      </c>
      <c r="F765" s="577">
        <v>8.1250000000000003E-3</v>
      </c>
      <c r="G765" s="577">
        <v>8.0499999999999999E-3</v>
      </c>
      <c r="H765" s="577">
        <v>8.3340833333333322E-3</v>
      </c>
      <c r="I765" s="577">
        <f t="shared" si="123"/>
        <v>3.2500000000000001E-2</v>
      </c>
      <c r="J765" s="577">
        <f t="shared" si="127"/>
        <v>3.245E-2</v>
      </c>
      <c r="K765" s="577">
        <f t="shared" si="128"/>
        <v>4.9665916666666664E-2</v>
      </c>
      <c r="L765" s="585">
        <f t="shared" si="124"/>
        <v>0.2678589493614103</v>
      </c>
      <c r="M765" s="585">
        <f t="shared" si="125"/>
        <v>9.6000000000000002E-2</v>
      </c>
      <c r="N765" s="585">
        <f t="shared" si="129"/>
        <v>9.6599999999999991E-2</v>
      </c>
      <c r="O765" s="586">
        <f t="shared" si="126"/>
        <v>0.1718589493614103</v>
      </c>
      <c r="P765" s="585">
        <f t="shared" si="130"/>
        <v>0.17125894936141031</v>
      </c>
      <c r="Q765" s="585">
        <f t="shared" si="131"/>
        <v>0.29925417363847839</v>
      </c>
      <c r="R765" s="585">
        <f t="shared" si="132"/>
        <v>0.10000899999999999</v>
      </c>
      <c r="S765" s="586">
        <f t="shared" si="133"/>
        <v>0.19924517363847841</v>
      </c>
      <c r="U765" s="587"/>
      <c r="V765" s="587"/>
      <c r="W765" s="587"/>
      <c r="X765" s="587"/>
      <c r="Y765" s="587"/>
      <c r="Z765" s="587"/>
      <c r="AA765" s="587"/>
      <c r="AB765" s="587"/>
      <c r="AC765" s="587"/>
      <c r="AE765" s="587"/>
      <c r="AF765" s="587"/>
      <c r="AG765" s="587"/>
      <c r="AH765" s="587"/>
      <c r="AI765" s="587"/>
      <c r="AJ765" s="587"/>
      <c r="AK765" s="587"/>
      <c r="AL765" s="587"/>
      <c r="AM765" s="587"/>
      <c r="AO765" s="587"/>
      <c r="AP765" s="587"/>
      <c r="AQ765" s="587"/>
      <c r="AR765" s="587"/>
      <c r="AS765" s="587"/>
      <c r="AT765" s="587"/>
      <c r="AU765" s="587"/>
      <c r="AV765" s="587"/>
      <c r="AW765" s="587"/>
    </row>
    <row r="766" spans="1:49">
      <c r="A766" s="581">
        <v>32660</v>
      </c>
      <c r="B766" s="594">
        <v>-5.7000000000000002E-3</v>
      </c>
      <c r="C766" s="577">
        <v>1.61E-2</v>
      </c>
      <c r="D766" s="577">
        <v>7.000000000000001E-3</v>
      </c>
      <c r="E766" s="577">
        <v>7.5833333333333334E-3</v>
      </c>
      <c r="F766" s="577">
        <v>7.7416666666666658E-3</v>
      </c>
      <c r="G766" s="577">
        <v>7.6624999999999992E-3</v>
      </c>
      <c r="H766" s="577">
        <v>8.0485000000000001E-3</v>
      </c>
      <c r="I766" s="577">
        <f t="shared" si="123"/>
        <v>-1.2700000000000001E-2</v>
      </c>
      <c r="J766" s="577">
        <f t="shared" si="127"/>
        <v>-1.3362499999999999E-2</v>
      </c>
      <c r="K766" s="577">
        <f t="shared" si="128"/>
        <v>8.0514999999999996E-3</v>
      </c>
      <c r="L766" s="585">
        <f t="shared" si="124"/>
        <v>0.20530849349847058</v>
      </c>
      <c r="M766" s="585">
        <f t="shared" si="125"/>
        <v>8.4000000000000019E-2</v>
      </c>
      <c r="N766" s="585">
        <f t="shared" si="129"/>
        <v>9.194999999999999E-2</v>
      </c>
      <c r="O766" s="586">
        <f t="shared" si="126"/>
        <v>0.12130849349847056</v>
      </c>
      <c r="P766" s="585">
        <f t="shared" si="130"/>
        <v>0.11335849349847059</v>
      </c>
      <c r="Q766" s="585">
        <f t="shared" si="131"/>
        <v>0.27985668040141309</v>
      </c>
      <c r="R766" s="585">
        <f t="shared" si="132"/>
        <v>9.6582000000000001E-2</v>
      </c>
      <c r="S766" s="586">
        <f t="shared" si="133"/>
        <v>0.18327468040141309</v>
      </c>
      <c r="U766" s="587"/>
      <c r="V766" s="587"/>
      <c r="W766" s="587"/>
      <c r="X766" s="587"/>
      <c r="Y766" s="587"/>
      <c r="Z766" s="587"/>
      <c r="AA766" s="587"/>
      <c r="AB766" s="587"/>
      <c r="AC766" s="587"/>
      <c r="AE766" s="587"/>
      <c r="AF766" s="587"/>
      <c r="AG766" s="587"/>
      <c r="AH766" s="587"/>
      <c r="AI766" s="587"/>
      <c r="AJ766" s="587"/>
      <c r="AK766" s="587"/>
      <c r="AL766" s="587"/>
      <c r="AM766" s="587"/>
      <c r="AO766" s="587"/>
      <c r="AP766" s="587"/>
      <c r="AQ766" s="587"/>
      <c r="AR766" s="587"/>
      <c r="AS766" s="587"/>
      <c r="AT766" s="587"/>
      <c r="AU766" s="587"/>
      <c r="AV766" s="587"/>
      <c r="AW766" s="587"/>
    </row>
    <row r="767" spans="1:49">
      <c r="A767" s="581">
        <v>32690</v>
      </c>
      <c r="B767" s="594">
        <v>9.0300000000000005E-2</v>
      </c>
      <c r="C767" s="577">
        <v>8.0399999999999985E-2</v>
      </c>
      <c r="D767" s="577">
        <v>6.7999999999999996E-3</v>
      </c>
      <c r="E767" s="577">
        <v>7.4416666666666667E-3</v>
      </c>
      <c r="F767" s="577">
        <v>7.6166666666666674E-3</v>
      </c>
      <c r="G767" s="577">
        <v>7.5291666666666666E-3</v>
      </c>
      <c r="H767" s="577">
        <v>7.9204166666666659E-3</v>
      </c>
      <c r="I767" s="577">
        <f t="shared" si="123"/>
        <v>8.3500000000000005E-2</v>
      </c>
      <c r="J767" s="577">
        <f t="shared" si="127"/>
        <v>8.2770833333333335E-2</v>
      </c>
      <c r="K767" s="577">
        <f t="shared" si="128"/>
        <v>7.2479583333333319E-2</v>
      </c>
      <c r="L767" s="585">
        <f t="shared" si="124"/>
        <v>0.31916066097307993</v>
      </c>
      <c r="M767" s="585">
        <f t="shared" si="125"/>
        <v>8.1599999999999992E-2</v>
      </c>
      <c r="N767" s="585">
        <f t="shared" si="129"/>
        <v>9.035E-2</v>
      </c>
      <c r="O767" s="586">
        <f t="shared" si="126"/>
        <v>0.23756066097307993</v>
      </c>
      <c r="P767" s="585">
        <f t="shared" si="130"/>
        <v>0.22881066097307995</v>
      </c>
      <c r="Q767" s="585">
        <f t="shared" si="131"/>
        <v>0.38041045972415577</v>
      </c>
      <c r="R767" s="585">
        <f t="shared" si="132"/>
        <v>9.5044999999999991E-2</v>
      </c>
      <c r="S767" s="586">
        <f t="shared" si="133"/>
        <v>0.28536545972415578</v>
      </c>
      <c r="U767" s="587"/>
      <c r="V767" s="587"/>
      <c r="W767" s="587"/>
      <c r="X767" s="587"/>
      <c r="Y767" s="587"/>
      <c r="Z767" s="587"/>
      <c r="AA767" s="587"/>
      <c r="AB767" s="587"/>
      <c r="AC767" s="587"/>
      <c r="AE767" s="587"/>
      <c r="AF767" s="587"/>
      <c r="AG767" s="587"/>
      <c r="AH767" s="587"/>
      <c r="AI767" s="587"/>
      <c r="AJ767" s="587"/>
      <c r="AK767" s="587"/>
      <c r="AL767" s="587"/>
      <c r="AM767" s="587"/>
      <c r="AO767" s="587"/>
      <c r="AP767" s="587"/>
      <c r="AQ767" s="587"/>
      <c r="AR767" s="587"/>
      <c r="AS767" s="587"/>
      <c r="AT767" s="587"/>
      <c r="AU767" s="587"/>
      <c r="AV767" s="587"/>
      <c r="AW767" s="587"/>
    </row>
    <row r="768" spans="1:49">
      <c r="A768" s="581">
        <v>32721</v>
      </c>
      <c r="B768" s="594">
        <v>1.95E-2</v>
      </c>
      <c r="C768" s="577">
        <v>-5.6999999999999993E-3</v>
      </c>
      <c r="D768" s="577">
        <v>6.6E-3</v>
      </c>
      <c r="E768" s="577">
        <v>7.4666666666666666E-3</v>
      </c>
      <c r="F768" s="577">
        <v>7.6166666666666674E-3</v>
      </c>
      <c r="G768" s="577">
        <v>7.5416666666666661E-3</v>
      </c>
      <c r="H768" s="577">
        <v>7.9289999999999985E-3</v>
      </c>
      <c r="I768" s="577">
        <f t="shared" si="123"/>
        <v>1.29E-2</v>
      </c>
      <c r="J768" s="577">
        <f t="shared" si="127"/>
        <v>1.1958333333333335E-2</v>
      </c>
      <c r="K768" s="577">
        <f t="shared" si="128"/>
        <v>-1.3628999999999999E-2</v>
      </c>
      <c r="L768" s="585">
        <f t="shared" si="124"/>
        <v>0.3920756586917038</v>
      </c>
      <c r="M768" s="585">
        <f t="shared" si="125"/>
        <v>7.9199999999999993E-2</v>
      </c>
      <c r="N768" s="585">
        <f t="shared" si="129"/>
        <v>9.0499999999999997E-2</v>
      </c>
      <c r="O768" s="586">
        <f t="shared" si="126"/>
        <v>0.31287565869170381</v>
      </c>
      <c r="P768" s="585">
        <f t="shared" si="130"/>
        <v>0.30157565869170377</v>
      </c>
      <c r="Q768" s="585">
        <f t="shared" si="131"/>
        <v>0.3916071378928605</v>
      </c>
      <c r="R768" s="585">
        <f t="shared" si="132"/>
        <v>9.5147999999999983E-2</v>
      </c>
      <c r="S768" s="586">
        <f t="shared" si="133"/>
        <v>0.29645913789286049</v>
      </c>
      <c r="U768" s="587"/>
      <c r="V768" s="587"/>
      <c r="W768" s="587"/>
      <c r="X768" s="587"/>
      <c r="Y768" s="587"/>
      <c r="Z768" s="587"/>
      <c r="AA768" s="587"/>
      <c r="AB768" s="587"/>
      <c r="AC768" s="587"/>
      <c r="AE768" s="587"/>
      <c r="AF768" s="587"/>
      <c r="AG768" s="587"/>
      <c r="AH768" s="587"/>
      <c r="AI768" s="587"/>
      <c r="AJ768" s="587"/>
      <c r="AK768" s="587"/>
      <c r="AL768" s="587"/>
      <c r="AM768" s="587"/>
      <c r="AO768" s="587"/>
      <c r="AP768" s="587"/>
      <c r="AQ768" s="587"/>
      <c r="AR768" s="587"/>
      <c r="AS768" s="587"/>
      <c r="AT768" s="587"/>
      <c r="AU768" s="587"/>
      <c r="AV768" s="587"/>
      <c r="AW768" s="587"/>
    </row>
    <row r="769" spans="1:49">
      <c r="A769" s="581">
        <v>32752</v>
      </c>
      <c r="B769" s="594">
        <v>-4.1000000000000003E-3</v>
      </c>
      <c r="C769" s="577">
        <v>1.7000000000000001E-2</v>
      </c>
      <c r="D769" s="577">
        <v>6.5000000000000006E-3</v>
      </c>
      <c r="E769" s="577">
        <v>7.5083333333333339E-3</v>
      </c>
      <c r="F769" s="577">
        <v>7.691666666666667E-3</v>
      </c>
      <c r="G769" s="577">
        <v>7.6E-3</v>
      </c>
      <c r="H769" s="577">
        <v>7.9866666666666662E-3</v>
      </c>
      <c r="I769" s="577">
        <f t="shared" si="123"/>
        <v>-1.0600000000000002E-2</v>
      </c>
      <c r="J769" s="577">
        <f t="shared" si="127"/>
        <v>-1.17E-2</v>
      </c>
      <c r="K769" s="577">
        <f t="shared" si="128"/>
        <v>9.013333333333335E-3</v>
      </c>
      <c r="L769" s="585">
        <f t="shared" si="124"/>
        <v>0.32972199164690941</v>
      </c>
      <c r="M769" s="585">
        <f t="shared" si="125"/>
        <v>7.8000000000000014E-2</v>
      </c>
      <c r="N769" s="585">
        <f t="shared" si="129"/>
        <v>9.1200000000000003E-2</v>
      </c>
      <c r="O769" s="586">
        <f t="shared" si="126"/>
        <v>0.25172199164690939</v>
      </c>
      <c r="P769" s="585">
        <f t="shared" si="130"/>
        <v>0.2385219916469094</v>
      </c>
      <c r="Q769" s="585">
        <f t="shared" si="131"/>
        <v>0.3591322954355507</v>
      </c>
      <c r="R769" s="585">
        <f t="shared" si="132"/>
        <v>9.5839999999999995E-2</v>
      </c>
      <c r="S769" s="586">
        <f t="shared" si="133"/>
        <v>0.26329229543555072</v>
      </c>
      <c r="U769" s="587"/>
      <c r="V769" s="587"/>
      <c r="W769" s="587"/>
      <c r="X769" s="587"/>
      <c r="Y769" s="587"/>
      <c r="Z769" s="587"/>
      <c r="AA769" s="587"/>
      <c r="AB769" s="587"/>
      <c r="AC769" s="587"/>
      <c r="AE769" s="587"/>
      <c r="AF769" s="587"/>
      <c r="AG769" s="587"/>
      <c r="AH769" s="587"/>
      <c r="AI769" s="587"/>
      <c r="AJ769" s="587"/>
      <c r="AK769" s="587"/>
      <c r="AL769" s="587"/>
      <c r="AM769" s="587"/>
      <c r="AO769" s="587"/>
      <c r="AP769" s="587"/>
      <c r="AQ769" s="587"/>
      <c r="AR769" s="587"/>
      <c r="AS769" s="587"/>
      <c r="AT769" s="587"/>
      <c r="AU769" s="587"/>
      <c r="AV769" s="587"/>
      <c r="AW769" s="587"/>
    </row>
    <row r="770" spans="1:49">
      <c r="A770" s="581">
        <v>32782</v>
      </c>
      <c r="B770" s="594">
        <v>-2.3199999999999998E-2</v>
      </c>
      <c r="C770" s="577">
        <v>4.5000000000000005E-3</v>
      </c>
      <c r="D770" s="577">
        <v>7.1999999999999998E-3</v>
      </c>
      <c r="E770" s="577">
        <v>7.4333333333333326E-3</v>
      </c>
      <c r="F770" s="577">
        <v>7.658333333333333E-3</v>
      </c>
      <c r="G770" s="577">
        <v>7.5458333333333323E-3</v>
      </c>
      <c r="H770" s="577">
        <v>7.948499999999999E-3</v>
      </c>
      <c r="I770" s="577">
        <f t="shared" si="123"/>
        <v>-3.0399999999999996E-2</v>
      </c>
      <c r="J770" s="577">
        <f t="shared" si="127"/>
        <v>-3.074583333333333E-2</v>
      </c>
      <c r="K770" s="577">
        <f t="shared" si="128"/>
        <v>-3.4484999999999984E-3</v>
      </c>
      <c r="L770" s="585">
        <f t="shared" si="124"/>
        <v>0.26374045674323932</v>
      </c>
      <c r="M770" s="585">
        <f t="shared" si="125"/>
        <v>8.6400000000000005E-2</v>
      </c>
      <c r="N770" s="585">
        <f t="shared" si="129"/>
        <v>9.0549999999999992E-2</v>
      </c>
      <c r="O770" s="586">
        <f t="shared" si="126"/>
        <v>0.17734045674323931</v>
      </c>
      <c r="P770" s="585">
        <f t="shared" si="130"/>
        <v>0.17319045674323932</v>
      </c>
      <c r="Q770" s="585">
        <f t="shared" si="131"/>
        <v>0.33039211729196127</v>
      </c>
      <c r="R770" s="585">
        <f t="shared" si="132"/>
        <v>9.5381999999999995E-2</v>
      </c>
      <c r="S770" s="586">
        <f t="shared" si="133"/>
        <v>0.23501011729196128</v>
      </c>
      <c r="U770" s="587"/>
      <c r="V770" s="587"/>
      <c r="W770" s="587"/>
      <c r="X770" s="587"/>
      <c r="Y770" s="587"/>
      <c r="Z770" s="587"/>
      <c r="AA770" s="587"/>
      <c r="AB770" s="587"/>
      <c r="AC770" s="587"/>
      <c r="AE770" s="587"/>
      <c r="AF770" s="587"/>
      <c r="AG770" s="587"/>
      <c r="AH770" s="587"/>
      <c r="AI770" s="587"/>
      <c r="AJ770" s="587"/>
      <c r="AK770" s="587"/>
      <c r="AL770" s="587"/>
      <c r="AM770" s="587"/>
      <c r="AO770" s="587"/>
      <c r="AP770" s="587"/>
      <c r="AQ770" s="587"/>
      <c r="AR770" s="587"/>
      <c r="AS770" s="587"/>
      <c r="AT770" s="587"/>
      <c r="AU770" s="587"/>
      <c r="AV770" s="587"/>
      <c r="AW770" s="587"/>
    </row>
    <row r="771" spans="1:49">
      <c r="A771" s="581">
        <v>32813</v>
      </c>
      <c r="B771" s="594">
        <v>2.0400000000000001E-2</v>
      </c>
      <c r="C771" s="577">
        <v>3.3599999999999998E-2</v>
      </c>
      <c r="D771" s="577">
        <v>6.4000000000000003E-3</v>
      </c>
      <c r="E771" s="577">
        <v>7.4083333333333336E-3</v>
      </c>
      <c r="F771" s="577">
        <v>7.6166666666666674E-3</v>
      </c>
      <c r="G771" s="577">
        <v>7.5125000000000001E-3</v>
      </c>
      <c r="H771" s="577">
        <v>7.929750000000001E-3</v>
      </c>
      <c r="I771" s="577">
        <f t="shared" si="123"/>
        <v>1.4000000000000002E-2</v>
      </c>
      <c r="J771" s="577">
        <f t="shared" si="127"/>
        <v>1.2887500000000001E-2</v>
      </c>
      <c r="K771" s="577">
        <f t="shared" si="128"/>
        <v>2.5670249999999999E-2</v>
      </c>
      <c r="L771" s="585">
        <f t="shared" si="124"/>
        <v>0.30822842858963306</v>
      </c>
      <c r="M771" s="585">
        <f t="shared" si="125"/>
        <v>7.6800000000000007E-2</v>
      </c>
      <c r="N771" s="585">
        <f t="shared" si="129"/>
        <v>9.0150000000000008E-2</v>
      </c>
      <c r="O771" s="586">
        <f t="shared" si="126"/>
        <v>0.23142842858963306</v>
      </c>
      <c r="P771" s="585">
        <f t="shared" si="130"/>
        <v>0.21807842858963306</v>
      </c>
      <c r="Q771" s="585">
        <f t="shared" si="131"/>
        <v>0.38604303238884374</v>
      </c>
      <c r="R771" s="585">
        <f t="shared" si="132"/>
        <v>9.5157000000000019E-2</v>
      </c>
      <c r="S771" s="586">
        <f t="shared" si="133"/>
        <v>0.2908860323888437</v>
      </c>
      <c r="U771" s="587"/>
      <c r="V771" s="587"/>
      <c r="W771" s="587"/>
      <c r="X771" s="587"/>
      <c r="Y771" s="587"/>
      <c r="Z771" s="587"/>
      <c r="AA771" s="587"/>
      <c r="AB771" s="587"/>
      <c r="AC771" s="587"/>
      <c r="AE771" s="587"/>
      <c r="AF771" s="587"/>
      <c r="AG771" s="587"/>
      <c r="AH771" s="587"/>
      <c r="AI771" s="587"/>
      <c r="AJ771" s="587"/>
      <c r="AK771" s="587"/>
      <c r="AL771" s="587"/>
      <c r="AM771" s="587"/>
      <c r="AO771" s="587"/>
      <c r="AP771" s="587"/>
      <c r="AQ771" s="587"/>
      <c r="AR771" s="587"/>
      <c r="AS771" s="587"/>
      <c r="AT771" s="587"/>
      <c r="AU771" s="587"/>
      <c r="AV771" s="587"/>
      <c r="AW771" s="587"/>
    </row>
    <row r="772" spans="1:49">
      <c r="A772" s="581">
        <v>32843</v>
      </c>
      <c r="B772" s="594">
        <v>2.4E-2</v>
      </c>
      <c r="C772" s="577">
        <v>7.3099999999999998E-2</v>
      </c>
      <c r="D772" s="577">
        <v>6.4000000000000003E-3</v>
      </c>
      <c r="E772" s="577">
        <v>7.3833333333333329E-3</v>
      </c>
      <c r="F772" s="577">
        <v>7.5916666666666667E-3</v>
      </c>
      <c r="G772" s="577">
        <v>7.4875000000000002E-3</v>
      </c>
      <c r="H772" s="577">
        <v>7.8612500000000002E-3</v>
      </c>
      <c r="I772" s="577">
        <f t="shared" si="123"/>
        <v>1.7600000000000001E-2</v>
      </c>
      <c r="J772" s="577">
        <f t="shared" si="127"/>
        <v>1.6512499999999999E-2</v>
      </c>
      <c r="K772" s="577">
        <f t="shared" si="128"/>
        <v>6.5238749999999998E-2</v>
      </c>
      <c r="L772" s="585">
        <f t="shared" si="124"/>
        <v>0.31671506868073918</v>
      </c>
      <c r="M772" s="585">
        <f t="shared" si="125"/>
        <v>7.6800000000000007E-2</v>
      </c>
      <c r="N772" s="585">
        <f t="shared" si="129"/>
        <v>8.9849999999999999E-2</v>
      </c>
      <c r="O772" s="586">
        <f t="shared" si="126"/>
        <v>0.23991506868073917</v>
      </c>
      <c r="P772" s="585">
        <f t="shared" si="130"/>
        <v>0.22686506868073919</v>
      </c>
      <c r="Q772" s="585">
        <f t="shared" si="131"/>
        <v>0.47805105640114021</v>
      </c>
      <c r="R772" s="585">
        <f t="shared" si="132"/>
        <v>9.4335000000000002E-2</v>
      </c>
      <c r="S772" s="586">
        <f t="shared" si="133"/>
        <v>0.3837160564011402</v>
      </c>
      <c r="U772" s="587"/>
      <c r="V772" s="587"/>
      <c r="W772" s="587"/>
      <c r="X772" s="587"/>
      <c r="Y772" s="587"/>
      <c r="Z772" s="587"/>
      <c r="AA772" s="587"/>
      <c r="AB772" s="587"/>
      <c r="AC772" s="587"/>
      <c r="AE772" s="587"/>
      <c r="AF772" s="587"/>
      <c r="AG772" s="587"/>
      <c r="AH772" s="587"/>
      <c r="AI772" s="587"/>
      <c r="AJ772" s="587"/>
      <c r="AK772" s="587"/>
      <c r="AL772" s="587"/>
      <c r="AM772" s="587"/>
      <c r="AO772" s="587"/>
      <c r="AP772" s="587"/>
      <c r="AQ772" s="587"/>
      <c r="AR772" s="587"/>
      <c r="AS772" s="587"/>
      <c r="AT772" s="587"/>
      <c r="AU772" s="587"/>
      <c r="AV772" s="587"/>
      <c r="AW772" s="587"/>
    </row>
    <row r="773" spans="1:49">
      <c r="A773" s="581">
        <v>32874</v>
      </c>
      <c r="B773" s="594">
        <v>-6.7100000000000007E-2</v>
      </c>
      <c r="C773" s="577">
        <v>-8.09E-2</v>
      </c>
      <c r="D773" s="577">
        <v>7.3000000000000001E-3</v>
      </c>
      <c r="E773" s="577">
        <v>7.4916666666666664E-3</v>
      </c>
      <c r="F773" s="577">
        <v>7.7249999999999992E-3</v>
      </c>
      <c r="G773" s="577">
        <v>7.6083333333333324E-3</v>
      </c>
      <c r="H773" s="577">
        <v>7.9564166666666672E-3</v>
      </c>
      <c r="I773" s="577">
        <f t="shared" si="123"/>
        <v>-7.4400000000000008E-2</v>
      </c>
      <c r="J773" s="577">
        <f t="shared" si="127"/>
        <v>-7.4708333333333335E-2</v>
      </c>
      <c r="K773" s="577">
        <f t="shared" si="128"/>
        <v>-8.885641666666666E-2</v>
      </c>
      <c r="L773" s="585">
        <f t="shared" si="124"/>
        <v>0.14458021577735902</v>
      </c>
      <c r="M773" s="585">
        <f t="shared" si="125"/>
        <v>8.7599999999999997E-2</v>
      </c>
      <c r="N773" s="585">
        <f t="shared" si="129"/>
        <v>9.1299999999999992E-2</v>
      </c>
      <c r="O773" s="586">
        <f t="shared" si="126"/>
        <v>5.6980215777359025E-2</v>
      </c>
      <c r="P773" s="585">
        <f t="shared" si="130"/>
        <v>5.328021577735903E-2</v>
      </c>
      <c r="Q773" s="585">
        <f t="shared" si="131"/>
        <v>0.28509765011662869</v>
      </c>
      <c r="R773" s="585">
        <f t="shared" si="132"/>
        <v>9.5477000000000006E-2</v>
      </c>
      <c r="S773" s="586">
        <f t="shared" si="133"/>
        <v>0.18962065011662868</v>
      </c>
      <c r="U773" s="587"/>
      <c r="V773" s="587"/>
      <c r="W773" s="587"/>
      <c r="X773" s="587"/>
      <c r="Y773" s="587"/>
      <c r="Z773" s="587"/>
      <c r="AA773" s="587"/>
      <c r="AB773" s="587"/>
      <c r="AC773" s="587"/>
      <c r="AE773" s="587"/>
      <c r="AF773" s="587"/>
      <c r="AG773" s="587"/>
      <c r="AH773" s="587"/>
      <c r="AI773" s="587"/>
      <c r="AJ773" s="587"/>
      <c r="AK773" s="587"/>
      <c r="AL773" s="587"/>
      <c r="AM773" s="587"/>
      <c r="AO773" s="587"/>
      <c r="AP773" s="587"/>
      <c r="AQ773" s="587"/>
      <c r="AR773" s="587"/>
      <c r="AS773" s="587"/>
      <c r="AT773" s="587"/>
      <c r="AU773" s="587"/>
      <c r="AV773" s="587"/>
      <c r="AW773" s="587"/>
    </row>
    <row r="774" spans="1:49">
      <c r="A774" s="581">
        <v>32905</v>
      </c>
      <c r="B774" s="594">
        <v>1.29E-2</v>
      </c>
      <c r="C774" s="577">
        <v>-1.09E-2</v>
      </c>
      <c r="D774" s="577">
        <v>6.6E-3</v>
      </c>
      <c r="E774" s="577">
        <v>7.6833333333333345E-3</v>
      </c>
      <c r="F774" s="577">
        <v>7.8666666666666659E-3</v>
      </c>
      <c r="G774" s="577">
        <v>7.7750000000000007E-3</v>
      </c>
      <c r="H774" s="577">
        <v>8.1302500000000003E-3</v>
      </c>
      <c r="I774" s="577">
        <f t="shared" ref="I774:I837" si="134">B774-D774</f>
        <v>6.3E-3</v>
      </c>
      <c r="J774" s="577">
        <f t="shared" si="127"/>
        <v>5.1249999999999993E-3</v>
      </c>
      <c r="K774" s="577">
        <f t="shared" si="128"/>
        <v>-1.9030249999999999E-2</v>
      </c>
      <c r="L774" s="585">
        <f t="shared" si="124"/>
        <v>0.18895015953326499</v>
      </c>
      <c r="M774" s="585">
        <f t="shared" si="125"/>
        <v>7.9199999999999993E-2</v>
      </c>
      <c r="N774" s="585">
        <f t="shared" si="129"/>
        <v>9.3300000000000008E-2</v>
      </c>
      <c r="O774" s="586">
        <f t="shared" si="126"/>
        <v>0.109750159533265</v>
      </c>
      <c r="P774" s="585">
        <f t="shared" si="130"/>
        <v>9.5650159533264986E-2</v>
      </c>
      <c r="Q774" s="585">
        <f t="shared" si="131"/>
        <v>0.29901899410358435</v>
      </c>
      <c r="R774" s="585">
        <f t="shared" si="132"/>
        <v>9.7563000000000011E-2</v>
      </c>
      <c r="S774" s="586">
        <f t="shared" si="133"/>
        <v>0.20145599410358433</v>
      </c>
      <c r="U774" s="587"/>
      <c r="V774" s="587"/>
      <c r="W774" s="587"/>
      <c r="X774" s="587"/>
      <c r="Y774" s="587"/>
      <c r="Z774" s="587"/>
      <c r="AA774" s="587"/>
      <c r="AB774" s="587"/>
      <c r="AC774" s="587"/>
      <c r="AE774" s="587"/>
      <c r="AF774" s="587"/>
      <c r="AG774" s="587"/>
      <c r="AH774" s="587"/>
      <c r="AI774" s="587"/>
      <c r="AJ774" s="587"/>
      <c r="AK774" s="587"/>
      <c r="AL774" s="587"/>
      <c r="AM774" s="587"/>
      <c r="AO774" s="587"/>
      <c r="AP774" s="587"/>
      <c r="AQ774" s="587"/>
      <c r="AR774" s="587"/>
      <c r="AS774" s="587"/>
      <c r="AT774" s="587"/>
      <c r="AU774" s="587"/>
      <c r="AV774" s="587"/>
      <c r="AW774" s="587"/>
    </row>
    <row r="775" spans="1:49">
      <c r="A775" s="581">
        <v>32933</v>
      </c>
      <c r="B775" s="594">
        <v>2.6499999999999999E-2</v>
      </c>
      <c r="C775" s="577">
        <v>1.8700000000000001E-2</v>
      </c>
      <c r="D775" s="577">
        <v>7.1000000000000004E-3</v>
      </c>
      <c r="E775" s="577">
        <v>7.8083333333333329E-3</v>
      </c>
      <c r="F775" s="577">
        <v>7.9249999999999998E-3</v>
      </c>
      <c r="G775" s="577">
        <v>7.8666666666666659E-3</v>
      </c>
      <c r="H775" s="577">
        <v>8.2053333333333318E-3</v>
      </c>
      <c r="I775" s="577">
        <f t="shared" si="134"/>
        <v>1.9400000000000001E-2</v>
      </c>
      <c r="J775" s="577">
        <f t="shared" si="127"/>
        <v>1.8633333333333335E-2</v>
      </c>
      <c r="K775" s="577">
        <f t="shared" si="128"/>
        <v>1.049466666666667E-2</v>
      </c>
      <c r="L775" s="585">
        <f t="shared" si="124"/>
        <v>0.19266817039079087</v>
      </c>
      <c r="M775" s="585">
        <f t="shared" si="125"/>
        <v>8.5199999999999998E-2</v>
      </c>
      <c r="N775" s="585">
        <f t="shared" si="129"/>
        <v>9.4399999999999984E-2</v>
      </c>
      <c r="O775" s="586">
        <f t="shared" si="126"/>
        <v>0.10746817039079087</v>
      </c>
      <c r="P775" s="585">
        <f t="shared" si="130"/>
        <v>9.8268170390790888E-2</v>
      </c>
      <c r="Q775" s="585">
        <f t="shared" si="131"/>
        <v>0.28864607001005127</v>
      </c>
      <c r="R775" s="585">
        <f t="shared" si="132"/>
        <v>9.8463999999999982E-2</v>
      </c>
      <c r="S775" s="586">
        <f t="shared" si="133"/>
        <v>0.19018207001005127</v>
      </c>
      <c r="U775" s="587"/>
      <c r="V775" s="587"/>
      <c r="W775" s="587"/>
      <c r="X775" s="587"/>
      <c r="Y775" s="587"/>
      <c r="Z775" s="587"/>
      <c r="AA775" s="587"/>
      <c r="AB775" s="587"/>
      <c r="AC775" s="587"/>
      <c r="AE775" s="587"/>
      <c r="AF775" s="587"/>
      <c r="AG775" s="587"/>
      <c r="AH775" s="587"/>
      <c r="AI775" s="587"/>
      <c r="AJ775" s="587"/>
      <c r="AK775" s="587"/>
      <c r="AL775" s="587"/>
      <c r="AM775" s="587"/>
      <c r="AO775" s="587"/>
      <c r="AP775" s="587"/>
      <c r="AQ775" s="587"/>
      <c r="AR775" s="587"/>
      <c r="AS775" s="587"/>
      <c r="AT775" s="587"/>
      <c r="AU775" s="587"/>
      <c r="AV775" s="587"/>
      <c r="AW775" s="587"/>
    </row>
    <row r="776" spans="1:49">
      <c r="A776" s="581">
        <v>32964</v>
      </c>
      <c r="B776" s="594">
        <v>-2.4899999999999999E-2</v>
      </c>
      <c r="C776" s="577">
        <v>-3.85E-2</v>
      </c>
      <c r="D776" s="577">
        <v>7.4999999999999997E-3</v>
      </c>
      <c r="E776" s="577">
        <v>7.8833333333333342E-3</v>
      </c>
      <c r="F776" s="577">
        <v>8.0333333333333333E-3</v>
      </c>
      <c r="G776" s="577">
        <v>7.9583333333333346E-3</v>
      </c>
      <c r="H776" s="577">
        <v>8.2587500000000005E-3</v>
      </c>
      <c r="I776" s="577">
        <f t="shared" si="134"/>
        <v>-3.2399999999999998E-2</v>
      </c>
      <c r="J776" s="577">
        <f t="shared" si="127"/>
        <v>-3.2858333333333337E-2</v>
      </c>
      <c r="K776" s="577">
        <f t="shared" si="128"/>
        <v>-4.6758750000000002E-2</v>
      </c>
      <c r="L776" s="585">
        <f t="shared" si="124"/>
        <v>0.10559058175497715</v>
      </c>
      <c r="M776" s="585">
        <f t="shared" si="125"/>
        <v>0.09</v>
      </c>
      <c r="N776" s="585">
        <f t="shared" si="129"/>
        <v>9.5500000000000015E-2</v>
      </c>
      <c r="O776" s="586">
        <f t="shared" si="126"/>
        <v>1.5590581754977156E-2</v>
      </c>
      <c r="P776" s="585">
        <f t="shared" si="130"/>
        <v>1.0090581754977138E-2</v>
      </c>
      <c r="Q776" s="585">
        <f t="shared" si="131"/>
        <v>0.16516192995548651</v>
      </c>
      <c r="R776" s="585">
        <f t="shared" si="132"/>
        <v>9.9104999999999999E-2</v>
      </c>
      <c r="S776" s="586">
        <f t="shared" si="133"/>
        <v>6.605692995548651E-2</v>
      </c>
      <c r="U776" s="587"/>
      <c r="V776" s="587"/>
      <c r="W776" s="587"/>
      <c r="X776" s="587"/>
      <c r="Y776" s="587"/>
      <c r="Z776" s="587"/>
      <c r="AA776" s="587"/>
      <c r="AB776" s="587"/>
      <c r="AC776" s="587"/>
      <c r="AE776" s="587"/>
      <c r="AF776" s="587"/>
      <c r="AG776" s="587"/>
      <c r="AH776" s="587"/>
      <c r="AI776" s="587"/>
      <c r="AJ776" s="587"/>
      <c r="AK776" s="587"/>
      <c r="AL776" s="587"/>
      <c r="AM776" s="587"/>
      <c r="AO776" s="587"/>
      <c r="AP776" s="587"/>
      <c r="AQ776" s="587"/>
      <c r="AR776" s="587"/>
      <c r="AS776" s="587"/>
      <c r="AT776" s="587"/>
      <c r="AU776" s="587"/>
      <c r="AV776" s="587"/>
      <c r="AW776" s="587"/>
    </row>
    <row r="777" spans="1:49">
      <c r="A777" s="581">
        <v>32994</v>
      </c>
      <c r="B777" s="594">
        <v>9.7500000000000003E-2</v>
      </c>
      <c r="C777" s="577">
        <v>6.8200000000000011E-2</v>
      </c>
      <c r="D777" s="577">
        <v>7.4999999999999997E-3</v>
      </c>
      <c r="E777" s="577">
        <v>7.8916666666666666E-3</v>
      </c>
      <c r="F777" s="577">
        <v>8.083333333333333E-3</v>
      </c>
      <c r="G777" s="577">
        <v>7.9874999999999998E-3</v>
      </c>
      <c r="H777" s="577">
        <v>8.3382500000000002E-3</v>
      </c>
      <c r="I777" s="577">
        <f t="shared" si="134"/>
        <v>0.09</v>
      </c>
      <c r="J777" s="577">
        <f t="shared" si="127"/>
        <v>8.9512500000000009E-2</v>
      </c>
      <c r="K777" s="577">
        <f t="shared" si="128"/>
        <v>5.9861750000000012E-2</v>
      </c>
      <c r="L777" s="585">
        <f t="shared" si="124"/>
        <v>0.16615633202891611</v>
      </c>
      <c r="M777" s="585">
        <f t="shared" si="125"/>
        <v>0.09</v>
      </c>
      <c r="N777" s="585">
        <f t="shared" si="129"/>
        <v>9.5849999999999991E-2</v>
      </c>
      <c r="O777" s="586">
        <f t="shared" si="126"/>
        <v>7.6156332028916113E-2</v>
      </c>
      <c r="P777" s="585">
        <f t="shared" si="130"/>
        <v>7.0306332028916119E-2</v>
      </c>
      <c r="Q777" s="585">
        <f t="shared" si="131"/>
        <v>0.17639506009305328</v>
      </c>
      <c r="R777" s="585">
        <f t="shared" si="132"/>
        <v>0.10005900000000001</v>
      </c>
      <c r="S777" s="586">
        <f t="shared" si="133"/>
        <v>7.6336060093053271E-2</v>
      </c>
      <c r="U777" s="587"/>
      <c r="V777" s="587"/>
      <c r="W777" s="587"/>
      <c r="X777" s="587"/>
      <c r="Y777" s="587"/>
      <c r="Z777" s="587"/>
      <c r="AA777" s="587"/>
      <c r="AB777" s="587"/>
      <c r="AC777" s="587"/>
      <c r="AE777" s="587"/>
      <c r="AF777" s="587"/>
      <c r="AG777" s="587"/>
      <c r="AH777" s="587"/>
      <c r="AI777" s="587"/>
      <c r="AJ777" s="587"/>
      <c r="AK777" s="587"/>
      <c r="AL777" s="587"/>
      <c r="AM777" s="587"/>
      <c r="AO777" s="587"/>
      <c r="AP777" s="587"/>
      <c r="AQ777" s="587"/>
      <c r="AR777" s="587"/>
      <c r="AS777" s="587"/>
      <c r="AT777" s="587"/>
      <c r="AU777" s="587"/>
      <c r="AV777" s="587"/>
      <c r="AW777" s="587"/>
    </row>
    <row r="778" spans="1:49">
      <c r="A778" s="581">
        <v>33025</v>
      </c>
      <c r="B778" s="594">
        <v>-6.7000000000000002E-3</v>
      </c>
      <c r="C778" s="577">
        <v>-2.1099999999999997E-2</v>
      </c>
      <c r="D778" s="577">
        <v>6.7999999999999996E-3</v>
      </c>
      <c r="E778" s="577">
        <v>7.7166666666666659E-3</v>
      </c>
      <c r="F778" s="577">
        <v>7.9083333333333332E-3</v>
      </c>
      <c r="G778" s="577">
        <v>7.8125E-3</v>
      </c>
      <c r="H778" s="577">
        <v>8.175E-3</v>
      </c>
      <c r="I778" s="577">
        <f t="shared" si="134"/>
        <v>-1.35E-2</v>
      </c>
      <c r="J778" s="577">
        <f t="shared" si="127"/>
        <v>-1.4512500000000001E-2</v>
      </c>
      <c r="K778" s="577">
        <f t="shared" si="128"/>
        <v>-2.9274999999999995E-2</v>
      </c>
      <c r="L778" s="585">
        <f t="shared" si="124"/>
        <v>0.16498349050017347</v>
      </c>
      <c r="M778" s="585">
        <f t="shared" si="125"/>
        <v>8.1599999999999992E-2</v>
      </c>
      <c r="N778" s="585">
        <f t="shared" si="129"/>
        <v>9.375E-2</v>
      </c>
      <c r="O778" s="586">
        <f t="shared" si="126"/>
        <v>8.3383490500173477E-2</v>
      </c>
      <c r="P778" s="585">
        <f t="shared" si="130"/>
        <v>7.1233490500173469E-2</v>
      </c>
      <c r="Q778" s="585">
        <f t="shared" si="131"/>
        <v>0.13332656660278563</v>
      </c>
      <c r="R778" s="585">
        <f t="shared" si="132"/>
        <v>9.8099999999999993E-2</v>
      </c>
      <c r="S778" s="586">
        <f t="shared" si="133"/>
        <v>3.5226566602785642E-2</v>
      </c>
      <c r="U778" s="587"/>
      <c r="V778" s="587"/>
      <c r="W778" s="587"/>
      <c r="X778" s="587"/>
      <c r="Y778" s="587"/>
      <c r="Z778" s="587"/>
      <c r="AA778" s="587"/>
      <c r="AB778" s="587"/>
      <c r="AC778" s="587"/>
      <c r="AE778" s="587"/>
      <c r="AF778" s="587"/>
      <c r="AG778" s="587"/>
      <c r="AH778" s="587"/>
      <c r="AI778" s="587"/>
      <c r="AJ778" s="587"/>
      <c r="AK778" s="587"/>
      <c r="AL778" s="587"/>
      <c r="AM778" s="587"/>
      <c r="AO778" s="587"/>
      <c r="AP778" s="587"/>
      <c r="AQ778" s="587"/>
      <c r="AR778" s="587"/>
      <c r="AS778" s="587"/>
      <c r="AT778" s="587"/>
      <c r="AU778" s="587"/>
      <c r="AV778" s="587"/>
      <c r="AW778" s="587"/>
    </row>
    <row r="779" spans="1:49">
      <c r="A779" s="581">
        <v>33055</v>
      </c>
      <c r="B779" s="594">
        <v>-3.2000000000000002E-3</v>
      </c>
      <c r="C779" s="577">
        <v>-3.1999999999999997E-3</v>
      </c>
      <c r="D779" s="577">
        <v>7.4000000000000003E-3</v>
      </c>
      <c r="E779" s="577">
        <v>7.7000000000000002E-3</v>
      </c>
      <c r="F779" s="577">
        <v>7.8916666666666666E-3</v>
      </c>
      <c r="G779" s="577">
        <v>7.7958333333333326E-3</v>
      </c>
      <c r="H779" s="577">
        <v>8.1317500000000001E-3</v>
      </c>
      <c r="I779" s="577">
        <f t="shared" si="134"/>
        <v>-1.06E-2</v>
      </c>
      <c r="J779" s="577">
        <f t="shared" si="127"/>
        <v>-1.0995833333333333E-2</v>
      </c>
      <c r="K779" s="577">
        <f t="shared" si="128"/>
        <v>-1.133175E-2</v>
      </c>
      <c r="L779" s="585">
        <f t="shared" si="124"/>
        <v>6.5078917115080959E-2</v>
      </c>
      <c r="M779" s="585">
        <f t="shared" si="125"/>
        <v>8.8800000000000004E-2</v>
      </c>
      <c r="N779" s="585">
        <f t="shared" si="129"/>
        <v>9.3549999999999994E-2</v>
      </c>
      <c r="O779" s="586">
        <f t="shared" si="126"/>
        <v>-2.3721082884919045E-2</v>
      </c>
      <c r="P779" s="585">
        <f t="shared" si="130"/>
        <v>-2.8471082884919036E-2</v>
      </c>
      <c r="Q779" s="585">
        <f t="shared" si="131"/>
        <v>4.5631175110752098E-2</v>
      </c>
      <c r="R779" s="585">
        <f t="shared" si="132"/>
        <v>9.7581000000000001E-2</v>
      </c>
      <c r="S779" s="586">
        <f t="shared" si="133"/>
        <v>-5.1949824889247903E-2</v>
      </c>
      <c r="U779" s="587"/>
      <c r="V779" s="587"/>
      <c r="W779" s="587"/>
      <c r="X779" s="587"/>
      <c r="Y779" s="587"/>
      <c r="Z779" s="587"/>
      <c r="AA779" s="587"/>
      <c r="AB779" s="587"/>
      <c r="AC779" s="587"/>
      <c r="AE779" s="587"/>
      <c r="AF779" s="587"/>
      <c r="AG779" s="587"/>
      <c r="AH779" s="587"/>
      <c r="AI779" s="587"/>
      <c r="AJ779" s="587"/>
      <c r="AK779" s="587"/>
      <c r="AL779" s="587"/>
      <c r="AM779" s="587"/>
      <c r="AO779" s="587"/>
      <c r="AP779" s="587"/>
      <c r="AQ779" s="587"/>
      <c r="AR779" s="587"/>
      <c r="AS779" s="587"/>
      <c r="AT779" s="587"/>
      <c r="AU779" s="587"/>
      <c r="AV779" s="587"/>
      <c r="AW779" s="587"/>
    </row>
    <row r="780" spans="1:49">
      <c r="A780" s="581">
        <v>33086</v>
      </c>
      <c r="B780" s="594">
        <v>-9.0399999999999994E-2</v>
      </c>
      <c r="C780" s="577">
        <v>-7.9199999999999993E-2</v>
      </c>
      <c r="D780" s="577">
        <v>7.1000000000000004E-3</v>
      </c>
      <c r="E780" s="577">
        <v>7.8416666666666669E-3</v>
      </c>
      <c r="F780" s="577">
        <v>8.0250000000000009E-3</v>
      </c>
      <c r="G780" s="577">
        <v>7.9333333333333339E-3</v>
      </c>
      <c r="H780" s="577">
        <v>8.2464166666666658E-3</v>
      </c>
      <c r="I780" s="577">
        <f t="shared" si="134"/>
        <v>-9.7499999999999989E-2</v>
      </c>
      <c r="J780" s="577">
        <f t="shared" si="127"/>
        <v>-9.8333333333333328E-2</v>
      </c>
      <c r="K780" s="577">
        <f t="shared" si="128"/>
        <v>-8.7446416666666665E-2</v>
      </c>
      <c r="L780" s="585">
        <f t="shared" si="124"/>
        <v>-4.9734396264956016E-2</v>
      </c>
      <c r="M780" s="585">
        <f t="shared" si="125"/>
        <v>8.5199999999999998E-2</v>
      </c>
      <c r="N780" s="585">
        <f t="shared" si="129"/>
        <v>9.5200000000000007E-2</v>
      </c>
      <c r="O780" s="586">
        <f t="shared" si="126"/>
        <v>-0.13493439626495601</v>
      </c>
      <c r="P780" s="585">
        <f t="shared" si="130"/>
        <v>-0.14493439626495602</v>
      </c>
      <c r="Q780" s="585">
        <f t="shared" si="131"/>
        <v>-3.1663294738026315E-2</v>
      </c>
      <c r="R780" s="585">
        <f t="shared" si="132"/>
        <v>9.8956999999999989E-2</v>
      </c>
      <c r="S780" s="586">
        <f t="shared" si="133"/>
        <v>-0.1306202947380263</v>
      </c>
      <c r="U780" s="587"/>
      <c r="V780" s="587"/>
      <c r="W780" s="587"/>
      <c r="X780" s="587"/>
      <c r="Y780" s="587"/>
      <c r="Z780" s="587"/>
      <c r="AA780" s="587"/>
      <c r="AB780" s="587"/>
      <c r="AC780" s="587"/>
      <c r="AE780" s="587"/>
      <c r="AF780" s="587"/>
      <c r="AG780" s="587"/>
      <c r="AH780" s="587"/>
      <c r="AI780" s="587"/>
      <c r="AJ780" s="587"/>
      <c r="AK780" s="587"/>
      <c r="AL780" s="587"/>
      <c r="AM780" s="587"/>
      <c r="AO780" s="587"/>
      <c r="AP780" s="587"/>
      <c r="AQ780" s="587"/>
      <c r="AR780" s="587"/>
      <c r="AS780" s="587"/>
      <c r="AT780" s="587"/>
      <c r="AU780" s="587"/>
      <c r="AV780" s="587"/>
      <c r="AW780" s="587"/>
    </row>
    <row r="781" spans="1:49">
      <c r="A781" s="581">
        <v>33117</v>
      </c>
      <c r="B781" s="594">
        <v>-4.87E-2</v>
      </c>
      <c r="C781" s="577">
        <v>4.1100000000000005E-2</v>
      </c>
      <c r="D781" s="577">
        <v>6.8999999999999999E-3</v>
      </c>
      <c r="E781" s="577">
        <v>7.966666666666667E-3</v>
      </c>
      <c r="F781" s="577">
        <v>8.1416666666666651E-3</v>
      </c>
      <c r="G781" s="577">
        <v>8.0541666666666661E-3</v>
      </c>
      <c r="H781" s="577">
        <v>8.4306666666666662E-3</v>
      </c>
      <c r="I781" s="577">
        <f t="shared" si="134"/>
        <v>-5.5599999999999997E-2</v>
      </c>
      <c r="J781" s="577">
        <f t="shared" si="127"/>
        <v>-5.6754166666666668E-2</v>
      </c>
      <c r="K781" s="577">
        <f t="shared" si="128"/>
        <v>3.2669333333333342E-2</v>
      </c>
      <c r="L781" s="585">
        <f t="shared" si="124"/>
        <v>-9.2290723131692509E-2</v>
      </c>
      <c r="M781" s="585">
        <f t="shared" si="125"/>
        <v>8.2799999999999999E-2</v>
      </c>
      <c r="N781" s="585">
        <f t="shared" si="129"/>
        <v>9.6649999999999986E-2</v>
      </c>
      <c r="O781" s="586">
        <f t="shared" si="126"/>
        <v>-0.17509072313169249</v>
      </c>
      <c r="P781" s="585">
        <f t="shared" si="130"/>
        <v>-0.1889407231316925</v>
      </c>
      <c r="Q781" s="585">
        <f t="shared" si="131"/>
        <v>-8.7164760587603585E-3</v>
      </c>
      <c r="R781" s="585">
        <f t="shared" si="132"/>
        <v>0.10116799999999999</v>
      </c>
      <c r="S781" s="586">
        <f t="shared" si="133"/>
        <v>-0.10988447605876035</v>
      </c>
      <c r="U781" s="587"/>
      <c r="V781" s="587"/>
      <c r="W781" s="587"/>
      <c r="X781" s="587"/>
      <c r="Y781" s="587"/>
      <c r="Z781" s="587"/>
      <c r="AA781" s="587"/>
      <c r="AB781" s="587"/>
      <c r="AC781" s="587"/>
      <c r="AE781" s="587"/>
      <c r="AF781" s="587"/>
      <c r="AG781" s="587"/>
      <c r="AH781" s="587"/>
      <c r="AI781" s="587"/>
      <c r="AJ781" s="587"/>
      <c r="AK781" s="587"/>
      <c r="AL781" s="587"/>
      <c r="AM781" s="587"/>
      <c r="AO781" s="587"/>
      <c r="AP781" s="587"/>
      <c r="AQ781" s="587"/>
      <c r="AR781" s="587"/>
      <c r="AS781" s="587"/>
      <c r="AT781" s="587"/>
      <c r="AU781" s="587"/>
      <c r="AV781" s="587"/>
      <c r="AW781" s="587"/>
    </row>
    <row r="782" spans="1:49">
      <c r="A782" s="581">
        <v>33147</v>
      </c>
      <c r="B782" s="594">
        <v>-4.3E-3</v>
      </c>
      <c r="C782" s="577">
        <v>6.5299999999999997E-2</v>
      </c>
      <c r="D782" s="577">
        <v>8.0999999999999996E-3</v>
      </c>
      <c r="E782" s="577">
        <v>7.9416666666666663E-3</v>
      </c>
      <c r="F782" s="577">
        <v>8.1416666666666651E-3</v>
      </c>
      <c r="G782" s="577">
        <v>8.0416666666666657E-3</v>
      </c>
      <c r="H782" s="577">
        <v>8.3855000000000006E-3</v>
      </c>
      <c r="I782" s="577">
        <f t="shared" si="134"/>
        <v>-1.24E-2</v>
      </c>
      <c r="J782" s="577">
        <f t="shared" si="127"/>
        <v>-1.2341666666666666E-2</v>
      </c>
      <c r="K782" s="577">
        <f t="shared" si="128"/>
        <v>5.6914499999999993E-2</v>
      </c>
      <c r="L782" s="585">
        <f t="shared" si="124"/>
        <v>-7.4727552234056138E-2</v>
      </c>
      <c r="M782" s="585">
        <f t="shared" si="125"/>
        <v>9.7199999999999995E-2</v>
      </c>
      <c r="N782" s="585">
        <f t="shared" si="129"/>
        <v>9.6499999999999989E-2</v>
      </c>
      <c r="O782" s="586">
        <f t="shared" si="126"/>
        <v>-0.17192755223405615</v>
      </c>
      <c r="P782" s="585">
        <f t="shared" si="130"/>
        <v>-0.17122755223405611</v>
      </c>
      <c r="Q782" s="585">
        <f t="shared" si="131"/>
        <v>5.1283562025487894E-2</v>
      </c>
      <c r="R782" s="585">
        <f t="shared" si="132"/>
        <v>0.10062600000000001</v>
      </c>
      <c r="S782" s="586">
        <f t="shared" si="133"/>
        <v>-4.9342437974512113E-2</v>
      </c>
      <c r="U782" s="587"/>
      <c r="V782" s="587"/>
      <c r="W782" s="587"/>
      <c r="X782" s="587"/>
      <c r="Y782" s="587"/>
      <c r="Z782" s="587"/>
      <c r="AA782" s="587"/>
      <c r="AB782" s="587"/>
      <c r="AC782" s="587"/>
      <c r="AE782" s="587"/>
      <c r="AF782" s="587"/>
      <c r="AG782" s="587"/>
      <c r="AH782" s="587"/>
      <c r="AI782" s="587"/>
      <c r="AJ782" s="587"/>
      <c r="AK782" s="587"/>
      <c r="AL782" s="587"/>
      <c r="AM782" s="587"/>
      <c r="AO782" s="587"/>
      <c r="AP782" s="587"/>
      <c r="AQ782" s="587"/>
      <c r="AR782" s="587"/>
      <c r="AS782" s="587"/>
      <c r="AT782" s="587"/>
      <c r="AU782" s="587"/>
      <c r="AV782" s="587"/>
      <c r="AW782" s="587"/>
    </row>
    <row r="783" spans="1:49">
      <c r="A783" s="581">
        <v>33178</v>
      </c>
      <c r="B783" s="594">
        <v>6.4600000000000005E-2</v>
      </c>
      <c r="C783" s="577">
        <v>1.9299999999999998E-2</v>
      </c>
      <c r="D783" s="577">
        <v>7.1000000000000004E-3</v>
      </c>
      <c r="E783" s="577">
        <v>7.7499999999999999E-3</v>
      </c>
      <c r="F783" s="577">
        <v>7.9916666666666678E-3</v>
      </c>
      <c r="G783" s="577">
        <v>7.8708333333333338E-3</v>
      </c>
      <c r="H783" s="577">
        <v>8.2603333333333331E-3</v>
      </c>
      <c r="I783" s="577">
        <f t="shared" si="134"/>
        <v>5.7500000000000002E-2</v>
      </c>
      <c r="J783" s="577">
        <f t="shared" si="127"/>
        <v>5.6729166666666671E-2</v>
      </c>
      <c r="K783" s="577">
        <f t="shared" si="128"/>
        <v>1.1039666666666665E-2</v>
      </c>
      <c r="L783" s="585">
        <f t="shared" si="124"/>
        <v>-3.4648130251250575E-2</v>
      </c>
      <c r="M783" s="585">
        <f t="shared" si="125"/>
        <v>8.5199999999999998E-2</v>
      </c>
      <c r="N783" s="585">
        <f t="shared" si="129"/>
        <v>9.4450000000000006E-2</v>
      </c>
      <c r="O783" s="586">
        <f t="shared" si="126"/>
        <v>-0.11984813025125057</v>
      </c>
      <c r="P783" s="585">
        <f t="shared" si="130"/>
        <v>-0.12909813025125058</v>
      </c>
      <c r="Q783" s="585">
        <f t="shared" si="131"/>
        <v>3.6738907481211225E-2</v>
      </c>
      <c r="R783" s="585">
        <f t="shared" si="132"/>
        <v>9.912399999999999E-2</v>
      </c>
      <c r="S783" s="586">
        <f t="shared" si="133"/>
        <v>-6.2385092518788765E-2</v>
      </c>
      <c r="U783" s="587"/>
      <c r="V783" s="587"/>
      <c r="W783" s="587"/>
      <c r="X783" s="587"/>
      <c r="Y783" s="587"/>
      <c r="Z783" s="587"/>
      <c r="AA783" s="587"/>
      <c r="AB783" s="587"/>
      <c r="AC783" s="587"/>
      <c r="AE783" s="587"/>
      <c r="AF783" s="587"/>
      <c r="AG783" s="587"/>
      <c r="AH783" s="587"/>
      <c r="AI783" s="587"/>
      <c r="AJ783" s="587"/>
      <c r="AK783" s="587"/>
      <c r="AL783" s="587"/>
      <c r="AM783" s="587"/>
      <c r="AO783" s="587"/>
      <c r="AP783" s="587"/>
      <c r="AQ783" s="587"/>
      <c r="AR783" s="587"/>
      <c r="AS783" s="587"/>
      <c r="AT783" s="587"/>
      <c r="AU783" s="587"/>
      <c r="AV783" s="587"/>
      <c r="AW783" s="587"/>
    </row>
    <row r="784" spans="1:49">
      <c r="A784" s="581">
        <v>33208</v>
      </c>
      <c r="B784" s="594">
        <v>2.7900000000000001E-2</v>
      </c>
      <c r="C784" s="577">
        <v>8.6E-3</v>
      </c>
      <c r="D784" s="577">
        <v>7.1999999999999998E-3</v>
      </c>
      <c r="E784" s="577">
        <v>7.5416666666666679E-3</v>
      </c>
      <c r="F784" s="577">
        <v>7.8250000000000004E-3</v>
      </c>
      <c r="G784" s="577">
        <v>7.6833333333333345E-3</v>
      </c>
      <c r="H784" s="577">
        <v>8.1091666666666656E-3</v>
      </c>
      <c r="I784" s="577">
        <f t="shared" si="134"/>
        <v>2.0700000000000003E-2</v>
      </c>
      <c r="J784" s="577">
        <f t="shared" si="127"/>
        <v>2.0216666666666668E-2</v>
      </c>
      <c r="K784" s="577">
        <f t="shared" si="128"/>
        <v>4.9083333333333444E-4</v>
      </c>
      <c r="L784" s="585">
        <f t="shared" ref="L784:L847" si="135">((1+B773)*(1+B774)*(1+B775)*(1+B776)*(1+B777)*(1+B778)*(1+B779)*(1+B780)*(1+B781)*(1+B782)*(1+B783)*(1+B784))-1</f>
        <v>-3.0971497153574834E-2</v>
      </c>
      <c r="M784" s="585">
        <f t="shared" ref="M784:M847" si="136">D784*12</f>
        <v>8.6400000000000005E-2</v>
      </c>
      <c r="N784" s="585">
        <f t="shared" si="129"/>
        <v>9.2200000000000018E-2</v>
      </c>
      <c r="O784" s="586">
        <f t="shared" ref="O784:O847" si="137">L784-M784</f>
        <v>-0.11737149715357484</v>
      </c>
      <c r="P784" s="585">
        <f t="shared" si="130"/>
        <v>-0.12317149715357485</v>
      </c>
      <c r="Q784" s="585">
        <f t="shared" si="131"/>
        <v>-2.5575564173376586E-2</v>
      </c>
      <c r="R784" s="585">
        <f t="shared" si="132"/>
        <v>9.730999999999998E-2</v>
      </c>
      <c r="S784" s="586">
        <f t="shared" si="133"/>
        <v>-0.12288556417337657</v>
      </c>
      <c r="U784" s="587"/>
      <c r="V784" s="587"/>
      <c r="W784" s="587"/>
      <c r="X784" s="587"/>
      <c r="Y784" s="587"/>
      <c r="Z784" s="587"/>
      <c r="AA784" s="587"/>
      <c r="AB784" s="587"/>
      <c r="AC784" s="587"/>
      <c r="AE784" s="587"/>
      <c r="AF784" s="587"/>
      <c r="AG784" s="587"/>
      <c r="AH784" s="587"/>
      <c r="AI784" s="587"/>
      <c r="AJ784" s="587"/>
      <c r="AK784" s="587"/>
      <c r="AL784" s="587"/>
      <c r="AM784" s="587"/>
      <c r="AO784" s="587"/>
      <c r="AP784" s="587"/>
      <c r="AQ784" s="587"/>
      <c r="AR784" s="587"/>
      <c r="AS784" s="587"/>
      <c r="AT784" s="587"/>
      <c r="AU784" s="587"/>
      <c r="AV784" s="587"/>
      <c r="AW784" s="587"/>
    </row>
    <row r="785" spans="1:49">
      <c r="A785" s="581">
        <v>33239</v>
      </c>
      <c r="B785" s="594">
        <v>4.36E-2</v>
      </c>
      <c r="C785" s="577">
        <v>-3.0100000000000002E-2</v>
      </c>
      <c r="D785" s="577">
        <v>7.1000000000000004E-3</v>
      </c>
      <c r="E785" s="577">
        <v>7.5333333333333329E-3</v>
      </c>
      <c r="F785" s="577">
        <v>7.8083333333333329E-3</v>
      </c>
      <c r="G785" s="577">
        <v>7.6708333333333333E-3</v>
      </c>
      <c r="H785" s="577">
        <v>8.0939166666666659E-3</v>
      </c>
      <c r="I785" s="577">
        <f t="shared" si="134"/>
        <v>3.6499999999999998E-2</v>
      </c>
      <c r="J785" s="577">
        <f t="shared" si="127"/>
        <v>3.5929166666666665E-2</v>
      </c>
      <c r="K785" s="577">
        <f t="shared" si="128"/>
        <v>-3.8193916666666668E-2</v>
      </c>
      <c r="L785" s="585">
        <f t="shared" si="135"/>
        <v>8.4015591778893617E-2</v>
      </c>
      <c r="M785" s="585">
        <f t="shared" si="136"/>
        <v>8.5199999999999998E-2</v>
      </c>
      <c r="N785" s="585">
        <f t="shared" si="129"/>
        <v>9.2049999999999993E-2</v>
      </c>
      <c r="O785" s="586">
        <f t="shared" si="137"/>
        <v>-1.1844082211063811E-3</v>
      </c>
      <c r="P785" s="585">
        <f t="shared" si="130"/>
        <v>-8.0344082211063761E-3</v>
      </c>
      <c r="Q785" s="585">
        <f t="shared" si="131"/>
        <v>2.8282298235493331E-2</v>
      </c>
      <c r="R785" s="585">
        <f t="shared" si="132"/>
        <v>9.7126999999999991E-2</v>
      </c>
      <c r="S785" s="586">
        <f t="shared" si="133"/>
        <v>-6.8844701764506661E-2</v>
      </c>
      <c r="U785" s="587"/>
      <c r="V785" s="587"/>
      <c r="W785" s="587"/>
      <c r="X785" s="587"/>
      <c r="Y785" s="587"/>
      <c r="Z785" s="587"/>
      <c r="AA785" s="587"/>
      <c r="AB785" s="587"/>
      <c r="AC785" s="587"/>
      <c r="AE785" s="587"/>
      <c r="AF785" s="587"/>
      <c r="AG785" s="587"/>
      <c r="AH785" s="587"/>
      <c r="AI785" s="587"/>
      <c r="AJ785" s="587"/>
      <c r="AK785" s="587"/>
      <c r="AL785" s="587"/>
      <c r="AM785" s="587"/>
      <c r="AO785" s="587"/>
      <c r="AP785" s="587"/>
      <c r="AQ785" s="587"/>
      <c r="AR785" s="587"/>
      <c r="AS785" s="587"/>
      <c r="AT785" s="587"/>
      <c r="AU785" s="587"/>
      <c r="AV785" s="587"/>
      <c r="AW785" s="587"/>
    </row>
    <row r="786" spans="1:49">
      <c r="A786" s="581">
        <v>33270</v>
      </c>
      <c r="B786" s="594">
        <v>7.1499999999999994E-2</v>
      </c>
      <c r="C786" s="577">
        <v>3.49E-2</v>
      </c>
      <c r="D786" s="577">
        <v>6.4000000000000003E-3</v>
      </c>
      <c r="E786" s="577">
        <v>7.358333333333333E-3</v>
      </c>
      <c r="F786" s="577">
        <v>7.6333333333333331E-3</v>
      </c>
      <c r="G786" s="577">
        <v>7.4958333333333326E-3</v>
      </c>
      <c r="H786" s="577">
        <v>7.8978333333333331E-3</v>
      </c>
      <c r="I786" s="577">
        <f t="shared" si="134"/>
        <v>6.5099999999999991E-2</v>
      </c>
      <c r="J786" s="577">
        <f t="shared" si="127"/>
        <v>6.4004166666666668E-2</v>
      </c>
      <c r="K786" s="577">
        <f t="shared" si="128"/>
        <v>2.7002166666666667E-2</v>
      </c>
      <c r="L786" s="585">
        <f t="shared" si="135"/>
        <v>0.14672989099721989</v>
      </c>
      <c r="M786" s="585">
        <f t="shared" si="136"/>
        <v>7.6800000000000007E-2</v>
      </c>
      <c r="N786" s="585">
        <f t="shared" si="129"/>
        <v>8.9949999999999988E-2</v>
      </c>
      <c r="O786" s="586">
        <f t="shared" si="137"/>
        <v>6.9929890997219885E-2</v>
      </c>
      <c r="P786" s="585">
        <f t="shared" si="130"/>
        <v>5.6779890997219903E-2</v>
      </c>
      <c r="Q786" s="585">
        <f t="shared" si="131"/>
        <v>7.5896623641605654E-2</v>
      </c>
      <c r="R786" s="585">
        <f t="shared" si="132"/>
        <v>9.4773999999999997E-2</v>
      </c>
      <c r="S786" s="586">
        <f t="shared" si="133"/>
        <v>-1.8877376358394343E-2</v>
      </c>
      <c r="U786" s="587"/>
      <c r="V786" s="587"/>
      <c r="W786" s="587"/>
      <c r="X786" s="587"/>
      <c r="Y786" s="587"/>
      <c r="Z786" s="587"/>
      <c r="AA786" s="587"/>
      <c r="AB786" s="587"/>
      <c r="AC786" s="587"/>
      <c r="AE786" s="587"/>
      <c r="AF786" s="587"/>
      <c r="AG786" s="587"/>
      <c r="AH786" s="587"/>
      <c r="AI786" s="587"/>
      <c r="AJ786" s="587"/>
      <c r="AK786" s="587"/>
      <c r="AL786" s="587"/>
      <c r="AM786" s="587"/>
      <c r="AO786" s="587"/>
      <c r="AP786" s="587"/>
      <c r="AQ786" s="587"/>
      <c r="AR786" s="587"/>
      <c r="AS786" s="587"/>
      <c r="AT786" s="587"/>
      <c r="AU786" s="587"/>
      <c r="AV786" s="587"/>
      <c r="AW786" s="587"/>
    </row>
    <row r="787" spans="1:49">
      <c r="A787" s="581">
        <v>33298</v>
      </c>
      <c r="B787" s="594">
        <v>2.4199999999999999E-2</v>
      </c>
      <c r="C787" s="577">
        <v>1.9799999999999998E-2</v>
      </c>
      <c r="D787" s="577">
        <v>6.4000000000000003E-3</v>
      </c>
      <c r="E787" s="577">
        <v>7.4416666666666667E-3</v>
      </c>
      <c r="F787" s="577">
        <v>7.6750000000000004E-3</v>
      </c>
      <c r="G787" s="577">
        <v>7.5583333333333336E-3</v>
      </c>
      <c r="H787" s="577">
        <v>7.9608333333333337E-3</v>
      </c>
      <c r="I787" s="577">
        <f t="shared" si="134"/>
        <v>1.78E-2</v>
      </c>
      <c r="J787" s="577">
        <f t="shared" si="127"/>
        <v>1.6641666666666666E-2</v>
      </c>
      <c r="K787" s="577">
        <f t="shared" si="128"/>
        <v>1.1839166666666665E-2</v>
      </c>
      <c r="L787" s="585">
        <f t="shared" si="135"/>
        <v>0.14416050108071388</v>
      </c>
      <c r="M787" s="585">
        <f t="shared" si="136"/>
        <v>7.6800000000000007E-2</v>
      </c>
      <c r="N787" s="585">
        <f t="shared" si="129"/>
        <v>9.0700000000000003E-2</v>
      </c>
      <c r="O787" s="586">
        <f t="shared" si="137"/>
        <v>6.7360501080713869E-2</v>
      </c>
      <c r="P787" s="585">
        <f t="shared" si="130"/>
        <v>5.3460501080713874E-2</v>
      </c>
      <c r="Q787" s="585">
        <f t="shared" si="131"/>
        <v>7.7058384990389195E-2</v>
      </c>
      <c r="R787" s="585">
        <f t="shared" si="132"/>
        <v>9.5530000000000004E-2</v>
      </c>
      <c r="S787" s="586">
        <f t="shared" si="133"/>
        <v>-1.8471615009610809E-2</v>
      </c>
      <c r="U787" s="587"/>
      <c r="V787" s="587"/>
      <c r="W787" s="587"/>
      <c r="X787" s="587"/>
      <c r="Y787" s="587"/>
      <c r="Z787" s="587"/>
      <c r="AA787" s="587"/>
      <c r="AB787" s="587"/>
      <c r="AC787" s="587"/>
      <c r="AE787" s="587"/>
      <c r="AF787" s="587"/>
      <c r="AG787" s="587"/>
      <c r="AH787" s="587"/>
      <c r="AI787" s="587"/>
      <c r="AJ787" s="587"/>
      <c r="AK787" s="587"/>
      <c r="AL787" s="587"/>
      <c r="AM787" s="587"/>
      <c r="AO787" s="587"/>
      <c r="AP787" s="587"/>
      <c r="AQ787" s="587"/>
      <c r="AR787" s="587"/>
      <c r="AS787" s="587"/>
      <c r="AT787" s="587"/>
      <c r="AU787" s="587"/>
      <c r="AV787" s="587"/>
      <c r="AW787" s="587"/>
    </row>
    <row r="788" spans="1:49">
      <c r="A788" s="581">
        <v>33329</v>
      </c>
      <c r="B788" s="594">
        <v>2.3999999999999998E-3</v>
      </c>
      <c r="C788" s="577">
        <v>-1.6200000000000003E-2</v>
      </c>
      <c r="D788" s="577">
        <v>7.6E-3</v>
      </c>
      <c r="E788" s="577">
        <v>7.3833333333333329E-3</v>
      </c>
      <c r="F788" s="577">
        <v>7.5999999999999991E-3</v>
      </c>
      <c r="G788" s="577">
        <v>7.4916666666666656E-3</v>
      </c>
      <c r="H788" s="577">
        <v>7.8870833333333328E-3</v>
      </c>
      <c r="I788" s="577">
        <f t="shared" si="134"/>
        <v>-5.1999999999999998E-3</v>
      </c>
      <c r="J788" s="577">
        <f t="shared" si="127"/>
        <v>-5.0916666666666662E-3</v>
      </c>
      <c r="K788" s="577">
        <f t="shared" si="128"/>
        <v>-2.4087083333333335E-2</v>
      </c>
      <c r="L788" s="585">
        <f t="shared" si="135"/>
        <v>0.17619370965368431</v>
      </c>
      <c r="M788" s="585">
        <f t="shared" si="136"/>
        <v>9.1200000000000003E-2</v>
      </c>
      <c r="N788" s="585">
        <f t="shared" si="129"/>
        <v>8.989999999999998E-2</v>
      </c>
      <c r="O788" s="586">
        <f t="shared" si="137"/>
        <v>8.4993709653684302E-2</v>
      </c>
      <c r="P788" s="585">
        <f t="shared" si="130"/>
        <v>8.6293709653684325E-2</v>
      </c>
      <c r="Q788" s="585">
        <f t="shared" si="131"/>
        <v>0.1020385222605773</v>
      </c>
      <c r="R788" s="585">
        <f t="shared" si="132"/>
        <v>9.4644999999999993E-2</v>
      </c>
      <c r="S788" s="586">
        <f t="shared" si="133"/>
        <v>7.3935222605773093E-3</v>
      </c>
      <c r="U788" s="587"/>
      <c r="V788" s="587"/>
      <c r="W788" s="587"/>
      <c r="X788" s="587"/>
      <c r="Y788" s="587"/>
      <c r="Z788" s="587"/>
      <c r="AA788" s="587"/>
      <c r="AB788" s="587"/>
      <c r="AC788" s="587"/>
      <c r="AE788" s="587"/>
      <c r="AF788" s="587"/>
      <c r="AG788" s="587"/>
      <c r="AH788" s="587"/>
      <c r="AI788" s="587"/>
      <c r="AJ788" s="587"/>
      <c r="AK788" s="587"/>
      <c r="AL788" s="587"/>
      <c r="AM788" s="587"/>
      <c r="AO788" s="587"/>
      <c r="AP788" s="587"/>
      <c r="AQ788" s="587"/>
      <c r="AR788" s="587"/>
      <c r="AS788" s="587"/>
      <c r="AT788" s="587"/>
      <c r="AU788" s="587"/>
      <c r="AV788" s="587"/>
      <c r="AW788" s="587"/>
    </row>
    <row r="789" spans="1:49">
      <c r="A789" s="581">
        <v>33359</v>
      </c>
      <c r="B789" s="594">
        <v>4.3099999999999999E-2</v>
      </c>
      <c r="C789" s="577">
        <v>-1.2999999999999998E-2</v>
      </c>
      <c r="D789" s="577">
        <v>6.7999999999999996E-3</v>
      </c>
      <c r="E789" s="577">
        <v>7.3833333333333329E-3</v>
      </c>
      <c r="F789" s="577">
        <v>7.6250000000000007E-3</v>
      </c>
      <c r="G789" s="577">
        <v>7.5041666666666677E-3</v>
      </c>
      <c r="H789" s="577">
        <v>7.8602499999999992E-3</v>
      </c>
      <c r="I789" s="577">
        <f t="shared" si="134"/>
        <v>3.6299999999999999E-2</v>
      </c>
      <c r="J789" s="577">
        <f t="shared" si="127"/>
        <v>3.5595833333333333E-2</v>
      </c>
      <c r="K789" s="577">
        <f t="shared" si="128"/>
        <v>-2.0860249999999997E-2</v>
      </c>
      <c r="L789" s="585">
        <f t="shared" si="135"/>
        <v>0.11789308295194334</v>
      </c>
      <c r="M789" s="585">
        <f t="shared" si="136"/>
        <v>8.1599999999999992E-2</v>
      </c>
      <c r="N789" s="585">
        <f t="shared" si="129"/>
        <v>9.0050000000000019E-2</v>
      </c>
      <c r="O789" s="586">
        <f t="shared" si="137"/>
        <v>3.6293082951943348E-2</v>
      </c>
      <c r="P789" s="585">
        <f t="shared" si="130"/>
        <v>2.7843082951943321E-2</v>
      </c>
      <c r="Q789" s="585">
        <f t="shared" si="131"/>
        <v>1.826626237707285E-2</v>
      </c>
      <c r="R789" s="585">
        <f t="shared" si="132"/>
        <v>9.432299999999999E-2</v>
      </c>
      <c r="S789" s="586">
        <f t="shared" si="133"/>
        <v>-7.605673762292714E-2</v>
      </c>
      <c r="U789" s="587"/>
      <c r="V789" s="587"/>
      <c r="W789" s="587"/>
      <c r="X789" s="587"/>
      <c r="Y789" s="587"/>
      <c r="Z789" s="587"/>
      <c r="AA789" s="587"/>
      <c r="AB789" s="587"/>
      <c r="AC789" s="587"/>
      <c r="AE789" s="587"/>
      <c r="AF789" s="587"/>
      <c r="AG789" s="587"/>
      <c r="AH789" s="587"/>
      <c r="AI789" s="587"/>
      <c r="AJ789" s="587"/>
      <c r="AK789" s="587"/>
      <c r="AL789" s="587"/>
      <c r="AM789" s="587"/>
      <c r="AO789" s="587"/>
      <c r="AP789" s="587"/>
      <c r="AQ789" s="587"/>
      <c r="AR789" s="587"/>
      <c r="AS789" s="587"/>
      <c r="AT789" s="587"/>
      <c r="AU789" s="587"/>
      <c r="AV789" s="587"/>
      <c r="AW789" s="587"/>
    </row>
    <row r="790" spans="1:49">
      <c r="A790" s="581">
        <v>33390</v>
      </c>
      <c r="B790" s="594">
        <v>-4.58E-2</v>
      </c>
      <c r="C790" s="577">
        <v>-1.3899999999999999E-2</v>
      </c>
      <c r="D790" s="577">
        <v>6.3E-3</v>
      </c>
      <c r="E790" s="577">
        <v>7.5083333333333339E-3</v>
      </c>
      <c r="F790" s="577">
        <v>7.7333333333333334E-3</v>
      </c>
      <c r="G790" s="577">
        <v>7.6208333333333336E-3</v>
      </c>
      <c r="H790" s="577">
        <v>7.9862500000000003E-3</v>
      </c>
      <c r="I790" s="577">
        <f t="shared" si="134"/>
        <v>-5.21E-2</v>
      </c>
      <c r="J790" s="577">
        <f t="shared" si="127"/>
        <v>-5.3420833333333334E-2</v>
      </c>
      <c r="K790" s="577">
        <f t="shared" si="128"/>
        <v>-2.1886249999999999E-2</v>
      </c>
      <c r="L790" s="585">
        <f t="shared" si="135"/>
        <v>7.3888633597850362E-2</v>
      </c>
      <c r="M790" s="585">
        <f t="shared" si="136"/>
        <v>7.5600000000000001E-2</v>
      </c>
      <c r="N790" s="585">
        <f t="shared" si="129"/>
        <v>9.1450000000000004E-2</v>
      </c>
      <c r="O790" s="586">
        <f t="shared" si="137"/>
        <v>-1.7113664021496389E-3</v>
      </c>
      <c r="P790" s="585">
        <f t="shared" si="130"/>
        <v>-1.7561366402149642E-2</v>
      </c>
      <c r="Q790" s="585">
        <f t="shared" si="131"/>
        <v>2.5755808897774957E-2</v>
      </c>
      <c r="R790" s="585">
        <f t="shared" si="132"/>
        <v>9.5835000000000004E-2</v>
      </c>
      <c r="S790" s="586">
        <f t="shared" si="133"/>
        <v>-7.0079191102225047E-2</v>
      </c>
      <c r="U790" s="587"/>
      <c r="V790" s="587"/>
      <c r="W790" s="587"/>
      <c r="X790" s="587"/>
      <c r="Y790" s="587"/>
      <c r="Z790" s="587"/>
      <c r="AA790" s="587"/>
      <c r="AB790" s="587"/>
      <c r="AC790" s="587"/>
      <c r="AE790" s="587"/>
      <c r="AF790" s="587"/>
      <c r="AG790" s="587"/>
      <c r="AH790" s="587"/>
      <c r="AI790" s="587"/>
      <c r="AJ790" s="587"/>
      <c r="AK790" s="587"/>
      <c r="AL790" s="587"/>
      <c r="AM790" s="587"/>
      <c r="AO790" s="587"/>
      <c r="AP790" s="587"/>
      <c r="AQ790" s="587"/>
      <c r="AR790" s="587"/>
      <c r="AS790" s="587"/>
      <c r="AT790" s="587"/>
      <c r="AU790" s="587"/>
      <c r="AV790" s="587"/>
      <c r="AW790" s="587"/>
    </row>
    <row r="791" spans="1:49">
      <c r="A791" s="581">
        <v>33420</v>
      </c>
      <c r="B791" s="594">
        <v>4.6600000000000003E-2</v>
      </c>
      <c r="C791" s="577">
        <v>3.0700000000000002E-2</v>
      </c>
      <c r="D791" s="577">
        <v>7.6E-3</v>
      </c>
      <c r="E791" s="577">
        <v>7.4999999999999997E-3</v>
      </c>
      <c r="F791" s="577">
        <v>7.7083333333333335E-3</v>
      </c>
      <c r="G791" s="577">
        <v>7.6041666666666671E-3</v>
      </c>
      <c r="H791" s="577">
        <v>7.9564166666666672E-3</v>
      </c>
      <c r="I791" s="577">
        <f t="shared" si="134"/>
        <v>3.9E-2</v>
      </c>
      <c r="J791" s="577">
        <f t="shared" si="127"/>
        <v>3.8995833333333334E-2</v>
      </c>
      <c r="K791" s="577">
        <f t="shared" si="128"/>
        <v>2.2743583333333334E-2</v>
      </c>
      <c r="L791" s="585">
        <f t="shared" si="135"/>
        <v>0.12753997183337673</v>
      </c>
      <c r="M791" s="585">
        <f t="shared" si="136"/>
        <v>9.1200000000000003E-2</v>
      </c>
      <c r="N791" s="585">
        <f t="shared" si="129"/>
        <v>9.1249999999999998E-2</v>
      </c>
      <c r="O791" s="586">
        <f t="shared" si="137"/>
        <v>3.6339971833376727E-2</v>
      </c>
      <c r="P791" s="585">
        <f t="shared" si="130"/>
        <v>3.6289971833376733E-2</v>
      </c>
      <c r="Q791" s="585">
        <f t="shared" si="131"/>
        <v>6.06405620294308E-2</v>
      </c>
      <c r="R791" s="585">
        <f t="shared" si="132"/>
        <v>9.5477000000000006E-2</v>
      </c>
      <c r="S791" s="586">
        <f t="shared" si="133"/>
        <v>-3.4836437970569206E-2</v>
      </c>
      <c r="U791" s="587"/>
      <c r="V791" s="587"/>
      <c r="W791" s="587"/>
      <c r="X791" s="587"/>
      <c r="Y791" s="587"/>
      <c r="Z791" s="587"/>
      <c r="AA791" s="587"/>
      <c r="AB791" s="587"/>
      <c r="AC791" s="587"/>
      <c r="AE791" s="587"/>
      <c r="AF791" s="587"/>
      <c r="AG791" s="587"/>
      <c r="AH791" s="587"/>
      <c r="AI791" s="587"/>
      <c r="AJ791" s="587"/>
      <c r="AK791" s="587"/>
      <c r="AL791" s="587"/>
      <c r="AM791" s="587"/>
      <c r="AO791" s="587"/>
      <c r="AP791" s="587"/>
      <c r="AQ791" s="587"/>
      <c r="AR791" s="587"/>
      <c r="AS791" s="587"/>
      <c r="AT791" s="587"/>
      <c r="AU791" s="587"/>
      <c r="AV791" s="587"/>
      <c r="AW791" s="587"/>
    </row>
    <row r="792" spans="1:49">
      <c r="A792" s="581">
        <v>33451</v>
      </c>
      <c r="B792" s="594">
        <v>2.3699999999999999E-2</v>
      </c>
      <c r="C792" s="577">
        <v>2.58E-2</v>
      </c>
      <c r="D792" s="577">
        <v>6.7999999999999996E-3</v>
      </c>
      <c r="E792" s="577">
        <v>7.2916666666666659E-3</v>
      </c>
      <c r="F792" s="577">
        <v>7.4916666666666664E-3</v>
      </c>
      <c r="G792" s="577">
        <v>7.3916666666666662E-3</v>
      </c>
      <c r="H792" s="577">
        <v>7.7541666666666662E-3</v>
      </c>
      <c r="I792" s="577">
        <f t="shared" si="134"/>
        <v>1.6899999999999998E-2</v>
      </c>
      <c r="J792" s="577">
        <f t="shared" si="127"/>
        <v>1.6308333333333334E-2</v>
      </c>
      <c r="K792" s="577">
        <f t="shared" si="128"/>
        <v>1.8045833333333334E-2</v>
      </c>
      <c r="L792" s="585">
        <f t="shared" si="135"/>
        <v>0.26897830822980207</v>
      </c>
      <c r="M792" s="585">
        <f t="shared" si="136"/>
        <v>8.1599999999999992E-2</v>
      </c>
      <c r="N792" s="585">
        <f t="shared" si="129"/>
        <v>8.8700000000000001E-2</v>
      </c>
      <c r="O792" s="586">
        <f t="shared" si="137"/>
        <v>0.18737830822980206</v>
      </c>
      <c r="P792" s="585">
        <f t="shared" si="130"/>
        <v>0.18027830822980206</v>
      </c>
      <c r="Q792" s="585">
        <f t="shared" si="131"/>
        <v>0.18158675991506312</v>
      </c>
      <c r="R792" s="585">
        <f t="shared" si="132"/>
        <v>9.3049999999999994E-2</v>
      </c>
      <c r="S792" s="586">
        <f t="shared" si="133"/>
        <v>8.8536759915063129E-2</v>
      </c>
      <c r="U792" s="587"/>
      <c r="V792" s="587"/>
      <c r="W792" s="587"/>
      <c r="X792" s="587"/>
      <c r="Y792" s="587"/>
      <c r="Z792" s="587"/>
      <c r="AA792" s="587"/>
      <c r="AB792" s="587"/>
      <c r="AC792" s="587"/>
      <c r="AE792" s="587"/>
      <c r="AF792" s="587"/>
      <c r="AG792" s="587"/>
      <c r="AH792" s="587"/>
      <c r="AI792" s="587"/>
      <c r="AJ792" s="587"/>
      <c r="AK792" s="587"/>
      <c r="AL792" s="587"/>
      <c r="AM792" s="587"/>
      <c r="AO792" s="587"/>
      <c r="AP792" s="587"/>
      <c r="AQ792" s="587"/>
      <c r="AR792" s="587"/>
      <c r="AS792" s="587"/>
      <c r="AT792" s="587"/>
      <c r="AU792" s="587"/>
      <c r="AV792" s="587"/>
      <c r="AW792" s="587"/>
    </row>
    <row r="793" spans="1:49">
      <c r="A793" s="581">
        <v>33482</v>
      </c>
      <c r="B793" s="594">
        <v>-1.67E-2</v>
      </c>
      <c r="C793" s="577">
        <v>2.0199999999999999E-2</v>
      </c>
      <c r="D793" s="577">
        <v>6.7999999999999996E-3</v>
      </c>
      <c r="E793" s="577">
        <v>7.1749999999999991E-3</v>
      </c>
      <c r="F793" s="577">
        <v>7.3833333333333329E-3</v>
      </c>
      <c r="G793" s="577">
        <v>7.2791666666666656E-3</v>
      </c>
      <c r="H793" s="577">
        <v>7.6383333333333338E-3</v>
      </c>
      <c r="I793" s="577">
        <f t="shared" si="134"/>
        <v>-2.35E-2</v>
      </c>
      <c r="J793" s="577">
        <f t="shared" si="127"/>
        <v>-2.3979166666666666E-2</v>
      </c>
      <c r="K793" s="577">
        <f t="shared" si="128"/>
        <v>1.2561666666666665E-2</v>
      </c>
      <c r="L793" s="585">
        <f t="shared" si="135"/>
        <v>0.31166442813241257</v>
      </c>
      <c r="M793" s="585">
        <f t="shared" si="136"/>
        <v>8.1599999999999992E-2</v>
      </c>
      <c r="N793" s="585">
        <f t="shared" si="129"/>
        <v>8.7349999999999983E-2</v>
      </c>
      <c r="O793" s="586">
        <f t="shared" si="137"/>
        <v>0.23006442813241257</v>
      </c>
      <c r="P793" s="585">
        <f t="shared" si="130"/>
        <v>0.22431442813241259</v>
      </c>
      <c r="Q793" s="585">
        <f t="shared" si="131"/>
        <v>0.15786649934237529</v>
      </c>
      <c r="R793" s="585">
        <f t="shared" si="132"/>
        <v>9.1660000000000005E-2</v>
      </c>
      <c r="S793" s="586">
        <f t="shared" si="133"/>
        <v>6.6206499342375283E-2</v>
      </c>
      <c r="U793" s="587"/>
      <c r="V793" s="587"/>
      <c r="W793" s="587"/>
      <c r="X793" s="587"/>
      <c r="Y793" s="587"/>
      <c r="Z793" s="587"/>
      <c r="AA793" s="587"/>
      <c r="AB793" s="587"/>
      <c r="AC793" s="587"/>
      <c r="AE793" s="587"/>
      <c r="AF793" s="587"/>
      <c r="AG793" s="587"/>
      <c r="AH793" s="587"/>
      <c r="AI793" s="587"/>
      <c r="AJ793" s="587"/>
      <c r="AK793" s="587"/>
      <c r="AL793" s="587"/>
      <c r="AM793" s="587"/>
      <c r="AO793" s="587"/>
      <c r="AP793" s="587"/>
      <c r="AQ793" s="587"/>
      <c r="AR793" s="587"/>
      <c r="AS793" s="587"/>
      <c r="AT793" s="587"/>
      <c r="AU793" s="587"/>
      <c r="AV793" s="587"/>
      <c r="AW793" s="587"/>
    </row>
    <row r="794" spans="1:49">
      <c r="A794" s="581">
        <v>33512</v>
      </c>
      <c r="B794" s="594">
        <v>1.34E-2</v>
      </c>
      <c r="C794" s="577">
        <v>0.02</v>
      </c>
      <c r="D794" s="577">
        <v>6.5000000000000006E-3</v>
      </c>
      <c r="E794" s="577">
        <v>7.1250000000000003E-3</v>
      </c>
      <c r="F794" s="577">
        <v>7.358333333333333E-3</v>
      </c>
      <c r="G794" s="577">
        <v>7.2416666666666662E-3</v>
      </c>
      <c r="H794" s="577">
        <v>7.6007500000000007E-3</v>
      </c>
      <c r="I794" s="577">
        <f t="shared" si="134"/>
        <v>6.8999999999999999E-3</v>
      </c>
      <c r="J794" s="577">
        <f t="shared" si="127"/>
        <v>6.1583333333333342E-3</v>
      </c>
      <c r="K794" s="577">
        <f t="shared" si="128"/>
        <v>1.2399250000000001E-2</v>
      </c>
      <c r="L794" s="585">
        <f t="shared" si="135"/>
        <v>0.33498115041617682</v>
      </c>
      <c r="M794" s="585">
        <f t="shared" si="136"/>
        <v>7.8000000000000014E-2</v>
      </c>
      <c r="N794" s="585">
        <f t="shared" si="129"/>
        <v>8.6899999999999991E-2</v>
      </c>
      <c r="O794" s="586">
        <f t="shared" si="137"/>
        <v>0.25698115041617681</v>
      </c>
      <c r="P794" s="585">
        <f t="shared" si="130"/>
        <v>0.24808115041617684</v>
      </c>
      <c r="Q794" s="585">
        <f t="shared" si="131"/>
        <v>0.10863027253282964</v>
      </c>
      <c r="R794" s="585">
        <f t="shared" si="132"/>
        <v>9.1209000000000012E-2</v>
      </c>
      <c r="S794" s="586">
        <f t="shared" si="133"/>
        <v>1.7421272532829629E-2</v>
      </c>
      <c r="U794" s="587"/>
      <c r="V794" s="587"/>
      <c r="W794" s="587"/>
      <c r="X794" s="587"/>
      <c r="Y794" s="587"/>
      <c r="Z794" s="587"/>
      <c r="AA794" s="587"/>
      <c r="AB794" s="587"/>
      <c r="AC794" s="587"/>
      <c r="AE794" s="587"/>
      <c r="AF794" s="587"/>
      <c r="AG794" s="587"/>
      <c r="AH794" s="587"/>
      <c r="AI794" s="587"/>
      <c r="AJ794" s="587"/>
      <c r="AK794" s="587"/>
      <c r="AL794" s="587"/>
      <c r="AM794" s="587"/>
      <c r="AO794" s="587"/>
      <c r="AP794" s="587"/>
      <c r="AQ794" s="587"/>
      <c r="AR794" s="587"/>
      <c r="AS794" s="587"/>
      <c r="AT794" s="587"/>
      <c r="AU794" s="587"/>
      <c r="AV794" s="587"/>
      <c r="AW794" s="587"/>
    </row>
    <row r="795" spans="1:49">
      <c r="A795" s="581">
        <v>33543</v>
      </c>
      <c r="B795" s="594">
        <v>-4.0300000000000002E-2</v>
      </c>
      <c r="C795" s="577">
        <v>-9.7999999999999997E-3</v>
      </c>
      <c r="D795" s="577">
        <v>6.0000000000000001E-3</v>
      </c>
      <c r="E795" s="577">
        <v>7.0666666666666664E-3</v>
      </c>
      <c r="F795" s="577">
        <v>7.3166666666666658E-3</v>
      </c>
      <c r="G795" s="577">
        <v>7.1916666666666665E-3</v>
      </c>
      <c r="H795" s="577">
        <v>7.5445833333333337E-3</v>
      </c>
      <c r="I795" s="577">
        <f t="shared" si="134"/>
        <v>-4.6300000000000001E-2</v>
      </c>
      <c r="J795" s="577">
        <f t="shared" si="127"/>
        <v>-4.7491666666666668E-2</v>
      </c>
      <c r="K795" s="577">
        <f t="shared" si="128"/>
        <v>-1.7344583333333333E-2</v>
      </c>
      <c r="L795" s="585">
        <f t="shared" si="135"/>
        <v>0.20343923544467857</v>
      </c>
      <c r="M795" s="585">
        <f t="shared" si="136"/>
        <v>7.2000000000000008E-2</v>
      </c>
      <c r="N795" s="585">
        <f t="shared" si="129"/>
        <v>8.6300000000000002E-2</v>
      </c>
      <c r="O795" s="586">
        <f t="shared" si="137"/>
        <v>0.13143923544467856</v>
      </c>
      <c r="P795" s="585">
        <f t="shared" si="130"/>
        <v>0.11713923544467857</v>
      </c>
      <c r="Q795" s="585">
        <f t="shared" si="131"/>
        <v>7.6979982205443109E-2</v>
      </c>
      <c r="R795" s="585">
        <f t="shared" si="132"/>
        <v>9.0535000000000004E-2</v>
      </c>
      <c r="S795" s="586">
        <f t="shared" si="133"/>
        <v>-1.3555017794556895E-2</v>
      </c>
      <c r="U795" s="587"/>
      <c r="V795" s="587"/>
      <c r="W795" s="587"/>
      <c r="X795" s="587"/>
      <c r="Y795" s="587"/>
      <c r="Z795" s="587"/>
      <c r="AA795" s="587"/>
      <c r="AB795" s="587"/>
      <c r="AC795" s="587"/>
      <c r="AE795" s="587"/>
      <c r="AF795" s="587"/>
      <c r="AG795" s="587"/>
      <c r="AH795" s="587"/>
      <c r="AI795" s="587"/>
      <c r="AJ795" s="587"/>
      <c r="AK795" s="587"/>
      <c r="AL795" s="587"/>
      <c r="AM795" s="587"/>
      <c r="AO795" s="587"/>
      <c r="AP795" s="587"/>
      <c r="AQ795" s="587"/>
      <c r="AR795" s="587"/>
      <c r="AS795" s="587"/>
      <c r="AT795" s="587"/>
      <c r="AU795" s="587"/>
      <c r="AV795" s="587"/>
      <c r="AW795" s="587"/>
    </row>
    <row r="796" spans="1:49">
      <c r="A796" s="581">
        <v>33573</v>
      </c>
      <c r="B796" s="594">
        <v>0.1144</v>
      </c>
      <c r="C796" s="577">
        <v>7.3300000000000004E-2</v>
      </c>
      <c r="D796" s="577">
        <v>6.7999999999999996E-3</v>
      </c>
      <c r="E796" s="577">
        <v>6.9249999999999997E-3</v>
      </c>
      <c r="F796" s="577">
        <v>7.1749999999999991E-3</v>
      </c>
      <c r="G796" s="577">
        <v>7.0499999999999998E-3</v>
      </c>
      <c r="H796" s="577">
        <v>7.4162500000000001E-3</v>
      </c>
      <c r="I796" s="577">
        <f t="shared" si="134"/>
        <v>0.1076</v>
      </c>
      <c r="J796" s="577">
        <f t="shared" si="127"/>
        <v>0.10735</v>
      </c>
      <c r="K796" s="577">
        <f t="shared" si="128"/>
        <v>6.5883750000000005E-2</v>
      </c>
      <c r="L796" s="585">
        <f t="shared" si="135"/>
        <v>0.30471124037313913</v>
      </c>
      <c r="M796" s="585">
        <f t="shared" si="136"/>
        <v>8.1599999999999992E-2</v>
      </c>
      <c r="N796" s="585">
        <f t="shared" si="129"/>
        <v>8.4599999999999995E-2</v>
      </c>
      <c r="O796" s="586">
        <f t="shared" si="137"/>
        <v>0.22311124037313912</v>
      </c>
      <c r="P796" s="585">
        <f t="shared" si="130"/>
        <v>0.22011124037313912</v>
      </c>
      <c r="Q796" s="585">
        <f t="shared" si="131"/>
        <v>0.1460664434871124</v>
      </c>
      <c r="R796" s="585">
        <f t="shared" si="132"/>
        <v>8.8995000000000005E-2</v>
      </c>
      <c r="S796" s="586">
        <f t="shared" si="133"/>
        <v>5.7071443487112392E-2</v>
      </c>
      <c r="U796" s="587"/>
      <c r="V796" s="587"/>
      <c r="W796" s="587"/>
      <c r="X796" s="587"/>
      <c r="Y796" s="587"/>
      <c r="Z796" s="587"/>
      <c r="AA796" s="587"/>
      <c r="AB796" s="587"/>
      <c r="AC796" s="587"/>
      <c r="AE796" s="587"/>
      <c r="AF796" s="587"/>
      <c r="AG796" s="587"/>
      <c r="AH796" s="587"/>
      <c r="AI796" s="587"/>
      <c r="AJ796" s="587"/>
      <c r="AK796" s="587"/>
      <c r="AL796" s="587"/>
      <c r="AM796" s="587"/>
      <c r="AO796" s="587"/>
      <c r="AP796" s="587"/>
      <c r="AQ796" s="587"/>
      <c r="AR796" s="587"/>
      <c r="AS796" s="587"/>
      <c r="AT796" s="587"/>
      <c r="AU796" s="587"/>
      <c r="AV796" s="587"/>
      <c r="AW796" s="587"/>
    </row>
    <row r="797" spans="1:49">
      <c r="A797" s="581">
        <v>33604</v>
      </c>
      <c r="B797" s="594">
        <v>-1.8599999999999998E-2</v>
      </c>
      <c r="C797" s="577">
        <v>-5.3600000000000002E-2</v>
      </c>
      <c r="D797" s="577">
        <v>6.0999999999999995E-3</v>
      </c>
      <c r="E797" s="577">
        <v>6.8333333333333328E-3</v>
      </c>
      <c r="F797" s="577">
        <v>7.0916666666666663E-3</v>
      </c>
      <c r="G797" s="577">
        <v>6.9624999999999991E-3</v>
      </c>
      <c r="H797" s="577">
        <v>7.3602500000000005E-3</v>
      </c>
      <c r="I797" s="577">
        <f t="shared" si="134"/>
        <v>-2.47E-2</v>
      </c>
      <c r="J797" s="577">
        <f t="shared" ref="J797:J860" si="138">B797-G797</f>
        <v>-2.5562499999999998E-2</v>
      </c>
      <c r="K797" s="577">
        <f t="shared" ref="K797:K860" si="139">$C797-H797</f>
        <v>-6.0960250000000001E-2</v>
      </c>
      <c r="L797" s="585">
        <f t="shared" si="135"/>
        <v>0.22694865015542232</v>
      </c>
      <c r="M797" s="585">
        <f t="shared" si="136"/>
        <v>7.3199999999999987E-2</v>
      </c>
      <c r="N797" s="585">
        <f t="shared" si="129"/>
        <v>8.3549999999999985E-2</v>
      </c>
      <c r="O797" s="586">
        <f t="shared" si="137"/>
        <v>0.15374865015542233</v>
      </c>
      <c r="P797" s="585">
        <f t="shared" si="130"/>
        <v>0.14339865015542233</v>
      </c>
      <c r="Q797" s="585">
        <f t="shared" si="131"/>
        <v>0.11829805352737721</v>
      </c>
      <c r="R797" s="585">
        <f t="shared" si="132"/>
        <v>8.8323000000000013E-2</v>
      </c>
      <c r="S797" s="586">
        <f t="shared" si="133"/>
        <v>2.9975053527377199E-2</v>
      </c>
      <c r="U797" s="587"/>
      <c r="V797" s="587"/>
      <c r="W797" s="587"/>
      <c r="X797" s="587"/>
      <c r="Y797" s="587"/>
      <c r="Z797" s="587"/>
      <c r="AA797" s="587"/>
      <c r="AB797" s="587"/>
      <c r="AC797" s="587"/>
      <c r="AE797" s="587"/>
      <c r="AF797" s="587"/>
      <c r="AG797" s="587"/>
      <c r="AH797" s="587"/>
      <c r="AI797" s="587"/>
      <c r="AJ797" s="587"/>
      <c r="AK797" s="587"/>
      <c r="AL797" s="587"/>
      <c r="AM797" s="587"/>
      <c r="AO797" s="587"/>
      <c r="AP797" s="587"/>
      <c r="AQ797" s="587"/>
      <c r="AR797" s="587"/>
      <c r="AS797" s="587"/>
      <c r="AT797" s="587"/>
      <c r="AU797" s="587"/>
      <c r="AV797" s="587"/>
      <c r="AW797" s="587"/>
    </row>
    <row r="798" spans="1:49">
      <c r="A798" s="581">
        <v>33635</v>
      </c>
      <c r="B798" s="594">
        <v>1.2999999999999999E-2</v>
      </c>
      <c r="C798" s="577">
        <v>-2.7300000000000001E-2</v>
      </c>
      <c r="D798" s="577">
        <v>5.8999999999999999E-3</v>
      </c>
      <c r="E798" s="577">
        <v>6.9083333333333332E-3</v>
      </c>
      <c r="F798" s="577">
        <v>7.2250000000000005E-3</v>
      </c>
      <c r="G798" s="577">
        <v>7.0666666666666664E-3</v>
      </c>
      <c r="H798" s="577">
        <v>7.4420833333333335E-3</v>
      </c>
      <c r="I798" s="577">
        <f t="shared" si="134"/>
        <v>7.0999999999999995E-3</v>
      </c>
      <c r="J798" s="577">
        <f t="shared" si="138"/>
        <v>5.933333333333333E-3</v>
      </c>
      <c r="K798" s="577">
        <f t="shared" si="139"/>
        <v>-3.4742083333333333E-2</v>
      </c>
      <c r="L798" s="585">
        <f t="shared" si="135"/>
        <v>0.1599617196523031</v>
      </c>
      <c r="M798" s="585">
        <f t="shared" si="136"/>
        <v>7.0800000000000002E-2</v>
      </c>
      <c r="N798" s="585">
        <f t="shared" si="129"/>
        <v>8.48E-2</v>
      </c>
      <c r="O798" s="586">
        <f t="shared" si="137"/>
        <v>8.9161719652303101E-2</v>
      </c>
      <c r="P798" s="585">
        <f t="shared" si="130"/>
        <v>7.5161719652303102E-2</v>
      </c>
      <c r="Q798" s="585">
        <f t="shared" si="131"/>
        <v>5.1085628240486791E-2</v>
      </c>
      <c r="R798" s="585">
        <f t="shared" si="132"/>
        <v>8.9304999999999995E-2</v>
      </c>
      <c r="S798" s="586">
        <f t="shared" si="133"/>
        <v>-3.8219371759513204E-2</v>
      </c>
      <c r="U798" s="587"/>
      <c r="V798" s="587"/>
      <c r="W798" s="587"/>
      <c r="X798" s="587"/>
      <c r="Y798" s="587"/>
      <c r="Z798" s="587"/>
      <c r="AA798" s="587"/>
      <c r="AB798" s="587"/>
      <c r="AC798" s="587"/>
      <c r="AE798" s="587"/>
      <c r="AF798" s="587"/>
      <c r="AG798" s="587"/>
      <c r="AH798" s="587"/>
      <c r="AI798" s="587"/>
      <c r="AJ798" s="587"/>
      <c r="AK798" s="587"/>
      <c r="AL798" s="587"/>
      <c r="AM798" s="587"/>
      <c r="AO798" s="587"/>
      <c r="AP798" s="587"/>
      <c r="AQ798" s="587"/>
      <c r="AR798" s="587"/>
      <c r="AS798" s="587"/>
      <c r="AT798" s="587"/>
      <c r="AU798" s="587"/>
      <c r="AV798" s="587"/>
      <c r="AW798" s="587"/>
    </row>
    <row r="799" spans="1:49">
      <c r="A799" s="581">
        <v>33664</v>
      </c>
      <c r="B799" s="594">
        <v>-1.9400000000000001E-2</v>
      </c>
      <c r="C799" s="577">
        <v>-1.43E-2</v>
      </c>
      <c r="D799" s="577">
        <v>6.7000000000000002E-3</v>
      </c>
      <c r="E799" s="577">
        <v>6.9583333333333329E-3</v>
      </c>
      <c r="F799" s="577">
        <v>7.2750000000000002E-3</v>
      </c>
      <c r="G799" s="577">
        <v>7.116666666666667E-3</v>
      </c>
      <c r="H799" s="577">
        <v>7.4727500000000002E-3</v>
      </c>
      <c r="I799" s="577">
        <f t="shared" si="134"/>
        <v>-2.6100000000000002E-2</v>
      </c>
      <c r="J799" s="577">
        <f t="shared" si="138"/>
        <v>-2.6516666666666668E-2</v>
      </c>
      <c r="K799" s="577">
        <f t="shared" si="139"/>
        <v>-2.177275E-2</v>
      </c>
      <c r="L799" s="585">
        <f t="shared" si="135"/>
        <v>0.11058236896216411</v>
      </c>
      <c r="M799" s="585">
        <f t="shared" si="136"/>
        <v>8.0399999999999999E-2</v>
      </c>
      <c r="N799" s="585">
        <f t="shared" si="129"/>
        <v>8.5400000000000004E-2</v>
      </c>
      <c r="O799" s="586">
        <f t="shared" si="137"/>
        <v>3.0182368962164113E-2</v>
      </c>
      <c r="P799" s="585">
        <f t="shared" si="130"/>
        <v>2.5182368962164109E-2</v>
      </c>
      <c r="Q799" s="585">
        <f t="shared" si="131"/>
        <v>1.5939501624482988E-2</v>
      </c>
      <c r="R799" s="585">
        <f t="shared" si="132"/>
        <v>8.9673000000000003E-2</v>
      </c>
      <c r="S799" s="586">
        <f t="shared" si="133"/>
        <v>-7.3733498375517015E-2</v>
      </c>
      <c r="U799" s="587"/>
      <c r="V799" s="587"/>
      <c r="W799" s="587"/>
      <c r="X799" s="587"/>
      <c r="Y799" s="587"/>
      <c r="Z799" s="587"/>
      <c r="AA799" s="587"/>
      <c r="AB799" s="587"/>
      <c r="AC799" s="587"/>
      <c r="AE799" s="587"/>
      <c r="AF799" s="587"/>
      <c r="AG799" s="587"/>
      <c r="AH799" s="587"/>
      <c r="AI799" s="587"/>
      <c r="AJ799" s="587"/>
      <c r="AK799" s="587"/>
      <c r="AL799" s="587"/>
      <c r="AM799" s="587"/>
      <c r="AO799" s="587"/>
      <c r="AP799" s="587"/>
      <c r="AQ799" s="587"/>
      <c r="AR799" s="587"/>
      <c r="AS799" s="587"/>
      <c r="AT799" s="587"/>
      <c r="AU799" s="587"/>
      <c r="AV799" s="587"/>
      <c r="AW799" s="587"/>
    </row>
    <row r="800" spans="1:49">
      <c r="A800" s="581">
        <v>33695</v>
      </c>
      <c r="B800" s="594">
        <v>2.9399999999999999E-2</v>
      </c>
      <c r="C800" s="577">
        <v>6.4500000000000002E-2</v>
      </c>
      <c r="D800" s="577">
        <v>6.5000000000000006E-3</v>
      </c>
      <c r="E800" s="577">
        <v>6.9416666666666672E-3</v>
      </c>
      <c r="F800" s="577">
        <v>7.2416666666666662E-3</v>
      </c>
      <c r="G800" s="577">
        <v>7.0916666666666671E-3</v>
      </c>
      <c r="H800" s="577">
        <v>7.4380833333333339E-3</v>
      </c>
      <c r="I800" s="577">
        <f t="shared" si="134"/>
        <v>2.2899999999999997E-2</v>
      </c>
      <c r="J800" s="577">
        <f t="shared" si="138"/>
        <v>2.2308333333333333E-2</v>
      </c>
      <c r="K800" s="577">
        <f t="shared" si="139"/>
        <v>5.7061916666666671E-2</v>
      </c>
      <c r="L800" s="585">
        <f t="shared" si="135"/>
        <v>0.14049629949087361</v>
      </c>
      <c r="M800" s="585">
        <f t="shared" si="136"/>
        <v>7.8000000000000014E-2</v>
      </c>
      <c r="N800" s="585">
        <f t="shared" si="129"/>
        <v>8.5100000000000009E-2</v>
      </c>
      <c r="O800" s="586">
        <f t="shared" si="137"/>
        <v>6.2496299490873597E-2</v>
      </c>
      <c r="P800" s="585">
        <f t="shared" si="130"/>
        <v>5.5396299490873602E-2</v>
      </c>
      <c r="Q800" s="585">
        <f t="shared" si="131"/>
        <v>9.9275868549768775E-2</v>
      </c>
      <c r="R800" s="585">
        <f t="shared" si="132"/>
        <v>8.9257000000000003E-2</v>
      </c>
      <c r="S800" s="586">
        <f t="shared" si="133"/>
        <v>1.0018868549768772E-2</v>
      </c>
      <c r="U800" s="587"/>
      <c r="V800" s="587"/>
      <c r="W800" s="587"/>
      <c r="X800" s="587"/>
      <c r="Y800" s="587"/>
      <c r="Z800" s="587"/>
      <c r="AA800" s="587"/>
      <c r="AB800" s="587"/>
      <c r="AC800" s="587"/>
      <c r="AE800" s="587"/>
      <c r="AF800" s="587"/>
      <c r="AG800" s="587"/>
      <c r="AH800" s="587"/>
      <c r="AI800" s="587"/>
      <c r="AJ800" s="587"/>
      <c r="AK800" s="587"/>
      <c r="AL800" s="587"/>
      <c r="AM800" s="587"/>
      <c r="AO800" s="587"/>
      <c r="AP800" s="587"/>
      <c r="AQ800" s="587"/>
      <c r="AR800" s="587"/>
      <c r="AS800" s="587"/>
      <c r="AT800" s="587"/>
      <c r="AU800" s="587"/>
      <c r="AV800" s="587"/>
      <c r="AW800" s="587"/>
    </row>
    <row r="801" spans="1:49">
      <c r="A801" s="581">
        <v>33725</v>
      </c>
      <c r="B801" s="594">
        <v>4.8999999999999998E-3</v>
      </c>
      <c r="C801" s="577">
        <v>-1.5000000000000005E-3</v>
      </c>
      <c r="D801" s="577">
        <v>6.0999999999999995E-3</v>
      </c>
      <c r="E801" s="577">
        <v>6.8999999999999999E-3</v>
      </c>
      <c r="F801" s="577">
        <v>7.1916666666666674E-3</v>
      </c>
      <c r="G801" s="577">
        <v>7.0458333333333336E-3</v>
      </c>
      <c r="H801" s="577">
        <v>7.3995833333333335E-3</v>
      </c>
      <c r="I801" s="577">
        <f t="shared" si="134"/>
        <v>-1.1999999999999997E-3</v>
      </c>
      <c r="J801" s="577">
        <f t="shared" si="138"/>
        <v>-2.1458333333333338E-3</v>
      </c>
      <c r="K801" s="577">
        <f t="shared" si="139"/>
        <v>-8.899583333333334E-3</v>
      </c>
      <c r="L801" s="585">
        <f t="shared" si="135"/>
        <v>9.872949032535594E-2</v>
      </c>
      <c r="M801" s="585">
        <f t="shared" si="136"/>
        <v>7.3199999999999987E-2</v>
      </c>
      <c r="N801" s="585">
        <f t="shared" si="129"/>
        <v>8.455E-2</v>
      </c>
      <c r="O801" s="586">
        <f t="shared" si="137"/>
        <v>2.5529490325355952E-2</v>
      </c>
      <c r="P801" s="585">
        <f t="shared" si="130"/>
        <v>1.417949032535594E-2</v>
      </c>
      <c r="Q801" s="585">
        <f t="shared" si="131"/>
        <v>0.11208404736265853</v>
      </c>
      <c r="R801" s="585">
        <f t="shared" si="132"/>
        <v>8.8794999999999999E-2</v>
      </c>
      <c r="S801" s="586">
        <f t="shared" si="133"/>
        <v>2.3289047362658535E-2</v>
      </c>
      <c r="U801" s="587"/>
      <c r="V801" s="587"/>
      <c r="W801" s="587"/>
      <c r="X801" s="587"/>
      <c r="Y801" s="587"/>
      <c r="Z801" s="587"/>
      <c r="AA801" s="587"/>
      <c r="AB801" s="587"/>
      <c r="AC801" s="587"/>
      <c r="AE801" s="587"/>
      <c r="AF801" s="587"/>
      <c r="AG801" s="587"/>
      <c r="AH801" s="587"/>
      <c r="AI801" s="587"/>
      <c r="AJ801" s="587"/>
      <c r="AK801" s="587"/>
      <c r="AL801" s="587"/>
      <c r="AM801" s="587"/>
      <c r="AO801" s="587"/>
      <c r="AP801" s="587"/>
      <c r="AQ801" s="587"/>
      <c r="AR801" s="587"/>
      <c r="AS801" s="587"/>
      <c r="AT801" s="587"/>
      <c r="AU801" s="587"/>
      <c r="AV801" s="587"/>
      <c r="AW801" s="587"/>
    </row>
    <row r="802" spans="1:49">
      <c r="A802" s="581">
        <v>33756</v>
      </c>
      <c r="B802" s="594">
        <v>-1.49E-2</v>
      </c>
      <c r="C802" s="577">
        <v>1.41E-2</v>
      </c>
      <c r="D802" s="577">
        <v>6.7000000000000002E-3</v>
      </c>
      <c r="E802" s="577">
        <v>6.8500000000000002E-3</v>
      </c>
      <c r="F802" s="577">
        <v>7.1333333333333335E-3</v>
      </c>
      <c r="G802" s="577">
        <v>6.9916666666666669E-3</v>
      </c>
      <c r="H802" s="577">
        <v>7.3230833333333325E-3</v>
      </c>
      <c r="I802" s="577">
        <f t="shared" si="134"/>
        <v>-2.1600000000000001E-2</v>
      </c>
      <c r="J802" s="577">
        <f t="shared" si="138"/>
        <v>-2.1891666666666667E-2</v>
      </c>
      <c r="K802" s="577">
        <f t="shared" si="139"/>
        <v>6.7769166666666672E-3</v>
      </c>
      <c r="L802" s="585">
        <f t="shared" si="135"/>
        <v>0.13430981022794874</v>
      </c>
      <c r="M802" s="585">
        <f t="shared" si="136"/>
        <v>8.0399999999999999E-2</v>
      </c>
      <c r="N802" s="585">
        <f t="shared" si="129"/>
        <v>8.3900000000000002E-2</v>
      </c>
      <c r="O802" s="586">
        <f t="shared" si="137"/>
        <v>5.3909810227948746E-2</v>
      </c>
      <c r="P802" s="585">
        <f t="shared" si="130"/>
        <v>5.0409810227948743E-2</v>
      </c>
      <c r="Q802" s="585">
        <f t="shared" si="131"/>
        <v>0.14366132484582916</v>
      </c>
      <c r="R802" s="585">
        <f t="shared" si="132"/>
        <v>8.7876999999999983E-2</v>
      </c>
      <c r="S802" s="586">
        <f t="shared" si="133"/>
        <v>5.5784324845829181E-2</v>
      </c>
      <c r="U802" s="587"/>
      <c r="V802" s="587"/>
      <c r="W802" s="587"/>
      <c r="X802" s="587"/>
      <c r="Y802" s="587"/>
      <c r="Z802" s="587"/>
      <c r="AA802" s="587"/>
      <c r="AB802" s="587"/>
      <c r="AC802" s="587"/>
      <c r="AE802" s="587"/>
      <c r="AF802" s="587"/>
      <c r="AG802" s="587"/>
      <c r="AH802" s="587"/>
      <c r="AI802" s="587"/>
      <c r="AJ802" s="587"/>
      <c r="AK802" s="587"/>
      <c r="AL802" s="587"/>
      <c r="AM802" s="587"/>
      <c r="AO802" s="587"/>
      <c r="AP802" s="587"/>
      <c r="AQ802" s="587"/>
      <c r="AR802" s="587"/>
      <c r="AS802" s="587"/>
      <c r="AT802" s="587"/>
      <c r="AU802" s="587"/>
      <c r="AV802" s="587"/>
      <c r="AW802" s="587"/>
    </row>
    <row r="803" spans="1:49">
      <c r="A803" s="581">
        <v>33786</v>
      </c>
      <c r="B803" s="594">
        <v>4.0899999999999999E-2</v>
      </c>
      <c r="C803" s="577">
        <v>7.9000000000000001E-2</v>
      </c>
      <c r="D803" s="577">
        <v>6.3E-3</v>
      </c>
      <c r="E803" s="577">
        <v>6.7250000000000001E-3</v>
      </c>
      <c r="F803" s="577">
        <v>6.9749999999999986E-3</v>
      </c>
      <c r="G803" s="577">
        <v>6.8499999999999993E-3</v>
      </c>
      <c r="H803" s="577">
        <v>7.1492500000000002E-3</v>
      </c>
      <c r="I803" s="577">
        <f t="shared" si="134"/>
        <v>3.4599999999999999E-2</v>
      </c>
      <c r="J803" s="577">
        <f t="shared" si="138"/>
        <v>3.4049999999999997E-2</v>
      </c>
      <c r="K803" s="577">
        <f t="shared" si="139"/>
        <v>7.1850750000000005E-2</v>
      </c>
      <c r="L803" s="585">
        <f t="shared" si="135"/>
        <v>0.12813212446614908</v>
      </c>
      <c r="M803" s="585">
        <f t="shared" si="136"/>
        <v>7.5600000000000001E-2</v>
      </c>
      <c r="N803" s="585">
        <f t="shared" si="129"/>
        <v>8.2199999999999995E-2</v>
      </c>
      <c r="O803" s="586">
        <f t="shared" si="137"/>
        <v>5.2532124466149077E-2</v>
      </c>
      <c r="P803" s="585">
        <f t="shared" si="130"/>
        <v>4.5932124466149082E-2</v>
      </c>
      <c r="Q803" s="585">
        <f t="shared" si="131"/>
        <v>0.19725484574429974</v>
      </c>
      <c r="R803" s="585">
        <f t="shared" si="132"/>
        <v>8.5791000000000006E-2</v>
      </c>
      <c r="S803" s="586">
        <f t="shared" si="133"/>
        <v>0.11146384574429974</v>
      </c>
      <c r="U803" s="587"/>
      <c r="V803" s="587"/>
      <c r="W803" s="587"/>
      <c r="X803" s="587"/>
      <c r="Y803" s="587"/>
      <c r="Z803" s="587"/>
      <c r="AA803" s="587"/>
      <c r="AB803" s="587"/>
      <c r="AC803" s="587"/>
      <c r="AE803" s="587"/>
      <c r="AF803" s="587"/>
      <c r="AG803" s="587"/>
      <c r="AH803" s="587"/>
      <c r="AI803" s="587"/>
      <c r="AJ803" s="587"/>
      <c r="AK803" s="587"/>
      <c r="AL803" s="587"/>
      <c r="AM803" s="587"/>
      <c r="AO803" s="587"/>
      <c r="AP803" s="587"/>
      <c r="AQ803" s="587"/>
      <c r="AR803" s="587"/>
      <c r="AS803" s="587"/>
      <c r="AT803" s="587"/>
      <c r="AU803" s="587"/>
      <c r="AV803" s="587"/>
      <c r="AW803" s="587"/>
    </row>
    <row r="804" spans="1:49">
      <c r="A804" s="581">
        <v>33817</v>
      </c>
      <c r="B804" s="594">
        <v>-2.0500000000000001E-2</v>
      </c>
      <c r="C804" s="577">
        <v>-7.4000000000000012E-3</v>
      </c>
      <c r="D804" s="577">
        <v>6.0000000000000001E-3</v>
      </c>
      <c r="E804" s="577">
        <v>6.6249999999999998E-3</v>
      </c>
      <c r="F804" s="577">
        <v>6.8416666666666669E-3</v>
      </c>
      <c r="G804" s="577">
        <v>6.7333333333333334E-3</v>
      </c>
      <c r="H804" s="577">
        <v>7.031333333333333E-3</v>
      </c>
      <c r="I804" s="577">
        <f t="shared" si="134"/>
        <v>-2.6500000000000003E-2</v>
      </c>
      <c r="J804" s="577">
        <f t="shared" si="138"/>
        <v>-2.7233333333333335E-2</v>
      </c>
      <c r="K804" s="577">
        <f t="shared" si="139"/>
        <v>-1.4431333333333334E-2</v>
      </c>
      <c r="L804" s="585">
        <f t="shared" si="135"/>
        <v>7.9423088712115675E-2</v>
      </c>
      <c r="M804" s="585">
        <f t="shared" si="136"/>
        <v>7.2000000000000008E-2</v>
      </c>
      <c r="N804" s="585">
        <f t="shared" si="129"/>
        <v>8.0799999999999997E-2</v>
      </c>
      <c r="O804" s="586">
        <f t="shared" si="137"/>
        <v>7.4230887121156663E-3</v>
      </c>
      <c r="P804" s="585">
        <f t="shared" si="130"/>
        <v>-1.376911287884322E-3</v>
      </c>
      <c r="Q804" s="585">
        <f t="shared" si="131"/>
        <v>0.158505712503209</v>
      </c>
      <c r="R804" s="585">
        <f t="shared" si="132"/>
        <v>8.4375999999999993E-2</v>
      </c>
      <c r="S804" s="586">
        <f t="shared" si="133"/>
        <v>7.4129712503209003E-2</v>
      </c>
      <c r="U804" s="587"/>
      <c r="V804" s="587"/>
      <c r="W804" s="587"/>
      <c r="X804" s="587"/>
      <c r="Y804" s="587"/>
      <c r="Z804" s="587"/>
      <c r="AA804" s="587"/>
      <c r="AB804" s="587"/>
      <c r="AC804" s="587"/>
      <c r="AE804" s="587"/>
      <c r="AF804" s="587"/>
      <c r="AG804" s="587"/>
      <c r="AH804" s="587"/>
      <c r="AI804" s="587"/>
      <c r="AJ804" s="587"/>
      <c r="AK804" s="587"/>
      <c r="AL804" s="587"/>
      <c r="AM804" s="587"/>
      <c r="AO804" s="587"/>
      <c r="AP804" s="587"/>
      <c r="AQ804" s="587"/>
      <c r="AR804" s="587"/>
      <c r="AS804" s="587"/>
      <c r="AT804" s="587"/>
      <c r="AU804" s="587"/>
      <c r="AV804" s="587"/>
      <c r="AW804" s="587"/>
    </row>
    <row r="805" spans="1:49">
      <c r="A805" s="581">
        <v>33848</v>
      </c>
      <c r="B805" s="594">
        <v>1.18E-2</v>
      </c>
      <c r="C805" s="577">
        <v>7.2999999999999983E-3</v>
      </c>
      <c r="D805" s="577">
        <v>5.7999999999999996E-3</v>
      </c>
      <c r="E805" s="577">
        <v>6.6E-3</v>
      </c>
      <c r="F805" s="577">
        <v>6.8083333333333329E-3</v>
      </c>
      <c r="G805" s="577">
        <v>6.7041666666666664E-3</v>
      </c>
      <c r="H805" s="577">
        <v>7.0059166666666664E-3</v>
      </c>
      <c r="I805" s="577">
        <f t="shared" si="134"/>
        <v>6.0000000000000001E-3</v>
      </c>
      <c r="J805" s="577">
        <f t="shared" si="138"/>
        <v>5.0958333333333333E-3</v>
      </c>
      <c r="K805" s="577">
        <f t="shared" si="139"/>
        <v>2.9408333333333196E-4</v>
      </c>
      <c r="L805" s="585">
        <f t="shared" si="135"/>
        <v>0.11070912352173168</v>
      </c>
      <c r="M805" s="585">
        <f t="shared" si="136"/>
        <v>6.9599999999999995E-2</v>
      </c>
      <c r="N805" s="585">
        <f t="shared" si="129"/>
        <v>8.0449999999999994E-2</v>
      </c>
      <c r="O805" s="586">
        <f t="shared" si="137"/>
        <v>4.1109123521731683E-2</v>
      </c>
      <c r="P805" s="585">
        <f t="shared" si="130"/>
        <v>3.0259123521731685E-2</v>
      </c>
      <c r="Q805" s="585">
        <f t="shared" si="131"/>
        <v>0.14385689492695786</v>
      </c>
      <c r="R805" s="585">
        <f t="shared" si="132"/>
        <v>8.4070999999999993E-2</v>
      </c>
      <c r="S805" s="586">
        <f t="shared" si="133"/>
        <v>5.9785894926957864E-2</v>
      </c>
      <c r="U805" s="587"/>
      <c r="V805" s="587"/>
      <c r="W805" s="587"/>
      <c r="X805" s="587"/>
      <c r="Y805" s="587"/>
      <c r="Z805" s="587"/>
      <c r="AA805" s="587"/>
      <c r="AB805" s="587"/>
      <c r="AC805" s="587"/>
      <c r="AE805" s="587"/>
      <c r="AF805" s="587"/>
      <c r="AG805" s="587"/>
      <c r="AH805" s="587"/>
      <c r="AI805" s="587"/>
      <c r="AJ805" s="587"/>
      <c r="AK805" s="587"/>
      <c r="AL805" s="587"/>
      <c r="AM805" s="587"/>
      <c r="AO805" s="587"/>
      <c r="AP805" s="587"/>
      <c r="AQ805" s="587"/>
      <c r="AR805" s="587"/>
      <c r="AS805" s="587"/>
      <c r="AT805" s="587"/>
      <c r="AU805" s="587"/>
      <c r="AV805" s="587"/>
      <c r="AW805" s="587"/>
    </row>
    <row r="806" spans="1:49">
      <c r="A806" s="581">
        <v>33878</v>
      </c>
      <c r="B806" s="594">
        <v>3.5000000000000001E-3</v>
      </c>
      <c r="C806" s="577">
        <v>-9.3999999999999986E-3</v>
      </c>
      <c r="D806" s="577">
        <v>5.7000000000000002E-3</v>
      </c>
      <c r="E806" s="577">
        <v>6.6583333333333338E-3</v>
      </c>
      <c r="F806" s="577">
        <v>6.9333333333333339E-3</v>
      </c>
      <c r="G806" s="577">
        <v>6.7958333333333343E-3</v>
      </c>
      <c r="H806" s="577">
        <v>7.1056666666666664E-3</v>
      </c>
      <c r="I806" s="577">
        <f t="shared" si="134"/>
        <v>-2.2000000000000001E-3</v>
      </c>
      <c r="J806" s="577">
        <f t="shared" si="138"/>
        <v>-3.2958333333333342E-3</v>
      </c>
      <c r="K806" s="577">
        <f t="shared" si="139"/>
        <v>-1.6505666666666665E-2</v>
      </c>
      <c r="L806" s="585">
        <f t="shared" si="135"/>
        <v>9.9858501533508726E-2</v>
      </c>
      <c r="M806" s="585">
        <f t="shared" si="136"/>
        <v>6.8400000000000002E-2</v>
      </c>
      <c r="N806" s="585">
        <f t="shared" si="129"/>
        <v>8.1550000000000011E-2</v>
      </c>
      <c r="O806" s="586">
        <f t="shared" si="137"/>
        <v>3.1458501533508723E-2</v>
      </c>
      <c r="P806" s="585">
        <f t="shared" si="130"/>
        <v>1.8308501533508714E-2</v>
      </c>
      <c r="Q806" s="585">
        <f t="shared" si="131"/>
        <v>0.11088690207318086</v>
      </c>
      <c r="R806" s="585">
        <f t="shared" si="132"/>
        <v>8.5267999999999997E-2</v>
      </c>
      <c r="S806" s="586">
        <f t="shared" si="133"/>
        <v>2.5618902073180863E-2</v>
      </c>
      <c r="U806" s="587"/>
      <c r="V806" s="587"/>
      <c r="W806" s="587"/>
      <c r="X806" s="587"/>
      <c r="Y806" s="587"/>
      <c r="Z806" s="587"/>
      <c r="AA806" s="587"/>
      <c r="AB806" s="587"/>
      <c r="AC806" s="587"/>
      <c r="AE806" s="587"/>
      <c r="AF806" s="587"/>
      <c r="AG806" s="587"/>
      <c r="AH806" s="587"/>
      <c r="AI806" s="587"/>
      <c r="AJ806" s="587"/>
      <c r="AK806" s="587"/>
      <c r="AL806" s="587"/>
      <c r="AM806" s="587"/>
      <c r="AO806" s="587"/>
      <c r="AP806" s="587"/>
      <c r="AQ806" s="587"/>
      <c r="AR806" s="587"/>
      <c r="AS806" s="587"/>
      <c r="AT806" s="587"/>
      <c r="AU806" s="587"/>
      <c r="AV806" s="587"/>
      <c r="AW806" s="587"/>
    </row>
    <row r="807" spans="1:49">
      <c r="A807" s="581">
        <v>33909</v>
      </c>
      <c r="B807" s="594">
        <v>3.4099999999999998E-2</v>
      </c>
      <c r="C807" s="577">
        <v>-1.5000000000000005E-3</v>
      </c>
      <c r="D807" s="577">
        <v>6.0999999999999995E-3</v>
      </c>
      <c r="E807" s="577">
        <v>6.7499999999999991E-3</v>
      </c>
      <c r="F807" s="577">
        <v>7.000000000000001E-3</v>
      </c>
      <c r="G807" s="577">
        <v>6.875E-3</v>
      </c>
      <c r="H807" s="577">
        <v>7.1925833333333329E-3</v>
      </c>
      <c r="I807" s="577">
        <f t="shared" si="134"/>
        <v>2.7999999999999997E-2</v>
      </c>
      <c r="J807" s="577">
        <f t="shared" si="138"/>
        <v>2.7224999999999999E-2</v>
      </c>
      <c r="K807" s="577">
        <f t="shared" si="139"/>
        <v>-8.6925833333333334E-3</v>
      </c>
      <c r="L807" s="585">
        <f t="shared" si="135"/>
        <v>0.18512418092716643</v>
      </c>
      <c r="M807" s="585">
        <f t="shared" si="136"/>
        <v>7.3199999999999987E-2</v>
      </c>
      <c r="N807" s="585">
        <f t="shared" si="129"/>
        <v>8.2500000000000004E-2</v>
      </c>
      <c r="O807" s="586">
        <f t="shared" si="137"/>
        <v>0.11192418092716644</v>
      </c>
      <c r="P807" s="585">
        <f t="shared" si="130"/>
        <v>0.10262418092716642</v>
      </c>
      <c r="Q807" s="585">
        <f t="shared" si="131"/>
        <v>0.12019851718851893</v>
      </c>
      <c r="R807" s="585">
        <f t="shared" si="132"/>
        <v>8.6310999999999999E-2</v>
      </c>
      <c r="S807" s="586">
        <f t="shared" si="133"/>
        <v>3.3887517188518929E-2</v>
      </c>
      <c r="U807" s="587"/>
      <c r="V807" s="587"/>
      <c r="W807" s="587"/>
      <c r="X807" s="587"/>
      <c r="Y807" s="587"/>
      <c r="Z807" s="587"/>
      <c r="AA807" s="587"/>
      <c r="AB807" s="587"/>
      <c r="AC807" s="587"/>
      <c r="AE807" s="587"/>
      <c r="AF807" s="587"/>
      <c r="AG807" s="587"/>
      <c r="AH807" s="587"/>
      <c r="AI807" s="587"/>
      <c r="AJ807" s="587"/>
      <c r="AK807" s="587"/>
      <c r="AL807" s="587"/>
      <c r="AM807" s="587"/>
      <c r="AO807" s="587"/>
      <c r="AP807" s="587"/>
      <c r="AQ807" s="587"/>
      <c r="AR807" s="587"/>
      <c r="AS807" s="587"/>
      <c r="AT807" s="587"/>
      <c r="AU807" s="587"/>
      <c r="AV807" s="587"/>
      <c r="AW807" s="587"/>
    </row>
    <row r="808" spans="1:49">
      <c r="A808" s="581">
        <v>33939</v>
      </c>
      <c r="B808" s="594">
        <v>1.23E-2</v>
      </c>
      <c r="C808" s="577">
        <v>3.5799999999999998E-2</v>
      </c>
      <c r="D808" s="577">
        <v>6.3E-3</v>
      </c>
      <c r="E808" s="577">
        <v>6.6500000000000005E-3</v>
      </c>
      <c r="F808" s="577">
        <v>6.8666666666666668E-3</v>
      </c>
      <c r="G808" s="577">
        <v>6.7583333333333332E-3</v>
      </c>
      <c r="H808" s="577">
        <v>7.0420833333333334E-3</v>
      </c>
      <c r="I808" s="577">
        <f t="shared" si="134"/>
        <v>6.0000000000000001E-3</v>
      </c>
      <c r="J808" s="577">
        <f t="shared" si="138"/>
        <v>5.541666666666667E-3</v>
      </c>
      <c r="K808" s="577">
        <f t="shared" si="139"/>
        <v>2.8757916666666664E-2</v>
      </c>
      <c r="L808" s="585">
        <f t="shared" si="135"/>
        <v>7.6544515750690989E-2</v>
      </c>
      <c r="M808" s="585">
        <f t="shared" si="136"/>
        <v>7.5600000000000001E-2</v>
      </c>
      <c r="N808" s="585">
        <f t="shared" ref="N808:N871" si="140">G808*12</f>
        <v>8.1100000000000005E-2</v>
      </c>
      <c r="O808" s="586">
        <f t="shared" si="137"/>
        <v>9.4451575069098848E-4</v>
      </c>
      <c r="P808" s="585">
        <f t="shared" ref="P808:P871" si="141">L808-N808</f>
        <v>-4.5554842493090164E-3</v>
      </c>
      <c r="Q808" s="585">
        <f t="shared" ref="Q808:Q871" si="142">((1+C797)*(1+C798)*(1+C799)*(1+C800)*(1+C801)*(1+C802)*(1+C803)*(1+C804)*(1+C805)*(1+C806)*(1+C807)*(1+C808))-1</f>
        <v>8.1059931150533782E-2</v>
      </c>
      <c r="R808" s="585">
        <f t="shared" ref="R808:R871" si="143">H808*12</f>
        <v>8.4504999999999997E-2</v>
      </c>
      <c r="S808" s="586">
        <f t="shared" ref="S808:S871" si="144">Q808-R808</f>
        <v>-3.4450688494662152E-3</v>
      </c>
      <c r="U808" s="587"/>
      <c r="V808" s="587"/>
      <c r="W808" s="587"/>
      <c r="X808" s="587"/>
      <c r="Y808" s="587"/>
      <c r="Z808" s="587"/>
      <c r="AA808" s="587"/>
      <c r="AB808" s="587"/>
      <c r="AC808" s="587"/>
      <c r="AE808" s="587"/>
      <c r="AF808" s="587"/>
      <c r="AG808" s="587"/>
      <c r="AH808" s="587"/>
      <c r="AI808" s="587"/>
      <c r="AJ808" s="587"/>
      <c r="AK808" s="587"/>
      <c r="AL808" s="587"/>
      <c r="AM808" s="587"/>
      <c r="AO808" s="587"/>
      <c r="AP808" s="587"/>
      <c r="AQ808" s="587"/>
      <c r="AR808" s="587"/>
      <c r="AS808" s="587"/>
      <c r="AT808" s="587"/>
      <c r="AU808" s="587"/>
      <c r="AV808" s="587"/>
      <c r="AW808" s="587"/>
    </row>
    <row r="809" spans="1:49">
      <c r="A809" s="581">
        <v>33970</v>
      </c>
      <c r="B809" s="594">
        <v>8.3999999999999995E-3</v>
      </c>
      <c r="C809" s="577">
        <v>1.5699999999999999E-2</v>
      </c>
      <c r="D809" s="577">
        <v>5.8999999999999999E-3</v>
      </c>
      <c r="E809" s="577">
        <v>6.5916666666666667E-3</v>
      </c>
      <c r="F809" s="577">
        <v>6.7583333333333332E-3</v>
      </c>
      <c r="G809" s="577">
        <v>6.6749999999999995E-3</v>
      </c>
      <c r="H809" s="577">
        <v>6.9009166666666663E-3</v>
      </c>
      <c r="I809" s="577">
        <f t="shared" si="134"/>
        <v>2.4999999999999996E-3</v>
      </c>
      <c r="J809" s="577">
        <f t="shared" si="138"/>
        <v>1.725E-3</v>
      </c>
      <c r="K809" s="577">
        <f t="shared" si="139"/>
        <v>8.7990833333333324E-3</v>
      </c>
      <c r="L809" s="585">
        <f t="shared" si="135"/>
        <v>0.10616210483288824</v>
      </c>
      <c r="M809" s="585">
        <f t="shared" si="136"/>
        <v>7.0800000000000002E-2</v>
      </c>
      <c r="N809" s="585">
        <f t="shared" si="140"/>
        <v>8.0099999999999991E-2</v>
      </c>
      <c r="O809" s="586">
        <f t="shared" si="137"/>
        <v>3.5362104832888236E-2</v>
      </c>
      <c r="P809" s="585">
        <f t="shared" si="141"/>
        <v>2.6062104832888247E-2</v>
      </c>
      <c r="Q809" s="585">
        <f t="shared" si="142"/>
        <v>0.16022038468892341</v>
      </c>
      <c r="R809" s="585">
        <f t="shared" si="143"/>
        <v>8.2810999999999996E-2</v>
      </c>
      <c r="S809" s="586">
        <f t="shared" si="144"/>
        <v>7.7409384688923416E-2</v>
      </c>
      <c r="U809" s="587"/>
      <c r="V809" s="587"/>
      <c r="W809" s="587"/>
      <c r="X809" s="587"/>
      <c r="Y809" s="587"/>
      <c r="Z809" s="587"/>
      <c r="AA809" s="587"/>
      <c r="AB809" s="587"/>
      <c r="AC809" s="587"/>
      <c r="AE809" s="587"/>
      <c r="AF809" s="587"/>
      <c r="AG809" s="587"/>
      <c r="AH809" s="587"/>
      <c r="AI809" s="587"/>
      <c r="AJ809" s="587"/>
      <c r="AK809" s="587"/>
      <c r="AL809" s="587"/>
      <c r="AM809" s="587"/>
      <c r="AO809" s="587"/>
      <c r="AP809" s="587"/>
      <c r="AQ809" s="587"/>
      <c r="AR809" s="587"/>
      <c r="AS809" s="587"/>
      <c r="AT809" s="587"/>
      <c r="AU809" s="587"/>
      <c r="AV809" s="587"/>
      <c r="AW809" s="587"/>
    </row>
    <row r="810" spans="1:49">
      <c r="A810" s="581">
        <v>34001</v>
      </c>
      <c r="B810" s="594">
        <v>1.3599999999999999E-2</v>
      </c>
      <c r="C810" s="577">
        <v>7.2099999999999997E-2</v>
      </c>
      <c r="D810" s="577">
        <v>5.4999999999999997E-3</v>
      </c>
      <c r="E810" s="577">
        <v>6.4249999999999993E-3</v>
      </c>
      <c r="F810" s="577">
        <v>6.5833333333333334E-3</v>
      </c>
      <c r="G810" s="577">
        <v>6.5041666666666668E-3</v>
      </c>
      <c r="H810" s="577">
        <v>6.7039166666666671E-3</v>
      </c>
      <c r="I810" s="577">
        <f t="shared" si="134"/>
        <v>8.0999999999999996E-3</v>
      </c>
      <c r="J810" s="577">
        <f t="shared" si="138"/>
        <v>7.0958333333333325E-3</v>
      </c>
      <c r="K810" s="577">
        <f t="shared" si="139"/>
        <v>6.5396083333333327E-2</v>
      </c>
      <c r="L810" s="585">
        <f t="shared" si="135"/>
        <v>0.10681728475677787</v>
      </c>
      <c r="M810" s="585">
        <f t="shared" si="136"/>
        <v>6.6000000000000003E-2</v>
      </c>
      <c r="N810" s="585">
        <f t="shared" si="140"/>
        <v>7.8050000000000008E-2</v>
      </c>
      <c r="O810" s="586">
        <f t="shared" si="137"/>
        <v>4.0817284756777872E-2</v>
      </c>
      <c r="P810" s="585">
        <f t="shared" si="141"/>
        <v>2.8767284756777867E-2</v>
      </c>
      <c r="Q810" s="585">
        <f t="shared" si="142"/>
        <v>0.27878305173742657</v>
      </c>
      <c r="R810" s="585">
        <f t="shared" si="143"/>
        <v>8.0447000000000005E-2</v>
      </c>
      <c r="S810" s="586">
        <f t="shared" si="144"/>
        <v>0.19833605173742658</v>
      </c>
      <c r="U810" s="587"/>
      <c r="V810" s="587"/>
      <c r="W810" s="587"/>
      <c r="X810" s="587"/>
      <c r="Y810" s="587"/>
      <c r="Z810" s="587"/>
      <c r="AA810" s="587"/>
      <c r="AB810" s="587"/>
      <c r="AC810" s="587"/>
      <c r="AE810" s="587"/>
      <c r="AF810" s="587"/>
      <c r="AG810" s="587"/>
      <c r="AH810" s="587"/>
      <c r="AI810" s="587"/>
      <c r="AJ810" s="587"/>
      <c r="AK810" s="587"/>
      <c r="AL810" s="587"/>
      <c r="AM810" s="587"/>
      <c r="AO810" s="587"/>
      <c r="AP810" s="587"/>
      <c r="AQ810" s="587"/>
      <c r="AR810" s="587"/>
      <c r="AS810" s="587"/>
      <c r="AT810" s="587"/>
      <c r="AU810" s="587"/>
      <c r="AV810" s="587"/>
      <c r="AW810" s="587"/>
    </row>
    <row r="811" spans="1:49">
      <c r="A811" s="581">
        <v>34029</v>
      </c>
      <c r="B811" s="594">
        <v>2.1100000000000001E-2</v>
      </c>
      <c r="C811" s="577">
        <v>1.7999999999999999E-2</v>
      </c>
      <c r="D811" s="577">
        <v>6.3E-3</v>
      </c>
      <c r="E811" s="577">
        <v>6.3166666666666675E-3</v>
      </c>
      <c r="F811" s="577">
        <v>6.4333333333333334E-3</v>
      </c>
      <c r="G811" s="577">
        <v>6.3749999999999996E-3</v>
      </c>
      <c r="H811" s="577">
        <v>6.5854999999999993E-3</v>
      </c>
      <c r="I811" s="577">
        <f t="shared" si="134"/>
        <v>1.4800000000000001E-2</v>
      </c>
      <c r="J811" s="577">
        <f t="shared" si="138"/>
        <v>1.4725000000000002E-2</v>
      </c>
      <c r="K811" s="577">
        <f t="shared" si="139"/>
        <v>1.1414499999999999E-2</v>
      </c>
      <c r="L811" s="585">
        <f t="shared" si="135"/>
        <v>0.15253021564873137</v>
      </c>
      <c r="M811" s="585">
        <f t="shared" si="136"/>
        <v>7.5600000000000001E-2</v>
      </c>
      <c r="N811" s="585">
        <f t="shared" si="140"/>
        <v>7.6499999999999999E-2</v>
      </c>
      <c r="O811" s="586">
        <f t="shared" si="137"/>
        <v>7.693021564873137E-2</v>
      </c>
      <c r="P811" s="585">
        <f t="shared" si="141"/>
        <v>7.6030215648731372E-2</v>
      </c>
      <c r="Q811" s="585">
        <f t="shared" si="142"/>
        <v>0.32068697034462867</v>
      </c>
      <c r="R811" s="585">
        <f t="shared" si="143"/>
        <v>7.9025999999999985E-2</v>
      </c>
      <c r="S811" s="586">
        <f t="shared" si="144"/>
        <v>0.24166097034462869</v>
      </c>
      <c r="U811" s="587"/>
      <c r="V811" s="587"/>
      <c r="W811" s="587"/>
      <c r="X811" s="587"/>
      <c r="Y811" s="587"/>
      <c r="Z811" s="587"/>
      <c r="AA811" s="587"/>
      <c r="AB811" s="587"/>
      <c r="AC811" s="587"/>
      <c r="AE811" s="587"/>
      <c r="AF811" s="587"/>
      <c r="AG811" s="587"/>
      <c r="AH811" s="587"/>
      <c r="AI811" s="587"/>
      <c r="AJ811" s="587"/>
      <c r="AK811" s="587"/>
      <c r="AL811" s="587"/>
      <c r="AM811" s="587"/>
      <c r="AO811" s="587"/>
      <c r="AP811" s="587"/>
      <c r="AQ811" s="587"/>
      <c r="AR811" s="587"/>
      <c r="AS811" s="587"/>
      <c r="AT811" s="587"/>
      <c r="AU811" s="587"/>
      <c r="AV811" s="587"/>
      <c r="AW811" s="587"/>
    </row>
    <row r="812" spans="1:49">
      <c r="A812" s="581">
        <v>34060</v>
      </c>
      <c r="B812" s="594">
        <v>-2.4199999999999999E-2</v>
      </c>
      <c r="C812" s="577">
        <v>-2.6999999999999993E-3</v>
      </c>
      <c r="D812" s="577">
        <v>5.7000000000000002E-3</v>
      </c>
      <c r="E812" s="577">
        <v>6.2166666666666672E-3</v>
      </c>
      <c r="F812" s="577">
        <v>6.3499999999999997E-3</v>
      </c>
      <c r="G812" s="577">
        <v>6.2833333333333343E-3</v>
      </c>
      <c r="H812" s="577">
        <v>6.514666666666666E-3</v>
      </c>
      <c r="I812" s="577">
        <f t="shared" si="134"/>
        <v>-2.9899999999999999E-2</v>
      </c>
      <c r="J812" s="577">
        <f t="shared" si="138"/>
        <v>-3.0483333333333335E-2</v>
      </c>
      <c r="K812" s="577">
        <f t="shared" si="139"/>
        <v>-9.2146666666666661E-3</v>
      </c>
      <c r="L812" s="585">
        <f t="shared" si="135"/>
        <v>9.2518927948350482E-2</v>
      </c>
      <c r="M812" s="585">
        <f t="shared" si="136"/>
        <v>6.8400000000000002E-2</v>
      </c>
      <c r="N812" s="585">
        <f t="shared" si="140"/>
        <v>7.5400000000000009E-2</v>
      </c>
      <c r="O812" s="586">
        <f t="shared" si="137"/>
        <v>2.411892794835048E-2</v>
      </c>
      <c r="P812" s="585">
        <f t="shared" si="141"/>
        <v>1.7118927948350474E-2</v>
      </c>
      <c r="Q812" s="585">
        <f t="shared" si="142"/>
        <v>0.23731434055866418</v>
      </c>
      <c r="R812" s="585">
        <f t="shared" si="143"/>
        <v>7.8175999999999995E-2</v>
      </c>
      <c r="S812" s="586">
        <f t="shared" si="144"/>
        <v>0.15913834055866419</v>
      </c>
      <c r="U812" s="587"/>
      <c r="V812" s="587"/>
      <c r="W812" s="587"/>
      <c r="X812" s="587"/>
      <c r="Y812" s="587"/>
      <c r="Z812" s="587"/>
      <c r="AA812" s="587"/>
      <c r="AB812" s="587"/>
      <c r="AC812" s="587"/>
      <c r="AE812" s="587"/>
      <c r="AF812" s="587"/>
      <c r="AG812" s="587"/>
      <c r="AH812" s="587"/>
      <c r="AI812" s="587"/>
      <c r="AJ812" s="587"/>
      <c r="AK812" s="587"/>
      <c r="AL812" s="587"/>
      <c r="AM812" s="587"/>
      <c r="AO812" s="587"/>
      <c r="AP812" s="587"/>
      <c r="AQ812" s="587"/>
      <c r="AR812" s="587"/>
      <c r="AS812" s="587"/>
      <c r="AT812" s="587"/>
      <c r="AU812" s="587"/>
      <c r="AV812" s="587"/>
      <c r="AW812" s="587"/>
    </row>
    <row r="813" spans="1:49">
      <c r="A813" s="581">
        <v>34090</v>
      </c>
      <c r="B813" s="594">
        <v>2.6800000000000001E-2</v>
      </c>
      <c r="C813" s="577">
        <v>-1.9099999999999999E-2</v>
      </c>
      <c r="D813" s="577">
        <v>5.1999999999999998E-3</v>
      </c>
      <c r="E813" s="577">
        <v>6.1916666666666665E-3</v>
      </c>
      <c r="F813" s="577">
        <v>6.3416666666666665E-3</v>
      </c>
      <c r="G813" s="577">
        <v>6.2666666666666669E-3</v>
      </c>
      <c r="H813" s="577">
        <v>6.5491666666666667E-3</v>
      </c>
      <c r="I813" s="577">
        <f t="shared" si="134"/>
        <v>2.1600000000000001E-2</v>
      </c>
      <c r="J813" s="577">
        <f t="shared" si="138"/>
        <v>2.0533333333333334E-2</v>
      </c>
      <c r="K813" s="577">
        <f t="shared" si="139"/>
        <v>-2.5649166666666667E-2</v>
      </c>
      <c r="L813" s="585">
        <f t="shared" si="135"/>
        <v>0.1163284259303079</v>
      </c>
      <c r="M813" s="585">
        <f t="shared" si="136"/>
        <v>6.2399999999999997E-2</v>
      </c>
      <c r="N813" s="585">
        <f t="shared" si="140"/>
        <v>7.5200000000000003E-2</v>
      </c>
      <c r="O813" s="586">
        <f t="shared" si="137"/>
        <v>5.3928425930307902E-2</v>
      </c>
      <c r="P813" s="585">
        <f t="shared" si="141"/>
        <v>4.1128425930307896E-2</v>
      </c>
      <c r="Q813" s="585">
        <f t="shared" si="142"/>
        <v>0.21550489399498574</v>
      </c>
      <c r="R813" s="585">
        <f t="shared" si="143"/>
        <v>7.8589999999999993E-2</v>
      </c>
      <c r="S813" s="586">
        <f t="shared" si="144"/>
        <v>0.13691489399498574</v>
      </c>
      <c r="U813" s="587"/>
      <c r="V813" s="587"/>
      <c r="W813" s="587"/>
      <c r="X813" s="587"/>
      <c r="Y813" s="587"/>
      <c r="Z813" s="587"/>
      <c r="AA813" s="587"/>
      <c r="AB813" s="587"/>
      <c r="AC813" s="587"/>
      <c r="AE813" s="587"/>
      <c r="AF813" s="587"/>
      <c r="AG813" s="587"/>
      <c r="AH813" s="587"/>
      <c r="AI813" s="587"/>
      <c r="AJ813" s="587"/>
      <c r="AK813" s="587"/>
      <c r="AL813" s="587"/>
      <c r="AM813" s="587"/>
      <c r="AO813" s="587"/>
      <c r="AP813" s="587"/>
      <c r="AQ813" s="587"/>
      <c r="AR813" s="587"/>
      <c r="AS813" s="587"/>
      <c r="AT813" s="587"/>
      <c r="AU813" s="587"/>
      <c r="AV813" s="587"/>
      <c r="AW813" s="587"/>
    </row>
    <row r="814" spans="1:49">
      <c r="A814" s="581">
        <v>34121</v>
      </c>
      <c r="B814" s="594">
        <v>2.8999999999999998E-3</v>
      </c>
      <c r="C814" s="577">
        <v>4.6300000000000001E-2</v>
      </c>
      <c r="D814" s="577">
        <v>6.1999999999999998E-3</v>
      </c>
      <c r="E814" s="577">
        <v>6.1083333333333337E-3</v>
      </c>
      <c r="F814" s="577">
        <v>6.2583333333333336E-3</v>
      </c>
      <c r="G814" s="577">
        <v>6.1833333333333341E-3</v>
      </c>
      <c r="H814" s="577">
        <v>6.4693333333333339E-3</v>
      </c>
      <c r="I814" s="577">
        <f t="shared" si="134"/>
        <v>-3.3E-3</v>
      </c>
      <c r="J814" s="577">
        <f t="shared" si="138"/>
        <v>-3.2833333333333343E-3</v>
      </c>
      <c r="K814" s="577">
        <f t="shared" si="139"/>
        <v>3.9830666666666667E-2</v>
      </c>
      <c r="L814" s="585">
        <f t="shared" si="135"/>
        <v>0.13649962274439709</v>
      </c>
      <c r="M814" s="585">
        <f t="shared" si="136"/>
        <v>7.4399999999999994E-2</v>
      </c>
      <c r="N814" s="585">
        <f t="shared" si="140"/>
        <v>7.4200000000000016E-2</v>
      </c>
      <c r="O814" s="586">
        <f t="shared" si="137"/>
        <v>6.2099622744397093E-2</v>
      </c>
      <c r="P814" s="585">
        <f t="shared" si="141"/>
        <v>6.2299622744397071E-2</v>
      </c>
      <c r="Q814" s="585">
        <f t="shared" si="142"/>
        <v>0.25409996113495126</v>
      </c>
      <c r="R814" s="585">
        <f t="shared" si="143"/>
        <v>7.7632000000000007E-2</v>
      </c>
      <c r="S814" s="586">
        <f t="shared" si="144"/>
        <v>0.17646796113495125</v>
      </c>
      <c r="U814" s="587"/>
      <c r="V814" s="587"/>
      <c r="W814" s="587"/>
      <c r="X814" s="587"/>
      <c r="Y814" s="587"/>
      <c r="Z814" s="587"/>
      <c r="AA814" s="587"/>
      <c r="AB814" s="587"/>
      <c r="AC814" s="587"/>
      <c r="AE814" s="587"/>
      <c r="AF814" s="587"/>
      <c r="AG814" s="587"/>
      <c r="AH814" s="587"/>
      <c r="AI814" s="587"/>
      <c r="AJ814" s="587"/>
      <c r="AK814" s="587"/>
      <c r="AL814" s="587"/>
      <c r="AM814" s="587"/>
      <c r="AO814" s="587"/>
      <c r="AP814" s="587"/>
      <c r="AQ814" s="587"/>
      <c r="AR814" s="587"/>
      <c r="AS814" s="587"/>
      <c r="AT814" s="587"/>
      <c r="AU814" s="587"/>
      <c r="AV814" s="587"/>
      <c r="AW814" s="587"/>
    </row>
    <row r="815" spans="1:49">
      <c r="A815" s="581">
        <v>34151</v>
      </c>
      <c r="B815" s="594">
        <v>-4.0000000000000001E-3</v>
      </c>
      <c r="C815" s="577">
        <v>2.2599999999999999E-2</v>
      </c>
      <c r="D815" s="577">
        <v>5.4000000000000003E-3</v>
      </c>
      <c r="E815" s="577">
        <v>5.9750000000000003E-3</v>
      </c>
      <c r="F815" s="577">
        <v>6.1249999999999994E-3</v>
      </c>
      <c r="G815" s="577">
        <v>6.0499999999999998E-3</v>
      </c>
      <c r="H815" s="577">
        <v>6.284500000000001E-3</v>
      </c>
      <c r="I815" s="577">
        <f t="shared" si="134"/>
        <v>-9.4000000000000004E-3</v>
      </c>
      <c r="J815" s="577">
        <f t="shared" si="138"/>
        <v>-1.005E-2</v>
      </c>
      <c r="K815" s="577">
        <f t="shared" si="139"/>
        <v>1.6315499999999997E-2</v>
      </c>
      <c r="L815" s="585">
        <f t="shared" si="135"/>
        <v>8.7475861517359199E-2</v>
      </c>
      <c r="M815" s="585">
        <f t="shared" si="136"/>
        <v>6.4799999999999996E-2</v>
      </c>
      <c r="N815" s="585">
        <f t="shared" si="140"/>
        <v>7.2599999999999998E-2</v>
      </c>
      <c r="O815" s="586">
        <f t="shared" si="137"/>
        <v>2.2675861517359203E-2</v>
      </c>
      <c r="P815" s="585">
        <f t="shared" si="141"/>
        <v>1.4875861517359201E-2</v>
      </c>
      <c r="Q815" s="585">
        <f t="shared" si="142"/>
        <v>0.18854737743892591</v>
      </c>
      <c r="R815" s="585">
        <f t="shared" si="143"/>
        <v>7.5414000000000009E-2</v>
      </c>
      <c r="S815" s="586">
        <f t="shared" si="144"/>
        <v>0.1131333774389259</v>
      </c>
      <c r="U815" s="587"/>
      <c r="V815" s="587"/>
      <c r="W815" s="587"/>
      <c r="X815" s="587"/>
      <c r="Y815" s="587"/>
      <c r="Z815" s="587"/>
      <c r="AA815" s="587"/>
      <c r="AB815" s="587"/>
      <c r="AC815" s="587"/>
      <c r="AE815" s="587"/>
      <c r="AF815" s="587"/>
      <c r="AG815" s="587"/>
      <c r="AH815" s="587"/>
      <c r="AI815" s="587"/>
      <c r="AJ815" s="587"/>
      <c r="AK815" s="587"/>
      <c r="AL815" s="587"/>
      <c r="AM815" s="587"/>
      <c r="AO815" s="587"/>
      <c r="AP815" s="587"/>
      <c r="AQ815" s="587"/>
      <c r="AR815" s="587"/>
      <c r="AS815" s="587"/>
      <c r="AT815" s="587"/>
      <c r="AU815" s="587"/>
      <c r="AV815" s="587"/>
      <c r="AW815" s="587"/>
    </row>
    <row r="816" spans="1:49">
      <c r="A816" s="581">
        <v>34182</v>
      </c>
      <c r="B816" s="594">
        <v>3.7900000000000003E-2</v>
      </c>
      <c r="C816" s="577">
        <v>4.8399999999999999E-2</v>
      </c>
      <c r="D816" s="577">
        <v>5.5999999999999991E-3</v>
      </c>
      <c r="E816" s="577">
        <v>5.7083333333333326E-3</v>
      </c>
      <c r="F816" s="577">
        <v>5.8833333333333324E-3</v>
      </c>
      <c r="G816" s="577">
        <v>5.7958333333333334E-3</v>
      </c>
      <c r="H816" s="577">
        <v>6.0587500000000008E-3</v>
      </c>
      <c r="I816" s="577">
        <f t="shared" si="134"/>
        <v>3.2300000000000002E-2</v>
      </c>
      <c r="J816" s="577">
        <f t="shared" si="138"/>
        <v>3.210416666666667E-2</v>
      </c>
      <c r="K816" s="577">
        <f t="shared" si="139"/>
        <v>4.2341249999999997E-2</v>
      </c>
      <c r="L816" s="585">
        <f t="shared" si="135"/>
        <v>0.15231362600190623</v>
      </c>
      <c r="M816" s="585">
        <f t="shared" si="136"/>
        <v>6.7199999999999982E-2</v>
      </c>
      <c r="N816" s="585">
        <f t="shared" si="140"/>
        <v>6.9550000000000001E-2</v>
      </c>
      <c r="O816" s="586">
        <f t="shared" si="137"/>
        <v>8.5113626001906251E-2</v>
      </c>
      <c r="P816" s="585">
        <f t="shared" si="141"/>
        <v>8.2763626001906232E-2</v>
      </c>
      <c r="Q816" s="585">
        <f t="shared" si="142"/>
        <v>0.25536275489317961</v>
      </c>
      <c r="R816" s="585">
        <f t="shared" si="143"/>
        <v>7.2705000000000006E-2</v>
      </c>
      <c r="S816" s="586">
        <f t="shared" si="144"/>
        <v>0.18265775489317959</v>
      </c>
      <c r="U816" s="587"/>
      <c r="V816" s="587"/>
      <c r="W816" s="587"/>
      <c r="X816" s="587"/>
      <c r="Y816" s="587"/>
      <c r="Z816" s="587"/>
      <c r="AA816" s="587"/>
      <c r="AB816" s="587"/>
      <c r="AC816" s="587"/>
      <c r="AE816" s="587"/>
      <c r="AF816" s="587"/>
      <c r="AG816" s="587"/>
      <c r="AH816" s="587"/>
      <c r="AI816" s="587"/>
      <c r="AJ816" s="587"/>
      <c r="AK816" s="587"/>
      <c r="AL816" s="587"/>
      <c r="AM816" s="587"/>
      <c r="AO816" s="587"/>
      <c r="AP816" s="587"/>
      <c r="AQ816" s="587"/>
      <c r="AR816" s="587"/>
      <c r="AS816" s="587"/>
      <c r="AT816" s="587"/>
      <c r="AU816" s="587"/>
      <c r="AV816" s="587"/>
      <c r="AW816" s="587"/>
    </row>
    <row r="817" spans="1:49">
      <c r="A817" s="581">
        <v>34213</v>
      </c>
      <c r="B817" s="594">
        <v>-7.7000000000000002E-3</v>
      </c>
      <c r="C817" s="577">
        <v>-2E-3</v>
      </c>
      <c r="D817" s="577">
        <v>5.0000000000000001E-3</v>
      </c>
      <c r="E817" s="577">
        <v>5.5500000000000002E-3</v>
      </c>
      <c r="F817" s="577">
        <v>5.7083333333333326E-3</v>
      </c>
      <c r="G817" s="577">
        <v>5.6291666666666677E-3</v>
      </c>
      <c r="H817" s="577">
        <v>5.8635000000000007E-3</v>
      </c>
      <c r="I817" s="577">
        <f t="shared" si="134"/>
        <v>-1.2699999999999999E-2</v>
      </c>
      <c r="J817" s="577">
        <f t="shared" si="138"/>
        <v>-1.3329166666666668E-2</v>
      </c>
      <c r="K817" s="577">
        <f t="shared" si="139"/>
        <v>-7.8635000000000007E-3</v>
      </c>
      <c r="L817" s="585">
        <f t="shared" si="135"/>
        <v>0.13010556540985507</v>
      </c>
      <c r="M817" s="585">
        <f t="shared" si="136"/>
        <v>0.06</v>
      </c>
      <c r="N817" s="585">
        <f t="shared" si="140"/>
        <v>6.7550000000000013E-2</v>
      </c>
      <c r="O817" s="586">
        <f t="shared" si="137"/>
        <v>7.0105565409855075E-2</v>
      </c>
      <c r="P817" s="585">
        <f t="shared" si="141"/>
        <v>6.255556540985506E-2</v>
      </c>
      <c r="Q817" s="585">
        <f t="shared" si="142"/>
        <v>0.24377249020489677</v>
      </c>
      <c r="R817" s="585">
        <f t="shared" si="143"/>
        <v>7.0362000000000008E-2</v>
      </c>
      <c r="S817" s="586">
        <f t="shared" si="144"/>
        <v>0.17341049020489677</v>
      </c>
      <c r="U817" s="587"/>
      <c r="V817" s="587"/>
      <c r="W817" s="587"/>
      <c r="X817" s="587"/>
      <c r="Y817" s="587"/>
      <c r="Z817" s="587"/>
      <c r="AA817" s="587"/>
      <c r="AB817" s="587"/>
      <c r="AC817" s="587"/>
      <c r="AE817" s="587"/>
      <c r="AF817" s="587"/>
      <c r="AG817" s="587"/>
      <c r="AH817" s="587"/>
      <c r="AI817" s="587"/>
      <c r="AJ817" s="587"/>
      <c r="AK817" s="587"/>
      <c r="AL817" s="587"/>
      <c r="AM817" s="587"/>
      <c r="AO817" s="587"/>
      <c r="AP817" s="587"/>
      <c r="AQ817" s="587"/>
      <c r="AR817" s="587"/>
      <c r="AS817" s="587"/>
      <c r="AT817" s="587"/>
      <c r="AU817" s="587"/>
      <c r="AV817" s="587"/>
      <c r="AW817" s="587"/>
    </row>
    <row r="818" spans="1:49">
      <c r="A818" s="581">
        <v>34243</v>
      </c>
      <c r="B818" s="594">
        <v>2.07E-2</v>
      </c>
      <c r="C818" s="577">
        <v>-2.1000000000000003E-3</v>
      </c>
      <c r="D818" s="577">
        <v>4.8999999999999998E-3</v>
      </c>
      <c r="E818" s="577">
        <v>5.5583333333333327E-3</v>
      </c>
      <c r="F818" s="577">
        <v>5.7250000000000001E-3</v>
      </c>
      <c r="G818" s="577">
        <v>5.6416666666666672E-3</v>
      </c>
      <c r="H818" s="577">
        <v>5.8567500000000008E-3</v>
      </c>
      <c r="I818" s="577">
        <f t="shared" si="134"/>
        <v>1.5800000000000002E-2</v>
      </c>
      <c r="J818" s="577">
        <f t="shared" si="138"/>
        <v>1.5058333333333333E-2</v>
      </c>
      <c r="K818" s="577">
        <f t="shared" si="139"/>
        <v>-7.956750000000002E-3</v>
      </c>
      <c r="L818" s="585">
        <f t="shared" si="135"/>
        <v>0.14947558606261979</v>
      </c>
      <c r="M818" s="585">
        <f t="shared" si="136"/>
        <v>5.8799999999999998E-2</v>
      </c>
      <c r="N818" s="585">
        <f t="shared" si="140"/>
        <v>6.770000000000001E-2</v>
      </c>
      <c r="O818" s="586">
        <f t="shared" si="137"/>
        <v>9.0675586062619801E-2</v>
      </c>
      <c r="P818" s="585">
        <f t="shared" si="141"/>
        <v>8.1775586062619782E-2</v>
      </c>
      <c r="Q818" s="585">
        <f t="shared" si="142"/>
        <v>0.2529381869326337</v>
      </c>
      <c r="R818" s="585">
        <f t="shared" si="143"/>
        <v>7.028100000000001E-2</v>
      </c>
      <c r="S818" s="586">
        <f t="shared" si="144"/>
        <v>0.18265718693263369</v>
      </c>
      <c r="U818" s="587"/>
      <c r="V818" s="587"/>
      <c r="W818" s="587"/>
      <c r="X818" s="587"/>
      <c r="Y818" s="587"/>
      <c r="Z818" s="587"/>
      <c r="AA818" s="587"/>
      <c r="AB818" s="587"/>
      <c r="AC818" s="587"/>
      <c r="AE818" s="587"/>
      <c r="AF818" s="587"/>
      <c r="AG818" s="587"/>
      <c r="AH818" s="587"/>
      <c r="AI818" s="587"/>
      <c r="AJ818" s="587"/>
      <c r="AK818" s="587"/>
      <c r="AL818" s="587"/>
      <c r="AM818" s="587"/>
      <c r="AO818" s="587"/>
      <c r="AP818" s="587"/>
      <c r="AQ818" s="587"/>
      <c r="AR818" s="587"/>
      <c r="AS818" s="587"/>
      <c r="AT818" s="587"/>
      <c r="AU818" s="587"/>
      <c r="AV818" s="587"/>
      <c r="AW818" s="587"/>
    </row>
    <row r="819" spans="1:49">
      <c r="A819" s="581">
        <v>34274</v>
      </c>
      <c r="B819" s="594">
        <v>-9.4999999999999998E-3</v>
      </c>
      <c r="C819" s="577">
        <v>-5.0700000000000002E-2</v>
      </c>
      <c r="D819" s="577">
        <v>5.3E-3</v>
      </c>
      <c r="E819" s="577">
        <v>5.7749999999999998E-3</v>
      </c>
      <c r="F819" s="577">
        <v>5.9333333333333339E-3</v>
      </c>
      <c r="G819" s="577">
        <v>5.8541666666666672E-3</v>
      </c>
      <c r="H819" s="577">
        <v>6.0670833333333332E-3</v>
      </c>
      <c r="I819" s="577">
        <f t="shared" si="134"/>
        <v>-1.4800000000000001E-2</v>
      </c>
      <c r="J819" s="577">
        <f t="shared" si="138"/>
        <v>-1.5354166666666667E-2</v>
      </c>
      <c r="K819" s="577">
        <f t="shared" si="139"/>
        <v>-5.6767083333333336E-2</v>
      </c>
      <c r="L819" s="585">
        <f t="shared" si="135"/>
        <v>0.10101108983176244</v>
      </c>
      <c r="M819" s="585">
        <f t="shared" si="136"/>
        <v>6.3600000000000004E-2</v>
      </c>
      <c r="N819" s="585">
        <f t="shared" si="140"/>
        <v>7.0250000000000007E-2</v>
      </c>
      <c r="O819" s="586">
        <f t="shared" si="137"/>
        <v>3.7411089831762431E-2</v>
      </c>
      <c r="P819" s="585">
        <f t="shared" si="141"/>
        <v>3.0761089831762428E-2</v>
      </c>
      <c r="Q819" s="585">
        <f t="shared" si="142"/>
        <v>0.19120102238873238</v>
      </c>
      <c r="R819" s="585">
        <f t="shared" si="143"/>
        <v>7.2804999999999995E-2</v>
      </c>
      <c r="S819" s="586">
        <f t="shared" si="144"/>
        <v>0.11839602238873238</v>
      </c>
      <c r="U819" s="587"/>
      <c r="V819" s="587"/>
      <c r="W819" s="587"/>
      <c r="X819" s="587"/>
      <c r="Y819" s="587"/>
      <c r="Z819" s="587"/>
      <c r="AA819" s="587"/>
      <c r="AB819" s="587"/>
      <c r="AC819" s="587"/>
      <c r="AE819" s="587"/>
      <c r="AF819" s="587"/>
      <c r="AG819" s="587"/>
      <c r="AH819" s="587"/>
      <c r="AI819" s="587"/>
      <c r="AJ819" s="587"/>
      <c r="AK819" s="587"/>
      <c r="AL819" s="587"/>
      <c r="AM819" s="587"/>
      <c r="AO819" s="587"/>
      <c r="AP819" s="587"/>
      <c r="AQ819" s="587"/>
      <c r="AR819" s="587"/>
      <c r="AS819" s="587"/>
      <c r="AT819" s="587"/>
      <c r="AU819" s="587"/>
      <c r="AV819" s="587"/>
      <c r="AW819" s="587"/>
    </row>
    <row r="820" spans="1:49">
      <c r="A820" s="581">
        <v>34304</v>
      </c>
      <c r="B820" s="594">
        <v>1.21E-2</v>
      </c>
      <c r="C820" s="577">
        <v>-5.3E-3</v>
      </c>
      <c r="D820" s="577">
        <v>5.4999999999999997E-3</v>
      </c>
      <c r="E820" s="577">
        <v>5.7749999999999998E-3</v>
      </c>
      <c r="F820" s="577">
        <v>5.9333333333333339E-3</v>
      </c>
      <c r="G820" s="577">
        <v>5.8541666666666672E-3</v>
      </c>
      <c r="H820" s="577">
        <v>6.1131666666666661E-3</v>
      </c>
      <c r="I820" s="577">
        <f t="shared" si="134"/>
        <v>6.6E-3</v>
      </c>
      <c r="J820" s="577">
        <f t="shared" si="138"/>
        <v>6.2458333333333324E-3</v>
      </c>
      <c r="K820" s="577">
        <f t="shared" si="139"/>
        <v>-1.1413166666666665E-2</v>
      </c>
      <c r="L820" s="585">
        <f t="shared" si="135"/>
        <v>0.10079356319147137</v>
      </c>
      <c r="M820" s="585">
        <f t="shared" si="136"/>
        <v>6.6000000000000003E-2</v>
      </c>
      <c r="N820" s="585">
        <f t="shared" si="140"/>
        <v>7.0250000000000007E-2</v>
      </c>
      <c r="O820" s="586">
        <f t="shared" si="137"/>
        <v>3.4793563191471366E-2</v>
      </c>
      <c r="P820" s="585">
        <f t="shared" si="141"/>
        <v>3.0543563191471362E-2</v>
      </c>
      <c r="Q820" s="585">
        <f t="shared" si="142"/>
        <v>0.14393479143664001</v>
      </c>
      <c r="R820" s="585">
        <f t="shared" si="143"/>
        <v>7.3357999999999993E-2</v>
      </c>
      <c r="S820" s="586">
        <f t="shared" si="144"/>
        <v>7.0576791436640016E-2</v>
      </c>
      <c r="U820" s="587"/>
      <c r="V820" s="587"/>
      <c r="W820" s="587"/>
      <c r="X820" s="587"/>
      <c r="Y820" s="587"/>
      <c r="Z820" s="587"/>
      <c r="AA820" s="587"/>
      <c r="AB820" s="587"/>
      <c r="AC820" s="587"/>
      <c r="AE820" s="587"/>
      <c r="AF820" s="587"/>
      <c r="AG820" s="587"/>
      <c r="AH820" s="587"/>
      <c r="AI820" s="587"/>
      <c r="AJ820" s="587"/>
      <c r="AK820" s="587"/>
      <c r="AL820" s="587"/>
      <c r="AM820" s="587"/>
      <c r="AO820" s="587"/>
      <c r="AP820" s="587"/>
      <c r="AQ820" s="587"/>
      <c r="AR820" s="587"/>
      <c r="AS820" s="587"/>
      <c r="AT820" s="587"/>
      <c r="AU820" s="587"/>
      <c r="AV820" s="587"/>
      <c r="AW820" s="587"/>
    </row>
    <row r="821" spans="1:49">
      <c r="A821" s="581">
        <v>34335</v>
      </c>
      <c r="B821" s="594">
        <v>3.4000000000000002E-2</v>
      </c>
      <c r="C821" s="577">
        <v>7.1999999999999998E-3</v>
      </c>
      <c r="D821" s="577">
        <v>5.4999999999999997E-3</v>
      </c>
      <c r="E821" s="577">
        <v>5.7666666666666665E-3</v>
      </c>
      <c r="F821" s="577">
        <v>5.9333333333333339E-3</v>
      </c>
      <c r="G821" s="577">
        <v>5.8499999999999993E-3</v>
      </c>
      <c r="H821" s="577">
        <v>6.1104166666666668E-3</v>
      </c>
      <c r="I821" s="577">
        <f t="shared" si="134"/>
        <v>2.8500000000000004E-2</v>
      </c>
      <c r="J821" s="577">
        <f t="shared" si="138"/>
        <v>2.8150000000000001E-2</v>
      </c>
      <c r="K821" s="577">
        <f t="shared" si="139"/>
        <v>1.089583333333333E-3</v>
      </c>
      <c r="L821" s="585">
        <f t="shared" si="135"/>
        <v>0.12873913560093353</v>
      </c>
      <c r="M821" s="585">
        <f t="shared" si="136"/>
        <v>6.6000000000000003E-2</v>
      </c>
      <c r="N821" s="585">
        <f t="shared" si="140"/>
        <v>7.0199999999999985E-2</v>
      </c>
      <c r="O821" s="586">
        <f t="shared" si="137"/>
        <v>6.2739135600933527E-2</v>
      </c>
      <c r="P821" s="585">
        <f t="shared" si="141"/>
        <v>5.8539135600933545E-2</v>
      </c>
      <c r="Q821" s="585">
        <f t="shared" si="142"/>
        <v>0.13436164412226459</v>
      </c>
      <c r="R821" s="585">
        <f t="shared" si="143"/>
        <v>7.3325000000000001E-2</v>
      </c>
      <c r="S821" s="586">
        <f t="shared" si="144"/>
        <v>6.1036644122264588E-2</v>
      </c>
      <c r="U821" s="587"/>
      <c r="V821" s="587"/>
      <c r="W821" s="587"/>
      <c r="X821" s="587"/>
      <c r="Y821" s="587"/>
      <c r="Z821" s="587"/>
      <c r="AA821" s="587"/>
      <c r="AB821" s="587"/>
      <c r="AC821" s="587"/>
      <c r="AE821" s="587"/>
      <c r="AF821" s="587"/>
      <c r="AG821" s="587"/>
      <c r="AH821" s="587"/>
      <c r="AI821" s="587"/>
      <c r="AJ821" s="587"/>
      <c r="AK821" s="587"/>
      <c r="AL821" s="587"/>
      <c r="AM821" s="587"/>
      <c r="AO821" s="587"/>
      <c r="AP821" s="587"/>
      <c r="AQ821" s="587"/>
      <c r="AR821" s="587"/>
      <c r="AS821" s="587"/>
      <c r="AT821" s="587"/>
      <c r="AU821" s="587"/>
      <c r="AV821" s="587"/>
      <c r="AW821" s="587"/>
    </row>
    <row r="822" spans="1:49">
      <c r="A822" s="581">
        <v>34366</v>
      </c>
      <c r="B822" s="594">
        <v>-2.7099999999999999E-2</v>
      </c>
      <c r="C822" s="577">
        <v>-5.67E-2</v>
      </c>
      <c r="D822" s="577">
        <v>4.8999999999999998E-3</v>
      </c>
      <c r="E822" s="577">
        <v>5.8999999999999999E-3</v>
      </c>
      <c r="F822" s="577">
        <v>6.0750000000000005E-3</v>
      </c>
      <c r="G822" s="577">
        <v>5.9874999999999998E-3</v>
      </c>
      <c r="H822" s="577">
        <v>6.2052499999999998E-3</v>
      </c>
      <c r="I822" s="577">
        <f t="shared" si="134"/>
        <v>-3.2000000000000001E-2</v>
      </c>
      <c r="J822" s="577">
        <f t="shared" si="138"/>
        <v>-3.3087499999999999E-2</v>
      </c>
      <c r="K822" s="577">
        <f t="shared" si="139"/>
        <v>-6.2905249999999996E-2</v>
      </c>
      <c r="L822" s="585">
        <f t="shared" si="135"/>
        <v>8.3415849473311043E-2</v>
      </c>
      <c r="M822" s="585">
        <f t="shared" si="136"/>
        <v>5.8799999999999998E-2</v>
      </c>
      <c r="N822" s="585">
        <f t="shared" si="140"/>
        <v>7.1849999999999997E-2</v>
      </c>
      <c r="O822" s="586">
        <f t="shared" si="137"/>
        <v>2.4615849473311045E-2</v>
      </c>
      <c r="P822" s="585">
        <f t="shared" si="141"/>
        <v>1.1565849473311046E-2</v>
      </c>
      <c r="Q822" s="585">
        <f t="shared" si="142"/>
        <v>-1.9183481946347669E-3</v>
      </c>
      <c r="R822" s="585">
        <f t="shared" si="143"/>
        <v>7.4463000000000001E-2</v>
      </c>
      <c r="S822" s="586">
        <f t="shared" si="144"/>
        <v>-7.6381348194634768E-2</v>
      </c>
      <c r="U822" s="587"/>
      <c r="V822" s="587"/>
      <c r="W822" s="587"/>
      <c r="X822" s="587"/>
      <c r="Y822" s="587"/>
      <c r="Z822" s="587"/>
      <c r="AA822" s="587"/>
      <c r="AB822" s="587"/>
      <c r="AC822" s="587"/>
      <c r="AE822" s="587"/>
      <c r="AF822" s="587"/>
      <c r="AG822" s="587"/>
      <c r="AH822" s="587"/>
      <c r="AI822" s="587"/>
      <c r="AJ822" s="587"/>
      <c r="AK822" s="587"/>
      <c r="AL822" s="587"/>
      <c r="AM822" s="587"/>
      <c r="AO822" s="587"/>
      <c r="AP822" s="587"/>
      <c r="AQ822" s="587"/>
      <c r="AR822" s="587"/>
      <c r="AS822" s="587"/>
      <c r="AT822" s="587"/>
      <c r="AU822" s="587"/>
      <c r="AV822" s="587"/>
      <c r="AW822" s="587"/>
    </row>
    <row r="823" spans="1:49">
      <c r="A823" s="581">
        <v>34394</v>
      </c>
      <c r="B823" s="594">
        <v>-4.36E-2</v>
      </c>
      <c r="C823" s="577">
        <v>-3.3800000000000004E-2</v>
      </c>
      <c r="D823" s="577">
        <v>5.7999999999999996E-3</v>
      </c>
      <c r="E823" s="577">
        <v>5.8999999999999999E-3</v>
      </c>
      <c r="F823" s="577">
        <v>6.0750000000000005E-3</v>
      </c>
      <c r="G823" s="577">
        <v>5.9874999999999998E-3</v>
      </c>
      <c r="H823" s="577">
        <v>6.527666666666666E-3</v>
      </c>
      <c r="I823" s="577">
        <f t="shared" si="134"/>
        <v>-4.9399999999999999E-2</v>
      </c>
      <c r="J823" s="577">
        <f t="shared" si="138"/>
        <v>-4.95875E-2</v>
      </c>
      <c r="K823" s="577">
        <f t="shared" si="139"/>
        <v>-4.0327666666666671E-2</v>
      </c>
      <c r="L823" s="585">
        <f t="shared" si="135"/>
        <v>1.4767327819287912E-2</v>
      </c>
      <c r="M823" s="585">
        <f t="shared" si="136"/>
        <v>6.9599999999999995E-2</v>
      </c>
      <c r="N823" s="585">
        <f t="shared" si="140"/>
        <v>7.1849999999999997E-2</v>
      </c>
      <c r="O823" s="586">
        <f t="shared" si="137"/>
        <v>-5.4832672180712083E-2</v>
      </c>
      <c r="P823" s="585">
        <f t="shared" si="141"/>
        <v>-5.7082672180712085E-2</v>
      </c>
      <c r="Q823" s="585">
        <f t="shared" si="142"/>
        <v>-5.2704821243277244E-2</v>
      </c>
      <c r="R823" s="585">
        <f t="shared" si="143"/>
        <v>7.8331999999999985E-2</v>
      </c>
      <c r="S823" s="586">
        <f t="shared" si="144"/>
        <v>-0.13103682124327723</v>
      </c>
      <c r="U823" s="587"/>
      <c r="V823" s="587"/>
      <c r="W823" s="587"/>
      <c r="X823" s="587"/>
      <c r="Y823" s="587"/>
      <c r="Z823" s="587"/>
      <c r="AA823" s="587"/>
      <c r="AB823" s="587"/>
      <c r="AC823" s="587"/>
      <c r="AE823" s="587"/>
      <c r="AF823" s="587"/>
      <c r="AG823" s="587"/>
      <c r="AH823" s="587"/>
      <c r="AI823" s="587"/>
      <c r="AJ823" s="587"/>
      <c r="AK823" s="587"/>
      <c r="AL823" s="587"/>
      <c r="AM823" s="587"/>
      <c r="AO823" s="587"/>
      <c r="AP823" s="587"/>
      <c r="AQ823" s="587"/>
      <c r="AR823" s="587"/>
      <c r="AS823" s="587"/>
      <c r="AT823" s="587"/>
      <c r="AU823" s="587"/>
      <c r="AV823" s="587"/>
      <c r="AW823" s="587"/>
    </row>
    <row r="824" spans="1:49">
      <c r="A824" s="581">
        <v>34425</v>
      </c>
      <c r="B824" s="594">
        <v>1.2800000000000001E-2</v>
      </c>
      <c r="C824" s="577">
        <v>2.46E-2</v>
      </c>
      <c r="D824" s="577">
        <v>5.7000000000000002E-3</v>
      </c>
      <c r="E824" s="577">
        <v>6.2333333333333338E-3</v>
      </c>
      <c r="F824" s="577">
        <v>6.4083333333333336E-3</v>
      </c>
      <c r="G824" s="577">
        <v>6.3208333333333337E-3</v>
      </c>
      <c r="H824" s="577">
        <v>6.8514166666666662E-3</v>
      </c>
      <c r="I824" s="577">
        <f t="shared" si="134"/>
        <v>7.1000000000000004E-3</v>
      </c>
      <c r="J824" s="577">
        <f t="shared" si="138"/>
        <v>6.4791666666666669E-3</v>
      </c>
      <c r="K824" s="577">
        <f t="shared" si="139"/>
        <v>1.7748583333333335E-2</v>
      </c>
      <c r="L824" s="585">
        <f t="shared" si="135"/>
        <v>5.3244875605015896E-2</v>
      </c>
      <c r="M824" s="585">
        <f t="shared" si="136"/>
        <v>6.8400000000000002E-2</v>
      </c>
      <c r="N824" s="585">
        <f t="shared" si="140"/>
        <v>7.5850000000000001E-2</v>
      </c>
      <c r="O824" s="586">
        <f t="shared" si="137"/>
        <v>-1.5155124394984107E-2</v>
      </c>
      <c r="P824" s="585">
        <f t="shared" si="141"/>
        <v>-2.2605124394984105E-2</v>
      </c>
      <c r="Q824" s="585">
        <f t="shared" si="142"/>
        <v>-2.6773648697344554E-2</v>
      </c>
      <c r="R824" s="585">
        <f t="shared" si="143"/>
        <v>8.2216999999999998E-2</v>
      </c>
      <c r="S824" s="586">
        <f t="shared" si="144"/>
        <v>-0.10899064869734455</v>
      </c>
      <c r="U824" s="587"/>
      <c r="V824" s="587"/>
      <c r="W824" s="587"/>
      <c r="X824" s="587"/>
      <c r="Y824" s="587"/>
      <c r="Z824" s="587"/>
      <c r="AA824" s="587"/>
      <c r="AB824" s="587"/>
      <c r="AC824" s="587"/>
      <c r="AE824" s="587"/>
      <c r="AF824" s="587"/>
      <c r="AG824" s="587"/>
      <c r="AH824" s="587"/>
      <c r="AI824" s="587"/>
      <c r="AJ824" s="587"/>
      <c r="AK824" s="587"/>
      <c r="AL824" s="587"/>
      <c r="AM824" s="587"/>
      <c r="AO824" s="587"/>
      <c r="AP824" s="587"/>
      <c r="AQ824" s="587"/>
      <c r="AR824" s="587"/>
      <c r="AS824" s="587"/>
      <c r="AT824" s="587"/>
      <c r="AU824" s="587"/>
      <c r="AV824" s="587"/>
      <c r="AW824" s="587"/>
    </row>
    <row r="825" spans="1:49">
      <c r="A825" s="581">
        <v>34455</v>
      </c>
      <c r="B825" s="594">
        <v>1.6400000000000001E-2</v>
      </c>
      <c r="C825" s="577">
        <v>-2.6800000000000001E-2</v>
      </c>
      <c r="D825" s="577">
        <v>6.3E-3</v>
      </c>
      <c r="E825" s="577">
        <v>6.6583333333333338E-3</v>
      </c>
      <c r="F825" s="577">
        <v>6.8250000000000003E-3</v>
      </c>
      <c r="G825" s="577">
        <v>6.7416666666666666E-3</v>
      </c>
      <c r="H825" s="577">
        <v>6.9384999999999994E-3</v>
      </c>
      <c r="I825" s="577">
        <f t="shared" si="134"/>
        <v>1.0100000000000001E-2</v>
      </c>
      <c r="J825" s="577">
        <f t="shared" si="138"/>
        <v>9.6583333333333347E-3</v>
      </c>
      <c r="K825" s="577">
        <f t="shared" si="139"/>
        <v>-3.3738499999999998E-2</v>
      </c>
      <c r="L825" s="585">
        <f t="shared" si="135"/>
        <v>4.2577027235039422E-2</v>
      </c>
      <c r="M825" s="585">
        <f t="shared" si="136"/>
        <v>7.5600000000000001E-2</v>
      </c>
      <c r="N825" s="585">
        <f t="shared" si="140"/>
        <v>8.09E-2</v>
      </c>
      <c r="O825" s="586">
        <f t="shared" si="137"/>
        <v>-3.3022972764960579E-2</v>
      </c>
      <c r="P825" s="585">
        <f t="shared" si="141"/>
        <v>-3.8322972764960578E-2</v>
      </c>
      <c r="Q825" s="585">
        <f t="shared" si="142"/>
        <v>-3.441341106357021E-2</v>
      </c>
      <c r="R825" s="585">
        <f t="shared" si="143"/>
        <v>8.3261999999999989E-2</v>
      </c>
      <c r="S825" s="586">
        <f t="shared" si="144"/>
        <v>-0.1176754110635702</v>
      </c>
      <c r="U825" s="587"/>
      <c r="V825" s="587"/>
      <c r="W825" s="587"/>
      <c r="X825" s="587"/>
      <c r="Y825" s="587"/>
      <c r="Z825" s="587"/>
      <c r="AA825" s="587"/>
      <c r="AB825" s="587"/>
      <c r="AC825" s="587"/>
      <c r="AE825" s="587"/>
      <c r="AF825" s="587"/>
      <c r="AG825" s="587"/>
      <c r="AH825" s="587"/>
      <c r="AI825" s="587"/>
      <c r="AJ825" s="587"/>
      <c r="AK825" s="587"/>
      <c r="AL825" s="587"/>
      <c r="AM825" s="587"/>
      <c r="AO825" s="587"/>
      <c r="AP825" s="587"/>
      <c r="AQ825" s="587"/>
      <c r="AR825" s="587"/>
      <c r="AS825" s="587"/>
      <c r="AT825" s="587"/>
      <c r="AU825" s="587"/>
      <c r="AV825" s="587"/>
      <c r="AW825" s="587"/>
    </row>
    <row r="826" spans="1:49">
      <c r="A826" s="581">
        <v>34486</v>
      </c>
      <c r="B826" s="594">
        <v>-2.4500000000000001E-2</v>
      </c>
      <c r="C826" s="577">
        <v>2.0999999999999994E-3</v>
      </c>
      <c r="D826" s="577">
        <v>6.0999999999999995E-3</v>
      </c>
      <c r="E826" s="577">
        <v>6.6416666666666672E-3</v>
      </c>
      <c r="F826" s="577">
        <v>6.8083333333333329E-3</v>
      </c>
      <c r="G826" s="577">
        <v>6.7250000000000001E-3</v>
      </c>
      <c r="H826" s="577">
        <v>6.9234166666666663E-3</v>
      </c>
      <c r="I826" s="577">
        <f t="shared" si="134"/>
        <v>-3.0600000000000002E-2</v>
      </c>
      <c r="J826" s="577">
        <f t="shared" si="138"/>
        <v>-3.1225000000000003E-2</v>
      </c>
      <c r="K826" s="577">
        <f t="shared" si="139"/>
        <v>-4.8234166666666668E-3</v>
      </c>
      <c r="L826" s="585">
        <f t="shared" si="135"/>
        <v>1.4093020308885373E-2</v>
      </c>
      <c r="M826" s="585">
        <f t="shared" si="136"/>
        <v>7.3199999999999987E-2</v>
      </c>
      <c r="N826" s="585">
        <f t="shared" si="140"/>
        <v>8.0699999999999994E-2</v>
      </c>
      <c r="O826" s="586">
        <f t="shared" si="137"/>
        <v>-5.9106979691114614E-2</v>
      </c>
      <c r="P826" s="585">
        <f t="shared" si="141"/>
        <v>-6.6606979691114621E-2</v>
      </c>
      <c r="Q826" s="585">
        <f t="shared" si="142"/>
        <v>-7.5203745796428856E-2</v>
      </c>
      <c r="R826" s="585">
        <f t="shared" si="143"/>
        <v>8.3080999999999988E-2</v>
      </c>
      <c r="S826" s="586">
        <f t="shared" si="144"/>
        <v>-0.15828474579642884</v>
      </c>
      <c r="U826" s="587"/>
      <c r="V826" s="587"/>
      <c r="W826" s="587"/>
      <c r="X826" s="587"/>
      <c r="Y826" s="587"/>
      <c r="Z826" s="587"/>
      <c r="AA826" s="587"/>
      <c r="AB826" s="587"/>
      <c r="AC826" s="587"/>
      <c r="AE826" s="587"/>
      <c r="AF826" s="587"/>
      <c r="AG826" s="587"/>
      <c r="AH826" s="587"/>
      <c r="AI826" s="587"/>
      <c r="AJ826" s="587"/>
      <c r="AK826" s="587"/>
      <c r="AL826" s="587"/>
      <c r="AM826" s="587"/>
      <c r="AO826" s="587"/>
      <c r="AP826" s="587"/>
      <c r="AQ826" s="587"/>
      <c r="AR826" s="587"/>
      <c r="AS826" s="587"/>
      <c r="AT826" s="587"/>
      <c r="AU826" s="587"/>
      <c r="AV826" s="587"/>
      <c r="AW826" s="587"/>
    </row>
    <row r="827" spans="1:49">
      <c r="A827" s="581">
        <v>34516</v>
      </c>
      <c r="B827" s="594">
        <v>3.2800000000000003E-2</v>
      </c>
      <c r="C827" s="577">
        <v>3.3599999999999998E-2</v>
      </c>
      <c r="D827" s="577">
        <v>6.0000000000000001E-3</v>
      </c>
      <c r="E827" s="577">
        <v>6.7583333333333332E-3</v>
      </c>
      <c r="F827" s="577">
        <v>6.9249999999999997E-3</v>
      </c>
      <c r="G827" s="577">
        <v>6.841666666666666E-3</v>
      </c>
      <c r="H827" s="577">
        <v>7.0627500000000013E-3</v>
      </c>
      <c r="I827" s="577">
        <f t="shared" si="134"/>
        <v>2.6800000000000004E-2</v>
      </c>
      <c r="J827" s="577">
        <f t="shared" si="138"/>
        <v>2.5958333333333337E-2</v>
      </c>
      <c r="K827" s="577">
        <f t="shared" si="139"/>
        <v>2.6537249999999998E-2</v>
      </c>
      <c r="L827" s="585">
        <f t="shared" si="135"/>
        <v>5.1561517444795646E-2</v>
      </c>
      <c r="M827" s="585">
        <f t="shared" si="136"/>
        <v>7.2000000000000008E-2</v>
      </c>
      <c r="N827" s="585">
        <f t="shared" si="140"/>
        <v>8.2099999999999992E-2</v>
      </c>
      <c r="O827" s="586">
        <f t="shared" si="137"/>
        <v>-2.0438482555204363E-2</v>
      </c>
      <c r="P827" s="585">
        <f t="shared" si="141"/>
        <v>-3.0538482555204347E-2</v>
      </c>
      <c r="Q827" s="585">
        <f t="shared" si="142"/>
        <v>-6.5255810341471543E-2</v>
      </c>
      <c r="R827" s="585">
        <f t="shared" si="143"/>
        <v>8.4753000000000023E-2</v>
      </c>
      <c r="S827" s="586">
        <f t="shared" si="144"/>
        <v>-0.15000881034147157</v>
      </c>
      <c r="U827" s="587"/>
      <c r="V827" s="587"/>
      <c r="W827" s="587"/>
      <c r="X827" s="587"/>
      <c r="Y827" s="587"/>
      <c r="Z827" s="587"/>
      <c r="AA827" s="587"/>
      <c r="AB827" s="587"/>
      <c r="AC827" s="587"/>
      <c r="AE827" s="587"/>
      <c r="AF827" s="587"/>
      <c r="AG827" s="587"/>
      <c r="AH827" s="587"/>
      <c r="AI827" s="587"/>
      <c r="AJ827" s="587"/>
      <c r="AK827" s="587"/>
      <c r="AL827" s="587"/>
      <c r="AM827" s="587"/>
      <c r="AO827" s="587"/>
      <c r="AP827" s="587"/>
      <c r="AQ827" s="587"/>
      <c r="AR827" s="587"/>
      <c r="AS827" s="587"/>
      <c r="AT827" s="587"/>
      <c r="AU827" s="587"/>
      <c r="AV827" s="587"/>
      <c r="AW827" s="587"/>
    </row>
    <row r="828" spans="1:49">
      <c r="A828" s="581">
        <v>34547</v>
      </c>
      <c r="B828" s="594">
        <v>4.1000000000000002E-2</v>
      </c>
      <c r="C828" s="577">
        <v>-2.7999999999999995E-3</v>
      </c>
      <c r="D828" s="577">
        <v>6.6E-3</v>
      </c>
      <c r="E828" s="577">
        <v>6.7250000000000001E-3</v>
      </c>
      <c r="F828" s="577">
        <v>6.875E-3</v>
      </c>
      <c r="G828" s="577">
        <v>6.7999999999999996E-3</v>
      </c>
      <c r="H828" s="577">
        <v>7.0058333333333335E-3</v>
      </c>
      <c r="I828" s="577">
        <f t="shared" si="134"/>
        <v>3.44E-2</v>
      </c>
      <c r="J828" s="577">
        <f t="shared" si="138"/>
        <v>3.4200000000000001E-2</v>
      </c>
      <c r="K828" s="577">
        <f t="shared" si="139"/>
        <v>-9.8058333333333331E-3</v>
      </c>
      <c r="L828" s="585">
        <f t="shared" si="135"/>
        <v>5.470232166878497E-2</v>
      </c>
      <c r="M828" s="585">
        <f t="shared" si="136"/>
        <v>7.9199999999999993E-2</v>
      </c>
      <c r="N828" s="585">
        <f t="shared" si="140"/>
        <v>8.1599999999999992E-2</v>
      </c>
      <c r="O828" s="586">
        <f t="shared" si="137"/>
        <v>-2.4497678331215023E-2</v>
      </c>
      <c r="P828" s="585">
        <f t="shared" si="141"/>
        <v>-2.6897678331215022E-2</v>
      </c>
      <c r="Q828" s="585">
        <f t="shared" si="142"/>
        <v>-0.11090527858881671</v>
      </c>
      <c r="R828" s="585">
        <f t="shared" si="143"/>
        <v>8.4070000000000006E-2</v>
      </c>
      <c r="S828" s="586">
        <f t="shared" si="144"/>
        <v>-0.19497527858881672</v>
      </c>
      <c r="U828" s="587"/>
      <c r="V828" s="587"/>
      <c r="W828" s="587"/>
      <c r="X828" s="587"/>
      <c r="Y828" s="587"/>
      <c r="Z828" s="587"/>
      <c r="AA828" s="587"/>
      <c r="AB828" s="587"/>
      <c r="AC828" s="587"/>
      <c r="AE828" s="587"/>
      <c r="AF828" s="587"/>
      <c r="AG828" s="587"/>
      <c r="AH828" s="587"/>
      <c r="AI828" s="587"/>
      <c r="AJ828" s="587"/>
      <c r="AK828" s="587"/>
      <c r="AL828" s="587"/>
      <c r="AM828" s="587"/>
      <c r="AO828" s="587"/>
      <c r="AP828" s="587"/>
      <c r="AQ828" s="587"/>
      <c r="AR828" s="587"/>
      <c r="AS828" s="587"/>
      <c r="AT828" s="587"/>
      <c r="AU828" s="587"/>
      <c r="AV828" s="587"/>
      <c r="AW828" s="587"/>
    </row>
    <row r="829" spans="1:49">
      <c r="A829" s="581">
        <v>34578</v>
      </c>
      <c r="B829" s="594">
        <v>-2.4500000000000001E-2</v>
      </c>
      <c r="C829" s="577">
        <v>-2.5399999999999999E-2</v>
      </c>
      <c r="D829" s="577">
        <v>6.0999999999999995E-3</v>
      </c>
      <c r="E829" s="577">
        <v>6.9499999999999996E-3</v>
      </c>
      <c r="F829" s="577">
        <v>7.0750000000000006E-3</v>
      </c>
      <c r="G829" s="577">
        <v>7.0124999999999996E-3</v>
      </c>
      <c r="H829" s="577">
        <v>7.1869166666666661E-3</v>
      </c>
      <c r="I829" s="577">
        <f t="shared" si="134"/>
        <v>-3.0600000000000002E-2</v>
      </c>
      <c r="J829" s="577">
        <f t="shared" si="138"/>
        <v>-3.1512499999999999E-2</v>
      </c>
      <c r="K829" s="577">
        <f t="shared" si="139"/>
        <v>-3.2586916666666667E-2</v>
      </c>
      <c r="L829" s="585">
        <f t="shared" si="135"/>
        <v>3.6845827660888952E-2</v>
      </c>
      <c r="M829" s="585">
        <f t="shared" si="136"/>
        <v>7.3199999999999987E-2</v>
      </c>
      <c r="N829" s="585">
        <f t="shared" si="140"/>
        <v>8.4150000000000003E-2</v>
      </c>
      <c r="O829" s="586">
        <f t="shared" si="137"/>
        <v>-3.6354172339111035E-2</v>
      </c>
      <c r="P829" s="585">
        <f t="shared" si="141"/>
        <v>-4.730417233911105E-2</v>
      </c>
      <c r="Q829" s="585">
        <f t="shared" si="142"/>
        <v>-0.13175178808883847</v>
      </c>
      <c r="R829" s="585">
        <f t="shared" si="143"/>
        <v>8.6242999999999986E-2</v>
      </c>
      <c r="S829" s="586">
        <f t="shared" si="144"/>
        <v>-0.21799478808883846</v>
      </c>
      <c r="U829" s="587"/>
      <c r="V829" s="587"/>
      <c r="W829" s="587"/>
      <c r="X829" s="587"/>
      <c r="Y829" s="587"/>
      <c r="Z829" s="587"/>
      <c r="AA829" s="587"/>
      <c r="AB829" s="587"/>
      <c r="AC829" s="587"/>
      <c r="AE829" s="587"/>
      <c r="AF829" s="587"/>
      <c r="AG829" s="587"/>
      <c r="AH829" s="587"/>
      <c r="AI829" s="587"/>
      <c r="AJ829" s="587"/>
      <c r="AK829" s="587"/>
      <c r="AL829" s="587"/>
      <c r="AM829" s="587"/>
      <c r="AO829" s="587"/>
      <c r="AP829" s="587"/>
      <c r="AQ829" s="587"/>
      <c r="AR829" s="587"/>
      <c r="AS829" s="587"/>
      <c r="AT829" s="587"/>
      <c r="AU829" s="587"/>
      <c r="AV829" s="587"/>
      <c r="AW829" s="587"/>
    </row>
    <row r="830" spans="1:49">
      <c r="A830" s="581">
        <v>34608</v>
      </c>
      <c r="B830" s="594">
        <v>2.2499999999999999E-2</v>
      </c>
      <c r="C830" s="577">
        <v>8.6E-3</v>
      </c>
      <c r="D830" s="577">
        <v>6.6E-3</v>
      </c>
      <c r="E830" s="577">
        <v>7.1416666666666677E-3</v>
      </c>
      <c r="F830" s="577">
        <v>7.2583333333333345E-3</v>
      </c>
      <c r="G830" s="577">
        <v>7.2000000000000007E-3</v>
      </c>
      <c r="H830" s="577">
        <v>7.376999999999999E-3</v>
      </c>
      <c r="I830" s="577">
        <f t="shared" si="134"/>
        <v>1.5899999999999997E-2</v>
      </c>
      <c r="J830" s="577">
        <f t="shared" si="138"/>
        <v>1.5299999999999998E-2</v>
      </c>
      <c r="K830" s="577">
        <f t="shared" si="139"/>
        <v>1.223000000000001E-3</v>
      </c>
      <c r="L830" s="585">
        <f t="shared" si="135"/>
        <v>3.8674300757577162E-2</v>
      </c>
      <c r="M830" s="585">
        <f t="shared" si="136"/>
        <v>7.9199999999999993E-2</v>
      </c>
      <c r="N830" s="585">
        <f t="shared" si="140"/>
        <v>8.6400000000000005E-2</v>
      </c>
      <c r="O830" s="586">
        <f t="shared" si="137"/>
        <v>-4.052569924242283E-2</v>
      </c>
      <c r="P830" s="585">
        <f t="shared" si="141"/>
        <v>-4.7725699242422842E-2</v>
      </c>
      <c r="Q830" s="585">
        <f t="shared" si="142"/>
        <v>-0.12244198162782116</v>
      </c>
      <c r="R830" s="585">
        <f t="shared" si="143"/>
        <v>8.8523999999999992E-2</v>
      </c>
      <c r="S830" s="586">
        <f t="shared" si="144"/>
        <v>-0.21096598162782115</v>
      </c>
      <c r="U830" s="587"/>
      <c r="V830" s="587"/>
      <c r="W830" s="587"/>
      <c r="X830" s="587"/>
      <c r="Y830" s="587"/>
      <c r="Z830" s="587"/>
      <c r="AA830" s="587"/>
      <c r="AB830" s="587"/>
      <c r="AC830" s="587"/>
      <c r="AE830" s="587"/>
      <c r="AF830" s="587"/>
      <c r="AG830" s="587"/>
      <c r="AH830" s="587"/>
      <c r="AI830" s="587"/>
      <c r="AJ830" s="587"/>
      <c r="AK830" s="587"/>
      <c r="AL830" s="587"/>
      <c r="AM830" s="587"/>
      <c r="AO830" s="587"/>
      <c r="AP830" s="587"/>
      <c r="AQ830" s="587"/>
      <c r="AR830" s="587"/>
      <c r="AS830" s="587"/>
      <c r="AT830" s="587"/>
      <c r="AU830" s="587"/>
      <c r="AV830" s="587"/>
      <c r="AW830" s="587"/>
    </row>
    <row r="831" spans="1:49">
      <c r="A831" s="581">
        <v>34639</v>
      </c>
      <c r="B831" s="594">
        <v>-3.6400000000000002E-2</v>
      </c>
      <c r="C831" s="577">
        <v>-1.46E-2</v>
      </c>
      <c r="D831" s="577">
        <v>6.4000000000000003E-3</v>
      </c>
      <c r="E831" s="577">
        <v>7.2333333333333329E-3</v>
      </c>
      <c r="F831" s="577">
        <v>7.358333333333333E-3</v>
      </c>
      <c r="G831" s="577">
        <v>7.2958333333333321E-3</v>
      </c>
      <c r="H831" s="577">
        <v>7.4862499999999998E-3</v>
      </c>
      <c r="I831" s="577">
        <f t="shared" si="134"/>
        <v>-4.2800000000000005E-2</v>
      </c>
      <c r="J831" s="577">
        <f t="shared" si="138"/>
        <v>-4.3695833333333337E-2</v>
      </c>
      <c r="K831" s="577">
        <f t="shared" si="139"/>
        <v>-2.2086250000000002E-2</v>
      </c>
      <c r="L831" s="585">
        <f t="shared" si="135"/>
        <v>1.0465983048966621E-2</v>
      </c>
      <c r="M831" s="585">
        <f t="shared" si="136"/>
        <v>7.6800000000000007E-2</v>
      </c>
      <c r="N831" s="585">
        <f t="shared" si="140"/>
        <v>8.7549999999999989E-2</v>
      </c>
      <c r="O831" s="586">
        <f t="shared" si="137"/>
        <v>-6.6334016951033387E-2</v>
      </c>
      <c r="P831" s="585">
        <f t="shared" si="141"/>
        <v>-7.7084016951033368E-2</v>
      </c>
      <c r="Q831" s="585">
        <f t="shared" si="142"/>
        <v>-8.907018718640547E-2</v>
      </c>
      <c r="R831" s="585">
        <f t="shared" si="143"/>
        <v>8.9834999999999998E-2</v>
      </c>
      <c r="S831" s="586">
        <f t="shared" si="144"/>
        <v>-0.17890518718640547</v>
      </c>
      <c r="U831" s="587"/>
      <c r="V831" s="587"/>
      <c r="W831" s="587"/>
      <c r="X831" s="587"/>
      <c r="Y831" s="587"/>
      <c r="Z831" s="587"/>
      <c r="AA831" s="587"/>
      <c r="AB831" s="587"/>
      <c r="AC831" s="587"/>
      <c r="AE831" s="587"/>
      <c r="AF831" s="587"/>
      <c r="AG831" s="587"/>
      <c r="AH831" s="587"/>
      <c r="AI831" s="587"/>
      <c r="AJ831" s="587"/>
      <c r="AK831" s="587"/>
      <c r="AL831" s="587"/>
      <c r="AM831" s="587"/>
      <c r="AO831" s="587"/>
      <c r="AP831" s="587"/>
      <c r="AQ831" s="587"/>
      <c r="AR831" s="587"/>
      <c r="AS831" s="587"/>
      <c r="AT831" s="587"/>
      <c r="AU831" s="587"/>
      <c r="AV831" s="587"/>
      <c r="AW831" s="587"/>
    </row>
    <row r="832" spans="1:49">
      <c r="A832" s="581">
        <v>34669</v>
      </c>
      <c r="B832" s="594">
        <v>1.4800000000000001E-2</v>
      </c>
      <c r="C832" s="577">
        <v>5.1999999999999998E-3</v>
      </c>
      <c r="D832" s="577">
        <v>6.6E-3</v>
      </c>
      <c r="E832" s="577">
        <v>7.0500000000000007E-3</v>
      </c>
      <c r="F832" s="577">
        <v>7.1833333333333324E-3</v>
      </c>
      <c r="G832" s="577">
        <v>7.116666666666667E-3</v>
      </c>
      <c r="H832" s="577">
        <v>7.3067500000000007E-3</v>
      </c>
      <c r="I832" s="577">
        <f t="shared" si="134"/>
        <v>8.2000000000000007E-3</v>
      </c>
      <c r="J832" s="577">
        <f t="shared" si="138"/>
        <v>7.6833333333333337E-3</v>
      </c>
      <c r="K832" s="577">
        <f t="shared" si="139"/>
        <v>-2.106750000000001E-3</v>
      </c>
      <c r="L832" s="585">
        <f t="shared" si="135"/>
        <v>1.3161623948316548E-2</v>
      </c>
      <c r="M832" s="585">
        <f t="shared" si="136"/>
        <v>7.9199999999999993E-2</v>
      </c>
      <c r="N832" s="585">
        <f t="shared" si="140"/>
        <v>8.5400000000000004E-2</v>
      </c>
      <c r="O832" s="586">
        <f t="shared" si="137"/>
        <v>-6.6038376051683445E-2</v>
      </c>
      <c r="P832" s="585">
        <f t="shared" si="141"/>
        <v>-7.2238376051683456E-2</v>
      </c>
      <c r="Q832" s="585">
        <f t="shared" si="142"/>
        <v>-7.9454460802025451E-2</v>
      </c>
      <c r="R832" s="585">
        <f t="shared" si="143"/>
        <v>8.7681000000000009E-2</v>
      </c>
      <c r="S832" s="586">
        <f t="shared" si="144"/>
        <v>-0.16713546080202546</v>
      </c>
      <c r="U832" s="587"/>
      <c r="V832" s="587"/>
      <c r="W832" s="587"/>
      <c r="X832" s="587"/>
      <c r="Y832" s="587"/>
      <c r="Z832" s="587"/>
      <c r="AA832" s="587"/>
      <c r="AB832" s="587"/>
      <c r="AC832" s="587"/>
      <c r="AE832" s="587"/>
      <c r="AF832" s="587"/>
      <c r="AG832" s="587"/>
      <c r="AH832" s="587"/>
      <c r="AI832" s="587"/>
      <c r="AJ832" s="587"/>
      <c r="AK832" s="587"/>
      <c r="AL832" s="587"/>
      <c r="AM832" s="587"/>
      <c r="AO832" s="587"/>
      <c r="AP832" s="587"/>
      <c r="AQ832" s="587"/>
      <c r="AR832" s="587"/>
      <c r="AS832" s="587"/>
      <c r="AT832" s="587"/>
      <c r="AU832" s="587"/>
      <c r="AV832" s="587"/>
      <c r="AW832" s="587"/>
    </row>
    <row r="833" spans="1:49">
      <c r="A833" s="581">
        <v>34700</v>
      </c>
      <c r="B833" s="594">
        <v>2.5899999999999999E-2</v>
      </c>
      <c r="C833" s="577">
        <v>7.7900000000000011E-2</v>
      </c>
      <c r="D833" s="577">
        <v>7.000000000000001E-3</v>
      </c>
      <c r="E833" s="577">
        <v>7.0500000000000007E-3</v>
      </c>
      <c r="F833" s="577">
        <v>7.1666666666666667E-3</v>
      </c>
      <c r="G833" s="577">
        <v>7.1083333333333346E-3</v>
      </c>
      <c r="H833" s="577">
        <v>7.2879166666666665E-3</v>
      </c>
      <c r="I833" s="577">
        <f t="shared" si="134"/>
        <v>1.89E-2</v>
      </c>
      <c r="J833" s="577">
        <f t="shared" si="138"/>
        <v>1.8791666666666665E-2</v>
      </c>
      <c r="K833" s="577">
        <f t="shared" si="139"/>
        <v>7.0612083333333339E-2</v>
      </c>
      <c r="L833" s="585">
        <f t="shared" si="135"/>
        <v>5.2248646117776243E-3</v>
      </c>
      <c r="M833" s="585">
        <f t="shared" si="136"/>
        <v>8.4000000000000019E-2</v>
      </c>
      <c r="N833" s="585">
        <f t="shared" si="140"/>
        <v>8.5300000000000015E-2</v>
      </c>
      <c r="O833" s="586">
        <f t="shared" si="137"/>
        <v>-7.8775135388222395E-2</v>
      </c>
      <c r="P833" s="585">
        <f t="shared" si="141"/>
        <v>-8.007513538822239E-2</v>
      </c>
      <c r="Q833" s="585">
        <f t="shared" si="142"/>
        <v>-1.4837135919880118E-2</v>
      </c>
      <c r="R833" s="585">
        <f t="shared" si="143"/>
        <v>8.7455000000000005E-2</v>
      </c>
      <c r="S833" s="586">
        <f t="shared" si="144"/>
        <v>-0.10229213591988012</v>
      </c>
      <c r="U833" s="587"/>
      <c r="V833" s="587"/>
      <c r="W833" s="587"/>
      <c r="X833" s="587"/>
      <c r="Y833" s="587"/>
      <c r="Z833" s="587"/>
      <c r="AA833" s="587"/>
      <c r="AB833" s="587"/>
      <c r="AC833" s="587"/>
      <c r="AE833" s="587"/>
      <c r="AF833" s="587"/>
      <c r="AG833" s="587"/>
      <c r="AH833" s="587"/>
      <c r="AI833" s="587"/>
      <c r="AJ833" s="587"/>
      <c r="AK833" s="587"/>
      <c r="AL833" s="587"/>
      <c r="AM833" s="587"/>
      <c r="AO833" s="587"/>
      <c r="AP833" s="587"/>
      <c r="AQ833" s="587"/>
      <c r="AR833" s="587"/>
      <c r="AS833" s="587"/>
      <c r="AT833" s="587"/>
      <c r="AU833" s="587"/>
      <c r="AV833" s="587"/>
      <c r="AW833" s="587"/>
    </row>
    <row r="834" spans="1:49">
      <c r="A834" s="581">
        <v>34731</v>
      </c>
      <c r="B834" s="594">
        <v>3.9E-2</v>
      </c>
      <c r="C834" s="577">
        <v>-1.5000000000000005E-3</v>
      </c>
      <c r="D834" s="577">
        <v>5.8999999999999999E-3</v>
      </c>
      <c r="E834" s="577">
        <v>6.8833333333333333E-3</v>
      </c>
      <c r="F834" s="577">
        <v>6.9916666666666669E-3</v>
      </c>
      <c r="G834" s="577">
        <v>6.937500000000001E-3</v>
      </c>
      <c r="H834" s="577">
        <v>7.1083333333333328E-3</v>
      </c>
      <c r="I834" s="577">
        <f t="shared" si="134"/>
        <v>3.3099999999999997E-2</v>
      </c>
      <c r="J834" s="577">
        <f t="shared" si="138"/>
        <v>3.2062500000000001E-2</v>
      </c>
      <c r="K834" s="577">
        <f t="shared" si="139"/>
        <v>-8.6083333333333324E-3</v>
      </c>
      <c r="L834" s="585">
        <f t="shared" si="135"/>
        <v>7.3521054919968076E-2</v>
      </c>
      <c r="M834" s="585">
        <f t="shared" si="136"/>
        <v>7.0800000000000002E-2</v>
      </c>
      <c r="N834" s="585">
        <f t="shared" si="140"/>
        <v>8.3250000000000018E-2</v>
      </c>
      <c r="O834" s="586">
        <f t="shared" si="137"/>
        <v>2.7210549199680745E-3</v>
      </c>
      <c r="P834" s="585">
        <f t="shared" si="141"/>
        <v>-9.7289450800319421E-3</v>
      </c>
      <c r="Q834" s="585">
        <f t="shared" si="142"/>
        <v>4.2812593855612757E-2</v>
      </c>
      <c r="R834" s="585">
        <f t="shared" si="143"/>
        <v>8.5299999999999987E-2</v>
      </c>
      <c r="S834" s="586">
        <f t="shared" si="144"/>
        <v>-4.248740614438723E-2</v>
      </c>
      <c r="U834" s="587"/>
      <c r="V834" s="587"/>
      <c r="W834" s="587"/>
      <c r="X834" s="587"/>
      <c r="Y834" s="587"/>
      <c r="Z834" s="587"/>
      <c r="AA834" s="587"/>
      <c r="AB834" s="587"/>
      <c r="AC834" s="587"/>
      <c r="AE834" s="587"/>
      <c r="AF834" s="587"/>
      <c r="AG834" s="587"/>
      <c r="AH834" s="587"/>
      <c r="AI834" s="587"/>
      <c r="AJ834" s="587"/>
      <c r="AK834" s="587"/>
      <c r="AL834" s="587"/>
      <c r="AM834" s="587"/>
      <c r="AO834" s="587"/>
      <c r="AP834" s="587"/>
      <c r="AQ834" s="587"/>
      <c r="AR834" s="587"/>
      <c r="AS834" s="587"/>
      <c r="AT834" s="587"/>
      <c r="AU834" s="587"/>
      <c r="AV834" s="587"/>
      <c r="AW834" s="587"/>
    </row>
    <row r="835" spans="1:49">
      <c r="A835" s="581">
        <v>34759</v>
      </c>
      <c r="B835" s="594">
        <v>2.9499999999999998E-2</v>
      </c>
      <c r="C835" s="577">
        <v>-6.0000000000000001E-3</v>
      </c>
      <c r="D835" s="577">
        <v>6.4000000000000003E-3</v>
      </c>
      <c r="E835" s="577">
        <v>6.7666666666666665E-3</v>
      </c>
      <c r="F835" s="577">
        <v>6.8666666666666668E-3</v>
      </c>
      <c r="G835" s="577">
        <v>6.8166666666666662E-3</v>
      </c>
      <c r="H835" s="577">
        <v>6.9785833333333332E-3</v>
      </c>
      <c r="I835" s="577">
        <f t="shared" si="134"/>
        <v>2.3099999999999999E-2</v>
      </c>
      <c r="J835" s="577">
        <f t="shared" si="138"/>
        <v>2.2683333333333333E-2</v>
      </c>
      <c r="K835" s="577">
        <f t="shared" si="139"/>
        <v>-1.2978583333333333E-2</v>
      </c>
      <c r="L835" s="585">
        <f t="shared" si="135"/>
        <v>0.15557290468434459</v>
      </c>
      <c r="M835" s="585">
        <f t="shared" si="136"/>
        <v>7.6800000000000007E-2</v>
      </c>
      <c r="N835" s="585">
        <f t="shared" si="140"/>
        <v>8.1799999999999998E-2</v>
      </c>
      <c r="O835" s="586">
        <f t="shared" si="137"/>
        <v>7.8772904684344586E-2</v>
      </c>
      <c r="P835" s="585">
        <f t="shared" si="141"/>
        <v>7.3772904684344595E-2</v>
      </c>
      <c r="Q835" s="585">
        <f t="shared" si="142"/>
        <v>7.2816930544896907E-2</v>
      </c>
      <c r="R835" s="585">
        <f t="shared" si="143"/>
        <v>8.3742999999999998E-2</v>
      </c>
      <c r="S835" s="586">
        <f t="shared" si="144"/>
        <v>-1.0926069455103091E-2</v>
      </c>
      <c r="U835" s="587"/>
      <c r="V835" s="587"/>
      <c r="W835" s="587"/>
      <c r="X835" s="587"/>
      <c r="Y835" s="587"/>
      <c r="Z835" s="587"/>
      <c r="AA835" s="587"/>
      <c r="AB835" s="587"/>
      <c r="AC835" s="587"/>
      <c r="AE835" s="587"/>
      <c r="AF835" s="587"/>
      <c r="AG835" s="587"/>
      <c r="AH835" s="587"/>
      <c r="AI835" s="587"/>
      <c r="AJ835" s="587"/>
      <c r="AK835" s="587"/>
      <c r="AL835" s="587"/>
      <c r="AM835" s="587"/>
      <c r="AO835" s="587"/>
      <c r="AP835" s="587"/>
      <c r="AQ835" s="587"/>
      <c r="AR835" s="587"/>
      <c r="AS835" s="587"/>
      <c r="AT835" s="587"/>
      <c r="AU835" s="587"/>
      <c r="AV835" s="587"/>
      <c r="AW835" s="587"/>
    </row>
    <row r="836" spans="1:49">
      <c r="A836" s="581">
        <v>34790</v>
      </c>
      <c r="B836" s="594">
        <v>2.9399999999999999E-2</v>
      </c>
      <c r="C836" s="577">
        <v>3.6500000000000005E-2</v>
      </c>
      <c r="D836" s="577">
        <v>5.7999999999999996E-3</v>
      </c>
      <c r="E836" s="577">
        <v>6.6916666666666661E-3</v>
      </c>
      <c r="F836" s="577">
        <v>6.7666666666666665E-3</v>
      </c>
      <c r="G836" s="577">
        <v>6.7291666666666663E-3</v>
      </c>
      <c r="H836" s="577">
        <v>6.8982499999999999E-3</v>
      </c>
      <c r="I836" s="577">
        <f t="shared" si="134"/>
        <v>2.3599999999999999E-2</v>
      </c>
      <c r="J836" s="577">
        <f t="shared" si="138"/>
        <v>2.2670833333333335E-2</v>
      </c>
      <c r="K836" s="577">
        <f t="shared" si="139"/>
        <v>2.9601750000000003E-2</v>
      </c>
      <c r="L836" s="585">
        <f t="shared" si="135"/>
        <v>0.17451298191357112</v>
      </c>
      <c r="M836" s="585">
        <f t="shared" si="136"/>
        <v>6.9599999999999995E-2</v>
      </c>
      <c r="N836" s="585">
        <f t="shared" si="140"/>
        <v>8.0749999999999988E-2</v>
      </c>
      <c r="O836" s="586">
        <f t="shared" si="137"/>
        <v>0.10491298191357112</v>
      </c>
      <c r="P836" s="585">
        <f t="shared" si="141"/>
        <v>9.3762981913571131E-2</v>
      </c>
      <c r="Q836" s="585">
        <f t="shared" si="142"/>
        <v>8.527693588696672E-2</v>
      </c>
      <c r="R836" s="585">
        <f t="shared" si="143"/>
        <v>8.2778999999999991E-2</v>
      </c>
      <c r="S836" s="586">
        <f t="shared" si="144"/>
        <v>2.497935886966729E-3</v>
      </c>
      <c r="U836" s="587"/>
      <c r="V836" s="587"/>
      <c r="W836" s="587"/>
      <c r="X836" s="587"/>
      <c r="Y836" s="587"/>
      <c r="Z836" s="587"/>
      <c r="AA836" s="587"/>
      <c r="AB836" s="587"/>
      <c r="AC836" s="587"/>
      <c r="AE836" s="587"/>
      <c r="AF836" s="587"/>
      <c r="AG836" s="587"/>
      <c r="AH836" s="587"/>
      <c r="AI836" s="587"/>
      <c r="AJ836" s="587"/>
      <c r="AK836" s="587"/>
      <c r="AL836" s="587"/>
      <c r="AM836" s="587"/>
      <c r="AO836" s="587"/>
      <c r="AP836" s="587"/>
      <c r="AQ836" s="587"/>
      <c r="AR836" s="587"/>
      <c r="AS836" s="587"/>
      <c r="AT836" s="587"/>
      <c r="AU836" s="587"/>
      <c r="AV836" s="587"/>
      <c r="AW836" s="587"/>
    </row>
    <row r="837" spans="1:49">
      <c r="A837" s="581">
        <v>34820</v>
      </c>
      <c r="B837" s="594">
        <v>0.04</v>
      </c>
      <c r="C837" s="577">
        <v>3.1600000000000003E-2</v>
      </c>
      <c r="D837" s="577">
        <v>6.5000000000000006E-3</v>
      </c>
      <c r="E837" s="577">
        <v>6.3750000000000005E-3</v>
      </c>
      <c r="F837" s="577">
        <v>6.45E-3</v>
      </c>
      <c r="G837" s="577">
        <v>6.4125000000000007E-3</v>
      </c>
      <c r="H837" s="577">
        <v>6.6102499999999998E-3</v>
      </c>
      <c r="I837" s="577">
        <f t="shared" si="134"/>
        <v>3.3500000000000002E-2</v>
      </c>
      <c r="J837" s="577">
        <f t="shared" si="138"/>
        <v>3.3587499999999999E-2</v>
      </c>
      <c r="K837" s="577">
        <f t="shared" si="139"/>
        <v>2.4989750000000005E-2</v>
      </c>
      <c r="L837" s="585">
        <f t="shared" si="135"/>
        <v>0.20178423965969428</v>
      </c>
      <c r="M837" s="585">
        <f t="shared" si="136"/>
        <v>7.8000000000000014E-2</v>
      </c>
      <c r="N837" s="585">
        <f t="shared" si="140"/>
        <v>7.6950000000000005E-2</v>
      </c>
      <c r="O837" s="586">
        <f t="shared" si="137"/>
        <v>0.12378423965969426</v>
      </c>
      <c r="P837" s="585">
        <f t="shared" si="141"/>
        <v>0.12483423965969427</v>
      </c>
      <c r="Q837" s="585">
        <f t="shared" si="142"/>
        <v>0.15040247334668555</v>
      </c>
      <c r="R837" s="585">
        <f t="shared" si="143"/>
        <v>7.9323000000000005E-2</v>
      </c>
      <c r="S837" s="586">
        <f t="shared" si="144"/>
        <v>7.1079473346685546E-2</v>
      </c>
      <c r="U837" s="587"/>
      <c r="V837" s="587"/>
      <c r="W837" s="587"/>
      <c r="X837" s="587"/>
      <c r="Y837" s="587"/>
      <c r="Z837" s="587"/>
      <c r="AA837" s="587"/>
      <c r="AB837" s="587"/>
      <c r="AC837" s="587"/>
      <c r="AE837" s="587"/>
      <c r="AF837" s="587"/>
      <c r="AG837" s="587"/>
      <c r="AH837" s="587"/>
      <c r="AI837" s="587"/>
      <c r="AJ837" s="587"/>
      <c r="AK837" s="587"/>
      <c r="AL837" s="587"/>
      <c r="AM837" s="587"/>
      <c r="AO837" s="587"/>
      <c r="AP837" s="587"/>
      <c r="AQ837" s="587"/>
      <c r="AR837" s="587"/>
      <c r="AS837" s="587"/>
      <c r="AT837" s="587"/>
      <c r="AU837" s="587"/>
      <c r="AV837" s="587"/>
      <c r="AW837" s="587"/>
    </row>
    <row r="838" spans="1:49">
      <c r="A838" s="581">
        <v>34851</v>
      </c>
      <c r="B838" s="594">
        <v>2.3199999999999998E-2</v>
      </c>
      <c r="C838" s="577">
        <v>4.6999999999999993E-3</v>
      </c>
      <c r="D838" s="577">
        <v>5.4000000000000003E-3</v>
      </c>
      <c r="E838" s="577">
        <v>6.083333333333333E-3</v>
      </c>
      <c r="F838" s="577">
        <v>6.1916666666666665E-3</v>
      </c>
      <c r="G838" s="577">
        <v>6.1375000000000006E-3</v>
      </c>
      <c r="H838" s="577">
        <v>6.3360000000000005E-3</v>
      </c>
      <c r="I838" s="577">
        <f t="shared" ref="I838:I901" si="145">B838-D838</f>
        <v>1.7799999999999996E-2</v>
      </c>
      <c r="J838" s="577">
        <f t="shared" si="138"/>
        <v>1.7062499999999998E-2</v>
      </c>
      <c r="K838" s="577">
        <f t="shared" si="139"/>
        <v>-1.6360000000000012E-3</v>
      </c>
      <c r="L838" s="585">
        <f t="shared" si="135"/>
        <v>0.26054908664254173</v>
      </c>
      <c r="M838" s="585">
        <f t="shared" si="136"/>
        <v>6.4799999999999996E-2</v>
      </c>
      <c r="N838" s="585">
        <f t="shared" si="140"/>
        <v>7.3650000000000007E-2</v>
      </c>
      <c r="O838" s="586">
        <f t="shared" si="137"/>
        <v>0.19574908664254173</v>
      </c>
      <c r="P838" s="585">
        <f t="shared" si="141"/>
        <v>0.18689908664254173</v>
      </c>
      <c r="Q838" s="585">
        <f t="shared" si="142"/>
        <v>0.15338725174275525</v>
      </c>
      <c r="R838" s="585">
        <f t="shared" si="143"/>
        <v>7.6032000000000002E-2</v>
      </c>
      <c r="S838" s="586">
        <f t="shared" si="144"/>
        <v>7.7355251742755246E-2</v>
      </c>
      <c r="U838" s="587"/>
      <c r="V838" s="587"/>
      <c r="W838" s="587"/>
      <c r="X838" s="587"/>
      <c r="Y838" s="587"/>
      <c r="Z838" s="587"/>
      <c r="AA838" s="587"/>
      <c r="AB838" s="587"/>
      <c r="AC838" s="587"/>
      <c r="AE838" s="587"/>
      <c r="AF838" s="587"/>
      <c r="AG838" s="587"/>
      <c r="AH838" s="587"/>
      <c r="AI838" s="587"/>
      <c r="AJ838" s="587"/>
      <c r="AK838" s="587"/>
      <c r="AL838" s="587"/>
      <c r="AM838" s="587"/>
      <c r="AO838" s="587"/>
      <c r="AP838" s="587"/>
      <c r="AQ838" s="587"/>
      <c r="AR838" s="587"/>
      <c r="AS838" s="587"/>
      <c r="AT838" s="587"/>
      <c r="AU838" s="587"/>
      <c r="AV838" s="587"/>
      <c r="AW838" s="587"/>
    </row>
    <row r="839" spans="1:49">
      <c r="A839" s="581">
        <v>34881</v>
      </c>
      <c r="B839" s="594">
        <v>3.32E-2</v>
      </c>
      <c r="C839" s="577">
        <v>2.5500000000000002E-2</v>
      </c>
      <c r="D839" s="577">
        <v>5.5999999999999991E-3</v>
      </c>
      <c r="E839" s="577">
        <v>6.1750000000000008E-3</v>
      </c>
      <c r="F839" s="577">
        <v>6.2833333333333326E-3</v>
      </c>
      <c r="G839" s="577">
        <v>6.2291666666666667E-3</v>
      </c>
      <c r="H839" s="577">
        <v>6.4079166666666668E-3</v>
      </c>
      <c r="I839" s="577">
        <f t="shared" si="145"/>
        <v>2.76E-2</v>
      </c>
      <c r="J839" s="577">
        <f t="shared" si="138"/>
        <v>2.6970833333333333E-2</v>
      </c>
      <c r="K839" s="577">
        <f t="shared" si="139"/>
        <v>1.9092083333333336E-2</v>
      </c>
      <c r="L839" s="585">
        <f t="shared" si="135"/>
        <v>0.26103729310522295</v>
      </c>
      <c r="M839" s="585">
        <f t="shared" si="136"/>
        <v>6.7199999999999982E-2</v>
      </c>
      <c r="N839" s="585">
        <f t="shared" si="140"/>
        <v>7.4749999999999997E-2</v>
      </c>
      <c r="O839" s="586">
        <f t="shared" si="137"/>
        <v>0.19383729310522296</v>
      </c>
      <c r="P839" s="585">
        <f t="shared" si="141"/>
        <v>0.18628729310522296</v>
      </c>
      <c r="Q839" s="585">
        <f t="shared" si="142"/>
        <v>0.14434851650754199</v>
      </c>
      <c r="R839" s="585">
        <f t="shared" si="143"/>
        <v>7.6895000000000005E-2</v>
      </c>
      <c r="S839" s="586">
        <f t="shared" si="144"/>
        <v>6.7453516507541986E-2</v>
      </c>
      <c r="U839" s="587"/>
      <c r="V839" s="587"/>
      <c r="W839" s="587"/>
      <c r="X839" s="587"/>
      <c r="Y839" s="587"/>
      <c r="Z839" s="587"/>
      <c r="AA839" s="587"/>
      <c r="AB839" s="587"/>
      <c r="AC839" s="587"/>
      <c r="AE839" s="587"/>
      <c r="AF839" s="587"/>
      <c r="AG839" s="587"/>
      <c r="AH839" s="587"/>
      <c r="AI839" s="587"/>
      <c r="AJ839" s="587"/>
      <c r="AK839" s="587"/>
      <c r="AL839" s="587"/>
      <c r="AM839" s="587"/>
      <c r="AO839" s="587"/>
      <c r="AP839" s="587"/>
      <c r="AQ839" s="587"/>
      <c r="AR839" s="587"/>
      <c r="AS839" s="587"/>
      <c r="AT839" s="587"/>
      <c r="AU839" s="587"/>
      <c r="AV839" s="587"/>
      <c r="AW839" s="587"/>
    </row>
    <row r="840" spans="1:49">
      <c r="A840" s="581">
        <v>34912</v>
      </c>
      <c r="B840" s="594">
        <v>2.5000000000000001E-3</v>
      </c>
      <c r="C840" s="577">
        <v>2.0200000000000006E-2</v>
      </c>
      <c r="D840" s="577">
        <v>5.7000000000000002E-3</v>
      </c>
      <c r="E840" s="577">
        <v>6.3083333333333333E-3</v>
      </c>
      <c r="F840" s="577">
        <v>6.4083333333333336E-3</v>
      </c>
      <c r="G840" s="577">
        <v>6.3583333333333339E-3</v>
      </c>
      <c r="H840" s="577">
        <v>6.5322500000000007E-3</v>
      </c>
      <c r="I840" s="577">
        <f t="shared" si="145"/>
        <v>-3.2000000000000002E-3</v>
      </c>
      <c r="J840" s="577">
        <f t="shared" si="138"/>
        <v>-3.8583333333333338E-3</v>
      </c>
      <c r="K840" s="577">
        <f t="shared" si="139"/>
        <v>1.3667750000000006E-2</v>
      </c>
      <c r="L840" s="585">
        <f t="shared" si="135"/>
        <v>0.21439950656867057</v>
      </c>
      <c r="M840" s="585">
        <f t="shared" si="136"/>
        <v>6.8400000000000002E-2</v>
      </c>
      <c r="N840" s="585">
        <f t="shared" si="140"/>
        <v>7.6300000000000007E-2</v>
      </c>
      <c r="O840" s="586">
        <f t="shared" si="137"/>
        <v>0.14599950656867056</v>
      </c>
      <c r="P840" s="585">
        <f t="shared" si="141"/>
        <v>0.13809950656867057</v>
      </c>
      <c r="Q840" s="585">
        <f t="shared" si="142"/>
        <v>0.17074243536000222</v>
      </c>
      <c r="R840" s="585">
        <f t="shared" si="143"/>
        <v>7.8387000000000012E-2</v>
      </c>
      <c r="S840" s="586">
        <f t="shared" si="144"/>
        <v>9.2355435360002208E-2</v>
      </c>
      <c r="U840" s="587"/>
      <c r="V840" s="587"/>
      <c r="W840" s="587"/>
      <c r="X840" s="587"/>
      <c r="Y840" s="587"/>
      <c r="Z840" s="587"/>
      <c r="AA840" s="587"/>
      <c r="AB840" s="587"/>
      <c r="AC840" s="587"/>
      <c r="AE840" s="587"/>
      <c r="AF840" s="587"/>
      <c r="AG840" s="587"/>
      <c r="AH840" s="587"/>
      <c r="AI840" s="587"/>
      <c r="AJ840" s="587"/>
      <c r="AK840" s="587"/>
      <c r="AL840" s="587"/>
      <c r="AM840" s="587"/>
      <c r="AO840" s="587"/>
      <c r="AP840" s="587"/>
      <c r="AQ840" s="587"/>
      <c r="AR840" s="587"/>
      <c r="AS840" s="587"/>
      <c r="AT840" s="587"/>
      <c r="AU840" s="587"/>
      <c r="AV840" s="587"/>
      <c r="AW840" s="587"/>
    </row>
    <row r="841" spans="1:49">
      <c r="A841" s="581">
        <v>34943</v>
      </c>
      <c r="B841" s="594">
        <v>4.2200000000000001E-2</v>
      </c>
      <c r="C841" s="577">
        <v>6.3799999999999996E-2</v>
      </c>
      <c r="D841" s="577">
        <v>5.1999999999999998E-3</v>
      </c>
      <c r="E841" s="577">
        <v>6.0999999999999995E-3</v>
      </c>
      <c r="F841" s="577">
        <v>6.2083333333333331E-3</v>
      </c>
      <c r="G841" s="577">
        <v>6.1541666666666672E-3</v>
      </c>
      <c r="H841" s="577">
        <v>6.3499999999999997E-3</v>
      </c>
      <c r="I841" s="577">
        <f t="shared" si="145"/>
        <v>3.7000000000000005E-2</v>
      </c>
      <c r="J841" s="577">
        <f t="shared" si="138"/>
        <v>3.6045833333333333E-2</v>
      </c>
      <c r="K841" s="577">
        <f t="shared" si="139"/>
        <v>5.7449999999999994E-2</v>
      </c>
      <c r="L841" s="585">
        <f t="shared" si="135"/>
        <v>0.29743430624896816</v>
      </c>
      <c r="M841" s="585">
        <f t="shared" si="136"/>
        <v>6.2399999999999997E-2</v>
      </c>
      <c r="N841" s="585">
        <f t="shared" si="140"/>
        <v>7.3849999999999999E-2</v>
      </c>
      <c r="O841" s="586">
        <f t="shared" si="137"/>
        <v>0.23503430624896815</v>
      </c>
      <c r="P841" s="585">
        <f t="shared" si="141"/>
        <v>0.22358430624896816</v>
      </c>
      <c r="Q841" s="585">
        <f t="shared" si="142"/>
        <v>0.27789431842393908</v>
      </c>
      <c r="R841" s="585">
        <f t="shared" si="143"/>
        <v>7.619999999999999E-2</v>
      </c>
      <c r="S841" s="586">
        <f t="shared" si="144"/>
        <v>0.20169431842393909</v>
      </c>
      <c r="U841" s="587"/>
      <c r="V841" s="587"/>
      <c r="W841" s="587"/>
      <c r="X841" s="587"/>
      <c r="Y841" s="587"/>
      <c r="Z841" s="587"/>
      <c r="AA841" s="587"/>
      <c r="AB841" s="587"/>
      <c r="AC841" s="587"/>
      <c r="AE841" s="587"/>
      <c r="AF841" s="587"/>
      <c r="AG841" s="587"/>
      <c r="AH841" s="587"/>
      <c r="AI841" s="587"/>
      <c r="AJ841" s="587"/>
      <c r="AK841" s="587"/>
      <c r="AL841" s="587"/>
      <c r="AM841" s="587"/>
      <c r="AO841" s="587"/>
      <c r="AP841" s="587"/>
      <c r="AQ841" s="587"/>
      <c r="AR841" s="587"/>
      <c r="AS841" s="587"/>
      <c r="AT841" s="587"/>
      <c r="AU841" s="587"/>
      <c r="AV841" s="587"/>
      <c r="AW841" s="587"/>
    </row>
    <row r="842" spans="1:49">
      <c r="A842" s="581">
        <v>34973</v>
      </c>
      <c r="B842" s="594">
        <v>-3.5999999999999999E-3</v>
      </c>
      <c r="C842" s="577">
        <v>2.3799999999999998E-2</v>
      </c>
      <c r="D842" s="577">
        <v>5.7000000000000002E-3</v>
      </c>
      <c r="E842" s="577">
        <v>5.9333333333333339E-3</v>
      </c>
      <c r="F842" s="577">
        <v>6.0583333333333331E-3</v>
      </c>
      <c r="G842" s="577">
        <v>5.9958333333333339E-3</v>
      </c>
      <c r="H842" s="577">
        <v>6.2238333333333338E-3</v>
      </c>
      <c r="I842" s="577">
        <f t="shared" si="145"/>
        <v>-9.2999999999999992E-3</v>
      </c>
      <c r="J842" s="577">
        <f t="shared" si="138"/>
        <v>-9.5958333333333347E-3</v>
      </c>
      <c r="K842" s="577">
        <f t="shared" si="139"/>
        <v>1.7576166666666664E-2</v>
      </c>
      <c r="L842" s="585">
        <f t="shared" si="135"/>
        <v>0.26431642322393323</v>
      </c>
      <c r="M842" s="585">
        <f t="shared" si="136"/>
        <v>6.8400000000000002E-2</v>
      </c>
      <c r="N842" s="585">
        <f t="shared" si="140"/>
        <v>7.1950000000000014E-2</v>
      </c>
      <c r="O842" s="586">
        <f t="shared" si="137"/>
        <v>0.19591642322393321</v>
      </c>
      <c r="P842" s="585">
        <f t="shared" si="141"/>
        <v>0.19236642322393321</v>
      </c>
      <c r="Q842" s="585">
        <f t="shared" si="142"/>
        <v>0.29715269006784539</v>
      </c>
      <c r="R842" s="585">
        <f t="shared" si="143"/>
        <v>7.4686000000000002E-2</v>
      </c>
      <c r="S842" s="586">
        <f t="shared" si="144"/>
        <v>0.22246669006784539</v>
      </c>
      <c r="U842" s="587"/>
      <c r="V842" s="587"/>
      <c r="W842" s="587"/>
      <c r="X842" s="587"/>
      <c r="Y842" s="587"/>
      <c r="Z842" s="587"/>
      <c r="AA842" s="587"/>
      <c r="AB842" s="587"/>
      <c r="AC842" s="587"/>
      <c r="AE842" s="587"/>
      <c r="AF842" s="587"/>
      <c r="AG842" s="587"/>
      <c r="AH842" s="587"/>
      <c r="AI842" s="587"/>
      <c r="AJ842" s="587"/>
      <c r="AK842" s="587"/>
      <c r="AL842" s="587"/>
      <c r="AM842" s="587"/>
      <c r="AO842" s="587"/>
      <c r="AP842" s="587"/>
      <c r="AQ842" s="587"/>
      <c r="AR842" s="587"/>
      <c r="AS842" s="587"/>
      <c r="AT842" s="587"/>
      <c r="AU842" s="587"/>
      <c r="AV842" s="587"/>
      <c r="AW842" s="587"/>
    </row>
    <row r="843" spans="1:49">
      <c r="A843" s="581">
        <v>35004</v>
      </c>
      <c r="B843" s="594">
        <v>4.3900000000000002E-2</v>
      </c>
      <c r="C843" s="577">
        <v>1.3599999999999999E-2</v>
      </c>
      <c r="D843" s="577">
        <v>5.1000000000000004E-3</v>
      </c>
      <c r="E843" s="577">
        <v>5.8499999999999993E-3</v>
      </c>
      <c r="F843" s="577">
        <v>5.9833333333333327E-3</v>
      </c>
      <c r="G843" s="577">
        <v>5.9166666666666656E-3</v>
      </c>
      <c r="H843" s="577">
        <v>6.1999999999999998E-3</v>
      </c>
      <c r="I843" s="577">
        <f t="shared" si="145"/>
        <v>3.8800000000000001E-2</v>
      </c>
      <c r="J843" s="577">
        <f t="shared" si="138"/>
        <v>3.7983333333333334E-2</v>
      </c>
      <c r="K843" s="577">
        <f t="shared" si="139"/>
        <v>7.3999999999999995E-3</v>
      </c>
      <c r="L843" s="585">
        <f t="shared" si="135"/>
        <v>0.36967612515926107</v>
      </c>
      <c r="M843" s="585">
        <f t="shared" si="136"/>
        <v>6.1200000000000004E-2</v>
      </c>
      <c r="N843" s="585">
        <f t="shared" si="140"/>
        <v>7.099999999999998E-2</v>
      </c>
      <c r="O843" s="586">
        <f t="shared" si="137"/>
        <v>0.30847612515926104</v>
      </c>
      <c r="P843" s="585">
        <f t="shared" si="141"/>
        <v>0.29867612515926112</v>
      </c>
      <c r="Q843" s="585">
        <f t="shared" si="142"/>
        <v>0.33427437249113856</v>
      </c>
      <c r="R843" s="585">
        <f t="shared" si="143"/>
        <v>7.4399999999999994E-2</v>
      </c>
      <c r="S843" s="586">
        <f t="shared" si="144"/>
        <v>0.25987437249113854</v>
      </c>
      <c r="U843" s="587"/>
      <c r="V843" s="587"/>
      <c r="W843" s="587"/>
      <c r="X843" s="587"/>
      <c r="Y843" s="587"/>
      <c r="Z843" s="587"/>
      <c r="AA843" s="587"/>
      <c r="AB843" s="587"/>
      <c r="AC843" s="587"/>
      <c r="AE843" s="587"/>
      <c r="AF843" s="587"/>
      <c r="AG843" s="587"/>
      <c r="AH843" s="587"/>
      <c r="AI843" s="587"/>
      <c r="AJ843" s="587"/>
      <c r="AK843" s="587"/>
      <c r="AL843" s="587"/>
      <c r="AM843" s="587"/>
      <c r="AO843" s="587"/>
      <c r="AP843" s="587"/>
      <c r="AQ843" s="587"/>
      <c r="AR843" s="587"/>
      <c r="AS843" s="587"/>
      <c r="AT843" s="587"/>
      <c r="AU843" s="587"/>
      <c r="AV843" s="587"/>
      <c r="AW843" s="587"/>
    </row>
    <row r="844" spans="1:49">
      <c r="A844" s="581">
        <v>35034</v>
      </c>
      <c r="B844" s="594">
        <v>1.9300000000000001E-2</v>
      </c>
      <c r="C844" s="577">
        <v>7.0800000000000002E-2</v>
      </c>
      <c r="D844" s="577">
        <v>4.8999999999999998E-3</v>
      </c>
      <c r="E844" s="577">
        <v>5.6833333333333336E-3</v>
      </c>
      <c r="F844" s="577">
        <v>5.8250000000000003E-3</v>
      </c>
      <c r="G844" s="577">
        <v>5.754166666666667E-3</v>
      </c>
      <c r="H844" s="577">
        <v>6.0447499999999998E-3</v>
      </c>
      <c r="I844" s="577">
        <f t="shared" si="145"/>
        <v>1.4400000000000001E-2</v>
      </c>
      <c r="J844" s="577">
        <f t="shared" si="138"/>
        <v>1.3545833333333333E-2</v>
      </c>
      <c r="K844" s="577">
        <f t="shared" si="139"/>
        <v>6.475525E-2</v>
      </c>
      <c r="L844" s="585">
        <f t="shared" si="135"/>
        <v>0.37574977766538731</v>
      </c>
      <c r="M844" s="585">
        <f t="shared" si="136"/>
        <v>5.8799999999999998E-2</v>
      </c>
      <c r="N844" s="585">
        <f t="shared" si="140"/>
        <v>6.905E-2</v>
      </c>
      <c r="O844" s="586">
        <f t="shared" si="137"/>
        <v>0.31694977766538729</v>
      </c>
      <c r="P844" s="585">
        <f t="shared" si="141"/>
        <v>0.30669977766538731</v>
      </c>
      <c r="Q844" s="585">
        <f t="shared" si="142"/>
        <v>0.42134997817699094</v>
      </c>
      <c r="R844" s="585">
        <f t="shared" si="143"/>
        <v>7.253699999999999E-2</v>
      </c>
      <c r="S844" s="586">
        <f t="shared" si="144"/>
        <v>0.34881297817699097</v>
      </c>
      <c r="U844" s="587"/>
      <c r="V844" s="587"/>
      <c r="W844" s="587"/>
      <c r="X844" s="587"/>
      <c r="Y844" s="587"/>
      <c r="Z844" s="587"/>
      <c r="AA844" s="587"/>
      <c r="AB844" s="587"/>
      <c r="AC844" s="587"/>
      <c r="AE844" s="587"/>
      <c r="AF844" s="587"/>
      <c r="AG844" s="587"/>
      <c r="AH844" s="587"/>
      <c r="AI844" s="587"/>
      <c r="AJ844" s="587"/>
      <c r="AK844" s="587"/>
      <c r="AL844" s="587"/>
      <c r="AM844" s="587"/>
      <c r="AO844" s="587"/>
      <c r="AP844" s="587"/>
      <c r="AQ844" s="587"/>
      <c r="AR844" s="587"/>
      <c r="AS844" s="587"/>
      <c r="AT844" s="587"/>
      <c r="AU844" s="587"/>
      <c r="AV844" s="587"/>
      <c r="AW844" s="587"/>
    </row>
    <row r="845" spans="1:49">
      <c r="A845" s="581">
        <v>35065</v>
      </c>
      <c r="B845" s="594">
        <v>3.4000000000000002E-2</v>
      </c>
      <c r="C845" s="577">
        <v>1.29E-2</v>
      </c>
      <c r="D845" s="577">
        <v>5.4000000000000003E-3</v>
      </c>
      <c r="E845" s="577">
        <v>5.6750000000000004E-3</v>
      </c>
      <c r="F845" s="577">
        <v>5.8250000000000003E-3</v>
      </c>
      <c r="G845" s="577">
        <v>5.7499999999999999E-3</v>
      </c>
      <c r="H845" s="577">
        <v>6.005666666666667E-3</v>
      </c>
      <c r="I845" s="577">
        <f t="shared" si="145"/>
        <v>2.86E-2</v>
      </c>
      <c r="J845" s="577">
        <f t="shared" si="138"/>
        <v>2.8250000000000004E-2</v>
      </c>
      <c r="K845" s="577">
        <f t="shared" si="139"/>
        <v>6.894333333333333E-3</v>
      </c>
      <c r="L845" s="585">
        <f t="shared" si="135"/>
        <v>0.38661201881860885</v>
      </c>
      <c r="M845" s="585">
        <f t="shared" si="136"/>
        <v>6.4799999999999996E-2</v>
      </c>
      <c r="N845" s="585">
        <f t="shared" si="140"/>
        <v>6.9000000000000006E-2</v>
      </c>
      <c r="O845" s="586">
        <f t="shared" si="137"/>
        <v>0.32181201881860888</v>
      </c>
      <c r="P845" s="585">
        <f t="shared" si="141"/>
        <v>0.31761201881860884</v>
      </c>
      <c r="Q845" s="585">
        <f t="shared" si="142"/>
        <v>0.33563910649918749</v>
      </c>
      <c r="R845" s="585">
        <f t="shared" si="143"/>
        <v>7.2068000000000007E-2</v>
      </c>
      <c r="S845" s="586">
        <f t="shared" si="144"/>
        <v>0.26357110649918747</v>
      </c>
      <c r="U845" s="587"/>
      <c r="V845" s="587"/>
      <c r="W845" s="587"/>
      <c r="X845" s="587"/>
      <c r="Y845" s="587"/>
      <c r="Z845" s="587"/>
      <c r="AA845" s="587"/>
      <c r="AB845" s="587"/>
      <c r="AC845" s="587"/>
      <c r="AE845" s="587"/>
      <c r="AF845" s="587"/>
      <c r="AG845" s="587"/>
      <c r="AH845" s="587"/>
      <c r="AI845" s="587"/>
      <c r="AJ845" s="587"/>
      <c r="AK845" s="587"/>
      <c r="AL845" s="587"/>
      <c r="AM845" s="587"/>
      <c r="AO845" s="587"/>
      <c r="AP845" s="587"/>
      <c r="AQ845" s="587"/>
      <c r="AR845" s="587"/>
      <c r="AS845" s="587"/>
      <c r="AT845" s="587"/>
      <c r="AU845" s="587"/>
      <c r="AV845" s="587"/>
      <c r="AW845" s="587"/>
    </row>
    <row r="846" spans="1:49">
      <c r="A846" s="581">
        <v>35096</v>
      </c>
      <c r="B846" s="594">
        <v>9.2999999999999992E-3</v>
      </c>
      <c r="C846" s="577">
        <v>-3.95E-2</v>
      </c>
      <c r="D846" s="577">
        <v>4.7999999999999996E-3</v>
      </c>
      <c r="E846" s="577">
        <v>5.8250000000000003E-3</v>
      </c>
      <c r="F846" s="577">
        <v>5.966666666666667E-3</v>
      </c>
      <c r="G846" s="577">
        <v>5.8958333333333337E-3</v>
      </c>
      <c r="H846" s="577">
        <v>6.1250000000000002E-3</v>
      </c>
      <c r="I846" s="577">
        <f t="shared" si="145"/>
        <v>4.4999999999999997E-3</v>
      </c>
      <c r="J846" s="577">
        <f t="shared" si="138"/>
        <v>3.4041666666666656E-3</v>
      </c>
      <c r="K846" s="577">
        <f t="shared" si="139"/>
        <v>-4.5624999999999999E-2</v>
      </c>
      <c r="L846" s="585">
        <f t="shared" si="135"/>
        <v>0.34697546736633456</v>
      </c>
      <c r="M846" s="585">
        <f t="shared" si="136"/>
        <v>5.7599999999999998E-2</v>
      </c>
      <c r="N846" s="585">
        <f t="shared" si="140"/>
        <v>7.0750000000000007E-2</v>
      </c>
      <c r="O846" s="586">
        <f t="shared" si="137"/>
        <v>0.28937546736633457</v>
      </c>
      <c r="P846" s="585">
        <f t="shared" si="141"/>
        <v>0.27622546736633458</v>
      </c>
      <c r="Q846" s="585">
        <f t="shared" si="142"/>
        <v>0.28480857465445042</v>
      </c>
      <c r="R846" s="585">
        <f t="shared" si="143"/>
        <v>7.350000000000001E-2</v>
      </c>
      <c r="S846" s="586">
        <f t="shared" si="144"/>
        <v>0.21130857465445041</v>
      </c>
      <c r="U846" s="587"/>
      <c r="V846" s="587"/>
      <c r="W846" s="587"/>
      <c r="X846" s="587"/>
      <c r="Y846" s="587"/>
      <c r="Z846" s="587"/>
      <c r="AA846" s="587"/>
      <c r="AB846" s="587"/>
      <c r="AC846" s="587"/>
      <c r="AE846" s="587"/>
      <c r="AF846" s="587"/>
      <c r="AG846" s="587"/>
      <c r="AH846" s="587"/>
      <c r="AI846" s="587"/>
      <c r="AJ846" s="587"/>
      <c r="AK846" s="587"/>
      <c r="AL846" s="587"/>
      <c r="AM846" s="587"/>
      <c r="AO846" s="587"/>
      <c r="AP846" s="587"/>
      <c r="AQ846" s="587"/>
      <c r="AR846" s="587"/>
      <c r="AS846" s="587"/>
      <c r="AT846" s="587"/>
      <c r="AU846" s="587"/>
      <c r="AV846" s="587"/>
      <c r="AW846" s="587"/>
    </row>
    <row r="847" spans="1:49">
      <c r="A847" s="581">
        <v>35125</v>
      </c>
      <c r="B847" s="594">
        <v>9.5999999999999992E-3</v>
      </c>
      <c r="C847" s="577">
        <v>-2.0299999999999999E-2</v>
      </c>
      <c r="D847" s="577">
        <v>5.1999999999999998E-3</v>
      </c>
      <c r="E847" s="577">
        <v>6.1249999999999994E-3</v>
      </c>
      <c r="F847" s="577">
        <v>6.266666666666666E-3</v>
      </c>
      <c r="G847" s="577">
        <v>6.1958333333333327E-3</v>
      </c>
      <c r="H847" s="577">
        <v>6.4353333333333337E-3</v>
      </c>
      <c r="I847" s="577">
        <f t="shared" si="145"/>
        <v>4.3999999999999994E-3</v>
      </c>
      <c r="J847" s="577">
        <f t="shared" si="138"/>
        <v>3.4041666666666665E-3</v>
      </c>
      <c r="K847" s="577">
        <f t="shared" si="139"/>
        <v>-2.6735333333333333E-2</v>
      </c>
      <c r="L847" s="585">
        <f t="shared" si="135"/>
        <v>0.32093873905104586</v>
      </c>
      <c r="M847" s="585">
        <f t="shared" si="136"/>
        <v>6.2399999999999997E-2</v>
      </c>
      <c r="N847" s="585">
        <f t="shared" si="140"/>
        <v>7.4349999999999999E-2</v>
      </c>
      <c r="O847" s="586">
        <f t="shared" si="137"/>
        <v>0.25853873905104585</v>
      </c>
      <c r="P847" s="585">
        <f t="shared" si="141"/>
        <v>0.24658873905104586</v>
      </c>
      <c r="Q847" s="585">
        <f t="shared" si="142"/>
        <v>0.26632491004926062</v>
      </c>
      <c r="R847" s="585">
        <f t="shared" si="143"/>
        <v>7.7224000000000001E-2</v>
      </c>
      <c r="S847" s="586">
        <f t="shared" si="144"/>
        <v>0.18910091004926061</v>
      </c>
      <c r="U847" s="587"/>
      <c r="V847" s="587"/>
      <c r="W847" s="587"/>
      <c r="X847" s="587"/>
      <c r="Y847" s="587"/>
      <c r="Z847" s="587"/>
      <c r="AA847" s="587"/>
      <c r="AB847" s="587"/>
      <c r="AC847" s="587"/>
      <c r="AE847" s="587"/>
      <c r="AF847" s="587"/>
      <c r="AG847" s="587"/>
      <c r="AH847" s="587"/>
      <c r="AI847" s="587"/>
      <c r="AJ847" s="587"/>
      <c r="AK847" s="587"/>
      <c r="AL847" s="587"/>
      <c r="AM847" s="587"/>
      <c r="AO847" s="587"/>
      <c r="AP847" s="587"/>
      <c r="AQ847" s="587"/>
      <c r="AR847" s="587"/>
      <c r="AS847" s="587"/>
      <c r="AT847" s="587"/>
      <c r="AU847" s="587"/>
      <c r="AV847" s="587"/>
      <c r="AW847" s="587"/>
    </row>
    <row r="848" spans="1:49">
      <c r="A848" s="581">
        <v>35156</v>
      </c>
      <c r="B848" s="594">
        <v>1.47E-2</v>
      </c>
      <c r="C848" s="577">
        <v>1.0999999999999999E-2</v>
      </c>
      <c r="D848" s="577">
        <v>5.8999999999999999E-3</v>
      </c>
      <c r="E848" s="577">
        <v>6.2500000000000003E-3</v>
      </c>
      <c r="F848" s="577">
        <v>6.4000000000000003E-3</v>
      </c>
      <c r="G848" s="577">
        <v>6.3250000000000008E-3</v>
      </c>
      <c r="H848" s="577">
        <v>6.5698333333333338E-3</v>
      </c>
      <c r="I848" s="577">
        <f t="shared" si="145"/>
        <v>8.7999999999999988E-3</v>
      </c>
      <c r="J848" s="577">
        <f t="shared" si="138"/>
        <v>8.3749999999999988E-3</v>
      </c>
      <c r="K848" s="577">
        <f t="shared" si="139"/>
        <v>4.4301666666666656E-3</v>
      </c>
      <c r="L848" s="585">
        <f t="shared" ref="L848:L911" si="146">((1+B837)*(1+B838)*(1+B839)*(1+B840)*(1+B841)*(1+B842)*(1+B843)*(1+B844)*(1+B845)*(1+B846)*(1+B847)*(1+B848))-1</f>
        <v>0.3020755182777306</v>
      </c>
      <c r="M848" s="585">
        <f t="shared" ref="M848:M911" si="147">D848*12</f>
        <v>7.0800000000000002E-2</v>
      </c>
      <c r="N848" s="585">
        <f t="shared" si="140"/>
        <v>7.5900000000000009E-2</v>
      </c>
      <c r="O848" s="586">
        <f t="shared" ref="O848:O911" si="148">L848-M848</f>
        <v>0.2312755182777306</v>
      </c>
      <c r="P848" s="585">
        <f t="shared" si="141"/>
        <v>0.22617551827773058</v>
      </c>
      <c r="Q848" s="585">
        <f t="shared" si="142"/>
        <v>0.23517075162547263</v>
      </c>
      <c r="R848" s="585">
        <f t="shared" si="143"/>
        <v>7.8838000000000005E-2</v>
      </c>
      <c r="S848" s="586">
        <f t="shared" si="144"/>
        <v>0.15633275162547261</v>
      </c>
      <c r="U848" s="587"/>
      <c r="V848" s="587"/>
      <c r="W848" s="587"/>
      <c r="X848" s="587"/>
      <c r="Y848" s="587"/>
      <c r="Z848" s="587"/>
      <c r="AA848" s="587"/>
      <c r="AB848" s="587"/>
      <c r="AC848" s="587"/>
      <c r="AE848" s="587"/>
      <c r="AF848" s="587"/>
      <c r="AG848" s="587"/>
      <c r="AH848" s="587"/>
      <c r="AI848" s="587"/>
      <c r="AJ848" s="587"/>
      <c r="AK848" s="587"/>
      <c r="AL848" s="587"/>
      <c r="AM848" s="587"/>
      <c r="AO848" s="587"/>
      <c r="AP848" s="587"/>
      <c r="AQ848" s="587"/>
      <c r="AR848" s="587"/>
      <c r="AS848" s="587"/>
      <c r="AT848" s="587"/>
      <c r="AU848" s="587"/>
      <c r="AV848" s="587"/>
      <c r="AW848" s="587"/>
    </row>
    <row r="849" spans="1:49">
      <c r="A849" s="581">
        <v>35186</v>
      </c>
      <c r="B849" s="594">
        <v>2.58E-2</v>
      </c>
      <c r="C849" s="577">
        <v>-2.4999999999999996E-3</v>
      </c>
      <c r="D849" s="577">
        <v>5.7999999999999996E-3</v>
      </c>
      <c r="E849" s="577">
        <v>6.3499999999999997E-3</v>
      </c>
      <c r="F849" s="577">
        <v>6.4749999999999999E-3</v>
      </c>
      <c r="G849" s="577">
        <v>6.4124999999999998E-3</v>
      </c>
      <c r="H849" s="577">
        <v>6.6504166666666665E-3</v>
      </c>
      <c r="I849" s="577">
        <f t="shared" si="145"/>
        <v>0.02</v>
      </c>
      <c r="J849" s="577">
        <f t="shared" si="138"/>
        <v>1.9387500000000002E-2</v>
      </c>
      <c r="K849" s="577">
        <f t="shared" si="139"/>
        <v>-9.1504166666666661E-3</v>
      </c>
      <c r="L849" s="585">
        <f t="shared" si="146"/>
        <v>0.28429717947047695</v>
      </c>
      <c r="M849" s="585">
        <f t="shared" si="147"/>
        <v>6.9599999999999995E-2</v>
      </c>
      <c r="N849" s="585">
        <f t="shared" si="140"/>
        <v>7.6949999999999991E-2</v>
      </c>
      <c r="O849" s="586">
        <f t="shared" si="148"/>
        <v>0.21469717947047695</v>
      </c>
      <c r="P849" s="585">
        <f t="shared" si="141"/>
        <v>0.20734717947047696</v>
      </c>
      <c r="Q849" s="585">
        <f t="shared" si="142"/>
        <v>0.19434162926173815</v>
      </c>
      <c r="R849" s="585">
        <f t="shared" si="143"/>
        <v>7.9805000000000001E-2</v>
      </c>
      <c r="S849" s="586">
        <f t="shared" si="144"/>
        <v>0.11453662926173815</v>
      </c>
      <c r="U849" s="587"/>
      <c r="V849" s="587"/>
      <c r="W849" s="587"/>
      <c r="X849" s="587"/>
      <c r="Y849" s="587"/>
      <c r="Z849" s="587"/>
      <c r="AA849" s="587"/>
      <c r="AB849" s="587"/>
      <c r="AC849" s="587"/>
      <c r="AE849" s="587"/>
      <c r="AF849" s="587"/>
      <c r="AG849" s="587"/>
      <c r="AH849" s="587"/>
      <c r="AI849" s="587"/>
      <c r="AJ849" s="587"/>
      <c r="AK849" s="587"/>
      <c r="AL849" s="587"/>
      <c r="AM849" s="587"/>
      <c r="AO849" s="587"/>
      <c r="AP849" s="587"/>
      <c r="AQ849" s="587"/>
      <c r="AR849" s="587"/>
      <c r="AS849" s="587"/>
      <c r="AT849" s="587"/>
      <c r="AU849" s="587"/>
      <c r="AV849" s="587"/>
      <c r="AW849" s="587"/>
    </row>
    <row r="850" spans="1:49">
      <c r="A850" s="581">
        <v>35217</v>
      </c>
      <c r="B850" s="594">
        <v>3.8E-3</v>
      </c>
      <c r="C850" s="577">
        <v>4.1599999999999998E-2</v>
      </c>
      <c r="D850" s="577">
        <v>5.4000000000000003E-3</v>
      </c>
      <c r="E850" s="577">
        <v>6.4249999999999993E-3</v>
      </c>
      <c r="F850" s="577">
        <v>6.5583333333333335E-3</v>
      </c>
      <c r="G850" s="577">
        <v>6.4916666666666664E-3</v>
      </c>
      <c r="H850" s="577">
        <v>6.7200000000000003E-3</v>
      </c>
      <c r="I850" s="577">
        <f t="shared" si="145"/>
        <v>-1.6000000000000003E-3</v>
      </c>
      <c r="J850" s="577">
        <f t="shared" si="138"/>
        <v>-2.6916666666666664E-3</v>
      </c>
      <c r="K850" s="577">
        <f t="shared" si="139"/>
        <v>3.4879999999999994E-2</v>
      </c>
      <c r="L850" s="585">
        <f t="shared" si="146"/>
        <v>0.2599467442850516</v>
      </c>
      <c r="M850" s="585">
        <f t="shared" si="147"/>
        <v>6.4799999999999996E-2</v>
      </c>
      <c r="N850" s="585">
        <f t="shared" si="140"/>
        <v>7.7899999999999997E-2</v>
      </c>
      <c r="O850" s="586">
        <f t="shared" si="148"/>
        <v>0.1951467442850516</v>
      </c>
      <c r="P850" s="585">
        <f t="shared" si="141"/>
        <v>0.1820467442850516</v>
      </c>
      <c r="Q850" s="585">
        <f t="shared" si="142"/>
        <v>0.23820666969147686</v>
      </c>
      <c r="R850" s="585">
        <f t="shared" si="143"/>
        <v>8.0640000000000003E-2</v>
      </c>
      <c r="S850" s="586">
        <f t="shared" si="144"/>
        <v>0.15756666969147687</v>
      </c>
      <c r="U850" s="587"/>
      <c r="V850" s="587"/>
      <c r="W850" s="587"/>
      <c r="X850" s="587"/>
      <c r="Y850" s="587"/>
      <c r="Z850" s="587"/>
      <c r="AA850" s="587"/>
      <c r="AB850" s="587"/>
      <c r="AC850" s="587"/>
      <c r="AE850" s="587"/>
      <c r="AF850" s="587"/>
      <c r="AG850" s="587"/>
      <c r="AH850" s="587"/>
      <c r="AI850" s="587"/>
      <c r="AJ850" s="587"/>
      <c r="AK850" s="587"/>
      <c r="AL850" s="587"/>
      <c r="AM850" s="587"/>
      <c r="AO850" s="587"/>
      <c r="AP850" s="587"/>
      <c r="AQ850" s="587"/>
      <c r="AR850" s="587"/>
      <c r="AS850" s="587"/>
      <c r="AT850" s="587"/>
      <c r="AU850" s="587"/>
      <c r="AV850" s="587"/>
      <c r="AW850" s="587"/>
    </row>
    <row r="851" spans="1:49">
      <c r="A851" s="581">
        <v>35247</v>
      </c>
      <c r="B851" s="594">
        <v>-4.4200000000000003E-2</v>
      </c>
      <c r="C851" s="577">
        <v>-6.2800000000000009E-2</v>
      </c>
      <c r="D851" s="577">
        <v>6.1999999999999998E-3</v>
      </c>
      <c r="E851" s="577">
        <v>6.3750000000000005E-3</v>
      </c>
      <c r="F851" s="577">
        <v>6.5166666666666671E-3</v>
      </c>
      <c r="G851" s="577">
        <v>6.4458333333333338E-3</v>
      </c>
      <c r="H851" s="577">
        <v>6.6876666666666664E-3</v>
      </c>
      <c r="I851" s="577">
        <f t="shared" si="145"/>
        <v>-5.04E-2</v>
      </c>
      <c r="J851" s="577">
        <f t="shared" si="138"/>
        <v>-5.0645833333333334E-2</v>
      </c>
      <c r="K851" s="577">
        <f t="shared" si="139"/>
        <v>-6.948766666666667E-2</v>
      </c>
      <c r="L851" s="585">
        <f t="shared" si="146"/>
        <v>0.16556048992223449</v>
      </c>
      <c r="M851" s="585">
        <f t="shared" si="147"/>
        <v>7.4399999999999994E-2</v>
      </c>
      <c r="N851" s="585">
        <f t="shared" si="140"/>
        <v>7.7350000000000002E-2</v>
      </c>
      <c r="O851" s="586">
        <f t="shared" si="148"/>
        <v>9.1160489922234494E-2</v>
      </c>
      <c r="P851" s="585">
        <f t="shared" si="141"/>
        <v>8.8210489922234486E-2</v>
      </c>
      <c r="Q851" s="585">
        <f t="shared" si="142"/>
        <v>0.13159170242306373</v>
      </c>
      <c r="R851" s="585">
        <f t="shared" si="143"/>
        <v>8.025199999999999E-2</v>
      </c>
      <c r="S851" s="586">
        <f t="shared" si="144"/>
        <v>5.1339702423063738E-2</v>
      </c>
      <c r="U851" s="587"/>
      <c r="V851" s="587"/>
      <c r="W851" s="587"/>
      <c r="X851" s="587"/>
      <c r="Y851" s="587"/>
      <c r="Z851" s="587"/>
      <c r="AA851" s="587"/>
      <c r="AB851" s="587"/>
      <c r="AC851" s="587"/>
      <c r="AE851" s="587"/>
      <c r="AF851" s="587"/>
      <c r="AG851" s="587"/>
      <c r="AH851" s="587"/>
      <c r="AI851" s="587"/>
      <c r="AJ851" s="587"/>
      <c r="AK851" s="587"/>
      <c r="AL851" s="587"/>
      <c r="AM851" s="587"/>
      <c r="AO851" s="587"/>
      <c r="AP851" s="587"/>
      <c r="AQ851" s="587"/>
      <c r="AR851" s="587"/>
      <c r="AS851" s="587"/>
      <c r="AT851" s="587"/>
      <c r="AU851" s="587"/>
      <c r="AV851" s="587"/>
      <c r="AW851" s="587"/>
    </row>
    <row r="852" spans="1:49">
      <c r="A852" s="581">
        <v>35278</v>
      </c>
      <c r="B852" s="594">
        <v>2.1100000000000001E-2</v>
      </c>
      <c r="C852" s="577">
        <v>2.1299999999999999E-2</v>
      </c>
      <c r="D852" s="577">
        <v>5.7000000000000002E-3</v>
      </c>
      <c r="E852" s="577">
        <v>6.2166666666666672E-3</v>
      </c>
      <c r="F852" s="577">
        <v>6.3583333333333339E-3</v>
      </c>
      <c r="G852" s="577">
        <v>6.2875000000000006E-3</v>
      </c>
      <c r="H852" s="577">
        <v>6.5318333333333331E-3</v>
      </c>
      <c r="I852" s="577">
        <f t="shared" si="145"/>
        <v>1.54E-2</v>
      </c>
      <c r="J852" s="577">
        <f t="shared" si="138"/>
        <v>1.4812499999999999E-2</v>
      </c>
      <c r="K852" s="577">
        <f t="shared" si="139"/>
        <v>1.4768166666666666E-2</v>
      </c>
      <c r="L852" s="585">
        <f t="shared" si="146"/>
        <v>0.18718585163051671</v>
      </c>
      <c r="M852" s="585">
        <f t="shared" si="147"/>
        <v>6.8400000000000002E-2</v>
      </c>
      <c r="N852" s="585">
        <f t="shared" si="140"/>
        <v>7.5450000000000003E-2</v>
      </c>
      <c r="O852" s="586">
        <f t="shared" si="148"/>
        <v>0.11878585163051671</v>
      </c>
      <c r="P852" s="585">
        <f t="shared" si="141"/>
        <v>0.11173585163051671</v>
      </c>
      <c r="Q852" s="585">
        <f t="shared" si="142"/>
        <v>0.13281180717964625</v>
      </c>
      <c r="R852" s="585">
        <f t="shared" si="143"/>
        <v>7.8381999999999993E-2</v>
      </c>
      <c r="S852" s="586">
        <f t="shared" si="144"/>
        <v>5.4429807179646253E-2</v>
      </c>
      <c r="U852" s="587"/>
      <c r="V852" s="587"/>
      <c r="W852" s="587"/>
      <c r="X852" s="587"/>
      <c r="Y852" s="587"/>
      <c r="Z852" s="587"/>
      <c r="AA852" s="587"/>
      <c r="AB852" s="587"/>
      <c r="AC852" s="587"/>
      <c r="AE852" s="587"/>
      <c r="AF852" s="587"/>
      <c r="AG852" s="587"/>
      <c r="AH852" s="587"/>
      <c r="AI852" s="587"/>
      <c r="AJ852" s="587"/>
      <c r="AK852" s="587"/>
      <c r="AL852" s="587"/>
      <c r="AM852" s="587"/>
      <c r="AO852" s="587"/>
      <c r="AP852" s="587"/>
      <c r="AQ852" s="587"/>
      <c r="AR852" s="587"/>
      <c r="AS852" s="587"/>
      <c r="AT852" s="587"/>
      <c r="AU852" s="587"/>
      <c r="AV852" s="587"/>
      <c r="AW852" s="587"/>
    </row>
    <row r="853" spans="1:49">
      <c r="A853" s="581">
        <v>35309</v>
      </c>
      <c r="B853" s="594">
        <v>5.6300000000000003E-2</v>
      </c>
      <c r="C853" s="577">
        <v>9.4999999999999998E-3</v>
      </c>
      <c r="D853" s="577">
        <v>6.0000000000000001E-3</v>
      </c>
      <c r="E853" s="577">
        <v>6.3833333333333329E-3</v>
      </c>
      <c r="F853" s="577">
        <v>6.5166666666666671E-3</v>
      </c>
      <c r="G853" s="577">
        <v>6.45E-3</v>
      </c>
      <c r="H853" s="577">
        <v>6.6812499999999997E-3</v>
      </c>
      <c r="I853" s="577">
        <f t="shared" si="145"/>
        <v>5.0300000000000004E-2</v>
      </c>
      <c r="J853" s="577">
        <f t="shared" si="138"/>
        <v>4.9850000000000005E-2</v>
      </c>
      <c r="K853" s="577">
        <f t="shared" si="139"/>
        <v>2.8187500000000001E-3</v>
      </c>
      <c r="L853" s="585">
        <f t="shared" si="146"/>
        <v>0.2032473758178035</v>
      </c>
      <c r="M853" s="585">
        <f t="shared" si="147"/>
        <v>7.2000000000000008E-2</v>
      </c>
      <c r="N853" s="585">
        <f t="shared" si="140"/>
        <v>7.7399999999999997E-2</v>
      </c>
      <c r="O853" s="586">
        <f t="shared" si="148"/>
        <v>0.13124737581780349</v>
      </c>
      <c r="P853" s="585">
        <f t="shared" si="141"/>
        <v>0.1258473758178035</v>
      </c>
      <c r="Q853" s="585">
        <f t="shared" si="142"/>
        <v>7.49892078848029E-2</v>
      </c>
      <c r="R853" s="585">
        <f t="shared" si="143"/>
        <v>8.0174999999999996E-2</v>
      </c>
      <c r="S853" s="586">
        <f t="shared" si="144"/>
        <v>-5.1857921151970965E-3</v>
      </c>
      <c r="U853" s="587"/>
      <c r="V853" s="587"/>
      <c r="W853" s="587"/>
      <c r="X853" s="587"/>
      <c r="Y853" s="587"/>
      <c r="Z853" s="587"/>
      <c r="AA853" s="587"/>
      <c r="AB853" s="587"/>
      <c r="AC853" s="587"/>
      <c r="AE853" s="587"/>
      <c r="AF853" s="587"/>
      <c r="AG853" s="587"/>
      <c r="AH853" s="587"/>
      <c r="AI853" s="587"/>
      <c r="AJ853" s="587"/>
      <c r="AK853" s="587"/>
      <c r="AL853" s="587"/>
      <c r="AM853" s="587"/>
      <c r="AO853" s="587"/>
      <c r="AP853" s="587"/>
      <c r="AQ853" s="587"/>
      <c r="AR853" s="587"/>
      <c r="AS853" s="587"/>
      <c r="AT853" s="587"/>
      <c r="AU853" s="587"/>
      <c r="AV853" s="587"/>
      <c r="AW853" s="587"/>
    </row>
    <row r="854" spans="1:49">
      <c r="A854" s="581">
        <v>35339</v>
      </c>
      <c r="B854" s="594">
        <v>2.76E-2</v>
      </c>
      <c r="C854" s="577">
        <v>5.0799999999999998E-2</v>
      </c>
      <c r="D854" s="577">
        <v>5.7999999999999996E-3</v>
      </c>
      <c r="E854" s="577">
        <v>6.1583333333333334E-3</v>
      </c>
      <c r="F854" s="577">
        <v>6.3166666666666675E-3</v>
      </c>
      <c r="G854" s="577">
        <v>6.2375E-3</v>
      </c>
      <c r="H854" s="577">
        <v>6.4820833333333336E-3</v>
      </c>
      <c r="I854" s="577">
        <f t="shared" si="145"/>
        <v>2.18E-2</v>
      </c>
      <c r="J854" s="577">
        <f t="shared" si="138"/>
        <v>2.13625E-2</v>
      </c>
      <c r="K854" s="577">
        <f t="shared" si="139"/>
        <v>4.4317916666666665E-2</v>
      </c>
      <c r="L854" s="585">
        <f t="shared" si="146"/>
        <v>0.24092433098191024</v>
      </c>
      <c r="M854" s="585">
        <f t="shared" si="147"/>
        <v>6.9599999999999995E-2</v>
      </c>
      <c r="N854" s="585">
        <f t="shared" si="140"/>
        <v>7.485E-2</v>
      </c>
      <c r="O854" s="586">
        <f t="shared" si="148"/>
        <v>0.17132433098191024</v>
      </c>
      <c r="P854" s="585">
        <f t="shared" si="141"/>
        <v>0.16607433098191024</v>
      </c>
      <c r="Q854" s="585">
        <f t="shared" si="142"/>
        <v>0.10333918699487232</v>
      </c>
      <c r="R854" s="585">
        <f t="shared" si="143"/>
        <v>7.7785000000000007E-2</v>
      </c>
      <c r="S854" s="586">
        <f t="shared" si="144"/>
        <v>2.5554186994872316E-2</v>
      </c>
      <c r="U854" s="587"/>
      <c r="V854" s="587"/>
      <c r="W854" s="587"/>
      <c r="X854" s="587"/>
      <c r="Y854" s="587"/>
      <c r="Z854" s="587"/>
      <c r="AA854" s="587"/>
      <c r="AB854" s="587"/>
      <c r="AC854" s="587"/>
      <c r="AE854" s="587"/>
      <c r="AF854" s="587"/>
      <c r="AG854" s="587"/>
      <c r="AH854" s="587"/>
      <c r="AI854" s="587"/>
      <c r="AJ854" s="587"/>
      <c r="AK854" s="587"/>
      <c r="AL854" s="587"/>
      <c r="AM854" s="587"/>
      <c r="AO854" s="587"/>
      <c r="AP854" s="587"/>
      <c r="AQ854" s="587"/>
      <c r="AR854" s="587"/>
      <c r="AS854" s="587"/>
      <c r="AT854" s="587"/>
      <c r="AU854" s="587"/>
      <c r="AV854" s="587"/>
      <c r="AW854" s="587"/>
    </row>
    <row r="855" spans="1:49">
      <c r="A855" s="581">
        <v>35370</v>
      </c>
      <c r="B855" s="594">
        <v>7.5600000000000001E-2</v>
      </c>
      <c r="C855" s="577">
        <v>2.1099999999999997E-2</v>
      </c>
      <c r="D855" s="577">
        <v>5.1999999999999998E-3</v>
      </c>
      <c r="E855" s="577">
        <v>5.9166666666666664E-3</v>
      </c>
      <c r="F855" s="577">
        <v>6.0916666666666662E-3</v>
      </c>
      <c r="G855" s="577">
        <v>6.0041666666666663E-3</v>
      </c>
      <c r="H855" s="577">
        <v>6.2527500000000005E-3</v>
      </c>
      <c r="I855" s="577">
        <f t="shared" si="145"/>
        <v>7.0400000000000004E-2</v>
      </c>
      <c r="J855" s="577">
        <f t="shared" si="138"/>
        <v>6.9595833333333329E-2</v>
      </c>
      <c r="K855" s="577">
        <f t="shared" si="139"/>
        <v>1.4847249999999996E-2</v>
      </c>
      <c r="L855" s="585">
        <f t="shared" si="146"/>
        <v>0.27860734783422014</v>
      </c>
      <c r="M855" s="585">
        <f t="shared" si="147"/>
        <v>6.2399999999999997E-2</v>
      </c>
      <c r="N855" s="585">
        <f t="shared" si="140"/>
        <v>7.2050000000000003E-2</v>
      </c>
      <c r="O855" s="586">
        <f t="shared" si="148"/>
        <v>0.21620734783422013</v>
      </c>
      <c r="P855" s="585">
        <f t="shared" si="141"/>
        <v>0.20655734783422014</v>
      </c>
      <c r="Q855" s="585">
        <f t="shared" si="142"/>
        <v>0.11150320031616445</v>
      </c>
      <c r="R855" s="585">
        <f t="shared" si="143"/>
        <v>7.5033000000000002E-2</v>
      </c>
      <c r="S855" s="586">
        <f t="shared" si="144"/>
        <v>3.647020031616445E-2</v>
      </c>
      <c r="U855" s="587"/>
      <c r="V855" s="587"/>
      <c r="W855" s="587"/>
      <c r="X855" s="587"/>
      <c r="Y855" s="587"/>
      <c r="Z855" s="587"/>
      <c r="AA855" s="587"/>
      <c r="AB855" s="587"/>
      <c r="AC855" s="587"/>
      <c r="AE855" s="587"/>
      <c r="AF855" s="587"/>
      <c r="AG855" s="587"/>
      <c r="AH855" s="587"/>
      <c r="AI855" s="587"/>
      <c r="AJ855" s="587"/>
      <c r="AK855" s="587"/>
      <c r="AL855" s="587"/>
      <c r="AM855" s="587"/>
      <c r="AO855" s="587"/>
      <c r="AP855" s="587"/>
      <c r="AQ855" s="587"/>
      <c r="AR855" s="587"/>
      <c r="AS855" s="587"/>
      <c r="AT855" s="587"/>
      <c r="AU855" s="587"/>
      <c r="AV855" s="587"/>
      <c r="AW855" s="587"/>
    </row>
    <row r="856" spans="1:49">
      <c r="A856" s="581">
        <v>35400</v>
      </c>
      <c r="B856" s="594">
        <v>-1.9800000000000002E-2</v>
      </c>
      <c r="C856" s="577">
        <v>-6.000000000000001E-3</v>
      </c>
      <c r="D856" s="577">
        <v>5.5999999999999991E-3</v>
      </c>
      <c r="E856" s="577">
        <v>6.0000000000000001E-3</v>
      </c>
      <c r="F856" s="577">
        <v>6.1750000000000008E-3</v>
      </c>
      <c r="G856" s="577">
        <v>6.0875E-3</v>
      </c>
      <c r="H856" s="577">
        <v>6.3091666666666669E-3</v>
      </c>
      <c r="I856" s="577">
        <f t="shared" si="145"/>
        <v>-2.5399999999999999E-2</v>
      </c>
      <c r="J856" s="577">
        <f t="shared" si="138"/>
        <v>-2.5887500000000001E-2</v>
      </c>
      <c r="K856" s="577">
        <f t="shared" si="139"/>
        <v>-1.2309166666666668E-2</v>
      </c>
      <c r="L856" s="585">
        <f t="shared" si="146"/>
        <v>0.22956040650162168</v>
      </c>
      <c r="M856" s="585">
        <f t="shared" si="147"/>
        <v>6.7199999999999982E-2</v>
      </c>
      <c r="N856" s="585">
        <f t="shared" si="140"/>
        <v>7.3050000000000004E-2</v>
      </c>
      <c r="O856" s="586">
        <f t="shared" si="148"/>
        <v>0.1623604065016217</v>
      </c>
      <c r="P856" s="585">
        <f t="shared" si="141"/>
        <v>0.15651040650162168</v>
      </c>
      <c r="Q856" s="585">
        <f t="shared" si="142"/>
        <v>3.1783882250903339E-2</v>
      </c>
      <c r="R856" s="585">
        <f t="shared" si="143"/>
        <v>7.571E-2</v>
      </c>
      <c r="S856" s="586">
        <f t="shared" si="144"/>
        <v>-4.392611774909666E-2</v>
      </c>
      <c r="U856" s="587"/>
      <c r="V856" s="587"/>
      <c r="W856" s="587"/>
      <c r="X856" s="587"/>
      <c r="Y856" s="587"/>
      <c r="Z856" s="587"/>
      <c r="AA856" s="587"/>
      <c r="AB856" s="587"/>
      <c r="AC856" s="587"/>
      <c r="AE856" s="587"/>
      <c r="AF856" s="587"/>
      <c r="AG856" s="587"/>
      <c r="AH856" s="587"/>
      <c r="AI856" s="587"/>
      <c r="AJ856" s="587"/>
      <c r="AK856" s="587"/>
      <c r="AL856" s="587"/>
      <c r="AM856" s="587"/>
      <c r="AO856" s="587"/>
      <c r="AP856" s="587"/>
      <c r="AQ856" s="587"/>
      <c r="AR856" s="587"/>
      <c r="AS856" s="587"/>
      <c r="AT856" s="587"/>
      <c r="AU856" s="587"/>
      <c r="AV856" s="587"/>
      <c r="AW856" s="587"/>
    </row>
    <row r="857" spans="1:49">
      <c r="A857" s="581">
        <v>35431</v>
      </c>
      <c r="B857" s="594">
        <v>6.25E-2</v>
      </c>
      <c r="C857" s="577">
        <v>6.6E-3</v>
      </c>
      <c r="D857" s="577">
        <v>5.5999999999999991E-3</v>
      </c>
      <c r="E857" s="577">
        <v>6.1833333333333332E-3</v>
      </c>
      <c r="F857" s="577">
        <v>6.3583333333333339E-3</v>
      </c>
      <c r="G857" s="577">
        <v>6.2708333333333331E-3</v>
      </c>
      <c r="H857" s="577">
        <v>6.4722500000000006E-3</v>
      </c>
      <c r="I857" s="577">
        <f t="shared" si="145"/>
        <v>5.6899999999999999E-2</v>
      </c>
      <c r="J857" s="577">
        <f t="shared" si="138"/>
        <v>5.6229166666666663E-2</v>
      </c>
      <c r="K857" s="577">
        <f t="shared" si="139"/>
        <v>1.2774999999999939E-4</v>
      </c>
      <c r="L857" s="585">
        <f t="shared" si="146"/>
        <v>0.26345061112956758</v>
      </c>
      <c r="M857" s="585">
        <f t="shared" si="147"/>
        <v>6.7199999999999982E-2</v>
      </c>
      <c r="N857" s="585">
        <f t="shared" si="140"/>
        <v>7.5249999999999997E-2</v>
      </c>
      <c r="O857" s="586">
        <f t="shared" si="148"/>
        <v>0.1962506111295676</v>
      </c>
      <c r="P857" s="585">
        <f t="shared" si="141"/>
        <v>0.1882006111295676</v>
      </c>
      <c r="Q857" s="585">
        <f t="shared" si="142"/>
        <v>2.5366428940428065E-2</v>
      </c>
      <c r="R857" s="585">
        <f t="shared" si="143"/>
        <v>7.7667000000000014E-2</v>
      </c>
      <c r="S857" s="586">
        <f t="shared" si="144"/>
        <v>-5.2300571059571949E-2</v>
      </c>
      <c r="U857" s="587"/>
      <c r="V857" s="587"/>
      <c r="W857" s="587"/>
      <c r="X857" s="587"/>
      <c r="Y857" s="587"/>
      <c r="Z857" s="587"/>
      <c r="AA857" s="587"/>
      <c r="AB857" s="587"/>
      <c r="AC857" s="587"/>
      <c r="AE857" s="587"/>
      <c r="AF857" s="587"/>
      <c r="AG857" s="587"/>
      <c r="AH857" s="587"/>
      <c r="AI857" s="587"/>
      <c r="AJ857" s="587"/>
      <c r="AK857" s="587"/>
      <c r="AL857" s="587"/>
      <c r="AM857" s="587"/>
      <c r="AO857" s="587"/>
      <c r="AP857" s="587"/>
      <c r="AQ857" s="587"/>
      <c r="AR857" s="587"/>
      <c r="AS857" s="587"/>
      <c r="AT857" s="587"/>
      <c r="AU857" s="587"/>
      <c r="AV857" s="587"/>
      <c r="AW857" s="587"/>
    </row>
    <row r="858" spans="1:49">
      <c r="A858" s="581">
        <v>35462</v>
      </c>
      <c r="B858" s="594">
        <v>7.7999999999999996E-3</v>
      </c>
      <c r="C858" s="577">
        <v>-9.5000000000000015E-3</v>
      </c>
      <c r="D858" s="577">
        <v>5.1000000000000004E-3</v>
      </c>
      <c r="E858" s="577">
        <v>6.0916666666666662E-3</v>
      </c>
      <c r="F858" s="577">
        <v>6.2833333333333326E-3</v>
      </c>
      <c r="G858" s="577">
        <v>6.1874999999999994E-3</v>
      </c>
      <c r="H858" s="577">
        <v>6.368833333333334E-3</v>
      </c>
      <c r="I858" s="577">
        <f t="shared" si="145"/>
        <v>2.6999999999999993E-3</v>
      </c>
      <c r="J858" s="577">
        <f t="shared" si="138"/>
        <v>1.6125000000000002E-3</v>
      </c>
      <c r="K858" s="577">
        <f t="shared" si="139"/>
        <v>-1.5868833333333335E-2</v>
      </c>
      <c r="L858" s="585">
        <f t="shared" si="146"/>
        <v>0.26157289794548499</v>
      </c>
      <c r="M858" s="585">
        <f t="shared" si="147"/>
        <v>6.1200000000000004E-2</v>
      </c>
      <c r="N858" s="585">
        <f t="shared" si="140"/>
        <v>7.4249999999999997E-2</v>
      </c>
      <c r="O858" s="586">
        <f t="shared" si="148"/>
        <v>0.20037289794548499</v>
      </c>
      <c r="P858" s="585">
        <f t="shared" si="141"/>
        <v>0.18732289794548501</v>
      </c>
      <c r="Q858" s="585">
        <f t="shared" si="142"/>
        <v>5.7392449625709219E-2</v>
      </c>
      <c r="R858" s="585">
        <f t="shared" si="143"/>
        <v>7.6426000000000008E-2</v>
      </c>
      <c r="S858" s="586">
        <f t="shared" si="144"/>
        <v>-1.9033550374290789E-2</v>
      </c>
      <c r="U858" s="587"/>
      <c r="V858" s="587"/>
      <c r="W858" s="587"/>
      <c r="X858" s="587"/>
      <c r="Y858" s="587"/>
      <c r="Z858" s="587"/>
      <c r="AA858" s="587"/>
      <c r="AB858" s="587"/>
      <c r="AC858" s="587"/>
      <c r="AE858" s="587"/>
      <c r="AF858" s="587"/>
      <c r="AG858" s="587"/>
      <c r="AH858" s="587"/>
      <c r="AI858" s="587"/>
      <c r="AJ858" s="587"/>
      <c r="AK858" s="587"/>
      <c r="AL858" s="587"/>
      <c r="AM858" s="587"/>
      <c r="AO858" s="587"/>
      <c r="AP858" s="587"/>
      <c r="AQ858" s="587"/>
      <c r="AR858" s="587"/>
      <c r="AS858" s="587"/>
      <c r="AT858" s="587"/>
      <c r="AU858" s="587"/>
      <c r="AV858" s="587"/>
      <c r="AW858" s="587"/>
    </row>
    <row r="859" spans="1:49">
      <c r="A859" s="581">
        <v>35490</v>
      </c>
      <c r="B859" s="594">
        <v>-4.1099999999999998E-2</v>
      </c>
      <c r="C859" s="577">
        <v>-3.0099999999999998E-2</v>
      </c>
      <c r="D859" s="577">
        <v>5.8999999999999999E-3</v>
      </c>
      <c r="E859" s="577">
        <v>6.2916666666666668E-3</v>
      </c>
      <c r="F859" s="577">
        <v>6.4749999999999999E-3</v>
      </c>
      <c r="G859" s="577">
        <v>6.3833333333333329E-3</v>
      </c>
      <c r="H859" s="577">
        <v>6.5545833333333333E-3</v>
      </c>
      <c r="I859" s="577">
        <f t="shared" si="145"/>
        <v>-4.7E-2</v>
      </c>
      <c r="J859" s="577">
        <f t="shared" si="138"/>
        <v>-4.7483333333333329E-2</v>
      </c>
      <c r="K859" s="577">
        <f t="shared" si="139"/>
        <v>-3.6654583333333331E-2</v>
      </c>
      <c r="L859" s="585">
        <f t="shared" si="146"/>
        <v>0.19821934611720016</v>
      </c>
      <c r="M859" s="585">
        <f t="shared" si="147"/>
        <v>7.0800000000000002E-2</v>
      </c>
      <c r="N859" s="585">
        <f t="shared" si="140"/>
        <v>7.6600000000000001E-2</v>
      </c>
      <c r="O859" s="586">
        <f t="shared" si="148"/>
        <v>0.12741934611720016</v>
      </c>
      <c r="P859" s="585">
        <f t="shared" si="141"/>
        <v>0.12161934611720016</v>
      </c>
      <c r="Q859" s="585">
        <f t="shared" si="142"/>
        <v>4.6815287222593982E-2</v>
      </c>
      <c r="R859" s="585">
        <f t="shared" si="143"/>
        <v>7.8655000000000003E-2</v>
      </c>
      <c r="S859" s="586">
        <f t="shared" si="144"/>
        <v>-3.1839712777406021E-2</v>
      </c>
      <c r="U859" s="587"/>
      <c r="V859" s="587"/>
      <c r="W859" s="587"/>
      <c r="X859" s="587"/>
      <c r="Y859" s="587"/>
      <c r="Z859" s="587"/>
      <c r="AA859" s="587"/>
      <c r="AB859" s="587"/>
      <c r="AC859" s="587"/>
      <c r="AE859" s="587"/>
      <c r="AF859" s="587"/>
      <c r="AG859" s="587"/>
      <c r="AH859" s="587"/>
      <c r="AI859" s="587"/>
      <c r="AJ859" s="587"/>
      <c r="AK859" s="587"/>
      <c r="AL859" s="587"/>
      <c r="AM859" s="587"/>
      <c r="AO859" s="587"/>
      <c r="AP859" s="587"/>
      <c r="AQ859" s="587"/>
      <c r="AR859" s="587"/>
      <c r="AS859" s="587"/>
      <c r="AT859" s="587"/>
      <c r="AU859" s="587"/>
      <c r="AV859" s="587"/>
      <c r="AW859" s="587"/>
    </row>
    <row r="860" spans="1:49">
      <c r="A860" s="581">
        <v>35521</v>
      </c>
      <c r="B860" s="594">
        <v>5.9700000000000003E-2</v>
      </c>
      <c r="C860" s="577">
        <v>-1.4999999999999999E-2</v>
      </c>
      <c r="D860" s="577">
        <v>5.8999999999999999E-3</v>
      </c>
      <c r="E860" s="577">
        <v>6.4416666666666667E-3</v>
      </c>
      <c r="F860" s="577">
        <v>6.6083333333333324E-3</v>
      </c>
      <c r="G860" s="577">
        <v>6.5249999999999996E-3</v>
      </c>
      <c r="H860" s="577">
        <v>6.6973333333333329E-3</v>
      </c>
      <c r="I860" s="577">
        <f t="shared" si="145"/>
        <v>5.3800000000000001E-2</v>
      </c>
      <c r="J860" s="577">
        <f t="shared" si="138"/>
        <v>5.3175E-2</v>
      </c>
      <c r="K860" s="577">
        <f t="shared" si="139"/>
        <v>-2.1697333333333332E-2</v>
      </c>
      <c r="L860" s="585">
        <f t="shared" si="146"/>
        <v>0.25135807734344895</v>
      </c>
      <c r="M860" s="585">
        <f t="shared" si="147"/>
        <v>7.0800000000000002E-2</v>
      </c>
      <c r="N860" s="585">
        <f t="shared" si="140"/>
        <v>7.8299999999999995E-2</v>
      </c>
      <c r="O860" s="586">
        <f t="shared" si="148"/>
        <v>0.18055807734344895</v>
      </c>
      <c r="P860" s="585">
        <f t="shared" si="141"/>
        <v>0.17305807734344897</v>
      </c>
      <c r="Q860" s="585">
        <f t="shared" si="142"/>
        <v>1.9894221477997354E-2</v>
      </c>
      <c r="R860" s="585">
        <f t="shared" si="143"/>
        <v>8.0367999999999995E-2</v>
      </c>
      <c r="S860" s="586">
        <f t="shared" si="144"/>
        <v>-6.0473778522002641E-2</v>
      </c>
      <c r="U860" s="587"/>
      <c r="V860" s="587"/>
      <c r="W860" s="587"/>
      <c r="X860" s="587"/>
      <c r="Y860" s="587"/>
      <c r="Z860" s="587"/>
      <c r="AA860" s="587"/>
      <c r="AB860" s="587"/>
      <c r="AC860" s="587"/>
      <c r="AE860" s="587"/>
      <c r="AF860" s="587"/>
      <c r="AG860" s="587"/>
      <c r="AH860" s="587"/>
      <c r="AI860" s="587"/>
      <c r="AJ860" s="587"/>
      <c r="AK860" s="587"/>
      <c r="AL860" s="587"/>
      <c r="AM860" s="587"/>
      <c r="AO860" s="587"/>
      <c r="AP860" s="587"/>
      <c r="AQ860" s="587"/>
      <c r="AR860" s="587"/>
      <c r="AS860" s="587"/>
      <c r="AT860" s="587"/>
      <c r="AU860" s="587"/>
      <c r="AV860" s="587"/>
      <c r="AW860" s="587"/>
    </row>
    <row r="861" spans="1:49">
      <c r="A861" s="581">
        <v>35551</v>
      </c>
      <c r="B861" s="594">
        <v>6.0900000000000003E-2</v>
      </c>
      <c r="C861" s="577">
        <v>4.2299999999999997E-2</v>
      </c>
      <c r="D861" s="577">
        <v>5.7999999999999996E-3</v>
      </c>
      <c r="E861" s="577">
        <v>6.3166666666666675E-3</v>
      </c>
      <c r="F861" s="577">
        <v>6.5000000000000006E-3</v>
      </c>
      <c r="G861" s="577">
        <v>6.4083333333333336E-3</v>
      </c>
      <c r="H861" s="577">
        <v>6.5754166666666669E-3</v>
      </c>
      <c r="I861" s="577">
        <f t="shared" si="145"/>
        <v>5.5100000000000003E-2</v>
      </c>
      <c r="J861" s="577">
        <f t="shared" ref="J861:J924" si="149">B861-G861</f>
        <v>5.4491666666666667E-2</v>
      </c>
      <c r="K861" s="577">
        <f t="shared" ref="K861:K924" si="150">$C861-H861</f>
        <v>3.572458333333333E-2</v>
      </c>
      <c r="L861" s="585">
        <f t="shared" si="146"/>
        <v>0.29417604236075712</v>
      </c>
      <c r="M861" s="585">
        <f t="shared" si="147"/>
        <v>6.9599999999999995E-2</v>
      </c>
      <c r="N861" s="585">
        <f t="shared" si="140"/>
        <v>7.6899999999999996E-2</v>
      </c>
      <c r="O861" s="586">
        <f t="shared" si="148"/>
        <v>0.22457604236075712</v>
      </c>
      <c r="P861" s="585">
        <f t="shared" si="141"/>
        <v>0.21727604236075712</v>
      </c>
      <c r="Q861" s="585">
        <f t="shared" si="142"/>
        <v>6.5699997039114555E-2</v>
      </c>
      <c r="R861" s="585">
        <f t="shared" si="143"/>
        <v>7.8905000000000003E-2</v>
      </c>
      <c r="S861" s="586">
        <f t="shared" si="144"/>
        <v>-1.3205002960885448E-2</v>
      </c>
      <c r="U861" s="587"/>
      <c r="V861" s="587"/>
      <c r="W861" s="587"/>
      <c r="X861" s="587"/>
      <c r="Y861" s="587"/>
      <c r="Z861" s="587"/>
      <c r="AA861" s="587"/>
      <c r="AB861" s="587"/>
      <c r="AC861" s="587"/>
      <c r="AE861" s="587"/>
      <c r="AF861" s="587"/>
      <c r="AG861" s="587"/>
      <c r="AH861" s="587"/>
      <c r="AI861" s="587"/>
      <c r="AJ861" s="587"/>
      <c r="AK861" s="587"/>
      <c r="AL861" s="587"/>
      <c r="AM861" s="587"/>
      <c r="AO861" s="587"/>
      <c r="AP861" s="587"/>
      <c r="AQ861" s="587"/>
      <c r="AR861" s="587"/>
      <c r="AS861" s="587"/>
      <c r="AT861" s="587"/>
      <c r="AU861" s="587"/>
      <c r="AV861" s="587"/>
      <c r="AW861" s="587"/>
    </row>
    <row r="862" spans="1:49">
      <c r="A862" s="581">
        <v>35582</v>
      </c>
      <c r="B862" s="594">
        <v>4.48E-2</v>
      </c>
      <c r="C862" s="577">
        <v>3.1399999999999997E-2</v>
      </c>
      <c r="D862" s="577">
        <v>5.8999999999999999E-3</v>
      </c>
      <c r="E862" s="577">
        <v>6.1750000000000008E-3</v>
      </c>
      <c r="F862" s="577">
        <v>6.3499999999999997E-3</v>
      </c>
      <c r="G862" s="577">
        <v>6.2624999999999998E-3</v>
      </c>
      <c r="H862" s="577">
        <v>6.437333333333334E-3</v>
      </c>
      <c r="I862" s="577">
        <f t="shared" si="145"/>
        <v>3.8899999999999997E-2</v>
      </c>
      <c r="J862" s="577">
        <f t="shared" si="149"/>
        <v>3.8537500000000002E-2</v>
      </c>
      <c r="K862" s="577">
        <f t="shared" si="150"/>
        <v>2.4962666666666664E-2</v>
      </c>
      <c r="L862" s="585">
        <f t="shared" si="146"/>
        <v>0.34703639077357873</v>
      </c>
      <c r="M862" s="585">
        <f t="shared" si="147"/>
        <v>7.0800000000000002E-2</v>
      </c>
      <c r="N862" s="585">
        <f t="shared" si="140"/>
        <v>7.5149999999999995E-2</v>
      </c>
      <c r="O862" s="586">
        <f t="shared" si="148"/>
        <v>0.27623639077357875</v>
      </c>
      <c r="P862" s="585">
        <f t="shared" si="141"/>
        <v>0.27188639077357873</v>
      </c>
      <c r="Q862" s="585">
        <f t="shared" si="142"/>
        <v>5.5263994763961932E-2</v>
      </c>
      <c r="R862" s="585">
        <f t="shared" si="143"/>
        <v>7.7248000000000011E-2</v>
      </c>
      <c r="S862" s="586">
        <f t="shared" si="144"/>
        <v>-2.1984005236038079E-2</v>
      </c>
      <c r="U862" s="587"/>
      <c r="V862" s="587"/>
      <c r="W862" s="587"/>
      <c r="X862" s="587"/>
      <c r="Y862" s="587"/>
      <c r="Z862" s="587"/>
      <c r="AA862" s="587"/>
      <c r="AB862" s="587"/>
      <c r="AC862" s="587"/>
      <c r="AE862" s="587"/>
      <c r="AF862" s="587"/>
      <c r="AG862" s="587"/>
      <c r="AH862" s="587"/>
      <c r="AI862" s="587"/>
      <c r="AJ862" s="587"/>
      <c r="AK862" s="587"/>
      <c r="AL862" s="587"/>
      <c r="AM862" s="587"/>
      <c r="AO862" s="587"/>
      <c r="AP862" s="587"/>
      <c r="AQ862" s="587"/>
      <c r="AR862" s="587"/>
      <c r="AS862" s="587"/>
      <c r="AT862" s="587"/>
      <c r="AU862" s="587"/>
      <c r="AV862" s="587"/>
      <c r="AW862" s="587"/>
    </row>
    <row r="863" spans="1:49">
      <c r="A863" s="581">
        <v>35612</v>
      </c>
      <c r="B863" s="594">
        <v>7.9600000000000004E-2</v>
      </c>
      <c r="C863" s="577">
        <v>2.3E-2</v>
      </c>
      <c r="D863" s="577">
        <v>5.7999999999999996E-3</v>
      </c>
      <c r="E863" s="577">
        <v>5.9499999999999996E-3</v>
      </c>
      <c r="F863" s="577">
        <v>6.1333333333333344E-3</v>
      </c>
      <c r="G863" s="577">
        <v>6.0416666666666674E-3</v>
      </c>
      <c r="H863" s="577">
        <v>6.2409166666666663E-3</v>
      </c>
      <c r="I863" s="577">
        <f t="shared" si="145"/>
        <v>7.3800000000000004E-2</v>
      </c>
      <c r="J863" s="577">
        <f t="shared" si="149"/>
        <v>7.3558333333333337E-2</v>
      </c>
      <c r="K863" s="577">
        <f t="shared" si="150"/>
        <v>1.6759083333333334E-2</v>
      </c>
      <c r="L863" s="585">
        <f t="shared" si="146"/>
        <v>0.52151128633517074</v>
      </c>
      <c r="M863" s="585">
        <f t="shared" si="147"/>
        <v>6.9599999999999995E-2</v>
      </c>
      <c r="N863" s="585">
        <f t="shared" si="140"/>
        <v>7.2500000000000009E-2</v>
      </c>
      <c r="O863" s="586">
        <f t="shared" si="148"/>
        <v>0.45191128633517075</v>
      </c>
      <c r="P863" s="585">
        <f t="shared" si="141"/>
        <v>0.44901128633517073</v>
      </c>
      <c r="Q863" s="585">
        <f t="shared" si="142"/>
        <v>0.15187267034094409</v>
      </c>
      <c r="R863" s="585">
        <f t="shared" si="143"/>
        <v>7.4890999999999999E-2</v>
      </c>
      <c r="S863" s="586">
        <f t="shared" si="144"/>
        <v>7.6981670340944094E-2</v>
      </c>
      <c r="U863" s="587"/>
      <c r="V863" s="587"/>
      <c r="W863" s="587"/>
      <c r="X863" s="587"/>
      <c r="Y863" s="587"/>
      <c r="Z863" s="587"/>
      <c r="AA863" s="587"/>
      <c r="AB863" s="587"/>
      <c r="AC863" s="587"/>
      <c r="AE863" s="587"/>
      <c r="AF863" s="587"/>
      <c r="AG863" s="587"/>
      <c r="AH863" s="587"/>
      <c r="AI863" s="587"/>
      <c r="AJ863" s="587"/>
      <c r="AK863" s="587"/>
      <c r="AL863" s="587"/>
      <c r="AM863" s="587"/>
      <c r="AO863" s="587"/>
      <c r="AP863" s="587"/>
      <c r="AQ863" s="587"/>
      <c r="AR863" s="587"/>
      <c r="AS863" s="587"/>
      <c r="AT863" s="587"/>
      <c r="AU863" s="587"/>
      <c r="AV863" s="587"/>
      <c r="AW863" s="587"/>
    </row>
    <row r="864" spans="1:49">
      <c r="A864" s="581">
        <v>35643</v>
      </c>
      <c r="B864" s="594">
        <v>-5.6000000000000001E-2</v>
      </c>
      <c r="C864" s="577">
        <v>-1.83E-2</v>
      </c>
      <c r="D864" s="577">
        <v>4.8999999999999998E-3</v>
      </c>
      <c r="E864" s="577">
        <v>6.0166666666666667E-3</v>
      </c>
      <c r="F864" s="577">
        <v>6.1666666666666667E-3</v>
      </c>
      <c r="G864" s="577">
        <v>6.0916666666666662E-3</v>
      </c>
      <c r="H864" s="577">
        <v>6.2475833333333333E-3</v>
      </c>
      <c r="I864" s="577">
        <f t="shared" si="145"/>
        <v>-6.0900000000000003E-2</v>
      </c>
      <c r="J864" s="577">
        <f t="shared" si="149"/>
        <v>-6.209166666666667E-2</v>
      </c>
      <c r="K864" s="577">
        <f t="shared" si="150"/>
        <v>-2.4547583333333334E-2</v>
      </c>
      <c r="L864" s="585">
        <f t="shared" si="146"/>
        <v>0.40662682822485663</v>
      </c>
      <c r="M864" s="585">
        <f t="shared" si="147"/>
        <v>5.8799999999999998E-2</v>
      </c>
      <c r="N864" s="585">
        <f t="shared" si="140"/>
        <v>7.3099999999999998E-2</v>
      </c>
      <c r="O864" s="586">
        <f t="shared" si="148"/>
        <v>0.34782682822485661</v>
      </c>
      <c r="P864" s="585">
        <f t="shared" si="141"/>
        <v>0.33352682822485663</v>
      </c>
      <c r="Q864" s="585">
        <f t="shared" si="142"/>
        <v>0.10720983107187365</v>
      </c>
      <c r="R864" s="585">
        <f t="shared" si="143"/>
        <v>7.4970999999999996E-2</v>
      </c>
      <c r="S864" s="586">
        <f t="shared" si="144"/>
        <v>3.2238831071873655E-2</v>
      </c>
      <c r="U864" s="587"/>
      <c r="V864" s="587"/>
      <c r="W864" s="587"/>
      <c r="X864" s="587"/>
      <c r="Y864" s="587"/>
      <c r="Z864" s="587"/>
      <c r="AA864" s="587"/>
      <c r="AB864" s="587"/>
      <c r="AC864" s="587"/>
      <c r="AE864" s="587"/>
      <c r="AF864" s="587"/>
      <c r="AG864" s="587"/>
      <c r="AH864" s="587"/>
      <c r="AI864" s="587"/>
      <c r="AJ864" s="587"/>
      <c r="AK864" s="587"/>
      <c r="AL864" s="587"/>
      <c r="AM864" s="587"/>
      <c r="AO864" s="587"/>
      <c r="AP864" s="587"/>
      <c r="AQ864" s="587"/>
      <c r="AR864" s="587"/>
      <c r="AS864" s="587"/>
      <c r="AT864" s="587"/>
      <c r="AU864" s="587"/>
      <c r="AV864" s="587"/>
      <c r="AW864" s="587"/>
    </row>
    <row r="865" spans="1:49">
      <c r="A865" s="581">
        <v>35674</v>
      </c>
      <c r="B865" s="594">
        <v>5.4800000000000001E-2</v>
      </c>
      <c r="C865" s="577">
        <v>4.3299999999999998E-2</v>
      </c>
      <c r="D865" s="577">
        <v>5.7999999999999996E-3</v>
      </c>
      <c r="E865" s="577">
        <v>5.9499999999999996E-3</v>
      </c>
      <c r="F865" s="577">
        <v>6.116666666666667E-3</v>
      </c>
      <c r="G865" s="577">
        <v>6.0333333333333324E-3</v>
      </c>
      <c r="H865" s="577">
        <v>6.2285833333333342E-3</v>
      </c>
      <c r="I865" s="577">
        <f t="shared" si="145"/>
        <v>4.9000000000000002E-2</v>
      </c>
      <c r="J865" s="577">
        <f t="shared" si="149"/>
        <v>4.8766666666666666E-2</v>
      </c>
      <c r="K865" s="577">
        <f t="shared" si="150"/>
        <v>3.7071416666666662E-2</v>
      </c>
      <c r="L865" s="585">
        <f t="shared" si="146"/>
        <v>0.40462934621942526</v>
      </c>
      <c r="M865" s="585">
        <f t="shared" si="147"/>
        <v>6.9599999999999995E-2</v>
      </c>
      <c r="N865" s="585">
        <f t="shared" si="140"/>
        <v>7.2399999999999992E-2</v>
      </c>
      <c r="O865" s="586">
        <f t="shared" si="148"/>
        <v>0.33502934621942526</v>
      </c>
      <c r="P865" s="585">
        <f t="shared" si="141"/>
        <v>0.33222934621942524</v>
      </c>
      <c r="Q865" s="585">
        <f t="shared" si="142"/>
        <v>0.14428134398938663</v>
      </c>
      <c r="R865" s="585">
        <f t="shared" si="143"/>
        <v>7.4743000000000004E-2</v>
      </c>
      <c r="S865" s="586">
        <f t="shared" si="144"/>
        <v>6.9538343989386631E-2</v>
      </c>
      <c r="U865" s="587"/>
      <c r="V865" s="587"/>
      <c r="W865" s="587"/>
      <c r="X865" s="587"/>
      <c r="Y865" s="587"/>
      <c r="Z865" s="587"/>
      <c r="AA865" s="587"/>
      <c r="AB865" s="587"/>
      <c r="AC865" s="587"/>
      <c r="AE865" s="587"/>
      <c r="AF865" s="587"/>
      <c r="AG865" s="587"/>
      <c r="AH865" s="587"/>
      <c r="AI865" s="587"/>
      <c r="AJ865" s="587"/>
      <c r="AK865" s="587"/>
      <c r="AL865" s="587"/>
      <c r="AM865" s="587"/>
      <c r="AO865" s="587"/>
      <c r="AP865" s="587"/>
      <c r="AQ865" s="587"/>
      <c r="AR865" s="587"/>
      <c r="AS865" s="587"/>
      <c r="AT865" s="587"/>
      <c r="AU865" s="587"/>
      <c r="AV865" s="587"/>
      <c r="AW865" s="587"/>
    </row>
    <row r="866" spans="1:49">
      <c r="A866" s="581">
        <v>35704</v>
      </c>
      <c r="B866" s="594">
        <v>-3.3399999999999999E-2</v>
      </c>
      <c r="C866" s="577">
        <v>9.7999999999999997E-3</v>
      </c>
      <c r="D866" s="577">
        <v>5.4000000000000003E-3</v>
      </c>
      <c r="E866" s="577">
        <v>5.8333333333333336E-3</v>
      </c>
      <c r="F866" s="577">
        <v>6.0000000000000001E-3</v>
      </c>
      <c r="G866" s="577">
        <v>5.9166666666666664E-3</v>
      </c>
      <c r="H866" s="577">
        <v>6.130416666666666E-3</v>
      </c>
      <c r="I866" s="577">
        <f t="shared" si="145"/>
        <v>-3.8800000000000001E-2</v>
      </c>
      <c r="J866" s="577">
        <f t="shared" si="149"/>
        <v>-3.9316666666666666E-2</v>
      </c>
      <c r="K866" s="577">
        <f t="shared" si="150"/>
        <v>3.6695833333333337E-3</v>
      </c>
      <c r="L866" s="585">
        <f t="shared" si="146"/>
        <v>0.3212482737015343</v>
      </c>
      <c r="M866" s="585">
        <f t="shared" si="147"/>
        <v>6.4799999999999996E-2</v>
      </c>
      <c r="N866" s="585">
        <f t="shared" si="140"/>
        <v>7.0999999999999994E-2</v>
      </c>
      <c r="O866" s="586">
        <f t="shared" si="148"/>
        <v>0.25644827370153433</v>
      </c>
      <c r="P866" s="585">
        <f t="shared" si="141"/>
        <v>0.2502482737015343</v>
      </c>
      <c r="Q866" s="585">
        <f t="shared" si="142"/>
        <v>9.9633899086869704E-2</v>
      </c>
      <c r="R866" s="585">
        <f t="shared" si="143"/>
        <v>7.3564999999999992E-2</v>
      </c>
      <c r="S866" s="586">
        <f t="shared" si="144"/>
        <v>2.6068899086869712E-2</v>
      </c>
      <c r="U866" s="587"/>
      <c r="V866" s="587"/>
      <c r="W866" s="587"/>
      <c r="X866" s="587"/>
      <c r="Y866" s="587"/>
      <c r="Z866" s="587"/>
      <c r="AA866" s="587"/>
      <c r="AB866" s="587"/>
      <c r="AC866" s="587"/>
      <c r="AE866" s="587"/>
      <c r="AF866" s="587"/>
      <c r="AG866" s="587"/>
      <c r="AH866" s="587"/>
      <c r="AI866" s="587"/>
      <c r="AJ866" s="587"/>
      <c r="AK866" s="587"/>
      <c r="AL866" s="587"/>
      <c r="AM866" s="587"/>
      <c r="AO866" s="587"/>
      <c r="AP866" s="587"/>
      <c r="AQ866" s="587"/>
      <c r="AR866" s="587"/>
      <c r="AS866" s="587"/>
      <c r="AT866" s="587"/>
      <c r="AU866" s="587"/>
      <c r="AV866" s="587"/>
      <c r="AW866" s="587"/>
    </row>
    <row r="867" spans="1:49">
      <c r="A867" s="581">
        <v>35735</v>
      </c>
      <c r="B867" s="594">
        <v>4.6300000000000001E-2</v>
      </c>
      <c r="C867" s="577">
        <v>7.0700000000000013E-2</v>
      </c>
      <c r="D867" s="577">
        <v>4.7000000000000002E-3</v>
      </c>
      <c r="E867" s="577">
        <v>5.7250000000000001E-3</v>
      </c>
      <c r="F867" s="577">
        <v>5.8916666666666674E-3</v>
      </c>
      <c r="G867" s="577">
        <v>5.8083333333333329E-3</v>
      </c>
      <c r="H867" s="577">
        <v>6.0390000000000001E-3</v>
      </c>
      <c r="I867" s="577">
        <f t="shared" si="145"/>
        <v>4.1599999999999998E-2</v>
      </c>
      <c r="J867" s="577">
        <f t="shared" si="149"/>
        <v>4.0491666666666669E-2</v>
      </c>
      <c r="K867" s="577">
        <f t="shared" si="150"/>
        <v>6.466100000000001E-2</v>
      </c>
      <c r="L867" s="585">
        <f t="shared" si="146"/>
        <v>0.28525666490694968</v>
      </c>
      <c r="M867" s="585">
        <f t="shared" si="147"/>
        <v>5.6400000000000006E-2</v>
      </c>
      <c r="N867" s="585">
        <f t="shared" si="140"/>
        <v>6.9699999999999998E-2</v>
      </c>
      <c r="O867" s="586">
        <f t="shared" si="148"/>
        <v>0.22885666490694967</v>
      </c>
      <c r="P867" s="585">
        <f t="shared" si="141"/>
        <v>0.21555666490694969</v>
      </c>
      <c r="Q867" s="585">
        <f t="shared" si="142"/>
        <v>0.15304868842651209</v>
      </c>
      <c r="R867" s="585">
        <f t="shared" si="143"/>
        <v>7.2468000000000005E-2</v>
      </c>
      <c r="S867" s="586">
        <f t="shared" si="144"/>
        <v>8.0580688426512087E-2</v>
      </c>
      <c r="U867" s="587"/>
      <c r="V867" s="587"/>
      <c r="W867" s="587"/>
      <c r="X867" s="587"/>
      <c r="Y867" s="587"/>
      <c r="Z867" s="587"/>
      <c r="AA867" s="587"/>
      <c r="AB867" s="587"/>
      <c r="AC867" s="587"/>
      <c r="AE867" s="587"/>
      <c r="AF867" s="587"/>
      <c r="AG867" s="587"/>
      <c r="AH867" s="587"/>
      <c r="AI867" s="587"/>
      <c r="AJ867" s="587"/>
      <c r="AK867" s="587"/>
      <c r="AL867" s="587"/>
      <c r="AM867" s="587"/>
      <c r="AO867" s="587"/>
      <c r="AP867" s="587"/>
      <c r="AQ867" s="587"/>
      <c r="AR867" s="587"/>
      <c r="AS867" s="587"/>
      <c r="AT867" s="587"/>
      <c r="AU867" s="587"/>
      <c r="AV867" s="587"/>
      <c r="AW867" s="587"/>
    </row>
    <row r="868" spans="1:49">
      <c r="A868" s="581">
        <v>35765</v>
      </c>
      <c r="B868" s="594">
        <v>1.72E-2</v>
      </c>
      <c r="C868" s="577">
        <v>7.5200000000000003E-2</v>
      </c>
      <c r="D868" s="577">
        <v>5.4000000000000003E-3</v>
      </c>
      <c r="E868" s="577">
        <v>5.6333333333333339E-3</v>
      </c>
      <c r="F868" s="577">
        <v>5.8250000000000003E-3</v>
      </c>
      <c r="G868" s="577">
        <v>5.7291666666666671E-3</v>
      </c>
      <c r="H868" s="577">
        <v>5.9696666666666665E-3</v>
      </c>
      <c r="I868" s="577">
        <f t="shared" si="145"/>
        <v>1.18E-2</v>
      </c>
      <c r="J868" s="577">
        <f t="shared" si="149"/>
        <v>1.1470833333333333E-2</v>
      </c>
      <c r="K868" s="577">
        <f t="shared" si="150"/>
        <v>6.9230333333333338E-2</v>
      </c>
      <c r="L868" s="585">
        <f t="shared" si="146"/>
        <v>0.33377176039925405</v>
      </c>
      <c r="M868" s="585">
        <f t="shared" si="147"/>
        <v>6.4799999999999996E-2</v>
      </c>
      <c r="N868" s="585">
        <f t="shared" si="140"/>
        <v>6.8750000000000006E-2</v>
      </c>
      <c r="O868" s="586">
        <f t="shared" si="148"/>
        <v>0.26897176039925408</v>
      </c>
      <c r="P868" s="585">
        <f t="shared" si="141"/>
        <v>0.26502176039925407</v>
      </c>
      <c r="Q868" s="585">
        <f t="shared" si="142"/>
        <v>0.24724139818529722</v>
      </c>
      <c r="R868" s="585">
        <f t="shared" si="143"/>
        <v>7.1636000000000005E-2</v>
      </c>
      <c r="S868" s="586">
        <f t="shared" si="144"/>
        <v>0.17560539818529722</v>
      </c>
      <c r="U868" s="587"/>
      <c r="V868" s="587"/>
      <c r="W868" s="587"/>
      <c r="X868" s="587"/>
      <c r="Y868" s="587"/>
      <c r="Z868" s="587"/>
      <c r="AA868" s="587"/>
      <c r="AB868" s="587"/>
      <c r="AC868" s="587"/>
      <c r="AE868" s="587"/>
      <c r="AF868" s="587"/>
      <c r="AG868" s="587"/>
      <c r="AH868" s="587"/>
      <c r="AI868" s="587"/>
      <c r="AJ868" s="587"/>
      <c r="AK868" s="587"/>
      <c r="AL868" s="587"/>
      <c r="AM868" s="587"/>
      <c r="AO868" s="587"/>
      <c r="AP868" s="587"/>
      <c r="AQ868" s="587"/>
      <c r="AR868" s="587"/>
      <c r="AS868" s="587"/>
      <c r="AT868" s="587"/>
      <c r="AU868" s="587"/>
      <c r="AV868" s="587"/>
      <c r="AW868" s="587"/>
    </row>
    <row r="869" spans="1:49">
      <c r="A869" s="581">
        <v>35796</v>
      </c>
      <c r="B869" s="594">
        <v>1.11E-2</v>
      </c>
      <c r="C869" s="577">
        <v>-3.95E-2</v>
      </c>
      <c r="D869" s="577">
        <v>4.7999999999999996E-3</v>
      </c>
      <c r="E869" s="577">
        <v>5.5083333333333338E-3</v>
      </c>
      <c r="F869" s="577">
        <v>5.6833333333333336E-3</v>
      </c>
      <c r="G869" s="577">
        <v>5.5958333333333329E-3</v>
      </c>
      <c r="H869" s="577">
        <v>5.8783333333333335E-3</v>
      </c>
      <c r="I869" s="577">
        <f t="shared" si="145"/>
        <v>6.3000000000000009E-3</v>
      </c>
      <c r="J869" s="577">
        <f t="shared" si="149"/>
        <v>5.5041666666666676E-3</v>
      </c>
      <c r="K869" s="577">
        <f t="shared" si="150"/>
        <v>-4.5378333333333333E-2</v>
      </c>
      <c r="L869" s="585">
        <f t="shared" si="146"/>
        <v>0.26924859006088098</v>
      </c>
      <c r="M869" s="585">
        <f t="shared" si="147"/>
        <v>5.7599999999999998E-2</v>
      </c>
      <c r="N869" s="585">
        <f t="shared" si="140"/>
        <v>6.7149999999999987E-2</v>
      </c>
      <c r="O869" s="586">
        <f t="shared" si="148"/>
        <v>0.21164859006088099</v>
      </c>
      <c r="P869" s="585">
        <f t="shared" si="141"/>
        <v>0.20209859006088099</v>
      </c>
      <c r="Q869" s="585">
        <f t="shared" si="142"/>
        <v>0.19012056721337034</v>
      </c>
      <c r="R869" s="585">
        <f t="shared" si="143"/>
        <v>7.0540000000000005E-2</v>
      </c>
      <c r="S869" s="586">
        <f t="shared" si="144"/>
        <v>0.11958056721337033</v>
      </c>
      <c r="U869" s="587"/>
      <c r="V869" s="587"/>
      <c r="W869" s="587"/>
      <c r="X869" s="587"/>
      <c r="Y869" s="587"/>
      <c r="Z869" s="587"/>
      <c r="AA869" s="587"/>
      <c r="AB869" s="587"/>
      <c r="AC869" s="587"/>
      <c r="AE869" s="587"/>
      <c r="AF869" s="587"/>
      <c r="AG869" s="587"/>
      <c r="AH869" s="587"/>
      <c r="AI869" s="587"/>
      <c r="AJ869" s="587"/>
      <c r="AK869" s="587"/>
      <c r="AL869" s="587"/>
      <c r="AM869" s="587"/>
      <c r="AO869" s="587"/>
      <c r="AP869" s="587"/>
      <c r="AQ869" s="587"/>
      <c r="AR869" s="587"/>
      <c r="AS869" s="587"/>
      <c r="AT869" s="587"/>
      <c r="AU869" s="587"/>
      <c r="AV869" s="587"/>
      <c r="AW869" s="587"/>
    </row>
    <row r="870" spans="1:49">
      <c r="A870" s="581">
        <v>35827</v>
      </c>
      <c r="B870" s="594">
        <v>7.2099999999999997E-2</v>
      </c>
      <c r="C870" s="577">
        <v>3.4099999999999998E-2</v>
      </c>
      <c r="D870" s="577">
        <v>4.4000000000000003E-3</v>
      </c>
      <c r="E870" s="577">
        <v>5.5583333333333327E-3</v>
      </c>
      <c r="F870" s="577">
        <v>5.7333333333333333E-3</v>
      </c>
      <c r="G870" s="577">
        <v>5.6458333333333334E-3</v>
      </c>
      <c r="H870" s="577">
        <v>5.9315833333333338E-3</v>
      </c>
      <c r="I870" s="577">
        <f t="shared" si="145"/>
        <v>6.7699999999999996E-2</v>
      </c>
      <c r="J870" s="577">
        <f t="shared" si="149"/>
        <v>6.6454166666666661E-2</v>
      </c>
      <c r="K870" s="577">
        <f t="shared" si="150"/>
        <v>2.8168416666666665E-2</v>
      </c>
      <c r="L870" s="585">
        <f t="shared" si="146"/>
        <v>0.35022962234994104</v>
      </c>
      <c r="M870" s="585">
        <f t="shared" si="147"/>
        <v>5.28E-2</v>
      </c>
      <c r="N870" s="585">
        <f t="shared" si="140"/>
        <v>6.7750000000000005E-2</v>
      </c>
      <c r="O870" s="586">
        <f t="shared" si="148"/>
        <v>0.29742962234994103</v>
      </c>
      <c r="P870" s="585">
        <f t="shared" si="141"/>
        <v>0.28247962234994106</v>
      </c>
      <c r="Q870" s="585">
        <f t="shared" si="142"/>
        <v>0.2425074998034793</v>
      </c>
      <c r="R870" s="585">
        <f t="shared" si="143"/>
        <v>7.1179000000000006E-2</v>
      </c>
      <c r="S870" s="586">
        <f t="shared" si="144"/>
        <v>0.17132849980347931</v>
      </c>
      <c r="U870" s="587"/>
      <c r="V870" s="587"/>
      <c r="W870" s="587"/>
      <c r="X870" s="587"/>
      <c r="Y870" s="587"/>
      <c r="Z870" s="587"/>
      <c r="AA870" s="587"/>
      <c r="AB870" s="587"/>
      <c r="AC870" s="587"/>
      <c r="AE870" s="587"/>
      <c r="AF870" s="587"/>
      <c r="AG870" s="587"/>
      <c r="AH870" s="587"/>
      <c r="AI870" s="587"/>
      <c r="AJ870" s="587"/>
      <c r="AK870" s="587"/>
      <c r="AL870" s="587"/>
      <c r="AM870" s="587"/>
      <c r="AO870" s="587"/>
      <c r="AP870" s="587"/>
      <c r="AQ870" s="587"/>
      <c r="AR870" s="587"/>
      <c r="AS870" s="587"/>
      <c r="AT870" s="587"/>
      <c r="AU870" s="587"/>
      <c r="AV870" s="587"/>
      <c r="AW870" s="587"/>
    </row>
    <row r="871" spans="1:49">
      <c r="A871" s="581">
        <v>35855</v>
      </c>
      <c r="B871" s="594">
        <v>5.1200000000000002E-2</v>
      </c>
      <c r="C871" s="577">
        <v>6.4199999999999993E-2</v>
      </c>
      <c r="D871" s="577">
        <v>5.1999999999999998E-3</v>
      </c>
      <c r="E871" s="577">
        <v>5.5916666666666667E-3</v>
      </c>
      <c r="F871" s="577">
        <v>5.7749999999999998E-3</v>
      </c>
      <c r="G871" s="577">
        <v>5.6833333333333336E-3</v>
      </c>
      <c r="H871" s="577">
        <v>5.9681666666666668E-3</v>
      </c>
      <c r="I871" s="577">
        <f t="shared" si="145"/>
        <v>4.5999999999999999E-2</v>
      </c>
      <c r="J871" s="577">
        <f t="shared" si="149"/>
        <v>4.5516666666666671E-2</v>
      </c>
      <c r="K871" s="577">
        <f t="shared" si="150"/>
        <v>5.823183333333333E-2</v>
      </c>
      <c r="L871" s="585">
        <f t="shared" si="146"/>
        <v>0.4801974961041382</v>
      </c>
      <c r="M871" s="585">
        <f t="shared" si="147"/>
        <v>6.2399999999999997E-2</v>
      </c>
      <c r="N871" s="585">
        <f t="shared" si="140"/>
        <v>6.8200000000000011E-2</v>
      </c>
      <c r="O871" s="586">
        <f t="shared" si="148"/>
        <v>0.41779749610413819</v>
      </c>
      <c r="P871" s="585">
        <f t="shared" si="141"/>
        <v>0.41199749610413816</v>
      </c>
      <c r="Q871" s="585">
        <f t="shared" si="142"/>
        <v>0.36331217784396586</v>
      </c>
      <c r="R871" s="585">
        <f t="shared" si="143"/>
        <v>7.1618000000000001E-2</v>
      </c>
      <c r="S871" s="586">
        <f t="shared" si="144"/>
        <v>0.29169417784396584</v>
      </c>
      <c r="U871" s="587"/>
      <c r="V871" s="587"/>
      <c r="W871" s="587"/>
      <c r="X871" s="587"/>
      <c r="Y871" s="587"/>
      <c r="Z871" s="587"/>
      <c r="AA871" s="587"/>
      <c r="AB871" s="587"/>
      <c r="AC871" s="587"/>
      <c r="AE871" s="587"/>
      <c r="AF871" s="587"/>
      <c r="AG871" s="587"/>
      <c r="AH871" s="587"/>
      <c r="AI871" s="587"/>
      <c r="AJ871" s="587"/>
      <c r="AK871" s="587"/>
      <c r="AL871" s="587"/>
      <c r="AM871" s="587"/>
      <c r="AO871" s="587"/>
      <c r="AP871" s="587"/>
      <c r="AQ871" s="587"/>
      <c r="AR871" s="587"/>
      <c r="AS871" s="587"/>
      <c r="AT871" s="587"/>
      <c r="AU871" s="587"/>
      <c r="AV871" s="587"/>
      <c r="AW871" s="587"/>
    </row>
    <row r="872" spans="1:49">
      <c r="A872" s="581">
        <v>35886</v>
      </c>
      <c r="B872" s="594">
        <v>1.01E-2</v>
      </c>
      <c r="C872" s="577">
        <v>-1.9300000000000001E-2</v>
      </c>
      <c r="D872" s="577">
        <v>4.8999999999999998E-3</v>
      </c>
      <c r="E872" s="577">
        <v>5.5750000000000001E-3</v>
      </c>
      <c r="F872" s="577">
        <v>5.7500000000000008E-3</v>
      </c>
      <c r="G872" s="577">
        <v>5.6625E-3</v>
      </c>
      <c r="H872" s="577">
        <v>5.9682500000000005E-3</v>
      </c>
      <c r="I872" s="577">
        <f t="shared" si="145"/>
        <v>5.1999999999999998E-3</v>
      </c>
      <c r="J872" s="577">
        <f t="shared" si="149"/>
        <v>4.4374999999999996E-3</v>
      </c>
      <c r="K872" s="577">
        <f t="shared" si="150"/>
        <v>-2.5268250000000003E-2</v>
      </c>
      <c r="L872" s="585">
        <f t="shared" si="146"/>
        <v>0.41091581656581044</v>
      </c>
      <c r="M872" s="585">
        <f t="shared" si="147"/>
        <v>5.8799999999999998E-2</v>
      </c>
      <c r="N872" s="585">
        <f t="shared" ref="N872:N935" si="151">G872*12</f>
        <v>6.7949999999999997E-2</v>
      </c>
      <c r="O872" s="586">
        <f t="shared" si="148"/>
        <v>0.35211581656581042</v>
      </c>
      <c r="P872" s="585">
        <f t="shared" ref="P872:P935" si="152">L872-N872</f>
        <v>0.34296581656581043</v>
      </c>
      <c r="Q872" s="585">
        <f t="shared" ref="Q872:Q935" si="153">((1+C861)*(1+C862)*(1+C863)*(1+C864)*(1+C865)*(1+C866)*(1+C867)*(1+C868)*(1+C869)*(1+C870)*(1+C871)*(1+C872))-1</f>
        <v>0.35736066275287071</v>
      </c>
      <c r="R872" s="585">
        <f t="shared" ref="R872:R935" si="154">H872*12</f>
        <v>7.1619000000000002E-2</v>
      </c>
      <c r="S872" s="586">
        <f t="shared" ref="S872:S935" si="155">Q872-R872</f>
        <v>0.28574166275287072</v>
      </c>
      <c r="U872" s="587"/>
      <c r="V872" s="587"/>
      <c r="W872" s="587"/>
      <c r="X872" s="587"/>
      <c r="Y872" s="587"/>
      <c r="Z872" s="587"/>
      <c r="AA872" s="587"/>
      <c r="AB872" s="587"/>
      <c r="AC872" s="587"/>
      <c r="AE872" s="587"/>
      <c r="AF872" s="587"/>
      <c r="AG872" s="587"/>
      <c r="AH872" s="587"/>
      <c r="AI872" s="587"/>
      <c r="AJ872" s="587"/>
      <c r="AK872" s="587"/>
      <c r="AL872" s="587"/>
      <c r="AM872" s="587"/>
      <c r="AO872" s="587"/>
      <c r="AP872" s="587"/>
      <c r="AQ872" s="587"/>
      <c r="AR872" s="587"/>
      <c r="AS872" s="587"/>
      <c r="AT872" s="587"/>
      <c r="AU872" s="587"/>
      <c r="AV872" s="587"/>
      <c r="AW872" s="587"/>
    </row>
    <row r="873" spans="1:49">
      <c r="A873" s="581">
        <v>35916</v>
      </c>
      <c r="B873" s="594">
        <v>-1.72E-2</v>
      </c>
      <c r="C873" s="577">
        <v>-5.0000000000000001E-3</v>
      </c>
      <c r="D873" s="577">
        <v>4.7999999999999996E-3</v>
      </c>
      <c r="E873" s="577">
        <v>5.5750000000000001E-3</v>
      </c>
      <c r="F873" s="577">
        <v>5.7583333333333332E-3</v>
      </c>
      <c r="G873" s="577">
        <v>5.6666666666666662E-3</v>
      </c>
      <c r="H873" s="577">
        <v>5.9691666666666669E-3</v>
      </c>
      <c r="I873" s="577">
        <f t="shared" si="145"/>
        <v>-2.1999999999999999E-2</v>
      </c>
      <c r="J873" s="577">
        <f t="shared" si="149"/>
        <v>-2.2866666666666667E-2</v>
      </c>
      <c r="K873" s="577">
        <f t="shared" si="150"/>
        <v>-1.0969166666666667E-2</v>
      </c>
      <c r="L873" s="585">
        <f t="shared" si="146"/>
        <v>0.30704879302561916</v>
      </c>
      <c r="M873" s="585">
        <f t="shared" si="147"/>
        <v>5.7599999999999998E-2</v>
      </c>
      <c r="N873" s="585">
        <f t="shared" si="151"/>
        <v>6.7999999999999991E-2</v>
      </c>
      <c r="O873" s="586">
        <f t="shared" si="148"/>
        <v>0.24944879302561918</v>
      </c>
      <c r="P873" s="585">
        <f t="shared" si="152"/>
        <v>0.23904879302561916</v>
      </c>
      <c r="Q873" s="585">
        <f t="shared" si="153"/>
        <v>0.29576308110822813</v>
      </c>
      <c r="R873" s="585">
        <f t="shared" si="154"/>
        <v>7.1629999999999999E-2</v>
      </c>
      <c r="S873" s="586">
        <f t="shared" si="155"/>
        <v>0.22413308110822813</v>
      </c>
      <c r="U873" s="587"/>
      <c r="V873" s="587"/>
      <c r="W873" s="587"/>
      <c r="X873" s="587"/>
      <c r="Y873" s="587"/>
      <c r="Z873" s="587"/>
      <c r="AA873" s="587"/>
      <c r="AB873" s="587"/>
      <c r="AC873" s="587"/>
      <c r="AE873" s="587"/>
      <c r="AF873" s="587"/>
      <c r="AG873" s="587"/>
      <c r="AH873" s="587"/>
      <c r="AI873" s="587"/>
      <c r="AJ873" s="587"/>
      <c r="AK873" s="587"/>
      <c r="AL873" s="587"/>
      <c r="AM873" s="587"/>
      <c r="AO873" s="587"/>
      <c r="AP873" s="587"/>
      <c r="AQ873" s="587"/>
      <c r="AR873" s="587"/>
      <c r="AS873" s="587"/>
      <c r="AT873" s="587"/>
      <c r="AU873" s="587"/>
      <c r="AV873" s="587"/>
      <c r="AW873" s="587"/>
    </row>
    <row r="874" spans="1:49">
      <c r="A874" s="581">
        <v>35947</v>
      </c>
      <c r="B874" s="594">
        <v>4.0599999999999997E-2</v>
      </c>
      <c r="C874" s="577">
        <v>3.6900000000000002E-2</v>
      </c>
      <c r="D874" s="577">
        <v>5.1999999999999998E-3</v>
      </c>
      <c r="E874" s="577">
        <v>5.4416666666666667E-3</v>
      </c>
      <c r="F874" s="577">
        <v>5.6500000000000005E-3</v>
      </c>
      <c r="G874" s="577">
        <v>5.545833333333334E-3</v>
      </c>
      <c r="H874" s="577">
        <v>5.8636666666666672E-3</v>
      </c>
      <c r="I874" s="577">
        <f t="shared" si="145"/>
        <v>3.5400000000000001E-2</v>
      </c>
      <c r="J874" s="577">
        <f t="shared" si="149"/>
        <v>3.5054166666666664E-2</v>
      </c>
      <c r="K874" s="577">
        <f t="shared" si="150"/>
        <v>3.1036333333333336E-2</v>
      </c>
      <c r="L874" s="585">
        <f t="shared" si="146"/>
        <v>0.30179457697402223</v>
      </c>
      <c r="M874" s="585">
        <f t="shared" si="147"/>
        <v>6.2399999999999997E-2</v>
      </c>
      <c r="N874" s="585">
        <f t="shared" si="151"/>
        <v>6.6550000000000012E-2</v>
      </c>
      <c r="O874" s="586">
        <f t="shared" si="148"/>
        <v>0.23939457697402222</v>
      </c>
      <c r="P874" s="585">
        <f t="shared" si="152"/>
        <v>0.23524457697402223</v>
      </c>
      <c r="Q874" s="585">
        <f t="shared" si="153"/>
        <v>0.30267281248896793</v>
      </c>
      <c r="R874" s="585">
        <f t="shared" si="154"/>
        <v>7.036400000000001E-2</v>
      </c>
      <c r="S874" s="586">
        <f t="shared" si="155"/>
        <v>0.23230881248896793</v>
      </c>
      <c r="U874" s="587"/>
      <c r="V874" s="587"/>
      <c r="W874" s="587"/>
      <c r="X874" s="587"/>
      <c r="Y874" s="587"/>
      <c r="Z874" s="587"/>
      <c r="AA874" s="587"/>
      <c r="AB874" s="587"/>
      <c r="AC874" s="587"/>
      <c r="AE874" s="587"/>
      <c r="AF874" s="587"/>
      <c r="AG874" s="587"/>
      <c r="AH874" s="587"/>
      <c r="AI874" s="587"/>
      <c r="AJ874" s="587"/>
      <c r="AK874" s="587"/>
      <c r="AL874" s="587"/>
      <c r="AM874" s="587"/>
      <c r="AO874" s="587"/>
      <c r="AP874" s="587"/>
      <c r="AQ874" s="587"/>
      <c r="AR874" s="587"/>
      <c r="AS874" s="587"/>
      <c r="AT874" s="587"/>
      <c r="AU874" s="587"/>
      <c r="AV874" s="587"/>
      <c r="AW874" s="587"/>
    </row>
    <row r="875" spans="1:49">
      <c r="A875" s="581">
        <v>35977</v>
      </c>
      <c r="B875" s="594">
        <v>-1.06E-2</v>
      </c>
      <c r="C875" s="577">
        <v>-4.9299999999999997E-2</v>
      </c>
      <c r="D875" s="577">
        <v>4.8999999999999998E-3</v>
      </c>
      <c r="E875" s="577">
        <v>5.4583333333333324E-3</v>
      </c>
      <c r="F875" s="577">
        <v>5.6500000000000005E-3</v>
      </c>
      <c r="G875" s="577">
        <v>5.5541666666666665E-3</v>
      </c>
      <c r="H875" s="577">
        <v>5.8534166666666665E-3</v>
      </c>
      <c r="I875" s="577">
        <f t="shared" si="145"/>
        <v>-1.55E-2</v>
      </c>
      <c r="J875" s="577">
        <f t="shared" si="149"/>
        <v>-1.6154166666666667E-2</v>
      </c>
      <c r="K875" s="577">
        <f t="shared" si="150"/>
        <v>-5.5153416666666663E-2</v>
      </c>
      <c r="L875" s="585">
        <f t="shared" si="146"/>
        <v>0.19303033943877201</v>
      </c>
      <c r="M875" s="585">
        <f t="shared" si="147"/>
        <v>5.8799999999999998E-2</v>
      </c>
      <c r="N875" s="585">
        <f t="shared" si="151"/>
        <v>6.6650000000000001E-2</v>
      </c>
      <c r="O875" s="586">
        <f t="shared" si="148"/>
        <v>0.13423033943877202</v>
      </c>
      <c r="P875" s="585">
        <f t="shared" si="152"/>
        <v>0.12638033943877203</v>
      </c>
      <c r="Q875" s="585">
        <f t="shared" si="153"/>
        <v>0.21060707999341299</v>
      </c>
      <c r="R875" s="585">
        <f t="shared" si="154"/>
        <v>7.0240999999999998E-2</v>
      </c>
      <c r="S875" s="586">
        <f t="shared" si="155"/>
        <v>0.140366079993413</v>
      </c>
      <c r="U875" s="587"/>
      <c r="V875" s="587"/>
      <c r="W875" s="587"/>
      <c r="X875" s="587"/>
      <c r="Y875" s="587"/>
      <c r="Z875" s="587"/>
      <c r="AA875" s="587"/>
      <c r="AB875" s="587"/>
      <c r="AC875" s="587"/>
      <c r="AE875" s="587"/>
      <c r="AF875" s="587"/>
      <c r="AG875" s="587"/>
      <c r="AH875" s="587"/>
      <c r="AI875" s="587"/>
      <c r="AJ875" s="587"/>
      <c r="AK875" s="587"/>
      <c r="AL875" s="587"/>
      <c r="AM875" s="587"/>
      <c r="AO875" s="587"/>
      <c r="AP875" s="587"/>
      <c r="AQ875" s="587"/>
      <c r="AR875" s="587"/>
      <c r="AS875" s="587"/>
      <c r="AT875" s="587"/>
      <c r="AU875" s="587"/>
      <c r="AV875" s="587"/>
      <c r="AW875" s="587"/>
    </row>
    <row r="876" spans="1:49">
      <c r="A876" s="581">
        <v>36008</v>
      </c>
      <c r="B876" s="594">
        <v>-0.14460000000000001</v>
      </c>
      <c r="C876" s="577">
        <v>1.61E-2</v>
      </c>
      <c r="D876" s="577">
        <v>4.7999999999999996E-3</v>
      </c>
      <c r="E876" s="577">
        <v>5.4333333333333334E-3</v>
      </c>
      <c r="F876" s="577">
        <v>5.6416666666666664E-3</v>
      </c>
      <c r="G876" s="577">
        <v>5.5374999999999999E-3</v>
      </c>
      <c r="H876" s="577">
        <v>5.8349166666666662E-3</v>
      </c>
      <c r="I876" s="577">
        <f t="shared" si="145"/>
        <v>-0.14940000000000001</v>
      </c>
      <c r="J876" s="577">
        <f t="shared" si="149"/>
        <v>-0.15013750000000001</v>
      </c>
      <c r="K876" s="577">
        <f t="shared" si="150"/>
        <v>1.0265083333333334E-2</v>
      </c>
      <c r="L876" s="585">
        <f t="shared" si="146"/>
        <v>8.1057364783819308E-2</v>
      </c>
      <c r="M876" s="585">
        <f t="shared" si="147"/>
        <v>5.7599999999999998E-2</v>
      </c>
      <c r="N876" s="585">
        <f t="shared" si="151"/>
        <v>6.6449999999999995E-2</v>
      </c>
      <c r="O876" s="586">
        <f t="shared" si="148"/>
        <v>2.3457364783819309E-2</v>
      </c>
      <c r="P876" s="585">
        <f t="shared" si="152"/>
        <v>1.4607364783819313E-2</v>
      </c>
      <c r="Q876" s="585">
        <f t="shared" si="153"/>
        <v>0.25302827134695627</v>
      </c>
      <c r="R876" s="585">
        <f t="shared" si="154"/>
        <v>7.0018999999999998E-2</v>
      </c>
      <c r="S876" s="586">
        <f t="shared" si="155"/>
        <v>0.18300927134695627</v>
      </c>
      <c r="U876" s="587"/>
      <c r="V876" s="587"/>
      <c r="W876" s="587"/>
      <c r="X876" s="587"/>
      <c r="Y876" s="587"/>
      <c r="Z876" s="587"/>
      <c r="AA876" s="587"/>
      <c r="AB876" s="587"/>
      <c r="AC876" s="587"/>
      <c r="AE876" s="587"/>
      <c r="AF876" s="587"/>
      <c r="AG876" s="587"/>
      <c r="AH876" s="587"/>
      <c r="AI876" s="587"/>
      <c r="AJ876" s="587"/>
      <c r="AK876" s="587"/>
      <c r="AL876" s="587"/>
      <c r="AM876" s="587"/>
      <c r="AO876" s="587"/>
      <c r="AP876" s="587"/>
      <c r="AQ876" s="587"/>
      <c r="AR876" s="587"/>
      <c r="AS876" s="587"/>
      <c r="AT876" s="587"/>
      <c r="AU876" s="587"/>
      <c r="AV876" s="587"/>
      <c r="AW876" s="587"/>
    </row>
    <row r="877" spans="1:49">
      <c r="A877" s="581">
        <v>36039</v>
      </c>
      <c r="B877" s="594">
        <v>6.4100000000000004E-2</v>
      </c>
      <c r="C877" s="577">
        <v>8.3499999999999991E-2</v>
      </c>
      <c r="D877" s="577">
        <v>4.4000000000000003E-3</v>
      </c>
      <c r="E877" s="577">
        <v>5.3333333333333332E-3</v>
      </c>
      <c r="F877" s="577">
        <v>5.5666666666666668E-3</v>
      </c>
      <c r="G877" s="577">
        <v>5.4499999999999991E-3</v>
      </c>
      <c r="H877" s="577">
        <v>5.780166666666667E-3</v>
      </c>
      <c r="I877" s="577">
        <f t="shared" si="145"/>
        <v>5.9700000000000003E-2</v>
      </c>
      <c r="J877" s="577">
        <f t="shared" si="149"/>
        <v>5.8650000000000008E-2</v>
      </c>
      <c r="K877" s="577">
        <f t="shared" si="150"/>
        <v>7.7719833333333321E-2</v>
      </c>
      <c r="L877" s="585">
        <f t="shared" si="146"/>
        <v>9.0588871697442341E-2</v>
      </c>
      <c r="M877" s="585">
        <f t="shared" si="147"/>
        <v>5.28E-2</v>
      </c>
      <c r="N877" s="585">
        <f t="shared" si="151"/>
        <v>6.5399999999999986E-2</v>
      </c>
      <c r="O877" s="586">
        <f t="shared" si="148"/>
        <v>3.7788871697442342E-2</v>
      </c>
      <c r="P877" s="585">
        <f t="shared" si="152"/>
        <v>2.5188871697442355E-2</v>
      </c>
      <c r="Q877" s="585">
        <f t="shared" si="153"/>
        <v>0.30130943353247108</v>
      </c>
      <c r="R877" s="585">
        <f t="shared" si="154"/>
        <v>6.9362000000000007E-2</v>
      </c>
      <c r="S877" s="586">
        <f t="shared" si="155"/>
        <v>0.23194743353247108</v>
      </c>
      <c r="U877" s="587"/>
      <c r="V877" s="587"/>
      <c r="W877" s="587"/>
      <c r="X877" s="587"/>
      <c r="Y877" s="587"/>
      <c r="Z877" s="587"/>
      <c r="AA877" s="587"/>
      <c r="AB877" s="587"/>
      <c r="AC877" s="587"/>
      <c r="AE877" s="587"/>
      <c r="AF877" s="587"/>
      <c r="AG877" s="587"/>
      <c r="AH877" s="587"/>
      <c r="AI877" s="587"/>
      <c r="AJ877" s="587"/>
      <c r="AK877" s="587"/>
      <c r="AL877" s="587"/>
      <c r="AM877" s="587"/>
      <c r="AO877" s="587"/>
      <c r="AP877" s="587"/>
      <c r="AQ877" s="587"/>
      <c r="AR877" s="587"/>
      <c r="AS877" s="587"/>
      <c r="AT877" s="587"/>
      <c r="AU877" s="587"/>
      <c r="AV877" s="587"/>
      <c r="AW877" s="587"/>
    </row>
    <row r="878" spans="1:49">
      <c r="A878" s="581">
        <v>36069</v>
      </c>
      <c r="B878" s="594">
        <v>8.1299999999999997E-2</v>
      </c>
      <c r="C878" s="577">
        <v>-1.66E-2</v>
      </c>
      <c r="D878" s="577">
        <v>4.1999999999999997E-3</v>
      </c>
      <c r="E878" s="577">
        <v>5.3083333333333342E-3</v>
      </c>
      <c r="F878" s="577">
        <v>5.5833333333333334E-3</v>
      </c>
      <c r="G878" s="577">
        <v>5.4458333333333338E-3</v>
      </c>
      <c r="H878" s="577">
        <v>5.7962499999999993E-3</v>
      </c>
      <c r="I878" s="577">
        <f t="shared" si="145"/>
        <v>7.7100000000000002E-2</v>
      </c>
      <c r="J878" s="577">
        <f t="shared" si="149"/>
        <v>7.5854166666666667E-2</v>
      </c>
      <c r="K878" s="577">
        <f t="shared" si="150"/>
        <v>-2.2396249999999999E-2</v>
      </c>
      <c r="L878" s="585">
        <f t="shared" si="146"/>
        <v>0.22000180733130992</v>
      </c>
      <c r="M878" s="585">
        <f t="shared" si="147"/>
        <v>5.04E-2</v>
      </c>
      <c r="N878" s="585">
        <f t="shared" si="151"/>
        <v>6.5350000000000005E-2</v>
      </c>
      <c r="O878" s="586">
        <f t="shared" si="148"/>
        <v>0.16960180733130992</v>
      </c>
      <c r="P878" s="585">
        <f t="shared" si="152"/>
        <v>0.1546518073313099</v>
      </c>
      <c r="Q878" s="585">
        <f t="shared" si="153"/>
        <v>0.26728827187149151</v>
      </c>
      <c r="R878" s="585">
        <f t="shared" si="154"/>
        <v>6.9554999999999992E-2</v>
      </c>
      <c r="S878" s="586">
        <f t="shared" si="155"/>
        <v>0.19773327187149153</v>
      </c>
      <c r="U878" s="587"/>
      <c r="V878" s="587"/>
      <c r="W878" s="587"/>
      <c r="X878" s="587"/>
      <c r="Y878" s="587"/>
      <c r="Z878" s="587"/>
      <c r="AA878" s="587"/>
      <c r="AB878" s="587"/>
      <c r="AC878" s="587"/>
      <c r="AE878" s="587"/>
      <c r="AF878" s="587"/>
      <c r="AG878" s="587"/>
      <c r="AH878" s="587"/>
      <c r="AI878" s="587"/>
      <c r="AJ878" s="587"/>
      <c r="AK878" s="587"/>
      <c r="AL878" s="587"/>
      <c r="AM878" s="587"/>
      <c r="AO878" s="587"/>
      <c r="AP878" s="587"/>
      <c r="AQ878" s="587"/>
      <c r="AR878" s="587"/>
      <c r="AS878" s="587"/>
      <c r="AT878" s="587"/>
      <c r="AU878" s="587"/>
      <c r="AV878" s="587"/>
      <c r="AW878" s="587"/>
    </row>
    <row r="879" spans="1:49">
      <c r="A879" s="581">
        <v>36100</v>
      </c>
      <c r="B879" s="594">
        <v>6.0600000000000001E-2</v>
      </c>
      <c r="C879" s="577">
        <v>1.3399999999999999E-2</v>
      </c>
      <c r="D879" s="577">
        <v>4.4999999999999997E-3</v>
      </c>
      <c r="E879" s="577">
        <v>5.3416666666666664E-3</v>
      </c>
      <c r="F879" s="577">
        <v>5.6583333333333329E-3</v>
      </c>
      <c r="G879" s="577">
        <v>5.5000000000000005E-3</v>
      </c>
      <c r="H879" s="577">
        <v>5.8635833333333335E-3</v>
      </c>
      <c r="I879" s="577">
        <f t="shared" si="145"/>
        <v>5.6100000000000004E-2</v>
      </c>
      <c r="J879" s="577">
        <f t="shared" si="149"/>
        <v>5.5100000000000003E-2</v>
      </c>
      <c r="K879" s="577">
        <f t="shared" si="150"/>
        <v>7.5364166666666652E-3</v>
      </c>
      <c r="L879" s="585">
        <f t="shared" si="146"/>
        <v>0.2366758261068409</v>
      </c>
      <c r="M879" s="585">
        <f t="shared" si="147"/>
        <v>5.3999999999999992E-2</v>
      </c>
      <c r="N879" s="585">
        <f t="shared" si="151"/>
        <v>6.6000000000000003E-2</v>
      </c>
      <c r="O879" s="586">
        <f t="shared" si="148"/>
        <v>0.18267582610684091</v>
      </c>
      <c r="P879" s="585">
        <f t="shared" si="152"/>
        <v>0.1706758261068409</v>
      </c>
      <c r="Q879" s="585">
        <f t="shared" si="153"/>
        <v>0.19946757701930484</v>
      </c>
      <c r="R879" s="585">
        <f t="shared" si="154"/>
        <v>7.0363000000000009E-2</v>
      </c>
      <c r="S879" s="586">
        <f t="shared" si="155"/>
        <v>0.12910457701930483</v>
      </c>
      <c r="U879" s="587"/>
      <c r="V879" s="587"/>
      <c r="W879" s="587"/>
      <c r="X879" s="587"/>
      <c r="Y879" s="587"/>
      <c r="Z879" s="587"/>
      <c r="AA879" s="587"/>
      <c r="AB879" s="587"/>
      <c r="AC879" s="587"/>
      <c r="AE879" s="587"/>
      <c r="AF879" s="587"/>
      <c r="AG879" s="587"/>
      <c r="AH879" s="587"/>
      <c r="AI879" s="587"/>
      <c r="AJ879" s="587"/>
      <c r="AK879" s="587"/>
      <c r="AL879" s="587"/>
      <c r="AM879" s="587"/>
      <c r="AO879" s="587"/>
      <c r="AP879" s="587"/>
      <c r="AQ879" s="587"/>
      <c r="AR879" s="587"/>
      <c r="AS879" s="587"/>
      <c r="AT879" s="587"/>
      <c r="AU879" s="587"/>
      <c r="AV879" s="587"/>
      <c r="AW879" s="587"/>
    </row>
    <row r="880" spans="1:49">
      <c r="A880" s="581">
        <v>36130</v>
      </c>
      <c r="B880" s="594">
        <v>5.7599999999999998E-2</v>
      </c>
      <c r="C880" s="577">
        <v>2.9500000000000002E-2</v>
      </c>
      <c r="D880" s="577">
        <v>4.4999999999999997E-3</v>
      </c>
      <c r="E880" s="577">
        <v>5.1833333333333332E-3</v>
      </c>
      <c r="F880" s="577">
        <v>5.541666666666667E-3</v>
      </c>
      <c r="G880" s="577">
        <v>5.3625000000000001E-3</v>
      </c>
      <c r="H880" s="577">
        <v>5.7568333333333334E-3</v>
      </c>
      <c r="I880" s="577">
        <f t="shared" si="145"/>
        <v>5.3100000000000001E-2</v>
      </c>
      <c r="J880" s="577">
        <f t="shared" si="149"/>
        <v>5.2237499999999999E-2</v>
      </c>
      <c r="K880" s="577">
        <f t="shared" si="150"/>
        <v>2.3743166666666669E-2</v>
      </c>
      <c r="L880" s="585">
        <f t="shared" si="146"/>
        <v>0.28579271892508329</v>
      </c>
      <c r="M880" s="585">
        <f t="shared" si="147"/>
        <v>5.3999999999999992E-2</v>
      </c>
      <c r="N880" s="585">
        <f t="shared" si="151"/>
        <v>6.4350000000000004E-2</v>
      </c>
      <c r="O880" s="586">
        <f t="shared" si="148"/>
        <v>0.2317927189250833</v>
      </c>
      <c r="P880" s="585">
        <f t="shared" si="152"/>
        <v>0.22144271892508327</v>
      </c>
      <c r="Q880" s="585">
        <f t="shared" si="153"/>
        <v>0.14848574269101045</v>
      </c>
      <c r="R880" s="585">
        <f t="shared" si="154"/>
        <v>6.9082000000000005E-2</v>
      </c>
      <c r="S880" s="586">
        <f t="shared" si="155"/>
        <v>7.9403742691010443E-2</v>
      </c>
      <c r="U880" s="587"/>
      <c r="V880" s="587"/>
      <c r="W880" s="587"/>
      <c r="X880" s="587"/>
      <c r="Y880" s="587"/>
      <c r="Z880" s="587"/>
      <c r="AA880" s="587"/>
      <c r="AB880" s="587"/>
      <c r="AC880" s="587"/>
      <c r="AE880" s="587"/>
      <c r="AF880" s="587"/>
      <c r="AG880" s="587"/>
      <c r="AH880" s="587"/>
      <c r="AI880" s="587"/>
      <c r="AJ880" s="587"/>
      <c r="AK880" s="587"/>
      <c r="AL880" s="587"/>
      <c r="AM880" s="587"/>
      <c r="AO880" s="587"/>
      <c r="AP880" s="587"/>
      <c r="AQ880" s="587"/>
      <c r="AR880" s="587"/>
      <c r="AS880" s="587"/>
      <c r="AT880" s="587"/>
      <c r="AU880" s="587"/>
      <c r="AV880" s="587"/>
      <c r="AW880" s="587"/>
    </row>
    <row r="881" spans="1:49">
      <c r="A881" s="581">
        <v>36161</v>
      </c>
      <c r="B881" s="594">
        <v>4.1799999999999997E-2</v>
      </c>
      <c r="C881" s="577">
        <v>-4.5100000000000001E-2</v>
      </c>
      <c r="D881" s="577">
        <v>4.1999999999999997E-3</v>
      </c>
      <c r="E881" s="577">
        <v>5.1999999999999998E-3</v>
      </c>
      <c r="F881" s="577">
        <v>5.5666666666666668E-3</v>
      </c>
      <c r="G881" s="577">
        <v>5.3833333333333337E-3</v>
      </c>
      <c r="H881" s="577">
        <v>5.8083333333333329E-3</v>
      </c>
      <c r="I881" s="577">
        <f t="shared" si="145"/>
        <v>3.7599999999999995E-2</v>
      </c>
      <c r="J881" s="577">
        <f t="shared" si="149"/>
        <v>3.6416666666666667E-2</v>
      </c>
      <c r="K881" s="577">
        <f t="shared" si="150"/>
        <v>-5.0908333333333333E-2</v>
      </c>
      <c r="L881" s="585">
        <f t="shared" si="146"/>
        <v>0.32483320598966614</v>
      </c>
      <c r="M881" s="585">
        <f t="shared" si="147"/>
        <v>5.04E-2</v>
      </c>
      <c r="N881" s="585">
        <f t="shared" si="151"/>
        <v>6.4600000000000005E-2</v>
      </c>
      <c r="O881" s="586">
        <f t="shared" si="148"/>
        <v>0.27443320598966614</v>
      </c>
      <c r="P881" s="585">
        <f t="shared" si="152"/>
        <v>0.26023320598966615</v>
      </c>
      <c r="Q881" s="585">
        <f t="shared" si="153"/>
        <v>0.1417897300319062</v>
      </c>
      <c r="R881" s="585">
        <f t="shared" si="154"/>
        <v>6.9699999999999998E-2</v>
      </c>
      <c r="S881" s="586">
        <f t="shared" si="155"/>
        <v>7.2089730031906205E-2</v>
      </c>
      <c r="U881" s="587"/>
      <c r="V881" s="587"/>
      <c r="W881" s="587"/>
      <c r="X881" s="587"/>
      <c r="Y881" s="587"/>
      <c r="Z881" s="587"/>
      <c r="AA881" s="587"/>
      <c r="AB881" s="587"/>
      <c r="AC881" s="587"/>
      <c r="AE881" s="587"/>
      <c r="AF881" s="587"/>
      <c r="AG881" s="587"/>
      <c r="AH881" s="587"/>
      <c r="AI881" s="587"/>
      <c r="AJ881" s="587"/>
      <c r="AK881" s="587"/>
      <c r="AL881" s="587"/>
      <c r="AM881" s="587"/>
      <c r="AO881" s="587"/>
      <c r="AP881" s="587"/>
      <c r="AQ881" s="587"/>
      <c r="AR881" s="587"/>
      <c r="AS881" s="587"/>
      <c r="AT881" s="587"/>
      <c r="AU881" s="587"/>
      <c r="AV881" s="587"/>
      <c r="AW881" s="587"/>
    </row>
    <row r="882" spans="1:49">
      <c r="A882" s="581">
        <v>36192</v>
      </c>
      <c r="B882" s="594">
        <v>-3.1099999999999999E-2</v>
      </c>
      <c r="C882" s="577">
        <v>-3.6400000000000002E-2</v>
      </c>
      <c r="D882" s="577">
        <v>4.0000000000000001E-3</v>
      </c>
      <c r="E882" s="577">
        <v>5.3333333333333332E-3</v>
      </c>
      <c r="F882" s="577">
        <v>5.6583333333333329E-3</v>
      </c>
      <c r="G882" s="577">
        <v>5.4958333333333335E-3</v>
      </c>
      <c r="H882" s="577">
        <v>5.8964999999999998E-3</v>
      </c>
      <c r="I882" s="577">
        <f t="shared" si="145"/>
        <v>-3.5099999999999999E-2</v>
      </c>
      <c r="J882" s="577">
        <f t="shared" si="149"/>
        <v>-3.6595833333333334E-2</v>
      </c>
      <c r="K882" s="577">
        <f t="shared" si="150"/>
        <v>-4.2296500000000001E-2</v>
      </c>
      <c r="L882" s="585">
        <f t="shared" si="146"/>
        <v>0.19730518914596384</v>
      </c>
      <c r="M882" s="585">
        <f t="shared" si="147"/>
        <v>4.8000000000000001E-2</v>
      </c>
      <c r="N882" s="585">
        <f t="shared" si="151"/>
        <v>6.5950000000000009E-2</v>
      </c>
      <c r="O882" s="586">
        <f t="shared" si="148"/>
        <v>0.14930518914596386</v>
      </c>
      <c r="P882" s="585">
        <f t="shared" si="152"/>
        <v>0.13135518914596384</v>
      </c>
      <c r="Q882" s="585">
        <f t="shared" si="153"/>
        <v>6.3947958474755984E-2</v>
      </c>
      <c r="R882" s="585">
        <f t="shared" si="154"/>
        <v>7.0758000000000001E-2</v>
      </c>
      <c r="S882" s="586">
        <f t="shared" si="155"/>
        <v>-6.8100415252440177E-3</v>
      </c>
      <c r="U882" s="587"/>
      <c r="V882" s="587"/>
      <c r="W882" s="587"/>
      <c r="X882" s="587"/>
      <c r="Y882" s="587"/>
      <c r="Z882" s="587"/>
      <c r="AA882" s="587"/>
      <c r="AB882" s="587"/>
      <c r="AC882" s="587"/>
      <c r="AE882" s="587"/>
      <c r="AF882" s="587"/>
      <c r="AG882" s="587"/>
      <c r="AH882" s="587"/>
      <c r="AI882" s="587"/>
      <c r="AJ882" s="587"/>
      <c r="AK882" s="587"/>
      <c r="AL882" s="587"/>
      <c r="AM882" s="587"/>
      <c r="AO882" s="587"/>
      <c r="AP882" s="587"/>
      <c r="AQ882" s="587"/>
      <c r="AR882" s="587"/>
      <c r="AS882" s="587"/>
      <c r="AT882" s="587"/>
      <c r="AU882" s="587"/>
      <c r="AV882" s="587"/>
      <c r="AW882" s="587"/>
    </row>
    <row r="883" spans="1:49">
      <c r="A883" s="581">
        <v>36220</v>
      </c>
      <c r="B883" s="594">
        <v>0.04</v>
      </c>
      <c r="C883" s="577">
        <v>-1.4800000000000001E-2</v>
      </c>
      <c r="D883" s="577">
        <v>5.3E-3</v>
      </c>
      <c r="E883" s="577">
        <v>5.5166666666666662E-3</v>
      </c>
      <c r="F883" s="577">
        <v>5.816666666666667E-3</v>
      </c>
      <c r="G883" s="577">
        <v>5.6666666666666662E-3</v>
      </c>
      <c r="H883" s="577">
        <v>6.0460000000000002E-3</v>
      </c>
      <c r="I883" s="577">
        <f t="shared" si="145"/>
        <v>3.4700000000000002E-2</v>
      </c>
      <c r="J883" s="577">
        <f t="shared" si="149"/>
        <v>3.4333333333333334E-2</v>
      </c>
      <c r="K883" s="577">
        <f t="shared" si="150"/>
        <v>-2.0846E-2</v>
      </c>
      <c r="L883" s="585">
        <f t="shared" si="146"/>
        <v>0.18454851285369367</v>
      </c>
      <c r="M883" s="585">
        <f t="shared" si="147"/>
        <v>6.3600000000000004E-2</v>
      </c>
      <c r="N883" s="585">
        <f t="shared" si="151"/>
        <v>6.7999999999999991E-2</v>
      </c>
      <c r="O883" s="586">
        <f t="shared" si="148"/>
        <v>0.12094851285369367</v>
      </c>
      <c r="P883" s="585">
        <f t="shared" si="152"/>
        <v>0.11654851285369368</v>
      </c>
      <c r="Q883" s="585">
        <f t="shared" si="153"/>
        <v>-1.5033331432691921E-2</v>
      </c>
      <c r="R883" s="585">
        <f t="shared" si="154"/>
        <v>7.2552000000000005E-2</v>
      </c>
      <c r="S883" s="586">
        <f t="shared" si="155"/>
        <v>-8.7585331432691926E-2</v>
      </c>
      <c r="U883" s="587"/>
      <c r="V883" s="587"/>
      <c r="W883" s="587"/>
      <c r="X883" s="587"/>
      <c r="Y883" s="587"/>
      <c r="Z883" s="587"/>
      <c r="AA883" s="587"/>
      <c r="AB883" s="587"/>
      <c r="AC883" s="587"/>
      <c r="AE883" s="587"/>
      <c r="AF883" s="587"/>
      <c r="AG883" s="587"/>
      <c r="AH883" s="587"/>
      <c r="AI883" s="587"/>
      <c r="AJ883" s="587"/>
      <c r="AK883" s="587"/>
      <c r="AL883" s="587"/>
      <c r="AM883" s="587"/>
      <c r="AO883" s="587"/>
      <c r="AP883" s="587"/>
      <c r="AQ883" s="587"/>
      <c r="AR883" s="587"/>
      <c r="AS883" s="587"/>
      <c r="AT883" s="587"/>
      <c r="AU883" s="587"/>
      <c r="AV883" s="587"/>
      <c r="AW883" s="587"/>
    </row>
    <row r="884" spans="1:49">
      <c r="A884" s="581">
        <v>36251</v>
      </c>
      <c r="B884" s="594">
        <v>3.8699999999999998E-2</v>
      </c>
      <c r="C884" s="577">
        <v>8.8399999999999992E-2</v>
      </c>
      <c r="D884" s="577">
        <v>4.7999999999999996E-3</v>
      </c>
      <c r="E884" s="577">
        <v>5.5333333333333337E-3</v>
      </c>
      <c r="F884" s="577">
        <v>5.7999999999999996E-3</v>
      </c>
      <c r="G884" s="577">
        <v>5.6666666666666662E-3</v>
      </c>
      <c r="H884" s="577">
        <v>6.0119166666666671E-3</v>
      </c>
      <c r="I884" s="577">
        <f t="shared" si="145"/>
        <v>3.39E-2</v>
      </c>
      <c r="J884" s="577">
        <f t="shared" si="149"/>
        <v>3.3033333333333331E-2</v>
      </c>
      <c r="K884" s="577">
        <f t="shared" si="150"/>
        <v>8.238808333333332E-2</v>
      </c>
      <c r="L884" s="585">
        <f t="shared" si="146"/>
        <v>0.21808785298597266</v>
      </c>
      <c r="M884" s="585">
        <f t="shared" si="147"/>
        <v>5.7599999999999998E-2</v>
      </c>
      <c r="N884" s="585">
        <f t="shared" si="151"/>
        <v>6.7999999999999991E-2</v>
      </c>
      <c r="O884" s="586">
        <f t="shared" si="148"/>
        <v>0.16048785298597268</v>
      </c>
      <c r="P884" s="585">
        <f t="shared" si="152"/>
        <v>0.15008785298597266</v>
      </c>
      <c r="Q884" s="585">
        <f t="shared" si="153"/>
        <v>9.3135232047168781E-2</v>
      </c>
      <c r="R884" s="585">
        <f t="shared" si="154"/>
        <v>7.2143000000000013E-2</v>
      </c>
      <c r="S884" s="586">
        <f t="shared" si="155"/>
        <v>2.0992232047168768E-2</v>
      </c>
      <c r="U884" s="587"/>
      <c r="V884" s="587"/>
      <c r="W884" s="587"/>
      <c r="X884" s="587"/>
      <c r="Y884" s="587"/>
      <c r="Z884" s="587"/>
      <c r="AA884" s="587"/>
      <c r="AB884" s="587"/>
      <c r="AC884" s="587"/>
      <c r="AE884" s="587"/>
      <c r="AF884" s="587"/>
      <c r="AG884" s="587"/>
      <c r="AH884" s="587"/>
      <c r="AI884" s="587"/>
      <c r="AJ884" s="587"/>
      <c r="AK884" s="587"/>
      <c r="AL884" s="587"/>
      <c r="AM884" s="587"/>
      <c r="AO884" s="587"/>
      <c r="AP884" s="587"/>
      <c r="AQ884" s="587"/>
      <c r="AR884" s="587"/>
      <c r="AS884" s="587"/>
      <c r="AT884" s="587"/>
      <c r="AU884" s="587"/>
      <c r="AV884" s="587"/>
      <c r="AW884" s="587"/>
    </row>
    <row r="885" spans="1:49">
      <c r="A885" s="581">
        <v>36281</v>
      </c>
      <c r="B885" s="594">
        <v>-2.3599999999999999E-2</v>
      </c>
      <c r="C885" s="577">
        <v>6.0899999999999996E-2</v>
      </c>
      <c r="D885" s="577">
        <v>4.4999999999999997E-3</v>
      </c>
      <c r="E885" s="577">
        <v>5.7749999999999998E-3</v>
      </c>
      <c r="F885" s="577">
        <v>6.025E-3</v>
      </c>
      <c r="G885" s="577">
        <v>5.9000000000000007E-3</v>
      </c>
      <c r="H885" s="577">
        <v>6.2141666666666664E-3</v>
      </c>
      <c r="I885" s="577">
        <f t="shared" si="145"/>
        <v>-2.81E-2</v>
      </c>
      <c r="J885" s="577">
        <f t="shared" si="149"/>
        <v>-2.9499999999999998E-2</v>
      </c>
      <c r="K885" s="577">
        <f t="shared" si="150"/>
        <v>5.4685833333333329E-2</v>
      </c>
      <c r="L885" s="585">
        <f t="shared" si="146"/>
        <v>0.21015565695513172</v>
      </c>
      <c r="M885" s="585">
        <f t="shared" si="147"/>
        <v>5.3999999999999992E-2</v>
      </c>
      <c r="N885" s="585">
        <f t="shared" si="151"/>
        <v>7.0800000000000002E-2</v>
      </c>
      <c r="O885" s="586">
        <f t="shared" si="148"/>
        <v>0.15615565695513173</v>
      </c>
      <c r="P885" s="585">
        <f t="shared" si="152"/>
        <v>0.13935565695513172</v>
      </c>
      <c r="Q885" s="585">
        <f t="shared" si="153"/>
        <v>0.16553484188828227</v>
      </c>
      <c r="R885" s="585">
        <f t="shared" si="154"/>
        <v>7.4569999999999997E-2</v>
      </c>
      <c r="S885" s="586">
        <f t="shared" si="155"/>
        <v>9.0964841888282272E-2</v>
      </c>
      <c r="U885" s="587"/>
      <c r="V885" s="587"/>
      <c r="W885" s="587"/>
      <c r="X885" s="587"/>
      <c r="Y885" s="587"/>
      <c r="Z885" s="587"/>
      <c r="AA885" s="587"/>
      <c r="AB885" s="587"/>
      <c r="AC885" s="587"/>
      <c r="AE885" s="587"/>
      <c r="AF885" s="587"/>
      <c r="AG885" s="587"/>
      <c r="AH885" s="587"/>
      <c r="AI885" s="587"/>
      <c r="AJ885" s="587"/>
      <c r="AK885" s="587"/>
      <c r="AL885" s="587"/>
      <c r="AM885" s="587"/>
      <c r="AO885" s="587"/>
      <c r="AP885" s="587"/>
      <c r="AQ885" s="587"/>
      <c r="AR885" s="587"/>
      <c r="AS885" s="587"/>
      <c r="AT885" s="587"/>
      <c r="AU885" s="587"/>
      <c r="AV885" s="587"/>
      <c r="AW885" s="587"/>
    </row>
    <row r="886" spans="1:49">
      <c r="A886" s="581">
        <v>36312</v>
      </c>
      <c r="B886" s="594">
        <v>5.5500000000000001E-2</v>
      </c>
      <c r="C886" s="577">
        <v>-3.32E-2</v>
      </c>
      <c r="D886" s="577">
        <v>5.4999999999999997E-3</v>
      </c>
      <c r="E886" s="577">
        <v>6.025E-3</v>
      </c>
      <c r="F886" s="577">
        <v>6.266666666666666E-3</v>
      </c>
      <c r="G886" s="577">
        <v>6.145833333333333E-3</v>
      </c>
      <c r="H886" s="577">
        <v>6.445416666666667E-3</v>
      </c>
      <c r="I886" s="577">
        <f t="shared" si="145"/>
        <v>0.05</v>
      </c>
      <c r="J886" s="577">
        <f t="shared" si="149"/>
        <v>4.9354166666666671E-2</v>
      </c>
      <c r="K886" s="577">
        <f t="shared" si="150"/>
        <v>-3.9645416666666669E-2</v>
      </c>
      <c r="L886" s="585">
        <f t="shared" si="146"/>
        <v>0.22748346714985801</v>
      </c>
      <c r="M886" s="585">
        <f t="shared" si="147"/>
        <v>6.6000000000000003E-2</v>
      </c>
      <c r="N886" s="585">
        <f t="shared" si="151"/>
        <v>7.3749999999999996E-2</v>
      </c>
      <c r="O886" s="586">
        <f t="shared" si="148"/>
        <v>0.16148346714985801</v>
      </c>
      <c r="P886" s="585">
        <f t="shared" si="152"/>
        <v>0.15373346714985803</v>
      </c>
      <c r="Q886" s="585">
        <f t="shared" si="153"/>
        <v>8.6738436818971643E-2</v>
      </c>
      <c r="R886" s="585">
        <f t="shared" si="154"/>
        <v>7.7344999999999997E-2</v>
      </c>
      <c r="S886" s="586">
        <f t="shared" si="155"/>
        <v>9.3934368189716455E-3</v>
      </c>
      <c r="U886" s="587"/>
      <c r="V886" s="587"/>
      <c r="W886" s="587"/>
      <c r="X886" s="587"/>
      <c r="Y886" s="587"/>
      <c r="Z886" s="587"/>
      <c r="AA886" s="587"/>
      <c r="AB886" s="587"/>
      <c r="AC886" s="587"/>
      <c r="AE886" s="587"/>
      <c r="AF886" s="587"/>
      <c r="AG886" s="587"/>
      <c r="AH886" s="587"/>
      <c r="AI886" s="587"/>
      <c r="AJ886" s="587"/>
      <c r="AK886" s="587"/>
      <c r="AL886" s="587"/>
      <c r="AM886" s="587"/>
      <c r="AO886" s="587"/>
      <c r="AP886" s="587"/>
      <c r="AQ886" s="587"/>
      <c r="AR886" s="587"/>
      <c r="AS886" s="587"/>
      <c r="AT886" s="587"/>
      <c r="AU886" s="587"/>
      <c r="AV886" s="587"/>
      <c r="AW886" s="587"/>
    </row>
    <row r="887" spans="1:49">
      <c r="A887" s="581">
        <v>36342</v>
      </c>
      <c r="B887" s="594">
        <v>-3.1199999999999999E-2</v>
      </c>
      <c r="C887" s="577">
        <v>-1.14E-2</v>
      </c>
      <c r="D887" s="577">
        <v>5.1000000000000004E-3</v>
      </c>
      <c r="E887" s="577">
        <v>5.9916666666666677E-3</v>
      </c>
      <c r="F887" s="577">
        <v>6.2333333333333338E-3</v>
      </c>
      <c r="G887" s="577">
        <v>6.1125000000000007E-3</v>
      </c>
      <c r="H887" s="577">
        <v>6.4182499999999995E-3</v>
      </c>
      <c r="I887" s="577">
        <f t="shared" si="145"/>
        <v>-3.6299999999999999E-2</v>
      </c>
      <c r="J887" s="577">
        <f t="shared" si="149"/>
        <v>-3.7312499999999998E-2</v>
      </c>
      <c r="K887" s="577">
        <f t="shared" si="150"/>
        <v>-1.7818250000000001E-2</v>
      </c>
      <c r="L887" s="585">
        <f t="shared" si="146"/>
        <v>0.20192640284493835</v>
      </c>
      <c r="M887" s="585">
        <f t="shared" si="147"/>
        <v>6.1200000000000004E-2</v>
      </c>
      <c r="N887" s="585">
        <f t="shared" si="151"/>
        <v>7.3350000000000012E-2</v>
      </c>
      <c r="O887" s="586">
        <f t="shared" si="148"/>
        <v>0.14072640284493834</v>
      </c>
      <c r="P887" s="585">
        <f t="shared" si="152"/>
        <v>0.12857640284493832</v>
      </c>
      <c r="Q887" s="585">
        <f t="shared" si="153"/>
        <v>0.13006165839827011</v>
      </c>
      <c r="R887" s="585">
        <f t="shared" si="154"/>
        <v>7.701899999999999E-2</v>
      </c>
      <c r="S887" s="586">
        <f t="shared" si="155"/>
        <v>5.3042658398270118E-2</v>
      </c>
      <c r="U887" s="587"/>
      <c r="V887" s="587"/>
      <c r="W887" s="587"/>
      <c r="X887" s="587"/>
      <c r="Y887" s="587"/>
      <c r="Z887" s="587"/>
      <c r="AA887" s="587"/>
      <c r="AB887" s="587"/>
      <c r="AC887" s="587"/>
      <c r="AE887" s="587"/>
      <c r="AF887" s="587"/>
      <c r="AG887" s="587"/>
      <c r="AH887" s="587"/>
      <c r="AI887" s="587"/>
      <c r="AJ887" s="587"/>
      <c r="AK887" s="587"/>
      <c r="AL887" s="587"/>
      <c r="AM887" s="587"/>
      <c r="AO887" s="587"/>
      <c r="AP887" s="587"/>
      <c r="AQ887" s="587"/>
      <c r="AR887" s="587"/>
      <c r="AS887" s="587"/>
      <c r="AT887" s="587"/>
      <c r="AU887" s="587"/>
      <c r="AV887" s="587"/>
      <c r="AW887" s="587"/>
    </row>
    <row r="888" spans="1:49">
      <c r="A888" s="581">
        <v>36373</v>
      </c>
      <c r="B888" s="594">
        <v>-4.8999999999999998E-3</v>
      </c>
      <c r="C888" s="577">
        <v>1.1699999999999999E-2</v>
      </c>
      <c r="D888" s="577">
        <v>5.4000000000000003E-3</v>
      </c>
      <c r="E888" s="577">
        <v>6.1666666666666667E-3</v>
      </c>
      <c r="F888" s="577">
        <v>6.4000000000000003E-3</v>
      </c>
      <c r="G888" s="577">
        <v>6.2833333333333343E-3</v>
      </c>
      <c r="H888" s="577">
        <v>6.5894166666666662E-3</v>
      </c>
      <c r="I888" s="577">
        <f t="shared" si="145"/>
        <v>-1.03E-2</v>
      </c>
      <c r="J888" s="577">
        <f t="shared" si="149"/>
        <v>-1.1183333333333333E-2</v>
      </c>
      <c r="K888" s="577">
        <f t="shared" si="150"/>
        <v>5.1105833333333324E-3</v>
      </c>
      <c r="L888" s="585">
        <f t="shared" si="146"/>
        <v>0.39821950370703663</v>
      </c>
      <c r="M888" s="585">
        <f t="shared" si="147"/>
        <v>6.4799999999999996E-2</v>
      </c>
      <c r="N888" s="585">
        <f t="shared" si="151"/>
        <v>7.5400000000000009E-2</v>
      </c>
      <c r="O888" s="586">
        <f t="shared" si="148"/>
        <v>0.33341950370703666</v>
      </c>
      <c r="P888" s="585">
        <f t="shared" si="152"/>
        <v>0.3228195037070366</v>
      </c>
      <c r="Q888" s="585">
        <f t="shared" si="153"/>
        <v>0.12516817222864884</v>
      </c>
      <c r="R888" s="585">
        <f t="shared" si="154"/>
        <v>7.9072999999999991E-2</v>
      </c>
      <c r="S888" s="586">
        <f t="shared" si="155"/>
        <v>4.6095172228648854E-2</v>
      </c>
      <c r="U888" s="587"/>
      <c r="V888" s="587"/>
      <c r="W888" s="587"/>
      <c r="X888" s="587"/>
      <c r="Y888" s="587"/>
      <c r="Z888" s="587"/>
      <c r="AA888" s="587"/>
      <c r="AB888" s="587"/>
      <c r="AC888" s="587"/>
      <c r="AE888" s="587"/>
      <c r="AF888" s="587"/>
      <c r="AG888" s="587"/>
      <c r="AH888" s="587"/>
      <c r="AI888" s="587"/>
      <c r="AJ888" s="587"/>
      <c r="AK888" s="587"/>
      <c r="AL888" s="587"/>
      <c r="AM888" s="587"/>
      <c r="AO888" s="587"/>
      <c r="AP888" s="587"/>
      <c r="AQ888" s="587"/>
      <c r="AR888" s="587"/>
      <c r="AS888" s="587"/>
      <c r="AT888" s="587"/>
      <c r="AU888" s="587"/>
      <c r="AV888" s="587"/>
      <c r="AW888" s="587"/>
    </row>
    <row r="889" spans="1:49">
      <c r="A889" s="581">
        <v>36404</v>
      </c>
      <c r="B889" s="594">
        <v>-2.7400000000000001E-2</v>
      </c>
      <c r="C889" s="577">
        <v>-4.8000000000000001E-2</v>
      </c>
      <c r="D889" s="577">
        <v>5.1999999999999998E-3</v>
      </c>
      <c r="E889" s="577">
        <v>6.1583333333333334E-3</v>
      </c>
      <c r="F889" s="577">
        <v>6.4000000000000003E-3</v>
      </c>
      <c r="G889" s="577">
        <v>6.2791666666666664E-3</v>
      </c>
      <c r="H889" s="577">
        <v>6.6099166666666667E-3</v>
      </c>
      <c r="I889" s="577">
        <f t="shared" si="145"/>
        <v>-3.2600000000000004E-2</v>
      </c>
      <c r="J889" s="577">
        <f t="shared" si="149"/>
        <v>-3.367916666666667E-2</v>
      </c>
      <c r="K889" s="577">
        <f t="shared" si="150"/>
        <v>-5.4609916666666668E-2</v>
      </c>
      <c r="L889" s="585">
        <f t="shared" si="146"/>
        <v>0.27798918269473072</v>
      </c>
      <c r="M889" s="585">
        <f t="shared" si="147"/>
        <v>6.2399999999999997E-2</v>
      </c>
      <c r="N889" s="585">
        <f t="shared" si="151"/>
        <v>7.535E-2</v>
      </c>
      <c r="O889" s="586">
        <f t="shared" si="148"/>
        <v>0.21558918269473071</v>
      </c>
      <c r="P889" s="585">
        <f t="shared" si="152"/>
        <v>0.20263918269473072</v>
      </c>
      <c r="Q889" s="585">
        <f t="shared" si="153"/>
        <v>-1.1388924816176038E-2</v>
      </c>
      <c r="R889" s="585">
        <f t="shared" si="154"/>
        <v>7.9319000000000001E-2</v>
      </c>
      <c r="S889" s="586">
        <f t="shared" si="155"/>
        <v>-9.0707924816176039E-2</v>
      </c>
      <c r="U889" s="587"/>
      <c r="V889" s="587"/>
      <c r="W889" s="587"/>
      <c r="X889" s="587"/>
      <c r="Y889" s="587"/>
      <c r="Z889" s="587"/>
      <c r="AA889" s="587"/>
      <c r="AB889" s="587"/>
      <c r="AC889" s="587"/>
      <c r="AE889" s="587"/>
      <c r="AF889" s="587"/>
      <c r="AG889" s="587"/>
      <c r="AH889" s="587"/>
      <c r="AI889" s="587"/>
      <c r="AJ889" s="587"/>
      <c r="AK889" s="587"/>
      <c r="AL889" s="587"/>
      <c r="AM889" s="587"/>
      <c r="AO889" s="587"/>
      <c r="AP889" s="587"/>
      <c r="AQ889" s="587"/>
      <c r="AR889" s="587"/>
      <c r="AS889" s="587"/>
      <c r="AT889" s="587"/>
      <c r="AU889" s="587"/>
      <c r="AV889" s="587"/>
      <c r="AW889" s="587"/>
    </row>
    <row r="890" spans="1:49">
      <c r="A890" s="581">
        <v>36434</v>
      </c>
      <c r="B890" s="594">
        <v>6.3299999999999995E-2</v>
      </c>
      <c r="C890" s="577">
        <v>1.5699999999999999E-2</v>
      </c>
      <c r="D890" s="577">
        <v>5.0000000000000001E-3</v>
      </c>
      <c r="E890" s="577">
        <v>6.2916666666666668E-3</v>
      </c>
      <c r="F890" s="577">
        <v>6.4916666666666664E-3</v>
      </c>
      <c r="G890" s="577">
        <v>6.391666666666667E-3</v>
      </c>
      <c r="H890" s="577">
        <v>6.7205833333333327E-3</v>
      </c>
      <c r="I890" s="577">
        <f t="shared" si="145"/>
        <v>5.8299999999999998E-2</v>
      </c>
      <c r="J890" s="577">
        <f t="shared" si="149"/>
        <v>5.6908333333333325E-2</v>
      </c>
      <c r="K890" s="577">
        <f t="shared" si="150"/>
        <v>8.9794166666666668E-3</v>
      </c>
      <c r="L890" s="585">
        <f t="shared" si="146"/>
        <v>0.25671497083076611</v>
      </c>
      <c r="M890" s="585">
        <f t="shared" si="147"/>
        <v>0.06</v>
      </c>
      <c r="N890" s="585">
        <f t="shared" si="151"/>
        <v>7.6700000000000004E-2</v>
      </c>
      <c r="O890" s="586">
        <f t="shared" si="148"/>
        <v>0.19671497083076611</v>
      </c>
      <c r="P890" s="585">
        <f t="shared" si="152"/>
        <v>0.18001497083076612</v>
      </c>
      <c r="Q890" s="585">
        <f t="shared" si="153"/>
        <v>2.108223415111854E-2</v>
      </c>
      <c r="R890" s="585">
        <f t="shared" si="154"/>
        <v>8.0646999999999996E-2</v>
      </c>
      <c r="S890" s="586">
        <f t="shared" si="155"/>
        <v>-5.9564765848881457E-2</v>
      </c>
      <c r="U890" s="587"/>
      <c r="V890" s="587"/>
      <c r="W890" s="587"/>
      <c r="X890" s="587"/>
      <c r="Y890" s="587"/>
      <c r="Z890" s="587"/>
      <c r="AA890" s="587"/>
      <c r="AB890" s="587"/>
      <c r="AC890" s="587"/>
      <c r="AE890" s="587"/>
      <c r="AF890" s="587"/>
      <c r="AG890" s="587"/>
      <c r="AH890" s="587"/>
      <c r="AI890" s="587"/>
      <c r="AJ890" s="587"/>
      <c r="AK890" s="587"/>
      <c r="AL890" s="587"/>
      <c r="AM890" s="587"/>
      <c r="AO890" s="587"/>
      <c r="AP890" s="587"/>
      <c r="AQ890" s="587"/>
      <c r="AR890" s="587"/>
      <c r="AS890" s="587"/>
      <c r="AT890" s="587"/>
      <c r="AU890" s="587"/>
      <c r="AV890" s="587"/>
      <c r="AW890" s="587"/>
    </row>
    <row r="891" spans="1:49">
      <c r="A891" s="581">
        <v>36465</v>
      </c>
      <c r="B891" s="594">
        <v>2.0299999999999999E-2</v>
      </c>
      <c r="C891" s="577">
        <v>-7.7300000000000008E-2</v>
      </c>
      <c r="D891" s="577">
        <v>5.5999999999999991E-3</v>
      </c>
      <c r="E891" s="577">
        <v>6.1333333333333344E-3</v>
      </c>
      <c r="F891" s="577">
        <v>6.3499999999999997E-3</v>
      </c>
      <c r="G891" s="577">
        <v>6.2416666666666679E-3</v>
      </c>
      <c r="H891" s="577">
        <v>6.6095833333333328E-3</v>
      </c>
      <c r="I891" s="577">
        <f t="shared" si="145"/>
        <v>1.47E-2</v>
      </c>
      <c r="J891" s="577">
        <f t="shared" si="149"/>
        <v>1.4058333333333331E-2</v>
      </c>
      <c r="K891" s="577">
        <f t="shared" si="150"/>
        <v>-8.3909583333333343E-2</v>
      </c>
      <c r="L891" s="585">
        <f t="shared" si="146"/>
        <v>0.20896311968567827</v>
      </c>
      <c r="M891" s="585">
        <f t="shared" si="147"/>
        <v>6.7199999999999982E-2</v>
      </c>
      <c r="N891" s="585">
        <f t="shared" si="151"/>
        <v>7.4900000000000022E-2</v>
      </c>
      <c r="O891" s="586">
        <f t="shared" si="148"/>
        <v>0.14176311968567828</v>
      </c>
      <c r="P891" s="585">
        <f t="shared" si="152"/>
        <v>0.13406311968567824</v>
      </c>
      <c r="Q891" s="585">
        <f t="shared" si="153"/>
        <v>-7.03053311118641E-2</v>
      </c>
      <c r="R891" s="585">
        <f t="shared" si="154"/>
        <v>7.9314999999999997E-2</v>
      </c>
      <c r="S891" s="586">
        <f t="shared" si="155"/>
        <v>-0.1496203311118641</v>
      </c>
      <c r="U891" s="587"/>
      <c r="V891" s="587"/>
      <c r="W891" s="587"/>
      <c r="X891" s="587"/>
      <c r="Y891" s="587"/>
      <c r="Z891" s="587"/>
      <c r="AA891" s="587"/>
      <c r="AB891" s="587"/>
      <c r="AC891" s="587"/>
      <c r="AE891" s="587"/>
      <c r="AF891" s="587"/>
      <c r="AG891" s="587"/>
      <c r="AH891" s="587"/>
      <c r="AI891" s="587"/>
      <c r="AJ891" s="587"/>
      <c r="AK891" s="587"/>
      <c r="AL891" s="587"/>
      <c r="AM891" s="587"/>
      <c r="AO891" s="587"/>
      <c r="AP891" s="587"/>
      <c r="AQ891" s="587"/>
      <c r="AR891" s="587"/>
      <c r="AS891" s="587"/>
      <c r="AT891" s="587"/>
      <c r="AU891" s="587"/>
      <c r="AV891" s="587"/>
      <c r="AW891" s="587"/>
    </row>
    <row r="892" spans="1:49">
      <c r="A892" s="581">
        <v>36495</v>
      </c>
      <c r="B892" s="594">
        <v>5.8900000000000001E-2</v>
      </c>
      <c r="C892" s="577">
        <v>9.2999999999999992E-3</v>
      </c>
      <c r="D892" s="577">
        <v>5.4999999999999997E-3</v>
      </c>
      <c r="E892" s="577">
        <v>6.2916666666666668E-3</v>
      </c>
      <c r="F892" s="577">
        <v>6.4833333333333331E-3</v>
      </c>
      <c r="G892" s="577">
        <v>6.3874999999999991E-3</v>
      </c>
      <c r="H892" s="577">
        <v>6.7658333333333329E-3</v>
      </c>
      <c r="I892" s="577">
        <f t="shared" si="145"/>
        <v>5.3400000000000003E-2</v>
      </c>
      <c r="J892" s="577">
        <f t="shared" si="149"/>
        <v>5.2512500000000004E-2</v>
      </c>
      <c r="K892" s="577">
        <f t="shared" si="150"/>
        <v>2.5341666666666663E-3</v>
      </c>
      <c r="L892" s="585">
        <f t="shared" si="146"/>
        <v>0.21044917495760695</v>
      </c>
      <c r="M892" s="585">
        <f t="shared" si="147"/>
        <v>6.6000000000000003E-2</v>
      </c>
      <c r="N892" s="585">
        <f t="shared" si="151"/>
        <v>7.6649999999999996E-2</v>
      </c>
      <c r="O892" s="586">
        <f t="shared" si="148"/>
        <v>0.14444917495760695</v>
      </c>
      <c r="P892" s="585">
        <f t="shared" si="152"/>
        <v>0.13379917495760696</v>
      </c>
      <c r="Q892" s="585">
        <f t="shared" si="153"/>
        <v>-8.8547033211466175E-2</v>
      </c>
      <c r="R892" s="585">
        <f t="shared" si="154"/>
        <v>8.1189999999999998E-2</v>
      </c>
      <c r="S892" s="586">
        <f t="shared" si="155"/>
        <v>-0.16973703321146616</v>
      </c>
      <c r="U892" s="587"/>
      <c r="V892" s="587"/>
      <c r="W892" s="587"/>
      <c r="X892" s="587"/>
      <c r="Y892" s="587"/>
      <c r="Z892" s="587"/>
      <c r="AA892" s="587"/>
      <c r="AB892" s="587"/>
      <c r="AC892" s="587"/>
      <c r="AE892" s="587"/>
      <c r="AF892" s="587"/>
      <c r="AG892" s="587"/>
      <c r="AH892" s="587"/>
      <c r="AI892" s="587"/>
      <c r="AJ892" s="587"/>
      <c r="AK892" s="587"/>
      <c r="AL892" s="587"/>
      <c r="AM892" s="587"/>
      <c r="AO892" s="587"/>
      <c r="AP892" s="587"/>
      <c r="AQ892" s="587"/>
      <c r="AR892" s="587"/>
      <c r="AS892" s="587"/>
      <c r="AT892" s="587"/>
      <c r="AU892" s="587"/>
      <c r="AV892" s="587"/>
      <c r="AW892" s="587"/>
    </row>
    <row r="893" spans="1:49">
      <c r="A893" s="581">
        <v>36526</v>
      </c>
      <c r="B893" s="594">
        <v>-5.0200000000000002E-2</v>
      </c>
      <c r="C893" s="577">
        <v>0.1085</v>
      </c>
      <c r="D893" s="577">
        <v>5.7000000000000002E-3</v>
      </c>
      <c r="E893" s="577">
        <v>6.4833333333333331E-3</v>
      </c>
      <c r="F893" s="577">
        <v>6.6333333333333331E-3</v>
      </c>
      <c r="G893" s="577">
        <v>6.5583333333333327E-3</v>
      </c>
      <c r="H893" s="577">
        <v>6.9562500000000006E-3</v>
      </c>
      <c r="I893" s="577">
        <f t="shared" si="145"/>
        <v>-5.5900000000000005E-2</v>
      </c>
      <c r="J893" s="577">
        <f t="shared" si="149"/>
        <v>-5.6758333333333334E-2</v>
      </c>
      <c r="K893" s="577">
        <f t="shared" si="150"/>
        <v>0.10154375</v>
      </c>
      <c r="L893" s="585">
        <f t="shared" si="146"/>
        <v>0.10355598615351802</v>
      </c>
      <c r="M893" s="585">
        <f t="shared" si="147"/>
        <v>6.8400000000000002E-2</v>
      </c>
      <c r="N893" s="585">
        <f t="shared" si="151"/>
        <v>7.8699999999999992E-2</v>
      </c>
      <c r="O893" s="586">
        <f t="shared" si="148"/>
        <v>3.5155986153518018E-2</v>
      </c>
      <c r="P893" s="585">
        <f t="shared" si="152"/>
        <v>2.4855986153518028E-2</v>
      </c>
      <c r="Q893" s="585">
        <f t="shared" si="153"/>
        <v>5.8064314258131855E-2</v>
      </c>
      <c r="R893" s="585">
        <f t="shared" si="154"/>
        <v>8.3475000000000008E-2</v>
      </c>
      <c r="S893" s="586">
        <f t="shared" si="155"/>
        <v>-2.5410685741868153E-2</v>
      </c>
      <c r="U893" s="587"/>
      <c r="V893" s="587"/>
      <c r="W893" s="587"/>
      <c r="X893" s="587"/>
      <c r="Y893" s="587"/>
      <c r="Z893" s="587"/>
      <c r="AA893" s="587"/>
      <c r="AB893" s="587"/>
      <c r="AC893" s="587"/>
      <c r="AE893" s="587"/>
      <c r="AF893" s="587"/>
      <c r="AG893" s="587"/>
      <c r="AH893" s="587"/>
      <c r="AI893" s="587"/>
      <c r="AJ893" s="587"/>
      <c r="AK893" s="587"/>
      <c r="AL893" s="587"/>
      <c r="AM893" s="587"/>
      <c r="AO893" s="587"/>
      <c r="AP893" s="587"/>
      <c r="AQ893" s="587"/>
      <c r="AR893" s="587"/>
      <c r="AS893" s="587"/>
      <c r="AT893" s="587"/>
      <c r="AU893" s="587"/>
      <c r="AV893" s="587"/>
      <c r="AW893" s="587"/>
    </row>
    <row r="894" spans="1:49">
      <c r="A894" s="581">
        <v>36557</v>
      </c>
      <c r="B894" s="594">
        <v>-1.89E-2</v>
      </c>
      <c r="C894" s="577">
        <v>-5.7800000000000004E-2</v>
      </c>
      <c r="D894" s="577">
        <v>5.1000000000000004E-3</v>
      </c>
      <c r="E894" s="577">
        <v>6.4000000000000003E-3</v>
      </c>
      <c r="F894" s="577">
        <v>6.5166666666666671E-3</v>
      </c>
      <c r="G894" s="577">
        <v>6.4583333333333333E-3</v>
      </c>
      <c r="H894" s="577">
        <v>6.8737499999999997E-3</v>
      </c>
      <c r="I894" s="577">
        <f t="shared" si="145"/>
        <v>-2.4E-2</v>
      </c>
      <c r="J894" s="577">
        <f t="shared" si="149"/>
        <v>-2.5358333333333333E-2</v>
      </c>
      <c r="K894" s="577">
        <f t="shared" si="150"/>
        <v>-6.4673750000000002E-2</v>
      </c>
      <c r="L894" s="585">
        <f t="shared" si="146"/>
        <v>0.11745152029643569</v>
      </c>
      <c r="M894" s="585">
        <f t="shared" si="147"/>
        <v>6.1200000000000004E-2</v>
      </c>
      <c r="N894" s="585">
        <f t="shared" si="151"/>
        <v>7.7499999999999999E-2</v>
      </c>
      <c r="O894" s="586">
        <f t="shared" si="148"/>
        <v>5.6251520296435681E-2</v>
      </c>
      <c r="P894" s="585">
        <f t="shared" si="152"/>
        <v>3.9951520296435686E-2</v>
      </c>
      <c r="Q894" s="585">
        <f t="shared" si="153"/>
        <v>3.4566414377346977E-2</v>
      </c>
      <c r="R894" s="585">
        <f t="shared" si="154"/>
        <v>8.2485000000000003E-2</v>
      </c>
      <c r="S894" s="586">
        <f t="shared" si="155"/>
        <v>-4.7918585622653026E-2</v>
      </c>
      <c r="U894" s="587"/>
      <c r="V894" s="587"/>
      <c r="W894" s="587"/>
      <c r="X894" s="587"/>
      <c r="Y894" s="587"/>
      <c r="Z894" s="587"/>
      <c r="AA894" s="587"/>
      <c r="AB894" s="587"/>
      <c r="AC894" s="587"/>
      <c r="AE894" s="587"/>
      <c r="AF894" s="587"/>
      <c r="AG894" s="587"/>
      <c r="AH894" s="587"/>
      <c r="AI894" s="587"/>
      <c r="AJ894" s="587"/>
      <c r="AK894" s="587"/>
      <c r="AL894" s="587"/>
      <c r="AM894" s="587"/>
      <c r="AO894" s="587"/>
      <c r="AP894" s="587"/>
      <c r="AQ894" s="587"/>
      <c r="AR894" s="587"/>
      <c r="AS894" s="587"/>
      <c r="AT894" s="587"/>
      <c r="AU894" s="587"/>
      <c r="AV894" s="587"/>
      <c r="AW894" s="587"/>
    </row>
    <row r="895" spans="1:49">
      <c r="A895" s="581">
        <v>36586</v>
      </c>
      <c r="B895" s="594">
        <v>9.7799999999999998E-2</v>
      </c>
      <c r="C895" s="577">
        <v>3.49E-2</v>
      </c>
      <c r="D895" s="577">
        <v>5.4000000000000003E-3</v>
      </c>
      <c r="E895" s="577">
        <v>6.4000000000000003E-3</v>
      </c>
      <c r="F895" s="577">
        <v>6.5249999999999996E-3</v>
      </c>
      <c r="G895" s="577">
        <v>6.4624999999999995E-3</v>
      </c>
      <c r="H895" s="577">
        <v>6.9058333333333341E-3</v>
      </c>
      <c r="I895" s="577">
        <f t="shared" si="145"/>
        <v>9.2399999999999996E-2</v>
      </c>
      <c r="J895" s="577">
        <f t="shared" si="149"/>
        <v>9.1337500000000002E-2</v>
      </c>
      <c r="K895" s="577">
        <f t="shared" si="150"/>
        <v>2.7994166666666667E-2</v>
      </c>
      <c r="L895" s="585">
        <f t="shared" si="146"/>
        <v>0.17955603748214122</v>
      </c>
      <c r="M895" s="585">
        <f t="shared" si="147"/>
        <v>6.4799999999999996E-2</v>
      </c>
      <c r="N895" s="585">
        <f t="shared" si="151"/>
        <v>7.7549999999999994E-2</v>
      </c>
      <c r="O895" s="586">
        <f t="shared" si="148"/>
        <v>0.11475603748214122</v>
      </c>
      <c r="P895" s="585">
        <f t="shared" si="152"/>
        <v>0.10200603748214122</v>
      </c>
      <c r="Q895" s="585">
        <f t="shared" si="153"/>
        <v>8.6756782621921102E-2</v>
      </c>
      <c r="R895" s="585">
        <f t="shared" si="154"/>
        <v>8.2870000000000013E-2</v>
      </c>
      <c r="S895" s="586">
        <f t="shared" si="155"/>
        <v>3.8867826219210894E-3</v>
      </c>
      <c r="U895" s="587"/>
      <c r="V895" s="587"/>
      <c r="W895" s="587"/>
      <c r="X895" s="587"/>
      <c r="Y895" s="587"/>
      <c r="Z895" s="587"/>
      <c r="AA895" s="587"/>
      <c r="AB895" s="587"/>
      <c r="AC895" s="587"/>
      <c r="AE895" s="587"/>
      <c r="AF895" s="587"/>
      <c r="AG895" s="587"/>
      <c r="AH895" s="587"/>
      <c r="AI895" s="587"/>
      <c r="AJ895" s="587"/>
      <c r="AK895" s="587"/>
      <c r="AL895" s="587"/>
      <c r="AM895" s="587"/>
      <c r="AO895" s="587"/>
      <c r="AP895" s="587"/>
      <c r="AQ895" s="587"/>
      <c r="AR895" s="587"/>
      <c r="AS895" s="587"/>
      <c r="AT895" s="587"/>
      <c r="AU895" s="587"/>
      <c r="AV895" s="587"/>
      <c r="AW895" s="587"/>
    </row>
    <row r="896" spans="1:49">
      <c r="A896" s="581">
        <v>36617</v>
      </c>
      <c r="B896" s="594">
        <v>-3.0099999999999998E-2</v>
      </c>
      <c r="C896" s="577">
        <v>7.9399999999999998E-2</v>
      </c>
      <c r="D896" s="577">
        <v>4.7000000000000002E-3</v>
      </c>
      <c r="E896" s="577">
        <v>6.3666666666666663E-3</v>
      </c>
      <c r="F896" s="577">
        <v>6.5166666666666671E-3</v>
      </c>
      <c r="G896" s="577">
        <v>6.4416666666666667E-3</v>
      </c>
      <c r="H896" s="577">
        <v>6.8982499999999999E-3</v>
      </c>
      <c r="I896" s="577">
        <f t="shared" si="145"/>
        <v>-3.4799999999999998E-2</v>
      </c>
      <c r="J896" s="577">
        <f t="shared" si="149"/>
        <v>-3.6541666666666667E-2</v>
      </c>
      <c r="K896" s="577">
        <f t="shared" si="150"/>
        <v>7.2501750000000004E-2</v>
      </c>
      <c r="L896" s="585">
        <f t="shared" si="146"/>
        <v>0.10142620656005441</v>
      </c>
      <c r="M896" s="585">
        <f t="shared" si="147"/>
        <v>5.6400000000000006E-2</v>
      </c>
      <c r="N896" s="585">
        <f t="shared" si="151"/>
        <v>7.7300000000000008E-2</v>
      </c>
      <c r="O896" s="586">
        <f t="shared" si="148"/>
        <v>4.5026206560054405E-2</v>
      </c>
      <c r="P896" s="585">
        <f t="shared" si="152"/>
        <v>2.4126206560054403E-2</v>
      </c>
      <c r="Q896" s="585">
        <f t="shared" si="153"/>
        <v>7.7770370417219237E-2</v>
      </c>
      <c r="R896" s="585">
        <f t="shared" si="154"/>
        <v>8.2778999999999991E-2</v>
      </c>
      <c r="S896" s="586">
        <f t="shared" si="155"/>
        <v>-5.0086295827807548E-3</v>
      </c>
      <c r="U896" s="587"/>
      <c r="V896" s="587"/>
      <c r="W896" s="587"/>
      <c r="X896" s="587"/>
      <c r="Y896" s="587"/>
      <c r="Z896" s="587"/>
      <c r="AA896" s="587"/>
      <c r="AB896" s="587"/>
      <c r="AC896" s="587"/>
      <c r="AE896" s="587"/>
      <c r="AF896" s="587"/>
      <c r="AG896" s="587"/>
      <c r="AH896" s="587"/>
      <c r="AI896" s="587"/>
      <c r="AJ896" s="587"/>
      <c r="AK896" s="587"/>
      <c r="AL896" s="587"/>
      <c r="AM896" s="587"/>
      <c r="AO896" s="587"/>
      <c r="AP896" s="587"/>
      <c r="AQ896" s="587"/>
      <c r="AR896" s="587"/>
      <c r="AS896" s="587"/>
      <c r="AT896" s="587"/>
      <c r="AU896" s="587"/>
      <c r="AV896" s="587"/>
      <c r="AW896" s="587"/>
    </row>
    <row r="897" spans="1:49">
      <c r="A897" s="581">
        <v>36647</v>
      </c>
      <c r="B897" s="594">
        <v>-2.0500000000000001E-2</v>
      </c>
      <c r="C897" s="577">
        <v>4.8599999999999997E-2</v>
      </c>
      <c r="D897" s="577">
        <v>5.5999999999999991E-3</v>
      </c>
      <c r="E897" s="577">
        <v>6.6583333333333338E-3</v>
      </c>
      <c r="F897" s="577">
        <v>6.8666666666666668E-3</v>
      </c>
      <c r="G897" s="577">
        <v>6.7625000000000003E-3</v>
      </c>
      <c r="H897" s="577">
        <v>7.2435833333333336E-3</v>
      </c>
      <c r="I897" s="577">
        <f t="shared" si="145"/>
        <v>-2.6099999999999998E-2</v>
      </c>
      <c r="J897" s="577">
        <f t="shared" si="149"/>
        <v>-2.7262500000000002E-2</v>
      </c>
      <c r="K897" s="577">
        <f t="shared" si="150"/>
        <v>4.1356416666666666E-2</v>
      </c>
      <c r="L897" s="585">
        <f t="shared" si="146"/>
        <v>0.10492315580251277</v>
      </c>
      <c r="M897" s="585">
        <f t="shared" si="147"/>
        <v>6.7199999999999982E-2</v>
      </c>
      <c r="N897" s="585">
        <f t="shared" si="151"/>
        <v>8.115E-2</v>
      </c>
      <c r="O897" s="586">
        <f t="shared" si="148"/>
        <v>3.7723155802512787E-2</v>
      </c>
      <c r="P897" s="585">
        <f t="shared" si="152"/>
        <v>2.3773155802512769E-2</v>
      </c>
      <c r="Q897" s="585">
        <f t="shared" si="153"/>
        <v>6.5274776528886802E-2</v>
      </c>
      <c r="R897" s="585">
        <f t="shared" si="154"/>
        <v>8.6923E-2</v>
      </c>
      <c r="S897" s="586">
        <f t="shared" si="155"/>
        <v>-2.1648223471113198E-2</v>
      </c>
      <c r="U897" s="587"/>
      <c r="V897" s="587"/>
      <c r="W897" s="587"/>
      <c r="X897" s="587"/>
      <c r="Y897" s="587"/>
      <c r="Z897" s="587"/>
      <c r="AA897" s="587"/>
      <c r="AB897" s="587"/>
      <c r="AC897" s="587"/>
      <c r="AE897" s="587"/>
      <c r="AF897" s="587"/>
      <c r="AG897" s="587"/>
      <c r="AH897" s="587"/>
      <c r="AI897" s="587"/>
      <c r="AJ897" s="587"/>
      <c r="AK897" s="587"/>
      <c r="AL897" s="587"/>
      <c r="AM897" s="587"/>
      <c r="AO897" s="587"/>
      <c r="AP897" s="587"/>
      <c r="AQ897" s="587"/>
      <c r="AR897" s="587"/>
      <c r="AS897" s="587"/>
      <c r="AT897" s="587"/>
      <c r="AU897" s="587"/>
      <c r="AV897" s="587"/>
      <c r="AW897" s="587"/>
    </row>
    <row r="898" spans="1:49">
      <c r="A898" s="581">
        <v>36678</v>
      </c>
      <c r="B898" s="594">
        <v>2.47E-2</v>
      </c>
      <c r="C898" s="577">
        <v>-5.7500000000000002E-2</v>
      </c>
      <c r="D898" s="577">
        <v>5.1999999999999998E-3</v>
      </c>
      <c r="E898" s="577">
        <v>6.391666666666667E-3</v>
      </c>
      <c r="F898" s="577">
        <v>6.5583333333333335E-3</v>
      </c>
      <c r="G898" s="577">
        <v>6.4749999999999999E-3</v>
      </c>
      <c r="H898" s="577">
        <v>6.9795833333333333E-3</v>
      </c>
      <c r="I898" s="577">
        <f t="shared" si="145"/>
        <v>1.95E-2</v>
      </c>
      <c r="J898" s="577">
        <f t="shared" si="149"/>
        <v>1.8224999999999998E-2</v>
      </c>
      <c r="K898" s="577">
        <f t="shared" si="150"/>
        <v>-6.447958333333334E-2</v>
      </c>
      <c r="L898" s="585">
        <f t="shared" si="146"/>
        <v>7.2680964235750212E-2</v>
      </c>
      <c r="M898" s="585">
        <f t="shared" si="147"/>
        <v>6.2399999999999997E-2</v>
      </c>
      <c r="N898" s="585">
        <f t="shared" si="151"/>
        <v>7.7699999999999991E-2</v>
      </c>
      <c r="O898" s="586">
        <f t="shared" si="148"/>
        <v>1.0280964235750215E-2</v>
      </c>
      <c r="P898" s="585">
        <f t="shared" si="152"/>
        <v>-5.0190357642497796E-3</v>
      </c>
      <c r="Q898" s="585">
        <f t="shared" si="153"/>
        <v>3.849966578245323E-2</v>
      </c>
      <c r="R898" s="585">
        <f t="shared" si="154"/>
        <v>8.3754999999999996E-2</v>
      </c>
      <c r="S898" s="586">
        <f t="shared" si="155"/>
        <v>-4.5255334217546767E-2</v>
      </c>
      <c r="U898" s="587"/>
      <c r="V898" s="587"/>
      <c r="W898" s="587"/>
      <c r="X898" s="587"/>
      <c r="Y898" s="587"/>
      <c r="Z898" s="587"/>
      <c r="AA898" s="587"/>
      <c r="AB898" s="587"/>
      <c r="AC898" s="587"/>
      <c r="AE898" s="587"/>
      <c r="AF898" s="587"/>
      <c r="AG898" s="587"/>
      <c r="AH898" s="587"/>
      <c r="AI898" s="587"/>
      <c r="AJ898" s="587"/>
      <c r="AK898" s="587"/>
      <c r="AL898" s="587"/>
      <c r="AM898" s="587"/>
      <c r="AO898" s="587"/>
      <c r="AP898" s="587"/>
      <c r="AQ898" s="587"/>
      <c r="AR898" s="587"/>
      <c r="AS898" s="587"/>
      <c r="AT898" s="587"/>
      <c r="AU898" s="587"/>
      <c r="AV898" s="587"/>
      <c r="AW898" s="587"/>
    </row>
    <row r="899" spans="1:49">
      <c r="A899" s="581">
        <v>36708</v>
      </c>
      <c r="B899" s="594">
        <v>-1.5599999999999999E-2</v>
      </c>
      <c r="C899" s="577">
        <v>6.7699999999999996E-2</v>
      </c>
      <c r="D899" s="577">
        <v>5.1999999999999998E-3</v>
      </c>
      <c r="E899" s="577">
        <v>6.3750000000000005E-3</v>
      </c>
      <c r="F899" s="577">
        <v>6.508333333333333E-3</v>
      </c>
      <c r="G899" s="577">
        <v>6.4416666666666667E-3</v>
      </c>
      <c r="H899" s="577">
        <v>6.8820000000000001E-3</v>
      </c>
      <c r="I899" s="577">
        <f t="shared" si="145"/>
        <v>-2.0799999999999999E-2</v>
      </c>
      <c r="J899" s="577">
        <f t="shared" si="149"/>
        <v>-2.2041666666666668E-2</v>
      </c>
      <c r="K899" s="577">
        <f t="shared" si="150"/>
        <v>6.0817999999999997E-2</v>
      </c>
      <c r="L899" s="585">
        <f t="shared" si="146"/>
        <v>8.9953696525261195E-2</v>
      </c>
      <c r="M899" s="585">
        <f t="shared" si="147"/>
        <v>6.2399999999999997E-2</v>
      </c>
      <c r="N899" s="585">
        <f t="shared" si="151"/>
        <v>7.7300000000000008E-2</v>
      </c>
      <c r="O899" s="586">
        <f t="shared" si="148"/>
        <v>2.7553696525261198E-2</v>
      </c>
      <c r="P899" s="585">
        <f t="shared" si="152"/>
        <v>1.2653696525261188E-2</v>
      </c>
      <c r="Q899" s="585">
        <f t="shared" si="153"/>
        <v>0.12159224474603048</v>
      </c>
      <c r="R899" s="585">
        <f t="shared" si="154"/>
        <v>8.2584000000000005E-2</v>
      </c>
      <c r="S899" s="586">
        <f t="shared" si="155"/>
        <v>3.9008244746030471E-2</v>
      </c>
      <c r="U899" s="587"/>
      <c r="V899" s="587"/>
      <c r="W899" s="587"/>
      <c r="X899" s="587"/>
      <c r="Y899" s="587"/>
      <c r="Z899" s="587"/>
      <c r="AA899" s="587"/>
      <c r="AB899" s="587"/>
      <c r="AC899" s="587"/>
      <c r="AE899" s="587"/>
      <c r="AF899" s="587"/>
      <c r="AG899" s="587"/>
      <c r="AH899" s="587"/>
      <c r="AI899" s="587"/>
      <c r="AJ899" s="587"/>
      <c r="AK899" s="587"/>
      <c r="AL899" s="587"/>
      <c r="AM899" s="587"/>
      <c r="AO899" s="587"/>
      <c r="AP899" s="587"/>
      <c r="AQ899" s="587"/>
      <c r="AR899" s="587"/>
      <c r="AS899" s="587"/>
      <c r="AT899" s="587"/>
      <c r="AU899" s="587"/>
      <c r="AV899" s="587"/>
      <c r="AW899" s="587"/>
    </row>
    <row r="900" spans="1:49">
      <c r="A900" s="581">
        <v>36739</v>
      </c>
      <c r="B900" s="594">
        <v>6.2100000000000002E-2</v>
      </c>
      <c r="C900" s="577">
        <v>0.13720000000000002</v>
      </c>
      <c r="D900" s="577">
        <v>5.0000000000000001E-3</v>
      </c>
      <c r="E900" s="577">
        <v>6.2916666666666668E-3</v>
      </c>
      <c r="F900" s="577">
        <v>6.4166666666666669E-3</v>
      </c>
      <c r="G900" s="577">
        <v>6.3541666666666677E-3</v>
      </c>
      <c r="H900" s="577">
        <v>6.7739166666666677E-3</v>
      </c>
      <c r="I900" s="577">
        <f t="shared" si="145"/>
        <v>5.7100000000000005E-2</v>
      </c>
      <c r="J900" s="577">
        <f t="shared" si="149"/>
        <v>5.5745833333333335E-2</v>
      </c>
      <c r="K900" s="577">
        <f t="shared" si="150"/>
        <v>0.13042608333333336</v>
      </c>
      <c r="L900" s="585">
        <f t="shared" si="146"/>
        <v>0.16334018800068306</v>
      </c>
      <c r="M900" s="585">
        <f t="shared" si="147"/>
        <v>0.06</v>
      </c>
      <c r="N900" s="585">
        <f t="shared" si="151"/>
        <v>7.6250000000000012E-2</v>
      </c>
      <c r="O900" s="586">
        <f t="shared" si="148"/>
        <v>0.10334018800068306</v>
      </c>
      <c r="P900" s="585">
        <f t="shared" si="152"/>
        <v>8.709018800068305E-2</v>
      </c>
      <c r="Q900" s="585">
        <f t="shared" si="153"/>
        <v>0.26072422726617117</v>
      </c>
      <c r="R900" s="585">
        <f t="shared" si="154"/>
        <v>8.1287000000000012E-2</v>
      </c>
      <c r="S900" s="586">
        <f t="shared" si="155"/>
        <v>0.17943722726617117</v>
      </c>
      <c r="U900" s="587"/>
      <c r="V900" s="587"/>
      <c r="W900" s="587"/>
      <c r="X900" s="587"/>
      <c r="Y900" s="587"/>
      <c r="Z900" s="587"/>
      <c r="AA900" s="587"/>
      <c r="AB900" s="587"/>
      <c r="AC900" s="587"/>
      <c r="AE900" s="587"/>
      <c r="AF900" s="587"/>
      <c r="AG900" s="587"/>
      <c r="AH900" s="587"/>
      <c r="AI900" s="587"/>
      <c r="AJ900" s="587"/>
      <c r="AK900" s="587"/>
      <c r="AL900" s="587"/>
      <c r="AM900" s="587"/>
      <c r="AO900" s="587"/>
      <c r="AP900" s="587"/>
      <c r="AQ900" s="587"/>
      <c r="AR900" s="587"/>
      <c r="AS900" s="587"/>
      <c r="AT900" s="587"/>
      <c r="AU900" s="587"/>
      <c r="AV900" s="587"/>
      <c r="AW900" s="587"/>
    </row>
    <row r="901" spans="1:49">
      <c r="A901" s="581">
        <v>36770</v>
      </c>
      <c r="B901" s="594">
        <v>-5.28E-2</v>
      </c>
      <c r="C901" s="577">
        <v>9.1499999999999998E-2</v>
      </c>
      <c r="D901" s="577">
        <v>4.5999999999999999E-3</v>
      </c>
      <c r="E901" s="577">
        <v>6.3499999999999997E-3</v>
      </c>
      <c r="F901" s="577">
        <v>6.5249999999999996E-3</v>
      </c>
      <c r="G901" s="577">
        <v>6.4375000000000005E-3</v>
      </c>
      <c r="H901" s="577">
        <v>6.8533333333333337E-3</v>
      </c>
      <c r="I901" s="577">
        <f t="shared" si="145"/>
        <v>-5.74E-2</v>
      </c>
      <c r="J901" s="577">
        <f t="shared" si="149"/>
        <v>-5.9237499999999998E-2</v>
      </c>
      <c r="K901" s="577">
        <f t="shared" si="150"/>
        <v>8.4646666666666662E-2</v>
      </c>
      <c r="L901" s="585">
        <f t="shared" si="146"/>
        <v>0.13295889993239474</v>
      </c>
      <c r="M901" s="585">
        <f t="shared" si="147"/>
        <v>5.5199999999999999E-2</v>
      </c>
      <c r="N901" s="585">
        <f t="shared" si="151"/>
        <v>7.7250000000000013E-2</v>
      </c>
      <c r="O901" s="586">
        <f t="shared" si="148"/>
        <v>7.7758899932394737E-2</v>
      </c>
      <c r="P901" s="585">
        <f t="shared" si="152"/>
        <v>5.5708899932394723E-2</v>
      </c>
      <c r="Q901" s="585">
        <f t="shared" si="153"/>
        <v>0.44546270384561582</v>
      </c>
      <c r="R901" s="585">
        <f t="shared" si="154"/>
        <v>8.2240000000000008E-2</v>
      </c>
      <c r="S901" s="586">
        <f t="shared" si="155"/>
        <v>0.36322270384561584</v>
      </c>
      <c r="U901" s="587"/>
      <c r="V901" s="587"/>
      <c r="W901" s="587"/>
      <c r="X901" s="587"/>
      <c r="Y901" s="587"/>
      <c r="Z901" s="587"/>
      <c r="AA901" s="587"/>
      <c r="AB901" s="587"/>
      <c r="AC901" s="587"/>
      <c r="AE901" s="587"/>
      <c r="AF901" s="587"/>
      <c r="AG901" s="587"/>
      <c r="AH901" s="587"/>
      <c r="AI901" s="587"/>
      <c r="AJ901" s="587"/>
      <c r="AK901" s="587"/>
      <c r="AL901" s="587"/>
      <c r="AM901" s="587"/>
      <c r="AO901" s="587"/>
      <c r="AP901" s="587"/>
      <c r="AQ901" s="587"/>
      <c r="AR901" s="587"/>
      <c r="AS901" s="587"/>
      <c r="AT901" s="587"/>
      <c r="AU901" s="587"/>
      <c r="AV901" s="587"/>
      <c r="AW901" s="587"/>
    </row>
    <row r="902" spans="1:49">
      <c r="A902" s="581">
        <v>36800</v>
      </c>
      <c r="B902" s="594">
        <v>-4.1999999999999997E-3</v>
      </c>
      <c r="C902" s="577">
        <v>-3.5699999999999996E-2</v>
      </c>
      <c r="D902" s="577">
        <v>5.3E-3</v>
      </c>
      <c r="E902" s="577">
        <v>6.2916666666666668E-3</v>
      </c>
      <c r="F902" s="577">
        <v>6.508333333333333E-3</v>
      </c>
      <c r="G902" s="577">
        <v>6.3999999999999994E-3</v>
      </c>
      <c r="H902" s="577">
        <v>6.7868333333333331E-3</v>
      </c>
      <c r="I902" s="577">
        <f t="shared" ref="I902:I965" si="156">B902-D902</f>
        <v>-9.4999999999999998E-3</v>
      </c>
      <c r="J902" s="577">
        <f t="shared" si="149"/>
        <v>-1.0599999999999998E-2</v>
      </c>
      <c r="K902" s="577">
        <f t="shared" si="150"/>
        <v>-4.2486833333333328E-2</v>
      </c>
      <c r="L902" s="585">
        <f t="shared" si="146"/>
        <v>6.1036840546109694E-2</v>
      </c>
      <c r="M902" s="585">
        <f t="shared" si="147"/>
        <v>6.3600000000000004E-2</v>
      </c>
      <c r="N902" s="585">
        <f t="shared" si="151"/>
        <v>7.6799999999999993E-2</v>
      </c>
      <c r="O902" s="586">
        <f t="shared" si="148"/>
        <v>-2.5631594538903096E-3</v>
      </c>
      <c r="P902" s="585">
        <f t="shared" si="152"/>
        <v>-1.5763159453890299E-2</v>
      </c>
      <c r="Q902" s="585">
        <f t="shared" si="153"/>
        <v>0.37231435002296598</v>
      </c>
      <c r="R902" s="585">
        <f t="shared" si="154"/>
        <v>8.1442000000000001E-2</v>
      </c>
      <c r="S902" s="586">
        <f t="shared" si="155"/>
        <v>0.29087235002296596</v>
      </c>
      <c r="U902" s="587"/>
      <c r="V902" s="587"/>
      <c r="W902" s="587"/>
      <c r="X902" s="587"/>
      <c r="Y902" s="587"/>
      <c r="Z902" s="587"/>
      <c r="AA902" s="587"/>
      <c r="AB902" s="587"/>
      <c r="AC902" s="587"/>
      <c r="AE902" s="587"/>
      <c r="AF902" s="587"/>
      <c r="AG902" s="587"/>
      <c r="AH902" s="587"/>
      <c r="AI902" s="587"/>
      <c r="AJ902" s="587"/>
      <c r="AK902" s="587"/>
      <c r="AL902" s="587"/>
      <c r="AM902" s="587"/>
      <c r="AO902" s="587"/>
      <c r="AP902" s="587"/>
      <c r="AQ902" s="587"/>
      <c r="AR902" s="587"/>
      <c r="AS902" s="587"/>
      <c r="AT902" s="587"/>
      <c r="AU902" s="587"/>
      <c r="AV902" s="587"/>
      <c r="AW902" s="587"/>
    </row>
    <row r="903" spans="1:49">
      <c r="A903" s="581">
        <v>36831</v>
      </c>
      <c r="B903" s="594">
        <v>-7.8799999999999995E-2</v>
      </c>
      <c r="C903" s="577">
        <v>-1.32E-2</v>
      </c>
      <c r="D903" s="577">
        <v>4.7999999999999996E-3</v>
      </c>
      <c r="E903" s="577">
        <v>6.2083333333333331E-3</v>
      </c>
      <c r="F903" s="577">
        <v>6.4583333333333333E-3</v>
      </c>
      <c r="G903" s="577">
        <v>6.3333333333333332E-3</v>
      </c>
      <c r="H903" s="577">
        <v>6.7716666666666654E-3</v>
      </c>
      <c r="I903" s="577">
        <f t="shared" si="156"/>
        <v>-8.3599999999999994E-2</v>
      </c>
      <c r="J903" s="577">
        <f t="shared" si="149"/>
        <v>-8.5133333333333325E-2</v>
      </c>
      <c r="K903" s="577">
        <f t="shared" si="150"/>
        <v>-1.9971666666666665E-2</v>
      </c>
      <c r="L903" s="585">
        <f t="shared" si="146"/>
        <v>-4.2019859344235244E-2</v>
      </c>
      <c r="M903" s="585">
        <f t="shared" si="147"/>
        <v>5.7599999999999998E-2</v>
      </c>
      <c r="N903" s="585">
        <f t="shared" si="151"/>
        <v>7.5999999999999998E-2</v>
      </c>
      <c r="O903" s="586">
        <f t="shared" si="148"/>
        <v>-9.9619859344235243E-2</v>
      </c>
      <c r="P903" s="585">
        <f t="shared" si="152"/>
        <v>-0.11801985934423524</v>
      </c>
      <c r="Q903" s="585">
        <f t="shared" si="153"/>
        <v>0.46764907402477873</v>
      </c>
      <c r="R903" s="585">
        <f t="shared" si="154"/>
        <v>8.1259999999999985E-2</v>
      </c>
      <c r="S903" s="586">
        <f t="shared" si="155"/>
        <v>0.38638907402477873</v>
      </c>
      <c r="U903" s="587"/>
      <c r="V903" s="587"/>
      <c r="W903" s="587"/>
      <c r="X903" s="587"/>
      <c r="Y903" s="587"/>
      <c r="Z903" s="587"/>
      <c r="AA903" s="587"/>
      <c r="AB903" s="587"/>
      <c r="AC903" s="587"/>
      <c r="AE903" s="587"/>
      <c r="AF903" s="587"/>
      <c r="AG903" s="587"/>
      <c r="AH903" s="587"/>
      <c r="AI903" s="587"/>
      <c r="AJ903" s="587"/>
      <c r="AK903" s="587"/>
      <c r="AL903" s="587"/>
      <c r="AM903" s="587"/>
      <c r="AO903" s="587"/>
      <c r="AP903" s="587"/>
      <c r="AQ903" s="587"/>
      <c r="AR903" s="587"/>
      <c r="AS903" s="587"/>
      <c r="AT903" s="587"/>
      <c r="AU903" s="587"/>
      <c r="AV903" s="587"/>
      <c r="AW903" s="587"/>
    </row>
    <row r="904" spans="1:49">
      <c r="A904" s="581">
        <v>36861</v>
      </c>
      <c r="B904" s="594">
        <v>4.8999999999999998E-3</v>
      </c>
      <c r="C904" s="577">
        <v>9.820000000000001E-2</v>
      </c>
      <c r="D904" s="577">
        <v>4.4999999999999997E-3</v>
      </c>
      <c r="E904" s="577">
        <v>6.0083333333333334E-3</v>
      </c>
      <c r="F904" s="577">
        <v>6.2333333333333338E-3</v>
      </c>
      <c r="G904" s="577">
        <v>6.1208333333333332E-3</v>
      </c>
      <c r="H904" s="577">
        <v>6.5465000000000002E-3</v>
      </c>
      <c r="I904" s="577">
        <f t="shared" si="156"/>
        <v>4.0000000000000018E-4</v>
      </c>
      <c r="J904" s="577">
        <f t="shared" si="149"/>
        <v>-1.2208333333333333E-3</v>
      </c>
      <c r="K904" s="577">
        <f t="shared" si="150"/>
        <v>9.1653500000000013E-2</v>
      </c>
      <c r="L904" s="585">
        <f t="shared" si="146"/>
        <v>-9.08733182123167E-2</v>
      </c>
      <c r="M904" s="585">
        <f t="shared" si="147"/>
        <v>5.3999999999999992E-2</v>
      </c>
      <c r="N904" s="585">
        <f t="shared" si="151"/>
        <v>7.3450000000000001E-2</v>
      </c>
      <c r="O904" s="586">
        <f t="shared" si="148"/>
        <v>-0.14487331821231669</v>
      </c>
      <c r="P904" s="585">
        <f t="shared" si="152"/>
        <v>-0.16432331821231672</v>
      </c>
      <c r="Q904" s="585">
        <f t="shared" si="153"/>
        <v>0.5969208491964848</v>
      </c>
      <c r="R904" s="585">
        <f t="shared" si="154"/>
        <v>7.8558000000000003E-2</v>
      </c>
      <c r="S904" s="586">
        <f t="shared" si="155"/>
        <v>0.51836284919648479</v>
      </c>
      <c r="U904" s="587"/>
      <c r="V904" s="587"/>
      <c r="W904" s="587"/>
      <c r="X904" s="587"/>
      <c r="Y904" s="587"/>
      <c r="Z904" s="587"/>
      <c r="AA904" s="587"/>
      <c r="AB904" s="587"/>
      <c r="AC904" s="587"/>
      <c r="AE904" s="587"/>
      <c r="AF904" s="587"/>
      <c r="AG904" s="587"/>
      <c r="AH904" s="587"/>
      <c r="AI904" s="587"/>
      <c r="AJ904" s="587"/>
      <c r="AK904" s="587"/>
      <c r="AL904" s="587"/>
      <c r="AM904" s="587"/>
      <c r="AO904" s="587"/>
      <c r="AP904" s="587"/>
      <c r="AQ904" s="587"/>
      <c r="AR904" s="587"/>
      <c r="AS904" s="587"/>
      <c r="AT904" s="587"/>
      <c r="AU904" s="587"/>
      <c r="AV904" s="587"/>
      <c r="AW904" s="587"/>
    </row>
    <row r="905" spans="1:49">
      <c r="A905" s="581">
        <v>36892</v>
      </c>
      <c r="B905" s="594">
        <v>3.5499999999999997E-2</v>
      </c>
      <c r="C905" s="577">
        <v>-9.6699999999999994E-2</v>
      </c>
      <c r="D905" s="577">
        <v>4.8999999999999998E-3</v>
      </c>
      <c r="E905" s="577">
        <v>5.9583333333333328E-3</v>
      </c>
      <c r="F905" s="577">
        <v>6.1500000000000001E-3</v>
      </c>
      <c r="G905" s="577">
        <v>6.0541666666666669E-3</v>
      </c>
      <c r="H905" s="577">
        <v>6.4988333333333339E-3</v>
      </c>
      <c r="I905" s="577">
        <f t="shared" si="156"/>
        <v>3.0599999999999995E-2</v>
      </c>
      <c r="J905" s="577">
        <f t="shared" si="149"/>
        <v>2.9445833333333331E-2</v>
      </c>
      <c r="K905" s="577">
        <f t="shared" si="150"/>
        <v>-0.10319883333333332</v>
      </c>
      <c r="L905" s="585">
        <f t="shared" si="146"/>
        <v>-8.8432522729566809E-3</v>
      </c>
      <c r="M905" s="585">
        <f t="shared" si="147"/>
        <v>5.8799999999999998E-2</v>
      </c>
      <c r="N905" s="585">
        <f t="shared" si="151"/>
        <v>7.2650000000000006E-2</v>
      </c>
      <c r="O905" s="586">
        <f t="shared" si="148"/>
        <v>-6.7643252272956672E-2</v>
      </c>
      <c r="P905" s="585">
        <f t="shared" si="152"/>
        <v>-8.1493252272956687E-2</v>
      </c>
      <c r="Q905" s="585">
        <f t="shared" si="153"/>
        <v>0.30130681378365787</v>
      </c>
      <c r="R905" s="585">
        <f t="shared" si="154"/>
        <v>7.7986E-2</v>
      </c>
      <c r="S905" s="586">
        <f t="shared" si="155"/>
        <v>0.22332081378365787</v>
      </c>
      <c r="U905" s="587"/>
      <c r="V905" s="587"/>
      <c r="W905" s="587"/>
      <c r="X905" s="587"/>
      <c r="Y905" s="587"/>
      <c r="Z905" s="587"/>
      <c r="AA905" s="587"/>
      <c r="AB905" s="587"/>
      <c r="AC905" s="587"/>
      <c r="AE905" s="587"/>
      <c r="AF905" s="587"/>
      <c r="AG905" s="587"/>
      <c r="AH905" s="587"/>
      <c r="AI905" s="587"/>
      <c r="AJ905" s="587"/>
      <c r="AK905" s="587"/>
      <c r="AL905" s="587"/>
      <c r="AM905" s="587"/>
      <c r="AO905" s="587"/>
      <c r="AP905" s="587"/>
      <c r="AQ905" s="587"/>
      <c r="AR905" s="587"/>
      <c r="AS905" s="587"/>
      <c r="AT905" s="587"/>
      <c r="AU905" s="587"/>
      <c r="AV905" s="587"/>
      <c r="AW905" s="587"/>
    </row>
    <row r="906" spans="1:49">
      <c r="A906" s="581">
        <v>36923</v>
      </c>
      <c r="B906" s="594">
        <v>-9.1200000000000003E-2</v>
      </c>
      <c r="C906" s="577">
        <v>3.5299999999999998E-2</v>
      </c>
      <c r="D906" s="577">
        <v>4.1999999999999997E-3</v>
      </c>
      <c r="E906" s="577">
        <v>5.9166666666666664E-3</v>
      </c>
      <c r="F906" s="577">
        <v>6.0999999999999995E-3</v>
      </c>
      <c r="G906" s="577">
        <v>6.0083333333333334E-3</v>
      </c>
      <c r="H906" s="577">
        <v>6.4490833333333327E-3</v>
      </c>
      <c r="I906" s="577">
        <f t="shared" si="156"/>
        <v>-9.5399999999999999E-2</v>
      </c>
      <c r="J906" s="577">
        <f t="shared" si="149"/>
        <v>-9.7208333333333341E-2</v>
      </c>
      <c r="K906" s="577">
        <f t="shared" si="150"/>
        <v>2.8850916666666664E-2</v>
      </c>
      <c r="L906" s="585">
        <f t="shared" si="146"/>
        <v>-8.1884362109533093E-2</v>
      </c>
      <c r="M906" s="585">
        <f t="shared" si="147"/>
        <v>5.04E-2</v>
      </c>
      <c r="N906" s="585">
        <f t="shared" si="151"/>
        <v>7.2099999999999997E-2</v>
      </c>
      <c r="O906" s="586">
        <f t="shared" si="148"/>
        <v>-0.13228436210953309</v>
      </c>
      <c r="P906" s="585">
        <f t="shared" si="152"/>
        <v>-0.15398436210953309</v>
      </c>
      <c r="Q906" s="585">
        <f t="shared" si="153"/>
        <v>0.42989062227788222</v>
      </c>
      <c r="R906" s="585">
        <f t="shared" si="154"/>
        <v>7.7388999999999986E-2</v>
      </c>
      <c r="S906" s="586">
        <f t="shared" si="155"/>
        <v>0.35250162227788223</v>
      </c>
      <c r="U906" s="587"/>
      <c r="V906" s="587"/>
      <c r="W906" s="587"/>
      <c r="X906" s="587"/>
      <c r="Y906" s="587"/>
      <c r="Z906" s="587"/>
      <c r="AA906" s="587"/>
      <c r="AB906" s="587"/>
      <c r="AC906" s="587"/>
      <c r="AE906" s="587"/>
      <c r="AF906" s="587"/>
      <c r="AG906" s="587"/>
      <c r="AH906" s="587"/>
      <c r="AI906" s="587"/>
      <c r="AJ906" s="587"/>
      <c r="AK906" s="587"/>
      <c r="AL906" s="587"/>
      <c r="AM906" s="587"/>
      <c r="AO906" s="587"/>
      <c r="AP906" s="587"/>
      <c r="AQ906" s="587"/>
      <c r="AR906" s="587"/>
      <c r="AS906" s="587"/>
      <c r="AT906" s="587"/>
      <c r="AU906" s="587"/>
      <c r="AV906" s="587"/>
      <c r="AW906" s="587"/>
    </row>
    <row r="907" spans="1:49">
      <c r="A907" s="581">
        <v>36951</v>
      </c>
      <c r="B907" s="594">
        <v>-6.3399999999999998E-2</v>
      </c>
      <c r="C907" s="577">
        <v>-6.3E-3</v>
      </c>
      <c r="D907" s="577">
        <v>4.4999999999999997E-3</v>
      </c>
      <c r="E907" s="577">
        <v>5.816666666666667E-3</v>
      </c>
      <c r="F907" s="577">
        <v>6.0166666666666667E-3</v>
      </c>
      <c r="G907" s="577">
        <v>5.9166666666666664E-3</v>
      </c>
      <c r="H907" s="577">
        <v>6.3935833333333336E-3</v>
      </c>
      <c r="I907" s="577">
        <f t="shared" si="156"/>
        <v>-6.7900000000000002E-2</v>
      </c>
      <c r="J907" s="577">
        <f t="shared" si="149"/>
        <v>-6.9316666666666665E-2</v>
      </c>
      <c r="K907" s="577">
        <f t="shared" si="150"/>
        <v>-1.2693583333333334E-2</v>
      </c>
      <c r="L907" s="585">
        <f t="shared" si="146"/>
        <v>-0.21669966619765779</v>
      </c>
      <c r="M907" s="585">
        <f t="shared" si="147"/>
        <v>5.3999999999999992E-2</v>
      </c>
      <c r="N907" s="585">
        <f t="shared" si="151"/>
        <v>7.0999999999999994E-2</v>
      </c>
      <c r="O907" s="586">
        <f t="shared" si="148"/>
        <v>-0.27069966619765778</v>
      </c>
      <c r="P907" s="585">
        <f t="shared" si="152"/>
        <v>-0.2876996661976578</v>
      </c>
      <c r="Q907" s="585">
        <f t="shared" si="153"/>
        <v>0.37296580477102292</v>
      </c>
      <c r="R907" s="585">
        <f t="shared" si="154"/>
        <v>7.6723E-2</v>
      </c>
      <c r="S907" s="586">
        <f t="shared" si="155"/>
        <v>0.29624280477102294</v>
      </c>
      <c r="U907" s="587"/>
      <c r="V907" s="587"/>
      <c r="W907" s="587"/>
      <c r="X907" s="587"/>
      <c r="Y907" s="587"/>
      <c r="Z907" s="587"/>
      <c r="AA907" s="587"/>
      <c r="AB907" s="587"/>
      <c r="AC907" s="587"/>
      <c r="AE907" s="587"/>
      <c r="AF907" s="587"/>
      <c r="AG907" s="587"/>
      <c r="AH907" s="587"/>
      <c r="AI907" s="587"/>
      <c r="AJ907" s="587"/>
      <c r="AK907" s="587"/>
      <c r="AL907" s="587"/>
      <c r="AM907" s="587"/>
      <c r="AO907" s="587"/>
      <c r="AP907" s="587"/>
      <c r="AQ907" s="587"/>
      <c r="AR907" s="587"/>
      <c r="AS907" s="587"/>
      <c r="AT907" s="587"/>
      <c r="AU907" s="587"/>
      <c r="AV907" s="587"/>
      <c r="AW907" s="587"/>
    </row>
    <row r="908" spans="1:49">
      <c r="A908" s="581">
        <v>36982</v>
      </c>
      <c r="B908" s="594">
        <v>7.7700000000000005E-2</v>
      </c>
      <c r="C908" s="577">
        <v>6.0499999999999998E-2</v>
      </c>
      <c r="D908" s="577">
        <v>4.7000000000000002E-3</v>
      </c>
      <c r="E908" s="577">
        <v>6.0000000000000001E-3</v>
      </c>
      <c r="F908" s="577">
        <v>6.1916666666666665E-3</v>
      </c>
      <c r="G908" s="577">
        <v>6.0958333333333333E-3</v>
      </c>
      <c r="H908" s="577">
        <v>6.6033333333333335E-3</v>
      </c>
      <c r="I908" s="577">
        <f t="shared" si="156"/>
        <v>7.3000000000000009E-2</v>
      </c>
      <c r="J908" s="577">
        <f t="shared" si="149"/>
        <v>7.1604166666666677E-2</v>
      </c>
      <c r="K908" s="577">
        <f t="shared" si="150"/>
        <v>5.3896666666666662E-2</v>
      </c>
      <c r="L908" s="585">
        <f t="shared" si="146"/>
        <v>-0.12963937546264104</v>
      </c>
      <c r="M908" s="585">
        <f t="shared" si="147"/>
        <v>5.6400000000000006E-2</v>
      </c>
      <c r="N908" s="585">
        <f t="shared" si="151"/>
        <v>7.3149999999999993E-2</v>
      </c>
      <c r="O908" s="586">
        <f t="shared" si="148"/>
        <v>-0.18603937546264104</v>
      </c>
      <c r="P908" s="585">
        <f t="shared" si="152"/>
        <v>-0.20278937546264103</v>
      </c>
      <c r="Q908" s="585">
        <f t="shared" si="153"/>
        <v>0.34892554748904003</v>
      </c>
      <c r="R908" s="585">
        <f t="shared" si="154"/>
        <v>7.9240000000000005E-2</v>
      </c>
      <c r="S908" s="586">
        <f t="shared" si="155"/>
        <v>0.26968554748904006</v>
      </c>
      <c r="U908" s="587"/>
      <c r="V908" s="587"/>
      <c r="W908" s="587"/>
      <c r="X908" s="587"/>
      <c r="Y908" s="587"/>
      <c r="Z908" s="587"/>
      <c r="AA908" s="587"/>
      <c r="AB908" s="587"/>
      <c r="AC908" s="587"/>
      <c r="AE908" s="587"/>
      <c r="AF908" s="587"/>
      <c r="AG908" s="587"/>
      <c r="AH908" s="587"/>
      <c r="AI908" s="587"/>
      <c r="AJ908" s="587"/>
      <c r="AK908" s="587"/>
      <c r="AL908" s="587"/>
      <c r="AM908" s="587"/>
      <c r="AO908" s="587"/>
      <c r="AP908" s="587"/>
      <c r="AQ908" s="587"/>
      <c r="AR908" s="587"/>
      <c r="AS908" s="587"/>
      <c r="AT908" s="587"/>
      <c r="AU908" s="587"/>
      <c r="AV908" s="587"/>
      <c r="AW908" s="587"/>
    </row>
    <row r="909" spans="1:49">
      <c r="A909" s="581">
        <v>37012</v>
      </c>
      <c r="B909" s="594">
        <v>6.7000000000000002E-3</v>
      </c>
      <c r="C909" s="577">
        <v>-3.4300000000000004E-2</v>
      </c>
      <c r="D909" s="577">
        <v>5.0000000000000001E-3</v>
      </c>
      <c r="E909" s="577">
        <v>6.0750000000000005E-3</v>
      </c>
      <c r="F909" s="577">
        <v>6.2500000000000003E-3</v>
      </c>
      <c r="G909" s="577">
        <v>6.1624999999999996E-3</v>
      </c>
      <c r="H909" s="577">
        <v>6.6629166666666659E-3</v>
      </c>
      <c r="I909" s="577">
        <f t="shared" si="156"/>
        <v>1.7000000000000001E-3</v>
      </c>
      <c r="J909" s="577">
        <f t="shared" si="149"/>
        <v>5.3750000000000065E-4</v>
      </c>
      <c r="K909" s="577">
        <f t="shared" si="150"/>
        <v>-4.0962916666666668E-2</v>
      </c>
      <c r="L909" s="585">
        <f t="shared" si="146"/>
        <v>-0.10547009625139425</v>
      </c>
      <c r="M909" s="585">
        <f t="shared" si="147"/>
        <v>0.06</v>
      </c>
      <c r="N909" s="585">
        <f t="shared" si="151"/>
        <v>7.3949999999999988E-2</v>
      </c>
      <c r="O909" s="586">
        <f t="shared" si="148"/>
        <v>-0.16547009625139425</v>
      </c>
      <c r="P909" s="585">
        <f t="shared" si="152"/>
        <v>-0.17942009625139424</v>
      </c>
      <c r="Q909" s="585">
        <f t="shared" si="153"/>
        <v>0.24228247302132999</v>
      </c>
      <c r="R909" s="585">
        <f t="shared" si="154"/>
        <v>7.9954999999999998E-2</v>
      </c>
      <c r="S909" s="586">
        <f t="shared" si="155"/>
        <v>0.16232747302132999</v>
      </c>
      <c r="U909" s="587"/>
      <c r="V909" s="587"/>
      <c r="W909" s="587"/>
      <c r="X909" s="587"/>
      <c r="Y909" s="587"/>
      <c r="Z909" s="587"/>
      <c r="AA909" s="587"/>
      <c r="AB909" s="587"/>
      <c r="AC909" s="587"/>
      <c r="AE909" s="587"/>
      <c r="AF909" s="587"/>
      <c r="AG909" s="587"/>
      <c r="AH909" s="587"/>
      <c r="AI909" s="587"/>
      <c r="AJ909" s="587"/>
      <c r="AK909" s="587"/>
      <c r="AL909" s="587"/>
      <c r="AM909" s="587"/>
      <c r="AO909" s="587"/>
      <c r="AP909" s="587"/>
      <c r="AQ909" s="587"/>
      <c r="AR909" s="587"/>
      <c r="AS909" s="587"/>
      <c r="AT909" s="587"/>
      <c r="AU909" s="587"/>
      <c r="AV909" s="587"/>
      <c r="AW909" s="587"/>
    </row>
    <row r="910" spans="1:49">
      <c r="A910" s="581">
        <v>37043</v>
      </c>
      <c r="B910" s="594">
        <v>-2.4299999999999999E-2</v>
      </c>
      <c r="C910" s="577">
        <v>-7.9100000000000004E-2</v>
      </c>
      <c r="D910" s="577">
        <v>4.7000000000000002E-3</v>
      </c>
      <c r="E910" s="577">
        <v>5.9833333333333327E-3</v>
      </c>
      <c r="F910" s="577">
        <v>6.116666666666667E-3</v>
      </c>
      <c r="G910" s="577">
        <v>6.0499999999999998E-3</v>
      </c>
      <c r="H910" s="577">
        <v>6.5459999999999997E-3</v>
      </c>
      <c r="I910" s="577">
        <f t="shared" si="156"/>
        <v>-2.8999999999999998E-2</v>
      </c>
      <c r="J910" s="577">
        <f t="shared" si="149"/>
        <v>-3.0349999999999999E-2</v>
      </c>
      <c r="K910" s="577">
        <f t="shared" si="150"/>
        <v>-8.5646E-2</v>
      </c>
      <c r="L910" s="585">
        <f t="shared" si="146"/>
        <v>-0.14824550884403775</v>
      </c>
      <c r="M910" s="585">
        <f t="shared" si="147"/>
        <v>5.6400000000000006E-2</v>
      </c>
      <c r="N910" s="585">
        <f t="shared" si="151"/>
        <v>7.2599999999999998E-2</v>
      </c>
      <c r="O910" s="586">
        <f t="shared" si="148"/>
        <v>-0.20464550884403776</v>
      </c>
      <c r="P910" s="585">
        <f t="shared" si="152"/>
        <v>-0.22084550884403775</v>
      </c>
      <c r="Q910" s="585">
        <f t="shared" si="153"/>
        <v>0.21381212669001859</v>
      </c>
      <c r="R910" s="585">
        <f t="shared" si="154"/>
        <v>7.8551999999999997E-2</v>
      </c>
      <c r="S910" s="586">
        <f t="shared" si="155"/>
        <v>0.13526012669001858</v>
      </c>
      <c r="U910" s="587"/>
      <c r="V910" s="587"/>
      <c r="W910" s="587"/>
      <c r="X910" s="587"/>
      <c r="Y910" s="587"/>
      <c r="Z910" s="587"/>
      <c r="AA910" s="587"/>
      <c r="AB910" s="587"/>
      <c r="AC910" s="587"/>
      <c r="AE910" s="587"/>
      <c r="AF910" s="587"/>
      <c r="AG910" s="587"/>
      <c r="AH910" s="587"/>
      <c r="AI910" s="587"/>
      <c r="AJ910" s="587"/>
      <c r="AK910" s="587"/>
      <c r="AL910" s="587"/>
      <c r="AM910" s="587"/>
      <c r="AO910" s="587"/>
      <c r="AP910" s="587"/>
      <c r="AQ910" s="587"/>
      <c r="AR910" s="587"/>
      <c r="AS910" s="587"/>
      <c r="AT910" s="587"/>
      <c r="AU910" s="587"/>
      <c r="AV910" s="587"/>
      <c r="AW910" s="587"/>
    </row>
    <row r="911" spans="1:49">
      <c r="A911" s="581">
        <v>37073</v>
      </c>
      <c r="B911" s="594">
        <v>-9.7999999999999997E-3</v>
      </c>
      <c r="C911" s="577">
        <v>-4.4799999999999993E-2</v>
      </c>
      <c r="D911" s="577">
        <v>5.1999999999999998E-3</v>
      </c>
      <c r="E911" s="577">
        <v>5.9416666666666663E-3</v>
      </c>
      <c r="F911" s="577">
        <v>6.0583333333333331E-3</v>
      </c>
      <c r="G911" s="577">
        <v>6.0000000000000001E-3</v>
      </c>
      <c r="H911" s="577">
        <v>6.4940833333333335E-3</v>
      </c>
      <c r="I911" s="577">
        <f t="shared" si="156"/>
        <v>-1.4999999999999999E-2</v>
      </c>
      <c r="J911" s="577">
        <f t="shared" si="149"/>
        <v>-1.5800000000000002E-2</v>
      </c>
      <c r="K911" s="577">
        <f t="shared" si="150"/>
        <v>-5.1294083333333323E-2</v>
      </c>
      <c r="L911" s="585">
        <f t="shared" si="146"/>
        <v>-0.1432270447555527</v>
      </c>
      <c r="M911" s="585">
        <f t="shared" si="147"/>
        <v>6.2399999999999997E-2</v>
      </c>
      <c r="N911" s="585">
        <f t="shared" si="151"/>
        <v>7.2000000000000008E-2</v>
      </c>
      <c r="O911" s="586">
        <f t="shared" si="148"/>
        <v>-0.20562704475555271</v>
      </c>
      <c r="P911" s="585">
        <f t="shared" si="152"/>
        <v>-0.21522704475555271</v>
      </c>
      <c r="Q911" s="585">
        <f t="shared" si="153"/>
        <v>8.5916777572637937E-2</v>
      </c>
      <c r="R911" s="585">
        <f t="shared" si="154"/>
        <v>7.7928999999999998E-2</v>
      </c>
      <c r="S911" s="586">
        <f t="shared" si="155"/>
        <v>7.9877775726379385E-3</v>
      </c>
      <c r="U911" s="587"/>
      <c r="V911" s="587"/>
      <c r="W911" s="587"/>
      <c r="X911" s="587"/>
      <c r="Y911" s="587"/>
      <c r="Z911" s="587"/>
      <c r="AA911" s="587"/>
      <c r="AB911" s="587"/>
      <c r="AC911" s="587"/>
      <c r="AE911" s="587"/>
      <c r="AF911" s="587"/>
      <c r="AG911" s="587"/>
      <c r="AH911" s="587"/>
      <c r="AI911" s="587"/>
      <c r="AJ911" s="587"/>
      <c r="AK911" s="587"/>
      <c r="AL911" s="587"/>
      <c r="AM911" s="587"/>
      <c r="AO911" s="587"/>
      <c r="AP911" s="587"/>
      <c r="AQ911" s="587"/>
      <c r="AR911" s="587"/>
      <c r="AS911" s="587"/>
      <c r="AT911" s="587"/>
      <c r="AU911" s="587"/>
      <c r="AV911" s="587"/>
      <c r="AW911" s="587"/>
    </row>
    <row r="912" spans="1:49">
      <c r="A912" s="581">
        <v>37104</v>
      </c>
      <c r="B912" s="594">
        <v>-6.2600000000000003E-2</v>
      </c>
      <c r="C912" s="577">
        <v>-2.9000000000000005E-2</v>
      </c>
      <c r="D912" s="577">
        <v>4.5999999999999999E-3</v>
      </c>
      <c r="E912" s="577">
        <v>6.0000000000000001E-3</v>
      </c>
      <c r="F912" s="577">
        <v>5.9250000000000006E-3</v>
      </c>
      <c r="G912" s="577">
        <v>5.9624999999999991E-3</v>
      </c>
      <c r="H912" s="577">
        <v>6.3285833333333328E-3</v>
      </c>
      <c r="I912" s="577">
        <f t="shared" si="156"/>
        <v>-6.720000000000001E-2</v>
      </c>
      <c r="J912" s="577">
        <f t="shared" si="149"/>
        <v>-6.8562499999999998E-2</v>
      </c>
      <c r="K912" s="577">
        <f t="shared" si="150"/>
        <v>-3.5328583333333337E-2</v>
      </c>
      <c r="L912" s="585">
        <f t="shared" ref="L912:L975" si="157">((1+B901)*(1+B902)*(1+B903)*(1+B904)*(1+B905)*(1+B906)*(1+B907)*(1+B908)*(1+B909)*(1+B910)*(1+B911)*(1+B912))-1</f>
        <v>-0.24381982087737064</v>
      </c>
      <c r="M912" s="585">
        <f t="shared" ref="M912:M975" si="158">D912*12</f>
        <v>5.5199999999999999E-2</v>
      </c>
      <c r="N912" s="585">
        <f t="shared" si="151"/>
        <v>7.1549999999999989E-2</v>
      </c>
      <c r="O912" s="586">
        <f t="shared" ref="O912:O975" si="159">L912-M912</f>
        <v>-0.29901982087737067</v>
      </c>
      <c r="P912" s="585">
        <f t="shared" si="152"/>
        <v>-0.31536982087737064</v>
      </c>
      <c r="Q912" s="585">
        <f t="shared" si="153"/>
        <v>-7.2788259740563466E-2</v>
      </c>
      <c r="R912" s="585">
        <f t="shared" si="154"/>
        <v>7.5942999999999997E-2</v>
      </c>
      <c r="S912" s="586">
        <f t="shared" si="155"/>
        <v>-0.14873125974056345</v>
      </c>
      <c r="U912" s="587"/>
      <c r="V912" s="587"/>
      <c r="W912" s="587"/>
      <c r="X912" s="587"/>
      <c r="Y912" s="587"/>
      <c r="Z912" s="587"/>
      <c r="AA912" s="587"/>
      <c r="AB912" s="587"/>
      <c r="AC912" s="587"/>
      <c r="AE912" s="587"/>
      <c r="AF912" s="587"/>
      <c r="AG912" s="587"/>
      <c r="AH912" s="587"/>
      <c r="AI912" s="587"/>
      <c r="AJ912" s="587"/>
      <c r="AK912" s="587"/>
      <c r="AL912" s="587"/>
      <c r="AM912" s="587"/>
      <c r="AO912" s="587"/>
      <c r="AP912" s="587"/>
      <c r="AQ912" s="587"/>
      <c r="AR912" s="587"/>
      <c r="AS912" s="587"/>
      <c r="AT912" s="587"/>
      <c r="AU912" s="587"/>
      <c r="AV912" s="587"/>
      <c r="AW912" s="587"/>
    </row>
    <row r="913" spans="1:49">
      <c r="A913" s="581">
        <v>37135</v>
      </c>
      <c r="B913" s="594">
        <v>-8.0799999999999997E-2</v>
      </c>
      <c r="C913" s="577">
        <v>-0.1152</v>
      </c>
      <c r="D913" s="577">
        <v>4.1000000000000003E-3</v>
      </c>
      <c r="E913" s="577">
        <v>5.9750000000000003E-3</v>
      </c>
      <c r="F913" s="577">
        <v>6.0583333333333331E-3</v>
      </c>
      <c r="G913" s="577">
        <v>6.0166666666666667E-3</v>
      </c>
      <c r="H913" s="577">
        <v>6.4227500000000005E-3</v>
      </c>
      <c r="I913" s="577">
        <f t="shared" si="156"/>
        <v>-8.4900000000000003E-2</v>
      </c>
      <c r="J913" s="577">
        <f t="shared" si="149"/>
        <v>-8.6816666666666667E-2</v>
      </c>
      <c r="K913" s="577">
        <f t="shared" si="150"/>
        <v>-0.12162275</v>
      </c>
      <c r="L913" s="585">
        <f t="shared" si="157"/>
        <v>-0.26617312009129956</v>
      </c>
      <c r="M913" s="585">
        <f t="shared" si="158"/>
        <v>4.9200000000000008E-2</v>
      </c>
      <c r="N913" s="585">
        <f t="shared" si="151"/>
        <v>7.22E-2</v>
      </c>
      <c r="O913" s="586">
        <f t="shared" si="159"/>
        <v>-0.31537312009129959</v>
      </c>
      <c r="P913" s="585">
        <f t="shared" si="152"/>
        <v>-0.33837312009129955</v>
      </c>
      <c r="Q913" s="585">
        <f t="shared" si="153"/>
        <v>-0.24837659387856181</v>
      </c>
      <c r="R913" s="585">
        <f t="shared" si="154"/>
        <v>7.7073000000000003E-2</v>
      </c>
      <c r="S913" s="586">
        <f t="shared" si="155"/>
        <v>-0.32544959387856182</v>
      </c>
      <c r="U913" s="587"/>
      <c r="V913" s="587"/>
      <c r="W913" s="587"/>
      <c r="X913" s="587"/>
      <c r="Y913" s="587"/>
      <c r="Z913" s="587"/>
      <c r="AA913" s="587"/>
      <c r="AB913" s="587"/>
      <c r="AC913" s="587"/>
      <c r="AE913" s="587"/>
      <c r="AF913" s="587"/>
      <c r="AG913" s="587"/>
      <c r="AH913" s="587"/>
      <c r="AI913" s="587"/>
      <c r="AJ913" s="587"/>
      <c r="AK913" s="587"/>
      <c r="AL913" s="587"/>
      <c r="AM913" s="587"/>
      <c r="AO913" s="587"/>
      <c r="AP913" s="587"/>
      <c r="AQ913" s="587"/>
      <c r="AR913" s="587"/>
      <c r="AS913" s="587"/>
      <c r="AT913" s="587"/>
      <c r="AU913" s="587"/>
      <c r="AV913" s="587"/>
      <c r="AW913" s="587"/>
    </row>
    <row r="914" spans="1:49">
      <c r="A914" s="581">
        <v>37165</v>
      </c>
      <c r="B914" s="594">
        <v>1.9099999999999999E-2</v>
      </c>
      <c r="C914" s="577">
        <v>-1.7000000000000001E-3</v>
      </c>
      <c r="D914" s="577">
        <v>4.7999999999999996E-3</v>
      </c>
      <c r="E914" s="577">
        <v>5.8583333333333334E-3</v>
      </c>
      <c r="F914" s="577">
        <v>5.9416666666666663E-3</v>
      </c>
      <c r="G914" s="577">
        <v>5.8999999999999999E-3</v>
      </c>
      <c r="H914" s="577">
        <v>6.3725833333333334E-3</v>
      </c>
      <c r="I914" s="577">
        <f t="shared" si="156"/>
        <v>1.43E-2</v>
      </c>
      <c r="J914" s="577">
        <f t="shared" si="149"/>
        <v>1.32E-2</v>
      </c>
      <c r="K914" s="577">
        <f t="shared" si="150"/>
        <v>-8.0725833333333344E-3</v>
      </c>
      <c r="L914" s="585">
        <f t="shared" si="157"/>
        <v>-0.24900283860719374</v>
      </c>
      <c r="M914" s="585">
        <f t="shared" si="158"/>
        <v>5.7599999999999998E-2</v>
      </c>
      <c r="N914" s="585">
        <f t="shared" si="151"/>
        <v>7.0800000000000002E-2</v>
      </c>
      <c r="O914" s="586">
        <f t="shared" si="159"/>
        <v>-0.30660283860719373</v>
      </c>
      <c r="P914" s="585">
        <f t="shared" si="152"/>
        <v>-0.31980283860719372</v>
      </c>
      <c r="Q914" s="585">
        <f t="shared" si="153"/>
        <v>-0.22187530194853111</v>
      </c>
      <c r="R914" s="585">
        <f t="shared" si="154"/>
        <v>7.6470999999999997E-2</v>
      </c>
      <c r="S914" s="586">
        <f t="shared" si="155"/>
        <v>-0.29834630194853112</v>
      </c>
      <c r="U914" s="587"/>
      <c r="V914" s="587"/>
      <c r="W914" s="587"/>
      <c r="X914" s="587"/>
      <c r="Y914" s="587"/>
      <c r="Z914" s="587"/>
      <c r="AA914" s="587"/>
      <c r="AB914" s="587"/>
      <c r="AC914" s="587"/>
      <c r="AE914" s="587"/>
      <c r="AF914" s="587"/>
      <c r="AG914" s="587"/>
      <c r="AH914" s="587"/>
      <c r="AI914" s="587"/>
      <c r="AJ914" s="587"/>
      <c r="AK914" s="587"/>
      <c r="AL914" s="587"/>
      <c r="AM914" s="587"/>
      <c r="AO914" s="587"/>
      <c r="AP914" s="587"/>
      <c r="AQ914" s="587"/>
      <c r="AR914" s="587"/>
      <c r="AS914" s="587"/>
      <c r="AT914" s="587"/>
      <c r="AU914" s="587"/>
      <c r="AV914" s="587"/>
      <c r="AW914" s="587"/>
    </row>
    <row r="915" spans="1:49">
      <c r="A915" s="581">
        <v>37196</v>
      </c>
      <c r="B915" s="594">
        <v>7.6700000000000004E-2</v>
      </c>
      <c r="C915" s="577">
        <v>-5.5199999999999999E-2</v>
      </c>
      <c r="D915" s="577">
        <v>4.1000000000000003E-3</v>
      </c>
      <c r="E915" s="577">
        <v>5.8083333333333329E-3</v>
      </c>
      <c r="F915" s="577">
        <v>5.841666666666666E-3</v>
      </c>
      <c r="G915" s="577">
        <v>5.8250000000000003E-3</v>
      </c>
      <c r="H915" s="577">
        <v>6.2872499999999994E-3</v>
      </c>
      <c r="I915" s="577">
        <f t="shared" si="156"/>
        <v>7.2599999999999998E-2</v>
      </c>
      <c r="J915" s="577">
        <f t="shared" si="149"/>
        <v>7.0875000000000007E-2</v>
      </c>
      <c r="K915" s="577">
        <f t="shared" si="150"/>
        <v>-6.148725E-2</v>
      </c>
      <c r="L915" s="585">
        <f t="shared" si="157"/>
        <v>-0.12223334382149964</v>
      </c>
      <c r="M915" s="585">
        <f t="shared" si="158"/>
        <v>4.9200000000000008E-2</v>
      </c>
      <c r="N915" s="585">
        <f t="shared" si="151"/>
        <v>6.9900000000000004E-2</v>
      </c>
      <c r="O915" s="586">
        <f t="shared" si="159"/>
        <v>-0.17143334382149966</v>
      </c>
      <c r="P915" s="585">
        <f t="shared" si="152"/>
        <v>-0.19213334382149966</v>
      </c>
      <c r="Q915" s="585">
        <f t="shared" si="153"/>
        <v>-0.25499370214934347</v>
      </c>
      <c r="R915" s="585">
        <f t="shared" si="154"/>
        <v>7.5446999999999986E-2</v>
      </c>
      <c r="S915" s="586">
        <f t="shared" si="155"/>
        <v>-0.33044070214934346</v>
      </c>
      <c r="U915" s="587"/>
      <c r="V915" s="587"/>
      <c r="W915" s="587"/>
      <c r="X915" s="587"/>
      <c r="Y915" s="587"/>
      <c r="Z915" s="587"/>
      <c r="AA915" s="587"/>
      <c r="AB915" s="587"/>
      <c r="AC915" s="587"/>
      <c r="AE915" s="587"/>
      <c r="AF915" s="587"/>
      <c r="AG915" s="587"/>
      <c r="AH915" s="587"/>
      <c r="AI915" s="587"/>
      <c r="AJ915" s="587"/>
      <c r="AK915" s="587"/>
      <c r="AL915" s="587"/>
      <c r="AM915" s="587"/>
      <c r="AO915" s="587"/>
      <c r="AP915" s="587"/>
      <c r="AQ915" s="587"/>
      <c r="AR915" s="587"/>
      <c r="AS915" s="587"/>
      <c r="AT915" s="587"/>
      <c r="AU915" s="587"/>
      <c r="AV915" s="587"/>
      <c r="AW915" s="587"/>
    </row>
    <row r="916" spans="1:49">
      <c r="A916" s="581">
        <v>37226</v>
      </c>
      <c r="B916" s="594">
        <v>8.8000000000000005E-3</v>
      </c>
      <c r="C916" s="577">
        <v>2.6000000000000002E-2</v>
      </c>
      <c r="D916" s="577">
        <v>4.5999999999999999E-3</v>
      </c>
      <c r="E916" s="577">
        <v>5.6333333333333339E-3</v>
      </c>
      <c r="F916" s="577">
        <v>5.9916666666666677E-3</v>
      </c>
      <c r="G916" s="577">
        <v>5.8125000000000008E-3</v>
      </c>
      <c r="H916" s="577">
        <v>6.5259166666666668E-3</v>
      </c>
      <c r="I916" s="577">
        <f t="shared" si="156"/>
        <v>4.2000000000000006E-3</v>
      </c>
      <c r="J916" s="577">
        <f t="shared" si="149"/>
        <v>2.9874999999999997E-3</v>
      </c>
      <c r="K916" s="577">
        <f t="shared" si="150"/>
        <v>1.9474083333333336E-2</v>
      </c>
      <c r="L916" s="585">
        <f t="shared" si="157"/>
        <v>-0.11882674619079403</v>
      </c>
      <c r="M916" s="585">
        <f t="shared" si="158"/>
        <v>5.5199999999999999E-2</v>
      </c>
      <c r="N916" s="585">
        <f t="shared" si="151"/>
        <v>6.9750000000000006E-2</v>
      </c>
      <c r="O916" s="586">
        <f t="shared" si="159"/>
        <v>-0.17402674619079403</v>
      </c>
      <c r="P916" s="585">
        <f t="shared" si="152"/>
        <v>-0.18857674619079404</v>
      </c>
      <c r="Q916" s="585">
        <f t="shared" si="153"/>
        <v>-0.3039733549492134</v>
      </c>
      <c r="R916" s="585">
        <f t="shared" si="154"/>
        <v>7.8311000000000006E-2</v>
      </c>
      <c r="S916" s="586">
        <f t="shared" si="155"/>
        <v>-0.38228435494921342</v>
      </c>
      <c r="U916" s="587"/>
      <c r="V916" s="587"/>
      <c r="W916" s="587"/>
      <c r="X916" s="587"/>
      <c r="Y916" s="587"/>
      <c r="Z916" s="587"/>
      <c r="AA916" s="587"/>
      <c r="AB916" s="587"/>
      <c r="AC916" s="587"/>
      <c r="AE916" s="587"/>
      <c r="AF916" s="587"/>
      <c r="AG916" s="587"/>
      <c r="AH916" s="587"/>
      <c r="AI916" s="587"/>
      <c r="AJ916" s="587"/>
      <c r="AK916" s="587"/>
      <c r="AL916" s="587"/>
      <c r="AM916" s="587"/>
      <c r="AO916" s="587"/>
      <c r="AP916" s="587"/>
      <c r="AQ916" s="587"/>
      <c r="AR916" s="587"/>
      <c r="AS916" s="587"/>
      <c r="AT916" s="587"/>
      <c r="AU916" s="587"/>
      <c r="AV916" s="587"/>
      <c r="AW916" s="587"/>
    </row>
    <row r="917" spans="1:49">
      <c r="A917" s="581">
        <v>37257</v>
      </c>
      <c r="B917" s="594">
        <v>-1.46E-2</v>
      </c>
      <c r="C917" s="577">
        <v>-5.6499999999999995E-2</v>
      </c>
      <c r="D917" s="577">
        <v>4.7999999999999996E-3</v>
      </c>
      <c r="E917" s="577">
        <v>5.4583333333333324E-3</v>
      </c>
      <c r="F917" s="577">
        <v>5.8583333333333334E-3</v>
      </c>
      <c r="G917" s="577">
        <v>5.6583333333333329E-3</v>
      </c>
      <c r="H917" s="577">
        <v>6.3869166666666666E-3</v>
      </c>
      <c r="I917" s="577">
        <f t="shared" si="156"/>
        <v>-1.9400000000000001E-2</v>
      </c>
      <c r="J917" s="577">
        <f t="shared" si="149"/>
        <v>-2.0258333333333333E-2</v>
      </c>
      <c r="K917" s="577">
        <f t="shared" si="150"/>
        <v>-6.2886916666666667E-2</v>
      </c>
      <c r="L917" s="585">
        <f t="shared" si="157"/>
        <v>-0.16146004412980031</v>
      </c>
      <c r="M917" s="585">
        <f t="shared" si="158"/>
        <v>5.7599999999999998E-2</v>
      </c>
      <c r="N917" s="585">
        <f t="shared" si="151"/>
        <v>6.7899999999999988E-2</v>
      </c>
      <c r="O917" s="586">
        <f t="shared" si="159"/>
        <v>-0.21906004412980029</v>
      </c>
      <c r="P917" s="585">
        <f t="shared" si="152"/>
        <v>-0.22936004412980029</v>
      </c>
      <c r="Q917" s="585">
        <f t="shared" si="153"/>
        <v>-0.27299774205090566</v>
      </c>
      <c r="R917" s="585">
        <f t="shared" si="154"/>
        <v>7.6643000000000003E-2</v>
      </c>
      <c r="S917" s="586">
        <f t="shared" si="155"/>
        <v>-0.34964074205090567</v>
      </c>
      <c r="U917" s="587"/>
      <c r="V917" s="587"/>
      <c r="W917" s="587"/>
      <c r="X917" s="587"/>
      <c r="Y917" s="587"/>
      <c r="Z917" s="587"/>
      <c r="AA917" s="587"/>
      <c r="AB917" s="587"/>
      <c r="AC917" s="587"/>
      <c r="AE917" s="587"/>
      <c r="AF917" s="587"/>
      <c r="AG917" s="587"/>
      <c r="AH917" s="587"/>
      <c r="AI917" s="587"/>
      <c r="AJ917" s="587"/>
      <c r="AK917" s="587"/>
      <c r="AL917" s="587"/>
      <c r="AM917" s="587"/>
      <c r="AO917" s="587"/>
      <c r="AP917" s="587"/>
      <c r="AQ917" s="587"/>
      <c r="AR917" s="587"/>
      <c r="AS917" s="587"/>
      <c r="AT917" s="587"/>
      <c r="AU917" s="587"/>
      <c r="AV917" s="587"/>
      <c r="AW917" s="587"/>
    </row>
    <row r="918" spans="1:49">
      <c r="A918" s="581">
        <v>37288</v>
      </c>
      <c r="B918" s="594">
        <v>-1.9300000000000001E-2</v>
      </c>
      <c r="C918" s="577">
        <v>-2.35E-2</v>
      </c>
      <c r="D918" s="577">
        <v>4.3E-3</v>
      </c>
      <c r="E918" s="577">
        <v>5.4250000000000001E-3</v>
      </c>
      <c r="F918" s="577">
        <v>5.7916666666666672E-3</v>
      </c>
      <c r="G918" s="577">
        <v>5.6083333333333332E-3</v>
      </c>
      <c r="H918" s="577">
        <v>6.2833333333333326E-3</v>
      </c>
      <c r="I918" s="577">
        <f t="shared" si="156"/>
        <v>-2.3600000000000003E-2</v>
      </c>
      <c r="J918" s="577">
        <f t="shared" si="149"/>
        <v>-2.4908333333333334E-2</v>
      </c>
      <c r="K918" s="577">
        <f t="shared" si="150"/>
        <v>-2.9783333333333332E-2</v>
      </c>
      <c r="L918" s="585">
        <f t="shared" si="157"/>
        <v>-9.5118689786636734E-2</v>
      </c>
      <c r="M918" s="585">
        <f t="shared" si="158"/>
        <v>5.16E-2</v>
      </c>
      <c r="N918" s="585">
        <f t="shared" si="151"/>
        <v>6.7299999999999999E-2</v>
      </c>
      <c r="O918" s="586">
        <f t="shared" si="159"/>
        <v>-0.14671868978663674</v>
      </c>
      <c r="P918" s="585">
        <f t="shared" si="152"/>
        <v>-0.16241868978663673</v>
      </c>
      <c r="Q918" s="585">
        <f t="shared" si="153"/>
        <v>-0.31428793114334896</v>
      </c>
      <c r="R918" s="585">
        <f t="shared" si="154"/>
        <v>7.5399999999999995E-2</v>
      </c>
      <c r="S918" s="586">
        <f t="shared" si="155"/>
        <v>-0.38968793114334899</v>
      </c>
      <c r="U918" s="587"/>
      <c r="V918" s="587"/>
      <c r="W918" s="587"/>
      <c r="X918" s="587"/>
      <c r="Y918" s="587"/>
      <c r="Z918" s="587"/>
      <c r="AA918" s="587"/>
      <c r="AB918" s="587"/>
      <c r="AC918" s="587"/>
      <c r="AE918" s="587"/>
      <c r="AF918" s="587"/>
      <c r="AG918" s="587"/>
      <c r="AH918" s="587"/>
      <c r="AI918" s="587"/>
      <c r="AJ918" s="587"/>
      <c r="AK918" s="587"/>
      <c r="AL918" s="587"/>
      <c r="AM918" s="587"/>
      <c r="AO918" s="587"/>
      <c r="AP918" s="587"/>
      <c r="AQ918" s="587"/>
      <c r="AR918" s="587"/>
      <c r="AS918" s="587"/>
      <c r="AT918" s="587"/>
      <c r="AU918" s="587"/>
      <c r="AV918" s="587"/>
      <c r="AW918" s="587"/>
    </row>
    <row r="919" spans="1:49">
      <c r="A919" s="581">
        <v>37316</v>
      </c>
      <c r="B919" s="594">
        <v>3.7600000000000001E-2</v>
      </c>
      <c r="C919" s="577">
        <v>0.12229999999999999</v>
      </c>
      <c r="D919" s="577">
        <v>4.3E-3</v>
      </c>
      <c r="E919" s="577">
        <v>5.6750000000000004E-3</v>
      </c>
      <c r="F919" s="577">
        <v>6.0166666666666667E-3</v>
      </c>
      <c r="G919" s="577">
        <v>5.8458333333333331E-3</v>
      </c>
      <c r="H919" s="577">
        <v>6.4529166666666667E-3</v>
      </c>
      <c r="I919" s="577">
        <f t="shared" si="156"/>
        <v>3.3300000000000003E-2</v>
      </c>
      <c r="J919" s="577">
        <f t="shared" si="149"/>
        <v>3.1754166666666667E-2</v>
      </c>
      <c r="K919" s="577">
        <f t="shared" si="150"/>
        <v>0.11584708333333332</v>
      </c>
      <c r="L919" s="585">
        <f t="shared" si="157"/>
        <v>2.4608664076297693E-3</v>
      </c>
      <c r="M919" s="585">
        <f t="shared" si="158"/>
        <v>5.16E-2</v>
      </c>
      <c r="N919" s="585">
        <f t="shared" si="151"/>
        <v>7.014999999999999E-2</v>
      </c>
      <c r="O919" s="586">
        <f t="shared" si="159"/>
        <v>-4.9139133592370231E-2</v>
      </c>
      <c r="P919" s="585">
        <f t="shared" si="152"/>
        <v>-6.7689133592370221E-2</v>
      </c>
      <c r="Q919" s="585">
        <f t="shared" si="153"/>
        <v>-0.22554628672857013</v>
      </c>
      <c r="R919" s="585">
        <f t="shared" si="154"/>
        <v>7.7435000000000004E-2</v>
      </c>
      <c r="S919" s="586">
        <f t="shared" si="155"/>
        <v>-0.30298128672857016</v>
      </c>
      <c r="U919" s="587"/>
      <c r="V919" s="587"/>
      <c r="W919" s="587"/>
      <c r="X919" s="587"/>
      <c r="Y919" s="587"/>
      <c r="Z919" s="587"/>
      <c r="AA919" s="587"/>
      <c r="AB919" s="587"/>
      <c r="AC919" s="587"/>
      <c r="AE919" s="587"/>
      <c r="AF919" s="587"/>
      <c r="AG919" s="587"/>
      <c r="AH919" s="587"/>
      <c r="AI919" s="587"/>
      <c r="AJ919" s="587"/>
      <c r="AK919" s="587"/>
      <c r="AL919" s="587"/>
      <c r="AM919" s="587"/>
      <c r="AO919" s="587"/>
      <c r="AP919" s="587"/>
      <c r="AQ919" s="587"/>
      <c r="AR919" s="587"/>
      <c r="AS919" s="587"/>
      <c r="AT919" s="587"/>
      <c r="AU919" s="587"/>
      <c r="AV919" s="587"/>
      <c r="AW919" s="587"/>
    </row>
    <row r="920" spans="1:49">
      <c r="A920" s="581">
        <v>37347</v>
      </c>
      <c r="B920" s="594">
        <v>-6.0600000000000001E-2</v>
      </c>
      <c r="C920" s="577">
        <v>-1.7100000000000001E-2</v>
      </c>
      <c r="D920" s="577">
        <v>5.4000000000000003E-3</v>
      </c>
      <c r="E920" s="577">
        <v>5.6333333333333339E-3</v>
      </c>
      <c r="F920" s="577">
        <v>5.966666666666667E-3</v>
      </c>
      <c r="G920" s="577">
        <v>5.8000000000000005E-3</v>
      </c>
      <c r="H920" s="577">
        <v>6.3159166666666667E-3</v>
      </c>
      <c r="I920" s="577">
        <f t="shared" si="156"/>
        <v>-6.6000000000000003E-2</v>
      </c>
      <c r="J920" s="577">
        <f t="shared" si="149"/>
        <v>-6.6400000000000001E-2</v>
      </c>
      <c r="K920" s="577">
        <f t="shared" si="150"/>
        <v>-2.3415916666666668E-2</v>
      </c>
      <c r="L920" s="585">
        <f t="shared" si="157"/>
        <v>-0.12618378221831006</v>
      </c>
      <c r="M920" s="585">
        <f t="shared" si="158"/>
        <v>6.4799999999999996E-2</v>
      </c>
      <c r="N920" s="585">
        <f t="shared" si="151"/>
        <v>6.9600000000000009E-2</v>
      </c>
      <c r="O920" s="586">
        <f t="shared" si="159"/>
        <v>-0.19098378221831006</v>
      </c>
      <c r="P920" s="585">
        <f t="shared" si="152"/>
        <v>-0.19578378221831005</v>
      </c>
      <c r="Q920" s="585">
        <f t="shared" si="153"/>
        <v>-0.28221541275390094</v>
      </c>
      <c r="R920" s="585">
        <f t="shared" si="154"/>
        <v>7.5790999999999997E-2</v>
      </c>
      <c r="S920" s="586">
        <f t="shared" si="155"/>
        <v>-0.35800641275390094</v>
      </c>
      <c r="U920" s="587"/>
      <c r="V920" s="587"/>
      <c r="W920" s="587"/>
      <c r="X920" s="587"/>
      <c r="Y920" s="587"/>
      <c r="Z920" s="587"/>
      <c r="AA920" s="587"/>
      <c r="AB920" s="587"/>
      <c r="AC920" s="587"/>
      <c r="AE920" s="587"/>
      <c r="AF920" s="587"/>
      <c r="AG920" s="587"/>
      <c r="AH920" s="587"/>
      <c r="AI920" s="587"/>
      <c r="AJ920" s="587"/>
      <c r="AK920" s="587"/>
      <c r="AL920" s="587"/>
      <c r="AM920" s="587"/>
      <c r="AO920" s="587"/>
      <c r="AP920" s="587"/>
      <c r="AQ920" s="587"/>
      <c r="AR920" s="587"/>
      <c r="AS920" s="587"/>
      <c r="AT920" s="587"/>
      <c r="AU920" s="587"/>
      <c r="AV920" s="587"/>
      <c r="AW920" s="587"/>
    </row>
    <row r="921" spans="1:49">
      <c r="A921" s="581">
        <v>37377</v>
      </c>
      <c r="B921" s="594">
        <v>-7.4000000000000003E-3</v>
      </c>
      <c r="C921" s="577">
        <v>-9.0200000000000002E-2</v>
      </c>
      <c r="D921" s="577">
        <v>4.8999999999999998E-3</v>
      </c>
      <c r="E921" s="577">
        <v>5.6249999999999998E-3</v>
      </c>
      <c r="F921" s="577">
        <v>6.0000000000000001E-3</v>
      </c>
      <c r="G921" s="577">
        <v>5.8125000000000008E-3</v>
      </c>
      <c r="H921" s="577">
        <v>6.2723333333333329E-3</v>
      </c>
      <c r="I921" s="577">
        <f t="shared" si="156"/>
        <v>-1.23E-2</v>
      </c>
      <c r="J921" s="577">
        <f t="shared" si="149"/>
        <v>-1.3212500000000002E-2</v>
      </c>
      <c r="K921" s="577">
        <f t="shared" si="150"/>
        <v>-9.647233333333334E-2</v>
      </c>
      <c r="L921" s="585">
        <f t="shared" si="157"/>
        <v>-0.13842259087105857</v>
      </c>
      <c r="M921" s="585">
        <f t="shared" si="158"/>
        <v>5.8799999999999998E-2</v>
      </c>
      <c r="N921" s="585">
        <f t="shared" si="151"/>
        <v>6.9750000000000006E-2</v>
      </c>
      <c r="O921" s="586">
        <f t="shared" si="159"/>
        <v>-0.19722259087105856</v>
      </c>
      <c r="P921" s="585">
        <f t="shared" si="152"/>
        <v>-0.20817259087105858</v>
      </c>
      <c r="Q921" s="585">
        <f t="shared" si="153"/>
        <v>-0.3237647121502526</v>
      </c>
      <c r="R921" s="585">
        <f t="shared" si="154"/>
        <v>7.5268000000000002E-2</v>
      </c>
      <c r="S921" s="586">
        <f t="shared" si="155"/>
        <v>-0.3990327121502526</v>
      </c>
      <c r="U921" s="587"/>
      <c r="V921" s="587"/>
      <c r="W921" s="587"/>
      <c r="X921" s="587"/>
      <c r="Y921" s="587"/>
      <c r="Z921" s="587"/>
      <c r="AA921" s="587"/>
      <c r="AB921" s="587"/>
      <c r="AC921" s="587"/>
      <c r="AE921" s="587"/>
      <c r="AF921" s="587"/>
      <c r="AG921" s="587"/>
      <c r="AH921" s="587"/>
      <c r="AI921" s="587"/>
      <c r="AJ921" s="587"/>
      <c r="AK921" s="587"/>
      <c r="AL921" s="587"/>
      <c r="AM921" s="587"/>
      <c r="AO921" s="587"/>
      <c r="AP921" s="587"/>
      <c r="AQ921" s="587"/>
      <c r="AR921" s="587"/>
      <c r="AS921" s="587"/>
      <c r="AT921" s="587"/>
      <c r="AU921" s="587"/>
      <c r="AV921" s="587"/>
      <c r="AW921" s="587"/>
    </row>
    <row r="922" spans="1:49">
      <c r="A922" s="581">
        <v>37408</v>
      </c>
      <c r="B922" s="594">
        <v>-7.1199999999999999E-2</v>
      </c>
      <c r="C922" s="577">
        <v>-7.1000000000000008E-2</v>
      </c>
      <c r="D922" s="577">
        <v>4.4000000000000003E-3</v>
      </c>
      <c r="E922" s="577">
        <v>5.5333333333333337E-3</v>
      </c>
      <c r="F922" s="577">
        <v>5.8999999999999999E-3</v>
      </c>
      <c r="G922" s="577">
        <v>5.7166666666666668E-3</v>
      </c>
      <c r="H922" s="577">
        <v>6.1804166666666674E-3</v>
      </c>
      <c r="I922" s="577">
        <f t="shared" si="156"/>
        <v>-7.5600000000000001E-2</v>
      </c>
      <c r="J922" s="577">
        <f t="shared" si="149"/>
        <v>-7.6916666666666661E-2</v>
      </c>
      <c r="K922" s="577">
        <f t="shared" si="150"/>
        <v>-7.7180416666666668E-2</v>
      </c>
      <c r="L922" s="585">
        <f t="shared" si="157"/>
        <v>-0.1798369400441111</v>
      </c>
      <c r="M922" s="585">
        <f t="shared" si="158"/>
        <v>5.28E-2</v>
      </c>
      <c r="N922" s="585">
        <f t="shared" si="151"/>
        <v>6.8599999999999994E-2</v>
      </c>
      <c r="O922" s="586">
        <f t="shared" si="159"/>
        <v>-0.23263694004411112</v>
      </c>
      <c r="P922" s="585">
        <f t="shared" si="152"/>
        <v>-0.2484369400441111</v>
      </c>
      <c r="Q922" s="585">
        <f t="shared" si="153"/>
        <v>-0.31781672015157447</v>
      </c>
      <c r="R922" s="585">
        <f t="shared" si="154"/>
        <v>7.4165000000000009E-2</v>
      </c>
      <c r="S922" s="586">
        <f t="shared" si="155"/>
        <v>-0.39198172015157451</v>
      </c>
      <c r="U922" s="587"/>
      <c r="V922" s="587"/>
      <c r="W922" s="587"/>
      <c r="X922" s="587"/>
      <c r="Y922" s="587"/>
      <c r="Z922" s="587"/>
      <c r="AA922" s="587"/>
      <c r="AB922" s="587"/>
      <c r="AC922" s="587"/>
      <c r="AE922" s="587"/>
      <c r="AF922" s="587"/>
      <c r="AG922" s="587"/>
      <c r="AH922" s="587"/>
      <c r="AI922" s="587"/>
      <c r="AJ922" s="587"/>
      <c r="AK922" s="587"/>
      <c r="AL922" s="587"/>
      <c r="AM922" s="587"/>
      <c r="AO922" s="587"/>
      <c r="AP922" s="587"/>
      <c r="AQ922" s="587"/>
      <c r="AR922" s="587"/>
      <c r="AS922" s="587"/>
      <c r="AT922" s="587"/>
      <c r="AU922" s="587"/>
      <c r="AV922" s="587"/>
      <c r="AW922" s="587"/>
    </row>
    <row r="923" spans="1:49">
      <c r="A923" s="581">
        <v>37438</v>
      </c>
      <c r="B923" s="594">
        <v>-7.8E-2</v>
      </c>
      <c r="C923" s="577">
        <v>-0.13799999999999998</v>
      </c>
      <c r="D923" s="577">
        <v>5.1000000000000004E-3</v>
      </c>
      <c r="E923" s="577">
        <v>5.4416666666666667E-3</v>
      </c>
      <c r="F923" s="577">
        <v>5.816666666666667E-3</v>
      </c>
      <c r="G923" s="577">
        <v>5.6291666666666677E-3</v>
      </c>
      <c r="H923" s="577">
        <v>6.1008333333333331E-3</v>
      </c>
      <c r="I923" s="577">
        <f t="shared" si="156"/>
        <v>-8.3100000000000007E-2</v>
      </c>
      <c r="J923" s="577">
        <f t="shared" si="149"/>
        <v>-8.3629166666666671E-2</v>
      </c>
      <c r="K923" s="577">
        <f t="shared" si="150"/>
        <v>-0.14410083333333332</v>
      </c>
      <c r="L923" s="585">
        <f t="shared" si="157"/>
        <v>-0.23632565009156781</v>
      </c>
      <c r="M923" s="585">
        <f t="shared" si="158"/>
        <v>6.1200000000000004E-2</v>
      </c>
      <c r="N923" s="585">
        <f t="shared" si="151"/>
        <v>6.7550000000000013E-2</v>
      </c>
      <c r="O923" s="586">
        <f t="shared" si="159"/>
        <v>-0.29752565009156784</v>
      </c>
      <c r="P923" s="585">
        <f t="shared" si="152"/>
        <v>-0.30387565009156781</v>
      </c>
      <c r="Q923" s="585">
        <f t="shared" si="153"/>
        <v>-0.38437815407313347</v>
      </c>
      <c r="R923" s="585">
        <f t="shared" si="154"/>
        <v>7.3209999999999997E-2</v>
      </c>
      <c r="S923" s="586">
        <f t="shared" si="155"/>
        <v>-0.45758815407313347</v>
      </c>
      <c r="U923" s="587"/>
      <c r="V923" s="587"/>
      <c r="W923" s="587"/>
      <c r="X923" s="587"/>
      <c r="Y923" s="587"/>
      <c r="Z923" s="587"/>
      <c r="AA923" s="587"/>
      <c r="AB923" s="587"/>
      <c r="AC923" s="587"/>
      <c r="AE923" s="587"/>
      <c r="AF923" s="587"/>
      <c r="AG923" s="587"/>
      <c r="AH923" s="587"/>
      <c r="AI923" s="587"/>
      <c r="AJ923" s="587"/>
      <c r="AK923" s="587"/>
      <c r="AL923" s="587"/>
      <c r="AM923" s="587"/>
      <c r="AO923" s="587"/>
      <c r="AP923" s="587"/>
      <c r="AQ923" s="587"/>
      <c r="AR923" s="587"/>
      <c r="AS923" s="587"/>
      <c r="AT923" s="587"/>
      <c r="AU923" s="587"/>
      <c r="AV923" s="587"/>
      <c r="AW923" s="587"/>
    </row>
    <row r="924" spans="1:49">
      <c r="A924" s="581">
        <v>37469</v>
      </c>
      <c r="B924" s="594">
        <v>6.6E-3</v>
      </c>
      <c r="C924" s="577">
        <v>3.5000000000000003E-2</v>
      </c>
      <c r="D924" s="577">
        <v>4.4000000000000003E-3</v>
      </c>
      <c r="E924" s="577">
        <v>5.3083333333333342E-3</v>
      </c>
      <c r="F924" s="577">
        <v>5.6999999999999993E-3</v>
      </c>
      <c r="G924" s="577">
        <v>5.5041666666666668E-3</v>
      </c>
      <c r="H924" s="577">
        <v>5.9787500000000006E-3</v>
      </c>
      <c r="I924" s="577">
        <f t="shared" si="156"/>
        <v>2.1999999999999997E-3</v>
      </c>
      <c r="J924" s="577">
        <f t="shared" si="149"/>
        <v>1.0958333333333332E-3</v>
      </c>
      <c r="K924" s="577">
        <f t="shared" si="150"/>
        <v>2.9021250000000002E-2</v>
      </c>
      <c r="L924" s="585">
        <f t="shared" si="157"/>
        <v>-0.17995028737163654</v>
      </c>
      <c r="M924" s="585">
        <f t="shared" si="158"/>
        <v>5.28E-2</v>
      </c>
      <c r="N924" s="585">
        <f t="shared" si="151"/>
        <v>6.6049999999999998E-2</v>
      </c>
      <c r="O924" s="586">
        <f t="shared" si="159"/>
        <v>-0.23275028737163656</v>
      </c>
      <c r="P924" s="585">
        <f t="shared" si="152"/>
        <v>-0.24600028737163654</v>
      </c>
      <c r="Q924" s="585">
        <f t="shared" si="153"/>
        <v>-0.34380163693686228</v>
      </c>
      <c r="R924" s="585">
        <f t="shared" si="154"/>
        <v>7.1745000000000003E-2</v>
      </c>
      <c r="S924" s="586">
        <f t="shared" si="155"/>
        <v>-0.41554663693686228</v>
      </c>
      <c r="U924" s="587"/>
      <c r="V924" s="587"/>
      <c r="W924" s="587"/>
      <c r="X924" s="587"/>
      <c r="Y924" s="587"/>
      <c r="Z924" s="587"/>
      <c r="AA924" s="587"/>
      <c r="AB924" s="587"/>
      <c r="AC924" s="587"/>
      <c r="AE924" s="587"/>
      <c r="AF924" s="587"/>
      <c r="AG924" s="587"/>
      <c r="AH924" s="587"/>
      <c r="AI924" s="587"/>
      <c r="AJ924" s="587"/>
      <c r="AK924" s="587"/>
      <c r="AL924" s="587"/>
      <c r="AM924" s="587"/>
      <c r="AO924" s="587"/>
      <c r="AP924" s="587"/>
      <c r="AQ924" s="587"/>
      <c r="AR924" s="587"/>
      <c r="AS924" s="587"/>
      <c r="AT924" s="587"/>
      <c r="AU924" s="587"/>
      <c r="AV924" s="587"/>
      <c r="AW924" s="587"/>
    </row>
    <row r="925" spans="1:49">
      <c r="A925" s="581">
        <v>37500</v>
      </c>
      <c r="B925" s="594">
        <v>-0.1087</v>
      </c>
      <c r="C925" s="577">
        <v>-0.12830000000000003</v>
      </c>
      <c r="D925" s="577">
        <v>4.1999999999999997E-3</v>
      </c>
      <c r="E925" s="577">
        <v>5.1250000000000011E-3</v>
      </c>
      <c r="F925" s="577">
        <v>5.5249999999999995E-3</v>
      </c>
      <c r="G925" s="577">
        <v>5.3249999999999999E-3</v>
      </c>
      <c r="H925" s="577">
        <v>5.9062500000000009E-3</v>
      </c>
      <c r="I925" s="577">
        <f t="shared" si="156"/>
        <v>-0.1129</v>
      </c>
      <c r="J925" s="577">
        <f t="shared" ref="J925:J988" si="160">B925-G925</f>
        <v>-0.114025</v>
      </c>
      <c r="K925" s="577">
        <f t="shared" ref="K925:K988" si="161">$C925-H925</f>
        <v>-0.13420625000000003</v>
      </c>
      <c r="L925" s="585">
        <f t="shared" si="157"/>
        <v>-0.20484083021577415</v>
      </c>
      <c r="M925" s="585">
        <f t="shared" si="158"/>
        <v>5.04E-2</v>
      </c>
      <c r="N925" s="585">
        <f t="shared" si="151"/>
        <v>6.3899999999999998E-2</v>
      </c>
      <c r="O925" s="586">
        <f t="shared" si="159"/>
        <v>-0.25524083021577415</v>
      </c>
      <c r="P925" s="585">
        <f t="shared" si="152"/>
        <v>-0.26874083021577416</v>
      </c>
      <c r="Q925" s="585">
        <f t="shared" si="153"/>
        <v>-0.35351705121819943</v>
      </c>
      <c r="R925" s="585">
        <f t="shared" si="154"/>
        <v>7.0875000000000007E-2</v>
      </c>
      <c r="S925" s="586">
        <f t="shared" si="155"/>
        <v>-0.42439205121819945</v>
      </c>
      <c r="U925" s="587"/>
      <c r="V925" s="587"/>
      <c r="W925" s="587"/>
      <c r="X925" s="587"/>
      <c r="Y925" s="587"/>
      <c r="Z925" s="587"/>
      <c r="AA925" s="587"/>
      <c r="AB925" s="587"/>
      <c r="AC925" s="587"/>
      <c r="AE925" s="587"/>
      <c r="AF925" s="587"/>
      <c r="AG925" s="587"/>
      <c r="AH925" s="587"/>
      <c r="AI925" s="587"/>
      <c r="AJ925" s="587"/>
      <c r="AK925" s="587"/>
      <c r="AL925" s="587"/>
      <c r="AM925" s="587"/>
      <c r="AO925" s="587"/>
      <c r="AP925" s="587"/>
      <c r="AQ925" s="587"/>
      <c r="AR925" s="587"/>
      <c r="AS925" s="587"/>
      <c r="AT925" s="587"/>
      <c r="AU925" s="587"/>
      <c r="AV925" s="587"/>
      <c r="AW925" s="587"/>
    </row>
    <row r="926" spans="1:49">
      <c r="A926" s="581">
        <v>37530</v>
      </c>
      <c r="B926" s="594">
        <v>8.7999999999999995E-2</v>
      </c>
      <c r="C926" s="577">
        <v>-1.7299999999999999E-2</v>
      </c>
      <c r="D926" s="577">
        <v>4.0000000000000001E-3</v>
      </c>
      <c r="E926" s="577">
        <v>5.2749999999999993E-3</v>
      </c>
      <c r="F926" s="577">
        <v>5.6166666666666665E-3</v>
      </c>
      <c r="G926" s="577">
        <v>5.4458333333333329E-3</v>
      </c>
      <c r="H926" s="577">
        <v>6.0162499999999999E-3</v>
      </c>
      <c r="I926" s="577">
        <f t="shared" si="156"/>
        <v>8.3999999999999991E-2</v>
      </c>
      <c r="J926" s="577">
        <f t="shared" si="160"/>
        <v>8.2554166666666665E-2</v>
      </c>
      <c r="K926" s="577">
        <f t="shared" si="161"/>
        <v>-2.331625E-2</v>
      </c>
      <c r="L926" s="585">
        <f t="shared" si="157"/>
        <v>-0.15108117287289002</v>
      </c>
      <c r="M926" s="585">
        <f t="shared" si="158"/>
        <v>4.8000000000000001E-2</v>
      </c>
      <c r="N926" s="585">
        <f t="shared" si="151"/>
        <v>6.5349999999999991E-2</v>
      </c>
      <c r="O926" s="586">
        <f t="shared" si="159"/>
        <v>-0.19908117287289001</v>
      </c>
      <c r="P926" s="585">
        <f t="shared" si="152"/>
        <v>-0.21643117287289002</v>
      </c>
      <c r="Q926" s="585">
        <f t="shared" si="153"/>
        <v>-0.36361935914266708</v>
      </c>
      <c r="R926" s="585">
        <f t="shared" si="154"/>
        <v>7.2194999999999995E-2</v>
      </c>
      <c r="S926" s="586">
        <f t="shared" si="155"/>
        <v>-0.43581435914266708</v>
      </c>
      <c r="U926" s="587"/>
      <c r="V926" s="587"/>
      <c r="W926" s="587"/>
      <c r="X926" s="587"/>
      <c r="Y926" s="587"/>
      <c r="Z926" s="587"/>
      <c r="AA926" s="587"/>
      <c r="AB926" s="587"/>
      <c r="AC926" s="587"/>
      <c r="AE926" s="587"/>
      <c r="AF926" s="587"/>
      <c r="AG926" s="587"/>
      <c r="AH926" s="587"/>
      <c r="AI926" s="587"/>
      <c r="AJ926" s="587"/>
      <c r="AK926" s="587"/>
      <c r="AL926" s="587"/>
      <c r="AM926" s="587"/>
      <c r="AO926" s="587"/>
      <c r="AP926" s="587"/>
      <c r="AQ926" s="587"/>
      <c r="AR926" s="587"/>
      <c r="AS926" s="587"/>
      <c r="AT926" s="587"/>
      <c r="AU926" s="587"/>
      <c r="AV926" s="587"/>
      <c r="AW926" s="587"/>
    </row>
    <row r="927" spans="1:49">
      <c r="A927" s="581">
        <v>37561</v>
      </c>
      <c r="B927" s="594">
        <v>5.8900000000000001E-2</v>
      </c>
      <c r="C927" s="577">
        <v>2.4900000000000002E-2</v>
      </c>
      <c r="D927" s="577">
        <v>4.0000000000000001E-3</v>
      </c>
      <c r="E927" s="577">
        <v>5.2583333333333327E-3</v>
      </c>
      <c r="F927" s="577">
        <v>5.5916666666666667E-3</v>
      </c>
      <c r="G927" s="577">
        <v>5.4250000000000001E-3</v>
      </c>
      <c r="H927" s="577">
        <v>5.9523333333333338E-3</v>
      </c>
      <c r="I927" s="577">
        <f t="shared" si="156"/>
        <v>5.4900000000000004E-2</v>
      </c>
      <c r="J927" s="577">
        <f t="shared" si="160"/>
        <v>5.3475000000000002E-2</v>
      </c>
      <c r="K927" s="577">
        <f t="shared" si="161"/>
        <v>1.8947666666666668E-2</v>
      </c>
      <c r="L927" s="585">
        <f t="shared" si="157"/>
        <v>-0.16511549545379689</v>
      </c>
      <c r="M927" s="585">
        <f t="shared" si="158"/>
        <v>4.8000000000000001E-2</v>
      </c>
      <c r="N927" s="585">
        <f t="shared" si="151"/>
        <v>6.5100000000000005E-2</v>
      </c>
      <c r="O927" s="586">
        <f t="shared" si="159"/>
        <v>-0.21311549545379688</v>
      </c>
      <c r="P927" s="585">
        <f t="shared" si="152"/>
        <v>-0.23021549545379688</v>
      </c>
      <c r="Q927" s="585">
        <f t="shared" si="153"/>
        <v>-0.3096671054035981</v>
      </c>
      <c r="R927" s="585">
        <f t="shared" si="154"/>
        <v>7.1428000000000005E-2</v>
      </c>
      <c r="S927" s="586">
        <f t="shared" si="155"/>
        <v>-0.38109510540359809</v>
      </c>
      <c r="U927" s="587"/>
      <c r="V927" s="587"/>
      <c r="W927" s="587"/>
      <c r="X927" s="587"/>
      <c r="Y927" s="587"/>
      <c r="Z927" s="587"/>
      <c r="AA927" s="587"/>
      <c r="AB927" s="587"/>
      <c r="AC927" s="587"/>
      <c r="AE927" s="587"/>
      <c r="AF927" s="587"/>
      <c r="AG927" s="587"/>
      <c r="AH927" s="587"/>
      <c r="AI927" s="587"/>
      <c r="AJ927" s="587"/>
      <c r="AK927" s="587"/>
      <c r="AL927" s="587"/>
      <c r="AM927" s="587"/>
      <c r="AO927" s="587"/>
      <c r="AP927" s="587"/>
      <c r="AQ927" s="587"/>
      <c r="AR927" s="587"/>
      <c r="AS927" s="587"/>
      <c r="AT927" s="587"/>
      <c r="AU927" s="587"/>
      <c r="AV927" s="587"/>
      <c r="AW927" s="587"/>
    </row>
    <row r="928" spans="1:49">
      <c r="A928" s="581">
        <v>37591</v>
      </c>
      <c r="B928" s="594">
        <v>-5.8700000000000002E-2</v>
      </c>
      <c r="C928" s="577">
        <v>4.1599999999999998E-2</v>
      </c>
      <c r="D928" s="577">
        <v>4.4999999999999997E-3</v>
      </c>
      <c r="E928" s="577">
        <v>5.1749999999999999E-3</v>
      </c>
      <c r="F928" s="577">
        <v>5.5249999999999995E-3</v>
      </c>
      <c r="G928" s="577">
        <v>5.3499999999999989E-3</v>
      </c>
      <c r="H928" s="577">
        <v>5.896416666666667E-3</v>
      </c>
      <c r="I928" s="577">
        <f t="shared" si="156"/>
        <v>-6.3200000000000006E-2</v>
      </c>
      <c r="J928" s="577">
        <f t="shared" si="160"/>
        <v>-6.4049999999999996E-2</v>
      </c>
      <c r="K928" s="577">
        <f t="shared" si="161"/>
        <v>3.570358333333333E-2</v>
      </c>
      <c r="L928" s="585">
        <f t="shared" si="157"/>
        <v>-0.22097860415410286</v>
      </c>
      <c r="M928" s="585">
        <f t="shared" si="158"/>
        <v>5.3999999999999992E-2</v>
      </c>
      <c r="N928" s="585">
        <f t="shared" si="151"/>
        <v>6.4199999999999979E-2</v>
      </c>
      <c r="O928" s="586">
        <f t="shared" si="159"/>
        <v>-0.27497860415410286</v>
      </c>
      <c r="P928" s="585">
        <f t="shared" si="152"/>
        <v>-0.28517860415410284</v>
      </c>
      <c r="Q928" s="585">
        <f t="shared" si="153"/>
        <v>-0.29917081577815585</v>
      </c>
      <c r="R928" s="585">
        <f t="shared" si="154"/>
        <v>7.0757E-2</v>
      </c>
      <c r="S928" s="586">
        <f t="shared" si="155"/>
        <v>-0.36992781577815587</v>
      </c>
      <c r="U928" s="587"/>
      <c r="V928" s="587"/>
      <c r="W928" s="587"/>
      <c r="X928" s="587"/>
      <c r="Y928" s="587"/>
      <c r="Z928" s="587"/>
      <c r="AA928" s="587"/>
      <c r="AB928" s="587"/>
      <c r="AC928" s="587"/>
      <c r="AE928" s="587"/>
      <c r="AF928" s="587"/>
      <c r="AG928" s="587"/>
      <c r="AH928" s="587"/>
      <c r="AI928" s="587"/>
      <c r="AJ928" s="587"/>
      <c r="AK928" s="587"/>
      <c r="AL928" s="587"/>
      <c r="AM928" s="587"/>
      <c r="AO928" s="587"/>
      <c r="AP928" s="587"/>
      <c r="AQ928" s="587"/>
      <c r="AR928" s="587"/>
      <c r="AS928" s="587"/>
      <c r="AT928" s="587"/>
      <c r="AU928" s="587"/>
      <c r="AV928" s="587"/>
      <c r="AW928" s="587"/>
    </row>
    <row r="929" spans="1:49">
      <c r="A929" s="581">
        <v>37622</v>
      </c>
      <c r="B929" s="594">
        <v>-2.6200000000000001E-2</v>
      </c>
      <c r="C929" s="577">
        <v>-2.9200000000000004E-2</v>
      </c>
      <c r="D929" s="577">
        <v>4.1000000000000003E-3</v>
      </c>
      <c r="E929" s="577">
        <v>5.1416666666666668E-3</v>
      </c>
      <c r="F929" s="577">
        <v>5.4916666666666673E-3</v>
      </c>
      <c r="G929" s="577">
        <v>5.3166666666666675E-3</v>
      </c>
      <c r="H929" s="577">
        <v>5.886916666666667E-3</v>
      </c>
      <c r="I929" s="577">
        <f t="shared" si="156"/>
        <v>-3.0300000000000001E-2</v>
      </c>
      <c r="J929" s="577">
        <f t="shared" si="160"/>
        <v>-3.1516666666666665E-2</v>
      </c>
      <c r="K929" s="577">
        <f t="shared" si="161"/>
        <v>-3.5086916666666669E-2</v>
      </c>
      <c r="L929" s="585">
        <f t="shared" si="157"/>
        <v>-0.23014914220140603</v>
      </c>
      <c r="M929" s="585">
        <f t="shared" si="158"/>
        <v>4.9200000000000008E-2</v>
      </c>
      <c r="N929" s="585">
        <f t="shared" si="151"/>
        <v>6.3800000000000009E-2</v>
      </c>
      <c r="O929" s="586">
        <f t="shared" si="159"/>
        <v>-0.27934914220140605</v>
      </c>
      <c r="P929" s="585">
        <f t="shared" si="152"/>
        <v>-0.29394914220140606</v>
      </c>
      <c r="Q929" s="585">
        <f t="shared" si="153"/>
        <v>-0.27889245146521846</v>
      </c>
      <c r="R929" s="585">
        <f t="shared" si="154"/>
        <v>7.0643000000000011E-2</v>
      </c>
      <c r="S929" s="586">
        <f t="shared" si="155"/>
        <v>-0.34953545146521847</v>
      </c>
      <c r="U929" s="587"/>
      <c r="V929" s="587"/>
      <c r="W929" s="587"/>
      <c r="X929" s="587"/>
      <c r="Y929" s="587"/>
      <c r="Z929" s="587"/>
      <c r="AA929" s="587"/>
      <c r="AB929" s="587"/>
      <c r="AC929" s="587"/>
      <c r="AE929" s="587"/>
      <c r="AF929" s="587"/>
      <c r="AG929" s="587"/>
      <c r="AH929" s="587"/>
      <c r="AI929" s="587"/>
      <c r="AJ929" s="587"/>
      <c r="AK929" s="587"/>
      <c r="AL929" s="587"/>
      <c r="AM929" s="587"/>
      <c r="AO929" s="587"/>
      <c r="AP929" s="587"/>
      <c r="AQ929" s="587"/>
      <c r="AR929" s="587"/>
      <c r="AS929" s="587"/>
      <c r="AT929" s="587"/>
      <c r="AU929" s="587"/>
      <c r="AV929" s="587"/>
      <c r="AW929" s="587"/>
    </row>
    <row r="930" spans="1:49">
      <c r="A930" s="581">
        <v>37653</v>
      </c>
      <c r="B930" s="594">
        <v>-1.4999999999999999E-2</v>
      </c>
      <c r="C930" s="577">
        <v>-4.8999999999999995E-2</v>
      </c>
      <c r="D930" s="577">
        <v>3.8E-3</v>
      </c>
      <c r="E930" s="577">
        <v>4.9583333333333337E-3</v>
      </c>
      <c r="F930" s="577">
        <v>5.2833333333333335E-3</v>
      </c>
      <c r="G930" s="577">
        <v>5.1208333333333331E-3</v>
      </c>
      <c r="H930" s="577">
        <v>5.7775833333333325E-3</v>
      </c>
      <c r="I930" s="577">
        <f t="shared" si="156"/>
        <v>-1.8800000000000001E-2</v>
      </c>
      <c r="J930" s="577">
        <f t="shared" si="160"/>
        <v>-2.0120833333333331E-2</v>
      </c>
      <c r="K930" s="577">
        <f t="shared" si="161"/>
        <v>-5.4777583333333324E-2</v>
      </c>
      <c r="L930" s="585">
        <f t="shared" si="157"/>
        <v>-0.22677363624797076</v>
      </c>
      <c r="M930" s="585">
        <f t="shared" si="158"/>
        <v>4.5600000000000002E-2</v>
      </c>
      <c r="N930" s="585">
        <f t="shared" si="151"/>
        <v>6.1449999999999998E-2</v>
      </c>
      <c r="O930" s="586">
        <f t="shared" si="159"/>
        <v>-0.27237363624797073</v>
      </c>
      <c r="P930" s="585">
        <f t="shared" si="152"/>
        <v>-0.28822363624797076</v>
      </c>
      <c r="Q930" s="585">
        <f t="shared" si="153"/>
        <v>-0.29772321694154924</v>
      </c>
      <c r="R930" s="585">
        <f t="shared" si="154"/>
        <v>6.933099999999999E-2</v>
      </c>
      <c r="S930" s="586">
        <f t="shared" si="155"/>
        <v>-0.36705421694154922</v>
      </c>
      <c r="U930" s="587"/>
      <c r="V930" s="587"/>
      <c r="W930" s="587"/>
      <c r="X930" s="587"/>
      <c r="Y930" s="587"/>
      <c r="Z930" s="587"/>
      <c r="AA930" s="587"/>
      <c r="AB930" s="587"/>
      <c r="AC930" s="587"/>
      <c r="AE930" s="587"/>
      <c r="AF930" s="587"/>
      <c r="AG930" s="587"/>
      <c r="AH930" s="587"/>
      <c r="AI930" s="587"/>
      <c r="AJ930" s="587"/>
      <c r="AK930" s="587"/>
      <c r="AL930" s="587"/>
      <c r="AM930" s="587"/>
      <c r="AO930" s="587"/>
      <c r="AP930" s="587"/>
      <c r="AQ930" s="587"/>
      <c r="AR930" s="587"/>
      <c r="AS930" s="587"/>
      <c r="AT930" s="587"/>
      <c r="AU930" s="587"/>
      <c r="AV930" s="587"/>
      <c r="AW930" s="587"/>
    </row>
    <row r="931" spans="1:49">
      <c r="A931" s="581">
        <v>37681</v>
      </c>
      <c r="B931" s="594">
        <v>9.7000000000000003E-3</v>
      </c>
      <c r="C931" s="577">
        <v>5.050000000000001E-2</v>
      </c>
      <c r="D931" s="577">
        <v>4.0000000000000001E-3</v>
      </c>
      <c r="E931" s="577">
        <v>4.9083333333333331E-3</v>
      </c>
      <c r="F931" s="577">
        <v>5.2333333333333329E-3</v>
      </c>
      <c r="G931" s="577">
        <v>5.0708333333333334E-3</v>
      </c>
      <c r="H931" s="577">
        <v>5.6626666666666665E-3</v>
      </c>
      <c r="I931" s="577">
        <f t="shared" si="156"/>
        <v>5.7000000000000002E-3</v>
      </c>
      <c r="J931" s="577">
        <f t="shared" si="160"/>
        <v>4.6291666666666668E-3</v>
      </c>
      <c r="K931" s="577">
        <f t="shared" si="161"/>
        <v>4.483733333333334E-2</v>
      </c>
      <c r="L931" s="585">
        <f t="shared" si="157"/>
        <v>-0.24756490026944489</v>
      </c>
      <c r="M931" s="585">
        <f t="shared" si="158"/>
        <v>4.8000000000000001E-2</v>
      </c>
      <c r="N931" s="585">
        <f t="shared" si="151"/>
        <v>6.0850000000000001E-2</v>
      </c>
      <c r="O931" s="586">
        <f t="shared" si="159"/>
        <v>-0.29556490026944487</v>
      </c>
      <c r="P931" s="585">
        <f t="shared" si="152"/>
        <v>-0.3084149002694449</v>
      </c>
      <c r="Q931" s="585">
        <f t="shared" si="153"/>
        <v>-0.34265191071647272</v>
      </c>
      <c r="R931" s="585">
        <f t="shared" si="154"/>
        <v>6.7951999999999999E-2</v>
      </c>
      <c r="S931" s="586">
        <f t="shared" si="155"/>
        <v>-0.41060391071647273</v>
      </c>
      <c r="U931" s="587"/>
      <c r="V931" s="587"/>
      <c r="W931" s="587"/>
      <c r="X931" s="587"/>
      <c r="Y931" s="587"/>
      <c r="Z931" s="587"/>
      <c r="AA931" s="587"/>
      <c r="AB931" s="587"/>
      <c r="AC931" s="587"/>
      <c r="AE931" s="587"/>
      <c r="AF931" s="587"/>
      <c r="AG931" s="587"/>
      <c r="AH931" s="587"/>
      <c r="AI931" s="587"/>
      <c r="AJ931" s="587"/>
      <c r="AK931" s="587"/>
      <c r="AL931" s="587"/>
      <c r="AM931" s="587"/>
      <c r="AO931" s="587"/>
      <c r="AP931" s="587"/>
      <c r="AQ931" s="587"/>
      <c r="AR931" s="587"/>
      <c r="AS931" s="587"/>
      <c r="AT931" s="587"/>
      <c r="AU931" s="587"/>
      <c r="AV931" s="587"/>
      <c r="AW931" s="587"/>
    </row>
    <row r="932" spans="1:49">
      <c r="A932" s="581">
        <v>37712</v>
      </c>
      <c r="B932" s="594">
        <v>8.2400000000000001E-2</v>
      </c>
      <c r="C932" s="577">
        <v>8.8500000000000009E-2</v>
      </c>
      <c r="D932" s="577">
        <v>4.0000000000000001E-3</v>
      </c>
      <c r="E932" s="577">
        <v>4.783333333333333E-3</v>
      </c>
      <c r="F932" s="577">
        <v>5.1833333333333332E-3</v>
      </c>
      <c r="G932" s="577">
        <v>4.9833333333333327E-3</v>
      </c>
      <c r="H932" s="577">
        <v>5.5400833333333335E-3</v>
      </c>
      <c r="I932" s="577">
        <f t="shared" si="156"/>
        <v>7.8399999999999997E-2</v>
      </c>
      <c r="J932" s="577">
        <f t="shared" si="160"/>
        <v>7.7416666666666661E-2</v>
      </c>
      <c r="K932" s="577">
        <f t="shared" si="161"/>
        <v>8.2959916666666675E-2</v>
      </c>
      <c r="L932" s="585">
        <f t="shared" si="157"/>
        <v>-0.13302559937369318</v>
      </c>
      <c r="M932" s="585">
        <f t="shared" si="158"/>
        <v>4.8000000000000001E-2</v>
      </c>
      <c r="N932" s="585">
        <f t="shared" si="151"/>
        <v>5.9799999999999992E-2</v>
      </c>
      <c r="O932" s="586">
        <f t="shared" si="159"/>
        <v>-0.18102559937369317</v>
      </c>
      <c r="P932" s="585">
        <f t="shared" si="152"/>
        <v>-0.19282559937369317</v>
      </c>
      <c r="Q932" s="585">
        <f t="shared" si="153"/>
        <v>-0.2720282885490698</v>
      </c>
      <c r="R932" s="585">
        <f t="shared" si="154"/>
        <v>6.6480999999999998E-2</v>
      </c>
      <c r="S932" s="586">
        <f t="shared" si="155"/>
        <v>-0.33850928854906981</v>
      </c>
      <c r="U932" s="587"/>
      <c r="V932" s="587"/>
      <c r="W932" s="587"/>
      <c r="X932" s="587"/>
      <c r="Y932" s="587"/>
      <c r="Z932" s="587"/>
      <c r="AA932" s="587"/>
      <c r="AB932" s="587"/>
      <c r="AC932" s="587"/>
      <c r="AE932" s="587"/>
      <c r="AF932" s="587"/>
      <c r="AG932" s="587"/>
      <c r="AH932" s="587"/>
      <c r="AI932" s="587"/>
      <c r="AJ932" s="587"/>
      <c r="AK932" s="587"/>
      <c r="AL932" s="587"/>
      <c r="AM932" s="587"/>
      <c r="AO932" s="587"/>
      <c r="AP932" s="587"/>
      <c r="AQ932" s="587"/>
      <c r="AR932" s="587"/>
      <c r="AS932" s="587"/>
      <c r="AT932" s="587"/>
      <c r="AU932" s="587"/>
      <c r="AV932" s="587"/>
      <c r="AW932" s="587"/>
    </row>
    <row r="933" spans="1:49">
      <c r="A933" s="581">
        <v>37742</v>
      </c>
      <c r="B933" s="594">
        <v>5.2699999999999997E-2</v>
      </c>
      <c r="C933" s="577">
        <v>0.1021</v>
      </c>
      <c r="D933" s="577">
        <v>3.8999999999999994E-3</v>
      </c>
      <c r="E933" s="577">
        <v>4.3499999999999997E-3</v>
      </c>
      <c r="F933" s="577">
        <v>4.875E-3</v>
      </c>
      <c r="G933" s="577">
        <v>4.6125000000000003E-3</v>
      </c>
      <c r="H933" s="577">
        <v>5.3103333333333336E-3</v>
      </c>
      <c r="I933" s="577">
        <f t="shared" si="156"/>
        <v>4.8799999999999996E-2</v>
      </c>
      <c r="J933" s="577">
        <f t="shared" si="160"/>
        <v>4.8087499999999998E-2</v>
      </c>
      <c r="K933" s="577">
        <f t="shared" si="161"/>
        <v>9.6789666666666663E-2</v>
      </c>
      <c r="L933" s="585">
        <f t="shared" si="157"/>
        <v>-8.0531985150802732E-2</v>
      </c>
      <c r="M933" s="585">
        <f t="shared" si="158"/>
        <v>4.6799999999999994E-2</v>
      </c>
      <c r="N933" s="585">
        <f t="shared" si="151"/>
        <v>5.5350000000000003E-2</v>
      </c>
      <c r="O933" s="586">
        <f t="shared" si="159"/>
        <v>-0.12733198515080274</v>
      </c>
      <c r="P933" s="585">
        <f t="shared" si="152"/>
        <v>-0.13588198515080274</v>
      </c>
      <c r="Q933" s="585">
        <f t="shared" si="153"/>
        <v>-0.11816044934043735</v>
      </c>
      <c r="R933" s="585">
        <f t="shared" si="154"/>
        <v>6.3724000000000003E-2</v>
      </c>
      <c r="S933" s="586">
        <f t="shared" si="155"/>
        <v>-0.18188444934043735</v>
      </c>
      <c r="U933" s="587"/>
      <c r="V933" s="587"/>
      <c r="W933" s="587"/>
      <c r="X933" s="587"/>
      <c r="Y933" s="587"/>
      <c r="Z933" s="587"/>
      <c r="AA933" s="587"/>
      <c r="AB933" s="587"/>
      <c r="AC933" s="587"/>
      <c r="AE933" s="587"/>
      <c r="AF933" s="587"/>
      <c r="AG933" s="587"/>
      <c r="AH933" s="587"/>
      <c r="AI933" s="587"/>
      <c r="AJ933" s="587"/>
      <c r="AK933" s="587"/>
      <c r="AL933" s="587"/>
      <c r="AM933" s="587"/>
      <c r="AO933" s="587"/>
      <c r="AP933" s="587"/>
      <c r="AQ933" s="587"/>
      <c r="AR933" s="587"/>
      <c r="AS933" s="587"/>
      <c r="AT933" s="587"/>
      <c r="AU933" s="587"/>
      <c r="AV933" s="587"/>
      <c r="AW933" s="587"/>
    </row>
    <row r="934" spans="1:49">
      <c r="A934" s="581">
        <v>37773</v>
      </c>
      <c r="B934" s="594">
        <v>1.2800000000000001E-2</v>
      </c>
      <c r="C934" s="577">
        <v>1.1900000000000001E-2</v>
      </c>
      <c r="D934" s="577">
        <v>3.5999999999999999E-3</v>
      </c>
      <c r="E934" s="577">
        <v>4.1416666666666659E-3</v>
      </c>
      <c r="F934" s="577">
        <v>4.7666666666666664E-3</v>
      </c>
      <c r="G934" s="577">
        <v>4.4541666666666662E-3</v>
      </c>
      <c r="H934" s="577">
        <v>5.1729999999999996E-3</v>
      </c>
      <c r="I934" s="577">
        <f t="shared" si="156"/>
        <v>9.1999999999999998E-3</v>
      </c>
      <c r="J934" s="577">
        <f t="shared" si="160"/>
        <v>8.3458333333333336E-3</v>
      </c>
      <c r="K934" s="577">
        <f t="shared" si="161"/>
        <v>6.7270000000000012E-3</v>
      </c>
      <c r="L934" s="585">
        <f t="shared" si="157"/>
        <v>2.6240368639824929E-3</v>
      </c>
      <c r="M934" s="585">
        <f t="shared" si="158"/>
        <v>4.3200000000000002E-2</v>
      </c>
      <c r="N934" s="585">
        <f t="shared" si="151"/>
        <v>5.3449999999999998E-2</v>
      </c>
      <c r="O934" s="586">
        <f t="shared" si="159"/>
        <v>-4.0575963136017509E-2</v>
      </c>
      <c r="P934" s="585">
        <f t="shared" si="152"/>
        <v>-5.0825963136017505E-2</v>
      </c>
      <c r="Q934" s="585">
        <f t="shared" si="153"/>
        <v>-3.9468846811182234E-2</v>
      </c>
      <c r="R934" s="585">
        <f t="shared" si="154"/>
        <v>6.2075999999999992E-2</v>
      </c>
      <c r="S934" s="586">
        <f t="shared" si="155"/>
        <v>-0.10154484681118223</v>
      </c>
      <c r="U934" s="587"/>
      <c r="V934" s="587"/>
      <c r="W934" s="587"/>
      <c r="X934" s="587"/>
      <c r="Y934" s="587"/>
      <c r="Z934" s="587"/>
      <c r="AA934" s="587"/>
      <c r="AB934" s="587"/>
      <c r="AC934" s="587"/>
      <c r="AE934" s="587"/>
      <c r="AF934" s="587"/>
      <c r="AG934" s="587"/>
      <c r="AH934" s="587"/>
      <c r="AI934" s="587"/>
      <c r="AJ934" s="587"/>
      <c r="AK934" s="587"/>
      <c r="AL934" s="587"/>
      <c r="AM934" s="587"/>
      <c r="AO934" s="587"/>
      <c r="AP934" s="587"/>
      <c r="AQ934" s="587"/>
      <c r="AR934" s="587"/>
      <c r="AS934" s="587"/>
      <c r="AT934" s="587"/>
      <c r="AU934" s="587"/>
      <c r="AV934" s="587"/>
      <c r="AW934" s="587"/>
    </row>
    <row r="935" spans="1:49">
      <c r="A935" s="581">
        <v>37803</v>
      </c>
      <c r="B935" s="594">
        <v>1.7600000000000001E-2</v>
      </c>
      <c r="C935" s="577">
        <v>-6.5000000000000002E-2</v>
      </c>
      <c r="D935" s="577">
        <v>3.8E-3</v>
      </c>
      <c r="E935" s="577">
        <v>4.5750000000000001E-3</v>
      </c>
      <c r="F935" s="577">
        <v>5.058333333333334E-3</v>
      </c>
      <c r="G935" s="577">
        <v>4.816666666666667E-3</v>
      </c>
      <c r="H935" s="577">
        <v>5.4568333333333326E-3</v>
      </c>
      <c r="I935" s="577">
        <f t="shared" si="156"/>
        <v>1.3800000000000002E-2</v>
      </c>
      <c r="J935" s="577">
        <f t="shared" si="160"/>
        <v>1.2783333333333334E-2</v>
      </c>
      <c r="K935" s="577">
        <f t="shared" si="161"/>
        <v>-7.045683333333333E-2</v>
      </c>
      <c r="L935" s="585">
        <f t="shared" si="157"/>
        <v>0.10658375261690756</v>
      </c>
      <c r="M935" s="585">
        <f t="shared" si="158"/>
        <v>4.5600000000000002E-2</v>
      </c>
      <c r="N935" s="585">
        <f t="shared" si="151"/>
        <v>5.7800000000000004E-2</v>
      </c>
      <c r="O935" s="586">
        <f t="shared" si="159"/>
        <v>6.0983752616907555E-2</v>
      </c>
      <c r="P935" s="585">
        <f t="shared" si="152"/>
        <v>4.8783752616907552E-2</v>
      </c>
      <c r="Q935" s="585">
        <f t="shared" si="153"/>
        <v>4.1875438783694374E-2</v>
      </c>
      <c r="R935" s="585">
        <f t="shared" si="154"/>
        <v>6.5481999999999985E-2</v>
      </c>
      <c r="S935" s="586">
        <f t="shared" si="155"/>
        <v>-2.360656121630561E-2</v>
      </c>
      <c r="U935" s="587"/>
      <c r="V935" s="587"/>
      <c r="W935" s="587"/>
      <c r="X935" s="587"/>
      <c r="Y935" s="587"/>
      <c r="Z935" s="587"/>
      <c r="AA935" s="587"/>
      <c r="AB935" s="587"/>
      <c r="AC935" s="587"/>
      <c r="AE935" s="587"/>
      <c r="AF935" s="587"/>
      <c r="AG935" s="587"/>
      <c r="AH935" s="587"/>
      <c r="AI935" s="587"/>
      <c r="AJ935" s="587"/>
      <c r="AK935" s="587"/>
      <c r="AL935" s="587"/>
      <c r="AM935" s="587"/>
      <c r="AO935" s="587"/>
      <c r="AP935" s="587"/>
      <c r="AQ935" s="587"/>
      <c r="AR935" s="587"/>
      <c r="AS935" s="587"/>
      <c r="AT935" s="587"/>
      <c r="AU935" s="587"/>
      <c r="AV935" s="587"/>
      <c r="AW935" s="587"/>
    </row>
    <row r="936" spans="1:49">
      <c r="A936" s="581">
        <v>37834</v>
      </c>
      <c r="B936" s="594">
        <v>1.95E-2</v>
      </c>
      <c r="C936" s="577">
        <v>1.7499999999999998E-2</v>
      </c>
      <c r="D936" s="577">
        <v>4.1999999999999997E-3</v>
      </c>
      <c r="E936" s="577">
        <v>4.8916666666666666E-3</v>
      </c>
      <c r="F936" s="577">
        <v>5.2583333333333327E-3</v>
      </c>
      <c r="G936" s="577">
        <v>5.0749999999999997E-3</v>
      </c>
      <c r="H936" s="577">
        <v>5.6591666666666674E-3</v>
      </c>
      <c r="I936" s="577">
        <f t="shared" si="156"/>
        <v>1.5300000000000001E-2</v>
      </c>
      <c r="J936" s="577">
        <f t="shared" si="160"/>
        <v>1.4425E-2</v>
      </c>
      <c r="K936" s="577">
        <f t="shared" si="161"/>
        <v>1.1840833333333332E-2</v>
      </c>
      <c r="L936" s="585">
        <f t="shared" si="157"/>
        <v>0.12076508622385984</v>
      </c>
      <c r="M936" s="585">
        <f t="shared" si="158"/>
        <v>5.04E-2</v>
      </c>
      <c r="N936" s="585">
        <f t="shared" ref="N936:N999" si="162">G936*12</f>
        <v>6.0899999999999996E-2</v>
      </c>
      <c r="O936" s="586">
        <f t="shared" si="159"/>
        <v>7.0365086223859841E-2</v>
      </c>
      <c r="P936" s="585">
        <f t="shared" ref="P936:P999" si="163">L936-N936</f>
        <v>5.9865086223859845E-2</v>
      </c>
      <c r="Q936" s="585">
        <f t="shared" ref="Q936:Q999" si="164">((1+C925)*(1+C926)*(1+C927)*(1+C928)*(1+C929)*(1+C930)*(1+C931)*(1+C932)*(1+C933)*(1+C934)*(1+C935)*(1+C936))-1</f>
        <v>2.4259187403294025E-2</v>
      </c>
      <c r="R936" s="585">
        <f t="shared" ref="R936:R999" si="165">H936*12</f>
        <v>6.7910000000000012E-2</v>
      </c>
      <c r="S936" s="586">
        <f t="shared" ref="S936:S999" si="166">Q936-R936</f>
        <v>-4.3650812596705987E-2</v>
      </c>
      <c r="U936" s="587"/>
      <c r="V936" s="587"/>
      <c r="W936" s="587"/>
      <c r="X936" s="587"/>
      <c r="Y936" s="587"/>
      <c r="Z936" s="587"/>
      <c r="AA936" s="587"/>
      <c r="AB936" s="587"/>
      <c r="AC936" s="587"/>
      <c r="AE936" s="587"/>
      <c r="AF936" s="587"/>
      <c r="AG936" s="587"/>
      <c r="AH936" s="587"/>
      <c r="AI936" s="587"/>
      <c r="AJ936" s="587"/>
      <c r="AK936" s="587"/>
      <c r="AL936" s="587"/>
      <c r="AM936" s="587"/>
      <c r="AO936" s="587"/>
      <c r="AP936" s="587"/>
      <c r="AQ936" s="587"/>
      <c r="AR936" s="587"/>
      <c r="AS936" s="587"/>
      <c r="AT936" s="587"/>
      <c r="AU936" s="587"/>
      <c r="AV936" s="587"/>
      <c r="AW936" s="587"/>
    </row>
    <row r="937" spans="1:49">
      <c r="A937" s="581">
        <v>37865</v>
      </c>
      <c r="B937" s="594">
        <v>-1.06E-2</v>
      </c>
      <c r="C937" s="577">
        <v>4.5699999999999991E-2</v>
      </c>
      <c r="D937" s="577">
        <v>4.5999999999999999E-3</v>
      </c>
      <c r="E937" s="577">
        <v>4.7666666666666664E-3</v>
      </c>
      <c r="F937" s="577">
        <v>5.1083333333333336E-3</v>
      </c>
      <c r="G937" s="577">
        <v>4.9375E-3</v>
      </c>
      <c r="H937" s="577">
        <v>5.4869166666666669E-3</v>
      </c>
      <c r="I937" s="577">
        <f t="shared" si="156"/>
        <v>-1.52E-2</v>
      </c>
      <c r="J937" s="577">
        <f t="shared" si="160"/>
        <v>-1.5537499999999999E-2</v>
      </c>
      <c r="K937" s="577">
        <f t="shared" si="161"/>
        <v>4.0213083333333323E-2</v>
      </c>
      <c r="L937" s="585">
        <f t="shared" si="157"/>
        <v>0.24412092035216748</v>
      </c>
      <c r="M937" s="585">
        <f t="shared" si="158"/>
        <v>5.5199999999999999E-2</v>
      </c>
      <c r="N937" s="585">
        <f t="shared" si="162"/>
        <v>5.9249999999999997E-2</v>
      </c>
      <c r="O937" s="586">
        <f t="shared" si="159"/>
        <v>0.18892092035216748</v>
      </c>
      <c r="P937" s="585">
        <f t="shared" si="163"/>
        <v>0.18487092035216748</v>
      </c>
      <c r="Q937" s="585">
        <f t="shared" si="164"/>
        <v>0.22871152032536957</v>
      </c>
      <c r="R937" s="585">
        <f t="shared" si="165"/>
        <v>6.5842999999999999E-2</v>
      </c>
      <c r="S937" s="586">
        <f t="shared" si="166"/>
        <v>0.16286852032536958</v>
      </c>
      <c r="U937" s="587"/>
      <c r="V937" s="587"/>
      <c r="W937" s="587"/>
      <c r="X937" s="587"/>
      <c r="Y937" s="587"/>
      <c r="Z937" s="587"/>
      <c r="AA937" s="587"/>
      <c r="AB937" s="587"/>
      <c r="AC937" s="587"/>
      <c r="AE937" s="587"/>
      <c r="AF937" s="587"/>
      <c r="AG937" s="587"/>
      <c r="AH937" s="587"/>
      <c r="AI937" s="587"/>
      <c r="AJ937" s="587"/>
      <c r="AK937" s="587"/>
      <c r="AL937" s="587"/>
      <c r="AM937" s="587"/>
      <c r="AO937" s="587"/>
      <c r="AP937" s="587"/>
      <c r="AQ937" s="587"/>
      <c r="AR937" s="587"/>
      <c r="AS937" s="587"/>
      <c r="AT937" s="587"/>
      <c r="AU937" s="587"/>
      <c r="AV937" s="587"/>
      <c r="AW937" s="587"/>
    </row>
    <row r="938" spans="1:49">
      <c r="A938" s="581">
        <v>37895</v>
      </c>
      <c r="B938" s="594">
        <v>5.6599999999999998E-2</v>
      </c>
      <c r="C938" s="577">
        <v>1.1199999999999998E-2</v>
      </c>
      <c r="D938" s="577">
        <v>4.1000000000000003E-3</v>
      </c>
      <c r="E938" s="577">
        <v>4.7500000000000007E-3</v>
      </c>
      <c r="F938" s="577">
        <v>5.0916666666666662E-3</v>
      </c>
      <c r="G938" s="577">
        <v>4.9208333333333335E-3</v>
      </c>
      <c r="H938" s="577">
        <v>5.3500000000000006E-3</v>
      </c>
      <c r="I938" s="577">
        <f t="shared" si="156"/>
        <v>5.2499999999999998E-2</v>
      </c>
      <c r="J938" s="577">
        <f t="shared" si="160"/>
        <v>5.1679166666666665E-2</v>
      </c>
      <c r="K938" s="577">
        <f t="shared" si="161"/>
        <v>5.8499999999999976E-3</v>
      </c>
      <c r="L938" s="585">
        <f t="shared" si="157"/>
        <v>0.20821522467288611</v>
      </c>
      <c r="M938" s="585">
        <f t="shared" si="158"/>
        <v>4.9200000000000008E-2</v>
      </c>
      <c r="N938" s="585">
        <f t="shared" si="162"/>
        <v>5.9050000000000005E-2</v>
      </c>
      <c r="O938" s="586">
        <f t="shared" si="159"/>
        <v>0.15901522467288609</v>
      </c>
      <c r="P938" s="585">
        <f t="shared" si="163"/>
        <v>0.14916522467288612</v>
      </c>
      <c r="Q938" s="585">
        <f t="shared" si="164"/>
        <v>0.26434627999696136</v>
      </c>
      <c r="R938" s="585">
        <f t="shared" si="165"/>
        <v>6.4200000000000007E-2</v>
      </c>
      <c r="S938" s="586">
        <f t="shared" si="166"/>
        <v>0.20014627999696136</v>
      </c>
      <c r="U938" s="587"/>
      <c r="V938" s="587"/>
      <c r="W938" s="587"/>
      <c r="X938" s="587"/>
      <c r="Y938" s="587"/>
      <c r="Z938" s="587"/>
      <c r="AA938" s="587"/>
      <c r="AB938" s="587"/>
      <c r="AC938" s="587"/>
      <c r="AE938" s="587"/>
      <c r="AF938" s="587"/>
      <c r="AG938" s="587"/>
      <c r="AH938" s="587"/>
      <c r="AI938" s="587"/>
      <c r="AJ938" s="587"/>
      <c r="AK938" s="587"/>
      <c r="AL938" s="587"/>
      <c r="AM938" s="587"/>
      <c r="AO938" s="587"/>
      <c r="AP938" s="587"/>
      <c r="AQ938" s="587"/>
      <c r="AR938" s="587"/>
      <c r="AS938" s="587"/>
      <c r="AT938" s="587"/>
      <c r="AU938" s="587"/>
      <c r="AV938" s="587"/>
      <c r="AW938" s="587"/>
    </row>
    <row r="939" spans="1:49">
      <c r="A939" s="581">
        <v>37926</v>
      </c>
      <c r="B939" s="594">
        <v>8.8000000000000005E-3</v>
      </c>
      <c r="C939" s="577">
        <v>-5.0000000000000001E-4</v>
      </c>
      <c r="D939" s="577">
        <v>3.8999999999999994E-3</v>
      </c>
      <c r="E939" s="577">
        <v>4.7083333333333335E-3</v>
      </c>
      <c r="F939" s="577">
        <v>5.0666666666666672E-3</v>
      </c>
      <c r="G939" s="577">
        <v>4.8875000000000004E-3</v>
      </c>
      <c r="H939" s="577">
        <v>5.3093333333333334E-3</v>
      </c>
      <c r="I939" s="577">
        <f t="shared" si="156"/>
        <v>4.9000000000000016E-3</v>
      </c>
      <c r="J939" s="577">
        <f t="shared" si="160"/>
        <v>3.9125000000000002E-3</v>
      </c>
      <c r="K939" s="577">
        <f t="shared" si="161"/>
        <v>-5.809333333333333E-3</v>
      </c>
      <c r="L939" s="585">
        <f t="shared" si="157"/>
        <v>0.15105063617906067</v>
      </c>
      <c r="M939" s="585">
        <f t="shared" si="158"/>
        <v>4.6799999999999994E-2</v>
      </c>
      <c r="N939" s="585">
        <f t="shared" si="162"/>
        <v>5.8650000000000008E-2</v>
      </c>
      <c r="O939" s="586">
        <f t="shared" si="159"/>
        <v>0.10425063617906068</v>
      </c>
      <c r="P939" s="585">
        <f t="shared" si="163"/>
        <v>9.2400636179060663E-2</v>
      </c>
      <c r="Q939" s="585">
        <f t="shared" si="164"/>
        <v>0.23301210543171358</v>
      </c>
      <c r="R939" s="585">
        <f t="shared" si="165"/>
        <v>6.3712000000000005E-2</v>
      </c>
      <c r="S939" s="586">
        <f t="shared" si="166"/>
        <v>0.16930010543171359</v>
      </c>
      <c r="U939" s="587"/>
      <c r="V939" s="587"/>
      <c r="W939" s="587"/>
      <c r="X939" s="587"/>
      <c r="Y939" s="587"/>
      <c r="Z939" s="587"/>
      <c r="AA939" s="587"/>
      <c r="AB939" s="587"/>
      <c r="AC939" s="587"/>
      <c r="AE939" s="587"/>
      <c r="AF939" s="587"/>
      <c r="AG939" s="587"/>
      <c r="AH939" s="587"/>
      <c r="AI939" s="587"/>
      <c r="AJ939" s="587"/>
      <c r="AK939" s="587"/>
      <c r="AL939" s="587"/>
      <c r="AM939" s="587"/>
      <c r="AO939" s="587"/>
      <c r="AP939" s="587"/>
      <c r="AQ939" s="587"/>
      <c r="AR939" s="587"/>
      <c r="AS939" s="587"/>
      <c r="AT939" s="587"/>
      <c r="AU939" s="587"/>
      <c r="AV939" s="587"/>
      <c r="AW939" s="587"/>
    </row>
    <row r="940" spans="1:49">
      <c r="A940" s="581">
        <v>37956</v>
      </c>
      <c r="B940" s="594">
        <v>5.2400000000000002E-2</v>
      </c>
      <c r="C940" s="577">
        <v>6.7499999999999991E-2</v>
      </c>
      <c r="D940" s="577">
        <v>4.7000000000000002E-3</v>
      </c>
      <c r="E940" s="577">
        <v>4.7083333333333335E-3</v>
      </c>
      <c r="F940" s="577">
        <v>5.0166666666666658E-3</v>
      </c>
      <c r="G940" s="577">
        <v>4.8624999999999996E-3</v>
      </c>
      <c r="H940" s="577">
        <v>5.2325000000000002E-3</v>
      </c>
      <c r="I940" s="577">
        <f t="shared" si="156"/>
        <v>4.7699999999999999E-2</v>
      </c>
      <c r="J940" s="577">
        <f t="shared" si="160"/>
        <v>4.7537500000000003E-2</v>
      </c>
      <c r="K940" s="577">
        <f t="shared" si="161"/>
        <v>6.226749999999999E-2</v>
      </c>
      <c r="L940" s="585">
        <f t="shared" si="157"/>
        <v>0.28690713854758698</v>
      </c>
      <c r="M940" s="585">
        <f t="shared" si="158"/>
        <v>5.6400000000000006E-2</v>
      </c>
      <c r="N940" s="585">
        <f t="shared" si="162"/>
        <v>5.8349999999999999E-2</v>
      </c>
      <c r="O940" s="586">
        <f t="shared" si="159"/>
        <v>0.23050713854758698</v>
      </c>
      <c r="P940" s="585">
        <f t="shared" si="163"/>
        <v>0.22855713854758697</v>
      </c>
      <c r="Q940" s="585">
        <f t="shared" si="164"/>
        <v>0.26367168063398005</v>
      </c>
      <c r="R940" s="585">
        <f t="shared" si="165"/>
        <v>6.2789999999999999E-2</v>
      </c>
      <c r="S940" s="586">
        <f t="shared" si="166"/>
        <v>0.20088168063398004</v>
      </c>
      <c r="U940" s="587"/>
      <c r="V940" s="587"/>
      <c r="W940" s="587"/>
      <c r="X940" s="587"/>
      <c r="Y940" s="587"/>
      <c r="Z940" s="587"/>
      <c r="AA940" s="587"/>
      <c r="AB940" s="587"/>
      <c r="AC940" s="587"/>
      <c r="AE940" s="587"/>
      <c r="AF940" s="587"/>
      <c r="AG940" s="587"/>
      <c r="AH940" s="587"/>
      <c r="AI940" s="587"/>
      <c r="AJ940" s="587"/>
      <c r="AK940" s="587"/>
      <c r="AL940" s="587"/>
      <c r="AM940" s="587"/>
      <c r="AO940" s="587"/>
      <c r="AP940" s="587"/>
      <c r="AQ940" s="587"/>
      <c r="AR940" s="587"/>
      <c r="AS940" s="587"/>
      <c r="AT940" s="587"/>
      <c r="AU940" s="587"/>
      <c r="AV940" s="587"/>
      <c r="AW940" s="587"/>
    </row>
    <row r="941" spans="1:49">
      <c r="A941" s="581">
        <v>37987</v>
      </c>
      <c r="B941" s="594">
        <v>1.84E-2</v>
      </c>
      <c r="C941" s="577">
        <v>2.1599999999999998E-2</v>
      </c>
      <c r="D941" s="577">
        <v>4.1999999999999997E-3</v>
      </c>
      <c r="E941" s="577">
        <v>4.6166666666666665E-3</v>
      </c>
      <c r="F941" s="577">
        <v>4.9249999999999997E-3</v>
      </c>
      <c r="G941" s="577">
        <v>4.7708333333333327E-3</v>
      </c>
      <c r="H941" s="577">
        <v>5.1280833333333335E-3</v>
      </c>
      <c r="I941" s="577">
        <f t="shared" si="156"/>
        <v>1.4200000000000001E-2</v>
      </c>
      <c r="J941" s="577">
        <f t="shared" si="160"/>
        <v>1.3629166666666668E-2</v>
      </c>
      <c r="K941" s="577">
        <f t="shared" si="161"/>
        <v>1.6471916666666662E-2</v>
      </c>
      <c r="L941" s="585">
        <f t="shared" si="157"/>
        <v>0.34584743263181572</v>
      </c>
      <c r="M941" s="585">
        <f t="shared" si="158"/>
        <v>5.04E-2</v>
      </c>
      <c r="N941" s="585">
        <f t="shared" si="162"/>
        <v>5.7249999999999995E-2</v>
      </c>
      <c r="O941" s="586">
        <f t="shared" si="159"/>
        <v>0.29544743263181572</v>
      </c>
      <c r="P941" s="585">
        <f t="shared" si="163"/>
        <v>0.2885974326318157</v>
      </c>
      <c r="Q941" s="585">
        <f t="shared" si="164"/>
        <v>0.32979706318054602</v>
      </c>
      <c r="R941" s="585">
        <f t="shared" si="165"/>
        <v>6.1537000000000001E-2</v>
      </c>
      <c r="S941" s="586">
        <f t="shared" si="166"/>
        <v>0.26826006318054602</v>
      </c>
      <c r="U941" s="587"/>
      <c r="V941" s="587"/>
      <c r="W941" s="587"/>
      <c r="X941" s="587"/>
      <c r="Y941" s="587"/>
      <c r="Z941" s="587"/>
      <c r="AA941" s="587"/>
      <c r="AB941" s="587"/>
      <c r="AC941" s="587"/>
      <c r="AE941" s="587"/>
      <c r="AF941" s="587"/>
      <c r="AG941" s="587"/>
      <c r="AH941" s="587"/>
      <c r="AI941" s="587"/>
      <c r="AJ941" s="587"/>
      <c r="AK941" s="587"/>
      <c r="AL941" s="587"/>
      <c r="AM941" s="587"/>
      <c r="AO941" s="587"/>
      <c r="AP941" s="587"/>
      <c r="AQ941" s="587"/>
      <c r="AR941" s="587"/>
      <c r="AS941" s="587"/>
      <c r="AT941" s="587"/>
      <c r="AU941" s="587"/>
      <c r="AV941" s="587"/>
      <c r="AW941" s="587"/>
    </row>
    <row r="942" spans="1:49">
      <c r="A942" s="581">
        <v>38018</v>
      </c>
      <c r="B942" s="594">
        <v>1.3899999999999999E-2</v>
      </c>
      <c r="C942" s="577">
        <v>1.8100000000000002E-2</v>
      </c>
      <c r="D942" s="577">
        <v>3.8E-3</v>
      </c>
      <c r="E942" s="577">
        <v>4.5833333333333334E-3</v>
      </c>
      <c r="F942" s="577">
        <v>4.8916666666666666E-3</v>
      </c>
      <c r="G942" s="577">
        <v>4.7375000000000004E-3</v>
      </c>
      <c r="H942" s="577">
        <v>5.1250000000000011E-3</v>
      </c>
      <c r="I942" s="577">
        <f t="shared" si="156"/>
        <v>1.01E-2</v>
      </c>
      <c r="J942" s="577">
        <f t="shared" si="160"/>
        <v>9.1624999999999988E-3</v>
      </c>
      <c r="K942" s="577">
        <f t="shared" si="161"/>
        <v>1.2975E-2</v>
      </c>
      <c r="L942" s="585">
        <f t="shared" si="157"/>
        <v>0.38533473293949094</v>
      </c>
      <c r="M942" s="585">
        <f t="shared" si="158"/>
        <v>4.5600000000000002E-2</v>
      </c>
      <c r="N942" s="585">
        <f t="shared" si="162"/>
        <v>5.6850000000000005E-2</v>
      </c>
      <c r="O942" s="586">
        <f t="shared" si="159"/>
        <v>0.33973473293949097</v>
      </c>
      <c r="P942" s="585">
        <f t="shared" si="163"/>
        <v>0.32848473293949093</v>
      </c>
      <c r="Q942" s="585">
        <f t="shared" si="164"/>
        <v>0.42362396427351645</v>
      </c>
      <c r="R942" s="585">
        <f t="shared" si="165"/>
        <v>6.1500000000000013E-2</v>
      </c>
      <c r="S942" s="586">
        <f t="shared" si="166"/>
        <v>0.36212396427351645</v>
      </c>
      <c r="U942" s="587"/>
      <c r="V942" s="587"/>
      <c r="W942" s="587"/>
      <c r="X942" s="587"/>
      <c r="Y942" s="587"/>
      <c r="Z942" s="587"/>
      <c r="AA942" s="587"/>
      <c r="AB942" s="587"/>
      <c r="AC942" s="587"/>
      <c r="AE942" s="587"/>
      <c r="AF942" s="587"/>
      <c r="AG942" s="587"/>
      <c r="AH942" s="587"/>
      <c r="AI942" s="587"/>
      <c r="AJ942" s="587"/>
      <c r="AK942" s="587"/>
      <c r="AL942" s="587"/>
      <c r="AM942" s="587"/>
      <c r="AO942" s="587"/>
      <c r="AP942" s="587"/>
      <c r="AQ942" s="587"/>
      <c r="AR942" s="587"/>
      <c r="AS942" s="587"/>
      <c r="AT942" s="587"/>
      <c r="AU942" s="587"/>
      <c r="AV942" s="587"/>
      <c r="AW942" s="587"/>
    </row>
    <row r="943" spans="1:49">
      <c r="A943" s="581">
        <v>38047</v>
      </c>
      <c r="B943" s="594">
        <v>-1.5100000000000001E-2</v>
      </c>
      <c r="C943" s="577">
        <v>1.04E-2</v>
      </c>
      <c r="D943" s="577">
        <v>4.3E-3</v>
      </c>
      <c r="E943" s="577">
        <v>4.4416666666666667E-3</v>
      </c>
      <c r="F943" s="577">
        <v>4.7500000000000007E-3</v>
      </c>
      <c r="G943" s="577">
        <v>4.5958333333333337E-3</v>
      </c>
      <c r="H943" s="577">
        <v>4.9753333333333333E-3</v>
      </c>
      <c r="I943" s="577">
        <f t="shared" si="156"/>
        <v>-1.9400000000000001E-2</v>
      </c>
      <c r="J943" s="577">
        <f t="shared" si="160"/>
        <v>-1.9695833333333336E-2</v>
      </c>
      <c r="K943" s="577">
        <f t="shared" si="161"/>
        <v>5.4246666666666662E-3</v>
      </c>
      <c r="L943" s="585">
        <f t="shared" si="157"/>
        <v>0.35130848615638732</v>
      </c>
      <c r="M943" s="585">
        <f t="shared" si="158"/>
        <v>5.16E-2</v>
      </c>
      <c r="N943" s="585">
        <f t="shared" si="162"/>
        <v>5.5150000000000005E-2</v>
      </c>
      <c r="O943" s="586">
        <f t="shared" si="159"/>
        <v>0.29970848615638734</v>
      </c>
      <c r="P943" s="585">
        <f t="shared" si="163"/>
        <v>0.29615848615638729</v>
      </c>
      <c r="Q943" s="585">
        <f t="shared" si="164"/>
        <v>0.36928096478054373</v>
      </c>
      <c r="R943" s="585">
        <f t="shared" si="165"/>
        <v>5.9704E-2</v>
      </c>
      <c r="S943" s="586">
        <f t="shared" si="166"/>
        <v>0.30957696478054375</v>
      </c>
      <c r="U943" s="587"/>
      <c r="V943" s="587"/>
      <c r="W943" s="587"/>
      <c r="X943" s="587"/>
      <c r="Y943" s="587"/>
      <c r="Z943" s="587"/>
      <c r="AA943" s="587"/>
      <c r="AB943" s="587"/>
      <c r="AC943" s="587"/>
      <c r="AE943" s="587"/>
      <c r="AF943" s="587"/>
      <c r="AG943" s="587"/>
      <c r="AH943" s="587"/>
      <c r="AI943" s="587"/>
      <c r="AJ943" s="587"/>
      <c r="AK943" s="587"/>
      <c r="AL943" s="587"/>
      <c r="AM943" s="587"/>
      <c r="AO943" s="587"/>
      <c r="AP943" s="587"/>
      <c r="AQ943" s="587"/>
      <c r="AR943" s="587"/>
      <c r="AS943" s="587"/>
      <c r="AT943" s="587"/>
      <c r="AU943" s="587"/>
      <c r="AV943" s="587"/>
      <c r="AW943" s="587"/>
    </row>
    <row r="944" spans="1:49">
      <c r="A944" s="581">
        <v>38078</v>
      </c>
      <c r="B944" s="594">
        <v>-1.5699999999999999E-2</v>
      </c>
      <c r="C944" s="577">
        <v>-3.6199999999999996E-2</v>
      </c>
      <c r="D944" s="577">
        <v>3.8999999999999994E-3</v>
      </c>
      <c r="E944" s="577">
        <v>4.7750000000000006E-3</v>
      </c>
      <c r="F944" s="577">
        <v>5.0833333333333329E-3</v>
      </c>
      <c r="G944" s="577">
        <v>4.9291666666666668E-3</v>
      </c>
      <c r="H944" s="577">
        <v>5.2710000000000005E-3</v>
      </c>
      <c r="I944" s="577">
        <f t="shared" si="156"/>
        <v>-1.9599999999999999E-2</v>
      </c>
      <c r="J944" s="577">
        <f t="shared" si="160"/>
        <v>-2.0629166666666664E-2</v>
      </c>
      <c r="K944" s="577">
        <f t="shared" si="161"/>
        <v>-4.1470999999999994E-2</v>
      </c>
      <c r="L944" s="585">
        <f t="shared" si="157"/>
        <v>0.22883679131904278</v>
      </c>
      <c r="M944" s="585">
        <f t="shared" si="158"/>
        <v>4.6799999999999994E-2</v>
      </c>
      <c r="N944" s="585">
        <f t="shared" si="162"/>
        <v>5.9150000000000001E-2</v>
      </c>
      <c r="O944" s="586">
        <f t="shared" si="159"/>
        <v>0.18203679131904277</v>
      </c>
      <c r="P944" s="585">
        <f t="shared" si="163"/>
        <v>0.16968679131904277</v>
      </c>
      <c r="Q944" s="585">
        <f t="shared" si="164"/>
        <v>0.21241432600412247</v>
      </c>
      <c r="R944" s="585">
        <f t="shared" si="165"/>
        <v>6.3252000000000003E-2</v>
      </c>
      <c r="S944" s="586">
        <f t="shared" si="166"/>
        <v>0.14916232600412246</v>
      </c>
      <c r="U944" s="587"/>
      <c r="V944" s="587"/>
      <c r="W944" s="587"/>
      <c r="X944" s="587"/>
      <c r="Y944" s="587"/>
      <c r="Z944" s="587"/>
      <c r="AA944" s="587"/>
      <c r="AB944" s="587"/>
      <c r="AC944" s="587"/>
      <c r="AE944" s="587"/>
      <c r="AF944" s="587"/>
      <c r="AG944" s="587"/>
      <c r="AH944" s="587"/>
      <c r="AI944" s="587"/>
      <c r="AJ944" s="587"/>
      <c r="AK944" s="587"/>
      <c r="AL944" s="587"/>
      <c r="AM944" s="587"/>
      <c r="AO944" s="587"/>
      <c r="AP944" s="587"/>
      <c r="AQ944" s="587"/>
      <c r="AR944" s="587"/>
      <c r="AS944" s="587"/>
      <c r="AT944" s="587"/>
      <c r="AU944" s="587"/>
      <c r="AV944" s="587"/>
      <c r="AW944" s="587"/>
    </row>
    <row r="945" spans="1:49">
      <c r="A945" s="581">
        <v>38108</v>
      </c>
      <c r="B945" s="594">
        <v>1.37E-2</v>
      </c>
      <c r="C945" s="577">
        <v>7.9000000000000008E-3</v>
      </c>
      <c r="D945" s="577">
        <v>4.0000000000000001E-3</v>
      </c>
      <c r="E945" s="577">
        <v>5.0333333333333332E-3</v>
      </c>
      <c r="F945" s="577">
        <v>5.3333333333333332E-3</v>
      </c>
      <c r="G945" s="577">
        <v>5.1833333333333332E-3</v>
      </c>
      <c r="H945" s="577">
        <v>5.5170833333333339E-3</v>
      </c>
      <c r="I945" s="577">
        <f t="shared" si="156"/>
        <v>9.7000000000000003E-3</v>
      </c>
      <c r="J945" s="577">
        <f t="shared" si="160"/>
        <v>8.5166666666666672E-3</v>
      </c>
      <c r="K945" s="577">
        <f t="shared" si="161"/>
        <v>2.3829166666666669E-3</v>
      </c>
      <c r="L945" s="585">
        <f t="shared" si="157"/>
        <v>0.18331134735453003</v>
      </c>
      <c r="M945" s="585">
        <f t="shared" si="158"/>
        <v>4.8000000000000001E-2</v>
      </c>
      <c r="N945" s="585">
        <f t="shared" si="162"/>
        <v>6.2199999999999998E-2</v>
      </c>
      <c r="O945" s="586">
        <f t="shared" si="159"/>
        <v>0.13531134735453004</v>
      </c>
      <c r="P945" s="585">
        <f t="shared" si="163"/>
        <v>0.12111134735453002</v>
      </c>
      <c r="Q945" s="585">
        <f t="shared" si="164"/>
        <v>0.10878540892800559</v>
      </c>
      <c r="R945" s="585">
        <f t="shared" si="165"/>
        <v>6.6205000000000014E-2</v>
      </c>
      <c r="S945" s="586">
        <f t="shared" si="166"/>
        <v>4.2580408928005575E-2</v>
      </c>
      <c r="U945" s="587"/>
      <c r="V945" s="587"/>
      <c r="W945" s="587"/>
      <c r="X945" s="587"/>
      <c r="Y945" s="587"/>
      <c r="Z945" s="587"/>
      <c r="AA945" s="587"/>
      <c r="AB945" s="587"/>
      <c r="AC945" s="587"/>
      <c r="AE945" s="587"/>
      <c r="AF945" s="587"/>
      <c r="AG945" s="587"/>
      <c r="AH945" s="587"/>
      <c r="AI945" s="587"/>
      <c r="AJ945" s="587"/>
      <c r="AK945" s="587"/>
      <c r="AL945" s="587"/>
      <c r="AM945" s="587"/>
      <c r="AO945" s="587"/>
      <c r="AP945" s="587"/>
      <c r="AQ945" s="587"/>
      <c r="AR945" s="587"/>
      <c r="AS945" s="587"/>
      <c r="AT945" s="587"/>
      <c r="AU945" s="587"/>
      <c r="AV945" s="587"/>
      <c r="AW945" s="587"/>
    </row>
    <row r="946" spans="1:49">
      <c r="A946" s="581">
        <v>38139</v>
      </c>
      <c r="B946" s="594">
        <v>1.9400000000000001E-2</v>
      </c>
      <c r="C946" s="577">
        <v>1.55E-2</v>
      </c>
      <c r="D946" s="577">
        <v>4.7999999999999996E-3</v>
      </c>
      <c r="E946" s="577">
        <v>5.0083333333333334E-3</v>
      </c>
      <c r="F946" s="577">
        <v>5.1749999999999999E-3</v>
      </c>
      <c r="G946" s="577">
        <v>5.0916666666666662E-3</v>
      </c>
      <c r="H946" s="577">
        <v>5.3876666666666673E-3</v>
      </c>
      <c r="I946" s="577">
        <f t="shared" si="156"/>
        <v>1.4600000000000002E-2</v>
      </c>
      <c r="J946" s="577">
        <f t="shared" si="160"/>
        <v>1.4308333333333334E-2</v>
      </c>
      <c r="K946" s="577">
        <f t="shared" si="161"/>
        <v>1.0112333333333333E-2</v>
      </c>
      <c r="L946" s="585">
        <f t="shared" si="157"/>
        <v>0.19102249949961325</v>
      </c>
      <c r="M946" s="585">
        <f t="shared" si="158"/>
        <v>5.7599999999999998E-2</v>
      </c>
      <c r="N946" s="585">
        <f t="shared" si="162"/>
        <v>6.1099999999999995E-2</v>
      </c>
      <c r="O946" s="586">
        <f t="shared" si="159"/>
        <v>0.13342249949961327</v>
      </c>
      <c r="P946" s="585">
        <f t="shared" si="163"/>
        <v>0.12992249949961326</v>
      </c>
      <c r="Q946" s="585">
        <f t="shared" si="164"/>
        <v>0.11273009464017236</v>
      </c>
      <c r="R946" s="585">
        <f t="shared" si="165"/>
        <v>6.4652000000000015E-2</v>
      </c>
      <c r="S946" s="586">
        <f t="shared" si="166"/>
        <v>4.8078094640172347E-2</v>
      </c>
      <c r="U946" s="587"/>
      <c r="V946" s="587"/>
      <c r="W946" s="587"/>
      <c r="X946" s="587"/>
      <c r="Y946" s="587"/>
      <c r="Z946" s="587"/>
      <c r="AA946" s="587"/>
      <c r="AB946" s="587"/>
      <c r="AC946" s="587"/>
      <c r="AE946" s="587"/>
      <c r="AF946" s="587"/>
      <c r="AG946" s="587"/>
      <c r="AH946" s="587"/>
      <c r="AI946" s="587"/>
      <c r="AJ946" s="587"/>
      <c r="AK946" s="587"/>
      <c r="AL946" s="587"/>
      <c r="AM946" s="587"/>
      <c r="AO946" s="587"/>
      <c r="AP946" s="587"/>
      <c r="AQ946" s="587"/>
      <c r="AR946" s="587"/>
      <c r="AS946" s="587"/>
      <c r="AT946" s="587"/>
      <c r="AU946" s="587"/>
      <c r="AV946" s="587"/>
      <c r="AW946" s="587"/>
    </row>
    <row r="947" spans="1:49">
      <c r="A947" s="581">
        <v>38169</v>
      </c>
      <c r="B947" s="594">
        <v>-3.3099999999999997E-2</v>
      </c>
      <c r="C947" s="577">
        <v>1.7299999999999999E-2</v>
      </c>
      <c r="D947" s="577">
        <v>4.3E-3</v>
      </c>
      <c r="E947" s="577">
        <v>4.8500000000000001E-3</v>
      </c>
      <c r="F947" s="577">
        <v>5.0166666666666658E-3</v>
      </c>
      <c r="G947" s="577">
        <v>4.933333333333333E-3</v>
      </c>
      <c r="H947" s="577">
        <v>5.2270000000000007E-3</v>
      </c>
      <c r="I947" s="577">
        <f t="shared" si="156"/>
        <v>-3.7399999999999996E-2</v>
      </c>
      <c r="J947" s="577">
        <f t="shared" si="160"/>
        <v>-3.8033333333333329E-2</v>
      </c>
      <c r="K947" s="577">
        <f t="shared" si="161"/>
        <v>1.2072999999999999E-2</v>
      </c>
      <c r="L947" s="585">
        <f t="shared" si="157"/>
        <v>0.13168205067430816</v>
      </c>
      <c r="M947" s="585">
        <f t="shared" si="158"/>
        <v>5.16E-2</v>
      </c>
      <c r="N947" s="585">
        <f t="shared" si="162"/>
        <v>5.9199999999999996E-2</v>
      </c>
      <c r="O947" s="586">
        <f t="shared" si="159"/>
        <v>8.0082050674308153E-2</v>
      </c>
      <c r="P947" s="585">
        <f t="shared" si="163"/>
        <v>7.2482050674308157E-2</v>
      </c>
      <c r="Q947" s="585">
        <f t="shared" si="164"/>
        <v>0.21067414468176149</v>
      </c>
      <c r="R947" s="585">
        <f t="shared" si="165"/>
        <v>6.2724000000000002E-2</v>
      </c>
      <c r="S947" s="586">
        <f t="shared" si="166"/>
        <v>0.14795014468176149</v>
      </c>
      <c r="U947" s="587"/>
      <c r="V947" s="587"/>
      <c r="W947" s="587"/>
      <c r="X947" s="587"/>
      <c r="Y947" s="587"/>
      <c r="Z947" s="587"/>
      <c r="AA947" s="587"/>
      <c r="AB947" s="587"/>
      <c r="AC947" s="587"/>
      <c r="AE947" s="587"/>
      <c r="AF947" s="587"/>
      <c r="AG947" s="587"/>
      <c r="AH947" s="587"/>
      <c r="AI947" s="587"/>
      <c r="AJ947" s="587"/>
      <c r="AK947" s="587"/>
      <c r="AL947" s="587"/>
      <c r="AM947" s="587"/>
      <c r="AO947" s="587"/>
      <c r="AP947" s="587"/>
      <c r="AQ947" s="587"/>
      <c r="AR947" s="587"/>
      <c r="AS947" s="587"/>
      <c r="AT947" s="587"/>
      <c r="AU947" s="587"/>
      <c r="AV947" s="587"/>
      <c r="AW947" s="587"/>
    </row>
    <row r="948" spans="1:49">
      <c r="A948" s="581">
        <v>38200</v>
      </c>
      <c r="B948" s="594">
        <v>4.0000000000000001E-3</v>
      </c>
      <c r="C948" s="577">
        <v>3.9300000000000002E-2</v>
      </c>
      <c r="D948" s="577">
        <v>4.4999999999999997E-3</v>
      </c>
      <c r="E948" s="577">
        <v>4.7083333333333335E-3</v>
      </c>
      <c r="F948" s="577">
        <v>4.8916666666666666E-3</v>
      </c>
      <c r="G948" s="577">
        <v>4.8000000000000004E-3</v>
      </c>
      <c r="H948" s="577">
        <v>5.1234999999999996E-3</v>
      </c>
      <c r="I948" s="577">
        <f t="shared" si="156"/>
        <v>-4.9999999999999958E-4</v>
      </c>
      <c r="J948" s="577">
        <f t="shared" si="160"/>
        <v>-8.0000000000000036E-4</v>
      </c>
      <c r="K948" s="577">
        <f t="shared" si="161"/>
        <v>3.4176499999999999E-2</v>
      </c>
      <c r="L948" s="585">
        <f t="shared" si="157"/>
        <v>0.11447648737322713</v>
      </c>
      <c r="M948" s="585">
        <f t="shared" si="158"/>
        <v>5.3999999999999992E-2</v>
      </c>
      <c r="N948" s="585">
        <f t="shared" si="162"/>
        <v>5.7600000000000005E-2</v>
      </c>
      <c r="O948" s="586">
        <f t="shared" si="159"/>
        <v>6.0476487373227139E-2</v>
      </c>
      <c r="P948" s="585">
        <f t="shared" si="163"/>
        <v>5.6876487373227126E-2</v>
      </c>
      <c r="Q948" s="585">
        <f t="shared" si="164"/>
        <v>0.23661291259730199</v>
      </c>
      <c r="R948" s="585">
        <f t="shared" si="165"/>
        <v>6.1481999999999995E-2</v>
      </c>
      <c r="S948" s="586">
        <f t="shared" si="166"/>
        <v>0.17513091259730201</v>
      </c>
      <c r="U948" s="587"/>
      <c r="V948" s="587"/>
      <c r="W948" s="587"/>
      <c r="X948" s="587"/>
      <c r="Y948" s="587"/>
      <c r="Z948" s="587"/>
      <c r="AA948" s="587"/>
      <c r="AB948" s="587"/>
      <c r="AC948" s="587"/>
      <c r="AE948" s="587"/>
      <c r="AF948" s="587"/>
      <c r="AG948" s="587"/>
      <c r="AH948" s="587"/>
      <c r="AI948" s="587"/>
      <c r="AJ948" s="587"/>
      <c r="AK948" s="587"/>
      <c r="AL948" s="587"/>
      <c r="AM948" s="587"/>
      <c r="AO948" s="587"/>
      <c r="AP948" s="587"/>
      <c r="AQ948" s="587"/>
      <c r="AR948" s="587"/>
      <c r="AS948" s="587"/>
      <c r="AT948" s="587"/>
      <c r="AU948" s="587"/>
      <c r="AV948" s="587"/>
      <c r="AW948" s="587"/>
    </row>
    <row r="949" spans="1:49">
      <c r="A949" s="581">
        <v>38231</v>
      </c>
      <c r="B949" s="594">
        <v>1.0800000000000001E-2</v>
      </c>
      <c r="C949" s="577">
        <v>9.1000000000000004E-3</v>
      </c>
      <c r="D949" s="577">
        <v>4.0000000000000001E-3</v>
      </c>
      <c r="E949" s="577">
        <v>4.5500000000000002E-3</v>
      </c>
      <c r="F949" s="577">
        <v>4.7750000000000006E-3</v>
      </c>
      <c r="G949" s="577">
        <v>4.6625000000000008E-3</v>
      </c>
      <c r="H949" s="577">
        <v>4.9853333333333329E-3</v>
      </c>
      <c r="I949" s="577">
        <f t="shared" si="156"/>
        <v>6.8000000000000005E-3</v>
      </c>
      <c r="J949" s="577">
        <f t="shared" si="160"/>
        <v>6.1374999999999997E-3</v>
      </c>
      <c r="K949" s="577">
        <f t="shared" si="161"/>
        <v>4.1146666666666675E-3</v>
      </c>
      <c r="L949" s="585">
        <f t="shared" si="157"/>
        <v>0.13858180052239555</v>
      </c>
      <c r="M949" s="585">
        <f t="shared" si="158"/>
        <v>4.8000000000000001E-2</v>
      </c>
      <c r="N949" s="585">
        <f t="shared" si="162"/>
        <v>5.5950000000000014E-2</v>
      </c>
      <c r="O949" s="586">
        <f t="shared" si="159"/>
        <v>9.0581800522395547E-2</v>
      </c>
      <c r="P949" s="585">
        <f t="shared" si="163"/>
        <v>8.2631800522395535E-2</v>
      </c>
      <c r="Q949" s="585">
        <f t="shared" si="164"/>
        <v>0.19333086937165311</v>
      </c>
      <c r="R949" s="585">
        <f t="shared" si="165"/>
        <v>5.9823999999999995E-2</v>
      </c>
      <c r="S949" s="586">
        <f t="shared" si="166"/>
        <v>0.13350686937165313</v>
      </c>
      <c r="U949" s="587"/>
      <c r="V949" s="587"/>
      <c r="W949" s="587"/>
      <c r="X949" s="587"/>
      <c r="Y949" s="587"/>
      <c r="Z949" s="587"/>
      <c r="AA949" s="587"/>
      <c r="AB949" s="587"/>
      <c r="AC949" s="587"/>
      <c r="AE949" s="587"/>
      <c r="AF949" s="587"/>
      <c r="AG949" s="587"/>
      <c r="AH949" s="587"/>
      <c r="AI949" s="587"/>
      <c r="AJ949" s="587"/>
      <c r="AK949" s="587"/>
      <c r="AL949" s="587"/>
      <c r="AM949" s="587"/>
      <c r="AO949" s="587"/>
      <c r="AP949" s="587"/>
      <c r="AQ949" s="587"/>
      <c r="AR949" s="587"/>
      <c r="AS949" s="587"/>
      <c r="AT949" s="587"/>
      <c r="AU949" s="587"/>
      <c r="AV949" s="587"/>
      <c r="AW949" s="587"/>
    </row>
    <row r="950" spans="1:49">
      <c r="A950" s="581">
        <v>38261</v>
      </c>
      <c r="B950" s="594">
        <v>1.5299999999999999E-2</v>
      </c>
      <c r="C950" s="577">
        <v>4.9499999999999995E-2</v>
      </c>
      <c r="D950" s="577">
        <v>3.8E-3</v>
      </c>
      <c r="E950" s="577">
        <v>4.5583333333333335E-3</v>
      </c>
      <c r="F950" s="577">
        <v>4.7416666666666666E-3</v>
      </c>
      <c r="G950" s="577">
        <v>4.6499999999999996E-3</v>
      </c>
      <c r="H950" s="577">
        <v>4.9920833333333327E-3</v>
      </c>
      <c r="I950" s="577">
        <f t="shared" si="156"/>
        <v>1.15E-2</v>
      </c>
      <c r="J950" s="577">
        <f t="shared" si="160"/>
        <v>1.065E-2</v>
      </c>
      <c r="K950" s="577">
        <f t="shared" si="161"/>
        <v>4.4507916666666661E-2</v>
      </c>
      <c r="L950" s="585">
        <f t="shared" si="157"/>
        <v>9.4077325449922977E-2</v>
      </c>
      <c r="M950" s="585">
        <f t="shared" si="158"/>
        <v>4.5600000000000002E-2</v>
      </c>
      <c r="N950" s="585">
        <f t="shared" si="162"/>
        <v>5.5799999999999995E-2</v>
      </c>
      <c r="O950" s="586">
        <f t="shared" si="159"/>
        <v>4.8477325449922976E-2</v>
      </c>
      <c r="P950" s="585">
        <f t="shared" si="163"/>
        <v>3.8277325449922982E-2</v>
      </c>
      <c r="Q950" s="585">
        <f t="shared" si="164"/>
        <v>0.23852922013998135</v>
      </c>
      <c r="R950" s="585">
        <f t="shared" si="165"/>
        <v>5.9904999999999993E-2</v>
      </c>
      <c r="S950" s="586">
        <f t="shared" si="166"/>
        <v>0.17862422013998136</v>
      </c>
      <c r="U950" s="587"/>
      <c r="V950" s="587"/>
      <c r="W950" s="587"/>
      <c r="X950" s="587"/>
      <c r="Y950" s="587"/>
      <c r="Z950" s="587"/>
      <c r="AA950" s="587"/>
      <c r="AB950" s="587"/>
      <c r="AC950" s="587"/>
      <c r="AE950" s="587"/>
      <c r="AF950" s="587"/>
      <c r="AG950" s="587"/>
      <c r="AH950" s="587"/>
      <c r="AI950" s="587"/>
      <c r="AJ950" s="587"/>
      <c r="AK950" s="587"/>
      <c r="AL950" s="587"/>
      <c r="AM950" s="587"/>
      <c r="AO950" s="587"/>
      <c r="AP950" s="587"/>
      <c r="AQ950" s="587"/>
      <c r="AR950" s="587"/>
      <c r="AS950" s="587"/>
      <c r="AT950" s="587"/>
      <c r="AU950" s="587"/>
      <c r="AV950" s="587"/>
      <c r="AW950" s="587"/>
    </row>
    <row r="951" spans="1:49">
      <c r="A951" s="581">
        <v>38292</v>
      </c>
      <c r="B951" s="594">
        <v>4.0500000000000001E-2</v>
      </c>
      <c r="C951" s="577">
        <v>4.07E-2</v>
      </c>
      <c r="D951" s="577">
        <v>4.1000000000000003E-3</v>
      </c>
      <c r="E951" s="577">
        <v>4.5999999999999999E-3</v>
      </c>
      <c r="F951" s="577">
        <v>4.7666666666666664E-3</v>
      </c>
      <c r="G951" s="577">
        <v>4.6833333333333328E-3</v>
      </c>
      <c r="H951" s="577">
        <v>4.9627500000000001E-3</v>
      </c>
      <c r="I951" s="577">
        <f t="shared" si="156"/>
        <v>3.6400000000000002E-2</v>
      </c>
      <c r="J951" s="577">
        <f t="shared" si="160"/>
        <v>3.581666666666667E-2</v>
      </c>
      <c r="K951" s="577">
        <f t="shared" si="161"/>
        <v>3.5737249999999998E-2</v>
      </c>
      <c r="L951" s="585">
        <f t="shared" si="157"/>
        <v>0.1284570352207024</v>
      </c>
      <c r="M951" s="585">
        <f t="shared" si="158"/>
        <v>4.9200000000000008E-2</v>
      </c>
      <c r="N951" s="585">
        <f t="shared" si="162"/>
        <v>5.6199999999999993E-2</v>
      </c>
      <c r="O951" s="586">
        <f t="shared" si="159"/>
        <v>7.925703522070239E-2</v>
      </c>
      <c r="P951" s="585">
        <f t="shared" si="163"/>
        <v>7.2257035220702398E-2</v>
      </c>
      <c r="Q951" s="585">
        <f t="shared" si="164"/>
        <v>0.28958215047491631</v>
      </c>
      <c r="R951" s="585">
        <f t="shared" si="165"/>
        <v>5.9553000000000002E-2</v>
      </c>
      <c r="S951" s="586">
        <f t="shared" si="166"/>
        <v>0.23002915047491632</v>
      </c>
      <c r="U951" s="587"/>
      <c r="V951" s="587"/>
      <c r="W951" s="587"/>
      <c r="X951" s="587"/>
      <c r="Y951" s="587"/>
      <c r="Z951" s="587"/>
      <c r="AA951" s="587"/>
      <c r="AB951" s="587"/>
      <c r="AC951" s="587"/>
      <c r="AE951" s="587"/>
      <c r="AF951" s="587"/>
      <c r="AG951" s="587"/>
      <c r="AH951" s="587"/>
      <c r="AI951" s="587"/>
      <c r="AJ951" s="587"/>
      <c r="AK951" s="587"/>
      <c r="AL951" s="587"/>
      <c r="AM951" s="587"/>
      <c r="AO951" s="587"/>
      <c r="AP951" s="587"/>
      <c r="AQ951" s="587"/>
      <c r="AR951" s="587"/>
      <c r="AS951" s="587"/>
      <c r="AT951" s="587"/>
      <c r="AU951" s="587"/>
      <c r="AV951" s="587"/>
      <c r="AW951" s="587"/>
    </row>
    <row r="952" spans="1:49">
      <c r="A952" s="581">
        <v>38322</v>
      </c>
      <c r="B952" s="594">
        <v>3.4000000000000002E-2</v>
      </c>
      <c r="C952" s="577">
        <v>2.6499999999999999E-2</v>
      </c>
      <c r="D952" s="577">
        <v>4.3E-3</v>
      </c>
      <c r="E952" s="577">
        <v>4.5583333333333335E-3</v>
      </c>
      <c r="F952" s="577">
        <v>4.7416666666666666E-3</v>
      </c>
      <c r="G952" s="577">
        <v>4.6499999999999996E-3</v>
      </c>
      <c r="H952" s="577">
        <v>4.938916666666667E-3</v>
      </c>
      <c r="I952" s="577">
        <f t="shared" si="156"/>
        <v>2.9700000000000004E-2</v>
      </c>
      <c r="J952" s="577">
        <f t="shared" si="160"/>
        <v>2.9350000000000001E-2</v>
      </c>
      <c r="K952" s="577">
        <f t="shared" si="161"/>
        <v>2.1561083333333331E-2</v>
      </c>
      <c r="L952" s="585">
        <f t="shared" si="157"/>
        <v>0.10872726569574942</v>
      </c>
      <c r="M952" s="585">
        <f t="shared" si="158"/>
        <v>5.16E-2</v>
      </c>
      <c r="N952" s="585">
        <f t="shared" si="162"/>
        <v>5.5799999999999995E-2</v>
      </c>
      <c r="O952" s="586">
        <f t="shared" si="159"/>
        <v>5.712726569574942E-2</v>
      </c>
      <c r="P952" s="585">
        <f t="shared" si="163"/>
        <v>5.2927265695749424E-2</v>
      </c>
      <c r="Q952" s="585">
        <f t="shared" si="164"/>
        <v>0.24005253158079798</v>
      </c>
      <c r="R952" s="585">
        <f t="shared" si="165"/>
        <v>5.9267E-2</v>
      </c>
      <c r="S952" s="586">
        <f t="shared" si="166"/>
        <v>0.18078553158079796</v>
      </c>
      <c r="U952" s="587"/>
      <c r="V952" s="587"/>
      <c r="W952" s="587"/>
      <c r="X952" s="587"/>
      <c r="Y952" s="587"/>
      <c r="Z952" s="587"/>
      <c r="AA952" s="587"/>
      <c r="AB952" s="587"/>
      <c r="AC952" s="587"/>
      <c r="AE952" s="587"/>
      <c r="AF952" s="587"/>
      <c r="AG952" s="587"/>
      <c r="AH952" s="587"/>
      <c r="AI952" s="587"/>
      <c r="AJ952" s="587"/>
      <c r="AK952" s="587"/>
      <c r="AL952" s="587"/>
      <c r="AM952" s="587"/>
      <c r="AO952" s="587"/>
      <c r="AP952" s="587"/>
      <c r="AQ952" s="587"/>
      <c r="AR952" s="587"/>
      <c r="AS952" s="587"/>
      <c r="AT952" s="587"/>
      <c r="AU952" s="587"/>
      <c r="AV952" s="587"/>
      <c r="AW952" s="587"/>
    </row>
    <row r="953" spans="1:49">
      <c r="A953" s="581">
        <v>38353</v>
      </c>
      <c r="B953" s="594">
        <v>-2.4400000000000002E-2</v>
      </c>
      <c r="C953" s="577">
        <v>2.2099999999999998E-2</v>
      </c>
      <c r="D953" s="577">
        <v>4.1000000000000003E-3</v>
      </c>
      <c r="E953" s="577">
        <v>4.4666666666666674E-3</v>
      </c>
      <c r="F953" s="577">
        <v>4.6500000000000005E-3</v>
      </c>
      <c r="G953" s="577">
        <v>4.5583333333333335E-3</v>
      </c>
      <c r="H953" s="577">
        <v>4.827916666666667E-3</v>
      </c>
      <c r="I953" s="577">
        <f t="shared" si="156"/>
        <v>-2.8500000000000001E-2</v>
      </c>
      <c r="J953" s="577">
        <f t="shared" si="160"/>
        <v>-2.8958333333333336E-2</v>
      </c>
      <c r="K953" s="577">
        <f t="shared" si="161"/>
        <v>1.727208333333333E-2</v>
      </c>
      <c r="L953" s="585">
        <f t="shared" si="157"/>
        <v>6.2131108025110571E-2</v>
      </c>
      <c r="M953" s="585">
        <f t="shared" si="158"/>
        <v>4.9200000000000008E-2</v>
      </c>
      <c r="N953" s="585">
        <f t="shared" si="162"/>
        <v>5.4699999999999999E-2</v>
      </c>
      <c r="O953" s="586">
        <f t="shared" si="159"/>
        <v>1.2931108025110563E-2</v>
      </c>
      <c r="P953" s="585">
        <f t="shared" si="163"/>
        <v>7.4311080251105721E-3</v>
      </c>
      <c r="Q953" s="585">
        <f t="shared" si="164"/>
        <v>0.2406594484423783</v>
      </c>
      <c r="R953" s="585">
        <f t="shared" si="165"/>
        <v>5.7935E-2</v>
      </c>
      <c r="S953" s="586">
        <f t="shared" si="166"/>
        <v>0.18272444844237828</v>
      </c>
      <c r="U953" s="587"/>
      <c r="V953" s="587"/>
      <c r="W953" s="587"/>
      <c r="X953" s="587"/>
      <c r="Y953" s="587"/>
      <c r="Z953" s="587"/>
      <c r="AA953" s="587"/>
      <c r="AB953" s="587"/>
      <c r="AC953" s="587"/>
      <c r="AE953" s="587"/>
      <c r="AF953" s="587"/>
      <c r="AG953" s="587"/>
      <c r="AH953" s="587"/>
      <c r="AI953" s="587"/>
      <c r="AJ953" s="587"/>
      <c r="AK953" s="587"/>
      <c r="AL953" s="587"/>
      <c r="AM953" s="587"/>
      <c r="AO953" s="587"/>
      <c r="AP953" s="587"/>
      <c r="AQ953" s="587"/>
      <c r="AR953" s="587"/>
      <c r="AS953" s="587"/>
      <c r="AT953" s="587"/>
      <c r="AU953" s="587"/>
      <c r="AV953" s="587"/>
      <c r="AW953" s="587"/>
    </row>
    <row r="954" spans="1:49">
      <c r="A954" s="581">
        <v>38384</v>
      </c>
      <c r="B954" s="594">
        <v>2.1000000000000001E-2</v>
      </c>
      <c r="C954" s="577">
        <v>1.9699999999999999E-2</v>
      </c>
      <c r="D954" s="577">
        <v>3.5000000000000005E-3</v>
      </c>
      <c r="E954" s="577">
        <v>4.3333333333333331E-3</v>
      </c>
      <c r="F954" s="577">
        <v>4.5333333333333337E-3</v>
      </c>
      <c r="G954" s="577">
        <v>4.4333333333333334E-3</v>
      </c>
      <c r="H954" s="577">
        <v>4.6785000000000004E-3</v>
      </c>
      <c r="I954" s="577">
        <f t="shared" si="156"/>
        <v>1.7500000000000002E-2</v>
      </c>
      <c r="J954" s="577">
        <f t="shared" si="160"/>
        <v>1.6566666666666667E-2</v>
      </c>
      <c r="K954" s="577">
        <f t="shared" si="161"/>
        <v>1.5021499999999998E-2</v>
      </c>
      <c r="L954" s="585">
        <f t="shared" si="157"/>
        <v>6.9568854219980381E-2</v>
      </c>
      <c r="M954" s="585">
        <f t="shared" si="158"/>
        <v>4.200000000000001E-2</v>
      </c>
      <c r="N954" s="585">
        <f t="shared" si="162"/>
        <v>5.3199999999999997E-2</v>
      </c>
      <c r="O954" s="586">
        <f t="shared" si="159"/>
        <v>2.7568854219980371E-2</v>
      </c>
      <c r="P954" s="585">
        <f t="shared" si="163"/>
        <v>1.6368854219980383E-2</v>
      </c>
      <c r="Q954" s="585">
        <f t="shared" si="164"/>
        <v>0.24260921282456849</v>
      </c>
      <c r="R954" s="585">
        <f t="shared" si="165"/>
        <v>5.6142000000000004E-2</v>
      </c>
      <c r="S954" s="586">
        <f t="shared" si="166"/>
        <v>0.18646721282456849</v>
      </c>
      <c r="U954" s="587"/>
      <c r="V954" s="587"/>
      <c r="W954" s="587"/>
      <c r="X954" s="587"/>
      <c r="Y954" s="587"/>
      <c r="Z954" s="587"/>
      <c r="AA954" s="587"/>
      <c r="AB954" s="587"/>
      <c r="AC954" s="587"/>
      <c r="AE954" s="587"/>
      <c r="AF954" s="587"/>
      <c r="AG954" s="587"/>
      <c r="AH954" s="587"/>
      <c r="AI954" s="587"/>
      <c r="AJ954" s="587"/>
      <c r="AK954" s="587"/>
      <c r="AL954" s="587"/>
      <c r="AM954" s="587"/>
      <c r="AO954" s="587"/>
      <c r="AP954" s="587"/>
      <c r="AQ954" s="587"/>
      <c r="AR954" s="587"/>
      <c r="AS954" s="587"/>
      <c r="AT954" s="587"/>
      <c r="AU954" s="587"/>
      <c r="AV954" s="587"/>
      <c r="AW954" s="587"/>
    </row>
    <row r="955" spans="1:49">
      <c r="A955" s="581">
        <v>38412</v>
      </c>
      <c r="B955" s="594">
        <v>-1.77E-2</v>
      </c>
      <c r="C955" s="577">
        <v>1.0800000000000001E-2</v>
      </c>
      <c r="D955" s="577">
        <v>4.1000000000000003E-3</v>
      </c>
      <c r="E955" s="577">
        <v>4.5000000000000005E-3</v>
      </c>
      <c r="F955" s="577">
        <v>4.6999999999999993E-3</v>
      </c>
      <c r="G955" s="577">
        <v>4.5999999999999999E-3</v>
      </c>
      <c r="H955" s="577">
        <v>4.855333333333333E-3</v>
      </c>
      <c r="I955" s="577">
        <f t="shared" si="156"/>
        <v>-2.18E-2</v>
      </c>
      <c r="J955" s="577">
        <f t="shared" si="160"/>
        <v>-2.23E-2</v>
      </c>
      <c r="K955" s="577">
        <f t="shared" si="161"/>
        <v>5.9446666666666675E-3</v>
      </c>
      <c r="L955" s="585">
        <f t="shared" si="157"/>
        <v>6.6745340136345588E-2</v>
      </c>
      <c r="M955" s="585">
        <f t="shared" si="158"/>
        <v>4.9200000000000008E-2</v>
      </c>
      <c r="N955" s="585">
        <f t="shared" si="162"/>
        <v>5.5199999999999999E-2</v>
      </c>
      <c r="O955" s="586">
        <f t="shared" si="159"/>
        <v>1.754534013634558E-2</v>
      </c>
      <c r="P955" s="585">
        <f t="shared" si="163"/>
        <v>1.1545340136345589E-2</v>
      </c>
      <c r="Q955" s="585">
        <f t="shared" si="164"/>
        <v>0.24310114046226605</v>
      </c>
      <c r="R955" s="585">
        <f t="shared" si="165"/>
        <v>5.8263999999999996E-2</v>
      </c>
      <c r="S955" s="586">
        <f t="shared" si="166"/>
        <v>0.18483714046226607</v>
      </c>
      <c r="U955" s="587"/>
      <c r="V955" s="587"/>
      <c r="W955" s="587"/>
      <c r="X955" s="587"/>
      <c r="Y955" s="587"/>
      <c r="Z955" s="587"/>
      <c r="AA955" s="587"/>
      <c r="AB955" s="587"/>
      <c r="AC955" s="587"/>
      <c r="AE955" s="587"/>
      <c r="AF955" s="587"/>
      <c r="AG955" s="587"/>
      <c r="AH955" s="587"/>
      <c r="AI955" s="587"/>
      <c r="AJ955" s="587"/>
      <c r="AK955" s="587"/>
      <c r="AL955" s="587"/>
      <c r="AM955" s="587"/>
      <c r="AO955" s="587"/>
      <c r="AP955" s="587"/>
      <c r="AQ955" s="587"/>
      <c r="AR955" s="587"/>
      <c r="AS955" s="587"/>
      <c r="AT955" s="587"/>
      <c r="AU955" s="587"/>
      <c r="AV955" s="587"/>
      <c r="AW955" s="587"/>
    </row>
    <row r="956" spans="1:49">
      <c r="A956" s="581">
        <v>38443</v>
      </c>
      <c r="B956" s="594">
        <v>-1.9E-2</v>
      </c>
      <c r="C956" s="577">
        <v>3.2100000000000004E-2</v>
      </c>
      <c r="D956" s="577">
        <v>3.8999999999999994E-3</v>
      </c>
      <c r="E956" s="577">
        <v>4.4416666666666667E-3</v>
      </c>
      <c r="F956" s="577">
        <v>4.5333333333333337E-3</v>
      </c>
      <c r="G956" s="577">
        <v>4.4875000000000002E-3</v>
      </c>
      <c r="H956" s="577">
        <v>4.7079166666666667E-3</v>
      </c>
      <c r="I956" s="577">
        <f t="shared" si="156"/>
        <v>-2.29E-2</v>
      </c>
      <c r="J956" s="577">
        <f t="shared" si="160"/>
        <v>-2.3487500000000001E-2</v>
      </c>
      <c r="K956" s="577">
        <f t="shared" si="161"/>
        <v>2.7392083333333338E-2</v>
      </c>
      <c r="L956" s="585">
        <f t="shared" si="157"/>
        <v>6.3168930888707564E-2</v>
      </c>
      <c r="M956" s="585">
        <f t="shared" si="158"/>
        <v>4.6799999999999994E-2</v>
      </c>
      <c r="N956" s="585">
        <f t="shared" si="162"/>
        <v>5.3850000000000002E-2</v>
      </c>
      <c r="O956" s="586">
        <f t="shared" si="159"/>
        <v>1.636893088870757E-2</v>
      </c>
      <c r="P956" s="585">
        <f t="shared" si="163"/>
        <v>9.318930888707562E-3</v>
      </c>
      <c r="Q956" s="585">
        <f t="shared" si="164"/>
        <v>0.33119390648589442</v>
      </c>
      <c r="R956" s="585">
        <f t="shared" si="165"/>
        <v>5.6495000000000004E-2</v>
      </c>
      <c r="S956" s="586">
        <f t="shared" si="166"/>
        <v>0.2746989064858944</v>
      </c>
      <c r="U956" s="587"/>
      <c r="V956" s="587"/>
      <c r="W956" s="587"/>
      <c r="X956" s="587"/>
      <c r="Y956" s="587"/>
      <c r="Z956" s="587"/>
      <c r="AA956" s="587"/>
      <c r="AB956" s="587"/>
      <c r="AC956" s="587"/>
      <c r="AE956" s="587"/>
      <c r="AF956" s="587"/>
      <c r="AG956" s="587"/>
      <c r="AH956" s="587"/>
      <c r="AI956" s="587"/>
      <c r="AJ956" s="587"/>
      <c r="AK956" s="587"/>
      <c r="AL956" s="587"/>
      <c r="AM956" s="587"/>
      <c r="AO956" s="587"/>
      <c r="AP956" s="587"/>
      <c r="AQ956" s="587"/>
      <c r="AR956" s="587"/>
      <c r="AS956" s="587"/>
      <c r="AT956" s="587"/>
      <c r="AU956" s="587"/>
      <c r="AV956" s="587"/>
      <c r="AW956" s="587"/>
    </row>
    <row r="957" spans="1:49">
      <c r="A957" s="581">
        <v>38473</v>
      </c>
      <c r="B957" s="594">
        <v>3.1800000000000002E-2</v>
      </c>
      <c r="C957" s="577">
        <v>7.9999999999999993E-4</v>
      </c>
      <c r="D957" s="577">
        <v>4.0000000000000001E-3</v>
      </c>
      <c r="E957" s="577">
        <v>4.2916666666666667E-3</v>
      </c>
      <c r="F957" s="577">
        <v>4.4083333333333335E-3</v>
      </c>
      <c r="G957" s="577">
        <v>4.3500000000000006E-3</v>
      </c>
      <c r="H957" s="577">
        <v>4.6162499999999997E-3</v>
      </c>
      <c r="I957" s="577">
        <f t="shared" si="156"/>
        <v>2.7800000000000002E-2</v>
      </c>
      <c r="J957" s="577">
        <f t="shared" si="160"/>
        <v>2.7450000000000002E-2</v>
      </c>
      <c r="K957" s="577">
        <f t="shared" si="161"/>
        <v>-3.8162499999999998E-3</v>
      </c>
      <c r="L957" s="585">
        <f t="shared" si="157"/>
        <v>8.2152217511066716E-2</v>
      </c>
      <c r="M957" s="585">
        <f t="shared" si="158"/>
        <v>4.8000000000000001E-2</v>
      </c>
      <c r="N957" s="585">
        <f t="shared" si="162"/>
        <v>5.220000000000001E-2</v>
      </c>
      <c r="O957" s="586">
        <f t="shared" si="159"/>
        <v>3.4152217511066715E-2</v>
      </c>
      <c r="P957" s="585">
        <f t="shared" si="163"/>
        <v>2.9952217511066706E-2</v>
      </c>
      <c r="Q957" s="585">
        <f t="shared" si="164"/>
        <v>0.32181651117281684</v>
      </c>
      <c r="R957" s="585">
        <f t="shared" si="165"/>
        <v>5.5395E-2</v>
      </c>
      <c r="S957" s="586">
        <f t="shared" si="166"/>
        <v>0.26642151117281687</v>
      </c>
      <c r="U957" s="587"/>
      <c r="V957" s="587"/>
      <c r="W957" s="587"/>
      <c r="X957" s="587"/>
      <c r="Y957" s="587"/>
      <c r="Z957" s="587"/>
      <c r="AA957" s="587"/>
      <c r="AB957" s="587"/>
      <c r="AC957" s="587"/>
      <c r="AE957" s="587"/>
      <c r="AF957" s="587"/>
      <c r="AG957" s="587"/>
      <c r="AH957" s="587"/>
      <c r="AI957" s="587"/>
      <c r="AJ957" s="587"/>
      <c r="AK957" s="587"/>
      <c r="AL957" s="587"/>
      <c r="AM957" s="587"/>
      <c r="AO957" s="587"/>
      <c r="AP957" s="587"/>
      <c r="AQ957" s="587"/>
      <c r="AR957" s="587"/>
      <c r="AS957" s="587"/>
      <c r="AT957" s="587"/>
      <c r="AU957" s="587"/>
      <c r="AV957" s="587"/>
      <c r="AW957" s="587"/>
    </row>
    <row r="958" spans="1:49">
      <c r="A958" s="581">
        <v>38504</v>
      </c>
      <c r="B958" s="594">
        <v>1.4E-3</v>
      </c>
      <c r="C958" s="577">
        <v>5.7599999999999998E-2</v>
      </c>
      <c r="D958" s="577">
        <v>3.5999999999999999E-3</v>
      </c>
      <c r="E958" s="577">
        <v>4.1333333333333335E-3</v>
      </c>
      <c r="F958" s="577">
        <v>4.1833333333333332E-3</v>
      </c>
      <c r="G958" s="577">
        <v>4.1583333333333325E-3</v>
      </c>
      <c r="H958" s="577">
        <v>4.5019166666666671E-3</v>
      </c>
      <c r="I958" s="577">
        <f t="shared" si="156"/>
        <v>-2.1999999999999997E-3</v>
      </c>
      <c r="J958" s="577">
        <f t="shared" si="160"/>
        <v>-2.7583333333333323E-3</v>
      </c>
      <c r="K958" s="577">
        <f t="shared" si="161"/>
        <v>5.309808333333333E-2</v>
      </c>
      <c r="L958" s="585">
        <f t="shared" si="157"/>
        <v>6.3044173646833679E-2</v>
      </c>
      <c r="M958" s="585">
        <f t="shared" si="158"/>
        <v>4.3200000000000002E-2</v>
      </c>
      <c r="N958" s="585">
        <f t="shared" si="162"/>
        <v>4.9899999999999986E-2</v>
      </c>
      <c r="O958" s="586">
        <f t="shared" si="159"/>
        <v>1.9844173646833677E-2</v>
      </c>
      <c r="P958" s="585">
        <f t="shared" si="163"/>
        <v>1.3144173646833693E-2</v>
      </c>
      <c r="Q958" s="585">
        <f t="shared" si="164"/>
        <v>0.37661560041001652</v>
      </c>
      <c r="R958" s="585">
        <f t="shared" si="165"/>
        <v>5.4023000000000002E-2</v>
      </c>
      <c r="S958" s="586">
        <f t="shared" si="166"/>
        <v>0.32259260041001653</v>
      </c>
      <c r="U958" s="587"/>
      <c r="V958" s="587"/>
      <c r="W958" s="587"/>
      <c r="X958" s="587"/>
      <c r="Y958" s="587"/>
      <c r="Z958" s="587"/>
      <c r="AA958" s="587"/>
      <c r="AB958" s="587"/>
      <c r="AC958" s="587"/>
      <c r="AE958" s="587"/>
      <c r="AF958" s="587"/>
      <c r="AG958" s="587"/>
      <c r="AH958" s="587"/>
      <c r="AI958" s="587"/>
      <c r="AJ958" s="587"/>
      <c r="AK958" s="587"/>
      <c r="AL958" s="587"/>
      <c r="AM958" s="587"/>
      <c r="AO958" s="587"/>
      <c r="AP958" s="587"/>
      <c r="AQ958" s="587"/>
      <c r="AR958" s="587"/>
      <c r="AS958" s="587"/>
      <c r="AT958" s="587"/>
      <c r="AU958" s="587"/>
      <c r="AV958" s="587"/>
      <c r="AW958" s="587"/>
    </row>
    <row r="959" spans="1:49">
      <c r="A959" s="581">
        <v>38534</v>
      </c>
      <c r="B959" s="594">
        <v>3.7199999999999997E-2</v>
      </c>
      <c r="C959" s="577">
        <v>2.3300000000000001E-2</v>
      </c>
      <c r="D959" s="577">
        <v>3.3999999999999998E-3</v>
      </c>
      <c r="E959" s="577">
        <v>4.2166666666666663E-3</v>
      </c>
      <c r="F959" s="577">
        <v>4.2833333333333326E-3</v>
      </c>
      <c r="G959" s="577">
        <v>4.2499999999999994E-3</v>
      </c>
      <c r="H959" s="577">
        <v>4.5829166666666674E-3</v>
      </c>
      <c r="I959" s="577">
        <f t="shared" si="156"/>
        <v>3.3799999999999997E-2</v>
      </c>
      <c r="J959" s="577">
        <f t="shared" si="160"/>
        <v>3.295E-2</v>
      </c>
      <c r="K959" s="577">
        <f t="shared" si="161"/>
        <v>1.8717083333333336E-2</v>
      </c>
      <c r="L959" s="585">
        <f t="shared" si="157"/>
        <v>0.14033448847501884</v>
      </c>
      <c r="M959" s="585">
        <f t="shared" si="158"/>
        <v>4.0799999999999996E-2</v>
      </c>
      <c r="N959" s="585">
        <f t="shared" si="162"/>
        <v>5.099999999999999E-2</v>
      </c>
      <c r="O959" s="586">
        <f t="shared" si="159"/>
        <v>9.9534488475018834E-2</v>
      </c>
      <c r="P959" s="585">
        <f t="shared" si="163"/>
        <v>8.9334488475018847E-2</v>
      </c>
      <c r="Q959" s="585">
        <f t="shared" si="164"/>
        <v>0.38473483131777297</v>
      </c>
      <c r="R959" s="585">
        <f t="shared" si="165"/>
        <v>5.4995000000000009E-2</v>
      </c>
      <c r="S959" s="586">
        <f t="shared" si="166"/>
        <v>0.32973983131777296</v>
      </c>
      <c r="U959" s="587"/>
      <c r="V959" s="587"/>
      <c r="W959" s="587"/>
      <c r="X959" s="587"/>
      <c r="Y959" s="587"/>
      <c r="Z959" s="587"/>
      <c r="AA959" s="587"/>
      <c r="AB959" s="587"/>
      <c r="AC959" s="587"/>
      <c r="AE959" s="587"/>
      <c r="AF959" s="587"/>
      <c r="AG959" s="587"/>
      <c r="AH959" s="587"/>
      <c r="AI959" s="587"/>
      <c r="AJ959" s="587"/>
      <c r="AK959" s="587"/>
      <c r="AL959" s="587"/>
      <c r="AM959" s="587"/>
      <c r="AO959" s="587"/>
      <c r="AP959" s="587"/>
      <c r="AQ959" s="587"/>
      <c r="AR959" s="587"/>
      <c r="AS959" s="587"/>
      <c r="AT959" s="587"/>
      <c r="AU959" s="587"/>
      <c r="AV959" s="587"/>
      <c r="AW959" s="587"/>
    </row>
    <row r="960" spans="1:49">
      <c r="A960" s="581">
        <v>38565</v>
      </c>
      <c r="B960" s="594">
        <v>-9.1000000000000004E-3</v>
      </c>
      <c r="C960" s="577">
        <v>7.3000000000000001E-3</v>
      </c>
      <c r="D960" s="577">
        <v>4.0000000000000001E-3</v>
      </c>
      <c r="E960" s="577">
        <v>4.2416666666666662E-3</v>
      </c>
      <c r="F960" s="577">
        <v>4.3333333333333331E-3</v>
      </c>
      <c r="G960" s="577">
        <v>4.2874999999999996E-3</v>
      </c>
      <c r="H960" s="577">
        <v>4.5909166666666668E-3</v>
      </c>
      <c r="I960" s="577">
        <f t="shared" si="156"/>
        <v>-1.3100000000000001E-2</v>
      </c>
      <c r="J960" s="577">
        <f t="shared" si="160"/>
        <v>-1.33875E-2</v>
      </c>
      <c r="K960" s="577">
        <f t="shared" si="161"/>
        <v>2.7090833333333333E-3</v>
      </c>
      <c r="L960" s="585">
        <f t="shared" si="157"/>
        <v>0.12545562214133099</v>
      </c>
      <c r="M960" s="585">
        <f t="shared" si="158"/>
        <v>4.8000000000000001E-2</v>
      </c>
      <c r="N960" s="585">
        <f t="shared" si="162"/>
        <v>5.1449999999999996E-2</v>
      </c>
      <c r="O960" s="586">
        <f t="shared" si="159"/>
        <v>7.745562214133099E-2</v>
      </c>
      <c r="P960" s="585">
        <f t="shared" si="163"/>
        <v>7.4005622141330996E-2</v>
      </c>
      <c r="Q960" s="585">
        <f t="shared" si="164"/>
        <v>0.34209890848301061</v>
      </c>
      <c r="R960" s="585">
        <f t="shared" si="165"/>
        <v>5.5091000000000001E-2</v>
      </c>
      <c r="S960" s="586">
        <f t="shared" si="166"/>
        <v>0.28700790848301061</v>
      </c>
      <c r="U960" s="587"/>
      <c r="V960" s="587"/>
      <c r="W960" s="587"/>
      <c r="X960" s="587"/>
      <c r="Y960" s="587"/>
      <c r="Z960" s="587"/>
      <c r="AA960" s="587"/>
      <c r="AB960" s="587"/>
      <c r="AC960" s="587"/>
      <c r="AE960" s="587"/>
      <c r="AF960" s="587"/>
      <c r="AG960" s="587"/>
      <c r="AH960" s="587"/>
      <c r="AI960" s="587"/>
      <c r="AJ960" s="587"/>
      <c r="AK960" s="587"/>
      <c r="AL960" s="587"/>
      <c r="AM960" s="587"/>
      <c r="AO960" s="587"/>
      <c r="AP960" s="587"/>
      <c r="AQ960" s="587"/>
      <c r="AR960" s="587"/>
      <c r="AS960" s="587"/>
      <c r="AT960" s="587"/>
      <c r="AU960" s="587"/>
      <c r="AV960" s="587"/>
      <c r="AW960" s="587"/>
    </row>
    <row r="961" spans="1:49">
      <c r="A961" s="581">
        <v>38596</v>
      </c>
      <c r="B961" s="594">
        <v>8.0999999999999996E-3</v>
      </c>
      <c r="C961" s="577">
        <v>4.0199999999999993E-2</v>
      </c>
      <c r="D961" s="577">
        <v>3.5000000000000005E-3</v>
      </c>
      <c r="E961" s="577">
        <v>4.2750000000000002E-3</v>
      </c>
      <c r="F961" s="577">
        <v>4.3666666666666671E-3</v>
      </c>
      <c r="G961" s="577">
        <v>4.3208333333333336E-3</v>
      </c>
      <c r="H961" s="577">
        <v>4.5853333333333328E-3</v>
      </c>
      <c r="I961" s="577">
        <f t="shared" si="156"/>
        <v>4.5999999999999991E-3</v>
      </c>
      <c r="J961" s="577">
        <f t="shared" si="160"/>
        <v>3.7791666666666659E-3</v>
      </c>
      <c r="K961" s="577">
        <f t="shared" si="161"/>
        <v>3.5614666666666663E-2</v>
      </c>
      <c r="L961" s="585">
        <f t="shared" si="157"/>
        <v>0.12244935959702796</v>
      </c>
      <c r="M961" s="585">
        <f t="shared" si="158"/>
        <v>4.200000000000001E-2</v>
      </c>
      <c r="N961" s="585">
        <f t="shared" si="162"/>
        <v>5.1850000000000007E-2</v>
      </c>
      <c r="O961" s="586">
        <f t="shared" si="159"/>
        <v>8.0449359597027953E-2</v>
      </c>
      <c r="P961" s="585">
        <f t="shared" si="163"/>
        <v>7.0599359597027955E-2</v>
      </c>
      <c r="Q961" s="585">
        <f t="shared" si="164"/>
        <v>0.38346178238433004</v>
      </c>
      <c r="R961" s="585">
        <f t="shared" si="165"/>
        <v>5.502399999999999E-2</v>
      </c>
      <c r="S961" s="586">
        <f t="shared" si="166"/>
        <v>0.32843778238433008</v>
      </c>
      <c r="U961" s="587"/>
      <c r="V961" s="587"/>
      <c r="W961" s="587"/>
      <c r="X961" s="587"/>
      <c r="Y961" s="587"/>
      <c r="Z961" s="587"/>
      <c r="AA961" s="587"/>
      <c r="AB961" s="587"/>
      <c r="AC961" s="587"/>
      <c r="AE961" s="587"/>
      <c r="AF961" s="587"/>
      <c r="AG961" s="587"/>
      <c r="AH961" s="587"/>
      <c r="AI961" s="587"/>
      <c r="AJ961" s="587"/>
      <c r="AK961" s="587"/>
      <c r="AL961" s="587"/>
      <c r="AM961" s="587"/>
      <c r="AO961" s="587"/>
      <c r="AP961" s="587"/>
      <c r="AQ961" s="587"/>
      <c r="AR961" s="587"/>
      <c r="AS961" s="587"/>
      <c r="AT961" s="587"/>
      <c r="AU961" s="587"/>
      <c r="AV961" s="587"/>
      <c r="AW961" s="587"/>
    </row>
    <row r="962" spans="1:49">
      <c r="A962" s="581">
        <v>38626</v>
      </c>
      <c r="B962" s="594">
        <v>-1.67E-2</v>
      </c>
      <c r="C962" s="577">
        <v>-6.1699999999999998E-2</v>
      </c>
      <c r="D962" s="577">
        <v>3.8999999999999994E-3</v>
      </c>
      <c r="E962" s="577">
        <v>4.45E-3</v>
      </c>
      <c r="F962" s="577">
        <v>4.5500000000000002E-3</v>
      </c>
      <c r="G962" s="577">
        <v>4.5000000000000005E-3</v>
      </c>
      <c r="H962" s="577">
        <v>4.8123333333333334E-3</v>
      </c>
      <c r="I962" s="577">
        <f t="shared" si="156"/>
        <v>-2.06E-2</v>
      </c>
      <c r="J962" s="577">
        <f t="shared" si="160"/>
        <v>-2.12E-2</v>
      </c>
      <c r="K962" s="577">
        <f t="shared" si="161"/>
        <v>-6.6512333333333326E-2</v>
      </c>
      <c r="L962" s="585">
        <f t="shared" si="157"/>
        <v>8.707224986876505E-2</v>
      </c>
      <c r="M962" s="585">
        <f t="shared" si="158"/>
        <v>4.6799999999999994E-2</v>
      </c>
      <c r="N962" s="585">
        <f t="shared" si="162"/>
        <v>5.4000000000000006E-2</v>
      </c>
      <c r="O962" s="586">
        <f t="shared" si="159"/>
        <v>4.0272249868765056E-2</v>
      </c>
      <c r="P962" s="585">
        <f t="shared" si="163"/>
        <v>3.3072249868765044E-2</v>
      </c>
      <c r="Q962" s="585">
        <f t="shared" si="164"/>
        <v>0.2368767893389383</v>
      </c>
      <c r="R962" s="585">
        <f t="shared" si="165"/>
        <v>5.7748000000000001E-2</v>
      </c>
      <c r="S962" s="586">
        <f t="shared" si="166"/>
        <v>0.1791287893389383</v>
      </c>
      <c r="U962" s="587"/>
      <c r="V962" s="587"/>
      <c r="W962" s="587"/>
      <c r="X962" s="587"/>
      <c r="Y962" s="587"/>
      <c r="Z962" s="587"/>
      <c r="AA962" s="587"/>
      <c r="AB962" s="587"/>
      <c r="AC962" s="587"/>
      <c r="AE962" s="587"/>
      <c r="AF962" s="587"/>
      <c r="AG962" s="587"/>
      <c r="AH962" s="587"/>
      <c r="AI962" s="587"/>
      <c r="AJ962" s="587"/>
      <c r="AK962" s="587"/>
      <c r="AL962" s="587"/>
      <c r="AM962" s="587"/>
      <c r="AO962" s="587"/>
      <c r="AP962" s="587"/>
      <c r="AQ962" s="587"/>
      <c r="AR962" s="587"/>
      <c r="AS962" s="587"/>
      <c r="AT962" s="587"/>
      <c r="AU962" s="587"/>
      <c r="AV962" s="587"/>
      <c r="AW962" s="587"/>
    </row>
    <row r="963" spans="1:49">
      <c r="A963" s="581">
        <v>38657</v>
      </c>
      <c r="B963" s="594">
        <v>3.78E-2</v>
      </c>
      <c r="C963" s="577">
        <v>-3.8999999999999994E-3</v>
      </c>
      <c r="D963" s="577">
        <v>3.8999999999999994E-3</v>
      </c>
      <c r="E963" s="577">
        <v>4.5208333333333333E-3</v>
      </c>
      <c r="F963" s="577">
        <v>4.6249999999999998E-3</v>
      </c>
      <c r="G963" s="577">
        <v>4.5729166666666661E-3</v>
      </c>
      <c r="H963" s="577">
        <v>4.8986666666666666E-3</v>
      </c>
      <c r="I963" s="577">
        <f t="shared" si="156"/>
        <v>3.39E-2</v>
      </c>
      <c r="J963" s="577">
        <f t="shared" si="160"/>
        <v>3.3227083333333338E-2</v>
      </c>
      <c r="K963" s="577">
        <f t="shared" si="161"/>
        <v>-8.7986666666666664E-3</v>
      </c>
      <c r="L963" s="585">
        <f t="shared" si="157"/>
        <v>8.4251399244406056E-2</v>
      </c>
      <c r="M963" s="585">
        <f t="shared" si="158"/>
        <v>4.6799999999999994E-2</v>
      </c>
      <c r="N963" s="585">
        <f t="shared" si="162"/>
        <v>5.4874999999999993E-2</v>
      </c>
      <c r="O963" s="586">
        <f t="shared" si="159"/>
        <v>3.7451399244406061E-2</v>
      </c>
      <c r="P963" s="585">
        <f t="shared" si="163"/>
        <v>2.9376399244406062E-2</v>
      </c>
      <c r="Q963" s="585">
        <f t="shared" si="164"/>
        <v>0.1838694819453417</v>
      </c>
      <c r="R963" s="585">
        <f t="shared" si="165"/>
        <v>5.8784000000000003E-2</v>
      </c>
      <c r="S963" s="586">
        <f t="shared" si="166"/>
        <v>0.12508548194534169</v>
      </c>
      <c r="U963" s="587"/>
      <c r="V963" s="587"/>
      <c r="W963" s="587"/>
      <c r="X963" s="587"/>
      <c r="Y963" s="587"/>
      <c r="Z963" s="587"/>
      <c r="AA963" s="587"/>
      <c r="AB963" s="587"/>
      <c r="AC963" s="587"/>
      <c r="AE963" s="587"/>
      <c r="AF963" s="587"/>
      <c r="AG963" s="587"/>
      <c r="AH963" s="587"/>
      <c r="AI963" s="587"/>
      <c r="AJ963" s="587"/>
      <c r="AK963" s="587"/>
      <c r="AL963" s="587"/>
      <c r="AM963" s="587"/>
      <c r="AO963" s="587"/>
      <c r="AP963" s="587"/>
      <c r="AQ963" s="587"/>
      <c r="AR963" s="587"/>
      <c r="AS963" s="587"/>
      <c r="AT963" s="587"/>
      <c r="AU963" s="587"/>
      <c r="AV963" s="587"/>
      <c r="AW963" s="587"/>
    </row>
    <row r="964" spans="1:49">
      <c r="A964" s="581">
        <v>38687</v>
      </c>
      <c r="B964" s="594">
        <v>2.9999999999999997E-4</v>
      </c>
      <c r="C964" s="577">
        <v>1.0999999999999999E-2</v>
      </c>
      <c r="D964" s="577">
        <v>3.8999999999999994E-3</v>
      </c>
      <c r="E964" s="577">
        <v>4.4833333333333331E-3</v>
      </c>
      <c r="F964" s="577">
        <v>4.5916666666666666E-3</v>
      </c>
      <c r="G964" s="577">
        <v>4.5374999999999999E-3</v>
      </c>
      <c r="H964" s="577">
        <v>4.8481666666666664E-3</v>
      </c>
      <c r="I964" s="577">
        <f t="shared" si="156"/>
        <v>-3.5999999999999995E-3</v>
      </c>
      <c r="J964" s="577">
        <f t="shared" si="160"/>
        <v>-4.2374999999999999E-3</v>
      </c>
      <c r="K964" s="577">
        <f t="shared" si="161"/>
        <v>6.1518333333333329E-3</v>
      </c>
      <c r="L964" s="585">
        <f t="shared" si="157"/>
        <v>4.891361186090859E-2</v>
      </c>
      <c r="M964" s="585">
        <f t="shared" si="158"/>
        <v>4.6799999999999994E-2</v>
      </c>
      <c r="N964" s="585">
        <f t="shared" si="162"/>
        <v>5.4449999999999998E-2</v>
      </c>
      <c r="O964" s="586">
        <f t="shared" si="159"/>
        <v>2.1136118609085958E-3</v>
      </c>
      <c r="P964" s="585">
        <f t="shared" si="163"/>
        <v>-5.5363881390914083E-3</v>
      </c>
      <c r="Q964" s="585">
        <f t="shared" si="164"/>
        <v>0.16599322576399467</v>
      </c>
      <c r="R964" s="585">
        <f t="shared" si="165"/>
        <v>5.8177999999999994E-2</v>
      </c>
      <c r="S964" s="586">
        <f t="shared" si="166"/>
        <v>0.10781522576399467</v>
      </c>
      <c r="U964" s="587"/>
      <c r="V964" s="587"/>
      <c r="W964" s="587"/>
      <c r="X964" s="587"/>
      <c r="Y964" s="587"/>
      <c r="Z964" s="587"/>
      <c r="AA964" s="587"/>
      <c r="AB964" s="587"/>
      <c r="AC964" s="587"/>
      <c r="AE964" s="587"/>
      <c r="AF964" s="587"/>
      <c r="AG964" s="587"/>
      <c r="AH964" s="587"/>
      <c r="AI964" s="587"/>
      <c r="AJ964" s="587"/>
      <c r="AK964" s="587"/>
      <c r="AL964" s="587"/>
      <c r="AM964" s="587"/>
      <c r="AO964" s="587"/>
      <c r="AP964" s="587"/>
      <c r="AQ964" s="587"/>
      <c r="AR964" s="587"/>
      <c r="AS964" s="587"/>
      <c r="AT964" s="587"/>
      <c r="AU964" s="587"/>
      <c r="AV964" s="587"/>
      <c r="AW964" s="587"/>
    </row>
    <row r="965" spans="1:49">
      <c r="A965" s="581">
        <v>38718</v>
      </c>
      <c r="B965" s="594">
        <v>2.6499999999999999E-2</v>
      </c>
      <c r="C965" s="577">
        <v>2.6347999999999996E-2</v>
      </c>
      <c r="D965" s="577">
        <v>4.0000000000000001E-3</v>
      </c>
      <c r="E965" s="577">
        <v>4.4083333333333335E-3</v>
      </c>
      <c r="F965" s="577">
        <v>4.5416666666666669E-3</v>
      </c>
      <c r="G965" s="577">
        <v>4.4749999999999998E-3</v>
      </c>
      <c r="H965" s="577">
        <v>4.7916666666666672E-3</v>
      </c>
      <c r="I965" s="577">
        <f t="shared" si="156"/>
        <v>2.2499999999999999E-2</v>
      </c>
      <c r="J965" s="577">
        <f t="shared" si="160"/>
        <v>2.2024999999999999E-2</v>
      </c>
      <c r="K965" s="577">
        <f t="shared" si="161"/>
        <v>2.155633333333333E-2</v>
      </c>
      <c r="L965" s="585">
        <f t="shared" si="157"/>
        <v>0.10363860452564855</v>
      </c>
      <c r="M965" s="585">
        <f t="shared" si="158"/>
        <v>4.8000000000000001E-2</v>
      </c>
      <c r="N965" s="585">
        <f t="shared" si="162"/>
        <v>5.3699999999999998E-2</v>
      </c>
      <c r="O965" s="586">
        <f t="shared" si="159"/>
        <v>5.5638604525648547E-2</v>
      </c>
      <c r="P965" s="585">
        <f t="shared" si="163"/>
        <v>4.993860452564855E-2</v>
      </c>
      <c r="Q965" s="585">
        <f t="shared" si="164"/>
        <v>0.1708392674654382</v>
      </c>
      <c r="R965" s="585">
        <f t="shared" si="165"/>
        <v>5.7500000000000009E-2</v>
      </c>
      <c r="S965" s="586">
        <f t="shared" si="166"/>
        <v>0.1133392674654382</v>
      </c>
      <c r="U965" s="587"/>
      <c r="V965" s="587"/>
      <c r="W965" s="587"/>
      <c r="X965" s="587"/>
      <c r="Y965" s="587"/>
      <c r="Z965" s="587"/>
      <c r="AA965" s="587"/>
      <c r="AB965" s="587"/>
      <c r="AC965" s="587"/>
      <c r="AE965" s="587"/>
      <c r="AF965" s="587"/>
      <c r="AG965" s="587"/>
      <c r="AH965" s="587"/>
      <c r="AI965" s="587"/>
      <c r="AJ965" s="587"/>
      <c r="AK965" s="587"/>
      <c r="AL965" s="587"/>
      <c r="AM965" s="587"/>
      <c r="AO965" s="587"/>
      <c r="AP965" s="587"/>
      <c r="AQ965" s="587"/>
      <c r="AR965" s="587"/>
      <c r="AS965" s="587"/>
      <c r="AT965" s="587"/>
      <c r="AU965" s="587"/>
      <c r="AV965" s="587"/>
      <c r="AW965" s="587"/>
    </row>
    <row r="966" spans="1:49">
      <c r="A966" s="581">
        <v>38749</v>
      </c>
      <c r="B966" s="594">
        <v>2.7000000000000001E-3</v>
      </c>
      <c r="C966" s="577">
        <v>9.5270000000000007E-3</v>
      </c>
      <c r="D966" s="577">
        <v>3.5999999999999999E-3</v>
      </c>
      <c r="E966" s="577">
        <v>4.4583333333333332E-3</v>
      </c>
      <c r="F966" s="577">
        <v>4.5916666666666666E-3</v>
      </c>
      <c r="G966" s="577">
        <v>4.5250000000000004E-3</v>
      </c>
      <c r="H966" s="577">
        <v>4.8500000000000001E-3</v>
      </c>
      <c r="I966" s="577">
        <f t="shared" ref="I966:I1029" si="167">B966-D966</f>
        <v>-8.9999999999999976E-4</v>
      </c>
      <c r="J966" s="577">
        <f t="shared" si="160"/>
        <v>-1.8250000000000002E-3</v>
      </c>
      <c r="K966" s="577">
        <f t="shared" si="161"/>
        <v>4.6770000000000006E-3</v>
      </c>
      <c r="L966" s="585">
        <f t="shared" si="157"/>
        <v>8.3857422877441579E-2</v>
      </c>
      <c r="M966" s="585">
        <f t="shared" si="158"/>
        <v>4.3200000000000002E-2</v>
      </c>
      <c r="N966" s="585">
        <f t="shared" si="162"/>
        <v>5.4300000000000001E-2</v>
      </c>
      <c r="O966" s="586">
        <f t="shared" si="159"/>
        <v>4.0657422877441576E-2</v>
      </c>
      <c r="P966" s="585">
        <f t="shared" si="163"/>
        <v>2.9557422877441578E-2</v>
      </c>
      <c r="Q966" s="585">
        <f t="shared" si="164"/>
        <v>0.15915843205509606</v>
      </c>
      <c r="R966" s="585">
        <f t="shared" si="165"/>
        <v>5.8200000000000002E-2</v>
      </c>
      <c r="S966" s="586">
        <f t="shared" si="166"/>
        <v>0.10095843205509605</v>
      </c>
      <c r="U966" s="587"/>
      <c r="V966" s="587"/>
      <c r="W966" s="587"/>
      <c r="X966" s="587"/>
      <c r="Y966" s="587"/>
      <c r="Z966" s="587"/>
      <c r="AA966" s="587"/>
      <c r="AB966" s="587"/>
      <c r="AC966" s="587"/>
      <c r="AE966" s="587"/>
      <c r="AF966" s="587"/>
      <c r="AG966" s="587"/>
      <c r="AH966" s="587"/>
      <c r="AI966" s="587"/>
      <c r="AJ966" s="587"/>
      <c r="AK966" s="587"/>
      <c r="AL966" s="587"/>
      <c r="AM966" s="587"/>
      <c r="AO966" s="587"/>
      <c r="AP966" s="587"/>
      <c r="AQ966" s="587"/>
      <c r="AR966" s="587"/>
      <c r="AS966" s="587"/>
      <c r="AT966" s="587"/>
      <c r="AU966" s="587"/>
      <c r="AV966" s="587"/>
      <c r="AW966" s="587"/>
    </row>
    <row r="967" spans="1:49">
      <c r="A967" s="581">
        <v>38777</v>
      </c>
      <c r="B967" s="594">
        <v>1.24E-2</v>
      </c>
      <c r="C967" s="577">
        <v>-4.6344999999999997E-2</v>
      </c>
      <c r="D967" s="577">
        <v>3.8999999999999994E-3</v>
      </c>
      <c r="E967" s="577">
        <v>4.5999999999999999E-3</v>
      </c>
      <c r="F967" s="577">
        <v>4.725E-3</v>
      </c>
      <c r="G967" s="577">
        <v>4.6624999999999991E-3</v>
      </c>
      <c r="H967" s="577">
        <v>4.9833333333333335E-3</v>
      </c>
      <c r="I967" s="577">
        <f t="shared" si="167"/>
        <v>8.5000000000000006E-3</v>
      </c>
      <c r="J967" s="577">
        <f t="shared" si="160"/>
        <v>7.7375000000000005E-3</v>
      </c>
      <c r="K967" s="577">
        <f t="shared" si="161"/>
        <v>-5.132833333333333E-2</v>
      </c>
      <c r="L967" s="585">
        <f t="shared" si="157"/>
        <v>0.11706938300022585</v>
      </c>
      <c r="M967" s="585">
        <f t="shared" si="158"/>
        <v>4.6799999999999994E-2</v>
      </c>
      <c r="N967" s="585">
        <f t="shared" si="162"/>
        <v>5.5949999999999986E-2</v>
      </c>
      <c r="O967" s="586">
        <f t="shared" si="159"/>
        <v>7.0269383000225852E-2</v>
      </c>
      <c r="P967" s="585">
        <f t="shared" si="163"/>
        <v>6.111938300022586E-2</v>
      </c>
      <c r="Q967" s="585">
        <f t="shared" si="164"/>
        <v>9.3626072933817417E-2</v>
      </c>
      <c r="R967" s="585">
        <f t="shared" si="165"/>
        <v>5.9800000000000006E-2</v>
      </c>
      <c r="S967" s="586">
        <f t="shared" si="166"/>
        <v>3.3826072933817411E-2</v>
      </c>
      <c r="U967" s="587"/>
      <c r="V967" s="587"/>
      <c r="W967" s="587"/>
      <c r="X967" s="587"/>
      <c r="Y967" s="587"/>
      <c r="Z967" s="587"/>
      <c r="AA967" s="587"/>
      <c r="AB967" s="587"/>
      <c r="AC967" s="587"/>
      <c r="AE967" s="587"/>
      <c r="AF967" s="587"/>
      <c r="AG967" s="587"/>
      <c r="AH967" s="587"/>
      <c r="AI967" s="587"/>
      <c r="AJ967" s="587"/>
      <c r="AK967" s="587"/>
      <c r="AL967" s="587"/>
      <c r="AM967" s="587"/>
      <c r="AO967" s="587"/>
      <c r="AP967" s="587"/>
      <c r="AQ967" s="587"/>
      <c r="AR967" s="587"/>
      <c r="AS967" s="587"/>
      <c r="AT967" s="587"/>
      <c r="AU967" s="587"/>
      <c r="AV967" s="587"/>
      <c r="AW967" s="587"/>
    </row>
    <row r="968" spans="1:49">
      <c r="A968" s="581">
        <v>38808</v>
      </c>
      <c r="B968" s="594">
        <v>1.34E-2</v>
      </c>
      <c r="C968" s="577">
        <v>1.7167000000000002E-2</v>
      </c>
      <c r="D968" s="577">
        <v>3.8999999999999994E-3</v>
      </c>
      <c r="E968" s="577">
        <v>4.8666666666666667E-3</v>
      </c>
      <c r="F968" s="577">
        <v>5.0000000000000001E-3</v>
      </c>
      <c r="G968" s="577">
        <v>4.933333333333333E-3</v>
      </c>
      <c r="H968" s="577">
        <v>5.241666666666667E-3</v>
      </c>
      <c r="I968" s="577">
        <f t="shared" si="167"/>
        <v>9.5000000000000015E-3</v>
      </c>
      <c r="J968" s="577">
        <f t="shared" si="160"/>
        <v>8.4666666666666675E-3</v>
      </c>
      <c r="K968" s="577">
        <f t="shared" si="161"/>
        <v>1.1925333333333335E-2</v>
      </c>
      <c r="L968" s="585">
        <f t="shared" si="157"/>
        <v>0.15396341766812349</v>
      </c>
      <c r="M968" s="585">
        <f t="shared" si="158"/>
        <v>4.6799999999999994E-2</v>
      </c>
      <c r="N968" s="585">
        <f t="shared" si="162"/>
        <v>5.9199999999999996E-2</v>
      </c>
      <c r="O968" s="586">
        <f t="shared" si="159"/>
        <v>0.1071634176681235</v>
      </c>
      <c r="P968" s="585">
        <f t="shared" si="163"/>
        <v>9.476341766812349E-2</v>
      </c>
      <c r="Q968" s="585">
        <f t="shared" si="164"/>
        <v>7.7802879302269368E-2</v>
      </c>
      <c r="R968" s="585">
        <f t="shared" si="165"/>
        <v>6.2900000000000011E-2</v>
      </c>
      <c r="S968" s="586">
        <f t="shared" si="166"/>
        <v>1.4902879302269356E-2</v>
      </c>
      <c r="U968" s="587"/>
      <c r="V968" s="587"/>
      <c r="W968" s="587"/>
      <c r="X968" s="587"/>
      <c r="Y968" s="587"/>
      <c r="Z968" s="587"/>
      <c r="AA968" s="587"/>
      <c r="AB968" s="587"/>
      <c r="AC968" s="587"/>
      <c r="AE968" s="587"/>
      <c r="AF968" s="587"/>
      <c r="AG968" s="587"/>
      <c r="AH968" s="587"/>
      <c r="AI968" s="587"/>
      <c r="AJ968" s="587"/>
      <c r="AK968" s="587"/>
      <c r="AL968" s="587"/>
      <c r="AM968" s="587"/>
      <c r="AO968" s="587"/>
      <c r="AP968" s="587"/>
      <c r="AQ968" s="587"/>
      <c r="AR968" s="587"/>
      <c r="AS968" s="587"/>
      <c r="AT968" s="587"/>
      <c r="AU968" s="587"/>
      <c r="AV968" s="587"/>
      <c r="AW968" s="587"/>
    </row>
    <row r="969" spans="1:49">
      <c r="A969" s="581">
        <v>38838</v>
      </c>
      <c r="B969" s="594">
        <v>-2.8799999999999999E-2</v>
      </c>
      <c r="C969" s="577">
        <v>1.4280999999999999E-2</v>
      </c>
      <c r="D969" s="577">
        <v>4.7999999999999996E-3</v>
      </c>
      <c r="E969" s="577">
        <v>4.9583333333333337E-3</v>
      </c>
      <c r="F969" s="577">
        <v>5.1083333333333336E-3</v>
      </c>
      <c r="G969" s="577">
        <v>5.0333333333333341E-3</v>
      </c>
      <c r="H969" s="577">
        <v>5.3500000000000006E-3</v>
      </c>
      <c r="I969" s="577">
        <f t="shared" si="167"/>
        <v>-3.3599999999999998E-2</v>
      </c>
      <c r="J969" s="577">
        <f t="shared" si="160"/>
        <v>-3.3833333333333333E-2</v>
      </c>
      <c r="K969" s="577">
        <f t="shared" si="161"/>
        <v>8.930999999999998E-3</v>
      </c>
      <c r="L969" s="585">
        <f t="shared" si="157"/>
        <v>8.6188477650010586E-2</v>
      </c>
      <c r="M969" s="585">
        <f t="shared" si="158"/>
        <v>5.7599999999999998E-2</v>
      </c>
      <c r="N969" s="585">
        <f t="shared" si="162"/>
        <v>6.0400000000000009E-2</v>
      </c>
      <c r="O969" s="586">
        <f t="shared" si="159"/>
        <v>2.8588477650010588E-2</v>
      </c>
      <c r="P969" s="585">
        <f t="shared" si="163"/>
        <v>2.5788477650010577E-2</v>
      </c>
      <c r="Q969" s="585">
        <f t="shared" si="164"/>
        <v>9.2321125321327857E-2</v>
      </c>
      <c r="R969" s="585">
        <f t="shared" si="165"/>
        <v>6.4200000000000007E-2</v>
      </c>
      <c r="S969" s="586">
        <f t="shared" si="166"/>
        <v>2.812112532132785E-2</v>
      </c>
      <c r="U969" s="587"/>
      <c r="V969" s="587"/>
      <c r="W969" s="587"/>
      <c r="X969" s="587"/>
      <c r="Y969" s="587"/>
      <c r="Z969" s="587"/>
      <c r="AA969" s="587"/>
      <c r="AB969" s="587"/>
      <c r="AC969" s="587"/>
      <c r="AE969" s="587"/>
      <c r="AF969" s="587"/>
      <c r="AG969" s="587"/>
      <c r="AH969" s="587"/>
      <c r="AI969" s="587"/>
      <c r="AJ969" s="587"/>
      <c r="AK969" s="587"/>
      <c r="AL969" s="587"/>
      <c r="AM969" s="587"/>
      <c r="AO969" s="587"/>
      <c r="AP969" s="587"/>
      <c r="AQ969" s="587"/>
      <c r="AR969" s="587"/>
      <c r="AS969" s="587"/>
      <c r="AT969" s="587"/>
      <c r="AU969" s="587"/>
      <c r="AV969" s="587"/>
      <c r="AW969" s="587"/>
    </row>
    <row r="970" spans="1:49">
      <c r="A970" s="581">
        <v>38869</v>
      </c>
      <c r="B970" s="594">
        <v>1.4E-3</v>
      </c>
      <c r="C970" s="577">
        <v>2.4157999999999999E-2</v>
      </c>
      <c r="D970" s="577">
        <v>4.4000000000000003E-3</v>
      </c>
      <c r="E970" s="577">
        <v>4.9083333333333331E-3</v>
      </c>
      <c r="F970" s="577">
        <v>5.0916666666666662E-3</v>
      </c>
      <c r="G970" s="577">
        <v>5.0000000000000001E-3</v>
      </c>
      <c r="H970" s="577">
        <v>5.3333333333333332E-3</v>
      </c>
      <c r="I970" s="577">
        <f t="shared" si="167"/>
        <v>-3.0000000000000001E-3</v>
      </c>
      <c r="J970" s="577">
        <f t="shared" si="160"/>
        <v>-3.5999999999999999E-3</v>
      </c>
      <c r="K970" s="577">
        <f t="shared" si="161"/>
        <v>1.8824666666666667E-2</v>
      </c>
      <c r="L970" s="585">
        <f t="shared" si="157"/>
        <v>8.6188477650010586E-2</v>
      </c>
      <c r="M970" s="585">
        <f t="shared" si="158"/>
        <v>5.28E-2</v>
      </c>
      <c r="N970" s="585">
        <f t="shared" si="162"/>
        <v>0.06</v>
      </c>
      <c r="O970" s="586">
        <f t="shared" si="159"/>
        <v>3.3388477650010587E-2</v>
      </c>
      <c r="P970" s="585">
        <f t="shared" si="163"/>
        <v>2.6188477650010589E-2</v>
      </c>
      <c r="Q970" s="585">
        <f t="shared" si="164"/>
        <v>5.7781220751551121E-2</v>
      </c>
      <c r="R970" s="585">
        <f t="shared" si="165"/>
        <v>6.4000000000000001E-2</v>
      </c>
      <c r="S970" s="586">
        <f t="shared" si="166"/>
        <v>-6.2187792484488802E-3</v>
      </c>
      <c r="U970" s="587"/>
      <c r="V970" s="587"/>
      <c r="W970" s="587"/>
      <c r="X970" s="587"/>
      <c r="Y970" s="587"/>
      <c r="Z970" s="587"/>
      <c r="AA970" s="587"/>
      <c r="AB970" s="587"/>
      <c r="AC970" s="587"/>
      <c r="AE970" s="587"/>
      <c r="AF970" s="587"/>
      <c r="AG970" s="587"/>
      <c r="AH970" s="587"/>
      <c r="AI970" s="587"/>
      <c r="AJ970" s="587"/>
      <c r="AK970" s="587"/>
      <c r="AL970" s="587"/>
      <c r="AM970" s="587"/>
      <c r="AO970" s="587"/>
      <c r="AP970" s="587"/>
      <c r="AQ970" s="587"/>
      <c r="AR970" s="587"/>
      <c r="AS970" s="587"/>
      <c r="AT970" s="587"/>
      <c r="AU970" s="587"/>
      <c r="AV970" s="587"/>
      <c r="AW970" s="587"/>
    </row>
    <row r="971" spans="1:49">
      <c r="A971" s="581">
        <v>38899</v>
      </c>
      <c r="B971" s="594">
        <v>6.1999999999999998E-3</v>
      </c>
      <c r="C971" s="577">
        <v>5.1109000000000002E-2</v>
      </c>
      <c r="D971" s="577">
        <v>4.4999999999999997E-3</v>
      </c>
      <c r="E971" s="577">
        <v>4.875E-3</v>
      </c>
      <c r="F971" s="577">
        <v>5.0666666666666672E-3</v>
      </c>
      <c r="G971" s="577">
        <v>4.9708333333333332E-3</v>
      </c>
      <c r="H971" s="577">
        <v>5.3083333333333342E-3</v>
      </c>
      <c r="I971" s="577">
        <f t="shared" si="167"/>
        <v>1.7000000000000001E-3</v>
      </c>
      <c r="J971" s="577">
        <f t="shared" si="160"/>
        <v>1.2291666666666666E-3</v>
      </c>
      <c r="K971" s="577">
        <f t="shared" si="161"/>
        <v>4.580066666666667E-2</v>
      </c>
      <c r="L971" s="585">
        <f t="shared" si="157"/>
        <v>5.372430217069124E-2</v>
      </c>
      <c r="M971" s="585">
        <f t="shared" si="158"/>
        <v>5.3999999999999992E-2</v>
      </c>
      <c r="N971" s="585">
        <f t="shared" si="162"/>
        <v>5.9649999999999995E-2</v>
      </c>
      <c r="O971" s="586">
        <f t="shared" si="159"/>
        <v>-2.7569782930875197E-4</v>
      </c>
      <c r="P971" s="585">
        <f t="shared" si="163"/>
        <v>-5.9256978293087542E-3</v>
      </c>
      <c r="Q971" s="585">
        <f t="shared" si="164"/>
        <v>8.6527275640517987E-2</v>
      </c>
      <c r="R971" s="585">
        <f t="shared" si="165"/>
        <v>6.3700000000000007E-2</v>
      </c>
      <c r="S971" s="586">
        <f t="shared" si="166"/>
        <v>2.282727564051798E-2</v>
      </c>
      <c r="U971" s="587"/>
      <c r="V971" s="587"/>
      <c r="W971" s="587"/>
      <c r="X971" s="587"/>
      <c r="Y971" s="587"/>
      <c r="Z971" s="587"/>
      <c r="AA971" s="587"/>
      <c r="AB971" s="587"/>
      <c r="AC971" s="587"/>
      <c r="AE971" s="587"/>
      <c r="AF971" s="587"/>
      <c r="AG971" s="587"/>
      <c r="AH971" s="587"/>
      <c r="AI971" s="587"/>
      <c r="AJ971" s="587"/>
      <c r="AK971" s="587"/>
      <c r="AL971" s="587"/>
      <c r="AM971" s="587"/>
      <c r="AO971" s="587"/>
      <c r="AP971" s="587"/>
      <c r="AQ971" s="587"/>
      <c r="AR971" s="587"/>
      <c r="AS971" s="587"/>
      <c r="AT971" s="587"/>
      <c r="AU971" s="587"/>
      <c r="AV971" s="587"/>
      <c r="AW971" s="587"/>
    </row>
    <row r="972" spans="1:49">
      <c r="A972" s="581">
        <v>38930</v>
      </c>
      <c r="B972" s="594">
        <v>2.3800000000000002E-2</v>
      </c>
      <c r="C972" s="577">
        <v>2.7122E-2</v>
      </c>
      <c r="D972" s="577">
        <v>4.3E-3</v>
      </c>
      <c r="E972" s="577">
        <v>4.7333333333333333E-3</v>
      </c>
      <c r="F972" s="577">
        <v>4.9249999999999997E-3</v>
      </c>
      <c r="G972" s="577">
        <v>4.8291666666666665E-3</v>
      </c>
      <c r="H972" s="577">
        <v>5.1666666666666675E-3</v>
      </c>
      <c r="I972" s="577">
        <f t="shared" si="167"/>
        <v>1.9500000000000003E-2</v>
      </c>
      <c r="J972" s="577">
        <f t="shared" si="160"/>
        <v>1.8970833333333336E-2</v>
      </c>
      <c r="K972" s="577">
        <f t="shared" si="161"/>
        <v>2.1955333333333334E-2</v>
      </c>
      <c r="L972" s="585">
        <f t="shared" si="157"/>
        <v>8.8710203413415289E-2</v>
      </c>
      <c r="M972" s="585">
        <f t="shared" si="158"/>
        <v>5.16E-2</v>
      </c>
      <c r="N972" s="585">
        <f t="shared" si="162"/>
        <v>5.7950000000000002E-2</v>
      </c>
      <c r="O972" s="586">
        <f t="shared" si="159"/>
        <v>3.7110203413415289E-2</v>
      </c>
      <c r="P972" s="585">
        <f t="shared" si="163"/>
        <v>3.0760203413415288E-2</v>
      </c>
      <c r="Q972" s="585">
        <f t="shared" si="164"/>
        <v>0.1079083375463521</v>
      </c>
      <c r="R972" s="585">
        <f t="shared" si="165"/>
        <v>6.2000000000000013E-2</v>
      </c>
      <c r="S972" s="586">
        <f t="shared" si="166"/>
        <v>4.5908337546352082E-2</v>
      </c>
      <c r="U972" s="587"/>
      <c r="V972" s="587"/>
      <c r="W972" s="587"/>
      <c r="X972" s="587"/>
      <c r="Y972" s="587"/>
      <c r="Z972" s="587"/>
      <c r="AA972" s="587"/>
      <c r="AB972" s="587"/>
      <c r="AC972" s="587"/>
      <c r="AE972" s="587"/>
      <c r="AF972" s="587"/>
      <c r="AG972" s="587"/>
      <c r="AH972" s="587"/>
      <c r="AI972" s="587"/>
      <c r="AJ972" s="587"/>
      <c r="AK972" s="587"/>
      <c r="AL972" s="587"/>
      <c r="AM972" s="587"/>
      <c r="AO972" s="587"/>
      <c r="AP972" s="587"/>
      <c r="AQ972" s="587"/>
      <c r="AR972" s="587"/>
      <c r="AS972" s="587"/>
      <c r="AT972" s="587"/>
      <c r="AU972" s="587"/>
      <c r="AV972" s="587"/>
      <c r="AW972" s="587"/>
    </row>
    <row r="973" spans="1:49">
      <c r="A973" s="581">
        <v>38961</v>
      </c>
      <c r="B973" s="594">
        <v>2.58E-2</v>
      </c>
      <c r="C973" s="577">
        <v>-1.7362000000000002E-2</v>
      </c>
      <c r="D973" s="577">
        <v>3.8999999999999994E-3</v>
      </c>
      <c r="E973" s="577">
        <v>4.5916666666666666E-3</v>
      </c>
      <c r="F973" s="577">
        <v>4.7916666666666672E-3</v>
      </c>
      <c r="G973" s="577">
        <v>4.6916666666666669E-3</v>
      </c>
      <c r="H973" s="577">
        <v>5.0000000000000001E-3</v>
      </c>
      <c r="I973" s="577">
        <f t="shared" si="167"/>
        <v>2.1899999999999999E-2</v>
      </c>
      <c r="J973" s="577">
        <f t="shared" si="160"/>
        <v>2.1108333333333333E-2</v>
      </c>
      <c r="K973" s="577">
        <f t="shared" si="161"/>
        <v>-2.2362000000000003E-2</v>
      </c>
      <c r="L973" s="585">
        <f t="shared" si="157"/>
        <v>0.10782553978919007</v>
      </c>
      <c r="M973" s="585">
        <f t="shared" si="158"/>
        <v>4.6799999999999994E-2</v>
      </c>
      <c r="N973" s="585">
        <f t="shared" si="162"/>
        <v>5.6300000000000003E-2</v>
      </c>
      <c r="O973" s="586">
        <f t="shared" si="159"/>
        <v>6.1025539789190078E-2</v>
      </c>
      <c r="P973" s="585">
        <f t="shared" si="163"/>
        <v>5.152553978919007E-2</v>
      </c>
      <c r="Q973" s="585">
        <f t="shared" si="164"/>
        <v>4.6599531811067019E-2</v>
      </c>
      <c r="R973" s="585">
        <f t="shared" si="165"/>
        <v>0.06</v>
      </c>
      <c r="S973" s="586">
        <f t="shared" si="166"/>
        <v>-1.3400468188932979E-2</v>
      </c>
      <c r="U973" s="587"/>
      <c r="V973" s="587"/>
      <c r="W973" s="587"/>
      <c r="X973" s="587"/>
      <c r="Y973" s="587"/>
      <c r="Z973" s="587"/>
      <c r="AA973" s="587"/>
      <c r="AB973" s="587"/>
      <c r="AC973" s="587"/>
      <c r="AE973" s="587"/>
      <c r="AF973" s="587"/>
      <c r="AG973" s="587"/>
      <c r="AH973" s="587"/>
      <c r="AI973" s="587"/>
      <c r="AJ973" s="587"/>
      <c r="AK973" s="587"/>
      <c r="AL973" s="587"/>
      <c r="AM973" s="587"/>
      <c r="AO973" s="587"/>
      <c r="AP973" s="587"/>
      <c r="AQ973" s="587"/>
      <c r="AR973" s="587"/>
      <c r="AS973" s="587"/>
      <c r="AT973" s="587"/>
      <c r="AU973" s="587"/>
      <c r="AV973" s="587"/>
      <c r="AW973" s="587"/>
    </row>
    <row r="974" spans="1:49">
      <c r="A974" s="581">
        <v>38991</v>
      </c>
      <c r="B974" s="594">
        <v>3.2599999999999997E-2</v>
      </c>
      <c r="C974" s="577">
        <v>5.6025999999999999E-2</v>
      </c>
      <c r="D974" s="577">
        <v>4.1999999999999997E-3</v>
      </c>
      <c r="E974" s="577">
        <v>4.5916666666666666E-3</v>
      </c>
      <c r="F974" s="577">
        <v>4.783333333333333E-3</v>
      </c>
      <c r="G974" s="577">
        <v>4.6874999999999998E-3</v>
      </c>
      <c r="H974" s="577">
        <v>4.9833333333333335E-3</v>
      </c>
      <c r="I974" s="577">
        <f t="shared" si="167"/>
        <v>2.8399999999999998E-2</v>
      </c>
      <c r="J974" s="577">
        <f t="shared" si="160"/>
        <v>2.7912499999999996E-2</v>
      </c>
      <c r="K974" s="577">
        <f t="shared" si="161"/>
        <v>5.1042666666666667E-2</v>
      </c>
      <c r="L974" s="585">
        <f t="shared" si="157"/>
        <v>0.16336891323738167</v>
      </c>
      <c r="M974" s="585">
        <f t="shared" si="158"/>
        <v>5.04E-2</v>
      </c>
      <c r="N974" s="585">
        <f t="shared" si="162"/>
        <v>5.6249999999999994E-2</v>
      </c>
      <c r="O974" s="586">
        <f t="shared" si="159"/>
        <v>0.11296891323738167</v>
      </c>
      <c r="P974" s="585">
        <f t="shared" si="163"/>
        <v>0.10711891323738168</v>
      </c>
      <c r="Q974" s="585">
        <f t="shared" si="164"/>
        <v>0.17791358539946067</v>
      </c>
      <c r="R974" s="585">
        <f t="shared" si="165"/>
        <v>5.9800000000000006E-2</v>
      </c>
      <c r="S974" s="586">
        <f t="shared" si="166"/>
        <v>0.11811358539946067</v>
      </c>
      <c r="U974" s="587"/>
      <c r="V974" s="587"/>
      <c r="W974" s="587"/>
      <c r="X974" s="587"/>
      <c r="Y974" s="587"/>
      <c r="Z974" s="587"/>
      <c r="AA974" s="587"/>
      <c r="AB974" s="587"/>
      <c r="AC974" s="587"/>
      <c r="AE974" s="587"/>
      <c r="AF974" s="587"/>
      <c r="AG974" s="587"/>
      <c r="AH974" s="587"/>
      <c r="AI974" s="587"/>
      <c r="AJ974" s="587"/>
      <c r="AK974" s="587"/>
      <c r="AL974" s="587"/>
      <c r="AM974" s="587"/>
      <c r="AO974" s="587"/>
      <c r="AP974" s="587"/>
      <c r="AQ974" s="587"/>
      <c r="AR974" s="587"/>
      <c r="AS974" s="587"/>
      <c r="AT974" s="587"/>
      <c r="AU974" s="587"/>
      <c r="AV974" s="587"/>
      <c r="AW974" s="587"/>
    </row>
    <row r="975" spans="1:49">
      <c r="A975" s="581">
        <v>39022</v>
      </c>
      <c r="B975" s="594">
        <v>1.9E-2</v>
      </c>
      <c r="C975" s="577">
        <v>2.1404999999999997E-2</v>
      </c>
      <c r="D975" s="577">
        <v>3.8999999999999994E-3</v>
      </c>
      <c r="E975" s="577">
        <v>4.4416666666666667E-3</v>
      </c>
      <c r="F975" s="577">
        <v>4.6416666666666663E-3</v>
      </c>
      <c r="G975" s="577">
        <v>4.5416666666666669E-3</v>
      </c>
      <c r="H975" s="577">
        <v>4.8333333333333336E-3</v>
      </c>
      <c r="I975" s="577">
        <f t="shared" si="167"/>
        <v>1.5100000000000001E-2</v>
      </c>
      <c r="J975" s="577">
        <f t="shared" si="160"/>
        <v>1.4458333333333333E-2</v>
      </c>
      <c r="K975" s="577">
        <f t="shared" si="161"/>
        <v>1.6571666666666665E-2</v>
      </c>
      <c r="L975" s="585">
        <f t="shared" si="157"/>
        <v>0.14229420176227814</v>
      </c>
      <c r="M975" s="585">
        <f t="shared" si="158"/>
        <v>4.6799999999999994E-2</v>
      </c>
      <c r="N975" s="585">
        <f t="shared" si="162"/>
        <v>5.4500000000000007E-2</v>
      </c>
      <c r="O975" s="586">
        <f t="shared" si="159"/>
        <v>9.5494201762278144E-2</v>
      </c>
      <c r="P975" s="585">
        <f t="shared" si="163"/>
        <v>8.7794201762278132E-2</v>
      </c>
      <c r="Q975" s="585">
        <f t="shared" si="164"/>
        <v>0.20783739152187164</v>
      </c>
      <c r="R975" s="585">
        <f t="shared" si="165"/>
        <v>5.8000000000000003E-2</v>
      </c>
      <c r="S975" s="586">
        <f t="shared" si="166"/>
        <v>0.14983739152187164</v>
      </c>
      <c r="U975" s="587"/>
      <c r="V975" s="587"/>
      <c r="W975" s="587"/>
      <c r="X975" s="587"/>
      <c r="Y975" s="587"/>
      <c r="Z975" s="587"/>
      <c r="AA975" s="587"/>
      <c r="AB975" s="587"/>
      <c r="AC975" s="587"/>
      <c r="AE975" s="587"/>
      <c r="AF975" s="587"/>
      <c r="AG975" s="587"/>
      <c r="AH975" s="587"/>
      <c r="AI975" s="587"/>
      <c r="AJ975" s="587"/>
      <c r="AK975" s="587"/>
      <c r="AL975" s="587"/>
      <c r="AM975" s="587"/>
      <c r="AO975" s="587"/>
      <c r="AP975" s="587"/>
      <c r="AQ975" s="587"/>
      <c r="AR975" s="587"/>
      <c r="AS975" s="587"/>
      <c r="AT975" s="587"/>
      <c r="AU975" s="587"/>
      <c r="AV975" s="587"/>
      <c r="AW975" s="587"/>
    </row>
    <row r="976" spans="1:49">
      <c r="A976" s="581">
        <v>39052</v>
      </c>
      <c r="B976" s="594">
        <v>1.4E-2</v>
      </c>
      <c r="C976" s="577">
        <v>1.1817000000000001E-2</v>
      </c>
      <c r="D976" s="577">
        <v>3.5999999999999999E-3</v>
      </c>
      <c r="E976" s="577">
        <v>4.4083333333333335E-3</v>
      </c>
      <c r="F976" s="577">
        <v>4.6500000000000005E-3</v>
      </c>
      <c r="G976" s="577">
        <v>4.5291666666666666E-3</v>
      </c>
      <c r="H976" s="577">
        <v>4.8416666666666669E-3</v>
      </c>
      <c r="I976" s="577">
        <f t="shared" si="167"/>
        <v>1.04E-2</v>
      </c>
      <c r="J976" s="577">
        <f t="shared" si="160"/>
        <v>9.4708333333333346E-3</v>
      </c>
      <c r="K976" s="577">
        <f t="shared" si="161"/>
        <v>6.9753333333333343E-3</v>
      </c>
      <c r="L976" s="585">
        <f t="shared" ref="L976:L1039" si="168">((1+B965)*(1+B966)*(1+B967)*(1+B968)*(1+B969)*(1+B970)*(1+B971)*(1+B972)*(1+B973)*(1+B974)*(1+B975)*(1+B976))-1</f>
        <v>0.15793893890527766</v>
      </c>
      <c r="M976" s="585">
        <f t="shared" ref="M976:M1039" si="169">D976*12</f>
        <v>4.3200000000000002E-2</v>
      </c>
      <c r="N976" s="585">
        <f t="shared" si="162"/>
        <v>5.4349999999999996E-2</v>
      </c>
      <c r="O976" s="586">
        <f t="shared" ref="O976:O1039" si="170">L976-M976</f>
        <v>0.11473893890527766</v>
      </c>
      <c r="P976" s="585">
        <f t="shared" si="163"/>
        <v>0.10358893890527766</v>
      </c>
      <c r="Q976" s="585">
        <f t="shared" si="164"/>
        <v>0.2088134579401435</v>
      </c>
      <c r="R976" s="585">
        <f t="shared" si="165"/>
        <v>5.8099999999999999E-2</v>
      </c>
      <c r="S976" s="586">
        <f t="shared" si="166"/>
        <v>0.15071345794014351</v>
      </c>
      <c r="U976" s="587"/>
      <c r="V976" s="587"/>
      <c r="W976" s="587"/>
      <c r="X976" s="587"/>
      <c r="Y976" s="587"/>
      <c r="Z976" s="587"/>
      <c r="AA976" s="587"/>
      <c r="AB976" s="587"/>
      <c r="AC976" s="587"/>
      <c r="AE976" s="587"/>
      <c r="AF976" s="587"/>
      <c r="AG976" s="587"/>
      <c r="AH976" s="587"/>
      <c r="AI976" s="587"/>
      <c r="AJ976" s="587"/>
      <c r="AK976" s="587"/>
      <c r="AL976" s="587"/>
      <c r="AM976" s="587"/>
      <c r="AO976" s="587"/>
      <c r="AP976" s="587"/>
      <c r="AQ976" s="587"/>
      <c r="AR976" s="587"/>
      <c r="AS976" s="587"/>
      <c r="AT976" s="587"/>
      <c r="AU976" s="587"/>
      <c r="AV976" s="587"/>
      <c r="AW976" s="587"/>
    </row>
    <row r="977" spans="1:49">
      <c r="A977" s="581">
        <v>39083</v>
      </c>
      <c r="B977" s="594">
        <v>1.5100000000000001E-2</v>
      </c>
      <c r="C977" s="577">
        <v>-1.134E-3</v>
      </c>
      <c r="D977" s="577">
        <v>4.3E-3</v>
      </c>
      <c r="E977" s="577">
        <v>4.5000000000000005E-3</v>
      </c>
      <c r="F977" s="577">
        <v>4.7916666666666672E-3</v>
      </c>
      <c r="G977" s="577">
        <v>4.6458333333333334E-3</v>
      </c>
      <c r="H977" s="577">
        <v>4.9666666666666661E-3</v>
      </c>
      <c r="I977" s="577">
        <f t="shared" si="167"/>
        <v>1.0800000000000001E-2</v>
      </c>
      <c r="J977" s="577">
        <f t="shared" si="160"/>
        <v>1.0454166666666667E-2</v>
      </c>
      <c r="K977" s="577">
        <f t="shared" si="161"/>
        <v>-6.1006666666666657E-3</v>
      </c>
      <c r="L977" s="585">
        <f t="shared" si="168"/>
        <v>0.14507921761592502</v>
      </c>
      <c r="M977" s="585">
        <f t="shared" si="169"/>
        <v>5.16E-2</v>
      </c>
      <c r="N977" s="585">
        <f t="shared" si="162"/>
        <v>5.5750000000000001E-2</v>
      </c>
      <c r="O977" s="586">
        <f t="shared" si="170"/>
        <v>9.3479217615925009E-2</v>
      </c>
      <c r="P977" s="585">
        <f t="shared" si="163"/>
        <v>8.9329217615925022E-2</v>
      </c>
      <c r="Q977" s="585">
        <f t="shared" si="164"/>
        <v>0.1764456728895456</v>
      </c>
      <c r="R977" s="585">
        <f t="shared" si="165"/>
        <v>5.9599999999999993E-2</v>
      </c>
      <c r="S977" s="586">
        <f t="shared" si="166"/>
        <v>0.11684567288954562</v>
      </c>
      <c r="U977" s="587"/>
      <c r="V977" s="587"/>
      <c r="W977" s="587"/>
      <c r="X977" s="587"/>
      <c r="Y977" s="587"/>
      <c r="Z977" s="587"/>
      <c r="AA977" s="587"/>
      <c r="AB977" s="587"/>
      <c r="AC977" s="587"/>
      <c r="AE977" s="587"/>
      <c r="AF977" s="587"/>
      <c r="AG977" s="587"/>
      <c r="AH977" s="587"/>
      <c r="AI977" s="587"/>
      <c r="AJ977" s="587"/>
      <c r="AK977" s="587"/>
      <c r="AL977" s="587"/>
      <c r="AM977" s="587"/>
      <c r="AO977" s="587"/>
      <c r="AP977" s="587"/>
      <c r="AQ977" s="587"/>
      <c r="AR977" s="587"/>
      <c r="AS977" s="587"/>
      <c r="AT977" s="587"/>
      <c r="AU977" s="587"/>
      <c r="AV977" s="587"/>
      <c r="AW977" s="587"/>
    </row>
    <row r="978" spans="1:49">
      <c r="A978" s="581">
        <v>39114</v>
      </c>
      <c r="B978" s="594">
        <v>-1.9599999999999999E-2</v>
      </c>
      <c r="C978" s="577">
        <v>5.0340999999999997E-2</v>
      </c>
      <c r="D978" s="577">
        <v>3.8E-3</v>
      </c>
      <c r="E978" s="577">
        <v>4.4916666666666664E-3</v>
      </c>
      <c r="F978" s="577">
        <v>4.7666666666666664E-3</v>
      </c>
      <c r="G978" s="577">
        <v>4.6291666666666668E-3</v>
      </c>
      <c r="H978" s="577">
        <v>4.9166666666666673E-3</v>
      </c>
      <c r="I978" s="577">
        <f t="shared" si="167"/>
        <v>-2.3400000000000001E-2</v>
      </c>
      <c r="J978" s="577">
        <f t="shared" si="160"/>
        <v>-2.4229166666666666E-2</v>
      </c>
      <c r="K978" s="577">
        <f t="shared" si="161"/>
        <v>4.542433333333333E-2</v>
      </c>
      <c r="L978" s="585">
        <f t="shared" si="168"/>
        <v>0.11961271063194712</v>
      </c>
      <c r="M978" s="585">
        <f t="shared" si="169"/>
        <v>4.5600000000000002E-2</v>
      </c>
      <c r="N978" s="585">
        <f t="shared" si="162"/>
        <v>5.5550000000000002E-2</v>
      </c>
      <c r="O978" s="586">
        <f t="shared" si="170"/>
        <v>7.4012710631947115E-2</v>
      </c>
      <c r="P978" s="585">
        <f t="shared" si="163"/>
        <v>6.4062710631947115E-2</v>
      </c>
      <c r="Q978" s="585">
        <f t="shared" si="164"/>
        <v>0.22400800028971823</v>
      </c>
      <c r="R978" s="585">
        <f t="shared" si="165"/>
        <v>5.9000000000000011E-2</v>
      </c>
      <c r="S978" s="586">
        <f t="shared" si="166"/>
        <v>0.16500800028971824</v>
      </c>
      <c r="U978" s="587"/>
      <c r="V978" s="587"/>
      <c r="W978" s="587"/>
      <c r="X978" s="587"/>
      <c r="Y978" s="587"/>
      <c r="Z978" s="587"/>
      <c r="AA978" s="587"/>
      <c r="AB978" s="587"/>
      <c r="AC978" s="587"/>
      <c r="AE978" s="587"/>
      <c r="AF978" s="587"/>
      <c r="AG978" s="587"/>
      <c r="AH978" s="587"/>
      <c r="AI978" s="587"/>
      <c r="AJ978" s="587"/>
      <c r="AK978" s="587"/>
      <c r="AL978" s="587"/>
      <c r="AM978" s="587"/>
      <c r="AO978" s="587"/>
      <c r="AP978" s="587"/>
      <c r="AQ978" s="587"/>
      <c r="AR978" s="587"/>
      <c r="AS978" s="587"/>
      <c r="AT978" s="587"/>
      <c r="AU978" s="587"/>
      <c r="AV978" s="587"/>
      <c r="AW978" s="587"/>
    </row>
    <row r="979" spans="1:49">
      <c r="A979" s="581">
        <v>39142</v>
      </c>
      <c r="B979" s="594">
        <v>1.12E-2</v>
      </c>
      <c r="C979" s="577">
        <v>4.1373E-2</v>
      </c>
      <c r="D979" s="577">
        <v>3.8999999999999994E-3</v>
      </c>
      <c r="E979" s="577">
        <v>4.4166666666666668E-3</v>
      </c>
      <c r="F979" s="577">
        <v>4.7166666666666668E-3</v>
      </c>
      <c r="G979" s="577">
        <v>4.5666666666666668E-3</v>
      </c>
      <c r="H979" s="577">
        <v>4.8750000000000009E-3</v>
      </c>
      <c r="I979" s="577">
        <f t="shared" si="167"/>
        <v>7.3000000000000009E-3</v>
      </c>
      <c r="J979" s="577">
        <f t="shared" si="160"/>
        <v>6.6333333333333331E-3</v>
      </c>
      <c r="K979" s="577">
        <f t="shared" si="161"/>
        <v>3.6498000000000003E-2</v>
      </c>
      <c r="L979" s="585">
        <f t="shared" si="168"/>
        <v>0.11828563116458413</v>
      </c>
      <c r="M979" s="585">
        <f t="shared" si="169"/>
        <v>4.6799999999999994E-2</v>
      </c>
      <c r="N979" s="585">
        <f t="shared" si="162"/>
        <v>5.4800000000000001E-2</v>
      </c>
      <c r="O979" s="586">
        <f t="shared" si="170"/>
        <v>7.1485631164584132E-2</v>
      </c>
      <c r="P979" s="585">
        <f t="shared" si="163"/>
        <v>6.3485631164584125E-2</v>
      </c>
      <c r="Q979" s="585">
        <f t="shared" si="164"/>
        <v>0.33659329976323193</v>
      </c>
      <c r="R979" s="585">
        <f t="shared" si="165"/>
        <v>5.850000000000001E-2</v>
      </c>
      <c r="S979" s="586">
        <f t="shared" si="166"/>
        <v>0.27809329976323194</v>
      </c>
      <c r="U979" s="587"/>
      <c r="V979" s="587"/>
      <c r="W979" s="587"/>
      <c r="X979" s="587"/>
      <c r="Y979" s="587"/>
      <c r="Z979" s="587"/>
      <c r="AA979" s="587"/>
      <c r="AB979" s="587"/>
      <c r="AC979" s="587"/>
      <c r="AE979" s="587"/>
      <c r="AF979" s="587"/>
      <c r="AG979" s="587"/>
      <c r="AH979" s="587"/>
      <c r="AI979" s="587"/>
      <c r="AJ979" s="587"/>
      <c r="AK979" s="587"/>
      <c r="AL979" s="587"/>
      <c r="AM979" s="587"/>
      <c r="AO979" s="587"/>
      <c r="AP979" s="587"/>
      <c r="AQ979" s="587"/>
      <c r="AR979" s="587"/>
      <c r="AS979" s="587"/>
      <c r="AT979" s="587"/>
      <c r="AU979" s="587"/>
      <c r="AV979" s="587"/>
      <c r="AW979" s="587"/>
    </row>
    <row r="980" spans="1:49">
      <c r="A980" s="581">
        <v>39173</v>
      </c>
      <c r="B980" s="594">
        <v>4.4299999999999999E-2</v>
      </c>
      <c r="C980" s="577">
        <v>4.3758999999999999E-2</v>
      </c>
      <c r="D980" s="577">
        <v>4.1999999999999997E-3</v>
      </c>
      <c r="E980" s="577">
        <v>4.5583333333333335E-3</v>
      </c>
      <c r="F980" s="577">
        <v>4.8583333333333334E-3</v>
      </c>
      <c r="G980" s="577">
        <v>4.7083333333333335E-3</v>
      </c>
      <c r="H980" s="577">
        <v>4.9750000000000003E-3</v>
      </c>
      <c r="I980" s="577">
        <f t="shared" si="167"/>
        <v>4.0099999999999997E-2</v>
      </c>
      <c r="J980" s="577">
        <f t="shared" si="160"/>
        <v>3.9591666666666664E-2</v>
      </c>
      <c r="K980" s="577">
        <f t="shared" si="161"/>
        <v>3.8783999999999999E-2</v>
      </c>
      <c r="L980" s="585">
        <f t="shared" si="168"/>
        <v>0.15238374247599684</v>
      </c>
      <c r="M980" s="585">
        <f t="shared" si="169"/>
        <v>5.04E-2</v>
      </c>
      <c r="N980" s="585">
        <f t="shared" si="162"/>
        <v>5.6500000000000002E-2</v>
      </c>
      <c r="O980" s="586">
        <f t="shared" si="170"/>
        <v>0.10198374247599684</v>
      </c>
      <c r="P980" s="585">
        <f t="shared" si="163"/>
        <v>9.5883742475996847E-2</v>
      </c>
      <c r="Q980" s="585">
        <f t="shared" si="164"/>
        <v>0.37153612530446933</v>
      </c>
      <c r="R980" s="585">
        <f t="shared" si="165"/>
        <v>5.9700000000000003E-2</v>
      </c>
      <c r="S980" s="586">
        <f t="shared" si="166"/>
        <v>0.31183612530446936</v>
      </c>
      <c r="U980" s="587"/>
      <c r="V980" s="587"/>
      <c r="W980" s="587"/>
      <c r="X980" s="587"/>
      <c r="Y980" s="587"/>
      <c r="Z980" s="587"/>
      <c r="AA980" s="587"/>
      <c r="AB980" s="587"/>
      <c r="AC980" s="587"/>
      <c r="AE980" s="587"/>
      <c r="AF980" s="587"/>
      <c r="AG980" s="587"/>
      <c r="AH980" s="587"/>
      <c r="AI980" s="587"/>
      <c r="AJ980" s="587"/>
      <c r="AK980" s="587"/>
      <c r="AL980" s="587"/>
      <c r="AM980" s="587"/>
      <c r="AO980" s="587"/>
      <c r="AP980" s="587"/>
      <c r="AQ980" s="587"/>
      <c r="AR980" s="587"/>
      <c r="AS980" s="587"/>
      <c r="AT980" s="587"/>
      <c r="AU980" s="587"/>
      <c r="AV980" s="587"/>
      <c r="AW980" s="587"/>
    </row>
    <row r="981" spans="1:49">
      <c r="A981" s="581">
        <v>39203</v>
      </c>
      <c r="B981" s="594">
        <v>3.49E-2</v>
      </c>
      <c r="C981" s="577">
        <v>5.1450000000000003E-3</v>
      </c>
      <c r="D981" s="577">
        <v>4.1000000000000003E-3</v>
      </c>
      <c r="E981" s="577">
        <v>4.5583333333333335E-3</v>
      </c>
      <c r="F981" s="577">
        <v>4.875E-3</v>
      </c>
      <c r="G981" s="577">
        <v>4.7166666666666668E-3</v>
      </c>
      <c r="H981" s="577">
        <v>4.9916666666666668E-3</v>
      </c>
      <c r="I981" s="577">
        <f t="shared" si="167"/>
        <v>3.0800000000000001E-2</v>
      </c>
      <c r="J981" s="577">
        <f t="shared" si="160"/>
        <v>3.0183333333333333E-2</v>
      </c>
      <c r="K981" s="577">
        <f t="shared" si="161"/>
        <v>1.5333333333333345E-4</v>
      </c>
      <c r="L981" s="585">
        <f t="shared" si="168"/>
        <v>0.22796739609597338</v>
      </c>
      <c r="M981" s="585">
        <f t="shared" si="169"/>
        <v>4.9200000000000008E-2</v>
      </c>
      <c r="N981" s="585">
        <f t="shared" si="162"/>
        <v>5.6599999999999998E-2</v>
      </c>
      <c r="O981" s="586">
        <f t="shared" si="170"/>
        <v>0.17876739609597336</v>
      </c>
      <c r="P981" s="585">
        <f t="shared" si="163"/>
        <v>0.1713673960959734</v>
      </c>
      <c r="Q981" s="585">
        <f t="shared" si="164"/>
        <v>0.35918219770375348</v>
      </c>
      <c r="R981" s="585">
        <f t="shared" si="165"/>
        <v>5.9900000000000002E-2</v>
      </c>
      <c r="S981" s="586">
        <f t="shared" si="166"/>
        <v>0.29928219770375347</v>
      </c>
      <c r="U981" s="587"/>
      <c r="V981" s="587"/>
      <c r="W981" s="587"/>
      <c r="X981" s="587"/>
      <c r="Y981" s="587"/>
      <c r="Z981" s="587"/>
      <c r="AA981" s="587"/>
      <c r="AB981" s="587"/>
      <c r="AC981" s="587"/>
      <c r="AE981" s="587"/>
      <c r="AF981" s="587"/>
      <c r="AG981" s="587"/>
      <c r="AH981" s="587"/>
      <c r="AI981" s="587"/>
      <c r="AJ981" s="587"/>
      <c r="AK981" s="587"/>
      <c r="AL981" s="587"/>
      <c r="AM981" s="587"/>
      <c r="AO981" s="587"/>
      <c r="AP981" s="587"/>
      <c r="AQ981" s="587"/>
      <c r="AR981" s="587"/>
      <c r="AS981" s="587"/>
      <c r="AT981" s="587"/>
      <c r="AU981" s="587"/>
      <c r="AV981" s="587"/>
      <c r="AW981" s="587"/>
    </row>
    <row r="982" spans="1:49">
      <c r="A982" s="581">
        <v>39234</v>
      </c>
      <c r="B982" s="594">
        <v>-1.66E-2</v>
      </c>
      <c r="C982" s="577">
        <v>-5.0620999999999999E-2</v>
      </c>
      <c r="D982" s="577">
        <v>4.0000000000000001E-3</v>
      </c>
      <c r="E982" s="577">
        <v>4.8249999999999996E-4</v>
      </c>
      <c r="F982" s="577">
        <v>5.1416666666666668E-3</v>
      </c>
      <c r="G982" s="577">
        <v>2.8120833333333335E-3</v>
      </c>
      <c r="H982" s="577">
        <v>5.2500000000000003E-3</v>
      </c>
      <c r="I982" s="577">
        <f t="shared" si="167"/>
        <v>-2.06E-2</v>
      </c>
      <c r="J982" s="577">
        <f t="shared" si="160"/>
        <v>-1.9412083333333333E-2</v>
      </c>
      <c r="K982" s="577">
        <f t="shared" si="161"/>
        <v>-5.5870999999999997E-2</v>
      </c>
      <c r="L982" s="585">
        <f t="shared" si="168"/>
        <v>0.20589488448250481</v>
      </c>
      <c r="M982" s="585">
        <f t="shared" si="169"/>
        <v>4.8000000000000001E-2</v>
      </c>
      <c r="N982" s="585">
        <f t="shared" si="162"/>
        <v>3.3745000000000004E-2</v>
      </c>
      <c r="O982" s="586">
        <f t="shared" si="170"/>
        <v>0.15789488448250483</v>
      </c>
      <c r="P982" s="585">
        <f t="shared" si="163"/>
        <v>0.17214988448250482</v>
      </c>
      <c r="Q982" s="585">
        <f t="shared" si="164"/>
        <v>0.25994137200880307</v>
      </c>
      <c r="R982" s="585">
        <f t="shared" si="165"/>
        <v>6.3E-2</v>
      </c>
      <c r="S982" s="586">
        <f t="shared" si="166"/>
        <v>0.19694137200880307</v>
      </c>
      <c r="U982" s="587"/>
      <c r="V982" s="587"/>
      <c r="W982" s="587"/>
      <c r="X982" s="587"/>
      <c r="Y982" s="587"/>
      <c r="Z982" s="587"/>
      <c r="AA982" s="587"/>
      <c r="AB982" s="587"/>
      <c r="AC982" s="587"/>
      <c r="AE982" s="587"/>
      <c r="AF982" s="587"/>
      <c r="AG982" s="587"/>
      <c r="AH982" s="587"/>
      <c r="AI982" s="587"/>
      <c r="AJ982" s="587"/>
      <c r="AK982" s="587"/>
      <c r="AL982" s="587"/>
      <c r="AM982" s="587"/>
      <c r="AO982" s="587"/>
      <c r="AP982" s="587"/>
      <c r="AQ982" s="587"/>
      <c r="AR982" s="587"/>
      <c r="AS982" s="587"/>
      <c r="AT982" s="587"/>
      <c r="AU982" s="587"/>
      <c r="AV982" s="587"/>
      <c r="AW982" s="587"/>
    </row>
    <row r="983" spans="1:49">
      <c r="A983" s="581">
        <v>39264</v>
      </c>
      <c r="B983" s="594">
        <v>-3.1E-2</v>
      </c>
      <c r="C983" s="577">
        <v>-3.5666000000000003E-2</v>
      </c>
      <c r="D983" s="577">
        <v>4.5999999999999999E-3</v>
      </c>
      <c r="E983" s="577">
        <v>4.7750000000000006E-3</v>
      </c>
      <c r="F983" s="577">
        <v>5.0749999999999997E-3</v>
      </c>
      <c r="G983" s="577">
        <v>4.9249999999999997E-3</v>
      </c>
      <c r="H983" s="577">
        <v>5.2083333333333339E-3</v>
      </c>
      <c r="I983" s="577">
        <f t="shared" si="167"/>
        <v>-3.56E-2</v>
      </c>
      <c r="J983" s="577">
        <f t="shared" si="160"/>
        <v>-3.5924999999999999E-2</v>
      </c>
      <c r="K983" s="577">
        <f t="shared" si="161"/>
        <v>-4.0874333333333339E-2</v>
      </c>
      <c r="L983" s="585">
        <f t="shared" si="168"/>
        <v>0.16131200861016359</v>
      </c>
      <c r="M983" s="585">
        <f t="shared" si="169"/>
        <v>5.5199999999999999E-2</v>
      </c>
      <c r="N983" s="585">
        <f t="shared" si="162"/>
        <v>5.91E-2</v>
      </c>
      <c r="O983" s="586">
        <f t="shared" si="170"/>
        <v>0.10611200861016359</v>
      </c>
      <c r="P983" s="585">
        <f t="shared" si="163"/>
        <v>0.10221200861016359</v>
      </c>
      <c r="Q983" s="585">
        <f t="shared" si="164"/>
        <v>0.15592607715730455</v>
      </c>
      <c r="R983" s="585">
        <f t="shared" si="165"/>
        <v>6.25E-2</v>
      </c>
      <c r="S983" s="586">
        <f t="shared" si="166"/>
        <v>9.3426077157304555E-2</v>
      </c>
      <c r="U983" s="587"/>
      <c r="V983" s="587"/>
      <c r="W983" s="587"/>
      <c r="X983" s="587"/>
      <c r="Y983" s="587"/>
      <c r="Z983" s="587"/>
      <c r="AA983" s="587"/>
      <c r="AB983" s="587"/>
      <c r="AC983" s="587"/>
      <c r="AE983" s="587"/>
      <c r="AF983" s="587"/>
      <c r="AG983" s="587"/>
      <c r="AH983" s="587"/>
      <c r="AI983" s="587"/>
      <c r="AJ983" s="587"/>
      <c r="AK983" s="587"/>
      <c r="AL983" s="587"/>
      <c r="AM983" s="587"/>
      <c r="AO983" s="587"/>
      <c r="AP983" s="587"/>
      <c r="AQ983" s="587"/>
      <c r="AR983" s="587"/>
      <c r="AS983" s="587"/>
      <c r="AT983" s="587"/>
      <c r="AU983" s="587"/>
      <c r="AV983" s="587"/>
      <c r="AW983" s="587"/>
    </row>
    <row r="984" spans="1:49">
      <c r="A984" s="581">
        <v>39295</v>
      </c>
      <c r="B984" s="594">
        <v>1.4999999999999999E-2</v>
      </c>
      <c r="C984" s="577">
        <v>2.0955999999999995E-2</v>
      </c>
      <c r="D984" s="577">
        <v>4.1999999999999997E-3</v>
      </c>
      <c r="E984" s="577">
        <v>4.8249999999999994E-3</v>
      </c>
      <c r="F984" s="577">
        <v>5.0499999999999998E-3</v>
      </c>
      <c r="G984" s="577">
        <v>4.9375E-3</v>
      </c>
      <c r="H984" s="577">
        <v>5.1999999999999998E-3</v>
      </c>
      <c r="I984" s="577">
        <f t="shared" si="167"/>
        <v>1.0800000000000001E-2</v>
      </c>
      <c r="J984" s="577">
        <f t="shared" si="160"/>
        <v>1.0062499999999999E-2</v>
      </c>
      <c r="K984" s="577">
        <f t="shared" si="161"/>
        <v>1.5755999999999996E-2</v>
      </c>
      <c r="L984" s="585">
        <f t="shared" si="168"/>
        <v>0.15133003393174094</v>
      </c>
      <c r="M984" s="585">
        <f t="shared" si="169"/>
        <v>5.04E-2</v>
      </c>
      <c r="N984" s="585">
        <f t="shared" si="162"/>
        <v>5.9249999999999997E-2</v>
      </c>
      <c r="O984" s="586">
        <f t="shared" si="170"/>
        <v>0.10093003393174094</v>
      </c>
      <c r="P984" s="585">
        <f t="shared" si="163"/>
        <v>9.208003393174094E-2</v>
      </c>
      <c r="Q984" s="585">
        <f t="shared" si="164"/>
        <v>0.14898684287768416</v>
      </c>
      <c r="R984" s="585">
        <f t="shared" si="165"/>
        <v>6.2399999999999997E-2</v>
      </c>
      <c r="S984" s="586">
        <f t="shared" si="166"/>
        <v>8.6586842877684159E-2</v>
      </c>
      <c r="U984" s="587"/>
      <c r="V984" s="587"/>
      <c r="W984" s="587"/>
      <c r="X984" s="587"/>
      <c r="Y984" s="587"/>
      <c r="Z984" s="587"/>
      <c r="AA984" s="587"/>
      <c r="AB984" s="587"/>
      <c r="AC984" s="587"/>
      <c r="AE984" s="587"/>
      <c r="AF984" s="587"/>
      <c r="AG984" s="587"/>
      <c r="AH984" s="587"/>
      <c r="AI984" s="587"/>
      <c r="AJ984" s="587"/>
      <c r="AK984" s="587"/>
      <c r="AL984" s="587"/>
      <c r="AM984" s="587"/>
      <c r="AO984" s="587"/>
      <c r="AP984" s="587"/>
      <c r="AQ984" s="587"/>
      <c r="AR984" s="587"/>
      <c r="AS984" s="587"/>
      <c r="AT984" s="587"/>
      <c r="AU984" s="587"/>
      <c r="AV984" s="587"/>
      <c r="AW984" s="587"/>
    </row>
    <row r="985" spans="1:49">
      <c r="A985" s="581">
        <v>39326</v>
      </c>
      <c r="B985" s="594">
        <v>3.7400000000000003E-2</v>
      </c>
      <c r="C985" s="577">
        <v>3.5427E-2</v>
      </c>
      <c r="D985" s="577">
        <v>3.7000000000000002E-3</v>
      </c>
      <c r="E985" s="577">
        <v>4.783333333333333E-3</v>
      </c>
      <c r="F985" s="577">
        <v>5.0166666666666658E-3</v>
      </c>
      <c r="G985" s="577">
        <v>4.8999999999999998E-3</v>
      </c>
      <c r="H985" s="577">
        <v>5.1500000000000001E-3</v>
      </c>
      <c r="I985" s="577">
        <f t="shared" si="167"/>
        <v>3.3700000000000001E-2</v>
      </c>
      <c r="J985" s="577">
        <f t="shared" si="160"/>
        <v>3.2500000000000001E-2</v>
      </c>
      <c r="K985" s="577">
        <f t="shared" si="161"/>
        <v>3.0276999999999998E-2</v>
      </c>
      <c r="L985" s="585">
        <f t="shared" si="168"/>
        <v>0.16434955858918698</v>
      </c>
      <c r="M985" s="585">
        <f t="shared" si="169"/>
        <v>4.4400000000000002E-2</v>
      </c>
      <c r="N985" s="585">
        <f t="shared" si="162"/>
        <v>5.8799999999999998E-2</v>
      </c>
      <c r="O985" s="586">
        <f t="shared" si="170"/>
        <v>0.11994955858918699</v>
      </c>
      <c r="P985" s="585">
        <f t="shared" si="163"/>
        <v>0.10554955858918699</v>
      </c>
      <c r="Q985" s="585">
        <f t="shared" si="164"/>
        <v>0.21071238824502192</v>
      </c>
      <c r="R985" s="585">
        <f t="shared" si="165"/>
        <v>6.1800000000000001E-2</v>
      </c>
      <c r="S985" s="586">
        <f t="shared" si="166"/>
        <v>0.14891238824502193</v>
      </c>
      <c r="U985" s="587"/>
      <c r="V985" s="587"/>
      <c r="W985" s="587"/>
      <c r="X985" s="587"/>
      <c r="Y985" s="587"/>
      <c r="Z985" s="587"/>
      <c r="AA985" s="587"/>
      <c r="AB985" s="587"/>
      <c r="AC985" s="587"/>
      <c r="AE985" s="587"/>
      <c r="AF985" s="587"/>
      <c r="AG985" s="587"/>
      <c r="AH985" s="587"/>
      <c r="AI985" s="587"/>
      <c r="AJ985" s="587"/>
      <c r="AK985" s="587"/>
      <c r="AL985" s="587"/>
      <c r="AM985" s="587"/>
      <c r="AO985" s="587"/>
      <c r="AP985" s="587"/>
      <c r="AQ985" s="587"/>
      <c r="AR985" s="587"/>
      <c r="AS985" s="587"/>
      <c r="AT985" s="587"/>
      <c r="AU985" s="587"/>
      <c r="AV985" s="587"/>
      <c r="AW985" s="587"/>
    </row>
    <row r="986" spans="1:49">
      <c r="A986" s="581">
        <v>39356</v>
      </c>
      <c r="B986" s="594">
        <v>1.5900000000000001E-2</v>
      </c>
      <c r="C986" s="577">
        <v>6.8641000000000008E-2</v>
      </c>
      <c r="D986" s="577">
        <v>4.3E-3</v>
      </c>
      <c r="E986" s="577">
        <v>4.7166666666666668E-3</v>
      </c>
      <c r="F986" s="577">
        <v>4.9500000000000004E-3</v>
      </c>
      <c r="G986" s="577">
        <v>4.8333333333333336E-3</v>
      </c>
      <c r="H986" s="577">
        <v>5.0916666666666662E-3</v>
      </c>
      <c r="I986" s="577">
        <f t="shared" si="167"/>
        <v>1.1600000000000001E-2</v>
      </c>
      <c r="J986" s="577">
        <f t="shared" si="160"/>
        <v>1.1066666666666667E-2</v>
      </c>
      <c r="K986" s="577">
        <f t="shared" si="161"/>
        <v>6.3549333333333347E-2</v>
      </c>
      <c r="L986" s="585">
        <f t="shared" si="168"/>
        <v>0.14551880357423475</v>
      </c>
      <c r="M986" s="585">
        <f t="shared" si="169"/>
        <v>5.16E-2</v>
      </c>
      <c r="N986" s="585">
        <f t="shared" si="162"/>
        <v>5.8000000000000003E-2</v>
      </c>
      <c r="O986" s="586">
        <f t="shared" si="170"/>
        <v>9.3918803574234738E-2</v>
      </c>
      <c r="P986" s="585">
        <f t="shared" si="163"/>
        <v>8.7518803574234749E-2</v>
      </c>
      <c r="Q986" s="585">
        <f t="shared" si="164"/>
        <v>0.22517522985849681</v>
      </c>
      <c r="R986" s="585">
        <f t="shared" si="165"/>
        <v>6.1099999999999995E-2</v>
      </c>
      <c r="S986" s="586">
        <f t="shared" si="166"/>
        <v>0.16407522985849682</v>
      </c>
      <c r="U986" s="587"/>
      <c r="V986" s="587"/>
      <c r="W986" s="587"/>
      <c r="X986" s="587"/>
      <c r="Y986" s="587"/>
      <c r="Z986" s="587"/>
      <c r="AA986" s="587"/>
      <c r="AB986" s="587"/>
      <c r="AC986" s="587"/>
      <c r="AE986" s="587"/>
      <c r="AF986" s="587"/>
      <c r="AG986" s="587"/>
      <c r="AH986" s="587"/>
      <c r="AI986" s="587"/>
      <c r="AJ986" s="587"/>
      <c r="AK986" s="587"/>
      <c r="AL986" s="587"/>
      <c r="AM986" s="587"/>
      <c r="AO986" s="587"/>
      <c r="AP986" s="587"/>
      <c r="AQ986" s="587"/>
      <c r="AR986" s="587"/>
      <c r="AS986" s="587"/>
      <c r="AT986" s="587"/>
      <c r="AU986" s="587"/>
      <c r="AV986" s="587"/>
      <c r="AW986" s="587"/>
    </row>
    <row r="987" spans="1:49">
      <c r="A987" s="581">
        <v>39387</v>
      </c>
      <c r="B987" s="594">
        <v>-4.1799999999999997E-2</v>
      </c>
      <c r="C987" s="577">
        <v>3.405E-3</v>
      </c>
      <c r="D987" s="577">
        <v>3.8999999999999994E-3</v>
      </c>
      <c r="E987" s="577">
        <v>4.5333333333333337E-3</v>
      </c>
      <c r="F987" s="577">
        <v>4.816666666666667E-3</v>
      </c>
      <c r="G987" s="577">
        <v>4.6750000000000003E-3</v>
      </c>
      <c r="H987" s="577">
        <v>4.9750000000000003E-3</v>
      </c>
      <c r="I987" s="577">
        <f t="shared" si="167"/>
        <v>-4.5699999999999998E-2</v>
      </c>
      <c r="J987" s="577">
        <f t="shared" si="160"/>
        <v>-4.6474999999999995E-2</v>
      </c>
      <c r="K987" s="577">
        <f t="shared" si="161"/>
        <v>-1.5700000000000002E-3</v>
      </c>
      <c r="L987" s="585">
        <f t="shared" si="168"/>
        <v>7.7169889680895443E-2</v>
      </c>
      <c r="M987" s="585">
        <f t="shared" si="169"/>
        <v>4.6799999999999994E-2</v>
      </c>
      <c r="N987" s="585">
        <f t="shared" si="162"/>
        <v>5.6100000000000004E-2</v>
      </c>
      <c r="O987" s="586">
        <f t="shared" si="170"/>
        <v>3.0369889680895448E-2</v>
      </c>
      <c r="P987" s="585">
        <f t="shared" si="163"/>
        <v>2.1069889680895439E-2</v>
      </c>
      <c r="Q987" s="585">
        <f t="shared" si="164"/>
        <v>0.2035842310505287</v>
      </c>
      <c r="R987" s="585">
        <f t="shared" si="165"/>
        <v>5.9700000000000003E-2</v>
      </c>
      <c r="S987" s="586">
        <f t="shared" si="166"/>
        <v>0.14388423105052869</v>
      </c>
      <c r="U987" s="587"/>
      <c r="V987" s="587"/>
      <c r="W987" s="587"/>
      <c r="X987" s="587"/>
      <c r="Y987" s="587"/>
      <c r="Z987" s="587"/>
      <c r="AA987" s="587"/>
      <c r="AB987" s="587"/>
      <c r="AC987" s="587"/>
      <c r="AE987" s="587"/>
      <c r="AF987" s="587"/>
      <c r="AG987" s="587"/>
      <c r="AH987" s="587"/>
      <c r="AI987" s="587"/>
      <c r="AJ987" s="587"/>
      <c r="AK987" s="587"/>
      <c r="AL987" s="587"/>
      <c r="AM987" s="587"/>
      <c r="AO987" s="587"/>
      <c r="AP987" s="587"/>
      <c r="AQ987" s="587"/>
      <c r="AR987" s="587"/>
      <c r="AS987" s="587"/>
      <c r="AT987" s="587"/>
      <c r="AU987" s="587"/>
      <c r="AV987" s="587"/>
      <c r="AW987" s="587"/>
    </row>
    <row r="988" spans="1:49">
      <c r="A988" s="581">
        <v>39417</v>
      </c>
      <c r="B988" s="594">
        <v>-6.8999999999999999E-3</v>
      </c>
      <c r="C988" s="577">
        <v>2.7539999999999999E-3</v>
      </c>
      <c r="D988" s="577">
        <v>3.7000000000000002E-3</v>
      </c>
      <c r="E988" s="577">
        <v>4.5750000000000001E-3</v>
      </c>
      <c r="F988" s="577">
        <v>4.9249999999999997E-3</v>
      </c>
      <c r="G988" s="577">
        <v>4.7499999999999999E-3</v>
      </c>
      <c r="H988" s="577">
        <v>5.1333333333333335E-3</v>
      </c>
      <c r="I988" s="577">
        <f t="shared" si="167"/>
        <v>-1.06E-2</v>
      </c>
      <c r="J988" s="577">
        <f t="shared" si="160"/>
        <v>-1.1650000000000001E-2</v>
      </c>
      <c r="K988" s="577">
        <f t="shared" si="161"/>
        <v>-2.3793333333333336E-3</v>
      </c>
      <c r="L988" s="585">
        <f t="shared" si="168"/>
        <v>5.4967867299897888E-2</v>
      </c>
      <c r="M988" s="585">
        <f t="shared" si="169"/>
        <v>4.4400000000000002E-2</v>
      </c>
      <c r="N988" s="585">
        <f t="shared" si="162"/>
        <v>5.6999999999999995E-2</v>
      </c>
      <c r="O988" s="586">
        <f t="shared" si="170"/>
        <v>1.0567867299897886E-2</v>
      </c>
      <c r="P988" s="585">
        <f t="shared" si="163"/>
        <v>-2.0321327001021072E-3</v>
      </c>
      <c r="Q988" s="585">
        <f t="shared" si="164"/>
        <v>0.19280354256040533</v>
      </c>
      <c r="R988" s="585">
        <f t="shared" si="165"/>
        <v>6.1600000000000002E-2</v>
      </c>
      <c r="S988" s="586">
        <f t="shared" si="166"/>
        <v>0.13120354256040534</v>
      </c>
      <c r="U988" s="587"/>
      <c r="V988" s="587"/>
      <c r="W988" s="587"/>
      <c r="X988" s="587"/>
      <c r="Y988" s="587"/>
      <c r="Z988" s="587"/>
      <c r="AA988" s="587"/>
      <c r="AB988" s="587"/>
      <c r="AC988" s="587"/>
      <c r="AE988" s="587"/>
      <c r="AF988" s="587"/>
      <c r="AG988" s="587"/>
      <c r="AH988" s="587"/>
      <c r="AI988" s="587"/>
      <c r="AJ988" s="587"/>
      <c r="AK988" s="587"/>
      <c r="AL988" s="587"/>
      <c r="AM988" s="587"/>
      <c r="AO988" s="587"/>
      <c r="AP988" s="587"/>
      <c r="AQ988" s="587"/>
      <c r="AR988" s="587"/>
      <c r="AS988" s="587"/>
      <c r="AT988" s="587"/>
      <c r="AU988" s="587"/>
      <c r="AV988" s="587"/>
      <c r="AW988" s="587"/>
    </row>
    <row r="989" spans="1:49">
      <c r="A989" s="581">
        <v>39448</v>
      </c>
      <c r="B989" s="594">
        <v>-0.06</v>
      </c>
      <c r="C989" s="577">
        <v>-6.8132999999999999E-2</v>
      </c>
      <c r="D989" s="577">
        <v>4.0000000000000001E-3</v>
      </c>
      <c r="E989" s="577">
        <v>4.4416666666666667E-3</v>
      </c>
      <c r="F989" s="577">
        <v>4.816666666666667E-3</v>
      </c>
      <c r="G989" s="577">
        <v>4.6291666666666668E-3</v>
      </c>
      <c r="H989" s="577">
        <v>5.0166666666666658E-3</v>
      </c>
      <c r="I989" s="577">
        <f t="shared" si="167"/>
        <v>-6.4000000000000001E-2</v>
      </c>
      <c r="J989" s="577">
        <f t="shared" ref="J989:J1052" si="171">B989-G989</f>
        <v>-6.4629166666666668E-2</v>
      </c>
      <c r="K989" s="577">
        <f t="shared" ref="K989:K1052" si="172">$C989-H989</f>
        <v>-7.3149666666666668E-2</v>
      </c>
      <c r="L989" s="585">
        <f t="shared" si="168"/>
        <v>-2.3081671498468737E-2</v>
      </c>
      <c r="M989" s="585">
        <f t="shared" si="169"/>
        <v>4.8000000000000001E-2</v>
      </c>
      <c r="N989" s="585">
        <f t="shared" si="162"/>
        <v>5.5550000000000002E-2</v>
      </c>
      <c r="O989" s="586">
        <f t="shared" si="170"/>
        <v>-7.1081671498468738E-2</v>
      </c>
      <c r="P989" s="585">
        <f t="shared" si="163"/>
        <v>-7.8631671498468739E-2</v>
      </c>
      <c r="Q989" s="585">
        <f t="shared" si="164"/>
        <v>0.11279616965152228</v>
      </c>
      <c r="R989" s="585">
        <f t="shared" si="165"/>
        <v>6.019999999999999E-2</v>
      </c>
      <c r="S989" s="586">
        <f t="shared" si="166"/>
        <v>5.2596169651522293E-2</v>
      </c>
      <c r="U989" s="587"/>
      <c r="V989" s="587"/>
      <c r="W989" s="587"/>
      <c r="X989" s="587"/>
      <c r="Y989" s="587"/>
      <c r="Z989" s="587"/>
      <c r="AA989" s="587"/>
      <c r="AB989" s="587"/>
      <c r="AC989" s="587"/>
      <c r="AE989" s="587"/>
      <c r="AF989" s="587"/>
      <c r="AG989" s="587"/>
      <c r="AH989" s="587"/>
      <c r="AI989" s="587"/>
      <c r="AJ989" s="587"/>
      <c r="AK989" s="587"/>
      <c r="AL989" s="587"/>
      <c r="AM989" s="587"/>
      <c r="AO989" s="587"/>
      <c r="AP989" s="587"/>
      <c r="AQ989" s="587"/>
      <c r="AR989" s="587"/>
      <c r="AS989" s="587"/>
      <c r="AT989" s="587"/>
      <c r="AU989" s="587"/>
      <c r="AV989" s="587"/>
      <c r="AW989" s="587"/>
    </row>
    <row r="990" spans="1:49">
      <c r="A990" s="581">
        <v>39479</v>
      </c>
      <c r="B990" s="594">
        <v>-3.2500000000000001E-2</v>
      </c>
      <c r="C990" s="577">
        <v>-4.9955999999999993E-2</v>
      </c>
      <c r="D990" s="577">
        <v>3.3999999999999998E-3</v>
      </c>
      <c r="E990" s="577">
        <v>4.6083333333333341E-3</v>
      </c>
      <c r="F990" s="577">
        <v>4.9750000000000003E-3</v>
      </c>
      <c r="G990" s="577">
        <v>4.7916666666666672E-3</v>
      </c>
      <c r="H990" s="577">
        <v>5.1749999999999999E-3</v>
      </c>
      <c r="I990" s="577">
        <f t="shared" si="167"/>
        <v>-3.5900000000000001E-2</v>
      </c>
      <c r="J990" s="577">
        <f t="shared" si="171"/>
        <v>-3.7291666666666667E-2</v>
      </c>
      <c r="K990" s="577">
        <f t="shared" si="172"/>
        <v>-5.5130999999999993E-2</v>
      </c>
      <c r="L990" s="585">
        <f t="shared" si="168"/>
        <v>-3.5935860031383715E-2</v>
      </c>
      <c r="M990" s="585">
        <f t="shared" si="169"/>
        <v>4.0799999999999996E-2</v>
      </c>
      <c r="N990" s="585">
        <f t="shared" si="162"/>
        <v>5.7500000000000009E-2</v>
      </c>
      <c r="O990" s="586">
        <f t="shared" si="170"/>
        <v>-7.6735860031383718E-2</v>
      </c>
      <c r="P990" s="585">
        <f t="shared" si="163"/>
        <v>-9.3435860031383725E-2</v>
      </c>
      <c r="Q990" s="585">
        <f t="shared" si="164"/>
        <v>6.5353291934815427E-3</v>
      </c>
      <c r="R990" s="585">
        <f t="shared" si="165"/>
        <v>6.2100000000000002E-2</v>
      </c>
      <c r="S990" s="586">
        <f t="shared" si="166"/>
        <v>-5.556467080651846E-2</v>
      </c>
      <c r="U990" s="587"/>
      <c r="V990" s="587"/>
      <c r="W990" s="587"/>
      <c r="X990" s="587"/>
      <c r="Y990" s="587"/>
      <c r="Z990" s="587"/>
      <c r="AA990" s="587"/>
      <c r="AB990" s="587"/>
      <c r="AC990" s="587"/>
      <c r="AE990" s="587"/>
      <c r="AF990" s="587"/>
      <c r="AG990" s="587"/>
      <c r="AH990" s="587"/>
      <c r="AI990" s="587"/>
      <c r="AJ990" s="587"/>
      <c r="AK990" s="587"/>
      <c r="AL990" s="587"/>
      <c r="AM990" s="587"/>
      <c r="AO990" s="587"/>
      <c r="AP990" s="587"/>
      <c r="AQ990" s="587"/>
      <c r="AR990" s="587"/>
      <c r="AS990" s="587"/>
      <c r="AT990" s="587"/>
      <c r="AU990" s="587"/>
      <c r="AV990" s="587"/>
      <c r="AW990" s="587"/>
    </row>
    <row r="991" spans="1:49">
      <c r="A991" s="581">
        <v>39508</v>
      </c>
      <c r="B991" s="594">
        <v>-4.3E-3</v>
      </c>
      <c r="C991" s="577">
        <v>1.7056000000000002E-2</v>
      </c>
      <c r="D991" s="577">
        <v>3.7000000000000002E-3</v>
      </c>
      <c r="E991" s="577">
        <v>4.5916666666666666E-3</v>
      </c>
      <c r="F991" s="577">
        <v>4.9166666666666673E-3</v>
      </c>
      <c r="G991" s="577">
        <v>4.754166666666667E-3</v>
      </c>
      <c r="H991" s="577">
        <v>5.1749999999999999E-3</v>
      </c>
      <c r="I991" s="577">
        <f t="shared" si="167"/>
        <v>-8.0000000000000002E-3</v>
      </c>
      <c r="J991" s="577">
        <f t="shared" si="171"/>
        <v>-9.054166666666667E-3</v>
      </c>
      <c r="K991" s="577">
        <f t="shared" si="172"/>
        <v>1.1881000000000003E-2</v>
      </c>
      <c r="L991" s="585">
        <f t="shared" si="168"/>
        <v>-5.0713346354082867E-2</v>
      </c>
      <c r="M991" s="585">
        <f t="shared" si="169"/>
        <v>4.4400000000000002E-2</v>
      </c>
      <c r="N991" s="585">
        <f t="shared" si="162"/>
        <v>5.7050000000000003E-2</v>
      </c>
      <c r="O991" s="586">
        <f t="shared" si="170"/>
        <v>-9.5113346354082862E-2</v>
      </c>
      <c r="P991" s="585">
        <f t="shared" si="163"/>
        <v>-0.10776334635408287</v>
      </c>
      <c r="Q991" s="585">
        <f t="shared" si="164"/>
        <v>-1.6968179731752575E-2</v>
      </c>
      <c r="R991" s="585">
        <f t="shared" si="165"/>
        <v>6.2100000000000002E-2</v>
      </c>
      <c r="S991" s="586">
        <f t="shared" si="166"/>
        <v>-7.9068179731752578E-2</v>
      </c>
      <c r="U991" s="587"/>
      <c r="V991" s="587"/>
      <c r="W991" s="587"/>
      <c r="X991" s="587"/>
      <c r="Y991" s="587"/>
      <c r="Z991" s="587"/>
      <c r="AA991" s="587"/>
      <c r="AB991" s="587"/>
      <c r="AC991" s="587"/>
      <c r="AE991" s="587"/>
      <c r="AF991" s="587"/>
      <c r="AG991" s="587"/>
      <c r="AH991" s="587"/>
      <c r="AI991" s="587"/>
      <c r="AJ991" s="587"/>
      <c r="AK991" s="587"/>
      <c r="AL991" s="587"/>
      <c r="AM991" s="587"/>
      <c r="AO991" s="587"/>
      <c r="AP991" s="587"/>
      <c r="AQ991" s="587"/>
      <c r="AR991" s="587"/>
      <c r="AS991" s="587"/>
      <c r="AT991" s="587"/>
      <c r="AU991" s="587"/>
      <c r="AV991" s="587"/>
      <c r="AW991" s="587"/>
    </row>
    <row r="992" spans="1:49">
      <c r="A992" s="581">
        <v>39539</v>
      </c>
      <c r="B992" s="594">
        <v>4.87E-2</v>
      </c>
      <c r="C992" s="577">
        <v>5.5163000000000004E-2</v>
      </c>
      <c r="D992" s="577">
        <v>3.5000000000000005E-3</v>
      </c>
      <c r="E992" s="577">
        <v>4.6249999999999998E-3</v>
      </c>
      <c r="F992" s="577">
        <v>4.9416666666666663E-3</v>
      </c>
      <c r="G992" s="577">
        <v>4.783333333333333E-3</v>
      </c>
      <c r="H992" s="577">
        <v>5.241666666666667E-3</v>
      </c>
      <c r="I992" s="577">
        <f t="shared" si="167"/>
        <v>4.5199999999999997E-2</v>
      </c>
      <c r="J992" s="577">
        <f t="shared" si="171"/>
        <v>4.3916666666666666E-2</v>
      </c>
      <c r="K992" s="577">
        <f t="shared" si="172"/>
        <v>4.9921333333333338E-2</v>
      </c>
      <c r="L992" s="585">
        <f t="shared" si="168"/>
        <v>-4.6713670709113364E-2</v>
      </c>
      <c r="M992" s="585">
        <f t="shared" si="169"/>
        <v>4.200000000000001E-2</v>
      </c>
      <c r="N992" s="585">
        <f t="shared" si="162"/>
        <v>5.7399999999999993E-2</v>
      </c>
      <c r="O992" s="586">
        <f t="shared" si="170"/>
        <v>-8.8713670709113374E-2</v>
      </c>
      <c r="P992" s="585">
        <f t="shared" si="163"/>
        <v>-0.10411367070911336</v>
      </c>
      <c r="Q992" s="585">
        <f t="shared" si="164"/>
        <v>-6.2276784490435944E-3</v>
      </c>
      <c r="R992" s="585">
        <f t="shared" si="165"/>
        <v>6.2900000000000011E-2</v>
      </c>
      <c r="S992" s="586">
        <f t="shared" si="166"/>
        <v>-6.9127678449043606E-2</v>
      </c>
      <c r="U992" s="587"/>
      <c r="V992" s="587"/>
      <c r="W992" s="587"/>
      <c r="X992" s="587"/>
      <c r="Y992" s="587"/>
      <c r="Z992" s="587"/>
      <c r="AA992" s="587"/>
      <c r="AB992" s="587"/>
      <c r="AC992" s="587"/>
      <c r="AE992" s="587"/>
      <c r="AF992" s="587"/>
      <c r="AG992" s="587"/>
      <c r="AH992" s="587"/>
      <c r="AI992" s="587"/>
      <c r="AJ992" s="587"/>
      <c r="AK992" s="587"/>
      <c r="AL992" s="587"/>
      <c r="AM992" s="587"/>
      <c r="AO992" s="587"/>
      <c r="AP992" s="587"/>
      <c r="AQ992" s="587"/>
      <c r="AR992" s="587"/>
      <c r="AS992" s="587"/>
      <c r="AT992" s="587"/>
      <c r="AU992" s="587"/>
      <c r="AV992" s="587"/>
      <c r="AW992" s="587"/>
    </row>
    <row r="993" spans="1:49">
      <c r="A993" s="581">
        <v>39569</v>
      </c>
      <c r="B993" s="594">
        <v>1.2999999999999999E-2</v>
      </c>
      <c r="C993" s="577">
        <v>3.1987000000000002E-2</v>
      </c>
      <c r="D993" s="577">
        <v>3.7000000000000002E-3</v>
      </c>
      <c r="E993" s="577">
        <v>4.6416666666666663E-3</v>
      </c>
      <c r="F993" s="577">
        <v>5.0000000000000001E-3</v>
      </c>
      <c r="G993" s="577">
        <v>4.8208333333333332E-3</v>
      </c>
      <c r="H993" s="577">
        <v>5.2249999999999996E-3</v>
      </c>
      <c r="I993" s="577">
        <f t="shared" si="167"/>
        <v>9.2999999999999992E-3</v>
      </c>
      <c r="J993" s="577">
        <f t="shared" si="171"/>
        <v>8.1791666666666662E-3</v>
      </c>
      <c r="K993" s="577">
        <f t="shared" si="172"/>
        <v>2.6762000000000001E-2</v>
      </c>
      <c r="L993" s="585">
        <f t="shared" si="168"/>
        <v>-6.6886605883014316E-2</v>
      </c>
      <c r="M993" s="585">
        <f t="shared" si="169"/>
        <v>4.4400000000000002E-2</v>
      </c>
      <c r="N993" s="585">
        <f t="shared" si="162"/>
        <v>5.7849999999999999E-2</v>
      </c>
      <c r="O993" s="586">
        <f t="shared" si="170"/>
        <v>-0.11128660588301431</v>
      </c>
      <c r="P993" s="585">
        <f t="shared" si="163"/>
        <v>-0.12473660588301431</v>
      </c>
      <c r="Q993" s="585">
        <f t="shared" si="164"/>
        <v>2.0310618667363167E-2</v>
      </c>
      <c r="R993" s="585">
        <f t="shared" si="165"/>
        <v>6.2699999999999992E-2</v>
      </c>
      <c r="S993" s="586">
        <f t="shared" si="166"/>
        <v>-4.2389381332636825E-2</v>
      </c>
      <c r="U993" s="587"/>
      <c r="V993" s="587"/>
      <c r="W993" s="587"/>
      <c r="X993" s="587"/>
      <c r="Y993" s="587"/>
      <c r="Z993" s="587"/>
      <c r="AA993" s="587"/>
      <c r="AB993" s="587"/>
      <c r="AC993" s="587"/>
      <c r="AE993" s="587"/>
      <c r="AF993" s="587"/>
      <c r="AG993" s="587"/>
      <c r="AH993" s="587"/>
      <c r="AI993" s="587"/>
      <c r="AJ993" s="587"/>
      <c r="AK993" s="587"/>
      <c r="AL993" s="587"/>
      <c r="AM993" s="587"/>
      <c r="AO993" s="587"/>
      <c r="AP993" s="587"/>
      <c r="AQ993" s="587"/>
      <c r="AR993" s="587"/>
      <c r="AS993" s="587"/>
      <c r="AT993" s="587"/>
      <c r="AU993" s="587"/>
      <c r="AV993" s="587"/>
      <c r="AW993" s="587"/>
    </row>
    <row r="994" spans="1:49">
      <c r="A994" s="581">
        <v>39600</v>
      </c>
      <c r="B994" s="594">
        <v>-8.43E-2</v>
      </c>
      <c r="C994" s="577">
        <v>-8.6680000000000004E-3</v>
      </c>
      <c r="D994" s="577">
        <v>4.0000000000000001E-3</v>
      </c>
      <c r="E994" s="577">
        <v>4.7333333333333333E-3</v>
      </c>
      <c r="F994" s="577">
        <v>5.0916666666666662E-3</v>
      </c>
      <c r="G994" s="577">
        <v>4.9124999999999993E-3</v>
      </c>
      <c r="H994" s="577">
        <v>5.3166666666666666E-3</v>
      </c>
      <c r="I994" s="577">
        <f t="shared" si="167"/>
        <v>-8.8300000000000003E-2</v>
      </c>
      <c r="J994" s="577">
        <f t="shared" si="171"/>
        <v>-8.92125E-2</v>
      </c>
      <c r="K994" s="577">
        <f t="shared" si="172"/>
        <v>-1.3984666666666666E-2</v>
      </c>
      <c r="L994" s="585">
        <f t="shared" si="168"/>
        <v>-0.13112473561834059</v>
      </c>
      <c r="M994" s="585">
        <f t="shared" si="169"/>
        <v>4.8000000000000001E-2</v>
      </c>
      <c r="N994" s="585">
        <f t="shared" si="162"/>
        <v>5.8949999999999989E-2</v>
      </c>
      <c r="O994" s="586">
        <f t="shared" si="170"/>
        <v>-0.17912473561834058</v>
      </c>
      <c r="P994" s="585">
        <f t="shared" si="163"/>
        <v>-0.1900747356183406</v>
      </c>
      <c r="Q994" s="585">
        <f t="shared" si="164"/>
        <v>6.5398082562132309E-2</v>
      </c>
      <c r="R994" s="585">
        <f t="shared" si="165"/>
        <v>6.3799999999999996E-2</v>
      </c>
      <c r="S994" s="586">
        <f t="shared" si="166"/>
        <v>1.5980825621323136E-3</v>
      </c>
      <c r="U994" s="587"/>
      <c r="V994" s="587"/>
      <c r="W994" s="587"/>
      <c r="X994" s="587"/>
      <c r="Y994" s="587"/>
      <c r="Z994" s="587"/>
      <c r="AA994" s="587"/>
      <c r="AB994" s="587"/>
      <c r="AC994" s="587"/>
      <c r="AE994" s="587"/>
      <c r="AF994" s="587"/>
      <c r="AG994" s="587"/>
      <c r="AH994" s="587"/>
      <c r="AI994" s="587"/>
      <c r="AJ994" s="587"/>
      <c r="AK994" s="587"/>
      <c r="AL994" s="587"/>
      <c r="AM994" s="587"/>
      <c r="AO994" s="587"/>
      <c r="AP994" s="587"/>
      <c r="AQ994" s="587"/>
      <c r="AR994" s="587"/>
      <c r="AS994" s="587"/>
      <c r="AT994" s="587"/>
      <c r="AU994" s="587"/>
      <c r="AV994" s="587"/>
      <c r="AW994" s="587"/>
    </row>
    <row r="995" spans="1:49">
      <c r="A995" s="581">
        <v>39630</v>
      </c>
      <c r="B995" s="594">
        <v>-8.3999999999999995E-3</v>
      </c>
      <c r="C995" s="577">
        <v>-6.1108000000000003E-2</v>
      </c>
      <c r="D995" s="577">
        <v>3.8999999999999994E-3</v>
      </c>
      <c r="E995" s="577">
        <v>4.725E-3</v>
      </c>
      <c r="F995" s="577">
        <v>5.0416666666666665E-3</v>
      </c>
      <c r="G995" s="577">
        <v>4.8833333333333333E-3</v>
      </c>
      <c r="H995" s="577">
        <v>5.3333333333333332E-3</v>
      </c>
      <c r="I995" s="577">
        <f t="shared" si="167"/>
        <v>-1.2299999999999998E-2</v>
      </c>
      <c r="J995" s="577">
        <f t="shared" si="171"/>
        <v>-1.3283333333333333E-2</v>
      </c>
      <c r="K995" s="577">
        <f t="shared" si="172"/>
        <v>-6.6441333333333338E-2</v>
      </c>
      <c r="L995" s="585">
        <f t="shared" si="168"/>
        <v>-0.11085994617043016</v>
      </c>
      <c r="M995" s="585">
        <f t="shared" si="169"/>
        <v>4.6799999999999994E-2</v>
      </c>
      <c r="N995" s="585">
        <f t="shared" si="162"/>
        <v>5.8599999999999999E-2</v>
      </c>
      <c r="O995" s="586">
        <f t="shared" si="170"/>
        <v>-0.15765994617043017</v>
      </c>
      <c r="P995" s="585">
        <f t="shared" si="163"/>
        <v>-0.16945994617043014</v>
      </c>
      <c r="Q995" s="585">
        <f t="shared" si="164"/>
        <v>3.7289711378967638E-2</v>
      </c>
      <c r="R995" s="585">
        <f t="shared" si="165"/>
        <v>6.4000000000000001E-2</v>
      </c>
      <c r="S995" s="586">
        <f t="shared" si="166"/>
        <v>-2.6710288621032363E-2</v>
      </c>
      <c r="U995" s="587"/>
      <c r="V995" s="587"/>
      <c r="W995" s="587"/>
      <c r="X995" s="587"/>
      <c r="Y995" s="587"/>
      <c r="Z995" s="587"/>
      <c r="AA995" s="587"/>
      <c r="AB995" s="587"/>
      <c r="AC995" s="587"/>
      <c r="AE995" s="587"/>
      <c r="AF995" s="587"/>
      <c r="AG995" s="587"/>
      <c r="AH995" s="587"/>
      <c r="AI995" s="587"/>
      <c r="AJ995" s="587"/>
      <c r="AK995" s="587"/>
      <c r="AL995" s="587"/>
      <c r="AM995" s="587"/>
      <c r="AO995" s="587"/>
      <c r="AP995" s="587"/>
      <c r="AQ995" s="587"/>
      <c r="AR995" s="587"/>
      <c r="AS995" s="587"/>
      <c r="AT995" s="587"/>
      <c r="AU995" s="587"/>
      <c r="AV995" s="587"/>
      <c r="AW995" s="587"/>
    </row>
    <row r="996" spans="1:49">
      <c r="A996" s="581">
        <v>39661</v>
      </c>
      <c r="B996" s="594">
        <v>1.4500000000000001E-2</v>
      </c>
      <c r="C996" s="577">
        <v>-1.6601999999999999E-2</v>
      </c>
      <c r="D996" s="577">
        <v>3.5999999999999999E-3</v>
      </c>
      <c r="E996" s="577">
        <v>4.6999999999999993E-3</v>
      </c>
      <c r="F996" s="577">
        <v>5.0083333333333334E-3</v>
      </c>
      <c r="G996" s="577">
        <v>4.8541666666666664E-3</v>
      </c>
      <c r="H996" s="577">
        <v>5.3083333333333342E-3</v>
      </c>
      <c r="I996" s="577">
        <f t="shared" si="167"/>
        <v>1.09E-2</v>
      </c>
      <c r="J996" s="577">
        <f t="shared" si="171"/>
        <v>9.6458333333333344E-3</v>
      </c>
      <c r="K996" s="577">
        <f t="shared" si="172"/>
        <v>-2.1910333333333334E-2</v>
      </c>
      <c r="L996" s="585">
        <f t="shared" si="168"/>
        <v>-0.11129794619694688</v>
      </c>
      <c r="M996" s="585">
        <f t="shared" si="169"/>
        <v>4.3200000000000002E-2</v>
      </c>
      <c r="N996" s="585">
        <f t="shared" si="162"/>
        <v>5.8249999999999996E-2</v>
      </c>
      <c r="O996" s="586">
        <f t="shared" si="170"/>
        <v>-0.1544979461969469</v>
      </c>
      <c r="P996" s="585">
        <f t="shared" si="163"/>
        <v>-0.16954794619694688</v>
      </c>
      <c r="Q996" s="585">
        <f t="shared" si="164"/>
        <v>-8.6915832743617027E-4</v>
      </c>
      <c r="R996" s="585">
        <f t="shared" si="165"/>
        <v>6.3700000000000007E-2</v>
      </c>
      <c r="S996" s="586">
        <f t="shared" si="166"/>
        <v>-6.4569158327436177E-2</v>
      </c>
      <c r="U996" s="587"/>
      <c r="V996" s="587"/>
      <c r="W996" s="587"/>
      <c r="X996" s="587"/>
      <c r="Y996" s="587"/>
      <c r="Z996" s="587"/>
      <c r="AA996" s="587"/>
      <c r="AB996" s="587"/>
      <c r="AC996" s="587"/>
      <c r="AE996" s="587"/>
      <c r="AF996" s="587"/>
      <c r="AG996" s="587"/>
      <c r="AH996" s="587"/>
      <c r="AI996" s="587"/>
      <c r="AJ996" s="587"/>
      <c r="AK996" s="587"/>
      <c r="AL996" s="587"/>
      <c r="AM996" s="587"/>
      <c r="AO996" s="587"/>
      <c r="AP996" s="587"/>
      <c r="AQ996" s="587"/>
      <c r="AR996" s="587"/>
      <c r="AS996" s="587"/>
      <c r="AT996" s="587"/>
      <c r="AU996" s="587"/>
      <c r="AV996" s="587"/>
      <c r="AW996" s="587"/>
    </row>
    <row r="997" spans="1:49">
      <c r="A997" s="581">
        <v>39692</v>
      </c>
      <c r="B997" s="594">
        <v>-8.9099999999999999E-2</v>
      </c>
      <c r="C997" s="577">
        <v>-0.11482300000000001</v>
      </c>
      <c r="D997" s="577">
        <v>3.8999999999999994E-3</v>
      </c>
      <c r="E997" s="577">
        <v>4.7083333333333335E-3</v>
      </c>
      <c r="F997" s="577">
        <v>5.0250000000000008E-3</v>
      </c>
      <c r="G997" s="577">
        <v>4.8666666666666667E-3</v>
      </c>
      <c r="H997" s="577">
        <v>5.4083333333333336E-3</v>
      </c>
      <c r="I997" s="577">
        <f t="shared" si="167"/>
        <v>-9.2999999999999999E-2</v>
      </c>
      <c r="J997" s="577">
        <f t="shared" si="171"/>
        <v>-9.3966666666666671E-2</v>
      </c>
      <c r="K997" s="577">
        <f t="shared" si="172"/>
        <v>-0.12023133333333334</v>
      </c>
      <c r="L997" s="585">
        <f t="shared" si="168"/>
        <v>-0.21966579833313959</v>
      </c>
      <c r="M997" s="585">
        <f t="shared" si="169"/>
        <v>4.6799999999999994E-2</v>
      </c>
      <c r="N997" s="585">
        <f t="shared" si="162"/>
        <v>5.8400000000000001E-2</v>
      </c>
      <c r="O997" s="586">
        <f t="shared" si="170"/>
        <v>-0.2664657983331396</v>
      </c>
      <c r="P997" s="585">
        <f t="shared" si="163"/>
        <v>-0.2780657983331396</v>
      </c>
      <c r="Q997" s="585">
        <f t="shared" si="164"/>
        <v>-0.14585225125557366</v>
      </c>
      <c r="R997" s="585">
        <f t="shared" si="165"/>
        <v>6.4899999999999999E-2</v>
      </c>
      <c r="S997" s="586">
        <f t="shared" si="166"/>
        <v>-0.21075225125557367</v>
      </c>
      <c r="U997" s="587"/>
      <c r="V997" s="587"/>
      <c r="W997" s="587"/>
      <c r="X997" s="587"/>
      <c r="Y997" s="587"/>
      <c r="Z997" s="587"/>
      <c r="AA997" s="587"/>
      <c r="AB997" s="587"/>
      <c r="AC997" s="587"/>
      <c r="AE997" s="587"/>
      <c r="AF997" s="587"/>
      <c r="AG997" s="587"/>
      <c r="AH997" s="587"/>
      <c r="AI997" s="587"/>
      <c r="AJ997" s="587"/>
      <c r="AK997" s="587"/>
      <c r="AL997" s="587"/>
      <c r="AM997" s="587"/>
      <c r="AO997" s="587"/>
      <c r="AP997" s="587"/>
      <c r="AQ997" s="587"/>
      <c r="AR997" s="587"/>
      <c r="AS997" s="587"/>
      <c r="AT997" s="587"/>
      <c r="AU997" s="587"/>
      <c r="AV997" s="587"/>
      <c r="AW997" s="587"/>
    </row>
    <row r="998" spans="1:49">
      <c r="A998" s="581">
        <v>39722</v>
      </c>
      <c r="B998" s="594">
        <v>-0.16789999999999999</v>
      </c>
      <c r="C998" s="577">
        <v>-0.116128</v>
      </c>
      <c r="D998" s="577">
        <v>3.7000000000000002E-3</v>
      </c>
      <c r="E998" s="577">
        <v>5.2333333333333329E-3</v>
      </c>
      <c r="F998" s="577">
        <v>5.6583333333333329E-3</v>
      </c>
      <c r="G998" s="577">
        <v>5.4458333333333329E-3</v>
      </c>
      <c r="H998" s="577">
        <v>6.3E-3</v>
      </c>
      <c r="I998" s="577">
        <f t="shared" si="167"/>
        <v>-0.1716</v>
      </c>
      <c r="J998" s="577">
        <f t="shared" si="171"/>
        <v>-0.17334583333333334</v>
      </c>
      <c r="K998" s="577">
        <f t="shared" si="172"/>
        <v>-0.122428</v>
      </c>
      <c r="L998" s="585">
        <f t="shared" si="168"/>
        <v>-0.36084645220297829</v>
      </c>
      <c r="M998" s="585">
        <f t="shared" si="169"/>
        <v>4.4400000000000002E-2</v>
      </c>
      <c r="N998" s="585">
        <f t="shared" si="162"/>
        <v>6.5349999999999991E-2</v>
      </c>
      <c r="O998" s="586">
        <f t="shared" si="170"/>
        <v>-0.40524645220297828</v>
      </c>
      <c r="P998" s="585">
        <f t="shared" si="163"/>
        <v>-0.4261964522029783</v>
      </c>
      <c r="Q998" s="585">
        <f t="shared" si="164"/>
        <v>-0.29353517319826439</v>
      </c>
      <c r="R998" s="585">
        <f t="shared" si="165"/>
        <v>7.5600000000000001E-2</v>
      </c>
      <c r="S998" s="586">
        <f t="shared" si="166"/>
        <v>-0.36913517319826439</v>
      </c>
      <c r="U998" s="587"/>
      <c r="V998" s="587"/>
      <c r="W998" s="587"/>
      <c r="X998" s="587"/>
      <c r="Y998" s="587"/>
      <c r="Z998" s="587"/>
      <c r="AA998" s="587"/>
      <c r="AB998" s="587"/>
      <c r="AC998" s="587"/>
      <c r="AE998" s="587"/>
      <c r="AF998" s="587"/>
      <c r="AG998" s="587"/>
      <c r="AH998" s="587"/>
      <c r="AI998" s="587"/>
      <c r="AJ998" s="587"/>
      <c r="AK998" s="587"/>
      <c r="AL998" s="587"/>
      <c r="AM998" s="587"/>
      <c r="AO998" s="587"/>
      <c r="AP998" s="587"/>
      <c r="AQ998" s="587"/>
      <c r="AR998" s="587"/>
      <c r="AS998" s="587"/>
      <c r="AT998" s="587"/>
      <c r="AU998" s="587"/>
      <c r="AV998" s="587"/>
      <c r="AW998" s="587"/>
    </row>
    <row r="999" spans="1:49">
      <c r="A999" s="581">
        <v>39753</v>
      </c>
      <c r="B999" s="594">
        <v>-7.1800000000000003E-2</v>
      </c>
      <c r="C999" s="577">
        <v>2.7894000000000002E-2</v>
      </c>
      <c r="D999" s="577">
        <v>3.5999999999999999E-3</v>
      </c>
      <c r="E999" s="577">
        <v>5.1000000000000004E-3</v>
      </c>
      <c r="F999" s="577">
        <v>5.6083333333333341E-3</v>
      </c>
      <c r="G999" s="577">
        <v>5.3541666666666668E-3</v>
      </c>
      <c r="H999" s="577">
        <v>6.3333333333333332E-3</v>
      </c>
      <c r="I999" s="577">
        <f t="shared" si="167"/>
        <v>-7.5400000000000009E-2</v>
      </c>
      <c r="J999" s="577">
        <f t="shared" si="171"/>
        <v>-7.7154166666666663E-2</v>
      </c>
      <c r="K999" s="577">
        <f t="shared" si="172"/>
        <v>2.1560666666666669E-2</v>
      </c>
      <c r="L999" s="585">
        <f t="shared" si="168"/>
        <v>-0.38085752132624129</v>
      </c>
      <c r="M999" s="585">
        <f t="shared" si="169"/>
        <v>4.3200000000000002E-2</v>
      </c>
      <c r="N999" s="585">
        <f t="shared" si="162"/>
        <v>6.4250000000000002E-2</v>
      </c>
      <c r="O999" s="586">
        <f t="shared" si="170"/>
        <v>-0.4240575213262413</v>
      </c>
      <c r="P999" s="585">
        <f t="shared" si="163"/>
        <v>-0.44510752132624132</v>
      </c>
      <c r="Q999" s="585">
        <f t="shared" si="164"/>
        <v>-0.27629326475297289</v>
      </c>
      <c r="R999" s="585">
        <f t="shared" si="165"/>
        <v>7.5999999999999998E-2</v>
      </c>
      <c r="S999" s="586">
        <f t="shared" si="166"/>
        <v>-0.3522932647529729</v>
      </c>
      <c r="U999" s="587"/>
      <c r="V999" s="587"/>
      <c r="W999" s="587"/>
      <c r="X999" s="587"/>
      <c r="Y999" s="587"/>
      <c r="Z999" s="587"/>
      <c r="AA999" s="587"/>
      <c r="AB999" s="587"/>
      <c r="AC999" s="587"/>
      <c r="AE999" s="587"/>
      <c r="AF999" s="587"/>
      <c r="AG999" s="587"/>
      <c r="AH999" s="587"/>
      <c r="AI999" s="587"/>
      <c r="AJ999" s="587"/>
      <c r="AK999" s="587"/>
      <c r="AL999" s="587"/>
      <c r="AM999" s="587"/>
      <c r="AO999" s="587"/>
      <c r="AP999" s="587"/>
      <c r="AQ999" s="587"/>
      <c r="AR999" s="587"/>
      <c r="AS999" s="587"/>
      <c r="AT999" s="587"/>
      <c r="AU999" s="587"/>
      <c r="AV999" s="587"/>
      <c r="AW999" s="587"/>
    </row>
    <row r="1000" spans="1:49">
      <c r="A1000" s="581">
        <v>39783</v>
      </c>
      <c r="B1000" s="594">
        <v>1.06E-2</v>
      </c>
      <c r="C1000" s="577">
        <v>-1.6796999999999999E-2</v>
      </c>
      <c r="D1000" s="577">
        <v>3.3E-3</v>
      </c>
      <c r="E1000" s="577">
        <v>4.2166666666666663E-3</v>
      </c>
      <c r="F1000" s="577">
        <v>4.841666666666666E-3</v>
      </c>
      <c r="G1000" s="577">
        <v>4.5291666666666666E-3</v>
      </c>
      <c r="H1000" s="577">
        <v>5.45E-3</v>
      </c>
      <c r="I1000" s="577">
        <f t="shared" si="167"/>
        <v>7.3000000000000001E-3</v>
      </c>
      <c r="J1000" s="577">
        <f t="shared" si="171"/>
        <v>6.0708333333333335E-3</v>
      </c>
      <c r="K1000" s="577">
        <f t="shared" si="172"/>
        <v>-2.2246999999999999E-2</v>
      </c>
      <c r="L1000" s="585">
        <f t="shared" si="168"/>
        <v>-0.36994724705699267</v>
      </c>
      <c r="M1000" s="585">
        <f t="shared" si="169"/>
        <v>3.9599999999999996E-2</v>
      </c>
      <c r="N1000" s="585">
        <f t="shared" ref="N1000:N1063" si="173">G1000*12</f>
        <v>5.4349999999999996E-2</v>
      </c>
      <c r="O1000" s="586">
        <f t="shared" si="170"/>
        <v>-0.40954724705699264</v>
      </c>
      <c r="P1000" s="585">
        <f t="shared" ref="P1000:P1063" si="174">L1000-N1000</f>
        <v>-0.42429724705699268</v>
      </c>
      <c r="Q1000" s="585">
        <f t="shared" ref="Q1000:Q1063" si="175">((1+C989)*(1+C990)*(1+C991)*(1+C992)*(1+C993)*(1+C994)*(1+C995)*(1+C996)*(1+C997)*(1+C998)*(1+C999)*(1+C1000))-1</f>
        <v>-0.29040359528350634</v>
      </c>
      <c r="R1000" s="585">
        <f t="shared" ref="R1000:R1063" si="176">H1000*12</f>
        <v>6.54E-2</v>
      </c>
      <c r="S1000" s="586">
        <f t="shared" ref="S1000:S1063" si="177">Q1000-R1000</f>
        <v>-0.35580359528350636</v>
      </c>
      <c r="U1000" s="587"/>
      <c r="V1000" s="587"/>
      <c r="W1000" s="587"/>
      <c r="X1000" s="587"/>
      <c r="Y1000" s="587"/>
      <c r="Z1000" s="587"/>
      <c r="AA1000" s="587"/>
      <c r="AB1000" s="587"/>
      <c r="AC1000" s="587"/>
      <c r="AE1000" s="587"/>
      <c r="AF1000" s="587"/>
      <c r="AG1000" s="587"/>
      <c r="AH1000" s="587"/>
      <c r="AI1000" s="587"/>
      <c r="AJ1000" s="587"/>
      <c r="AK1000" s="587"/>
      <c r="AL1000" s="587"/>
      <c r="AM1000" s="587"/>
      <c r="AO1000" s="587"/>
      <c r="AP1000" s="587"/>
      <c r="AQ1000" s="587"/>
      <c r="AR1000" s="587"/>
      <c r="AS1000" s="587"/>
      <c r="AT1000" s="587"/>
      <c r="AU1000" s="587"/>
      <c r="AV1000" s="587"/>
      <c r="AW1000" s="587"/>
    </row>
    <row r="1001" spans="1:49">
      <c r="A1001" s="581">
        <v>39814</v>
      </c>
      <c r="B1001" s="594">
        <v>-8.43E-2</v>
      </c>
      <c r="C1001" s="577">
        <v>-4.5409999999999999E-3</v>
      </c>
      <c r="D1001" s="577">
        <v>2.3999999999999998E-3</v>
      </c>
      <c r="E1001" s="577">
        <v>4.208333333333333E-3</v>
      </c>
      <c r="F1001" s="577">
        <v>4.8666666666666667E-3</v>
      </c>
      <c r="G1001" s="577">
        <v>4.5374999999999999E-3</v>
      </c>
      <c r="H1001" s="577">
        <v>5.3249999999999999E-3</v>
      </c>
      <c r="I1001" s="577">
        <f t="shared" si="167"/>
        <v>-8.6699999999999999E-2</v>
      </c>
      <c r="J1001" s="577">
        <f t="shared" si="171"/>
        <v>-8.88375E-2</v>
      </c>
      <c r="K1001" s="577">
        <f t="shared" si="172"/>
        <v>-9.8659999999999998E-3</v>
      </c>
      <c r="L1001" s="585">
        <f t="shared" si="168"/>
        <v>-0.38623478098945541</v>
      </c>
      <c r="M1001" s="585">
        <f t="shared" si="169"/>
        <v>2.8799999999999999E-2</v>
      </c>
      <c r="N1001" s="585">
        <f t="shared" si="173"/>
        <v>5.4449999999999998E-2</v>
      </c>
      <c r="O1001" s="586">
        <f t="shared" si="170"/>
        <v>-0.4150347809894554</v>
      </c>
      <c r="P1001" s="585">
        <f t="shared" si="174"/>
        <v>-0.4406847809894554</v>
      </c>
      <c r="Q1001" s="585">
        <f t="shared" si="175"/>
        <v>-0.24197967366300555</v>
      </c>
      <c r="R1001" s="585">
        <f t="shared" si="176"/>
        <v>6.3899999999999998E-2</v>
      </c>
      <c r="S1001" s="586">
        <f t="shared" si="177"/>
        <v>-0.30587967366300556</v>
      </c>
      <c r="U1001" s="587"/>
      <c r="V1001" s="587"/>
      <c r="W1001" s="587"/>
      <c r="X1001" s="587"/>
      <c r="Y1001" s="587"/>
      <c r="Z1001" s="587"/>
      <c r="AA1001" s="587"/>
      <c r="AB1001" s="587"/>
      <c r="AC1001" s="587"/>
      <c r="AE1001" s="587"/>
      <c r="AF1001" s="587"/>
      <c r="AG1001" s="587"/>
      <c r="AH1001" s="587"/>
      <c r="AI1001" s="587"/>
      <c r="AJ1001" s="587"/>
      <c r="AK1001" s="587"/>
      <c r="AL1001" s="587"/>
      <c r="AM1001" s="587"/>
      <c r="AO1001" s="587"/>
      <c r="AP1001" s="587"/>
      <c r="AQ1001" s="587"/>
      <c r="AR1001" s="587"/>
      <c r="AS1001" s="587"/>
      <c r="AT1001" s="587"/>
      <c r="AU1001" s="587"/>
      <c r="AV1001" s="587"/>
      <c r="AW1001" s="587"/>
    </row>
    <row r="1002" spans="1:49">
      <c r="A1002" s="581">
        <v>39845</v>
      </c>
      <c r="B1002" s="594">
        <v>-0.1065</v>
      </c>
      <c r="C1002" s="577">
        <v>-0.12570800000000001</v>
      </c>
      <c r="D1002" s="577">
        <v>3.0000000000000001E-3</v>
      </c>
      <c r="E1002" s="577">
        <v>4.3916666666666661E-3</v>
      </c>
      <c r="F1002" s="577">
        <v>5.0166666666666658E-3</v>
      </c>
      <c r="G1002" s="577">
        <v>4.7041666666666655E-3</v>
      </c>
      <c r="H1002" s="577">
        <v>5.2500000000000003E-3</v>
      </c>
      <c r="I1002" s="577">
        <f t="shared" si="167"/>
        <v>-0.1095</v>
      </c>
      <c r="J1002" s="577">
        <f t="shared" si="171"/>
        <v>-0.11120416666666666</v>
      </c>
      <c r="K1002" s="577">
        <f t="shared" si="172"/>
        <v>-0.13095800000000002</v>
      </c>
      <c r="L1002" s="585">
        <f t="shared" si="168"/>
        <v>-0.43317909748225158</v>
      </c>
      <c r="M1002" s="585">
        <f t="shared" si="169"/>
        <v>3.6000000000000004E-2</v>
      </c>
      <c r="N1002" s="585">
        <f t="shared" si="173"/>
        <v>5.6449999999999986E-2</v>
      </c>
      <c r="O1002" s="586">
        <f t="shared" si="170"/>
        <v>-0.46917909748225162</v>
      </c>
      <c r="P1002" s="585">
        <f t="shared" si="174"/>
        <v>-0.48962909748225159</v>
      </c>
      <c r="Q1002" s="585">
        <f t="shared" si="175"/>
        <v>-0.30242061719896807</v>
      </c>
      <c r="R1002" s="585">
        <f t="shared" si="176"/>
        <v>6.3E-2</v>
      </c>
      <c r="S1002" s="586">
        <f t="shared" si="177"/>
        <v>-0.36542061719896807</v>
      </c>
      <c r="U1002" s="587"/>
      <c r="V1002" s="587"/>
      <c r="W1002" s="587"/>
      <c r="X1002" s="587"/>
      <c r="Y1002" s="587"/>
      <c r="Z1002" s="587"/>
      <c r="AA1002" s="587"/>
      <c r="AB1002" s="587"/>
      <c r="AC1002" s="587"/>
      <c r="AE1002" s="587"/>
      <c r="AF1002" s="587"/>
      <c r="AG1002" s="587"/>
      <c r="AH1002" s="587"/>
      <c r="AI1002" s="587"/>
      <c r="AJ1002" s="587"/>
      <c r="AK1002" s="587"/>
      <c r="AL1002" s="587"/>
      <c r="AM1002" s="587"/>
      <c r="AO1002" s="587"/>
      <c r="AP1002" s="587"/>
      <c r="AQ1002" s="587"/>
      <c r="AR1002" s="587"/>
      <c r="AS1002" s="587"/>
      <c r="AT1002" s="587"/>
      <c r="AU1002" s="587"/>
      <c r="AV1002" s="587"/>
      <c r="AW1002" s="587"/>
    </row>
    <row r="1003" spans="1:49">
      <c r="A1003" s="581">
        <v>39873</v>
      </c>
      <c r="B1003" s="594">
        <v>8.7599999999999997E-2</v>
      </c>
      <c r="C1003" s="577">
        <v>2.5255E-2</v>
      </c>
      <c r="D1003" s="577">
        <v>3.5000000000000005E-3</v>
      </c>
      <c r="E1003" s="577">
        <v>4.5833333333333334E-3</v>
      </c>
      <c r="F1003" s="577">
        <v>5.0916666666666662E-3</v>
      </c>
      <c r="G1003" s="577">
        <v>4.8374999999999998E-3</v>
      </c>
      <c r="H1003" s="577">
        <v>5.3500000000000006E-3</v>
      </c>
      <c r="I1003" s="577">
        <f t="shared" si="167"/>
        <v>8.4099999999999994E-2</v>
      </c>
      <c r="J1003" s="577">
        <f t="shared" si="171"/>
        <v>8.2762500000000003E-2</v>
      </c>
      <c r="K1003" s="577">
        <f t="shared" si="172"/>
        <v>1.9904999999999999E-2</v>
      </c>
      <c r="L1003" s="585">
        <f t="shared" si="168"/>
        <v>-0.38086329860570167</v>
      </c>
      <c r="M1003" s="585">
        <f t="shared" si="169"/>
        <v>4.200000000000001E-2</v>
      </c>
      <c r="N1003" s="585">
        <f t="shared" si="173"/>
        <v>5.8049999999999997E-2</v>
      </c>
      <c r="O1003" s="586">
        <f t="shared" si="170"/>
        <v>-0.42286329860570171</v>
      </c>
      <c r="P1003" s="585">
        <f t="shared" si="174"/>
        <v>-0.43891329860570166</v>
      </c>
      <c r="Q1003" s="585">
        <f t="shared" si="175"/>
        <v>-0.29679707890846518</v>
      </c>
      <c r="R1003" s="585">
        <f t="shared" si="176"/>
        <v>6.4200000000000007E-2</v>
      </c>
      <c r="S1003" s="586">
        <f t="shared" si="177"/>
        <v>-0.36099707890846522</v>
      </c>
      <c r="U1003" s="587"/>
      <c r="V1003" s="587"/>
      <c r="W1003" s="587"/>
      <c r="X1003" s="587"/>
      <c r="Y1003" s="587"/>
      <c r="Z1003" s="587"/>
      <c r="AA1003" s="587"/>
      <c r="AB1003" s="587"/>
      <c r="AC1003" s="587"/>
      <c r="AE1003" s="587"/>
      <c r="AF1003" s="587"/>
      <c r="AG1003" s="587"/>
      <c r="AH1003" s="587"/>
      <c r="AI1003" s="587"/>
      <c r="AJ1003" s="587"/>
      <c r="AK1003" s="587"/>
      <c r="AL1003" s="587"/>
      <c r="AM1003" s="587"/>
      <c r="AO1003" s="587"/>
      <c r="AP1003" s="587"/>
      <c r="AQ1003" s="587"/>
      <c r="AR1003" s="587"/>
      <c r="AS1003" s="587"/>
      <c r="AT1003" s="587"/>
      <c r="AU1003" s="587"/>
      <c r="AV1003" s="587"/>
      <c r="AW1003" s="587"/>
    </row>
    <row r="1004" spans="1:49">
      <c r="A1004" s="581">
        <v>39904</v>
      </c>
      <c r="B1004" s="594">
        <v>9.5699999999999993E-2</v>
      </c>
      <c r="C1004" s="577">
        <v>8.4620000000000008E-3</v>
      </c>
      <c r="D1004" s="577">
        <v>2.8999999999999998E-3</v>
      </c>
      <c r="E1004" s="577">
        <v>4.4916666666666664E-3</v>
      </c>
      <c r="F1004" s="577">
        <v>5.1416666666666668E-3</v>
      </c>
      <c r="G1004" s="577">
        <v>4.816666666666667E-3</v>
      </c>
      <c r="H1004" s="577">
        <v>5.4000000000000003E-3</v>
      </c>
      <c r="I1004" s="577">
        <f t="shared" si="167"/>
        <v>9.2799999999999994E-2</v>
      </c>
      <c r="J1004" s="577">
        <f t="shared" si="171"/>
        <v>9.088333333333333E-2</v>
      </c>
      <c r="K1004" s="577">
        <f t="shared" si="172"/>
        <v>3.0620000000000005E-3</v>
      </c>
      <c r="L1004" s="585">
        <f t="shared" si="168"/>
        <v>-0.35311520576167366</v>
      </c>
      <c r="M1004" s="585">
        <f t="shared" si="169"/>
        <v>3.4799999999999998E-2</v>
      </c>
      <c r="N1004" s="585">
        <f t="shared" si="173"/>
        <v>5.7800000000000004E-2</v>
      </c>
      <c r="O1004" s="586">
        <f t="shared" si="170"/>
        <v>-0.38791520576167365</v>
      </c>
      <c r="P1004" s="585">
        <f t="shared" si="174"/>
        <v>-0.41091520576167367</v>
      </c>
      <c r="Q1004" s="585">
        <f t="shared" si="175"/>
        <v>-0.32792049739252505</v>
      </c>
      <c r="R1004" s="585">
        <f t="shared" si="176"/>
        <v>6.4799999999999996E-2</v>
      </c>
      <c r="S1004" s="586">
        <f t="shared" si="177"/>
        <v>-0.39272049739252501</v>
      </c>
      <c r="U1004" s="587"/>
      <c r="V1004" s="587"/>
      <c r="W1004" s="587"/>
      <c r="X1004" s="587"/>
      <c r="Y1004" s="587"/>
      <c r="Z1004" s="587"/>
      <c r="AA1004" s="587"/>
      <c r="AB1004" s="587"/>
      <c r="AC1004" s="587"/>
      <c r="AE1004" s="587"/>
      <c r="AF1004" s="587"/>
      <c r="AG1004" s="587"/>
      <c r="AH1004" s="587"/>
      <c r="AI1004" s="587"/>
      <c r="AJ1004" s="587"/>
      <c r="AK1004" s="587"/>
      <c r="AL1004" s="587"/>
      <c r="AM1004" s="587"/>
      <c r="AO1004" s="587"/>
      <c r="AP1004" s="587"/>
      <c r="AQ1004" s="587"/>
      <c r="AR1004" s="587"/>
      <c r="AS1004" s="587"/>
      <c r="AT1004" s="587"/>
      <c r="AU1004" s="587"/>
      <c r="AV1004" s="587"/>
      <c r="AW1004" s="587"/>
    </row>
    <row r="1005" spans="1:49">
      <c r="A1005" s="581">
        <v>39934</v>
      </c>
      <c r="B1005" s="594">
        <v>5.5899999999999998E-2</v>
      </c>
      <c r="C1005" s="577">
        <v>3.5286999999999999E-2</v>
      </c>
      <c r="D1005" s="577">
        <v>3.3E-3</v>
      </c>
      <c r="E1005" s="577">
        <v>4.6166666666666665E-3</v>
      </c>
      <c r="F1005" s="577">
        <v>5.1999999999999998E-3</v>
      </c>
      <c r="G1005" s="577">
        <v>4.9083333333333331E-3</v>
      </c>
      <c r="H1005" s="577">
        <v>5.4083333333333336E-3</v>
      </c>
      <c r="I1005" s="577">
        <f t="shared" si="167"/>
        <v>5.2600000000000001E-2</v>
      </c>
      <c r="J1005" s="577">
        <f t="shared" si="171"/>
        <v>5.0991666666666664E-2</v>
      </c>
      <c r="K1005" s="577">
        <f t="shared" si="172"/>
        <v>2.9878666666666664E-2</v>
      </c>
      <c r="L1005" s="585">
        <f t="shared" si="168"/>
        <v>-0.32571998594644724</v>
      </c>
      <c r="M1005" s="585">
        <f t="shared" si="169"/>
        <v>3.9599999999999996E-2</v>
      </c>
      <c r="N1005" s="585">
        <f t="shared" si="173"/>
        <v>5.8899999999999994E-2</v>
      </c>
      <c r="O1005" s="586">
        <f t="shared" si="170"/>
        <v>-0.36531998594644721</v>
      </c>
      <c r="P1005" s="585">
        <f t="shared" si="174"/>
        <v>-0.38461998594644725</v>
      </c>
      <c r="Q1005" s="585">
        <f t="shared" si="175"/>
        <v>-0.32577137888753915</v>
      </c>
      <c r="R1005" s="585">
        <f t="shared" si="176"/>
        <v>6.4899999999999999E-2</v>
      </c>
      <c r="S1005" s="586">
        <f t="shared" si="177"/>
        <v>-0.39067137888753917</v>
      </c>
      <c r="U1005" s="587"/>
      <c r="V1005" s="587"/>
      <c r="W1005" s="587"/>
      <c r="X1005" s="587"/>
      <c r="Y1005" s="587"/>
      <c r="Z1005" s="587"/>
      <c r="AA1005" s="587"/>
      <c r="AB1005" s="587"/>
      <c r="AC1005" s="587"/>
      <c r="AE1005" s="587"/>
      <c r="AF1005" s="587"/>
      <c r="AG1005" s="587"/>
      <c r="AH1005" s="587"/>
      <c r="AI1005" s="587"/>
      <c r="AJ1005" s="587"/>
      <c r="AK1005" s="587"/>
      <c r="AL1005" s="587"/>
      <c r="AM1005" s="587"/>
      <c r="AO1005" s="587"/>
      <c r="AP1005" s="587"/>
      <c r="AQ1005" s="587"/>
      <c r="AR1005" s="587"/>
      <c r="AS1005" s="587"/>
      <c r="AT1005" s="587"/>
      <c r="AU1005" s="587"/>
      <c r="AV1005" s="587"/>
      <c r="AW1005" s="587"/>
    </row>
    <row r="1006" spans="1:49">
      <c r="A1006" s="581">
        <v>39965</v>
      </c>
      <c r="B1006" s="594">
        <v>2E-3</v>
      </c>
      <c r="C1006" s="577">
        <v>5.5202000000000001E-2</v>
      </c>
      <c r="D1006" s="577">
        <v>3.8E-3</v>
      </c>
      <c r="E1006" s="577">
        <v>4.6750000000000003E-3</v>
      </c>
      <c r="F1006" s="577">
        <v>5.1000000000000004E-3</v>
      </c>
      <c r="G1006" s="577">
        <v>4.8875000000000004E-3</v>
      </c>
      <c r="H1006" s="577">
        <v>5.1666666666666675E-3</v>
      </c>
      <c r="I1006" s="577">
        <f t="shared" si="167"/>
        <v>-1.8E-3</v>
      </c>
      <c r="J1006" s="577">
        <f t="shared" si="171"/>
        <v>-2.8875000000000003E-3</v>
      </c>
      <c r="K1006" s="577">
        <f t="shared" si="172"/>
        <v>5.0035333333333334E-2</v>
      </c>
      <c r="L1006" s="585">
        <f t="shared" si="168"/>
        <v>-0.26217257389793625</v>
      </c>
      <c r="M1006" s="585">
        <f t="shared" si="169"/>
        <v>4.5600000000000002E-2</v>
      </c>
      <c r="N1006" s="585">
        <f t="shared" si="173"/>
        <v>5.8650000000000008E-2</v>
      </c>
      <c r="O1006" s="586">
        <f t="shared" si="170"/>
        <v>-0.30777257389793622</v>
      </c>
      <c r="P1006" s="585">
        <f t="shared" si="174"/>
        <v>-0.32082257389793623</v>
      </c>
      <c r="Q1006" s="585">
        <f t="shared" si="175"/>
        <v>-0.28233186313453951</v>
      </c>
      <c r="R1006" s="585">
        <f t="shared" si="176"/>
        <v>6.2000000000000013E-2</v>
      </c>
      <c r="S1006" s="586">
        <f t="shared" si="177"/>
        <v>-0.34433186313453951</v>
      </c>
      <c r="U1006" s="587"/>
      <c r="V1006" s="587"/>
      <c r="W1006" s="587"/>
      <c r="X1006" s="587"/>
      <c r="Y1006" s="587"/>
      <c r="Z1006" s="587"/>
      <c r="AA1006" s="587"/>
      <c r="AB1006" s="587"/>
      <c r="AC1006" s="587"/>
      <c r="AE1006" s="587"/>
      <c r="AF1006" s="587"/>
      <c r="AG1006" s="587"/>
      <c r="AH1006" s="587"/>
      <c r="AI1006" s="587"/>
      <c r="AJ1006" s="587"/>
      <c r="AK1006" s="587"/>
      <c r="AL1006" s="587"/>
      <c r="AM1006" s="587"/>
      <c r="AO1006" s="587"/>
      <c r="AP1006" s="587"/>
      <c r="AQ1006" s="587"/>
      <c r="AR1006" s="587"/>
      <c r="AS1006" s="587"/>
      <c r="AT1006" s="587"/>
      <c r="AU1006" s="587"/>
      <c r="AV1006" s="587"/>
      <c r="AW1006" s="587"/>
    </row>
    <row r="1007" spans="1:49">
      <c r="A1007" s="581">
        <v>39995</v>
      </c>
      <c r="B1007" s="594">
        <v>7.5600000000000001E-2</v>
      </c>
      <c r="C1007" s="577">
        <v>4.0755E-2</v>
      </c>
      <c r="D1007" s="577">
        <v>3.5999999999999999E-3</v>
      </c>
      <c r="E1007" s="577">
        <v>4.5083333333333338E-3</v>
      </c>
      <c r="F1007" s="577">
        <v>4.7583333333333332E-3</v>
      </c>
      <c r="G1007" s="577">
        <v>4.6333333333333339E-3</v>
      </c>
      <c r="H1007" s="577">
        <v>4.9750000000000003E-3</v>
      </c>
      <c r="I1007" s="577">
        <f t="shared" si="167"/>
        <v>7.1999999999999995E-2</v>
      </c>
      <c r="J1007" s="577">
        <f t="shared" si="171"/>
        <v>7.0966666666666664E-2</v>
      </c>
      <c r="K1007" s="577">
        <f t="shared" si="172"/>
        <v>3.5779999999999999E-2</v>
      </c>
      <c r="L1007" s="585">
        <f t="shared" si="168"/>
        <v>-0.19967004889534123</v>
      </c>
      <c r="M1007" s="585">
        <f t="shared" si="169"/>
        <v>4.3200000000000002E-2</v>
      </c>
      <c r="N1007" s="585">
        <f t="shared" si="173"/>
        <v>5.5600000000000011E-2</v>
      </c>
      <c r="O1007" s="586">
        <f t="shared" si="170"/>
        <v>-0.24287004889534125</v>
      </c>
      <c r="P1007" s="585">
        <f t="shared" si="174"/>
        <v>-0.25527004889534122</v>
      </c>
      <c r="Q1007" s="585">
        <f t="shared" si="175"/>
        <v>-0.20447005429441045</v>
      </c>
      <c r="R1007" s="585">
        <f t="shared" si="176"/>
        <v>5.9700000000000003E-2</v>
      </c>
      <c r="S1007" s="586">
        <f t="shared" si="177"/>
        <v>-0.26417005429441043</v>
      </c>
      <c r="U1007" s="587"/>
      <c r="V1007" s="587"/>
      <c r="W1007" s="587"/>
      <c r="X1007" s="587"/>
      <c r="Y1007" s="587"/>
      <c r="Z1007" s="587"/>
      <c r="AA1007" s="587"/>
      <c r="AB1007" s="587"/>
      <c r="AC1007" s="587"/>
      <c r="AE1007" s="587"/>
      <c r="AF1007" s="587"/>
      <c r="AG1007" s="587"/>
      <c r="AH1007" s="587"/>
      <c r="AI1007" s="587"/>
      <c r="AJ1007" s="587"/>
      <c r="AK1007" s="587"/>
      <c r="AL1007" s="587"/>
      <c r="AM1007" s="587"/>
      <c r="AO1007" s="587"/>
      <c r="AP1007" s="587"/>
      <c r="AQ1007" s="587"/>
      <c r="AR1007" s="587"/>
      <c r="AS1007" s="587"/>
      <c r="AT1007" s="587"/>
      <c r="AU1007" s="587"/>
      <c r="AV1007" s="587"/>
      <c r="AW1007" s="587"/>
    </row>
    <row r="1008" spans="1:49">
      <c r="A1008" s="581">
        <v>40026</v>
      </c>
      <c r="B1008" s="594">
        <v>3.61E-2</v>
      </c>
      <c r="C1008" s="577">
        <v>5.4599999999999996E-3</v>
      </c>
      <c r="D1008" s="577">
        <v>3.5999999999999999E-3</v>
      </c>
      <c r="E1008" s="577">
        <v>4.3833333333333328E-3</v>
      </c>
      <c r="F1008" s="577">
        <v>4.5416666666666669E-3</v>
      </c>
      <c r="G1008" s="577">
        <v>4.4624999999999995E-3</v>
      </c>
      <c r="H1008" s="577">
        <v>4.7583333333333332E-3</v>
      </c>
      <c r="I1008" s="577">
        <f t="shared" si="167"/>
        <v>3.2500000000000001E-2</v>
      </c>
      <c r="J1008" s="577">
        <f t="shared" si="171"/>
        <v>3.1637499999999999E-2</v>
      </c>
      <c r="K1008" s="577">
        <f t="shared" si="172"/>
        <v>7.0166666666666641E-4</v>
      </c>
      <c r="L1008" s="585">
        <f t="shared" si="168"/>
        <v>-0.18263000262243756</v>
      </c>
      <c r="M1008" s="585">
        <f t="shared" si="169"/>
        <v>4.3200000000000002E-2</v>
      </c>
      <c r="N1008" s="585">
        <f t="shared" si="173"/>
        <v>5.3549999999999993E-2</v>
      </c>
      <c r="O1008" s="586">
        <f t="shared" si="170"/>
        <v>-0.22583000262243758</v>
      </c>
      <c r="P1008" s="585">
        <f t="shared" si="174"/>
        <v>-0.23618000262243755</v>
      </c>
      <c r="Q1008" s="585">
        <f t="shared" si="175"/>
        <v>-0.18662277205247291</v>
      </c>
      <c r="R1008" s="585">
        <f t="shared" si="176"/>
        <v>5.7099999999999998E-2</v>
      </c>
      <c r="S1008" s="586">
        <f t="shared" si="177"/>
        <v>-0.24372277205247289</v>
      </c>
      <c r="U1008" s="587"/>
      <c r="V1008" s="587"/>
      <c r="W1008" s="587"/>
      <c r="X1008" s="587"/>
      <c r="Y1008" s="587"/>
      <c r="Z1008" s="587"/>
      <c r="AA1008" s="587"/>
      <c r="AB1008" s="587"/>
      <c r="AC1008" s="587"/>
      <c r="AE1008" s="587"/>
      <c r="AF1008" s="587"/>
      <c r="AG1008" s="587"/>
      <c r="AH1008" s="587"/>
      <c r="AI1008" s="587"/>
      <c r="AJ1008" s="587"/>
      <c r="AK1008" s="587"/>
      <c r="AL1008" s="587"/>
      <c r="AM1008" s="587"/>
      <c r="AO1008" s="587"/>
      <c r="AP1008" s="587"/>
      <c r="AQ1008" s="587"/>
      <c r="AR1008" s="587"/>
      <c r="AS1008" s="587"/>
      <c r="AT1008" s="587"/>
      <c r="AU1008" s="587"/>
      <c r="AV1008" s="587"/>
      <c r="AW1008" s="587"/>
    </row>
    <row r="1009" spans="1:49">
      <c r="A1009" s="581">
        <v>40057</v>
      </c>
      <c r="B1009" s="594">
        <v>3.73E-2</v>
      </c>
      <c r="C1009" s="577">
        <v>1.4283999999999998E-2</v>
      </c>
      <c r="D1009" s="577">
        <v>3.3999999999999998E-3</v>
      </c>
      <c r="E1009" s="577">
        <v>4.2750000000000002E-3</v>
      </c>
      <c r="F1009" s="577">
        <v>4.3416666666666664E-3</v>
      </c>
      <c r="G1009" s="577">
        <v>4.3083333333333333E-3</v>
      </c>
      <c r="H1009" s="577">
        <v>4.6083333333333341E-3</v>
      </c>
      <c r="I1009" s="577">
        <f t="shared" si="167"/>
        <v>3.39E-2</v>
      </c>
      <c r="J1009" s="577">
        <f t="shared" si="171"/>
        <v>3.2991666666666669E-2</v>
      </c>
      <c r="K1009" s="577">
        <f t="shared" si="172"/>
        <v>9.675666666666664E-3</v>
      </c>
      <c r="L1009" s="585">
        <f t="shared" si="168"/>
        <v>-6.9208586804538674E-2</v>
      </c>
      <c r="M1009" s="585">
        <f t="shared" si="169"/>
        <v>4.0799999999999996E-2</v>
      </c>
      <c r="N1009" s="585">
        <f t="shared" si="173"/>
        <v>5.1699999999999996E-2</v>
      </c>
      <c r="O1009" s="586">
        <f t="shared" si="170"/>
        <v>-0.11000858680453868</v>
      </c>
      <c r="P1009" s="585">
        <f t="shared" si="174"/>
        <v>-0.12090858680453867</v>
      </c>
      <c r="Q1009" s="585">
        <f t="shared" si="175"/>
        <v>-6.7988087951302956E-2</v>
      </c>
      <c r="R1009" s="585">
        <f t="shared" si="176"/>
        <v>5.5300000000000009E-2</v>
      </c>
      <c r="S1009" s="586">
        <f t="shared" si="177"/>
        <v>-0.12328808795130297</v>
      </c>
      <c r="U1009" s="587"/>
      <c r="V1009" s="587"/>
      <c r="W1009" s="587"/>
      <c r="X1009" s="587"/>
      <c r="Y1009" s="587"/>
      <c r="Z1009" s="587"/>
      <c r="AA1009" s="587"/>
      <c r="AB1009" s="587"/>
      <c r="AC1009" s="587"/>
      <c r="AE1009" s="587"/>
      <c r="AF1009" s="587"/>
      <c r="AG1009" s="587"/>
      <c r="AH1009" s="587"/>
      <c r="AI1009" s="587"/>
      <c r="AJ1009" s="587"/>
      <c r="AK1009" s="587"/>
      <c r="AL1009" s="587"/>
      <c r="AM1009" s="587"/>
      <c r="AO1009" s="587"/>
      <c r="AP1009" s="587"/>
      <c r="AQ1009" s="587"/>
      <c r="AR1009" s="587"/>
      <c r="AS1009" s="587"/>
      <c r="AT1009" s="587"/>
      <c r="AU1009" s="587"/>
      <c r="AV1009" s="587"/>
      <c r="AW1009" s="587"/>
    </row>
    <row r="1010" spans="1:49">
      <c r="A1010" s="581">
        <v>40087</v>
      </c>
      <c r="B1010" s="594">
        <v>-1.8599999999999998E-2</v>
      </c>
      <c r="C1010" s="577">
        <v>-2.8427000000000001E-2</v>
      </c>
      <c r="D1010" s="577">
        <v>3.3E-3</v>
      </c>
      <c r="E1010" s="577">
        <v>4.2916666666666667E-3</v>
      </c>
      <c r="F1010" s="577">
        <v>4.3666666666666671E-3</v>
      </c>
      <c r="G1010" s="577">
        <v>4.3291666666666669E-3</v>
      </c>
      <c r="H1010" s="577">
        <v>4.6249999999999998E-3</v>
      </c>
      <c r="I1010" s="577">
        <f t="shared" si="167"/>
        <v>-2.1899999999999999E-2</v>
      </c>
      <c r="J1010" s="577">
        <f t="shared" si="171"/>
        <v>-2.2929166666666667E-2</v>
      </c>
      <c r="K1010" s="577">
        <f t="shared" si="172"/>
        <v>-3.3051999999999998E-2</v>
      </c>
      <c r="L1010" s="585">
        <f t="shared" si="168"/>
        <v>9.779917426995044E-2</v>
      </c>
      <c r="M1010" s="585">
        <f t="shared" si="169"/>
        <v>3.9599999999999996E-2</v>
      </c>
      <c r="N1010" s="585">
        <f t="shared" si="173"/>
        <v>5.1950000000000003E-2</v>
      </c>
      <c r="O1010" s="586">
        <f t="shared" si="170"/>
        <v>5.8199174269950443E-2</v>
      </c>
      <c r="P1010" s="585">
        <f t="shared" si="174"/>
        <v>4.5849174269950436E-2</v>
      </c>
      <c r="Q1010" s="585">
        <f t="shared" si="175"/>
        <v>2.4489529507540464E-2</v>
      </c>
      <c r="R1010" s="585">
        <f t="shared" si="176"/>
        <v>5.5499999999999994E-2</v>
      </c>
      <c r="S1010" s="586">
        <f t="shared" si="177"/>
        <v>-3.101047049245953E-2</v>
      </c>
      <c r="U1010" s="587"/>
      <c r="V1010" s="587"/>
      <c r="W1010" s="587"/>
      <c r="X1010" s="587"/>
      <c r="Y1010" s="587"/>
      <c r="Z1010" s="587"/>
      <c r="AA1010" s="587"/>
      <c r="AB1010" s="587"/>
      <c r="AC1010" s="587"/>
      <c r="AE1010" s="587"/>
      <c r="AF1010" s="587"/>
      <c r="AG1010" s="587"/>
      <c r="AH1010" s="587"/>
      <c r="AI1010" s="587"/>
      <c r="AJ1010" s="587"/>
      <c r="AK1010" s="587"/>
      <c r="AL1010" s="587"/>
      <c r="AM1010" s="587"/>
      <c r="AO1010" s="587"/>
      <c r="AP1010" s="587"/>
      <c r="AQ1010" s="587"/>
      <c r="AR1010" s="587"/>
      <c r="AS1010" s="587"/>
      <c r="AT1010" s="587"/>
      <c r="AU1010" s="587"/>
      <c r="AV1010" s="587"/>
      <c r="AW1010" s="587"/>
    </row>
    <row r="1011" spans="1:49">
      <c r="A1011" s="581">
        <v>40118</v>
      </c>
      <c r="B1011" s="594">
        <v>0.06</v>
      </c>
      <c r="C1011" s="577">
        <v>4.5586000000000002E-2</v>
      </c>
      <c r="D1011" s="577">
        <v>3.5000000000000005E-3</v>
      </c>
      <c r="E1011" s="577">
        <v>4.3250000000000007E-3</v>
      </c>
      <c r="F1011" s="577">
        <v>4.4083333333333335E-3</v>
      </c>
      <c r="G1011" s="577">
        <v>4.3666666666666671E-3</v>
      </c>
      <c r="H1011" s="577">
        <v>4.6999999999999993E-3</v>
      </c>
      <c r="I1011" s="577">
        <f t="shared" si="167"/>
        <v>5.6499999999999995E-2</v>
      </c>
      <c r="J1011" s="577">
        <f t="shared" si="171"/>
        <v>5.5633333333333333E-2</v>
      </c>
      <c r="K1011" s="577">
        <f t="shared" si="172"/>
        <v>4.0886000000000006E-2</v>
      </c>
      <c r="L1011" s="585">
        <f t="shared" si="168"/>
        <v>0.25368145305553491</v>
      </c>
      <c r="M1011" s="585">
        <f t="shared" si="169"/>
        <v>4.200000000000001E-2</v>
      </c>
      <c r="N1011" s="585">
        <f t="shared" si="173"/>
        <v>5.2400000000000002E-2</v>
      </c>
      <c r="O1011" s="586">
        <f t="shared" si="170"/>
        <v>0.2116814530555349</v>
      </c>
      <c r="P1011" s="585">
        <f t="shared" si="174"/>
        <v>0.20128145305553491</v>
      </c>
      <c r="Q1011" s="585">
        <f t="shared" si="175"/>
        <v>4.2122932130814084E-2</v>
      </c>
      <c r="R1011" s="585">
        <f t="shared" si="176"/>
        <v>5.6399999999999992E-2</v>
      </c>
      <c r="S1011" s="586">
        <f t="shared" si="177"/>
        <v>-1.4277067869185908E-2</v>
      </c>
      <c r="U1011" s="587"/>
      <c r="V1011" s="587"/>
      <c r="W1011" s="587"/>
      <c r="X1011" s="587"/>
      <c r="Y1011" s="587"/>
      <c r="Z1011" s="587"/>
      <c r="AA1011" s="587"/>
      <c r="AB1011" s="587"/>
      <c r="AC1011" s="587"/>
      <c r="AE1011" s="587"/>
      <c r="AF1011" s="587"/>
      <c r="AG1011" s="587"/>
      <c r="AH1011" s="587"/>
      <c r="AI1011" s="587"/>
      <c r="AJ1011" s="587"/>
      <c r="AK1011" s="587"/>
      <c r="AL1011" s="587"/>
      <c r="AM1011" s="587"/>
      <c r="AO1011" s="587"/>
      <c r="AP1011" s="587"/>
      <c r="AQ1011" s="587"/>
      <c r="AR1011" s="587"/>
      <c r="AS1011" s="587"/>
      <c r="AT1011" s="587"/>
      <c r="AU1011" s="587"/>
      <c r="AV1011" s="587"/>
      <c r="AW1011" s="587"/>
    </row>
    <row r="1012" spans="1:49">
      <c r="A1012" s="581">
        <v>40148</v>
      </c>
      <c r="B1012" s="594">
        <v>1.9300000000000001E-2</v>
      </c>
      <c r="C1012" s="577">
        <v>5.5813000000000008E-2</v>
      </c>
      <c r="D1012" s="577">
        <v>3.3999999999999998E-3</v>
      </c>
      <c r="E1012" s="577">
        <v>4.3833333333333328E-3</v>
      </c>
      <c r="F1012" s="577">
        <v>4.5333333333333337E-3</v>
      </c>
      <c r="G1012" s="577">
        <v>4.4583333333333332E-3</v>
      </c>
      <c r="H1012" s="577">
        <v>4.8249999999999994E-3</v>
      </c>
      <c r="I1012" s="577">
        <f t="shared" si="167"/>
        <v>1.5900000000000001E-2</v>
      </c>
      <c r="J1012" s="577">
        <f t="shared" si="171"/>
        <v>1.4841666666666668E-2</v>
      </c>
      <c r="K1012" s="577">
        <f t="shared" si="172"/>
        <v>5.0988000000000006E-2</v>
      </c>
      <c r="L1012" s="585">
        <f t="shared" si="168"/>
        <v>0.26447407985306426</v>
      </c>
      <c r="M1012" s="585">
        <f t="shared" si="169"/>
        <v>4.0799999999999996E-2</v>
      </c>
      <c r="N1012" s="585">
        <f t="shared" si="173"/>
        <v>5.3499999999999999E-2</v>
      </c>
      <c r="O1012" s="586">
        <f t="shared" si="170"/>
        <v>0.22367407985306426</v>
      </c>
      <c r="P1012" s="585">
        <f t="shared" si="174"/>
        <v>0.21097407985306427</v>
      </c>
      <c r="Q1012" s="585">
        <f t="shared" si="175"/>
        <v>0.11908419659198688</v>
      </c>
      <c r="R1012" s="585">
        <f t="shared" si="176"/>
        <v>5.7899999999999993E-2</v>
      </c>
      <c r="S1012" s="586">
        <f t="shared" si="177"/>
        <v>6.1184196591986886E-2</v>
      </c>
      <c r="U1012" s="587"/>
      <c r="V1012" s="587"/>
      <c r="W1012" s="587"/>
      <c r="X1012" s="587"/>
      <c r="Y1012" s="587"/>
      <c r="Z1012" s="587"/>
      <c r="AA1012" s="587"/>
      <c r="AB1012" s="587"/>
      <c r="AC1012" s="587"/>
      <c r="AE1012" s="587"/>
      <c r="AF1012" s="587"/>
      <c r="AG1012" s="587"/>
      <c r="AH1012" s="587"/>
      <c r="AI1012" s="587"/>
      <c r="AJ1012" s="587"/>
      <c r="AK1012" s="587"/>
      <c r="AL1012" s="587"/>
      <c r="AM1012" s="587"/>
      <c r="AO1012" s="587"/>
      <c r="AP1012" s="587"/>
      <c r="AQ1012" s="587"/>
      <c r="AR1012" s="587"/>
      <c r="AS1012" s="587"/>
      <c r="AT1012" s="587"/>
      <c r="AU1012" s="587"/>
      <c r="AV1012" s="587"/>
      <c r="AW1012" s="587"/>
    </row>
    <row r="1013" spans="1:49">
      <c r="A1013" s="581">
        <v>40179</v>
      </c>
      <c r="B1013" s="594">
        <v>-3.5999999999999997E-2</v>
      </c>
      <c r="C1013" s="577">
        <v>-4.7493E-2</v>
      </c>
      <c r="D1013" s="577">
        <v>3.5999999999999999E-3</v>
      </c>
      <c r="E1013" s="577">
        <v>4.3833333333333328E-3</v>
      </c>
      <c r="F1013" s="577">
        <v>4.5833333333333334E-3</v>
      </c>
      <c r="G1013" s="577">
        <v>4.4833333333333331E-3</v>
      </c>
      <c r="H1013" s="577">
        <v>4.8083333333333329E-3</v>
      </c>
      <c r="I1013" s="577">
        <f t="shared" si="167"/>
        <v>-3.9599999999999996E-2</v>
      </c>
      <c r="J1013" s="577">
        <f t="shared" si="171"/>
        <v>-4.048333333333333E-2</v>
      </c>
      <c r="K1013" s="577">
        <f t="shared" si="172"/>
        <v>-5.2301333333333332E-2</v>
      </c>
      <c r="L1013" s="585">
        <f t="shared" si="168"/>
        <v>0.33117070326346387</v>
      </c>
      <c r="M1013" s="585">
        <f t="shared" si="169"/>
        <v>4.3200000000000002E-2</v>
      </c>
      <c r="N1013" s="585">
        <f t="shared" si="173"/>
        <v>5.3800000000000001E-2</v>
      </c>
      <c r="O1013" s="586">
        <f t="shared" si="170"/>
        <v>0.28797070326346386</v>
      </c>
      <c r="P1013" s="585">
        <f t="shared" si="174"/>
        <v>0.27737070326346386</v>
      </c>
      <c r="Q1013" s="585">
        <f t="shared" si="175"/>
        <v>7.0798024673284665E-2</v>
      </c>
      <c r="R1013" s="585">
        <f t="shared" si="176"/>
        <v>5.7699999999999994E-2</v>
      </c>
      <c r="S1013" s="586">
        <f t="shared" si="177"/>
        <v>1.3098024673284671E-2</v>
      </c>
      <c r="U1013" s="587"/>
      <c r="V1013" s="587"/>
      <c r="W1013" s="587"/>
      <c r="X1013" s="587"/>
      <c r="Y1013" s="587"/>
      <c r="Z1013" s="587"/>
      <c r="AA1013" s="587"/>
      <c r="AB1013" s="587"/>
      <c r="AC1013" s="587"/>
      <c r="AE1013" s="587"/>
      <c r="AF1013" s="587"/>
      <c r="AG1013" s="587"/>
      <c r="AH1013" s="587"/>
      <c r="AI1013" s="587"/>
      <c r="AJ1013" s="587"/>
      <c r="AK1013" s="587"/>
      <c r="AL1013" s="587"/>
      <c r="AM1013" s="587"/>
      <c r="AO1013" s="587"/>
      <c r="AP1013" s="587"/>
      <c r="AQ1013" s="587"/>
      <c r="AR1013" s="587"/>
      <c r="AS1013" s="587"/>
      <c r="AT1013" s="587"/>
      <c r="AU1013" s="587"/>
      <c r="AV1013" s="587"/>
      <c r="AW1013" s="587"/>
    </row>
    <row r="1014" spans="1:49">
      <c r="A1014" s="581">
        <v>40210</v>
      </c>
      <c r="B1014" s="594">
        <v>3.1E-2</v>
      </c>
      <c r="C1014" s="577">
        <v>-1.4896E-2</v>
      </c>
      <c r="D1014" s="577">
        <v>3.3E-3</v>
      </c>
      <c r="E1014" s="577">
        <v>4.4583333333333332E-3</v>
      </c>
      <c r="F1014" s="577">
        <v>4.6833333333333336E-3</v>
      </c>
      <c r="G1014" s="577">
        <v>4.570833333333333E-3</v>
      </c>
      <c r="H1014" s="577">
        <v>4.8916666666666666E-3</v>
      </c>
      <c r="I1014" s="577">
        <f t="shared" si="167"/>
        <v>2.7699999999999999E-2</v>
      </c>
      <c r="J1014" s="577">
        <f t="shared" si="171"/>
        <v>2.6429166666666667E-2</v>
      </c>
      <c r="K1014" s="577">
        <f t="shared" si="172"/>
        <v>-1.9787666666666665E-2</v>
      </c>
      <c r="L1014" s="585">
        <f t="shared" si="168"/>
        <v>0.53602349755414846</v>
      </c>
      <c r="M1014" s="585">
        <f t="shared" si="169"/>
        <v>3.9599999999999996E-2</v>
      </c>
      <c r="N1014" s="585">
        <f t="shared" si="173"/>
        <v>5.4849999999999996E-2</v>
      </c>
      <c r="O1014" s="586">
        <f t="shared" si="170"/>
        <v>0.4964234975541485</v>
      </c>
      <c r="P1014" s="585">
        <f t="shared" si="174"/>
        <v>0.48117349755414845</v>
      </c>
      <c r="Q1014" s="585">
        <f t="shared" si="175"/>
        <v>0.20651614940746565</v>
      </c>
      <c r="R1014" s="585">
        <f t="shared" si="176"/>
        <v>5.8700000000000002E-2</v>
      </c>
      <c r="S1014" s="586">
        <f t="shared" si="177"/>
        <v>0.14781614940746565</v>
      </c>
      <c r="U1014" s="587"/>
      <c r="V1014" s="587"/>
      <c r="W1014" s="587"/>
      <c r="X1014" s="587"/>
      <c r="Y1014" s="587"/>
      <c r="Z1014" s="587"/>
      <c r="AA1014" s="587"/>
      <c r="AB1014" s="587"/>
      <c r="AC1014" s="587"/>
      <c r="AE1014" s="587"/>
      <c r="AF1014" s="587"/>
      <c r="AG1014" s="587"/>
      <c r="AH1014" s="587"/>
      <c r="AI1014" s="587"/>
      <c r="AJ1014" s="587"/>
      <c r="AK1014" s="587"/>
      <c r="AL1014" s="587"/>
      <c r="AM1014" s="587"/>
      <c r="AO1014" s="587"/>
      <c r="AP1014" s="587"/>
      <c r="AQ1014" s="587"/>
      <c r="AR1014" s="587"/>
      <c r="AS1014" s="587"/>
      <c r="AT1014" s="587"/>
      <c r="AU1014" s="587"/>
      <c r="AV1014" s="587"/>
      <c r="AW1014" s="587"/>
    </row>
    <row r="1015" spans="1:49">
      <c r="A1015" s="581">
        <v>40238</v>
      </c>
      <c r="B1015" s="594">
        <v>6.0299999999999999E-2</v>
      </c>
      <c r="C1015" s="577">
        <v>2.7978000000000006E-2</v>
      </c>
      <c r="D1015" s="577">
        <v>4.0000000000000001E-3</v>
      </c>
      <c r="E1015" s="577">
        <v>4.3916666666666661E-3</v>
      </c>
      <c r="F1015" s="577">
        <v>4.6416666666666663E-3</v>
      </c>
      <c r="G1015" s="577">
        <v>4.5166666666666662E-3</v>
      </c>
      <c r="H1015" s="577">
        <v>4.8666666666666667E-3</v>
      </c>
      <c r="I1015" s="577">
        <f t="shared" si="167"/>
        <v>5.6300000000000003E-2</v>
      </c>
      <c r="J1015" s="577">
        <f t="shared" si="171"/>
        <v>5.5783333333333331E-2</v>
      </c>
      <c r="K1015" s="577">
        <f t="shared" si="172"/>
        <v>2.3111333333333338E-2</v>
      </c>
      <c r="L1015" s="585">
        <f t="shared" si="168"/>
        <v>0.4974675565066784</v>
      </c>
      <c r="M1015" s="585">
        <f t="shared" si="169"/>
        <v>4.8000000000000001E-2</v>
      </c>
      <c r="N1015" s="585">
        <f t="shared" si="173"/>
        <v>5.4199999999999998E-2</v>
      </c>
      <c r="O1015" s="586">
        <f t="shared" si="170"/>
        <v>0.44946755650667841</v>
      </c>
      <c r="P1015" s="585">
        <f t="shared" si="174"/>
        <v>0.44326755650667837</v>
      </c>
      <c r="Q1015" s="585">
        <f t="shared" si="175"/>
        <v>0.20972056535748429</v>
      </c>
      <c r="R1015" s="585">
        <f t="shared" si="176"/>
        <v>5.8400000000000001E-2</v>
      </c>
      <c r="S1015" s="586">
        <f t="shared" si="177"/>
        <v>0.15132056535748428</v>
      </c>
      <c r="U1015" s="587"/>
      <c r="V1015" s="587"/>
      <c r="W1015" s="587"/>
      <c r="X1015" s="587"/>
      <c r="Y1015" s="587"/>
      <c r="Z1015" s="587"/>
      <c r="AA1015" s="587"/>
      <c r="AB1015" s="587"/>
      <c r="AC1015" s="587"/>
      <c r="AE1015" s="587"/>
      <c r="AF1015" s="587"/>
      <c r="AG1015" s="587"/>
      <c r="AH1015" s="587"/>
      <c r="AI1015" s="587"/>
      <c r="AJ1015" s="587"/>
      <c r="AK1015" s="587"/>
      <c r="AL1015" s="587"/>
      <c r="AM1015" s="587"/>
      <c r="AO1015" s="587"/>
      <c r="AP1015" s="587"/>
      <c r="AQ1015" s="587"/>
      <c r="AR1015" s="587"/>
      <c r="AS1015" s="587"/>
      <c r="AT1015" s="587"/>
      <c r="AU1015" s="587"/>
      <c r="AV1015" s="587"/>
      <c r="AW1015" s="587"/>
    </row>
    <row r="1016" spans="1:49">
      <c r="A1016" s="581">
        <v>40269</v>
      </c>
      <c r="B1016" s="594">
        <v>1.5800000000000002E-2</v>
      </c>
      <c r="C1016" s="577">
        <v>2.8058E-2</v>
      </c>
      <c r="D1016" s="577">
        <v>3.8E-3</v>
      </c>
      <c r="E1016" s="577">
        <v>4.4083333333333335E-3</v>
      </c>
      <c r="F1016" s="577">
        <v>4.6416666666666663E-3</v>
      </c>
      <c r="G1016" s="577">
        <v>4.5250000000000004E-3</v>
      </c>
      <c r="H1016" s="577">
        <v>4.841666666666666E-3</v>
      </c>
      <c r="I1016" s="577">
        <f t="shared" si="167"/>
        <v>1.2000000000000002E-2</v>
      </c>
      <c r="J1016" s="577">
        <f t="shared" si="171"/>
        <v>1.1275E-2</v>
      </c>
      <c r="K1016" s="577">
        <f t="shared" si="172"/>
        <v>2.3216333333333332E-2</v>
      </c>
      <c r="L1016" s="585">
        <f t="shared" si="168"/>
        <v>0.38827009573741367</v>
      </c>
      <c r="M1016" s="585">
        <f t="shared" si="169"/>
        <v>4.5600000000000002E-2</v>
      </c>
      <c r="N1016" s="585">
        <f t="shared" si="173"/>
        <v>5.4300000000000001E-2</v>
      </c>
      <c r="O1016" s="586">
        <f t="shared" si="170"/>
        <v>0.34267009573741369</v>
      </c>
      <c r="P1016" s="585">
        <f t="shared" si="174"/>
        <v>0.33397009573741365</v>
      </c>
      <c r="Q1016" s="585">
        <f t="shared" si="175"/>
        <v>0.23322733526923689</v>
      </c>
      <c r="R1016" s="585">
        <f t="shared" si="176"/>
        <v>5.8099999999999992E-2</v>
      </c>
      <c r="S1016" s="586">
        <f t="shared" si="177"/>
        <v>0.17512733526923691</v>
      </c>
      <c r="U1016" s="587"/>
      <c r="V1016" s="587"/>
      <c r="W1016" s="587"/>
      <c r="X1016" s="587"/>
      <c r="Y1016" s="587"/>
      <c r="Z1016" s="587"/>
      <c r="AA1016" s="587"/>
      <c r="AB1016" s="587"/>
      <c r="AC1016" s="587"/>
      <c r="AE1016" s="587"/>
      <c r="AF1016" s="587"/>
      <c r="AG1016" s="587"/>
      <c r="AH1016" s="587"/>
      <c r="AI1016" s="587"/>
      <c r="AJ1016" s="587"/>
      <c r="AK1016" s="587"/>
      <c r="AL1016" s="587"/>
      <c r="AM1016" s="587"/>
      <c r="AO1016" s="587"/>
      <c r="AP1016" s="587"/>
      <c r="AQ1016" s="587"/>
      <c r="AR1016" s="587"/>
      <c r="AS1016" s="587"/>
      <c r="AT1016" s="587"/>
      <c r="AU1016" s="587"/>
      <c r="AV1016" s="587"/>
      <c r="AW1016" s="587"/>
    </row>
    <row r="1017" spans="1:49">
      <c r="A1017" s="581">
        <v>40299</v>
      </c>
      <c r="B1017" s="594">
        <v>-7.9899999999999999E-2</v>
      </c>
      <c r="C1017" s="577">
        <v>-5.7599999999999998E-2</v>
      </c>
      <c r="D1017" s="577">
        <v>3.3999999999999998E-3</v>
      </c>
      <c r="E1017" s="577">
        <v>4.1333333333333335E-3</v>
      </c>
      <c r="F1017" s="577">
        <v>4.3750000000000004E-3</v>
      </c>
      <c r="G1017" s="577">
        <v>4.2541666666666665E-3</v>
      </c>
      <c r="H1017" s="577">
        <v>4.5833333333333334E-3</v>
      </c>
      <c r="I1017" s="577">
        <f t="shared" si="167"/>
        <v>-8.3299999999999999E-2</v>
      </c>
      <c r="J1017" s="577">
        <f t="shared" si="171"/>
        <v>-8.4154166666666669E-2</v>
      </c>
      <c r="K1017" s="577">
        <f t="shared" si="172"/>
        <v>-6.2183333333333334E-2</v>
      </c>
      <c r="L1017" s="585">
        <f t="shared" si="168"/>
        <v>0.20972375706789848</v>
      </c>
      <c r="M1017" s="585">
        <f t="shared" si="169"/>
        <v>4.0799999999999996E-2</v>
      </c>
      <c r="N1017" s="585">
        <f t="shared" si="173"/>
        <v>5.1049999999999998E-2</v>
      </c>
      <c r="O1017" s="586">
        <f t="shared" si="170"/>
        <v>0.16892375706789847</v>
      </c>
      <c r="P1017" s="585">
        <f t="shared" si="174"/>
        <v>0.15867375706789849</v>
      </c>
      <c r="Q1017" s="585">
        <f t="shared" si="175"/>
        <v>0.12258092756668293</v>
      </c>
      <c r="R1017" s="585">
        <f t="shared" si="176"/>
        <v>5.5E-2</v>
      </c>
      <c r="S1017" s="586">
        <f t="shared" si="177"/>
        <v>6.7580927566682936E-2</v>
      </c>
      <c r="U1017" s="587"/>
      <c r="V1017" s="587"/>
      <c r="W1017" s="587"/>
      <c r="X1017" s="587"/>
      <c r="Y1017" s="587"/>
      <c r="Z1017" s="587"/>
      <c r="AA1017" s="587"/>
      <c r="AB1017" s="587"/>
      <c r="AC1017" s="587"/>
      <c r="AE1017" s="587"/>
      <c r="AF1017" s="587"/>
      <c r="AG1017" s="587"/>
      <c r="AH1017" s="587"/>
      <c r="AI1017" s="587"/>
      <c r="AJ1017" s="587"/>
      <c r="AK1017" s="587"/>
      <c r="AL1017" s="587"/>
      <c r="AM1017" s="587"/>
      <c r="AO1017" s="587"/>
      <c r="AP1017" s="587"/>
      <c r="AQ1017" s="587"/>
      <c r="AR1017" s="587"/>
      <c r="AS1017" s="587"/>
      <c r="AT1017" s="587"/>
      <c r="AU1017" s="587"/>
      <c r="AV1017" s="587"/>
      <c r="AW1017" s="587"/>
    </row>
    <row r="1018" spans="1:49">
      <c r="A1018" s="581">
        <v>40330</v>
      </c>
      <c r="B1018" s="594">
        <v>-5.2299999999999999E-2</v>
      </c>
      <c r="C1018" s="577">
        <v>-6.3599999999999993E-3</v>
      </c>
      <c r="D1018" s="577">
        <v>3.7000000000000002E-3</v>
      </c>
      <c r="E1018" s="577">
        <v>4.0666666666666663E-3</v>
      </c>
      <c r="F1018" s="577">
        <v>4.3E-3</v>
      </c>
      <c r="G1018" s="577">
        <v>4.1833333333333332E-3</v>
      </c>
      <c r="H1018" s="577">
        <v>4.5500000000000002E-3</v>
      </c>
      <c r="I1018" s="577">
        <f t="shared" si="167"/>
        <v>-5.6000000000000001E-2</v>
      </c>
      <c r="J1018" s="577">
        <f t="shared" si="171"/>
        <v>-5.648333333333333E-2</v>
      </c>
      <c r="K1018" s="577">
        <f t="shared" si="172"/>
        <v>-1.091E-2</v>
      </c>
      <c r="L1018" s="585">
        <f t="shared" si="168"/>
        <v>0.14416687083158441</v>
      </c>
      <c r="M1018" s="585">
        <f t="shared" si="169"/>
        <v>4.4400000000000002E-2</v>
      </c>
      <c r="N1018" s="585">
        <f t="shared" si="173"/>
        <v>5.0199999999999995E-2</v>
      </c>
      <c r="O1018" s="586">
        <f t="shared" si="170"/>
        <v>9.976687083158442E-2</v>
      </c>
      <c r="P1018" s="585">
        <f t="shared" si="174"/>
        <v>9.396687083158442E-2</v>
      </c>
      <c r="Q1018" s="585">
        <f t="shared" si="175"/>
        <v>5.7087944173114469E-2</v>
      </c>
      <c r="R1018" s="585">
        <f t="shared" si="176"/>
        <v>5.4600000000000003E-2</v>
      </c>
      <c r="S1018" s="586">
        <f t="shared" si="177"/>
        <v>2.4879441731144661E-3</v>
      </c>
      <c r="U1018" s="587"/>
      <c r="V1018" s="587"/>
      <c r="W1018" s="587"/>
      <c r="X1018" s="587"/>
      <c r="Y1018" s="587"/>
      <c r="Z1018" s="587"/>
      <c r="AA1018" s="587"/>
      <c r="AB1018" s="587"/>
      <c r="AC1018" s="587"/>
      <c r="AE1018" s="587"/>
      <c r="AF1018" s="587"/>
      <c r="AG1018" s="587"/>
      <c r="AH1018" s="587"/>
      <c r="AI1018" s="587"/>
      <c r="AJ1018" s="587"/>
      <c r="AK1018" s="587"/>
      <c r="AL1018" s="587"/>
      <c r="AM1018" s="587"/>
      <c r="AO1018" s="587"/>
      <c r="AP1018" s="587"/>
      <c r="AQ1018" s="587"/>
      <c r="AR1018" s="587"/>
      <c r="AS1018" s="587"/>
      <c r="AT1018" s="587"/>
      <c r="AU1018" s="587"/>
      <c r="AV1018" s="587"/>
      <c r="AW1018" s="587"/>
    </row>
    <row r="1019" spans="1:49">
      <c r="A1019" s="581">
        <v>40360</v>
      </c>
      <c r="B1019" s="594">
        <v>7.0099999999999996E-2</v>
      </c>
      <c r="C1019" s="577">
        <v>7.741300000000001E-2</v>
      </c>
      <c r="D1019" s="577">
        <v>3.0999999999999999E-3</v>
      </c>
      <c r="E1019" s="577">
        <v>3.933333333333333E-3</v>
      </c>
      <c r="F1019" s="577">
        <v>4.1333333333333335E-3</v>
      </c>
      <c r="G1019" s="577">
        <v>4.0333333333333332E-3</v>
      </c>
      <c r="H1019" s="577">
        <v>4.3833333333333328E-3</v>
      </c>
      <c r="I1019" s="577">
        <f t="shared" si="167"/>
        <v>6.699999999999999E-2</v>
      </c>
      <c r="J1019" s="577">
        <f t="shared" si="171"/>
        <v>6.6066666666666662E-2</v>
      </c>
      <c r="K1019" s="577">
        <f t="shared" si="172"/>
        <v>7.3029666666666673E-2</v>
      </c>
      <c r="L1019" s="585">
        <f t="shared" si="168"/>
        <v>0.13831625927564017</v>
      </c>
      <c r="M1019" s="585">
        <f t="shared" si="169"/>
        <v>3.7199999999999997E-2</v>
      </c>
      <c r="N1019" s="585">
        <f t="shared" si="173"/>
        <v>4.8399999999999999E-2</v>
      </c>
      <c r="O1019" s="586">
        <f t="shared" si="170"/>
        <v>0.10111625927564018</v>
      </c>
      <c r="P1019" s="585">
        <f t="shared" si="174"/>
        <v>8.9916259275640176E-2</v>
      </c>
      <c r="Q1019" s="585">
        <f t="shared" si="175"/>
        <v>9.4321231409301376E-2</v>
      </c>
      <c r="R1019" s="585">
        <f t="shared" si="176"/>
        <v>5.2599999999999994E-2</v>
      </c>
      <c r="S1019" s="586">
        <f t="shared" si="177"/>
        <v>4.1721231409301382E-2</v>
      </c>
      <c r="U1019" s="587"/>
      <c r="V1019" s="587"/>
      <c r="W1019" s="587"/>
      <c r="X1019" s="587"/>
      <c r="Y1019" s="587"/>
      <c r="Z1019" s="587"/>
      <c r="AA1019" s="587"/>
      <c r="AB1019" s="587"/>
      <c r="AC1019" s="587"/>
      <c r="AE1019" s="587"/>
      <c r="AF1019" s="587"/>
      <c r="AG1019" s="587"/>
      <c r="AH1019" s="587"/>
      <c r="AI1019" s="587"/>
      <c r="AJ1019" s="587"/>
      <c r="AK1019" s="587"/>
      <c r="AL1019" s="587"/>
      <c r="AM1019" s="587"/>
      <c r="AO1019" s="587"/>
      <c r="AP1019" s="587"/>
      <c r="AQ1019" s="587"/>
      <c r="AR1019" s="587"/>
      <c r="AS1019" s="587"/>
      <c r="AT1019" s="587"/>
      <c r="AU1019" s="587"/>
      <c r="AV1019" s="587"/>
      <c r="AW1019" s="587"/>
    </row>
    <row r="1020" spans="1:49">
      <c r="A1020" s="581">
        <v>40391</v>
      </c>
      <c r="B1020" s="594">
        <v>-4.5100000000000001E-2</v>
      </c>
      <c r="C1020" s="577">
        <v>1.2496E-2</v>
      </c>
      <c r="D1020" s="577">
        <v>3.2000000000000002E-3</v>
      </c>
      <c r="E1020" s="577">
        <v>3.741666666666667E-3</v>
      </c>
      <c r="F1020" s="577">
        <v>3.933333333333333E-3</v>
      </c>
      <c r="G1020" s="577">
        <v>3.8375000000000002E-3</v>
      </c>
      <c r="H1020" s="577">
        <v>4.1749999999999999E-3</v>
      </c>
      <c r="I1020" s="577">
        <f t="shared" si="167"/>
        <v>-4.8300000000000003E-2</v>
      </c>
      <c r="J1020" s="577">
        <f t="shared" si="171"/>
        <v>-4.8937500000000002E-2</v>
      </c>
      <c r="K1020" s="577">
        <f t="shared" si="172"/>
        <v>8.3210000000000003E-3</v>
      </c>
      <c r="L1020" s="585">
        <f t="shared" si="168"/>
        <v>4.9105487870195086E-2</v>
      </c>
      <c r="M1020" s="585">
        <f t="shared" si="169"/>
        <v>3.8400000000000004E-2</v>
      </c>
      <c r="N1020" s="585">
        <f t="shared" si="173"/>
        <v>4.6050000000000001E-2</v>
      </c>
      <c r="O1020" s="586">
        <f t="shared" si="170"/>
        <v>1.0705487870195082E-2</v>
      </c>
      <c r="P1020" s="585">
        <f t="shared" si="174"/>
        <v>3.0554878701950852E-3</v>
      </c>
      <c r="Q1020" s="585">
        <f t="shared" si="175"/>
        <v>0.10197906382848876</v>
      </c>
      <c r="R1020" s="585">
        <f t="shared" si="176"/>
        <v>5.0099999999999999E-2</v>
      </c>
      <c r="S1020" s="586">
        <f t="shared" si="177"/>
        <v>5.187906382848876E-2</v>
      </c>
      <c r="U1020" s="587"/>
      <c r="V1020" s="587"/>
      <c r="W1020" s="587"/>
      <c r="X1020" s="587"/>
      <c r="Y1020" s="587"/>
      <c r="Z1020" s="587"/>
      <c r="AA1020" s="587"/>
      <c r="AB1020" s="587"/>
      <c r="AC1020" s="587"/>
      <c r="AE1020" s="587"/>
      <c r="AF1020" s="587"/>
      <c r="AG1020" s="587"/>
      <c r="AH1020" s="587"/>
      <c r="AI1020" s="587"/>
      <c r="AJ1020" s="587"/>
      <c r="AK1020" s="587"/>
      <c r="AL1020" s="587"/>
      <c r="AM1020" s="587"/>
      <c r="AO1020" s="587"/>
      <c r="AP1020" s="587"/>
      <c r="AQ1020" s="587"/>
      <c r="AR1020" s="587"/>
      <c r="AS1020" s="587"/>
      <c r="AT1020" s="587"/>
      <c r="AU1020" s="587"/>
      <c r="AV1020" s="587"/>
      <c r="AW1020" s="587"/>
    </row>
    <row r="1021" spans="1:49">
      <c r="A1021" s="581">
        <v>40422</v>
      </c>
      <c r="B1021" s="594">
        <v>8.9200000000000002E-2</v>
      </c>
      <c r="C1021" s="577">
        <v>2.9575000000000001E-2</v>
      </c>
      <c r="D1021" s="577">
        <v>2.5999999999999999E-3</v>
      </c>
      <c r="E1021" s="577">
        <v>3.7750000000000001E-3</v>
      </c>
      <c r="F1021" s="577">
        <v>3.933333333333333E-3</v>
      </c>
      <c r="G1021" s="577">
        <v>3.8541666666666663E-3</v>
      </c>
      <c r="H1021" s="577">
        <v>4.1749999999999999E-3</v>
      </c>
      <c r="I1021" s="577">
        <f t="shared" si="167"/>
        <v>8.6599999999999996E-2</v>
      </c>
      <c r="J1021" s="577">
        <f t="shared" si="171"/>
        <v>8.5345833333333329E-2</v>
      </c>
      <c r="K1021" s="577">
        <f t="shared" si="172"/>
        <v>2.5399999999999999E-2</v>
      </c>
      <c r="L1021" s="585">
        <f t="shared" si="168"/>
        <v>0.10159616059791388</v>
      </c>
      <c r="M1021" s="585">
        <f t="shared" si="169"/>
        <v>3.1199999999999999E-2</v>
      </c>
      <c r="N1021" s="585">
        <f t="shared" si="173"/>
        <v>4.6249999999999999E-2</v>
      </c>
      <c r="O1021" s="586">
        <f t="shared" si="170"/>
        <v>7.039616059791387E-2</v>
      </c>
      <c r="P1021" s="585">
        <f t="shared" si="174"/>
        <v>5.5346160597913877E-2</v>
      </c>
      <c r="Q1021" s="585">
        <f t="shared" si="175"/>
        <v>0.11859212473155045</v>
      </c>
      <c r="R1021" s="585">
        <f t="shared" si="176"/>
        <v>5.0099999999999999E-2</v>
      </c>
      <c r="S1021" s="586">
        <f t="shared" si="177"/>
        <v>6.8492124731550447E-2</v>
      </c>
      <c r="U1021" s="587"/>
      <c r="V1021" s="587"/>
      <c r="W1021" s="587"/>
      <c r="X1021" s="587"/>
      <c r="Y1021" s="587"/>
      <c r="Z1021" s="587"/>
      <c r="AA1021" s="587"/>
      <c r="AB1021" s="587"/>
      <c r="AC1021" s="587"/>
      <c r="AE1021" s="587"/>
      <c r="AF1021" s="587"/>
      <c r="AG1021" s="587"/>
      <c r="AH1021" s="587"/>
      <c r="AI1021" s="587"/>
      <c r="AJ1021" s="587"/>
      <c r="AK1021" s="587"/>
      <c r="AL1021" s="587"/>
      <c r="AM1021" s="587"/>
      <c r="AO1021" s="587"/>
      <c r="AP1021" s="587"/>
      <c r="AQ1021" s="587"/>
      <c r="AR1021" s="587"/>
      <c r="AS1021" s="587"/>
      <c r="AT1021" s="587"/>
      <c r="AU1021" s="587"/>
      <c r="AV1021" s="587"/>
      <c r="AW1021" s="587"/>
    </row>
    <row r="1022" spans="1:49">
      <c r="A1022" s="581">
        <v>40452</v>
      </c>
      <c r="B1022" s="594">
        <v>3.7999999999999999E-2</v>
      </c>
      <c r="C1022" s="577">
        <v>1.2868999999999998E-2</v>
      </c>
      <c r="D1022" s="577">
        <v>2.7000000000000001E-3</v>
      </c>
      <c r="E1022" s="577">
        <v>3.8999999999999994E-3</v>
      </c>
      <c r="F1022" s="577">
        <v>4.0249999999999999E-3</v>
      </c>
      <c r="G1022" s="577">
        <v>3.9624999999999999E-3</v>
      </c>
      <c r="H1022" s="577">
        <v>4.2500000000000003E-3</v>
      </c>
      <c r="I1022" s="577">
        <f t="shared" si="167"/>
        <v>3.5299999999999998E-2</v>
      </c>
      <c r="J1022" s="577">
        <f t="shared" si="171"/>
        <v>3.4037499999999998E-2</v>
      </c>
      <c r="K1022" s="577">
        <f t="shared" si="172"/>
        <v>8.6189999999999982E-3</v>
      </c>
      <c r="L1022" s="585">
        <f t="shared" si="168"/>
        <v>0.16512819920586352</v>
      </c>
      <c r="M1022" s="585">
        <f t="shared" si="169"/>
        <v>3.2399999999999998E-2</v>
      </c>
      <c r="N1022" s="585">
        <f t="shared" si="173"/>
        <v>4.7549999999999995E-2</v>
      </c>
      <c r="O1022" s="586">
        <f t="shared" si="170"/>
        <v>0.13272819920586354</v>
      </c>
      <c r="P1022" s="585">
        <f t="shared" si="174"/>
        <v>0.11757819920586353</v>
      </c>
      <c r="Q1022" s="585">
        <f t="shared" si="175"/>
        <v>0.16613706513532267</v>
      </c>
      <c r="R1022" s="585">
        <f t="shared" si="176"/>
        <v>5.1000000000000004E-2</v>
      </c>
      <c r="S1022" s="586">
        <f t="shared" si="177"/>
        <v>0.11513706513532267</v>
      </c>
      <c r="U1022" s="587"/>
      <c r="V1022" s="587"/>
      <c r="W1022" s="587"/>
      <c r="X1022" s="587"/>
      <c r="Y1022" s="587"/>
      <c r="Z1022" s="587"/>
      <c r="AA1022" s="587"/>
      <c r="AB1022" s="587"/>
      <c r="AC1022" s="587"/>
      <c r="AE1022" s="587"/>
      <c r="AF1022" s="587"/>
      <c r="AG1022" s="587"/>
      <c r="AH1022" s="587"/>
      <c r="AI1022" s="587"/>
      <c r="AJ1022" s="587"/>
      <c r="AK1022" s="587"/>
      <c r="AL1022" s="587"/>
      <c r="AM1022" s="587"/>
      <c r="AO1022" s="587"/>
      <c r="AP1022" s="587"/>
      <c r="AQ1022" s="587"/>
      <c r="AR1022" s="587"/>
      <c r="AS1022" s="587"/>
      <c r="AT1022" s="587"/>
      <c r="AU1022" s="587"/>
      <c r="AV1022" s="587"/>
      <c r="AW1022" s="587"/>
    </row>
    <row r="1023" spans="1:49">
      <c r="A1023" s="581">
        <v>40483</v>
      </c>
      <c r="B1023" s="594">
        <v>1E-4</v>
      </c>
      <c r="C1023" s="577">
        <v>-3.2323000000000005E-2</v>
      </c>
      <c r="D1023" s="577">
        <v>3.2000000000000002E-3</v>
      </c>
      <c r="E1023" s="577">
        <v>4.0583333333333331E-3</v>
      </c>
      <c r="F1023" s="577">
        <v>4.2250000000000005E-3</v>
      </c>
      <c r="G1023" s="577">
        <v>4.1416666666666668E-3</v>
      </c>
      <c r="H1023" s="577">
        <v>4.4749999999999998E-3</v>
      </c>
      <c r="I1023" s="577">
        <f t="shared" si="167"/>
        <v>-3.1000000000000003E-3</v>
      </c>
      <c r="J1023" s="577">
        <f t="shared" si="171"/>
        <v>-4.0416666666666665E-3</v>
      </c>
      <c r="K1023" s="577">
        <f t="shared" si="172"/>
        <v>-3.6798000000000004E-2</v>
      </c>
      <c r="L1023" s="585">
        <f t="shared" si="168"/>
        <v>9.9287464175267681E-2</v>
      </c>
      <c r="M1023" s="585">
        <f t="shared" si="169"/>
        <v>3.8400000000000004E-2</v>
      </c>
      <c r="N1023" s="585">
        <f t="shared" si="173"/>
        <v>4.9700000000000001E-2</v>
      </c>
      <c r="O1023" s="586">
        <f t="shared" si="170"/>
        <v>6.0887464175267678E-2</v>
      </c>
      <c r="P1023" s="585">
        <f t="shared" si="174"/>
        <v>4.958746417526768E-2</v>
      </c>
      <c r="Q1023" s="585">
        <f t="shared" si="175"/>
        <v>7.9245530046264667E-2</v>
      </c>
      <c r="R1023" s="585">
        <f t="shared" si="176"/>
        <v>5.3699999999999998E-2</v>
      </c>
      <c r="S1023" s="586">
        <f t="shared" si="177"/>
        <v>2.5545530046264669E-2</v>
      </c>
      <c r="U1023" s="587"/>
      <c r="V1023" s="587"/>
      <c r="W1023" s="587"/>
      <c r="X1023" s="587"/>
      <c r="Y1023" s="587"/>
      <c r="Z1023" s="587"/>
      <c r="AA1023" s="587"/>
      <c r="AB1023" s="587"/>
      <c r="AC1023" s="587"/>
      <c r="AE1023" s="587"/>
      <c r="AF1023" s="587"/>
      <c r="AG1023" s="587"/>
      <c r="AH1023" s="587"/>
      <c r="AI1023" s="587"/>
      <c r="AJ1023" s="587"/>
      <c r="AK1023" s="587"/>
      <c r="AL1023" s="587"/>
      <c r="AM1023" s="587"/>
      <c r="AO1023" s="587"/>
      <c r="AP1023" s="587"/>
      <c r="AQ1023" s="587"/>
      <c r="AR1023" s="587"/>
      <c r="AS1023" s="587"/>
      <c r="AT1023" s="587"/>
      <c r="AU1023" s="587"/>
      <c r="AV1023" s="587"/>
      <c r="AW1023" s="587"/>
    </row>
    <row r="1024" spans="1:49">
      <c r="A1024" s="581">
        <v>40513</v>
      </c>
      <c r="B1024" s="594">
        <v>6.6799999999999998E-2</v>
      </c>
      <c r="C1024" s="577">
        <v>3.1150999999999998E-2</v>
      </c>
      <c r="D1024" s="577">
        <v>3.2000000000000002E-3</v>
      </c>
      <c r="E1024" s="577">
        <v>4.1833333333333332E-3</v>
      </c>
      <c r="F1024" s="577">
        <v>4.3833333333333328E-3</v>
      </c>
      <c r="G1024" s="577">
        <v>4.2833333333333326E-3</v>
      </c>
      <c r="H1024" s="577">
        <v>4.6333333333333331E-3</v>
      </c>
      <c r="I1024" s="577">
        <f t="shared" si="167"/>
        <v>6.3600000000000004E-2</v>
      </c>
      <c r="J1024" s="577">
        <f t="shared" si="171"/>
        <v>6.2516666666666665E-2</v>
      </c>
      <c r="K1024" s="577">
        <f t="shared" si="172"/>
        <v>2.6517666666666665E-2</v>
      </c>
      <c r="L1024" s="585">
        <f t="shared" si="168"/>
        <v>0.15051492865905569</v>
      </c>
      <c r="M1024" s="585">
        <f t="shared" si="169"/>
        <v>3.8400000000000004E-2</v>
      </c>
      <c r="N1024" s="585">
        <f t="shared" si="173"/>
        <v>5.1399999999999987E-2</v>
      </c>
      <c r="O1024" s="586">
        <f t="shared" si="170"/>
        <v>0.11211492865905569</v>
      </c>
      <c r="P1024" s="585">
        <f t="shared" si="174"/>
        <v>9.9114928659055704E-2</v>
      </c>
      <c r="Q1024" s="585">
        <f t="shared" si="175"/>
        <v>5.4036185908617806E-2</v>
      </c>
      <c r="R1024" s="585">
        <f t="shared" si="176"/>
        <v>5.5599999999999997E-2</v>
      </c>
      <c r="S1024" s="586">
        <f t="shared" si="177"/>
        <v>-1.5638140913821902E-3</v>
      </c>
      <c r="U1024" s="587"/>
      <c r="V1024" s="587"/>
      <c r="W1024" s="587"/>
      <c r="X1024" s="587"/>
      <c r="Y1024" s="587"/>
      <c r="Z1024" s="587"/>
      <c r="AA1024" s="587"/>
      <c r="AB1024" s="587"/>
      <c r="AC1024" s="587"/>
      <c r="AE1024" s="587"/>
      <c r="AF1024" s="587"/>
      <c r="AG1024" s="587"/>
      <c r="AH1024" s="587"/>
      <c r="AI1024" s="587"/>
      <c r="AJ1024" s="587"/>
      <c r="AK1024" s="587"/>
      <c r="AL1024" s="587"/>
      <c r="AM1024" s="587"/>
      <c r="AO1024" s="587"/>
      <c r="AP1024" s="587"/>
      <c r="AQ1024" s="587"/>
      <c r="AR1024" s="587"/>
      <c r="AS1024" s="587"/>
      <c r="AT1024" s="587"/>
      <c r="AU1024" s="587"/>
      <c r="AV1024" s="587"/>
      <c r="AW1024" s="587"/>
    </row>
    <row r="1025" spans="1:49">
      <c r="A1025" s="581">
        <v>40544</v>
      </c>
      <c r="B1025" s="577">
        <v>2.3699999999999999E-2</v>
      </c>
      <c r="C1025" s="577">
        <v>1.4241E-2</v>
      </c>
      <c r="D1025" s="577">
        <v>3.5000000000000001E-3</v>
      </c>
      <c r="E1025" s="577">
        <v>4.1999999999999997E-3</v>
      </c>
      <c r="F1025" s="577">
        <v>4.3833333333333328E-3</v>
      </c>
      <c r="G1025" s="577">
        <v>4.2916666666666667E-3</v>
      </c>
      <c r="H1025" s="577">
        <v>4.6416666666666663E-3</v>
      </c>
      <c r="I1025" s="577">
        <f t="shared" si="167"/>
        <v>2.0199999999999999E-2</v>
      </c>
      <c r="J1025" s="577">
        <f t="shared" si="171"/>
        <v>1.9408333333333333E-2</v>
      </c>
      <c r="K1025" s="577">
        <f t="shared" si="172"/>
        <v>9.5993333333333347E-3</v>
      </c>
      <c r="L1025" s="585">
        <f t="shared" si="168"/>
        <v>0.2217656975811988</v>
      </c>
      <c r="M1025" s="585">
        <f t="shared" si="169"/>
        <v>4.2000000000000003E-2</v>
      </c>
      <c r="N1025" s="585">
        <f t="shared" si="173"/>
        <v>5.1500000000000004E-2</v>
      </c>
      <c r="O1025" s="586">
        <f t="shared" si="170"/>
        <v>0.17976569758119879</v>
      </c>
      <c r="P1025" s="585">
        <f t="shared" si="174"/>
        <v>0.1702656975811988</v>
      </c>
      <c r="Q1025" s="585">
        <f t="shared" si="175"/>
        <v>0.12235050790402879</v>
      </c>
      <c r="R1025" s="585">
        <f t="shared" si="176"/>
        <v>5.57E-2</v>
      </c>
      <c r="S1025" s="586">
        <f t="shared" si="177"/>
        <v>6.6650507904028794E-2</v>
      </c>
      <c r="U1025" s="587"/>
      <c r="V1025" s="587"/>
      <c r="W1025" s="587"/>
      <c r="X1025" s="587"/>
      <c r="Y1025" s="587"/>
      <c r="Z1025" s="587"/>
      <c r="AA1025" s="587"/>
      <c r="AB1025" s="587"/>
      <c r="AC1025" s="587"/>
      <c r="AE1025" s="587"/>
      <c r="AF1025" s="587"/>
      <c r="AG1025" s="587"/>
      <c r="AH1025" s="587"/>
      <c r="AI1025" s="587"/>
      <c r="AJ1025" s="587"/>
      <c r="AK1025" s="587"/>
      <c r="AL1025" s="587"/>
      <c r="AM1025" s="587"/>
      <c r="AO1025" s="587"/>
      <c r="AP1025" s="587"/>
      <c r="AQ1025" s="587"/>
      <c r="AR1025" s="587"/>
      <c r="AS1025" s="587"/>
      <c r="AT1025" s="587"/>
      <c r="AU1025" s="587"/>
      <c r="AV1025" s="587"/>
      <c r="AW1025" s="587"/>
    </row>
    <row r="1026" spans="1:49">
      <c r="A1026" s="581">
        <v>40575</v>
      </c>
      <c r="B1026" s="577">
        <v>3.4299999999999997E-2</v>
      </c>
      <c r="C1026" s="577">
        <v>1.1235E-2</v>
      </c>
      <c r="D1026" s="577">
        <v>3.2000000000000002E-3</v>
      </c>
      <c r="E1026" s="577">
        <v>4.3499999999999997E-3</v>
      </c>
      <c r="F1026" s="577">
        <v>4.4749999999999998E-3</v>
      </c>
      <c r="G1026" s="577">
        <v>4.4125000000000006E-3</v>
      </c>
      <c r="H1026" s="577">
        <v>4.7333333333333333E-3</v>
      </c>
      <c r="I1026" s="577">
        <f t="shared" si="167"/>
        <v>3.1099999999999996E-2</v>
      </c>
      <c r="J1026" s="577">
        <f t="shared" si="171"/>
        <v>2.9887499999999997E-2</v>
      </c>
      <c r="K1026" s="577">
        <f t="shared" si="172"/>
        <v>6.5016666666666669E-3</v>
      </c>
      <c r="L1026" s="585">
        <f t="shared" si="168"/>
        <v>0.22567629583727844</v>
      </c>
      <c r="M1026" s="585">
        <f t="shared" si="169"/>
        <v>3.8400000000000004E-2</v>
      </c>
      <c r="N1026" s="585">
        <f t="shared" si="173"/>
        <v>5.2950000000000011E-2</v>
      </c>
      <c r="O1026" s="586">
        <f t="shared" si="170"/>
        <v>0.18727629583727845</v>
      </c>
      <c r="P1026" s="585">
        <f t="shared" si="174"/>
        <v>0.17272629583727844</v>
      </c>
      <c r="Q1026" s="585">
        <f t="shared" si="175"/>
        <v>0.15212212706509232</v>
      </c>
      <c r="R1026" s="585">
        <f t="shared" si="176"/>
        <v>5.6800000000000003E-2</v>
      </c>
      <c r="S1026" s="586">
        <f t="shared" si="177"/>
        <v>9.5322127065092313E-2</v>
      </c>
      <c r="U1026" s="587"/>
      <c r="V1026" s="587"/>
      <c r="W1026" s="587"/>
      <c r="X1026" s="587"/>
      <c r="Y1026" s="587"/>
      <c r="Z1026" s="587"/>
      <c r="AA1026" s="587"/>
      <c r="AB1026" s="587"/>
      <c r="AC1026" s="587"/>
      <c r="AE1026" s="587"/>
      <c r="AF1026" s="587"/>
      <c r="AG1026" s="587"/>
      <c r="AH1026" s="587"/>
      <c r="AI1026" s="587"/>
      <c r="AJ1026" s="587"/>
      <c r="AK1026" s="587"/>
      <c r="AL1026" s="587"/>
      <c r="AM1026" s="587"/>
      <c r="AO1026" s="587"/>
      <c r="AP1026" s="587"/>
      <c r="AQ1026" s="587"/>
      <c r="AR1026" s="587"/>
      <c r="AS1026" s="587"/>
      <c r="AT1026" s="587"/>
      <c r="AU1026" s="587"/>
      <c r="AV1026" s="587"/>
      <c r="AW1026" s="587"/>
    </row>
    <row r="1027" spans="1:49">
      <c r="A1027" s="581">
        <v>40603</v>
      </c>
      <c r="B1027" s="577">
        <v>4.0000000000000002E-4</v>
      </c>
      <c r="C1027" s="577">
        <v>1.474E-3</v>
      </c>
      <c r="D1027" s="577">
        <v>3.5999999999999999E-3</v>
      </c>
      <c r="E1027" s="577">
        <v>4.2750000000000002E-3</v>
      </c>
      <c r="F1027" s="577">
        <v>4.4000000000000003E-3</v>
      </c>
      <c r="G1027" s="577">
        <v>4.3374999999999993E-3</v>
      </c>
      <c r="H1027" s="577">
        <v>4.6333333333333331E-3</v>
      </c>
      <c r="I1027" s="577">
        <f t="shared" si="167"/>
        <v>-3.1999999999999997E-3</v>
      </c>
      <c r="J1027" s="577">
        <f t="shared" si="171"/>
        <v>-3.9374999999999992E-3</v>
      </c>
      <c r="K1027" s="577">
        <f t="shared" si="172"/>
        <v>-3.159333333333333E-3</v>
      </c>
      <c r="L1027" s="585">
        <f t="shared" si="168"/>
        <v>0.15643361912252507</v>
      </c>
      <c r="M1027" s="585">
        <f t="shared" si="169"/>
        <v>4.3200000000000002E-2</v>
      </c>
      <c r="N1027" s="585">
        <f t="shared" si="173"/>
        <v>5.2049999999999992E-2</v>
      </c>
      <c r="O1027" s="586">
        <f t="shared" si="170"/>
        <v>0.11323361912252507</v>
      </c>
      <c r="P1027" s="585">
        <f t="shared" si="174"/>
        <v>0.10438361912252508</v>
      </c>
      <c r="Q1027" s="585">
        <f t="shared" si="175"/>
        <v>0.12241736212291121</v>
      </c>
      <c r="R1027" s="585">
        <f t="shared" si="176"/>
        <v>5.5599999999999997E-2</v>
      </c>
      <c r="S1027" s="586">
        <f t="shared" si="177"/>
        <v>6.6817362122911214E-2</v>
      </c>
      <c r="U1027" s="587"/>
      <c r="V1027" s="587"/>
      <c r="W1027" s="587"/>
      <c r="X1027" s="587"/>
      <c r="Y1027" s="587"/>
      <c r="Z1027" s="587"/>
      <c r="AA1027" s="587"/>
      <c r="AB1027" s="587"/>
      <c r="AC1027" s="587"/>
      <c r="AE1027" s="587"/>
      <c r="AF1027" s="587"/>
      <c r="AG1027" s="587"/>
      <c r="AH1027" s="587"/>
      <c r="AI1027" s="587"/>
      <c r="AJ1027" s="587"/>
      <c r="AK1027" s="587"/>
      <c r="AL1027" s="587"/>
      <c r="AM1027" s="587"/>
      <c r="AO1027" s="587"/>
      <c r="AP1027" s="587"/>
      <c r="AQ1027" s="587"/>
      <c r="AR1027" s="587"/>
      <c r="AS1027" s="587"/>
      <c r="AT1027" s="587"/>
      <c r="AU1027" s="587"/>
      <c r="AV1027" s="587"/>
      <c r="AW1027" s="587"/>
    </row>
    <row r="1028" spans="1:49">
      <c r="A1028" s="581">
        <v>40634</v>
      </c>
      <c r="B1028" s="577">
        <v>2.9600000000000001E-2</v>
      </c>
      <c r="C1028" s="577">
        <v>4.1877999999999999E-2</v>
      </c>
      <c r="D1028" s="577">
        <v>3.3999999999999998E-3</v>
      </c>
      <c r="E1028" s="577">
        <v>4.3E-3</v>
      </c>
      <c r="F1028" s="577">
        <v>4.4083333333333335E-3</v>
      </c>
      <c r="G1028" s="577">
        <v>4.3541666666666668E-3</v>
      </c>
      <c r="H1028" s="577">
        <v>4.6249999999999998E-3</v>
      </c>
      <c r="I1028" s="577">
        <f t="shared" si="167"/>
        <v>2.6200000000000001E-2</v>
      </c>
      <c r="J1028" s="577">
        <f t="shared" si="171"/>
        <v>2.5245833333333335E-2</v>
      </c>
      <c r="K1028" s="577">
        <f t="shared" si="172"/>
        <v>3.7253000000000001E-2</v>
      </c>
      <c r="L1028" s="585">
        <f t="shared" si="168"/>
        <v>0.17214417626358691</v>
      </c>
      <c r="M1028" s="585">
        <f t="shared" si="169"/>
        <v>4.0799999999999996E-2</v>
      </c>
      <c r="N1028" s="585">
        <f t="shared" si="173"/>
        <v>5.2250000000000005E-2</v>
      </c>
      <c r="O1028" s="586">
        <f t="shared" si="170"/>
        <v>0.13134417626358691</v>
      </c>
      <c r="P1028" s="585">
        <f t="shared" si="174"/>
        <v>0.11989417626358691</v>
      </c>
      <c r="Q1028" s="585">
        <f t="shared" si="175"/>
        <v>0.13750581816774399</v>
      </c>
      <c r="R1028" s="585">
        <f t="shared" si="176"/>
        <v>5.5499999999999994E-2</v>
      </c>
      <c r="S1028" s="586">
        <f t="shared" si="177"/>
        <v>8.2005818167743993E-2</v>
      </c>
      <c r="U1028" s="587"/>
      <c r="V1028" s="587"/>
      <c r="W1028" s="587"/>
      <c r="X1028" s="587"/>
      <c r="Y1028" s="587"/>
      <c r="Z1028" s="587"/>
      <c r="AA1028" s="587"/>
      <c r="AB1028" s="587"/>
      <c r="AC1028" s="587"/>
      <c r="AE1028" s="587"/>
      <c r="AF1028" s="587"/>
      <c r="AG1028" s="587"/>
      <c r="AH1028" s="587"/>
      <c r="AI1028" s="587"/>
      <c r="AJ1028" s="587"/>
      <c r="AK1028" s="587"/>
      <c r="AL1028" s="587"/>
      <c r="AM1028" s="587"/>
      <c r="AO1028" s="587"/>
      <c r="AP1028" s="587"/>
      <c r="AQ1028" s="587"/>
      <c r="AR1028" s="587"/>
      <c r="AS1028" s="587"/>
      <c r="AT1028" s="587"/>
      <c r="AU1028" s="587"/>
      <c r="AV1028" s="587"/>
      <c r="AW1028" s="587"/>
    </row>
    <row r="1029" spans="1:49">
      <c r="A1029" s="581">
        <v>40664</v>
      </c>
      <c r="B1029" s="577">
        <v>-1.1299999999999999E-2</v>
      </c>
      <c r="C1029" s="577">
        <v>1.9754000000000001E-2</v>
      </c>
      <c r="D1029" s="577">
        <v>3.5999999999999999E-3</v>
      </c>
      <c r="E1029" s="577">
        <v>4.1333333333333335E-3</v>
      </c>
      <c r="F1029" s="577">
        <v>4.2166666666666663E-3</v>
      </c>
      <c r="G1029" s="577">
        <v>4.1749999999999999E-3</v>
      </c>
      <c r="H1029" s="577">
        <v>4.4333333333333334E-3</v>
      </c>
      <c r="I1029" s="577">
        <f t="shared" si="167"/>
        <v>-1.49E-2</v>
      </c>
      <c r="J1029" s="577">
        <f t="shared" si="171"/>
        <v>-1.5474999999999999E-2</v>
      </c>
      <c r="K1029" s="577">
        <f t="shared" si="172"/>
        <v>1.5320666666666666E-2</v>
      </c>
      <c r="L1029" s="585">
        <f t="shared" si="168"/>
        <v>0.25953586248430383</v>
      </c>
      <c r="M1029" s="585">
        <f t="shared" si="169"/>
        <v>4.3200000000000002E-2</v>
      </c>
      <c r="N1029" s="585">
        <f t="shared" si="173"/>
        <v>5.0099999999999999E-2</v>
      </c>
      <c r="O1029" s="586">
        <f t="shared" si="170"/>
        <v>0.21633586248430381</v>
      </c>
      <c r="P1029" s="585">
        <f t="shared" si="174"/>
        <v>0.20943586248430382</v>
      </c>
      <c r="Q1029" s="585">
        <f t="shared" si="175"/>
        <v>0.23087447803462391</v>
      </c>
      <c r="R1029" s="585">
        <f t="shared" si="176"/>
        <v>5.3199999999999997E-2</v>
      </c>
      <c r="S1029" s="586">
        <f t="shared" si="177"/>
        <v>0.17767447803462391</v>
      </c>
      <c r="U1029" s="587"/>
      <c r="V1029" s="587"/>
      <c r="W1029" s="587"/>
      <c r="X1029" s="587"/>
      <c r="Y1029" s="587"/>
      <c r="Z1029" s="587"/>
      <c r="AA1029" s="587"/>
      <c r="AB1029" s="587"/>
      <c r="AC1029" s="587"/>
      <c r="AE1029" s="587"/>
      <c r="AF1029" s="587"/>
      <c r="AG1029" s="587"/>
      <c r="AH1029" s="587"/>
      <c r="AI1029" s="587"/>
      <c r="AJ1029" s="587"/>
      <c r="AK1029" s="587"/>
      <c r="AL1029" s="587"/>
      <c r="AM1029" s="587"/>
      <c r="AO1029" s="587"/>
      <c r="AP1029" s="587"/>
      <c r="AQ1029" s="587"/>
      <c r="AR1029" s="587"/>
      <c r="AS1029" s="587"/>
      <c r="AT1029" s="587"/>
      <c r="AU1029" s="587"/>
      <c r="AV1029" s="587"/>
      <c r="AW1029" s="587"/>
    </row>
    <row r="1030" spans="1:49">
      <c r="A1030" s="581">
        <v>40695</v>
      </c>
      <c r="B1030" s="577">
        <v>-1.67E-2</v>
      </c>
      <c r="C1030" s="577">
        <v>-1.2830000000000003E-3</v>
      </c>
      <c r="D1030" s="577">
        <v>3.2000000000000002E-3</v>
      </c>
      <c r="E1030" s="577">
        <v>4.1583333333333333E-3</v>
      </c>
      <c r="F1030" s="577">
        <v>4.1999999999999997E-3</v>
      </c>
      <c r="G1030" s="577">
        <v>4.179166666666667E-3</v>
      </c>
      <c r="H1030" s="577">
        <v>4.3833333333333328E-3</v>
      </c>
      <c r="I1030" s="577">
        <f t="shared" ref="I1030:I1093" si="178">B1030-D1030</f>
        <v>-1.9900000000000001E-2</v>
      </c>
      <c r="J1030" s="577">
        <f t="shared" si="171"/>
        <v>-2.0879166666666667E-2</v>
      </c>
      <c r="K1030" s="577">
        <f t="shared" si="172"/>
        <v>-5.6663333333333331E-3</v>
      </c>
      <c r="L1030" s="585">
        <f t="shared" si="168"/>
        <v>0.30684986132828573</v>
      </c>
      <c r="M1030" s="585">
        <f t="shared" si="169"/>
        <v>3.8400000000000004E-2</v>
      </c>
      <c r="N1030" s="585">
        <f t="shared" si="173"/>
        <v>5.015E-2</v>
      </c>
      <c r="O1030" s="586">
        <f t="shared" si="170"/>
        <v>0.26844986132828574</v>
      </c>
      <c r="P1030" s="585">
        <f t="shared" si="174"/>
        <v>0.25669986132828571</v>
      </c>
      <c r="Q1030" s="585">
        <f t="shared" si="175"/>
        <v>0.2371636267454067</v>
      </c>
      <c r="R1030" s="585">
        <f t="shared" si="176"/>
        <v>5.2599999999999994E-2</v>
      </c>
      <c r="S1030" s="586">
        <f t="shared" si="177"/>
        <v>0.18456362674540672</v>
      </c>
      <c r="U1030" s="587"/>
      <c r="V1030" s="587"/>
      <c r="W1030" s="587"/>
      <c r="X1030" s="587"/>
      <c r="Y1030" s="587"/>
      <c r="Z1030" s="587"/>
      <c r="AA1030" s="587"/>
      <c r="AB1030" s="587"/>
      <c r="AC1030" s="587"/>
      <c r="AE1030" s="587"/>
      <c r="AF1030" s="587"/>
      <c r="AG1030" s="587"/>
      <c r="AH1030" s="587"/>
      <c r="AI1030" s="587"/>
      <c r="AJ1030" s="587"/>
      <c r="AK1030" s="587"/>
      <c r="AL1030" s="587"/>
      <c r="AM1030" s="587"/>
      <c r="AO1030" s="587"/>
      <c r="AP1030" s="587"/>
      <c r="AQ1030" s="587"/>
      <c r="AR1030" s="587"/>
      <c r="AS1030" s="587"/>
      <c r="AT1030" s="587"/>
      <c r="AU1030" s="587"/>
      <c r="AV1030" s="587"/>
      <c r="AW1030" s="587"/>
    </row>
    <row r="1031" spans="1:49">
      <c r="A1031" s="581">
        <v>40725</v>
      </c>
      <c r="B1031" s="577">
        <v>-2.0299999999999999E-2</v>
      </c>
      <c r="C1031" s="577">
        <v>-7.5380000000000013E-3</v>
      </c>
      <c r="D1031" s="577">
        <v>3.2000000000000002E-3</v>
      </c>
      <c r="E1031" s="577">
        <v>4.1083333333333336E-3</v>
      </c>
      <c r="F1031" s="577">
        <v>4.1916666666666665E-3</v>
      </c>
      <c r="G1031" s="577">
        <v>4.15E-3</v>
      </c>
      <c r="H1031" s="577">
        <v>4.3916666666666661E-3</v>
      </c>
      <c r="I1031" s="577">
        <f t="shared" si="178"/>
        <v>-2.35E-2</v>
      </c>
      <c r="J1031" s="577">
        <f t="shared" si="171"/>
        <v>-2.445E-2</v>
      </c>
      <c r="K1031" s="577">
        <f t="shared" si="172"/>
        <v>-1.1929666666666668E-2</v>
      </c>
      <c r="L1031" s="585">
        <f t="shared" si="168"/>
        <v>0.19644968614458613</v>
      </c>
      <c r="M1031" s="585">
        <f t="shared" si="169"/>
        <v>3.8400000000000004E-2</v>
      </c>
      <c r="N1031" s="585">
        <f t="shared" si="173"/>
        <v>4.9799999999999997E-2</v>
      </c>
      <c r="O1031" s="586">
        <f t="shared" si="170"/>
        <v>0.15804968614458614</v>
      </c>
      <c r="P1031" s="585">
        <f t="shared" si="174"/>
        <v>0.14664968614458612</v>
      </c>
      <c r="Q1031" s="585">
        <f t="shared" si="175"/>
        <v>0.13961673687527432</v>
      </c>
      <c r="R1031" s="585">
        <f t="shared" si="176"/>
        <v>5.2699999999999997E-2</v>
      </c>
      <c r="S1031" s="586">
        <f t="shared" si="177"/>
        <v>8.691673687527432E-2</v>
      </c>
      <c r="U1031" s="587"/>
      <c r="V1031" s="587"/>
      <c r="W1031" s="587"/>
      <c r="X1031" s="587"/>
      <c r="Y1031" s="587"/>
      <c r="Z1031" s="587"/>
      <c r="AA1031" s="587"/>
      <c r="AB1031" s="587"/>
      <c r="AC1031" s="587"/>
      <c r="AE1031" s="587"/>
      <c r="AF1031" s="587"/>
      <c r="AG1031" s="587"/>
      <c r="AH1031" s="587"/>
      <c r="AI1031" s="587"/>
      <c r="AJ1031" s="587"/>
      <c r="AK1031" s="587"/>
      <c r="AL1031" s="587"/>
      <c r="AM1031" s="587"/>
      <c r="AO1031" s="587"/>
      <c r="AP1031" s="587"/>
      <c r="AQ1031" s="587"/>
      <c r="AR1031" s="587"/>
      <c r="AS1031" s="587"/>
      <c r="AT1031" s="587"/>
      <c r="AU1031" s="587"/>
      <c r="AV1031" s="587"/>
      <c r="AW1031" s="587"/>
    </row>
    <row r="1032" spans="1:49">
      <c r="A1032" s="581">
        <v>40756</v>
      </c>
      <c r="B1032" s="577">
        <v>-5.4300000000000001E-2</v>
      </c>
      <c r="C1032" s="577">
        <v>2.0388E-2</v>
      </c>
      <c r="D1032" s="577">
        <v>3.3999999999999998E-3</v>
      </c>
      <c r="E1032" s="577">
        <v>3.6416666666666667E-3</v>
      </c>
      <c r="F1032" s="577">
        <v>3.725E-3</v>
      </c>
      <c r="G1032" s="577">
        <v>3.6833333333333336E-3</v>
      </c>
      <c r="H1032" s="577">
        <v>3.908333333333334E-3</v>
      </c>
      <c r="I1032" s="577">
        <f t="shared" si="178"/>
        <v>-5.7700000000000001E-2</v>
      </c>
      <c r="J1032" s="577">
        <f t="shared" si="171"/>
        <v>-5.7983333333333331E-2</v>
      </c>
      <c r="K1032" s="577">
        <f t="shared" si="172"/>
        <v>1.6479666666666667E-2</v>
      </c>
      <c r="L1032" s="585">
        <f t="shared" si="168"/>
        <v>0.18492247165874409</v>
      </c>
      <c r="M1032" s="585">
        <f t="shared" si="169"/>
        <v>4.0799999999999996E-2</v>
      </c>
      <c r="N1032" s="585">
        <f t="shared" si="173"/>
        <v>4.4200000000000003E-2</v>
      </c>
      <c r="O1032" s="586">
        <f t="shared" si="170"/>
        <v>0.14412247165874409</v>
      </c>
      <c r="P1032" s="585">
        <f t="shared" si="174"/>
        <v>0.14072247165874407</v>
      </c>
      <c r="Q1032" s="585">
        <f t="shared" si="175"/>
        <v>0.14849959200499274</v>
      </c>
      <c r="R1032" s="585">
        <f t="shared" si="176"/>
        <v>4.6900000000000011E-2</v>
      </c>
      <c r="S1032" s="586">
        <f t="shared" si="177"/>
        <v>0.10159959200499273</v>
      </c>
      <c r="U1032" s="587"/>
      <c r="V1032" s="587"/>
      <c r="W1032" s="587"/>
      <c r="X1032" s="587"/>
      <c r="Y1032" s="587"/>
      <c r="Z1032" s="587"/>
      <c r="AA1032" s="587"/>
      <c r="AB1032" s="587"/>
      <c r="AC1032" s="587"/>
      <c r="AE1032" s="587"/>
      <c r="AF1032" s="587"/>
      <c r="AG1032" s="587"/>
      <c r="AH1032" s="587"/>
      <c r="AI1032" s="587"/>
      <c r="AJ1032" s="587"/>
      <c r="AK1032" s="587"/>
      <c r="AL1032" s="587"/>
      <c r="AM1032" s="587"/>
      <c r="AO1032" s="587"/>
      <c r="AP1032" s="587"/>
      <c r="AQ1032" s="587"/>
      <c r="AR1032" s="587"/>
      <c r="AS1032" s="587"/>
      <c r="AT1032" s="587"/>
      <c r="AU1032" s="587"/>
      <c r="AV1032" s="587"/>
      <c r="AW1032" s="587"/>
    </row>
    <row r="1033" spans="1:49">
      <c r="A1033" s="581">
        <v>40787</v>
      </c>
      <c r="B1033" s="577">
        <v>-7.0300000000000001E-2</v>
      </c>
      <c r="C1033" s="577">
        <v>2.271E-3</v>
      </c>
      <c r="D1033" s="577">
        <v>2.5999999999999999E-3</v>
      </c>
      <c r="E1033" s="577">
        <v>3.4083333333333331E-3</v>
      </c>
      <c r="F1033" s="577">
        <v>3.5250000000000004E-3</v>
      </c>
      <c r="G1033" s="577">
        <v>3.4666666666666669E-3</v>
      </c>
      <c r="H1033" s="577">
        <v>3.7333333333333333E-3</v>
      </c>
      <c r="I1033" s="577">
        <f t="shared" si="178"/>
        <v>-7.2900000000000006E-2</v>
      </c>
      <c r="J1033" s="577">
        <f t="shared" si="171"/>
        <v>-7.3766666666666675E-2</v>
      </c>
      <c r="K1033" s="577">
        <f t="shared" si="172"/>
        <v>-1.4623333333333333E-3</v>
      </c>
      <c r="L1033" s="585">
        <f t="shared" si="168"/>
        <v>1.1405088047314438E-2</v>
      </c>
      <c r="M1033" s="585">
        <f t="shared" si="169"/>
        <v>3.1199999999999999E-2</v>
      </c>
      <c r="N1033" s="585">
        <f t="shared" si="173"/>
        <v>4.1600000000000005E-2</v>
      </c>
      <c r="O1033" s="586">
        <f t="shared" si="170"/>
        <v>-1.9794911952685561E-2</v>
      </c>
      <c r="P1033" s="585">
        <f t="shared" si="174"/>
        <v>-3.0194911952685567E-2</v>
      </c>
      <c r="Q1033" s="585">
        <f t="shared" si="175"/>
        <v>0.11804174982729365</v>
      </c>
      <c r="R1033" s="585">
        <f t="shared" si="176"/>
        <v>4.48E-2</v>
      </c>
      <c r="S1033" s="586">
        <f t="shared" si="177"/>
        <v>7.3241749827293645E-2</v>
      </c>
      <c r="U1033" s="587"/>
      <c r="V1033" s="587"/>
      <c r="W1033" s="587"/>
      <c r="X1033" s="587"/>
      <c r="Y1033" s="587"/>
      <c r="Z1033" s="587"/>
      <c r="AA1033" s="587"/>
      <c r="AB1033" s="587"/>
      <c r="AC1033" s="587"/>
      <c r="AE1033" s="587"/>
      <c r="AF1033" s="587"/>
      <c r="AG1033" s="587"/>
      <c r="AH1033" s="587"/>
      <c r="AI1033" s="587"/>
      <c r="AJ1033" s="587"/>
      <c r="AK1033" s="587"/>
      <c r="AL1033" s="587"/>
      <c r="AM1033" s="587"/>
      <c r="AO1033" s="587"/>
      <c r="AP1033" s="587"/>
      <c r="AQ1033" s="587"/>
      <c r="AR1033" s="587"/>
      <c r="AS1033" s="587"/>
      <c r="AT1033" s="587"/>
      <c r="AU1033" s="587"/>
      <c r="AV1033" s="587"/>
      <c r="AW1033" s="587"/>
    </row>
    <row r="1034" spans="1:49">
      <c r="A1034" s="581">
        <v>40817</v>
      </c>
      <c r="B1034" s="577">
        <v>0.10929999999999999</v>
      </c>
      <c r="C1034" s="577">
        <v>3.8747000000000004E-2</v>
      </c>
      <c r="D1034" s="577">
        <v>2.2000000000000001E-3</v>
      </c>
      <c r="E1034" s="577">
        <v>3.3166666666666665E-3</v>
      </c>
      <c r="F1034" s="577">
        <v>3.4666666666666669E-3</v>
      </c>
      <c r="G1034" s="577">
        <v>3.3916666666666665E-3</v>
      </c>
      <c r="H1034" s="577">
        <v>3.7666666666666664E-3</v>
      </c>
      <c r="I1034" s="577">
        <f t="shared" si="178"/>
        <v>0.1071</v>
      </c>
      <c r="J1034" s="577">
        <f t="shared" si="171"/>
        <v>0.10590833333333333</v>
      </c>
      <c r="K1034" s="577">
        <f t="shared" si="172"/>
        <v>3.4980333333333335E-2</v>
      </c>
      <c r="L1034" s="585">
        <f t="shared" si="168"/>
        <v>8.0878289181970597E-2</v>
      </c>
      <c r="M1034" s="585">
        <f t="shared" si="169"/>
        <v>2.64E-2</v>
      </c>
      <c r="N1034" s="585">
        <f t="shared" si="173"/>
        <v>4.07E-2</v>
      </c>
      <c r="O1034" s="586">
        <f t="shared" si="170"/>
        <v>5.4478289181970597E-2</v>
      </c>
      <c r="P1034" s="585">
        <f t="shared" si="174"/>
        <v>4.0178289181970597E-2</v>
      </c>
      <c r="Q1034" s="585">
        <f t="shared" si="175"/>
        <v>0.1466068302098813</v>
      </c>
      <c r="R1034" s="585">
        <f t="shared" si="176"/>
        <v>4.5199999999999997E-2</v>
      </c>
      <c r="S1034" s="586">
        <f t="shared" si="177"/>
        <v>0.10140683020988131</v>
      </c>
      <c r="U1034" s="587"/>
      <c r="V1034" s="587"/>
      <c r="W1034" s="587"/>
      <c r="X1034" s="587"/>
      <c r="Y1034" s="587"/>
      <c r="Z1034" s="587"/>
      <c r="AA1034" s="587"/>
      <c r="AB1034" s="587"/>
      <c r="AC1034" s="587"/>
      <c r="AE1034" s="587"/>
      <c r="AF1034" s="587"/>
      <c r="AG1034" s="587"/>
      <c r="AH1034" s="587"/>
      <c r="AI1034" s="587"/>
      <c r="AJ1034" s="587"/>
      <c r="AK1034" s="587"/>
      <c r="AL1034" s="587"/>
      <c r="AM1034" s="587"/>
      <c r="AO1034" s="587"/>
      <c r="AP1034" s="587"/>
      <c r="AQ1034" s="587"/>
      <c r="AR1034" s="587"/>
      <c r="AS1034" s="587"/>
      <c r="AT1034" s="587"/>
      <c r="AU1034" s="587"/>
      <c r="AV1034" s="587"/>
      <c r="AW1034" s="587"/>
    </row>
    <row r="1035" spans="1:49">
      <c r="A1035" s="581">
        <v>40848</v>
      </c>
      <c r="B1035" s="577">
        <v>-2.2000000000000001E-3</v>
      </c>
      <c r="C1035" s="577">
        <v>8.0140000000000003E-3</v>
      </c>
      <c r="D1035" s="577">
        <v>2.3999999999999998E-3</v>
      </c>
      <c r="E1035" s="577">
        <v>3.225E-3</v>
      </c>
      <c r="F1035" s="577">
        <v>3.3083333333333337E-3</v>
      </c>
      <c r="G1035" s="577">
        <v>3.2666666666666664E-3</v>
      </c>
      <c r="H1035" s="577">
        <v>3.5416666666666669E-3</v>
      </c>
      <c r="I1035" s="577">
        <f t="shared" si="178"/>
        <v>-4.5999999999999999E-3</v>
      </c>
      <c r="J1035" s="577">
        <f t="shared" si="171"/>
        <v>-5.4666666666666665E-3</v>
      </c>
      <c r="K1035" s="577">
        <f t="shared" si="172"/>
        <v>4.4723333333333334E-3</v>
      </c>
      <c r="L1035" s="585">
        <f t="shared" si="168"/>
        <v>7.8392517694001018E-2</v>
      </c>
      <c r="M1035" s="585">
        <f t="shared" si="169"/>
        <v>2.8799999999999999E-2</v>
      </c>
      <c r="N1035" s="585">
        <f t="shared" si="173"/>
        <v>3.9199999999999999E-2</v>
      </c>
      <c r="O1035" s="586">
        <f t="shared" si="170"/>
        <v>4.9592517694001019E-2</v>
      </c>
      <c r="P1035" s="585">
        <f t="shared" si="174"/>
        <v>3.9192517694001019E-2</v>
      </c>
      <c r="Q1035" s="585">
        <f t="shared" si="175"/>
        <v>0.19440240632688721</v>
      </c>
      <c r="R1035" s="585">
        <f t="shared" si="176"/>
        <v>4.2500000000000003E-2</v>
      </c>
      <c r="S1035" s="586">
        <f t="shared" si="177"/>
        <v>0.1519024063268872</v>
      </c>
      <c r="U1035" s="587"/>
      <c r="V1035" s="587"/>
      <c r="W1035" s="587"/>
      <c r="X1035" s="587"/>
      <c r="Y1035" s="587"/>
      <c r="Z1035" s="587"/>
      <c r="AA1035" s="587"/>
      <c r="AB1035" s="587"/>
      <c r="AC1035" s="587"/>
      <c r="AE1035" s="587"/>
      <c r="AF1035" s="587"/>
      <c r="AG1035" s="587"/>
      <c r="AH1035" s="587"/>
      <c r="AI1035" s="587"/>
      <c r="AJ1035" s="587"/>
      <c r="AK1035" s="587"/>
      <c r="AL1035" s="587"/>
      <c r="AM1035" s="587"/>
      <c r="AO1035" s="587"/>
      <c r="AP1035" s="587"/>
      <c r="AQ1035" s="587"/>
      <c r="AR1035" s="587"/>
      <c r="AS1035" s="587"/>
      <c r="AT1035" s="587"/>
      <c r="AU1035" s="587"/>
      <c r="AV1035" s="587"/>
      <c r="AW1035" s="587"/>
    </row>
    <row r="1036" spans="1:49">
      <c r="A1036" s="581">
        <v>40878</v>
      </c>
      <c r="B1036" s="577">
        <v>1.0200000000000001E-2</v>
      </c>
      <c r="C1036" s="577">
        <v>3.3766999999999998E-2</v>
      </c>
      <c r="D1036" s="577">
        <v>2.2000000000000001E-3</v>
      </c>
      <c r="E1036" s="577">
        <v>3.2750000000000001E-3</v>
      </c>
      <c r="F1036" s="577">
        <v>3.3583333333333338E-3</v>
      </c>
      <c r="G1036" s="577">
        <v>3.3166666666666665E-3</v>
      </c>
      <c r="H1036" s="577">
        <v>3.6083333333333332E-3</v>
      </c>
      <c r="I1036" s="577">
        <f t="shared" si="178"/>
        <v>8.0000000000000002E-3</v>
      </c>
      <c r="J1036" s="577">
        <f t="shared" si="171"/>
        <v>6.8833333333333342E-3</v>
      </c>
      <c r="K1036" s="577">
        <f t="shared" si="172"/>
        <v>3.0158666666666667E-2</v>
      </c>
      <c r="L1036" s="585">
        <f t="shared" si="168"/>
        <v>2.1177466605249329E-2</v>
      </c>
      <c r="M1036" s="585">
        <f t="shared" si="169"/>
        <v>2.64E-2</v>
      </c>
      <c r="N1036" s="585">
        <f t="shared" si="173"/>
        <v>3.9800000000000002E-2</v>
      </c>
      <c r="O1036" s="586">
        <f t="shared" si="170"/>
        <v>-5.2225333947506711E-3</v>
      </c>
      <c r="P1036" s="585">
        <f t="shared" si="174"/>
        <v>-1.8622533394750673E-2</v>
      </c>
      <c r="Q1036" s="585">
        <f t="shared" si="175"/>
        <v>0.19743257038137663</v>
      </c>
      <c r="R1036" s="585">
        <f t="shared" si="176"/>
        <v>4.3299999999999998E-2</v>
      </c>
      <c r="S1036" s="586">
        <f t="shared" si="177"/>
        <v>0.15413257038137662</v>
      </c>
      <c r="U1036" s="587"/>
      <c r="V1036" s="587"/>
      <c r="W1036" s="587"/>
      <c r="X1036" s="587"/>
      <c r="Y1036" s="587"/>
      <c r="Z1036" s="587"/>
      <c r="AA1036" s="587"/>
      <c r="AB1036" s="587"/>
      <c r="AC1036" s="587"/>
      <c r="AE1036" s="587"/>
      <c r="AF1036" s="587"/>
      <c r="AG1036" s="587"/>
      <c r="AH1036" s="587"/>
      <c r="AI1036" s="587"/>
      <c r="AJ1036" s="587"/>
      <c r="AK1036" s="587"/>
      <c r="AL1036" s="587"/>
      <c r="AM1036" s="587"/>
      <c r="AO1036" s="587"/>
      <c r="AP1036" s="587"/>
      <c r="AQ1036" s="587"/>
      <c r="AR1036" s="587"/>
      <c r="AS1036" s="587"/>
      <c r="AT1036" s="587"/>
      <c r="AU1036" s="587"/>
      <c r="AV1036" s="587"/>
      <c r="AW1036" s="587"/>
    </row>
    <row r="1037" spans="1:49">
      <c r="A1037" s="581">
        <v>40909</v>
      </c>
      <c r="B1037" s="577">
        <v>4.48E-2</v>
      </c>
      <c r="C1037" s="577">
        <v>-3.3237000000000003E-2</v>
      </c>
      <c r="D1037" s="577">
        <v>2.0999999999999999E-3</v>
      </c>
      <c r="E1037" s="577">
        <v>3.3416666666666668E-3</v>
      </c>
      <c r="F1037" s="577">
        <v>3.3416666666666668E-3</v>
      </c>
      <c r="G1037" s="577">
        <v>3.3416666666666668E-3</v>
      </c>
      <c r="H1037" s="577">
        <v>3.6166666666666665E-3</v>
      </c>
      <c r="I1037" s="577">
        <f t="shared" si="178"/>
        <v>4.2700000000000002E-2</v>
      </c>
      <c r="J1037" s="577">
        <f t="shared" si="171"/>
        <v>4.1458333333333333E-2</v>
      </c>
      <c r="K1037" s="577">
        <f t="shared" si="172"/>
        <v>-3.6853666666666667E-2</v>
      </c>
      <c r="L1037" s="585">
        <f t="shared" si="168"/>
        <v>4.2225473389825297E-2</v>
      </c>
      <c r="M1037" s="585">
        <f t="shared" si="169"/>
        <v>2.52E-2</v>
      </c>
      <c r="N1037" s="585">
        <f t="shared" si="173"/>
        <v>4.0100000000000004E-2</v>
      </c>
      <c r="O1037" s="586">
        <f t="shared" si="170"/>
        <v>1.7025473389825296E-2</v>
      </c>
      <c r="P1037" s="585">
        <f t="shared" si="174"/>
        <v>2.1254733898252928E-3</v>
      </c>
      <c r="Q1037" s="585">
        <f t="shared" si="175"/>
        <v>0.14137912393564389</v>
      </c>
      <c r="R1037" s="585">
        <f t="shared" si="176"/>
        <v>4.3399999999999994E-2</v>
      </c>
      <c r="S1037" s="586">
        <f t="shared" si="177"/>
        <v>9.7979123935643897E-2</v>
      </c>
      <c r="U1037" s="587"/>
      <c r="V1037" s="587"/>
      <c r="W1037" s="587"/>
      <c r="X1037" s="587"/>
      <c r="Y1037" s="587"/>
      <c r="Z1037" s="587"/>
      <c r="AA1037" s="587"/>
      <c r="AB1037" s="587"/>
      <c r="AC1037" s="587"/>
      <c r="AE1037" s="587"/>
      <c r="AF1037" s="587"/>
      <c r="AG1037" s="587"/>
      <c r="AH1037" s="587"/>
      <c r="AI1037" s="587"/>
      <c r="AJ1037" s="587"/>
      <c r="AK1037" s="587"/>
      <c r="AL1037" s="587"/>
      <c r="AM1037" s="587"/>
      <c r="AO1037" s="587"/>
      <c r="AP1037" s="587"/>
      <c r="AQ1037" s="587"/>
      <c r="AR1037" s="587"/>
      <c r="AS1037" s="587"/>
      <c r="AT1037" s="587"/>
      <c r="AU1037" s="587"/>
      <c r="AV1037" s="587"/>
      <c r="AW1037" s="587"/>
    </row>
    <row r="1038" spans="1:49">
      <c r="A1038" s="581">
        <v>40940</v>
      </c>
      <c r="B1038" s="577">
        <v>4.3200000000000002E-2</v>
      </c>
      <c r="C1038" s="577">
        <v>3.4509999999999996E-3</v>
      </c>
      <c r="D1038" s="577">
        <v>2E-3</v>
      </c>
      <c r="E1038" s="577">
        <v>3.3250000000000003E-3</v>
      </c>
      <c r="F1038" s="577">
        <v>3.3250000000000003E-3</v>
      </c>
      <c r="G1038" s="577">
        <v>3.3250000000000003E-3</v>
      </c>
      <c r="H1038" s="577">
        <v>3.6333333333333335E-3</v>
      </c>
      <c r="I1038" s="577">
        <f t="shared" si="178"/>
        <v>4.1200000000000001E-2</v>
      </c>
      <c r="J1038" s="577">
        <f t="shared" si="171"/>
        <v>3.9875000000000001E-2</v>
      </c>
      <c r="K1038" s="577">
        <f t="shared" si="172"/>
        <v>-1.8233333333333383E-4</v>
      </c>
      <c r="L1038" s="585">
        <f t="shared" si="168"/>
        <v>5.1193670927454082E-2</v>
      </c>
      <c r="M1038" s="585">
        <f t="shared" si="169"/>
        <v>2.4E-2</v>
      </c>
      <c r="N1038" s="585">
        <f t="shared" si="173"/>
        <v>3.9900000000000005E-2</v>
      </c>
      <c r="O1038" s="586">
        <f t="shared" si="170"/>
        <v>2.7193670927454082E-2</v>
      </c>
      <c r="P1038" s="585">
        <f t="shared" si="174"/>
        <v>1.1293670927454078E-2</v>
      </c>
      <c r="Q1038" s="585">
        <f t="shared" si="175"/>
        <v>0.13259333714947141</v>
      </c>
      <c r="R1038" s="585">
        <f t="shared" si="176"/>
        <v>4.36E-2</v>
      </c>
      <c r="S1038" s="586">
        <f t="shared" si="177"/>
        <v>8.8993337149471413E-2</v>
      </c>
      <c r="U1038" s="587"/>
      <c r="V1038" s="587"/>
      <c r="W1038" s="587"/>
      <c r="X1038" s="587"/>
      <c r="Y1038" s="587"/>
      <c r="Z1038" s="587"/>
      <c r="AA1038" s="587"/>
      <c r="AB1038" s="587"/>
      <c r="AC1038" s="587"/>
      <c r="AE1038" s="587"/>
      <c r="AF1038" s="587"/>
      <c r="AG1038" s="587"/>
      <c r="AH1038" s="587"/>
      <c r="AI1038" s="587"/>
      <c r="AJ1038" s="587"/>
      <c r="AK1038" s="587"/>
      <c r="AL1038" s="587"/>
      <c r="AM1038" s="587"/>
      <c r="AO1038" s="587"/>
      <c r="AP1038" s="587"/>
      <c r="AQ1038" s="587"/>
      <c r="AR1038" s="587"/>
      <c r="AS1038" s="587"/>
      <c r="AT1038" s="587"/>
      <c r="AU1038" s="587"/>
      <c r="AV1038" s="587"/>
      <c r="AW1038" s="587"/>
    </row>
    <row r="1039" spans="1:49">
      <c r="A1039" s="581">
        <v>40969</v>
      </c>
      <c r="B1039" s="577">
        <v>3.2899999999999999E-2</v>
      </c>
      <c r="C1039" s="577">
        <v>1.372E-2</v>
      </c>
      <c r="D1039" s="577">
        <v>2.2000000000000001E-3</v>
      </c>
      <c r="E1039" s="577">
        <v>3.3249999999999998E-3</v>
      </c>
      <c r="F1039" s="577">
        <v>3.4499999999999999E-3</v>
      </c>
      <c r="G1039" s="577">
        <v>3.3874999999999999E-3</v>
      </c>
      <c r="H1039" s="577">
        <v>3.7333333333333333E-3</v>
      </c>
      <c r="I1039" s="577">
        <f t="shared" si="178"/>
        <v>3.0699999999999998E-2</v>
      </c>
      <c r="J1039" s="577">
        <f t="shared" si="171"/>
        <v>2.9512499999999997E-2</v>
      </c>
      <c r="K1039" s="577">
        <f t="shared" si="172"/>
        <v>9.9866666666666663E-3</v>
      </c>
      <c r="L1039" s="585">
        <f t="shared" si="168"/>
        <v>8.5343805178895948E-2</v>
      </c>
      <c r="M1039" s="585">
        <f t="shared" si="169"/>
        <v>2.64E-2</v>
      </c>
      <c r="N1039" s="585">
        <f t="shared" si="173"/>
        <v>4.0649999999999999E-2</v>
      </c>
      <c r="O1039" s="586">
        <f t="shared" si="170"/>
        <v>5.8943805178895949E-2</v>
      </c>
      <c r="P1039" s="585">
        <f t="shared" si="174"/>
        <v>4.469380517889595E-2</v>
      </c>
      <c r="Q1039" s="585">
        <f t="shared" si="175"/>
        <v>0.1464426612524754</v>
      </c>
      <c r="R1039" s="585">
        <f t="shared" si="176"/>
        <v>4.48E-2</v>
      </c>
      <c r="S1039" s="586">
        <f t="shared" si="177"/>
        <v>0.1016426612524754</v>
      </c>
      <c r="U1039" s="587"/>
      <c r="V1039" s="587"/>
      <c r="W1039" s="587"/>
      <c r="X1039" s="587"/>
      <c r="Y1039" s="587"/>
      <c r="Z1039" s="587"/>
      <c r="AA1039" s="587"/>
      <c r="AB1039" s="587"/>
      <c r="AC1039" s="587"/>
      <c r="AE1039" s="587"/>
      <c r="AF1039" s="587"/>
      <c r="AG1039" s="587"/>
      <c r="AH1039" s="587"/>
      <c r="AI1039" s="587"/>
      <c r="AJ1039" s="587"/>
      <c r="AK1039" s="587"/>
      <c r="AL1039" s="587"/>
      <c r="AM1039" s="587"/>
      <c r="AO1039" s="587"/>
      <c r="AP1039" s="587"/>
      <c r="AQ1039" s="587"/>
      <c r="AR1039" s="587"/>
      <c r="AS1039" s="587"/>
      <c r="AT1039" s="587"/>
      <c r="AU1039" s="587"/>
      <c r="AV1039" s="587"/>
      <c r="AW1039" s="587"/>
    </row>
    <row r="1040" spans="1:49">
      <c r="A1040" s="581">
        <v>41000</v>
      </c>
      <c r="B1040" s="577">
        <v>-6.3E-3</v>
      </c>
      <c r="C1040" s="577">
        <v>2.1237000000000002E-2</v>
      </c>
      <c r="D1040" s="577">
        <v>2.5000000000000001E-3</v>
      </c>
      <c r="E1040" s="577">
        <v>3.3000000000000004E-3</v>
      </c>
      <c r="F1040" s="577">
        <v>3.4000000000000002E-3</v>
      </c>
      <c r="G1040" s="577">
        <v>3.3500000000000005E-3</v>
      </c>
      <c r="H1040" s="577">
        <v>3.6666666666666666E-3</v>
      </c>
      <c r="I1040" s="577">
        <f t="shared" si="178"/>
        <v>-8.8000000000000005E-3</v>
      </c>
      <c r="J1040" s="577">
        <f t="shared" si="171"/>
        <v>-9.6500000000000006E-3</v>
      </c>
      <c r="K1040" s="577">
        <f t="shared" si="172"/>
        <v>1.7570333333333337E-2</v>
      </c>
      <c r="L1040" s="585">
        <f t="shared" ref="L1040:L1103" si="179">((1+B1029)*(1+B1030)*(1+B1031)*(1+B1032)*(1+B1033)*(1+B1034)*(1+B1035)*(1+B1036)*(1+B1037)*(1+B1038)*(1+B1039)*(1+B1040))-1</f>
        <v>4.750013520422347E-2</v>
      </c>
      <c r="M1040" s="585">
        <f t="shared" ref="M1040:M1103" si="180">D1040*12</f>
        <v>0.03</v>
      </c>
      <c r="N1040" s="585">
        <f t="shared" si="173"/>
        <v>4.0200000000000007E-2</v>
      </c>
      <c r="O1040" s="586">
        <f t="shared" ref="O1040:O1103" si="181">L1040-M1040</f>
        <v>1.7500135204223471E-2</v>
      </c>
      <c r="P1040" s="585">
        <f t="shared" si="174"/>
        <v>7.3001352042234638E-3</v>
      </c>
      <c r="Q1040" s="585">
        <f t="shared" si="175"/>
        <v>0.12373009512581556</v>
      </c>
      <c r="R1040" s="585">
        <f t="shared" si="176"/>
        <v>4.3999999999999997E-2</v>
      </c>
      <c r="S1040" s="586">
        <f t="shared" si="177"/>
        <v>7.9730095125815567E-2</v>
      </c>
      <c r="U1040" s="587"/>
      <c r="V1040" s="587"/>
      <c r="W1040" s="587"/>
      <c r="X1040" s="587"/>
      <c r="Y1040" s="587"/>
      <c r="Z1040" s="587"/>
      <c r="AA1040" s="587"/>
      <c r="AB1040" s="587"/>
      <c r="AC1040" s="587"/>
      <c r="AE1040" s="587"/>
      <c r="AF1040" s="587"/>
      <c r="AG1040" s="587"/>
      <c r="AH1040" s="587"/>
      <c r="AI1040" s="587"/>
      <c r="AJ1040" s="587"/>
      <c r="AK1040" s="587"/>
      <c r="AL1040" s="587"/>
      <c r="AM1040" s="587"/>
      <c r="AO1040" s="587"/>
      <c r="AP1040" s="587"/>
      <c r="AQ1040" s="587"/>
      <c r="AR1040" s="587"/>
      <c r="AS1040" s="587"/>
      <c r="AT1040" s="587"/>
      <c r="AU1040" s="587"/>
      <c r="AV1040" s="587"/>
      <c r="AW1040" s="587"/>
    </row>
    <row r="1041" spans="1:49">
      <c r="A1041" s="581">
        <v>41030</v>
      </c>
      <c r="B1041" s="577">
        <v>-6.0100000000000001E-2</v>
      </c>
      <c r="C1041" s="577">
        <v>2.1609999999999997E-3</v>
      </c>
      <c r="D1041" s="577">
        <v>2.3E-3</v>
      </c>
      <c r="E1041" s="577">
        <v>3.1666666666666666E-3</v>
      </c>
      <c r="F1041" s="577">
        <v>3.2583333333333336E-3</v>
      </c>
      <c r="G1041" s="577">
        <v>3.2125000000000001E-3</v>
      </c>
      <c r="H1041" s="577">
        <v>3.5000000000000001E-3</v>
      </c>
      <c r="I1041" s="577">
        <f t="shared" si="178"/>
        <v>-6.2399999999999997E-2</v>
      </c>
      <c r="J1041" s="577">
        <f t="shared" si="171"/>
        <v>-6.3312499999999994E-2</v>
      </c>
      <c r="K1041" s="577">
        <f t="shared" si="172"/>
        <v>-1.3390000000000003E-3</v>
      </c>
      <c r="L1041" s="585">
        <f t="shared" si="179"/>
        <v>-4.2021067275717083E-3</v>
      </c>
      <c r="M1041" s="585">
        <f t="shared" si="180"/>
        <v>2.76E-2</v>
      </c>
      <c r="N1041" s="585">
        <f t="shared" si="173"/>
        <v>3.8550000000000001E-2</v>
      </c>
      <c r="O1041" s="586">
        <f t="shared" si="181"/>
        <v>-3.1802106727571708E-2</v>
      </c>
      <c r="P1041" s="585">
        <f t="shared" si="174"/>
        <v>-4.2752106727571709E-2</v>
      </c>
      <c r="Q1041" s="585">
        <f t="shared" si="175"/>
        <v>0.10434327873328542</v>
      </c>
      <c r="R1041" s="585">
        <f t="shared" si="176"/>
        <v>4.2000000000000003E-2</v>
      </c>
      <c r="S1041" s="586">
        <f t="shared" si="177"/>
        <v>6.2343278733285414E-2</v>
      </c>
      <c r="U1041" s="587"/>
      <c r="V1041" s="587"/>
      <c r="W1041" s="587"/>
      <c r="X1041" s="587"/>
      <c r="Y1041" s="587"/>
      <c r="Z1041" s="587"/>
      <c r="AA1041" s="587"/>
      <c r="AB1041" s="587"/>
      <c r="AC1041" s="587"/>
      <c r="AE1041" s="587"/>
      <c r="AF1041" s="587"/>
      <c r="AG1041" s="587"/>
      <c r="AH1041" s="587"/>
      <c r="AI1041" s="587"/>
      <c r="AJ1041" s="587"/>
      <c r="AK1041" s="587"/>
      <c r="AL1041" s="587"/>
      <c r="AM1041" s="587"/>
      <c r="AO1041" s="587"/>
      <c r="AP1041" s="587"/>
      <c r="AQ1041" s="587"/>
      <c r="AR1041" s="587"/>
      <c r="AS1041" s="587"/>
      <c r="AT1041" s="587"/>
      <c r="AU1041" s="587"/>
      <c r="AV1041" s="587"/>
      <c r="AW1041" s="587"/>
    </row>
    <row r="1042" spans="1:49">
      <c r="A1042" s="581">
        <v>41061</v>
      </c>
      <c r="B1042" s="577">
        <v>4.1200000000000001E-2</v>
      </c>
      <c r="C1042" s="577">
        <v>4.1003999999999999E-2</v>
      </c>
      <c r="D1042" s="577">
        <v>1.8E-3</v>
      </c>
      <c r="E1042" s="577">
        <v>3.0333333333333336E-3</v>
      </c>
      <c r="F1042" s="577">
        <v>3.15E-3</v>
      </c>
      <c r="G1042" s="577">
        <v>3.091666666666667E-3</v>
      </c>
      <c r="H1042" s="577">
        <v>3.4000000000000002E-3</v>
      </c>
      <c r="I1042" s="577">
        <f t="shared" si="178"/>
        <v>3.9399999999999998E-2</v>
      </c>
      <c r="J1042" s="577">
        <f t="shared" si="171"/>
        <v>3.8108333333333334E-2</v>
      </c>
      <c r="K1042" s="577">
        <f t="shared" si="172"/>
        <v>3.7603999999999999E-2</v>
      </c>
      <c r="L1042" s="585">
        <f t="shared" si="179"/>
        <v>5.4433811120972342E-2</v>
      </c>
      <c r="M1042" s="585">
        <f t="shared" si="180"/>
        <v>2.1600000000000001E-2</v>
      </c>
      <c r="N1042" s="585">
        <f t="shared" si="173"/>
        <v>3.7100000000000008E-2</v>
      </c>
      <c r="O1042" s="586">
        <f t="shared" si="181"/>
        <v>3.2833811120972341E-2</v>
      </c>
      <c r="P1042" s="585">
        <f t="shared" si="174"/>
        <v>1.7333811120972334E-2</v>
      </c>
      <c r="Q1042" s="585">
        <f t="shared" si="175"/>
        <v>0.15110263521544609</v>
      </c>
      <c r="R1042" s="585">
        <f t="shared" si="176"/>
        <v>4.0800000000000003E-2</v>
      </c>
      <c r="S1042" s="586">
        <f t="shared" si="177"/>
        <v>0.11030263521544609</v>
      </c>
      <c r="U1042" s="587"/>
      <c r="V1042" s="587"/>
      <c r="W1042" s="587"/>
      <c r="X1042" s="587"/>
      <c r="Y1042" s="587"/>
      <c r="Z1042" s="587"/>
      <c r="AA1042" s="587"/>
      <c r="AB1042" s="587"/>
      <c r="AC1042" s="587"/>
      <c r="AE1042" s="587"/>
      <c r="AF1042" s="587"/>
      <c r="AG1042" s="587"/>
      <c r="AH1042" s="587"/>
      <c r="AI1042" s="587"/>
      <c r="AJ1042" s="587"/>
      <c r="AK1042" s="587"/>
      <c r="AL1042" s="587"/>
      <c r="AM1042" s="587"/>
      <c r="AO1042" s="587"/>
      <c r="AP1042" s="587"/>
      <c r="AQ1042" s="587"/>
      <c r="AR1042" s="587"/>
      <c r="AS1042" s="587"/>
      <c r="AT1042" s="587"/>
      <c r="AU1042" s="587"/>
      <c r="AV1042" s="587"/>
      <c r="AW1042" s="587"/>
    </row>
    <row r="1043" spans="1:49">
      <c r="A1043" s="581">
        <v>41091</v>
      </c>
      <c r="B1043" s="577">
        <v>1.3899999999999999E-2</v>
      </c>
      <c r="C1043" s="577">
        <v>2.8439000000000002E-2</v>
      </c>
      <c r="D1043" s="577">
        <v>2E-3</v>
      </c>
      <c r="E1043" s="577">
        <v>2.8333333333333335E-3</v>
      </c>
      <c r="F1043" s="577">
        <v>2.9499999999999999E-3</v>
      </c>
      <c r="G1043" s="577">
        <v>2.8916666666666665E-3</v>
      </c>
      <c r="H1043" s="577">
        <v>3.2750000000000001E-3</v>
      </c>
      <c r="I1043" s="577">
        <f t="shared" si="178"/>
        <v>1.1899999999999999E-2</v>
      </c>
      <c r="J1043" s="577">
        <f t="shared" si="171"/>
        <v>1.1008333333333332E-2</v>
      </c>
      <c r="K1043" s="577">
        <f t="shared" si="172"/>
        <v>2.5164000000000002E-2</v>
      </c>
      <c r="L1043" s="585">
        <f t="shared" si="179"/>
        <v>9.124266724053709E-2</v>
      </c>
      <c r="M1043" s="585">
        <f t="shared" si="180"/>
        <v>2.4E-2</v>
      </c>
      <c r="N1043" s="585">
        <f t="shared" si="173"/>
        <v>3.4699999999999995E-2</v>
      </c>
      <c r="O1043" s="586">
        <f t="shared" si="181"/>
        <v>6.7242667240537096E-2</v>
      </c>
      <c r="P1043" s="585">
        <f t="shared" si="174"/>
        <v>5.6542667240537095E-2</v>
      </c>
      <c r="Q1043" s="585">
        <f t="shared" si="175"/>
        <v>0.19283039860300799</v>
      </c>
      <c r="R1043" s="585">
        <f t="shared" si="176"/>
        <v>3.9300000000000002E-2</v>
      </c>
      <c r="S1043" s="586">
        <f t="shared" si="177"/>
        <v>0.15353039860300799</v>
      </c>
      <c r="U1043" s="587"/>
      <c r="V1043" s="587"/>
      <c r="W1043" s="587"/>
      <c r="X1043" s="587"/>
      <c r="Y1043" s="587"/>
      <c r="Z1043" s="587"/>
      <c r="AA1043" s="587"/>
      <c r="AB1043" s="587"/>
      <c r="AC1043" s="587"/>
      <c r="AE1043" s="587"/>
      <c r="AF1043" s="587"/>
      <c r="AG1043" s="587"/>
      <c r="AH1043" s="587"/>
      <c r="AI1043" s="587"/>
      <c r="AJ1043" s="587"/>
      <c r="AK1043" s="587"/>
      <c r="AL1043" s="587"/>
      <c r="AM1043" s="587"/>
      <c r="AO1043" s="587"/>
      <c r="AP1043" s="587"/>
      <c r="AQ1043" s="587"/>
      <c r="AR1043" s="587"/>
      <c r="AS1043" s="587"/>
      <c r="AT1043" s="587"/>
      <c r="AU1043" s="587"/>
      <c r="AV1043" s="587"/>
      <c r="AW1043" s="587"/>
    </row>
    <row r="1044" spans="1:49">
      <c r="A1044" s="581">
        <v>41122</v>
      </c>
      <c r="B1044" s="577">
        <v>2.2499999999999999E-2</v>
      </c>
      <c r="C1044" s="577">
        <v>-4.4720999999999997E-2</v>
      </c>
      <c r="D1044" s="577">
        <v>1.8E-3</v>
      </c>
      <c r="E1044" s="577">
        <v>2.8999999999999998E-3</v>
      </c>
      <c r="F1044" s="577">
        <v>3.0083333333333333E-3</v>
      </c>
      <c r="G1044" s="577">
        <v>2.9541666666666666E-3</v>
      </c>
      <c r="H1044" s="577">
        <v>3.3333333333333335E-3</v>
      </c>
      <c r="I1044" s="577">
        <f t="shared" si="178"/>
        <v>2.07E-2</v>
      </c>
      <c r="J1044" s="577">
        <f t="shared" si="171"/>
        <v>1.9545833333333332E-2</v>
      </c>
      <c r="K1044" s="577">
        <f t="shared" si="172"/>
        <v>-4.8054333333333331E-2</v>
      </c>
      <c r="L1044" s="585">
        <f t="shared" si="179"/>
        <v>0.17986214153901736</v>
      </c>
      <c r="M1044" s="585">
        <f t="shared" si="180"/>
        <v>2.1600000000000001E-2</v>
      </c>
      <c r="N1044" s="585">
        <f t="shared" si="173"/>
        <v>3.5449999999999995E-2</v>
      </c>
      <c r="O1044" s="586">
        <f t="shared" si="181"/>
        <v>0.15826214153901735</v>
      </c>
      <c r="P1044" s="585">
        <f t="shared" si="174"/>
        <v>0.14441214153901738</v>
      </c>
      <c r="Q1044" s="585">
        <f t="shared" si="175"/>
        <v>0.11671818009138035</v>
      </c>
      <c r="R1044" s="585">
        <f t="shared" si="176"/>
        <v>0.04</v>
      </c>
      <c r="S1044" s="586">
        <f t="shared" si="177"/>
        <v>7.6718180091380345E-2</v>
      </c>
      <c r="U1044" s="587"/>
      <c r="V1044" s="587"/>
      <c r="W1044" s="587"/>
      <c r="X1044" s="587"/>
      <c r="Y1044" s="587"/>
      <c r="Z1044" s="587"/>
      <c r="AA1044" s="587"/>
      <c r="AB1044" s="587"/>
      <c r="AC1044" s="587"/>
      <c r="AE1044" s="587"/>
      <c r="AF1044" s="587"/>
      <c r="AG1044" s="587"/>
      <c r="AH1044" s="587"/>
      <c r="AI1044" s="587"/>
      <c r="AJ1044" s="587"/>
      <c r="AK1044" s="587"/>
      <c r="AL1044" s="587"/>
      <c r="AM1044" s="587"/>
      <c r="AO1044" s="587"/>
      <c r="AP1044" s="587"/>
      <c r="AQ1044" s="587"/>
      <c r="AR1044" s="587"/>
      <c r="AS1044" s="587"/>
      <c r="AT1044" s="587"/>
      <c r="AU1044" s="587"/>
      <c r="AV1044" s="587"/>
      <c r="AW1044" s="587"/>
    </row>
    <row r="1045" spans="1:49">
      <c r="A1045" s="581">
        <v>41153</v>
      </c>
      <c r="B1045" s="577">
        <v>2.58E-2</v>
      </c>
      <c r="C1045" s="577">
        <v>1.2281E-2</v>
      </c>
      <c r="D1045" s="577">
        <v>1.6999999999999999E-3</v>
      </c>
      <c r="E1045" s="577">
        <v>2.9083333333333335E-3</v>
      </c>
      <c r="F1045" s="577">
        <v>3.0666666666666668E-3</v>
      </c>
      <c r="G1045" s="577">
        <v>2.9875000000000001E-3</v>
      </c>
      <c r="H1045" s="577">
        <v>3.3500000000000001E-3</v>
      </c>
      <c r="I1045" s="577">
        <f t="shared" si="178"/>
        <v>2.41E-2</v>
      </c>
      <c r="J1045" s="577">
        <f t="shared" si="171"/>
        <v>2.2812499999999999E-2</v>
      </c>
      <c r="K1045" s="577">
        <f t="shared" si="172"/>
        <v>8.9309999999999997E-3</v>
      </c>
      <c r="L1045" s="585">
        <f t="shared" si="179"/>
        <v>0.30182057092688419</v>
      </c>
      <c r="M1045" s="585">
        <f t="shared" si="180"/>
        <v>2.0399999999999998E-2</v>
      </c>
      <c r="N1045" s="585">
        <f t="shared" si="173"/>
        <v>3.585E-2</v>
      </c>
      <c r="O1045" s="586">
        <f t="shared" si="181"/>
        <v>0.28142057092688422</v>
      </c>
      <c r="P1045" s="585">
        <f t="shared" si="174"/>
        <v>0.2659705709268842</v>
      </c>
      <c r="Q1045" s="585">
        <f t="shared" si="175"/>
        <v>0.12787120056459966</v>
      </c>
      <c r="R1045" s="585">
        <f t="shared" si="176"/>
        <v>4.02E-2</v>
      </c>
      <c r="S1045" s="586">
        <f t="shared" si="177"/>
        <v>8.7671200564599663E-2</v>
      </c>
      <c r="U1045" s="587"/>
      <c r="V1045" s="587"/>
      <c r="W1045" s="587"/>
      <c r="X1045" s="587"/>
      <c r="Y1045" s="587"/>
      <c r="Z1045" s="587"/>
      <c r="AA1045" s="587"/>
      <c r="AB1045" s="587"/>
      <c r="AC1045" s="587"/>
      <c r="AE1045" s="587"/>
      <c r="AF1045" s="587"/>
      <c r="AG1045" s="587"/>
      <c r="AH1045" s="587"/>
      <c r="AI1045" s="587"/>
      <c r="AJ1045" s="587"/>
      <c r="AK1045" s="587"/>
      <c r="AL1045" s="587"/>
      <c r="AM1045" s="587"/>
      <c r="AO1045" s="587"/>
      <c r="AP1045" s="587"/>
      <c r="AQ1045" s="587"/>
      <c r="AR1045" s="587"/>
      <c r="AS1045" s="587"/>
      <c r="AT1045" s="587"/>
      <c r="AU1045" s="587"/>
      <c r="AV1045" s="587"/>
      <c r="AW1045" s="587"/>
    </row>
    <row r="1046" spans="1:49">
      <c r="A1046" s="581">
        <v>41183</v>
      </c>
      <c r="B1046" s="577">
        <v>-1.8499999999999999E-2</v>
      </c>
      <c r="C1046" s="577">
        <v>1.7240000000000002E-2</v>
      </c>
      <c r="D1046" s="577">
        <v>2.0999999999999999E-3</v>
      </c>
      <c r="E1046" s="577">
        <v>2.891666666666667E-3</v>
      </c>
      <c r="F1046" s="577">
        <v>3.0249999999999999E-3</v>
      </c>
      <c r="G1046" s="577">
        <v>2.9583333333333336E-3</v>
      </c>
      <c r="H1046" s="577">
        <v>3.2583333333333336E-3</v>
      </c>
      <c r="I1046" s="577">
        <f t="shared" si="178"/>
        <v>-2.06E-2</v>
      </c>
      <c r="J1046" s="577">
        <f t="shared" si="171"/>
        <v>-2.1458333333333333E-2</v>
      </c>
      <c r="K1046" s="577">
        <f t="shared" si="172"/>
        <v>1.3981666666666668E-2</v>
      </c>
      <c r="L1046" s="585">
        <f t="shared" si="179"/>
        <v>0.15184070167198871</v>
      </c>
      <c r="M1046" s="585">
        <f t="shared" si="180"/>
        <v>2.52E-2</v>
      </c>
      <c r="N1046" s="585">
        <f t="shared" si="173"/>
        <v>3.5500000000000004E-2</v>
      </c>
      <c r="O1046" s="586">
        <f t="shared" si="181"/>
        <v>0.12664070167198871</v>
      </c>
      <c r="P1046" s="585">
        <f t="shared" si="174"/>
        <v>0.11634070167198871</v>
      </c>
      <c r="Q1046" s="585">
        <f t="shared" si="175"/>
        <v>0.10451890601112068</v>
      </c>
      <c r="R1046" s="585">
        <f t="shared" si="176"/>
        <v>3.9100000000000003E-2</v>
      </c>
      <c r="S1046" s="586">
        <f t="shared" si="177"/>
        <v>6.5418906011120687E-2</v>
      </c>
      <c r="U1046" s="587"/>
      <c r="V1046" s="587"/>
      <c r="W1046" s="587"/>
      <c r="X1046" s="587"/>
      <c r="Y1046" s="587"/>
      <c r="Z1046" s="587"/>
      <c r="AA1046" s="587"/>
      <c r="AB1046" s="587"/>
      <c r="AC1046" s="587"/>
      <c r="AE1046" s="587"/>
      <c r="AF1046" s="587"/>
      <c r="AG1046" s="587"/>
      <c r="AH1046" s="587"/>
      <c r="AI1046" s="587"/>
      <c r="AJ1046" s="587"/>
      <c r="AK1046" s="587"/>
      <c r="AL1046" s="587"/>
      <c r="AM1046" s="587"/>
      <c r="AO1046" s="587"/>
      <c r="AP1046" s="587"/>
      <c r="AQ1046" s="587"/>
      <c r="AR1046" s="587"/>
      <c r="AS1046" s="587"/>
      <c r="AT1046" s="587"/>
      <c r="AU1046" s="587"/>
      <c r="AV1046" s="587"/>
      <c r="AW1046" s="587"/>
    </row>
    <row r="1047" spans="1:49">
      <c r="A1047" s="581">
        <v>41214</v>
      </c>
      <c r="B1047" s="577">
        <v>5.7999999999999996E-3</v>
      </c>
      <c r="C1047" s="577">
        <v>-4.6427999999999997E-2</v>
      </c>
      <c r="D1047" s="577">
        <v>1.9E-3</v>
      </c>
      <c r="E1047" s="577">
        <v>2.9166666666666668E-3</v>
      </c>
      <c r="F1047" s="577">
        <v>2.9750000000000002E-3</v>
      </c>
      <c r="G1047" s="577">
        <v>2.9458333333333333E-3</v>
      </c>
      <c r="H1047" s="577">
        <v>3.1999999999999997E-3</v>
      </c>
      <c r="I1047" s="577">
        <f t="shared" si="178"/>
        <v>3.8999999999999998E-3</v>
      </c>
      <c r="J1047" s="577">
        <f t="shared" si="171"/>
        <v>2.8541666666666663E-3</v>
      </c>
      <c r="K1047" s="577">
        <f t="shared" si="172"/>
        <v>-4.9627999999999999E-2</v>
      </c>
      <c r="L1047" s="585">
        <f t="shared" si="179"/>
        <v>0.16107574437932048</v>
      </c>
      <c r="M1047" s="585">
        <f t="shared" si="180"/>
        <v>2.2800000000000001E-2</v>
      </c>
      <c r="N1047" s="585">
        <f t="shared" si="173"/>
        <v>3.5349999999999999E-2</v>
      </c>
      <c r="O1047" s="586">
        <f t="shared" si="181"/>
        <v>0.1382757443793205</v>
      </c>
      <c r="P1047" s="585">
        <f t="shared" si="174"/>
        <v>0.12572574437932049</v>
      </c>
      <c r="Q1047" s="585">
        <f t="shared" si="175"/>
        <v>4.4864756087550584E-2</v>
      </c>
      <c r="R1047" s="585">
        <f t="shared" si="176"/>
        <v>3.8399999999999997E-2</v>
      </c>
      <c r="S1047" s="586">
        <f t="shared" si="177"/>
        <v>6.4647560875505869E-3</v>
      </c>
      <c r="U1047" s="587"/>
      <c r="V1047" s="587"/>
      <c r="W1047" s="587"/>
      <c r="X1047" s="587"/>
      <c r="Y1047" s="587"/>
      <c r="Z1047" s="587"/>
      <c r="AA1047" s="587"/>
      <c r="AB1047" s="587"/>
      <c r="AC1047" s="587"/>
      <c r="AE1047" s="587"/>
      <c r="AF1047" s="587"/>
      <c r="AG1047" s="587"/>
      <c r="AH1047" s="587"/>
      <c r="AI1047" s="587"/>
      <c r="AJ1047" s="587"/>
      <c r="AK1047" s="587"/>
      <c r="AL1047" s="587"/>
      <c r="AM1047" s="587"/>
      <c r="AO1047" s="587"/>
      <c r="AP1047" s="587"/>
      <c r="AQ1047" s="587"/>
      <c r="AR1047" s="587"/>
      <c r="AS1047" s="587"/>
      <c r="AT1047" s="587"/>
      <c r="AU1047" s="587"/>
      <c r="AV1047" s="587"/>
      <c r="AW1047" s="587"/>
    </row>
    <row r="1048" spans="1:49">
      <c r="A1048" s="581">
        <v>41244</v>
      </c>
      <c r="B1048" s="577">
        <v>9.1000000000000004E-3</v>
      </c>
      <c r="C1048" s="577">
        <v>1.108E-3</v>
      </c>
      <c r="D1048" s="577">
        <v>1.9E-3</v>
      </c>
      <c r="E1048" s="577">
        <v>3.0416666666666665E-3</v>
      </c>
      <c r="F1048" s="577">
        <v>3.0833333333333333E-3</v>
      </c>
      <c r="G1048" s="577">
        <v>3.0625000000000001E-3</v>
      </c>
      <c r="H1048" s="577">
        <v>3.3333333333333335E-3</v>
      </c>
      <c r="I1048" s="577">
        <f t="shared" si="178"/>
        <v>7.2000000000000007E-3</v>
      </c>
      <c r="J1048" s="577">
        <f t="shared" si="171"/>
        <v>6.0375000000000003E-3</v>
      </c>
      <c r="K1048" s="577">
        <f t="shared" si="172"/>
        <v>-2.2253333333333335E-3</v>
      </c>
      <c r="L1048" s="585">
        <f t="shared" si="179"/>
        <v>0.15981145679387554</v>
      </c>
      <c r="M1048" s="585">
        <f t="shared" si="180"/>
        <v>2.2800000000000001E-2</v>
      </c>
      <c r="N1048" s="585">
        <f t="shared" si="173"/>
        <v>3.6750000000000005E-2</v>
      </c>
      <c r="O1048" s="586">
        <f t="shared" si="181"/>
        <v>0.13701145679387555</v>
      </c>
      <c r="P1048" s="585">
        <f t="shared" si="174"/>
        <v>0.12306145679387553</v>
      </c>
      <c r="Q1048" s="585">
        <f t="shared" si="175"/>
        <v>1.1855153276604913E-2</v>
      </c>
      <c r="R1048" s="585">
        <f t="shared" si="176"/>
        <v>0.04</v>
      </c>
      <c r="S1048" s="586">
        <f t="shared" si="177"/>
        <v>-2.8144846723395088E-2</v>
      </c>
      <c r="U1048" s="587"/>
      <c r="V1048" s="587"/>
      <c r="W1048" s="587"/>
      <c r="X1048" s="587"/>
      <c r="Y1048" s="587"/>
      <c r="Z1048" s="587"/>
      <c r="AA1048" s="587"/>
      <c r="AB1048" s="587"/>
      <c r="AC1048" s="587"/>
      <c r="AE1048" s="587"/>
      <c r="AF1048" s="587"/>
      <c r="AG1048" s="587"/>
      <c r="AH1048" s="587"/>
      <c r="AI1048" s="587"/>
      <c r="AJ1048" s="587"/>
      <c r="AK1048" s="587"/>
      <c r="AL1048" s="587"/>
      <c r="AM1048" s="587"/>
      <c r="AO1048" s="587"/>
      <c r="AP1048" s="587"/>
      <c r="AQ1048" s="587"/>
      <c r="AR1048" s="587"/>
      <c r="AS1048" s="587"/>
      <c r="AT1048" s="587"/>
      <c r="AU1048" s="587"/>
      <c r="AV1048" s="587"/>
      <c r="AW1048" s="587"/>
    </row>
    <row r="1049" spans="1:49">
      <c r="A1049" s="581">
        <v>41275</v>
      </c>
      <c r="B1049" s="577">
        <v>5.1799999999999999E-2</v>
      </c>
      <c r="C1049" s="577">
        <v>3.5099999999999999E-2</v>
      </c>
      <c r="D1049" s="577">
        <v>2.2000000000000001E-3</v>
      </c>
      <c r="E1049" s="577">
        <v>3.1666666666666666E-3</v>
      </c>
      <c r="F1049" s="577">
        <v>3.225E-3</v>
      </c>
      <c r="G1049" s="577">
        <v>3.1958333333333335E-3</v>
      </c>
      <c r="H1049" s="577">
        <v>3.4583333333333337E-3</v>
      </c>
      <c r="I1049" s="577">
        <f t="shared" si="178"/>
        <v>4.9599999999999998E-2</v>
      </c>
      <c r="J1049" s="577">
        <f t="shared" si="171"/>
        <v>4.8604166666666664E-2</v>
      </c>
      <c r="K1049" s="577">
        <f t="shared" si="172"/>
        <v>3.1641666666666665E-2</v>
      </c>
      <c r="L1049" s="585">
        <f t="shared" si="179"/>
        <v>0.1675820159416137</v>
      </c>
      <c r="M1049" s="585">
        <f t="shared" si="180"/>
        <v>2.64E-2</v>
      </c>
      <c r="N1049" s="585">
        <f t="shared" si="173"/>
        <v>3.8350000000000002E-2</v>
      </c>
      <c r="O1049" s="586">
        <f t="shared" si="181"/>
        <v>0.1411820159416137</v>
      </c>
      <c r="P1049" s="585">
        <f t="shared" si="174"/>
        <v>0.12923201594161371</v>
      </c>
      <c r="Q1049" s="585">
        <f t="shared" si="175"/>
        <v>8.3379555440799002E-2</v>
      </c>
      <c r="R1049" s="585">
        <f t="shared" si="176"/>
        <v>4.1500000000000002E-2</v>
      </c>
      <c r="S1049" s="586">
        <f t="shared" si="177"/>
        <v>4.1879555440799E-2</v>
      </c>
      <c r="U1049" s="587"/>
      <c r="V1049" s="587"/>
      <c r="W1049" s="587"/>
      <c r="X1049" s="587"/>
      <c r="Y1049" s="587"/>
      <c r="Z1049" s="587"/>
      <c r="AA1049" s="587"/>
      <c r="AB1049" s="587"/>
      <c r="AC1049" s="587"/>
      <c r="AE1049" s="587"/>
      <c r="AF1049" s="587"/>
      <c r="AG1049" s="587"/>
      <c r="AH1049" s="587"/>
      <c r="AI1049" s="587"/>
      <c r="AJ1049" s="587"/>
      <c r="AK1049" s="587"/>
      <c r="AL1049" s="587"/>
      <c r="AM1049" s="587"/>
      <c r="AO1049" s="587"/>
      <c r="AP1049" s="587"/>
      <c r="AQ1049" s="587"/>
      <c r="AR1049" s="587"/>
      <c r="AS1049" s="587"/>
      <c r="AT1049" s="587"/>
      <c r="AU1049" s="587"/>
      <c r="AV1049" s="587"/>
      <c r="AW1049" s="587"/>
    </row>
    <row r="1050" spans="1:49">
      <c r="A1050" s="581">
        <v>41306</v>
      </c>
      <c r="B1050" s="577">
        <v>1.3599999999999999E-2</v>
      </c>
      <c r="C1050" s="577">
        <v>3.39E-2</v>
      </c>
      <c r="D1050" s="577">
        <v>2.2000000000000001E-3</v>
      </c>
      <c r="E1050" s="577">
        <v>3.2499999999999999E-3</v>
      </c>
      <c r="F1050" s="577">
        <v>3.2916666666666667E-3</v>
      </c>
      <c r="G1050" s="577">
        <v>3.2708333333333331E-3</v>
      </c>
      <c r="H1050" s="577">
        <v>3.4833333333333331E-3</v>
      </c>
      <c r="I1050" s="577">
        <f t="shared" si="178"/>
        <v>1.1399999999999999E-2</v>
      </c>
      <c r="J1050" s="577">
        <f t="shared" si="171"/>
        <v>1.0329166666666667E-2</v>
      </c>
      <c r="K1050" s="577">
        <f t="shared" si="172"/>
        <v>3.0416666666666668E-2</v>
      </c>
      <c r="L1050" s="585">
        <f t="shared" si="179"/>
        <v>0.13445277162425207</v>
      </c>
      <c r="M1050" s="585">
        <f t="shared" si="180"/>
        <v>2.64E-2</v>
      </c>
      <c r="N1050" s="585">
        <f t="shared" si="173"/>
        <v>3.9249999999999993E-2</v>
      </c>
      <c r="O1050" s="586">
        <f t="shared" si="181"/>
        <v>0.10805277162425206</v>
      </c>
      <c r="P1050" s="585">
        <f t="shared" si="174"/>
        <v>9.5202771624252072E-2</v>
      </c>
      <c r="Q1050" s="585">
        <f t="shared" si="175"/>
        <v>0.11625393005761309</v>
      </c>
      <c r="R1050" s="585">
        <f t="shared" si="176"/>
        <v>4.1799999999999997E-2</v>
      </c>
      <c r="S1050" s="586">
        <f t="shared" si="177"/>
        <v>7.4453930057613082E-2</v>
      </c>
      <c r="U1050" s="587"/>
      <c r="V1050" s="587"/>
      <c r="W1050" s="587"/>
      <c r="X1050" s="587"/>
      <c r="Y1050" s="587"/>
      <c r="Z1050" s="587"/>
      <c r="AA1050" s="587"/>
      <c r="AB1050" s="587"/>
      <c r="AC1050" s="587"/>
      <c r="AE1050" s="587"/>
      <c r="AF1050" s="587"/>
      <c r="AG1050" s="587"/>
      <c r="AH1050" s="587"/>
      <c r="AI1050" s="587"/>
      <c r="AJ1050" s="587"/>
      <c r="AK1050" s="587"/>
      <c r="AL1050" s="587"/>
      <c r="AM1050" s="587"/>
      <c r="AO1050" s="587"/>
      <c r="AP1050" s="587"/>
      <c r="AQ1050" s="587"/>
      <c r="AR1050" s="587"/>
      <c r="AS1050" s="587"/>
      <c r="AT1050" s="587"/>
      <c r="AU1050" s="587"/>
      <c r="AV1050" s="587"/>
      <c r="AW1050" s="587"/>
    </row>
    <row r="1051" spans="1:49">
      <c r="A1051" s="581">
        <v>41334</v>
      </c>
      <c r="B1051" s="577">
        <v>3.7499999999999999E-2</v>
      </c>
      <c r="C1051" s="577">
        <v>5.3999999999999999E-2</v>
      </c>
      <c r="D1051" s="577">
        <v>2.0999999999999999E-3</v>
      </c>
      <c r="E1051" s="577">
        <v>3.1666666666666666E-3</v>
      </c>
      <c r="F1051" s="577">
        <v>3.225E-3</v>
      </c>
      <c r="G1051" s="577">
        <v>3.1958333333333335E-3</v>
      </c>
      <c r="H1051" s="577">
        <v>3.4583333333333337E-3</v>
      </c>
      <c r="I1051" s="577">
        <f t="shared" si="178"/>
        <v>3.5400000000000001E-2</v>
      </c>
      <c r="J1051" s="577">
        <f t="shared" si="171"/>
        <v>3.4304166666666663E-2</v>
      </c>
      <c r="K1051" s="577">
        <f t="shared" si="172"/>
        <v>5.0541666666666665E-2</v>
      </c>
      <c r="L1051" s="585">
        <f t="shared" si="179"/>
        <v>0.1395050349115714</v>
      </c>
      <c r="M1051" s="585">
        <f t="shared" si="180"/>
        <v>2.52E-2</v>
      </c>
      <c r="N1051" s="585">
        <f t="shared" si="173"/>
        <v>3.8350000000000002E-2</v>
      </c>
      <c r="O1051" s="586">
        <f t="shared" si="181"/>
        <v>0.1143050349115714</v>
      </c>
      <c r="P1051" s="585">
        <f t="shared" si="174"/>
        <v>0.10115503491157141</v>
      </c>
      <c r="Q1051" s="585">
        <f t="shared" si="175"/>
        <v>0.1606080991602461</v>
      </c>
      <c r="R1051" s="585">
        <f t="shared" si="176"/>
        <v>4.1500000000000002E-2</v>
      </c>
      <c r="S1051" s="586">
        <f t="shared" si="177"/>
        <v>0.11910809916024609</v>
      </c>
      <c r="U1051" s="587"/>
      <c r="V1051" s="587"/>
      <c r="W1051" s="587"/>
      <c r="X1051" s="587"/>
      <c r="Y1051" s="587"/>
      <c r="Z1051" s="587"/>
      <c r="AA1051" s="587"/>
      <c r="AB1051" s="587"/>
      <c r="AC1051" s="587"/>
      <c r="AE1051" s="587"/>
      <c r="AF1051" s="587"/>
      <c r="AG1051" s="587"/>
      <c r="AH1051" s="587"/>
      <c r="AI1051" s="587"/>
      <c r="AJ1051" s="587"/>
      <c r="AK1051" s="587"/>
      <c r="AL1051" s="587"/>
      <c r="AM1051" s="587"/>
      <c r="AO1051" s="587"/>
      <c r="AP1051" s="587"/>
      <c r="AQ1051" s="587"/>
      <c r="AR1051" s="587"/>
      <c r="AS1051" s="587"/>
      <c r="AT1051" s="587"/>
      <c r="AU1051" s="587"/>
      <c r="AV1051" s="587"/>
      <c r="AW1051" s="587"/>
    </row>
    <row r="1052" spans="1:49">
      <c r="A1052" s="581">
        <v>41365</v>
      </c>
      <c r="B1052" s="577">
        <v>1.9300000000000001E-2</v>
      </c>
      <c r="C1052" s="577">
        <v>5.8999999999999997E-2</v>
      </c>
      <c r="D1052" s="577">
        <v>2.5999999999999999E-3</v>
      </c>
      <c r="E1052" s="577">
        <v>3.1083333333333332E-3</v>
      </c>
      <c r="F1052" s="577">
        <v>3.1416666666666663E-3</v>
      </c>
      <c r="G1052" s="577">
        <v>3.1249999999999997E-3</v>
      </c>
      <c r="H1052" s="577">
        <v>3.3333333333333335E-3</v>
      </c>
      <c r="I1052" s="577">
        <f t="shared" si="178"/>
        <v>1.67E-2</v>
      </c>
      <c r="J1052" s="577">
        <f t="shared" si="171"/>
        <v>1.6175000000000002E-2</v>
      </c>
      <c r="K1052" s="577">
        <f t="shared" si="172"/>
        <v>5.5666666666666663E-2</v>
      </c>
      <c r="L1052" s="585">
        <f t="shared" si="179"/>
        <v>0.16886130832782986</v>
      </c>
      <c r="M1052" s="585">
        <f t="shared" si="180"/>
        <v>3.1199999999999999E-2</v>
      </c>
      <c r="N1052" s="585">
        <f t="shared" si="173"/>
        <v>3.7499999999999999E-2</v>
      </c>
      <c r="O1052" s="586">
        <f t="shared" si="181"/>
        <v>0.13766130832782986</v>
      </c>
      <c r="P1052" s="585">
        <f t="shared" si="174"/>
        <v>0.13136130832782986</v>
      </c>
      <c r="Q1052" s="585">
        <f t="shared" si="175"/>
        <v>0.20352472247940545</v>
      </c>
      <c r="R1052" s="585">
        <f t="shared" si="176"/>
        <v>0.04</v>
      </c>
      <c r="S1052" s="586">
        <f t="shared" si="177"/>
        <v>0.16352472247940544</v>
      </c>
      <c r="U1052" s="587"/>
      <c r="V1052" s="587"/>
      <c r="W1052" s="587"/>
      <c r="X1052" s="587"/>
      <c r="Y1052" s="587"/>
      <c r="Z1052" s="587"/>
      <c r="AA1052" s="587"/>
      <c r="AB1052" s="587"/>
      <c r="AC1052" s="587"/>
      <c r="AE1052" s="587"/>
      <c r="AF1052" s="587"/>
      <c r="AG1052" s="587"/>
      <c r="AH1052" s="587"/>
      <c r="AI1052" s="587"/>
      <c r="AJ1052" s="587"/>
      <c r="AK1052" s="587"/>
      <c r="AL1052" s="587"/>
      <c r="AM1052" s="587"/>
      <c r="AO1052" s="587"/>
      <c r="AP1052" s="587"/>
      <c r="AQ1052" s="587"/>
      <c r="AR1052" s="587"/>
      <c r="AS1052" s="587"/>
      <c r="AT1052" s="587"/>
      <c r="AU1052" s="587"/>
      <c r="AV1052" s="587"/>
      <c r="AW1052" s="587"/>
    </row>
    <row r="1053" spans="1:49">
      <c r="A1053" s="581">
        <v>41395</v>
      </c>
      <c r="B1053" s="577">
        <v>2.3400000000000001E-2</v>
      </c>
      <c r="C1053" s="577">
        <v>-8.9599999999999999E-2</v>
      </c>
      <c r="D1053" s="577">
        <v>2.3E-3</v>
      </c>
      <c r="E1053" s="577">
        <v>3.2416666666666666E-3</v>
      </c>
      <c r="F1053" s="577">
        <v>3.283333333333333E-3</v>
      </c>
      <c r="G1053" s="577">
        <v>3.2624999999999998E-3</v>
      </c>
      <c r="H1053" s="577">
        <v>3.4750000000000002E-3</v>
      </c>
      <c r="I1053" s="577">
        <f t="shared" si="178"/>
        <v>2.1100000000000001E-2</v>
      </c>
      <c r="J1053" s="577">
        <f t="shared" ref="J1053:K1120" si="182">B1053-G1053</f>
        <v>2.0137500000000003E-2</v>
      </c>
      <c r="K1053" s="577">
        <f t="shared" ref="K1053:K1077" si="183">$C1053-H1053</f>
        <v>-9.3075000000000005E-2</v>
      </c>
      <c r="L1053" s="585">
        <f t="shared" si="179"/>
        <v>0.27270205654080359</v>
      </c>
      <c r="M1053" s="585">
        <f t="shared" si="180"/>
        <v>2.76E-2</v>
      </c>
      <c r="N1053" s="585">
        <f t="shared" si="173"/>
        <v>3.9149999999999997E-2</v>
      </c>
      <c r="O1053" s="586">
        <f t="shared" si="181"/>
        <v>0.24510205654080358</v>
      </c>
      <c r="P1053" s="585">
        <f t="shared" si="174"/>
        <v>0.2335520565408036</v>
      </c>
      <c r="Q1053" s="585">
        <f t="shared" si="175"/>
        <v>9.3326229363595914E-2</v>
      </c>
      <c r="R1053" s="585">
        <f t="shared" si="176"/>
        <v>4.1700000000000001E-2</v>
      </c>
      <c r="S1053" s="586">
        <f t="shared" si="177"/>
        <v>5.1626229363595913E-2</v>
      </c>
      <c r="U1053" s="587"/>
      <c r="V1053" s="587"/>
      <c r="W1053" s="587"/>
      <c r="X1053" s="587"/>
      <c r="Y1053" s="587"/>
      <c r="Z1053" s="587"/>
      <c r="AA1053" s="587"/>
      <c r="AB1053" s="587"/>
      <c r="AC1053" s="587"/>
      <c r="AE1053" s="587"/>
      <c r="AF1053" s="587"/>
      <c r="AG1053" s="587"/>
      <c r="AH1053" s="587"/>
      <c r="AI1053" s="587"/>
      <c r="AJ1053" s="587"/>
      <c r="AK1053" s="587"/>
      <c r="AL1053" s="587"/>
      <c r="AM1053" s="587"/>
      <c r="AO1053" s="587"/>
      <c r="AP1053" s="587"/>
      <c r="AQ1053" s="587"/>
      <c r="AR1053" s="587"/>
      <c r="AS1053" s="587"/>
      <c r="AT1053" s="587"/>
      <c r="AU1053" s="587"/>
      <c r="AV1053" s="587"/>
      <c r="AW1053" s="587"/>
    </row>
    <row r="1054" spans="1:49">
      <c r="A1054" s="581">
        <v>41426</v>
      </c>
      <c r="B1054" s="577">
        <v>-1.34E-2</v>
      </c>
      <c r="C1054" s="577">
        <v>1.14E-2</v>
      </c>
      <c r="D1054" s="577">
        <v>2.3999999999999998E-3</v>
      </c>
      <c r="E1054" s="577">
        <v>3.5583333333333335E-3</v>
      </c>
      <c r="F1054" s="577">
        <v>3.6000000000000003E-3</v>
      </c>
      <c r="G1054" s="577">
        <v>3.5791666666666671E-3</v>
      </c>
      <c r="H1054" s="577">
        <v>3.7750000000000001E-3</v>
      </c>
      <c r="I1054" s="577">
        <f t="shared" si="178"/>
        <v>-1.5800000000000002E-2</v>
      </c>
      <c r="J1054" s="577">
        <f t="shared" si="182"/>
        <v>-1.6979166666666667E-2</v>
      </c>
      <c r="K1054" s="577">
        <f t="shared" si="183"/>
        <v>7.6249999999999998E-3</v>
      </c>
      <c r="L1054" s="585">
        <f t="shared" si="179"/>
        <v>0.20596220609215976</v>
      </c>
      <c r="M1054" s="585">
        <f t="shared" si="180"/>
        <v>2.8799999999999999E-2</v>
      </c>
      <c r="N1054" s="585">
        <f t="shared" si="173"/>
        <v>4.2950000000000002E-2</v>
      </c>
      <c r="O1054" s="586">
        <f t="shared" si="181"/>
        <v>0.17716220609215977</v>
      </c>
      <c r="P1054" s="585">
        <f t="shared" si="174"/>
        <v>0.16301220609215977</v>
      </c>
      <c r="Q1054" s="585">
        <f t="shared" si="175"/>
        <v>6.223429341130382E-2</v>
      </c>
      <c r="R1054" s="585">
        <f t="shared" si="176"/>
        <v>4.53E-2</v>
      </c>
      <c r="S1054" s="586">
        <f t="shared" si="177"/>
        <v>1.693429341130382E-2</v>
      </c>
      <c r="U1054" s="587"/>
      <c r="V1054" s="587"/>
      <c r="W1054" s="587"/>
      <c r="X1054" s="587"/>
      <c r="Y1054" s="587"/>
      <c r="Z1054" s="587"/>
      <c r="AA1054" s="587"/>
      <c r="AB1054" s="587"/>
      <c r="AC1054" s="587"/>
      <c r="AE1054" s="587"/>
      <c r="AF1054" s="587"/>
      <c r="AG1054" s="587"/>
      <c r="AH1054" s="587"/>
      <c r="AI1054" s="587"/>
      <c r="AJ1054" s="587"/>
      <c r="AK1054" s="587"/>
      <c r="AL1054" s="587"/>
      <c r="AM1054" s="587"/>
      <c r="AO1054" s="587"/>
      <c r="AP1054" s="587"/>
      <c r="AQ1054" s="587"/>
      <c r="AR1054" s="587"/>
      <c r="AS1054" s="587"/>
      <c r="AT1054" s="587"/>
      <c r="AU1054" s="587"/>
      <c r="AV1054" s="587"/>
      <c r="AW1054" s="587"/>
    </row>
    <row r="1055" spans="1:49">
      <c r="A1055" s="581">
        <v>41456</v>
      </c>
      <c r="B1055" s="577">
        <v>5.0900000000000001E-2</v>
      </c>
      <c r="C1055" s="577">
        <v>3.85E-2</v>
      </c>
      <c r="D1055" s="577">
        <v>3.0000000000000001E-3</v>
      </c>
      <c r="E1055" s="577">
        <v>3.6166666666666669E-3</v>
      </c>
      <c r="F1055" s="577">
        <v>3.7166666666666667E-3</v>
      </c>
      <c r="G1055" s="577">
        <v>3.666666666666667E-3</v>
      </c>
      <c r="H1055" s="577">
        <v>3.9000000000000003E-3</v>
      </c>
      <c r="I1055" s="577">
        <f t="shared" si="178"/>
        <v>4.7899999999999998E-2</v>
      </c>
      <c r="J1055" s="577">
        <f t="shared" si="182"/>
        <v>4.7233333333333336E-2</v>
      </c>
      <c r="K1055" s="577">
        <f t="shared" si="183"/>
        <v>3.4599999999999999E-2</v>
      </c>
      <c r="L1055" s="585">
        <f t="shared" si="179"/>
        <v>0.24997108431033732</v>
      </c>
      <c r="M1055" s="585">
        <f t="shared" si="180"/>
        <v>3.6000000000000004E-2</v>
      </c>
      <c r="N1055" s="585">
        <f t="shared" si="173"/>
        <v>4.4000000000000004E-2</v>
      </c>
      <c r="O1055" s="586">
        <f t="shared" si="181"/>
        <v>0.21397108431033732</v>
      </c>
      <c r="P1055" s="585">
        <f t="shared" si="174"/>
        <v>0.20597108431033731</v>
      </c>
      <c r="Q1055" s="585">
        <f t="shared" si="175"/>
        <v>7.2625905578881156E-2</v>
      </c>
      <c r="R1055" s="585">
        <f t="shared" si="176"/>
        <v>4.6800000000000001E-2</v>
      </c>
      <c r="S1055" s="586">
        <f t="shared" si="177"/>
        <v>2.5825905578881155E-2</v>
      </c>
      <c r="U1055" s="587"/>
      <c r="V1055" s="587"/>
      <c r="W1055" s="587"/>
      <c r="X1055" s="587"/>
      <c r="Y1055" s="587"/>
      <c r="Z1055" s="587"/>
      <c r="AA1055" s="587"/>
      <c r="AB1055" s="587"/>
      <c r="AC1055" s="587"/>
      <c r="AE1055" s="587"/>
      <c r="AF1055" s="587"/>
      <c r="AG1055" s="587"/>
      <c r="AH1055" s="587"/>
      <c r="AI1055" s="587"/>
      <c r="AJ1055" s="587"/>
      <c r="AK1055" s="587"/>
      <c r="AL1055" s="587"/>
      <c r="AM1055" s="587"/>
      <c r="AO1055" s="587"/>
      <c r="AP1055" s="587"/>
      <c r="AQ1055" s="587"/>
      <c r="AR1055" s="587"/>
      <c r="AS1055" s="587"/>
      <c r="AT1055" s="587"/>
      <c r="AU1055" s="587"/>
      <c r="AV1055" s="587"/>
      <c r="AW1055" s="587"/>
    </row>
    <row r="1056" spans="1:49">
      <c r="A1056" s="581">
        <v>41487</v>
      </c>
      <c r="B1056" s="577">
        <v>-2.9000000000000001E-2</v>
      </c>
      <c r="C1056" s="577">
        <v>-0.05</v>
      </c>
      <c r="D1056" s="577">
        <v>2.8E-3</v>
      </c>
      <c r="E1056" s="577">
        <v>3.7833333333333334E-3</v>
      </c>
      <c r="F1056" s="577">
        <v>3.8583333333333334E-3</v>
      </c>
      <c r="G1056" s="577">
        <v>3.8208333333333332E-3</v>
      </c>
      <c r="H1056" s="577">
        <v>3.9416666666666671E-3</v>
      </c>
      <c r="I1056" s="577">
        <f t="shared" si="178"/>
        <v>-3.1800000000000002E-2</v>
      </c>
      <c r="J1056" s="577">
        <f t="shared" si="182"/>
        <v>-3.2820833333333334E-2</v>
      </c>
      <c r="K1056" s="577">
        <f t="shared" si="183"/>
        <v>-5.3941666666666672E-2</v>
      </c>
      <c r="L1056" s="585">
        <f t="shared" si="179"/>
        <v>0.18701410549177222</v>
      </c>
      <c r="M1056" s="585">
        <f t="shared" si="180"/>
        <v>3.3599999999999998E-2</v>
      </c>
      <c r="N1056" s="585">
        <f t="shared" si="173"/>
        <v>4.5850000000000002E-2</v>
      </c>
      <c r="O1056" s="586">
        <f t="shared" si="181"/>
        <v>0.15341410549177223</v>
      </c>
      <c r="P1056" s="585">
        <f t="shared" si="174"/>
        <v>0.14116410549177222</v>
      </c>
      <c r="Q1056" s="585">
        <f t="shared" si="175"/>
        <v>6.6698430824855048E-2</v>
      </c>
      <c r="R1056" s="585">
        <f t="shared" si="176"/>
        <v>4.7300000000000009E-2</v>
      </c>
      <c r="S1056" s="586">
        <f t="shared" si="177"/>
        <v>1.939843082485504E-2</v>
      </c>
      <c r="U1056" s="587"/>
      <c r="V1056" s="587"/>
      <c r="W1056" s="587"/>
      <c r="X1056" s="587"/>
      <c r="Y1056" s="587"/>
      <c r="Z1056" s="587"/>
      <c r="AA1056" s="587"/>
      <c r="AB1056" s="587"/>
      <c r="AC1056" s="587"/>
      <c r="AE1056" s="587"/>
      <c r="AF1056" s="587"/>
      <c r="AG1056" s="587"/>
      <c r="AH1056" s="587"/>
      <c r="AI1056" s="587"/>
      <c r="AJ1056" s="587"/>
      <c r="AK1056" s="587"/>
      <c r="AL1056" s="587"/>
      <c r="AM1056" s="587"/>
      <c r="AO1056" s="587"/>
      <c r="AP1056" s="587"/>
      <c r="AQ1056" s="587"/>
      <c r="AR1056" s="587"/>
      <c r="AS1056" s="587"/>
      <c r="AT1056" s="587"/>
      <c r="AU1056" s="587"/>
      <c r="AV1056" s="587"/>
      <c r="AW1056" s="587"/>
    </row>
    <row r="1057" spans="1:49">
      <c r="A1057" s="581">
        <v>41518</v>
      </c>
      <c r="B1057" s="577">
        <v>3.1399999999999997E-2</v>
      </c>
      <c r="C1057" s="577">
        <v>1.0800000000000001E-2</v>
      </c>
      <c r="D1057" s="577">
        <v>2.8999999999999998E-3</v>
      </c>
      <c r="E1057" s="577">
        <v>3.8666666666666663E-3</v>
      </c>
      <c r="F1057" s="577">
        <v>3.9083333333333331E-3</v>
      </c>
      <c r="G1057" s="577">
        <v>3.8874999999999995E-3</v>
      </c>
      <c r="H1057" s="577">
        <v>4.0000000000000001E-3</v>
      </c>
      <c r="I1057" s="577">
        <f t="shared" si="178"/>
        <v>2.8499999999999998E-2</v>
      </c>
      <c r="J1057" s="577">
        <f t="shared" si="182"/>
        <v>2.7512499999999999E-2</v>
      </c>
      <c r="K1057" s="577">
        <f t="shared" si="183"/>
        <v>6.8000000000000005E-3</v>
      </c>
      <c r="L1057" s="585">
        <f t="shared" si="179"/>
        <v>0.19349419809340396</v>
      </c>
      <c r="M1057" s="585">
        <f t="shared" si="180"/>
        <v>3.4799999999999998E-2</v>
      </c>
      <c r="N1057" s="585">
        <f t="shared" si="173"/>
        <v>4.6649999999999997E-2</v>
      </c>
      <c r="O1057" s="586">
        <f t="shared" si="181"/>
        <v>0.15869419809340396</v>
      </c>
      <c r="P1057" s="585">
        <f t="shared" si="174"/>
        <v>0.14684419809340396</v>
      </c>
      <c r="Q1057" s="585">
        <f t="shared" si="175"/>
        <v>6.5137816355106626E-2</v>
      </c>
      <c r="R1057" s="585">
        <f t="shared" si="176"/>
        <v>4.8000000000000001E-2</v>
      </c>
      <c r="S1057" s="586">
        <f t="shared" si="177"/>
        <v>1.7137816355106625E-2</v>
      </c>
      <c r="U1057" s="587"/>
      <c r="V1057" s="587"/>
      <c r="W1057" s="587"/>
      <c r="X1057" s="587"/>
      <c r="Y1057" s="587"/>
      <c r="Z1057" s="587"/>
      <c r="AA1057" s="587"/>
      <c r="AB1057" s="587"/>
      <c r="AC1057" s="587"/>
      <c r="AE1057" s="587"/>
      <c r="AF1057" s="587"/>
      <c r="AG1057" s="587"/>
      <c r="AH1057" s="587"/>
      <c r="AI1057" s="587"/>
      <c r="AJ1057" s="587"/>
      <c r="AK1057" s="587"/>
      <c r="AL1057" s="587"/>
      <c r="AM1057" s="587"/>
      <c r="AO1057" s="587"/>
      <c r="AP1057" s="587"/>
      <c r="AQ1057" s="587"/>
      <c r="AR1057" s="587"/>
      <c r="AS1057" s="587"/>
      <c r="AT1057" s="587"/>
      <c r="AU1057" s="587"/>
      <c r="AV1057" s="587"/>
      <c r="AW1057" s="587"/>
    </row>
    <row r="1058" spans="1:49">
      <c r="A1058" s="581">
        <v>41548</v>
      </c>
      <c r="B1058" s="577">
        <v>4.5999999999999999E-2</v>
      </c>
      <c r="C1058" s="577">
        <v>3.7699999999999997E-2</v>
      </c>
      <c r="D1058" s="577">
        <v>2.8999999999999998E-3</v>
      </c>
      <c r="E1058" s="577">
        <v>3.7750000000000001E-3</v>
      </c>
      <c r="F1058" s="577">
        <v>3.8250000000000003E-3</v>
      </c>
      <c r="G1058" s="577">
        <v>3.8000000000000004E-3</v>
      </c>
      <c r="H1058" s="577">
        <v>3.9166666666666664E-3</v>
      </c>
      <c r="I1058" s="577">
        <f t="shared" si="178"/>
        <v>4.3099999999999999E-2</v>
      </c>
      <c r="J1058" s="577">
        <f t="shared" si="182"/>
        <v>4.2200000000000001E-2</v>
      </c>
      <c r="K1058" s="577">
        <f t="shared" si="183"/>
        <v>3.3783333333333332E-2</v>
      </c>
      <c r="L1058" s="585">
        <f t="shared" si="179"/>
        <v>0.27192555395384743</v>
      </c>
      <c r="M1058" s="585">
        <f t="shared" si="180"/>
        <v>3.4799999999999998E-2</v>
      </c>
      <c r="N1058" s="585">
        <f t="shared" si="173"/>
        <v>4.5600000000000002E-2</v>
      </c>
      <c r="O1058" s="586">
        <f t="shared" si="181"/>
        <v>0.23712555395384743</v>
      </c>
      <c r="P1058" s="585">
        <f t="shared" si="174"/>
        <v>0.22632555395384743</v>
      </c>
      <c r="Q1058" s="585">
        <f t="shared" si="175"/>
        <v>8.6561196995492251E-2</v>
      </c>
      <c r="R1058" s="585">
        <f t="shared" si="176"/>
        <v>4.7E-2</v>
      </c>
      <c r="S1058" s="586">
        <f t="shared" si="177"/>
        <v>3.9561196995492251E-2</v>
      </c>
      <c r="U1058" s="587"/>
      <c r="V1058" s="587"/>
      <c r="W1058" s="587"/>
      <c r="X1058" s="587"/>
      <c r="Y1058" s="587"/>
      <c r="Z1058" s="587"/>
      <c r="AA1058" s="587"/>
      <c r="AB1058" s="587"/>
      <c r="AC1058" s="587"/>
      <c r="AE1058" s="587"/>
      <c r="AF1058" s="587"/>
      <c r="AG1058" s="587"/>
      <c r="AH1058" s="587"/>
      <c r="AI1058" s="587"/>
      <c r="AJ1058" s="587"/>
      <c r="AK1058" s="587"/>
      <c r="AL1058" s="587"/>
      <c r="AM1058" s="587"/>
      <c r="AO1058" s="587"/>
      <c r="AP1058" s="587"/>
      <c r="AQ1058" s="587"/>
      <c r="AR1058" s="587"/>
      <c r="AS1058" s="587"/>
      <c r="AT1058" s="587"/>
      <c r="AU1058" s="587"/>
      <c r="AV1058" s="587"/>
      <c r="AW1058" s="587"/>
    </row>
    <row r="1059" spans="1:49">
      <c r="A1059" s="581">
        <v>41579</v>
      </c>
      <c r="B1059" s="577">
        <v>3.0499999999999999E-2</v>
      </c>
      <c r="C1059" s="577">
        <v>-1.9900000000000001E-2</v>
      </c>
      <c r="D1059" s="577">
        <v>2.7000000000000001E-3</v>
      </c>
      <c r="E1059" s="577">
        <v>3.8583333333333334E-3</v>
      </c>
      <c r="F1059" s="577">
        <v>3.8916666666666665E-3</v>
      </c>
      <c r="G1059" s="577">
        <v>3.875E-3</v>
      </c>
      <c r="H1059" s="577">
        <v>3.9750000000000002E-3</v>
      </c>
      <c r="I1059" s="577">
        <f t="shared" si="178"/>
        <v>2.7799999999999998E-2</v>
      </c>
      <c r="J1059" s="577">
        <f t="shared" si="182"/>
        <v>2.6624999999999999E-2</v>
      </c>
      <c r="K1059" s="577">
        <f t="shared" si="183"/>
        <v>-2.3875E-2</v>
      </c>
      <c r="L1059" s="585">
        <f t="shared" si="179"/>
        <v>0.3031609498403649</v>
      </c>
      <c r="M1059" s="585">
        <f t="shared" si="180"/>
        <v>3.2399999999999998E-2</v>
      </c>
      <c r="N1059" s="585">
        <f t="shared" si="173"/>
        <v>4.65E-2</v>
      </c>
      <c r="O1059" s="586">
        <f t="shared" si="181"/>
        <v>0.27076094984036492</v>
      </c>
      <c r="P1059" s="585">
        <f t="shared" si="174"/>
        <v>0.25666094984036492</v>
      </c>
      <c r="Q1059" s="585">
        <f t="shared" si="175"/>
        <v>0.11678890443016532</v>
      </c>
      <c r="R1059" s="585">
        <f t="shared" si="176"/>
        <v>4.7700000000000006E-2</v>
      </c>
      <c r="S1059" s="586">
        <f t="shared" si="177"/>
        <v>6.9088904430165313E-2</v>
      </c>
      <c r="U1059" s="587"/>
      <c r="V1059" s="587"/>
      <c r="W1059" s="587"/>
      <c r="X1059" s="587"/>
      <c r="Y1059" s="587"/>
      <c r="Z1059" s="587"/>
      <c r="AA1059" s="587"/>
      <c r="AB1059" s="587"/>
      <c r="AC1059" s="587"/>
      <c r="AE1059" s="587"/>
      <c r="AF1059" s="587"/>
      <c r="AG1059" s="587"/>
      <c r="AH1059" s="587"/>
      <c r="AI1059" s="587"/>
      <c r="AJ1059" s="587"/>
      <c r="AK1059" s="587"/>
      <c r="AL1059" s="587"/>
      <c r="AM1059" s="587"/>
      <c r="AO1059" s="587"/>
      <c r="AP1059" s="587"/>
      <c r="AQ1059" s="587"/>
      <c r="AR1059" s="587"/>
      <c r="AS1059" s="587"/>
      <c r="AT1059" s="587"/>
      <c r="AU1059" s="587"/>
      <c r="AV1059" s="587"/>
      <c r="AW1059" s="587"/>
    </row>
    <row r="1060" spans="1:49">
      <c r="A1060" s="581">
        <v>41609</v>
      </c>
      <c r="B1060" s="577">
        <v>2.53E-2</v>
      </c>
      <c r="C1060" s="577">
        <v>7.6E-3</v>
      </c>
      <c r="D1060" s="577">
        <v>3.0999999999999999E-3</v>
      </c>
      <c r="E1060" s="577">
        <v>3.8499999999999997E-3</v>
      </c>
      <c r="F1060" s="577">
        <v>3.9000000000000003E-3</v>
      </c>
      <c r="G1060" s="577">
        <v>3.875E-3</v>
      </c>
      <c r="H1060" s="577">
        <v>4.0083333333333334E-3</v>
      </c>
      <c r="I1060" s="577">
        <f t="shared" si="178"/>
        <v>2.2200000000000001E-2</v>
      </c>
      <c r="J1060" s="577">
        <f t="shared" si="182"/>
        <v>2.1425E-2</v>
      </c>
      <c r="K1060" s="577">
        <f t="shared" si="183"/>
        <v>3.5916666666666666E-3</v>
      </c>
      <c r="L1060" s="585">
        <f t="shared" si="179"/>
        <v>0.3240817776943079</v>
      </c>
      <c r="M1060" s="585">
        <f t="shared" si="180"/>
        <v>3.7199999999999997E-2</v>
      </c>
      <c r="N1060" s="585">
        <f t="shared" si="173"/>
        <v>4.65E-2</v>
      </c>
      <c r="O1060" s="586">
        <f t="shared" si="181"/>
        <v>0.28688177769430789</v>
      </c>
      <c r="P1060" s="585">
        <f t="shared" si="174"/>
        <v>0.27758177769430792</v>
      </c>
      <c r="Q1060" s="585">
        <f t="shared" si="175"/>
        <v>0.12403107367420341</v>
      </c>
      <c r="R1060" s="585">
        <f t="shared" si="176"/>
        <v>4.8100000000000004E-2</v>
      </c>
      <c r="S1060" s="586">
        <f t="shared" si="177"/>
        <v>7.5931073674203403E-2</v>
      </c>
      <c r="U1060" s="587"/>
      <c r="V1060" s="587"/>
      <c r="W1060" s="587"/>
      <c r="X1060" s="587"/>
      <c r="Y1060" s="587"/>
      <c r="Z1060" s="587"/>
      <c r="AA1060" s="587"/>
      <c r="AB1060" s="587"/>
      <c r="AC1060" s="587"/>
      <c r="AE1060" s="587"/>
      <c r="AF1060" s="587"/>
      <c r="AG1060" s="587"/>
      <c r="AH1060" s="587"/>
      <c r="AI1060" s="587"/>
      <c r="AJ1060" s="587"/>
      <c r="AK1060" s="587"/>
      <c r="AL1060" s="587"/>
      <c r="AM1060" s="587"/>
      <c r="AO1060" s="587"/>
      <c r="AP1060" s="587"/>
      <c r="AQ1060" s="587"/>
      <c r="AR1060" s="587"/>
      <c r="AS1060" s="587"/>
      <c r="AT1060" s="587"/>
      <c r="AU1060" s="587"/>
      <c r="AV1060" s="587"/>
      <c r="AW1060" s="587"/>
    </row>
    <row r="1061" spans="1:49">
      <c r="A1061" s="581">
        <v>41640</v>
      </c>
      <c r="B1061" s="577">
        <v>-3.4599999999999999E-2</v>
      </c>
      <c r="C1061" s="577">
        <v>2.81E-2</v>
      </c>
      <c r="D1061" s="577">
        <v>3.2000000000000002E-3</v>
      </c>
      <c r="E1061" s="577">
        <v>3.741666666666667E-3</v>
      </c>
      <c r="F1061" s="577">
        <v>3.7750000000000001E-3</v>
      </c>
      <c r="G1061" s="577">
        <v>3.7583333333333336E-3</v>
      </c>
      <c r="H1061" s="577">
        <v>3.8583333333333334E-3</v>
      </c>
      <c r="I1061" s="577">
        <f t="shared" si="178"/>
        <v>-3.78E-2</v>
      </c>
      <c r="J1061" s="577">
        <f t="shared" si="182"/>
        <v>-3.8358333333333335E-2</v>
      </c>
      <c r="K1061" s="577">
        <f t="shared" si="183"/>
        <v>2.4241666666666668E-2</v>
      </c>
      <c r="L1061" s="585">
        <f t="shared" si="179"/>
        <v>0.2153152198004229</v>
      </c>
      <c r="M1061" s="585">
        <f t="shared" si="180"/>
        <v>3.8400000000000004E-2</v>
      </c>
      <c r="N1061" s="585">
        <f t="shared" si="173"/>
        <v>4.5100000000000001E-2</v>
      </c>
      <c r="O1061" s="586">
        <f t="shared" si="181"/>
        <v>0.17691521980042291</v>
      </c>
      <c r="P1061" s="585">
        <f t="shared" si="174"/>
        <v>0.1702152198004229</v>
      </c>
      <c r="Q1061" s="585">
        <f t="shared" si="175"/>
        <v>0.11642966558250278</v>
      </c>
      <c r="R1061" s="585">
        <f t="shared" si="176"/>
        <v>4.6300000000000001E-2</v>
      </c>
      <c r="S1061" s="586">
        <f t="shared" si="177"/>
        <v>7.0129665582502776E-2</v>
      </c>
      <c r="U1061" s="587"/>
      <c r="V1061" s="587"/>
      <c r="W1061" s="587"/>
      <c r="X1061" s="587"/>
      <c r="Y1061" s="587"/>
      <c r="Z1061" s="587"/>
      <c r="AA1061" s="587"/>
      <c r="AB1061" s="587"/>
      <c r="AC1061" s="587"/>
      <c r="AE1061" s="587"/>
      <c r="AF1061" s="587"/>
      <c r="AG1061" s="587"/>
      <c r="AH1061" s="587"/>
      <c r="AI1061" s="587"/>
      <c r="AJ1061" s="587"/>
      <c r="AK1061" s="587"/>
      <c r="AL1061" s="587"/>
      <c r="AM1061" s="587"/>
      <c r="AO1061" s="587"/>
      <c r="AP1061" s="587"/>
      <c r="AQ1061" s="587"/>
      <c r="AR1061" s="587"/>
      <c r="AS1061" s="587"/>
      <c r="AT1061" s="587"/>
      <c r="AU1061" s="587"/>
      <c r="AV1061" s="587"/>
      <c r="AW1061" s="587"/>
    </row>
    <row r="1062" spans="1:49">
      <c r="A1062" s="581">
        <v>41671</v>
      </c>
      <c r="B1062" s="577">
        <v>4.5699999999999998E-2</v>
      </c>
      <c r="C1062" s="577">
        <v>3.3500000000000002E-2</v>
      </c>
      <c r="D1062" s="577">
        <v>2.5999999999999999E-3</v>
      </c>
      <c r="E1062" s="577">
        <v>3.708333333333333E-3</v>
      </c>
      <c r="F1062" s="577">
        <v>3.7166666666666667E-3</v>
      </c>
      <c r="G1062" s="577">
        <v>3.7124999999999997E-3</v>
      </c>
      <c r="H1062" s="577">
        <v>3.7750000000000001E-3</v>
      </c>
      <c r="I1062" s="577">
        <f t="shared" si="178"/>
        <v>4.3099999999999999E-2</v>
      </c>
      <c r="J1062" s="577">
        <f t="shared" si="182"/>
        <v>4.1987499999999997E-2</v>
      </c>
      <c r="K1062" s="577">
        <f t="shared" si="183"/>
        <v>2.9725000000000001E-2</v>
      </c>
      <c r="L1062" s="585">
        <f t="shared" si="179"/>
        <v>0.2538033991173072</v>
      </c>
      <c r="M1062" s="585">
        <f t="shared" si="180"/>
        <v>3.1199999999999999E-2</v>
      </c>
      <c r="N1062" s="585">
        <f t="shared" si="173"/>
        <v>4.4549999999999992E-2</v>
      </c>
      <c r="O1062" s="586">
        <f t="shared" si="181"/>
        <v>0.2226033991173072</v>
      </c>
      <c r="P1062" s="585">
        <f t="shared" si="174"/>
        <v>0.20925339911730723</v>
      </c>
      <c r="Q1062" s="585">
        <f t="shared" si="175"/>
        <v>0.1159977361248834</v>
      </c>
      <c r="R1062" s="585">
        <f t="shared" si="176"/>
        <v>4.53E-2</v>
      </c>
      <c r="S1062" s="586">
        <f t="shared" si="177"/>
        <v>7.0697736124883392E-2</v>
      </c>
      <c r="U1062" s="587"/>
      <c r="V1062" s="587"/>
      <c r="W1062" s="587"/>
      <c r="X1062" s="587"/>
      <c r="Y1062" s="587"/>
      <c r="Z1062" s="587"/>
      <c r="AA1062" s="587"/>
      <c r="AB1062" s="587"/>
      <c r="AC1062" s="587"/>
      <c r="AE1062" s="587"/>
      <c r="AF1062" s="587"/>
      <c r="AG1062" s="587"/>
      <c r="AH1062" s="587"/>
      <c r="AI1062" s="587"/>
      <c r="AJ1062" s="587"/>
      <c r="AK1062" s="587"/>
      <c r="AL1062" s="587"/>
      <c r="AM1062" s="587"/>
      <c r="AO1062" s="587"/>
      <c r="AP1062" s="587"/>
      <c r="AQ1062" s="587"/>
      <c r="AR1062" s="587"/>
      <c r="AS1062" s="587"/>
      <c r="AT1062" s="587"/>
      <c r="AU1062" s="587"/>
      <c r="AV1062" s="587"/>
      <c r="AW1062" s="587"/>
    </row>
    <row r="1063" spans="1:49">
      <c r="A1063" s="581">
        <v>41699</v>
      </c>
      <c r="B1063" s="577">
        <v>8.3999999999999995E-3</v>
      </c>
      <c r="C1063" s="577">
        <v>3.3700000000000001E-2</v>
      </c>
      <c r="D1063" s="577">
        <v>2.8999999999999998E-3</v>
      </c>
      <c r="E1063" s="577">
        <v>3.65E-3</v>
      </c>
      <c r="F1063" s="577">
        <v>3.7000000000000002E-3</v>
      </c>
      <c r="G1063" s="577">
        <v>3.6750000000000003E-3</v>
      </c>
      <c r="H1063" s="594">
        <v>3.7583333333333336E-3</v>
      </c>
      <c r="I1063" s="577">
        <f t="shared" si="178"/>
        <v>5.4999999999999997E-3</v>
      </c>
      <c r="J1063" s="577">
        <f t="shared" si="182"/>
        <v>4.7249999999999992E-3</v>
      </c>
      <c r="K1063" s="577">
        <f t="shared" si="183"/>
        <v>2.9941666666666669E-2</v>
      </c>
      <c r="L1063" s="585">
        <f t="shared" si="179"/>
        <v>0.21863647968182387</v>
      </c>
      <c r="M1063" s="585">
        <f t="shared" si="180"/>
        <v>3.4799999999999998E-2</v>
      </c>
      <c r="N1063" s="585">
        <f t="shared" si="173"/>
        <v>4.41E-2</v>
      </c>
      <c r="O1063" s="586">
        <f t="shared" si="181"/>
        <v>0.18383647968182387</v>
      </c>
      <c r="P1063" s="585">
        <f t="shared" si="174"/>
        <v>0.17453647968182387</v>
      </c>
      <c r="Q1063" s="585">
        <f t="shared" si="175"/>
        <v>9.4503662079973294E-2</v>
      </c>
      <c r="R1063" s="585">
        <f t="shared" si="176"/>
        <v>4.5100000000000001E-2</v>
      </c>
      <c r="S1063" s="586">
        <f t="shared" si="177"/>
        <v>4.9403662079973293E-2</v>
      </c>
      <c r="U1063" s="587"/>
      <c r="V1063" s="587"/>
      <c r="W1063" s="587"/>
      <c r="X1063" s="587"/>
      <c r="Y1063" s="587"/>
      <c r="Z1063" s="587"/>
      <c r="AA1063" s="587"/>
      <c r="AB1063" s="587"/>
      <c r="AC1063" s="587"/>
      <c r="AE1063" s="587"/>
      <c r="AF1063" s="587"/>
      <c r="AG1063" s="587"/>
      <c r="AH1063" s="587"/>
      <c r="AI1063" s="587"/>
      <c r="AJ1063" s="587"/>
      <c r="AK1063" s="587"/>
      <c r="AL1063" s="587"/>
      <c r="AM1063" s="587"/>
      <c r="AO1063" s="587"/>
      <c r="AP1063" s="587"/>
      <c r="AQ1063" s="587"/>
      <c r="AR1063" s="587"/>
      <c r="AS1063" s="587"/>
      <c r="AT1063" s="587"/>
      <c r="AU1063" s="587"/>
      <c r="AV1063" s="587"/>
      <c r="AW1063" s="587"/>
    </row>
    <row r="1064" spans="1:49">
      <c r="A1064" s="581">
        <v>41730</v>
      </c>
      <c r="B1064" s="577">
        <v>7.4000000000000003E-3</v>
      </c>
      <c r="C1064" s="577">
        <v>4.2599999999999999E-2</v>
      </c>
      <c r="D1064" s="577">
        <v>2.8E-3</v>
      </c>
      <c r="E1064" s="577">
        <v>3.5333333333333332E-3</v>
      </c>
      <c r="F1064" s="577">
        <v>3.6083333333333332E-3</v>
      </c>
      <c r="G1064" s="577">
        <v>3.570833333333333E-3</v>
      </c>
      <c r="H1064" s="594">
        <v>3.6749999999999999E-3</v>
      </c>
      <c r="I1064" s="577">
        <f t="shared" si="178"/>
        <v>4.5999999999999999E-3</v>
      </c>
      <c r="J1064" s="577">
        <f t="shared" si="182"/>
        <v>3.8291666666666673E-3</v>
      </c>
      <c r="K1064" s="577">
        <f t="shared" si="183"/>
        <v>3.8925000000000001E-2</v>
      </c>
      <c r="L1064" s="585">
        <f t="shared" si="179"/>
        <v>0.20440929032813648</v>
      </c>
      <c r="M1064" s="585">
        <f t="shared" si="180"/>
        <v>3.3599999999999998E-2</v>
      </c>
      <c r="N1064" s="585">
        <f t="shared" ref="N1064:N1132" si="184">G1064*12</f>
        <v>4.2849999999999999E-2</v>
      </c>
      <c r="O1064" s="586">
        <f t="shared" si="181"/>
        <v>0.17080929032813649</v>
      </c>
      <c r="P1064" s="585">
        <f t="shared" ref="P1064:P1127" si="185">L1064-N1064</f>
        <v>0.16155929032813648</v>
      </c>
      <c r="Q1064" s="585">
        <f t="shared" ref="Q1064:Q1127" si="186">((1+C1053)*(1+C1054)*(1+C1055)*(1+C1056)*(1+C1057)*(1+C1058)*(1+C1059)*(1+C1060)*(1+C1061)*(1+C1062)*(1+C1063)*(1+C1064))-1</f>
        <v>7.755384143964128E-2</v>
      </c>
      <c r="R1064" s="585">
        <f t="shared" ref="R1064:R1132" si="187">H1064*12</f>
        <v>4.41E-2</v>
      </c>
      <c r="S1064" s="586">
        <f t="shared" ref="S1064:S1127" si="188">Q1064-R1064</f>
        <v>3.345384143964128E-2</v>
      </c>
      <c r="U1064" s="587"/>
      <c r="V1064" s="587"/>
      <c r="W1064" s="587"/>
      <c r="X1064" s="587"/>
      <c r="Y1064" s="587"/>
      <c r="Z1064" s="587"/>
      <c r="AA1064" s="587"/>
      <c r="AB1064" s="587"/>
      <c r="AC1064" s="587"/>
      <c r="AE1064" s="587"/>
      <c r="AF1064" s="587"/>
      <c r="AG1064" s="587"/>
      <c r="AH1064" s="587"/>
      <c r="AI1064" s="587"/>
      <c r="AJ1064" s="587"/>
      <c r="AK1064" s="587"/>
      <c r="AL1064" s="587"/>
      <c r="AM1064" s="587"/>
      <c r="AO1064" s="587"/>
      <c r="AP1064" s="587"/>
      <c r="AQ1064" s="587"/>
      <c r="AR1064" s="587"/>
      <c r="AS1064" s="587"/>
      <c r="AT1064" s="587"/>
      <c r="AU1064" s="587"/>
      <c r="AV1064" s="587"/>
      <c r="AW1064" s="587"/>
    </row>
    <row r="1065" spans="1:49">
      <c r="A1065" s="597">
        <v>41760</v>
      </c>
      <c r="B1065" s="577">
        <v>2.35E-2</v>
      </c>
      <c r="C1065" s="577">
        <v>-1.0500000000000001E-2</v>
      </c>
      <c r="D1065" s="577">
        <v>2.8E-3</v>
      </c>
      <c r="E1065" s="577">
        <v>3.4666666666666665E-3</v>
      </c>
      <c r="F1065" s="577">
        <v>3.5000000000000001E-3</v>
      </c>
      <c r="G1065" s="577">
        <v>3.4833333333333331E-3</v>
      </c>
      <c r="H1065" s="594">
        <v>3.5499999999999998E-3</v>
      </c>
      <c r="I1065" s="577">
        <f t="shared" si="178"/>
        <v>2.07E-2</v>
      </c>
      <c r="J1065" s="577">
        <f t="shared" si="182"/>
        <v>2.0016666666666669E-2</v>
      </c>
      <c r="K1065" s="577">
        <f t="shared" si="183"/>
        <v>-1.405E-2</v>
      </c>
      <c r="L1065" s="585">
        <f t="shared" si="179"/>
        <v>0.20452697738015191</v>
      </c>
      <c r="M1065" s="585">
        <f t="shared" si="180"/>
        <v>3.3599999999999998E-2</v>
      </c>
      <c r="N1065" s="585">
        <f t="shared" si="184"/>
        <v>4.1799999999999997E-2</v>
      </c>
      <c r="O1065" s="586">
        <f t="shared" si="181"/>
        <v>0.17092697738015192</v>
      </c>
      <c r="P1065" s="585">
        <f t="shared" si="185"/>
        <v>0.1627269773801519</v>
      </c>
      <c r="Q1065" s="585">
        <f t="shared" si="186"/>
        <v>0.171176983858222</v>
      </c>
      <c r="R1065" s="585">
        <f t="shared" si="187"/>
        <v>4.2599999999999999E-2</v>
      </c>
      <c r="S1065" s="586">
        <f t="shared" si="188"/>
        <v>0.128576983858222</v>
      </c>
      <c r="U1065" s="587"/>
      <c r="V1065" s="587"/>
      <c r="W1065" s="587"/>
      <c r="X1065" s="587"/>
      <c r="Y1065" s="587"/>
      <c r="Z1065" s="587"/>
      <c r="AA1065" s="587"/>
      <c r="AB1065" s="587"/>
      <c r="AC1065" s="587"/>
      <c r="AE1065" s="587"/>
      <c r="AF1065" s="587"/>
      <c r="AG1065" s="587"/>
      <c r="AH1065" s="587"/>
      <c r="AI1065" s="587"/>
      <c r="AJ1065" s="587"/>
      <c r="AK1065" s="587"/>
      <c r="AL1065" s="587"/>
      <c r="AM1065" s="587"/>
      <c r="AO1065" s="587"/>
      <c r="AP1065" s="587"/>
      <c r="AQ1065" s="587"/>
      <c r="AR1065" s="587"/>
      <c r="AS1065" s="587"/>
      <c r="AT1065" s="587"/>
      <c r="AU1065" s="587"/>
      <c r="AV1065" s="587"/>
      <c r="AW1065" s="587"/>
    </row>
    <row r="1066" spans="1:49">
      <c r="A1066" s="597">
        <v>41791</v>
      </c>
      <c r="B1066" s="577">
        <v>2.07E-2</v>
      </c>
      <c r="C1066" s="577">
        <v>4.48E-2</v>
      </c>
      <c r="D1066" s="577">
        <v>2.5000000000000001E-3</v>
      </c>
      <c r="E1066" s="577">
        <v>3.5416666666666669E-3</v>
      </c>
      <c r="F1066" s="577">
        <v>3.5499999999999998E-3</v>
      </c>
      <c r="G1066" s="577">
        <v>3.5458333333333331E-3</v>
      </c>
      <c r="H1066" s="594">
        <v>3.5750000000000001E-3</v>
      </c>
      <c r="I1066" s="577">
        <f t="shared" si="178"/>
        <v>1.8200000000000001E-2</v>
      </c>
      <c r="J1066" s="577">
        <f t="shared" si="182"/>
        <v>1.7154166666666665E-2</v>
      </c>
      <c r="K1066" s="577">
        <f t="shared" si="183"/>
        <v>4.1224999999999998E-2</v>
      </c>
      <c r="L1066" s="585">
        <f t="shared" si="179"/>
        <v>0.24615921935122764</v>
      </c>
      <c r="M1066" s="585">
        <f t="shared" si="180"/>
        <v>0.03</v>
      </c>
      <c r="N1066" s="585">
        <f t="shared" si="184"/>
        <v>4.2549999999999998E-2</v>
      </c>
      <c r="O1066" s="586">
        <f t="shared" si="181"/>
        <v>0.21615921935122764</v>
      </c>
      <c r="P1066" s="585">
        <f t="shared" si="185"/>
        <v>0.20360921935122764</v>
      </c>
      <c r="Q1066" s="585">
        <f t="shared" si="186"/>
        <v>0.20985338415569554</v>
      </c>
      <c r="R1066" s="585">
        <f t="shared" si="187"/>
        <v>4.2900000000000001E-2</v>
      </c>
      <c r="S1066" s="586">
        <f t="shared" si="188"/>
        <v>0.16695338415569555</v>
      </c>
      <c r="U1066" s="587"/>
      <c r="V1066" s="587"/>
      <c r="W1066" s="587"/>
      <c r="X1066" s="587"/>
      <c r="Y1066" s="587"/>
      <c r="Z1066" s="587"/>
      <c r="AA1066" s="587"/>
      <c r="AB1066" s="587"/>
      <c r="AC1066" s="587"/>
      <c r="AE1066" s="587"/>
      <c r="AF1066" s="587"/>
      <c r="AG1066" s="587"/>
      <c r="AH1066" s="587"/>
      <c r="AI1066" s="587"/>
      <c r="AJ1066" s="587"/>
      <c r="AK1066" s="587"/>
      <c r="AL1066" s="587"/>
      <c r="AM1066" s="587"/>
      <c r="AO1066" s="587"/>
      <c r="AP1066" s="587"/>
      <c r="AQ1066" s="587"/>
      <c r="AR1066" s="587"/>
      <c r="AS1066" s="587"/>
      <c r="AT1066" s="587"/>
      <c r="AU1066" s="587"/>
      <c r="AV1066" s="587"/>
      <c r="AW1066" s="587"/>
    </row>
    <row r="1067" spans="1:49">
      <c r="A1067" s="597">
        <v>41821</v>
      </c>
      <c r="B1067" s="577">
        <v>-1.38E-2</v>
      </c>
      <c r="C1067" s="577">
        <v>-6.8000000000000005E-2</v>
      </c>
      <c r="D1067" s="577">
        <v>2.7000000000000001E-3</v>
      </c>
      <c r="E1067" s="577">
        <v>3.4666666666666665E-3</v>
      </c>
      <c r="F1067" s="577">
        <v>3.5000000000000001E-3</v>
      </c>
      <c r="G1067" s="577">
        <v>3.4833333333333331E-3</v>
      </c>
      <c r="H1067" s="594">
        <v>3.5249999999999999E-3</v>
      </c>
      <c r="I1067" s="577">
        <f t="shared" si="178"/>
        <v>-1.6500000000000001E-2</v>
      </c>
      <c r="J1067" s="577">
        <f t="shared" si="182"/>
        <v>-1.7283333333333331E-2</v>
      </c>
      <c r="K1067" s="577">
        <f t="shared" si="183"/>
        <v>-7.1525000000000005E-2</v>
      </c>
      <c r="L1067" s="585">
        <f t="shared" si="179"/>
        <v>0.16943783625861708</v>
      </c>
      <c r="M1067" s="585">
        <f t="shared" si="180"/>
        <v>3.2399999999999998E-2</v>
      </c>
      <c r="N1067" s="585">
        <f t="shared" si="184"/>
        <v>4.1799999999999997E-2</v>
      </c>
      <c r="O1067" s="586">
        <f t="shared" si="181"/>
        <v>0.1370378362586171</v>
      </c>
      <c r="P1067" s="585">
        <f t="shared" si="185"/>
        <v>0.12763783625861708</v>
      </c>
      <c r="Q1067" s="585">
        <f t="shared" si="186"/>
        <v>8.5780793483974938E-2</v>
      </c>
      <c r="R1067" s="585">
        <f t="shared" si="187"/>
        <v>4.2299999999999997E-2</v>
      </c>
      <c r="S1067" s="586">
        <f t="shared" si="188"/>
        <v>4.348079348397494E-2</v>
      </c>
      <c r="U1067" s="587"/>
      <c r="V1067" s="587"/>
      <c r="W1067" s="587"/>
      <c r="X1067" s="587"/>
      <c r="Y1067" s="587"/>
      <c r="Z1067" s="587"/>
      <c r="AA1067" s="587"/>
      <c r="AB1067" s="587"/>
      <c r="AC1067" s="587"/>
      <c r="AE1067" s="587"/>
      <c r="AF1067" s="587"/>
      <c r="AG1067" s="587"/>
      <c r="AH1067" s="587"/>
      <c r="AI1067" s="587"/>
      <c r="AJ1067" s="587"/>
      <c r="AK1067" s="587"/>
      <c r="AL1067" s="587"/>
      <c r="AM1067" s="587"/>
      <c r="AO1067" s="587"/>
      <c r="AP1067" s="587"/>
      <c r="AQ1067" s="587"/>
      <c r="AR1067" s="587"/>
      <c r="AS1067" s="587"/>
      <c r="AT1067" s="587"/>
      <c r="AU1067" s="587"/>
      <c r="AV1067" s="587"/>
      <c r="AW1067" s="587"/>
    </row>
    <row r="1068" spans="1:49">
      <c r="A1068" s="597">
        <v>41852</v>
      </c>
      <c r="B1068" s="577">
        <v>0.04</v>
      </c>
      <c r="C1068" s="577">
        <v>4.9500000000000002E-2</v>
      </c>
      <c r="D1068" s="577">
        <v>2.5999999999999999E-3</v>
      </c>
      <c r="E1068" s="577">
        <v>3.4000000000000002E-3</v>
      </c>
      <c r="F1068" s="577">
        <v>3.4166666666666668E-3</v>
      </c>
      <c r="G1068" s="577">
        <v>3.4083333333333335E-3</v>
      </c>
      <c r="H1068" s="594">
        <v>3.4416666666666671E-3</v>
      </c>
      <c r="I1068" s="577">
        <f t="shared" si="178"/>
        <v>3.7400000000000003E-2</v>
      </c>
      <c r="J1068" s="577">
        <f t="shared" si="182"/>
        <v>3.6591666666666668E-2</v>
      </c>
      <c r="K1068" s="577">
        <f t="shared" si="183"/>
        <v>4.6058333333333333E-2</v>
      </c>
      <c r="L1068" s="585">
        <f t="shared" si="179"/>
        <v>0.25253898013281373</v>
      </c>
      <c r="M1068" s="585">
        <f t="shared" si="180"/>
        <v>3.1199999999999999E-2</v>
      </c>
      <c r="N1068" s="585">
        <f t="shared" si="184"/>
        <v>4.0900000000000006E-2</v>
      </c>
      <c r="O1068" s="586">
        <f t="shared" si="181"/>
        <v>0.22133898013281372</v>
      </c>
      <c r="P1068" s="585">
        <f t="shared" si="185"/>
        <v>0.21163898013281374</v>
      </c>
      <c r="Q1068" s="585">
        <f t="shared" si="186"/>
        <v>0.1995020450120335</v>
      </c>
      <c r="R1068" s="585">
        <f t="shared" si="187"/>
        <v>4.1300000000000003E-2</v>
      </c>
      <c r="S1068" s="586">
        <f t="shared" si="188"/>
        <v>0.1582020450120335</v>
      </c>
      <c r="U1068" s="587"/>
      <c r="V1068" s="587"/>
      <c r="W1068" s="587"/>
      <c r="X1068" s="587"/>
      <c r="Y1068" s="587"/>
      <c r="Z1068" s="587"/>
      <c r="AA1068" s="587"/>
      <c r="AB1068" s="587"/>
      <c r="AC1068" s="587"/>
      <c r="AE1068" s="587"/>
      <c r="AF1068" s="587"/>
      <c r="AG1068" s="587"/>
      <c r="AH1068" s="587"/>
      <c r="AI1068" s="587"/>
      <c r="AJ1068" s="587"/>
      <c r="AK1068" s="587"/>
      <c r="AL1068" s="587"/>
      <c r="AM1068" s="587"/>
      <c r="AO1068" s="587"/>
      <c r="AP1068" s="587"/>
      <c r="AQ1068" s="587"/>
      <c r="AR1068" s="587"/>
      <c r="AS1068" s="587"/>
      <c r="AT1068" s="587"/>
      <c r="AU1068" s="587"/>
      <c r="AV1068" s="587"/>
      <c r="AW1068" s="587"/>
    </row>
    <row r="1069" spans="1:49" ht="14.4" thickBot="1">
      <c r="A1069" s="597">
        <v>41883</v>
      </c>
      <c r="B1069" s="577">
        <v>-1.4E-2</v>
      </c>
      <c r="C1069" s="577">
        <v>-1.8599999999999998E-2</v>
      </c>
      <c r="D1069" s="577">
        <v>2.3E-3</v>
      </c>
      <c r="E1069" s="577">
        <v>3.4249999999999997E-3</v>
      </c>
      <c r="F1069" s="577">
        <v>3.4916666666666668E-3</v>
      </c>
      <c r="G1069" s="577">
        <v>3.4583333333333332E-3</v>
      </c>
      <c r="H1069" s="594">
        <v>3.5333333333333332E-3</v>
      </c>
      <c r="I1069" s="577">
        <f t="shared" si="178"/>
        <v>-1.6300000000000002E-2</v>
      </c>
      <c r="J1069" s="577">
        <f t="shared" si="182"/>
        <v>-1.7458333333333333E-2</v>
      </c>
      <c r="K1069" s="577">
        <f t="shared" si="183"/>
        <v>-2.2133333333333331E-2</v>
      </c>
      <c r="L1069" s="585">
        <f t="shared" si="179"/>
        <v>0.19740491992529963</v>
      </c>
      <c r="M1069" s="585">
        <f t="shared" si="180"/>
        <v>2.76E-2</v>
      </c>
      <c r="N1069" s="585">
        <f t="shared" si="184"/>
        <v>4.1499999999999995E-2</v>
      </c>
      <c r="O1069" s="586">
        <f t="shared" si="181"/>
        <v>0.16980491992529961</v>
      </c>
      <c r="P1069" s="585">
        <f t="shared" si="185"/>
        <v>0.15590491992529965</v>
      </c>
      <c r="Q1069" s="585">
        <f t="shared" si="186"/>
        <v>0.16461348137594944</v>
      </c>
      <c r="R1069" s="585">
        <f t="shared" si="187"/>
        <v>4.24E-2</v>
      </c>
      <c r="S1069" s="586">
        <f t="shared" si="188"/>
        <v>0.12221348137594945</v>
      </c>
      <c r="U1069" s="587"/>
      <c r="V1069" s="587"/>
      <c r="W1069" s="587"/>
      <c r="X1069" s="587"/>
      <c r="Y1069" s="587"/>
      <c r="Z1069" s="587"/>
      <c r="AA1069" s="587"/>
      <c r="AB1069" s="587"/>
      <c r="AC1069" s="587"/>
      <c r="AE1069" s="598"/>
      <c r="AF1069" s="598"/>
      <c r="AG1069" s="598"/>
      <c r="AH1069" s="587"/>
      <c r="AI1069" s="587"/>
      <c r="AJ1069" s="587"/>
      <c r="AK1069" s="587"/>
      <c r="AL1069" s="587"/>
      <c r="AM1069" s="587"/>
      <c r="AO1069" s="598"/>
      <c r="AP1069" s="598"/>
      <c r="AQ1069" s="598"/>
      <c r="AR1069" s="587"/>
      <c r="AS1069" s="587"/>
      <c r="AT1069" s="587"/>
      <c r="AU1069" s="587"/>
      <c r="AV1069" s="587"/>
      <c r="AW1069" s="587"/>
    </row>
    <row r="1070" spans="1:49">
      <c r="A1070" s="597">
        <v>41913</v>
      </c>
      <c r="B1070" s="577">
        <v>2.4400000000000002E-2</v>
      </c>
      <c r="C1070" s="577">
        <v>8.0199999999999994E-2</v>
      </c>
      <c r="D1070" s="577">
        <v>2.5000000000000001E-3</v>
      </c>
      <c r="E1070" s="577">
        <v>3.2666666666666664E-3</v>
      </c>
      <c r="F1070" s="577">
        <v>3.3249999999999998E-3</v>
      </c>
      <c r="G1070" s="577">
        <v>3.2958333333333329E-3</v>
      </c>
      <c r="H1070" s="594">
        <v>3.3833333333333332E-3</v>
      </c>
      <c r="I1070" s="577">
        <f t="shared" si="178"/>
        <v>2.1900000000000003E-2</v>
      </c>
      <c r="J1070" s="577">
        <f t="shared" si="182"/>
        <v>2.1104166666666667E-2</v>
      </c>
      <c r="K1070" s="577">
        <f t="shared" si="183"/>
        <v>7.6816666666666658E-2</v>
      </c>
      <c r="L1070" s="585">
        <f t="shared" si="179"/>
        <v>0.17267839385418404</v>
      </c>
      <c r="M1070" s="585">
        <f t="shared" si="180"/>
        <v>0.03</v>
      </c>
      <c r="N1070" s="585">
        <f t="shared" si="184"/>
        <v>3.9549999999999995E-2</v>
      </c>
      <c r="O1070" s="586">
        <f t="shared" si="181"/>
        <v>0.14267839385418404</v>
      </c>
      <c r="P1070" s="585">
        <f t="shared" si="185"/>
        <v>0.13312839385418404</v>
      </c>
      <c r="Q1070" s="585">
        <f t="shared" si="186"/>
        <v>0.21231134488031334</v>
      </c>
      <c r="R1070" s="585">
        <f t="shared" si="187"/>
        <v>4.0599999999999997E-2</v>
      </c>
      <c r="S1070" s="586">
        <f t="shared" si="188"/>
        <v>0.17171134488031334</v>
      </c>
      <c r="U1070" s="587"/>
      <c r="V1070" s="587"/>
      <c r="W1070" s="587"/>
      <c r="X1070" s="587"/>
      <c r="Y1070" s="587"/>
      <c r="Z1070" s="587"/>
      <c r="AA1070" s="587"/>
      <c r="AB1070" s="587"/>
      <c r="AC1070" s="587"/>
    </row>
    <row r="1071" spans="1:49">
      <c r="A1071" s="597">
        <v>41944</v>
      </c>
      <c r="B1071" s="577">
        <v>2.69E-2</v>
      </c>
      <c r="C1071" s="577">
        <v>1.2E-2</v>
      </c>
      <c r="D1071" s="577">
        <v>2.3E-3</v>
      </c>
      <c r="E1071" s="577">
        <v>3.2666666666666664E-3</v>
      </c>
      <c r="F1071" s="577">
        <v>3.3666666666666667E-3</v>
      </c>
      <c r="G1071" s="577">
        <v>3.3166666666666665E-3</v>
      </c>
      <c r="H1071" s="594">
        <v>3.4083333333333331E-3</v>
      </c>
      <c r="I1071" s="577">
        <f t="shared" si="178"/>
        <v>2.46E-2</v>
      </c>
      <c r="J1071" s="577">
        <f t="shared" si="182"/>
        <v>2.3583333333333335E-2</v>
      </c>
      <c r="K1071" s="577">
        <f t="shared" si="183"/>
        <v>8.5916666666666676E-3</v>
      </c>
      <c r="L1071" s="585">
        <f t="shared" si="179"/>
        <v>0.1685817007752175</v>
      </c>
      <c r="M1071" s="585">
        <f t="shared" si="180"/>
        <v>2.76E-2</v>
      </c>
      <c r="N1071" s="585">
        <f t="shared" si="184"/>
        <v>3.9800000000000002E-2</v>
      </c>
      <c r="O1071" s="586">
        <f t="shared" si="181"/>
        <v>0.14098170077521749</v>
      </c>
      <c r="P1071" s="585">
        <f t="shared" si="185"/>
        <v>0.1287817007752175</v>
      </c>
      <c r="Q1071" s="585">
        <f t="shared" si="186"/>
        <v>0.25176928988764069</v>
      </c>
      <c r="R1071" s="585">
        <f t="shared" si="187"/>
        <v>4.0899999999999999E-2</v>
      </c>
      <c r="S1071" s="586">
        <f t="shared" si="188"/>
        <v>0.2108692898876407</v>
      </c>
      <c r="U1071" s="587"/>
      <c r="V1071" s="587"/>
      <c r="W1071" s="587"/>
      <c r="X1071" s="587"/>
      <c r="Y1071" s="587"/>
      <c r="Z1071" s="587"/>
      <c r="AA1071" s="587"/>
      <c r="AB1071" s="587"/>
      <c r="AC1071" s="587"/>
    </row>
    <row r="1072" spans="1:49">
      <c r="A1072" s="597">
        <v>41974</v>
      </c>
      <c r="B1072" s="577">
        <v>-2.5000000000000001E-3</v>
      </c>
      <c r="C1072" s="577">
        <v>3.5000000000000003E-2</v>
      </c>
      <c r="D1072" s="577">
        <v>2.2000000000000001E-3</v>
      </c>
      <c r="E1072" s="577">
        <v>3.1583333333333337E-3</v>
      </c>
      <c r="F1072" s="577">
        <v>3.2416666666666666E-3</v>
      </c>
      <c r="G1072" s="577">
        <v>3.2000000000000002E-3</v>
      </c>
      <c r="H1072" s="594">
        <v>3.2916666666666667E-3</v>
      </c>
      <c r="I1072" s="577">
        <f t="shared" si="178"/>
        <v>-4.7000000000000002E-3</v>
      </c>
      <c r="J1072" s="577">
        <f t="shared" si="182"/>
        <v>-5.7000000000000002E-3</v>
      </c>
      <c r="K1072" s="577">
        <f t="shared" si="183"/>
        <v>3.1708333333333338E-2</v>
      </c>
      <c r="L1072" s="585">
        <f t="shared" si="179"/>
        <v>0.1368967585324099</v>
      </c>
      <c r="M1072" s="585">
        <f t="shared" si="180"/>
        <v>2.64E-2</v>
      </c>
      <c r="N1072" s="585">
        <f t="shared" si="184"/>
        <v>3.8400000000000004E-2</v>
      </c>
      <c r="O1072" s="586">
        <f t="shared" si="181"/>
        <v>0.11049675853240989</v>
      </c>
      <c r="P1072" s="585">
        <f t="shared" si="185"/>
        <v>9.8496758532409898E-2</v>
      </c>
      <c r="Q1072" s="585">
        <f t="shared" si="186"/>
        <v>0.28580906613111168</v>
      </c>
      <c r="R1072" s="585">
        <f t="shared" si="187"/>
        <v>3.95E-2</v>
      </c>
      <c r="S1072" s="586">
        <f t="shared" si="188"/>
        <v>0.24630906613111167</v>
      </c>
      <c r="U1072" s="587"/>
      <c r="V1072" s="587"/>
      <c r="W1072" s="587"/>
      <c r="X1072" s="587"/>
      <c r="Y1072" s="587"/>
      <c r="Z1072" s="587"/>
      <c r="AA1072" s="587"/>
      <c r="AB1072" s="587"/>
      <c r="AC1072" s="587"/>
    </row>
    <row r="1073" spans="1:29">
      <c r="A1073" s="597">
        <v>42005</v>
      </c>
      <c r="B1073" s="577">
        <v>-0.03</v>
      </c>
      <c r="C1073" s="577">
        <v>2.3300000000000001E-2</v>
      </c>
      <c r="D1073" s="577">
        <v>2E-3</v>
      </c>
      <c r="E1073" s="577">
        <v>2.8833333333333332E-3</v>
      </c>
      <c r="F1073" s="577">
        <v>2.9499999999999999E-3</v>
      </c>
      <c r="G1073" s="577">
        <v>2.9166666666666664E-3</v>
      </c>
      <c r="H1073" s="594">
        <v>2.9833333333333331E-3</v>
      </c>
      <c r="I1073" s="577">
        <f t="shared" si="178"/>
        <v>-3.2000000000000001E-2</v>
      </c>
      <c r="J1073" s="577">
        <f t="shared" si="182"/>
        <v>-3.2916666666666664E-2</v>
      </c>
      <c r="K1073" s="577">
        <f t="shared" si="183"/>
        <v>2.0316666666666667E-2</v>
      </c>
      <c r="L1073" s="585">
        <f t="shared" si="179"/>
        <v>0.14231391731555543</v>
      </c>
      <c r="M1073" s="585">
        <f t="shared" si="180"/>
        <v>2.4E-2</v>
      </c>
      <c r="N1073" s="585">
        <f t="shared" si="184"/>
        <v>3.4999999999999996E-2</v>
      </c>
      <c r="O1073" s="586">
        <f t="shared" si="181"/>
        <v>0.11831391731555543</v>
      </c>
      <c r="P1073" s="585">
        <f t="shared" si="185"/>
        <v>0.10731391731555542</v>
      </c>
      <c r="Q1073" s="585">
        <f t="shared" si="186"/>
        <v>0.27980587235868715</v>
      </c>
      <c r="R1073" s="585">
        <f t="shared" si="187"/>
        <v>3.5799999999999998E-2</v>
      </c>
      <c r="S1073" s="586">
        <f t="shared" si="188"/>
        <v>0.24400587235868715</v>
      </c>
      <c r="U1073" s="587"/>
      <c r="V1073" s="587"/>
      <c r="W1073" s="587"/>
      <c r="X1073" s="587"/>
      <c r="Y1073" s="587"/>
      <c r="Z1073" s="587"/>
      <c r="AA1073" s="587"/>
      <c r="AB1073" s="587"/>
      <c r="AC1073" s="587"/>
    </row>
    <row r="1074" spans="1:29">
      <c r="A1074" s="597">
        <v>42036</v>
      </c>
      <c r="B1074" s="577">
        <v>5.7500000000000002E-2</v>
      </c>
      <c r="C1074" s="577">
        <v>-6.3299999999999995E-2</v>
      </c>
      <c r="D1074" s="577">
        <v>1.5E-3</v>
      </c>
      <c r="E1074" s="577">
        <v>3.0083333333333333E-3</v>
      </c>
      <c r="F1074" s="577">
        <v>3.0333333333333336E-3</v>
      </c>
      <c r="G1074" s="577">
        <v>3.0208333333333337E-3</v>
      </c>
      <c r="H1074" s="594">
        <v>3.0583333333333335E-3</v>
      </c>
      <c r="I1074" s="577">
        <f t="shared" si="178"/>
        <v>5.6000000000000001E-2</v>
      </c>
      <c r="J1074" s="577">
        <f t="shared" si="182"/>
        <v>5.4479166666666669E-2</v>
      </c>
      <c r="K1074" s="577">
        <f t="shared" si="183"/>
        <v>-6.6358333333333325E-2</v>
      </c>
      <c r="L1074" s="585">
        <f t="shared" si="179"/>
        <v>0.15520413843473224</v>
      </c>
      <c r="M1074" s="585">
        <f t="shared" si="180"/>
        <v>1.8000000000000002E-2</v>
      </c>
      <c r="N1074" s="585">
        <f t="shared" si="184"/>
        <v>3.6250000000000004E-2</v>
      </c>
      <c r="O1074" s="586">
        <f t="shared" si="181"/>
        <v>0.13720413843473223</v>
      </c>
      <c r="P1074" s="585">
        <f t="shared" si="185"/>
        <v>0.11895413843473224</v>
      </c>
      <c r="Q1074" s="585">
        <f t="shared" si="186"/>
        <v>0.15993629476379545</v>
      </c>
      <c r="R1074" s="585">
        <f t="shared" si="187"/>
        <v>3.6700000000000003E-2</v>
      </c>
      <c r="S1074" s="586">
        <f t="shared" si="188"/>
        <v>0.12323629476379544</v>
      </c>
      <c r="U1074" s="587"/>
      <c r="V1074" s="587"/>
      <c r="W1074" s="587"/>
      <c r="X1074" s="587"/>
      <c r="Y1074" s="587"/>
      <c r="Z1074" s="587"/>
      <c r="AA1074" s="587"/>
      <c r="AB1074" s="587"/>
      <c r="AC1074" s="587"/>
    </row>
    <row r="1075" spans="1:29">
      <c r="A1075" s="597">
        <v>42064</v>
      </c>
      <c r="B1075" s="577">
        <v>-1.5800000000000002E-2</v>
      </c>
      <c r="C1075" s="577">
        <v>-4.8999999999999998E-3</v>
      </c>
      <c r="D1075" s="577">
        <v>2.0999999999999999E-3</v>
      </c>
      <c r="E1075" s="577">
        <v>3.0333333333333336E-3</v>
      </c>
      <c r="F1075" s="577">
        <v>3.0833333333333333E-3</v>
      </c>
      <c r="G1075" s="577">
        <v>3.0583333333333335E-3</v>
      </c>
      <c r="H1075" s="594">
        <v>3.1166666666666669E-3</v>
      </c>
      <c r="I1075" s="577">
        <f t="shared" si="178"/>
        <v>-1.7900000000000003E-2</v>
      </c>
      <c r="J1075" s="577">
        <f t="shared" si="182"/>
        <v>-1.8858333333333335E-2</v>
      </c>
      <c r="K1075" s="577">
        <f t="shared" si="183"/>
        <v>-8.0166666666666667E-3</v>
      </c>
      <c r="L1075" s="585">
        <f t="shared" si="179"/>
        <v>0.1274810720423083</v>
      </c>
      <c r="M1075" s="585">
        <f t="shared" si="180"/>
        <v>2.52E-2</v>
      </c>
      <c r="N1075" s="585">
        <f t="shared" si="184"/>
        <v>3.6700000000000003E-2</v>
      </c>
      <c r="O1075" s="586">
        <f t="shared" si="181"/>
        <v>0.1022810720423083</v>
      </c>
      <c r="P1075" s="585">
        <f t="shared" si="185"/>
        <v>9.0781072042308286E-2</v>
      </c>
      <c r="Q1075" s="585">
        <f t="shared" si="186"/>
        <v>0.11662243099492398</v>
      </c>
      <c r="R1075" s="585">
        <f t="shared" si="187"/>
        <v>3.7400000000000003E-2</v>
      </c>
      <c r="S1075" s="586">
        <f t="shared" si="188"/>
        <v>7.9222430994923973E-2</v>
      </c>
      <c r="U1075" s="587"/>
      <c r="V1075" s="587"/>
      <c r="W1075" s="587"/>
      <c r="X1075" s="587"/>
      <c r="Y1075" s="587"/>
      <c r="Z1075" s="587"/>
      <c r="AA1075" s="587"/>
      <c r="AB1075" s="587"/>
      <c r="AC1075" s="587"/>
    </row>
    <row r="1076" spans="1:29">
      <c r="A1076" s="597">
        <v>42095</v>
      </c>
      <c r="B1076" s="577">
        <v>9.5999999999999992E-3</v>
      </c>
      <c r="C1076" s="577">
        <v>-1.29E-2</v>
      </c>
      <c r="D1076" s="577">
        <v>1.9E-3</v>
      </c>
      <c r="E1076" s="577">
        <v>2.9333333333333334E-3</v>
      </c>
      <c r="F1076" s="577">
        <v>3.0333333333333336E-3</v>
      </c>
      <c r="G1076" s="577">
        <v>2.9833333333333335E-3</v>
      </c>
      <c r="H1076" s="577">
        <v>3.1249999999999997E-3</v>
      </c>
      <c r="I1076" s="577">
        <f t="shared" si="178"/>
        <v>7.6999999999999994E-3</v>
      </c>
      <c r="J1076" s="577">
        <f t="shared" si="182"/>
        <v>6.6166666666666657E-3</v>
      </c>
      <c r="K1076" s="577">
        <f t="shared" si="183"/>
        <v>-1.6025000000000001E-2</v>
      </c>
      <c r="L1076" s="585">
        <f t="shared" si="179"/>
        <v>0.12994330984109048</v>
      </c>
      <c r="M1076" s="585">
        <f t="shared" si="180"/>
        <v>2.2800000000000001E-2</v>
      </c>
      <c r="N1076" s="585">
        <f t="shared" si="184"/>
        <v>3.5799999999999998E-2</v>
      </c>
      <c r="O1076" s="586">
        <f t="shared" si="181"/>
        <v>0.10714330984109048</v>
      </c>
      <c r="P1076" s="585">
        <f t="shared" si="185"/>
        <v>9.4143309841090483E-2</v>
      </c>
      <c r="Q1076" s="585">
        <f t="shared" si="186"/>
        <v>5.718204645606062E-2</v>
      </c>
      <c r="R1076" s="585">
        <f t="shared" si="187"/>
        <v>3.7499999999999999E-2</v>
      </c>
      <c r="S1076" s="586">
        <f t="shared" si="188"/>
        <v>1.9682046456060621E-2</v>
      </c>
      <c r="U1076" s="587"/>
      <c r="V1076" s="587"/>
      <c r="W1076" s="587"/>
      <c r="X1076" s="587"/>
      <c r="Y1076" s="587"/>
      <c r="Z1076" s="587"/>
      <c r="AA1076" s="587"/>
      <c r="AB1076" s="587"/>
      <c r="AC1076" s="587"/>
    </row>
    <row r="1077" spans="1:29">
      <c r="A1077" s="597">
        <v>42125</v>
      </c>
      <c r="B1077" s="577">
        <v>1.29E-2</v>
      </c>
      <c r="C1077" s="577">
        <v>6.4999999999999997E-3</v>
      </c>
      <c r="D1077" s="577">
        <v>2E-3</v>
      </c>
      <c r="E1077" s="577">
        <v>3.316666666666667E-3</v>
      </c>
      <c r="F1077" s="577">
        <v>3.4000000000000002E-3</v>
      </c>
      <c r="G1077" s="577">
        <v>3.3583333333333338E-3</v>
      </c>
      <c r="H1077" s="577">
        <v>3.4750000000000002E-3</v>
      </c>
      <c r="I1077" s="577">
        <f t="shared" si="178"/>
        <v>1.09E-2</v>
      </c>
      <c r="J1077" s="577">
        <f t="shared" si="182"/>
        <v>9.541666666666667E-3</v>
      </c>
      <c r="K1077" s="577">
        <f t="shared" si="183"/>
        <v>3.0249999999999995E-3</v>
      </c>
      <c r="L1077" s="585">
        <f t="shared" si="179"/>
        <v>0.11824091698880324</v>
      </c>
      <c r="M1077" s="585">
        <f t="shared" si="180"/>
        <v>2.4E-2</v>
      </c>
      <c r="N1077" s="585">
        <f t="shared" si="184"/>
        <v>4.0300000000000002E-2</v>
      </c>
      <c r="O1077" s="586">
        <f t="shared" si="181"/>
        <v>9.4240916988803242E-2</v>
      </c>
      <c r="P1077" s="585">
        <f t="shared" si="185"/>
        <v>7.7940916988803233E-2</v>
      </c>
      <c r="Q1077" s="585">
        <f t="shared" si="186"/>
        <v>7.5344850690273191E-2</v>
      </c>
      <c r="R1077" s="585">
        <f t="shared" si="187"/>
        <v>4.1700000000000001E-2</v>
      </c>
      <c r="S1077" s="586">
        <f t="shared" si="188"/>
        <v>3.364485069027319E-2</v>
      </c>
      <c r="U1077" s="587"/>
      <c r="V1077" s="587"/>
      <c r="W1077" s="587"/>
      <c r="X1077" s="587"/>
      <c r="Y1077" s="587"/>
      <c r="Z1077" s="587"/>
      <c r="AA1077" s="587"/>
      <c r="AB1077" s="587"/>
      <c r="AC1077" s="587"/>
    </row>
    <row r="1078" spans="1:29">
      <c r="A1078" s="597">
        <v>42156</v>
      </c>
      <c r="B1078" s="577">
        <v>-1.9400000000000001E-2</v>
      </c>
      <c r="C1078" s="599">
        <v>-0.06</v>
      </c>
      <c r="D1078" s="577">
        <v>2.3E-3</v>
      </c>
      <c r="E1078" s="577">
        <v>3.4916666666666668E-3</v>
      </c>
      <c r="F1078" s="577">
        <v>3.5583333333333326E-3</v>
      </c>
      <c r="G1078" s="577">
        <f t="shared" ref="G1078:G1141" si="189">AVERAGE(E1078:F1078)</f>
        <v>3.5249999999999995E-3</v>
      </c>
      <c r="H1078" s="577">
        <v>3.6583333333333329E-3</v>
      </c>
      <c r="I1078" s="577">
        <f t="shared" si="178"/>
        <v>-2.1700000000000001E-2</v>
      </c>
      <c r="J1078" s="577">
        <f t="shared" si="182"/>
        <v>-2.2925000000000001E-2</v>
      </c>
      <c r="K1078" s="577">
        <f t="shared" si="182"/>
        <v>-6.3658333333333331E-2</v>
      </c>
      <c r="L1078" s="585">
        <f t="shared" si="179"/>
        <v>7.4308850004135119E-2</v>
      </c>
      <c r="M1078" s="585">
        <f t="shared" si="180"/>
        <v>2.76E-2</v>
      </c>
      <c r="N1078" s="585">
        <f t="shared" si="184"/>
        <v>4.229999999999999E-2</v>
      </c>
      <c r="O1078" s="586">
        <f t="shared" si="181"/>
        <v>4.6708850004135119E-2</v>
      </c>
      <c r="P1078" s="585">
        <f t="shared" si="185"/>
        <v>3.2008850004135128E-2</v>
      </c>
      <c r="Q1078" s="585">
        <f t="shared" si="186"/>
        <v>-3.2518989616331595E-2</v>
      </c>
      <c r="R1078" s="585">
        <f t="shared" si="187"/>
        <v>4.3899999999999995E-2</v>
      </c>
      <c r="S1078" s="586">
        <f t="shared" si="188"/>
        <v>-7.641898961633159E-2</v>
      </c>
      <c r="U1078" s="587"/>
      <c r="V1078" s="587"/>
      <c r="W1078" s="587"/>
      <c r="X1078" s="587"/>
      <c r="Y1078" s="587"/>
      <c r="Z1078" s="587"/>
      <c r="AA1078" s="587"/>
      <c r="AB1078" s="587"/>
      <c r="AC1078" s="587"/>
    </row>
    <row r="1079" spans="1:29">
      <c r="A1079" s="597">
        <v>42186</v>
      </c>
      <c r="B1079" s="577">
        <v>2.1000000000000001E-2</v>
      </c>
      <c r="C1079" s="599">
        <v>4.8099999999999997E-2</v>
      </c>
      <c r="D1079" s="577">
        <v>2.3999999999999998E-3</v>
      </c>
      <c r="E1079" s="577">
        <v>3.4583333333333337E-3</v>
      </c>
      <c r="F1079" s="577">
        <v>3.5416666666666669E-3</v>
      </c>
      <c r="G1079" s="577">
        <f t="shared" si="189"/>
        <v>3.5000000000000005E-3</v>
      </c>
      <c r="H1079" s="577">
        <v>3.666666666666667E-3</v>
      </c>
      <c r="I1079" s="577">
        <f t="shared" si="178"/>
        <v>1.8600000000000002E-2</v>
      </c>
      <c r="J1079" s="577">
        <f t="shared" si="182"/>
        <v>1.7500000000000002E-2</v>
      </c>
      <c r="K1079" s="577">
        <f t="shared" si="182"/>
        <v>4.4433333333333332E-2</v>
      </c>
      <c r="L1079" s="585">
        <f t="shared" si="179"/>
        <v>0.11221794347416547</v>
      </c>
      <c r="M1079" s="585">
        <f t="shared" si="180"/>
        <v>2.8799999999999999E-2</v>
      </c>
      <c r="N1079" s="585">
        <f t="shared" si="184"/>
        <v>4.200000000000001E-2</v>
      </c>
      <c r="O1079" s="586">
        <f t="shared" si="181"/>
        <v>8.3417943474165479E-2</v>
      </c>
      <c r="P1079" s="585">
        <f t="shared" si="185"/>
        <v>7.0217943474165462E-2</v>
      </c>
      <c r="Q1079" s="585">
        <f t="shared" si="186"/>
        <v>8.8000908780174525E-2</v>
      </c>
      <c r="R1079" s="585">
        <f t="shared" si="187"/>
        <v>4.4000000000000004E-2</v>
      </c>
      <c r="S1079" s="586">
        <f t="shared" si="188"/>
        <v>4.4000908780174521E-2</v>
      </c>
      <c r="U1079" s="587"/>
      <c r="V1079" s="587"/>
      <c r="W1079" s="587"/>
      <c r="X1079" s="587"/>
      <c r="Y1079" s="587"/>
      <c r="Z1079" s="587"/>
      <c r="AA1079" s="587"/>
      <c r="AB1079" s="587"/>
      <c r="AC1079" s="587"/>
    </row>
    <row r="1080" spans="1:29">
      <c r="A1080" s="597">
        <v>42217</v>
      </c>
      <c r="B1080" s="577">
        <v>-6.0299999999999999E-2</v>
      </c>
      <c r="C1080" s="599">
        <v>-3.9699999999999999E-2</v>
      </c>
      <c r="D1080" s="577">
        <v>2.2000000000000001E-3</v>
      </c>
      <c r="E1080" s="577">
        <v>3.3666666666666667E-3</v>
      </c>
      <c r="F1080" s="577">
        <v>3.4416666666666667E-3</v>
      </c>
      <c r="G1080" s="577">
        <f t="shared" si="189"/>
        <v>3.4041666666666665E-3</v>
      </c>
      <c r="H1080" s="577">
        <v>3.5416666666666669E-3</v>
      </c>
      <c r="I1080" s="577">
        <f t="shared" si="178"/>
        <v>-6.25E-2</v>
      </c>
      <c r="J1080" s="577">
        <f t="shared" si="182"/>
        <v>-6.3704166666666673E-2</v>
      </c>
      <c r="K1080" s="577">
        <f t="shared" si="182"/>
        <v>-4.3241666666666664E-2</v>
      </c>
      <c r="L1080" s="585">
        <f t="shared" si="179"/>
        <v>4.9530783487243824E-3</v>
      </c>
      <c r="M1080" s="585">
        <f t="shared" si="180"/>
        <v>2.64E-2</v>
      </c>
      <c r="N1080" s="585">
        <f t="shared" si="184"/>
        <v>4.0849999999999997E-2</v>
      </c>
      <c r="O1080" s="586">
        <f t="shared" si="181"/>
        <v>-2.1446921651275618E-2</v>
      </c>
      <c r="P1080" s="585">
        <f t="shared" si="185"/>
        <v>-3.5896921651275615E-2</v>
      </c>
      <c r="Q1080" s="585">
        <f t="shared" si="186"/>
        <v>-4.4713933286305574E-3</v>
      </c>
      <c r="R1080" s="585">
        <f t="shared" si="187"/>
        <v>4.2500000000000003E-2</v>
      </c>
      <c r="S1080" s="586">
        <f t="shared" si="188"/>
        <v>-4.697139332863056E-2</v>
      </c>
      <c r="U1080" s="587"/>
      <c r="V1080" s="587"/>
      <c r="W1080" s="587"/>
      <c r="X1080" s="587"/>
      <c r="Y1080" s="587"/>
      <c r="Z1080" s="587"/>
      <c r="AA1080" s="587"/>
      <c r="AB1080" s="587"/>
      <c r="AC1080" s="587"/>
    </row>
    <row r="1081" spans="1:29">
      <c r="A1081" s="597">
        <v>42248</v>
      </c>
      <c r="B1081" s="577">
        <v>-2.47E-2</v>
      </c>
      <c r="C1081" s="599">
        <v>2.9000000000000001E-2</v>
      </c>
      <c r="D1081" s="577">
        <v>2.0999999999999999E-3</v>
      </c>
      <c r="E1081" s="577">
        <v>3.3916666666666665E-3</v>
      </c>
      <c r="F1081" s="577">
        <v>3.5083333333333334E-3</v>
      </c>
      <c r="G1081" s="577">
        <f t="shared" si="189"/>
        <v>3.4499999999999999E-3</v>
      </c>
      <c r="H1081" s="577">
        <v>3.6583333333333329E-3</v>
      </c>
      <c r="I1081" s="577">
        <f t="shared" si="178"/>
        <v>-2.6800000000000001E-2</v>
      </c>
      <c r="J1081" s="577">
        <f t="shared" si="182"/>
        <v>-2.8150000000000001E-2</v>
      </c>
      <c r="K1081" s="577">
        <f t="shared" si="182"/>
        <v>2.5341666666666669E-2</v>
      </c>
      <c r="L1081" s="585">
        <f t="shared" si="179"/>
        <v>-5.9525990735186385E-3</v>
      </c>
      <c r="M1081" s="585">
        <f t="shared" si="180"/>
        <v>2.52E-2</v>
      </c>
      <c r="N1081" s="585">
        <f t="shared" si="184"/>
        <v>4.1399999999999999E-2</v>
      </c>
      <c r="O1081" s="586">
        <f t="shared" si="181"/>
        <v>-3.1152599073518639E-2</v>
      </c>
      <c r="P1081" s="585">
        <f t="shared" si="185"/>
        <v>-4.7352599073518638E-2</v>
      </c>
      <c r="Q1081" s="585">
        <f t="shared" si="186"/>
        <v>4.3813874327326641E-2</v>
      </c>
      <c r="R1081" s="585">
        <f t="shared" si="187"/>
        <v>4.3899999999999995E-2</v>
      </c>
      <c r="S1081" s="586">
        <f t="shared" si="188"/>
        <v>-8.6125672673353915E-5</v>
      </c>
      <c r="U1081" s="587"/>
      <c r="V1081" s="587"/>
      <c r="W1081" s="587"/>
      <c r="X1081" s="587"/>
      <c r="Y1081" s="587"/>
      <c r="Z1081" s="587"/>
      <c r="AA1081" s="587"/>
      <c r="AB1081" s="587"/>
      <c r="AC1081" s="587"/>
    </row>
    <row r="1082" spans="1:29">
      <c r="A1082" s="597">
        <v>42278</v>
      </c>
      <c r="B1082" s="577">
        <v>8.4400000000000003E-2</v>
      </c>
      <c r="C1082" s="599">
        <v>1.0800000000000001E-2</v>
      </c>
      <c r="D1082" s="577">
        <v>2.0999999999999999E-3</v>
      </c>
      <c r="E1082" s="577">
        <v>3.2916666666666667E-3</v>
      </c>
      <c r="F1082" s="577">
        <v>3.4250000000000001E-3</v>
      </c>
      <c r="G1082" s="577">
        <f t="shared" si="189"/>
        <v>3.3583333333333334E-3</v>
      </c>
      <c r="H1082" s="577">
        <v>3.5750000000000001E-3</v>
      </c>
      <c r="I1082" s="577">
        <f t="shared" si="178"/>
        <v>8.2299999999999998E-2</v>
      </c>
      <c r="J1082" s="577">
        <f t="shared" si="182"/>
        <v>8.1041666666666665E-2</v>
      </c>
      <c r="K1082" s="577">
        <f t="shared" si="182"/>
        <v>7.2250000000000005E-3</v>
      </c>
      <c r="L1082" s="585">
        <f t="shared" si="179"/>
        <v>5.2269622769110624E-2</v>
      </c>
      <c r="M1082" s="585">
        <f t="shared" si="180"/>
        <v>2.52E-2</v>
      </c>
      <c r="N1082" s="585">
        <f t="shared" si="184"/>
        <v>4.0300000000000002E-2</v>
      </c>
      <c r="O1082" s="586">
        <f t="shared" si="181"/>
        <v>2.7069622769110624E-2</v>
      </c>
      <c r="P1082" s="585">
        <f t="shared" si="185"/>
        <v>1.1969622769110622E-2</v>
      </c>
      <c r="Q1082" s="585">
        <f t="shared" si="186"/>
        <v>-2.3248413099368648E-2</v>
      </c>
      <c r="R1082" s="585">
        <f t="shared" si="187"/>
        <v>4.2900000000000001E-2</v>
      </c>
      <c r="S1082" s="586">
        <f t="shared" si="188"/>
        <v>-6.6148413099368641E-2</v>
      </c>
      <c r="U1082" s="587"/>
      <c r="V1082" s="587"/>
      <c r="W1082" s="587"/>
      <c r="X1082" s="587"/>
      <c r="Y1082" s="587"/>
      <c r="Z1082" s="587"/>
      <c r="AA1082" s="587"/>
      <c r="AB1082" s="587"/>
      <c r="AC1082" s="587"/>
    </row>
    <row r="1083" spans="1:29">
      <c r="A1083" s="597">
        <v>42309</v>
      </c>
      <c r="B1083" s="577">
        <v>3.0000000000000001E-3</v>
      </c>
      <c r="C1083" s="599">
        <v>-2.1299999999999999E-2</v>
      </c>
      <c r="D1083" s="577">
        <v>2.2000000000000001E-3</v>
      </c>
      <c r="E1083" s="577">
        <v>3.3833333333333332E-3</v>
      </c>
      <c r="F1083" s="577">
        <v>3.5083333333333334E-3</v>
      </c>
      <c r="G1083" s="577">
        <f t="shared" si="189"/>
        <v>3.4458333333333333E-3</v>
      </c>
      <c r="H1083" s="577">
        <v>3.666666666666667E-3</v>
      </c>
      <c r="I1083" s="577">
        <f t="shared" si="178"/>
        <v>7.9999999999999993E-4</v>
      </c>
      <c r="J1083" s="577">
        <f t="shared" si="182"/>
        <v>-4.4583333333333324E-4</v>
      </c>
      <c r="K1083" s="577">
        <f t="shared" si="182"/>
        <v>-2.4966666666666665E-2</v>
      </c>
      <c r="L1083" s="585">
        <f t="shared" si="179"/>
        <v>2.7779171912958756E-2</v>
      </c>
      <c r="M1083" s="585">
        <f t="shared" si="180"/>
        <v>2.64E-2</v>
      </c>
      <c r="N1083" s="585">
        <f t="shared" si="184"/>
        <v>4.1349999999999998E-2</v>
      </c>
      <c r="O1083" s="586">
        <f t="shared" si="181"/>
        <v>1.3791719129587557E-3</v>
      </c>
      <c r="P1083" s="585">
        <f t="shared" si="185"/>
        <v>-1.3570828087041242E-2</v>
      </c>
      <c r="Q1083" s="585">
        <f t="shared" si="186"/>
        <v>-5.538855919007124E-2</v>
      </c>
      <c r="R1083" s="585">
        <f t="shared" si="187"/>
        <v>4.4000000000000004E-2</v>
      </c>
      <c r="S1083" s="586">
        <f t="shared" si="188"/>
        <v>-9.9388559190071252E-2</v>
      </c>
      <c r="U1083" s="587"/>
      <c r="V1083" s="587"/>
      <c r="W1083" s="587"/>
      <c r="X1083" s="587"/>
      <c r="Y1083" s="587"/>
      <c r="Z1083" s="587"/>
      <c r="AA1083" s="587"/>
      <c r="AB1083" s="587"/>
      <c r="AC1083" s="587"/>
    </row>
    <row r="1084" spans="1:29">
      <c r="A1084" s="597">
        <v>42339</v>
      </c>
      <c r="B1084" s="577">
        <v>-1.5800000000000002E-2</v>
      </c>
      <c r="C1084" s="599">
        <v>2.1600000000000001E-2</v>
      </c>
      <c r="D1084" s="577">
        <v>2.2000000000000001E-3</v>
      </c>
      <c r="E1084" s="577">
        <v>3.3083333333333333E-3</v>
      </c>
      <c r="F1084" s="577">
        <v>3.4666666666666669E-3</v>
      </c>
      <c r="G1084" s="577">
        <f t="shared" si="189"/>
        <v>3.3874999999999999E-3</v>
      </c>
      <c r="H1084" s="577">
        <v>3.6249999999999998E-3</v>
      </c>
      <c r="I1084" s="577">
        <f t="shared" si="178"/>
        <v>-1.8000000000000002E-2</v>
      </c>
      <c r="J1084" s="577">
        <f t="shared" si="182"/>
        <v>-1.9187500000000003E-2</v>
      </c>
      <c r="K1084" s="577">
        <f t="shared" si="182"/>
        <v>1.7975000000000001E-2</v>
      </c>
      <c r="L1084" s="585">
        <f t="shared" si="179"/>
        <v>1.4075449620785996E-2</v>
      </c>
      <c r="M1084" s="585">
        <f t="shared" si="180"/>
        <v>2.64E-2</v>
      </c>
      <c r="N1084" s="585">
        <f t="shared" si="184"/>
        <v>4.0649999999999999E-2</v>
      </c>
      <c r="O1084" s="586">
        <f t="shared" si="181"/>
        <v>-1.2324550379214004E-2</v>
      </c>
      <c r="P1084" s="585">
        <f t="shared" si="185"/>
        <v>-2.6574550379214003E-2</v>
      </c>
      <c r="Q1084" s="585">
        <f t="shared" si="186"/>
        <v>-6.7618311177368939E-2</v>
      </c>
      <c r="R1084" s="585">
        <f t="shared" si="187"/>
        <v>4.3499999999999997E-2</v>
      </c>
      <c r="S1084" s="586">
        <f t="shared" si="188"/>
        <v>-0.11111831117736894</v>
      </c>
      <c r="U1084" s="587"/>
      <c r="V1084" s="587"/>
      <c r="W1084" s="587"/>
      <c r="X1084" s="587"/>
      <c r="Y1084" s="587"/>
      <c r="Z1084" s="587"/>
      <c r="AA1084" s="587"/>
      <c r="AB1084" s="587"/>
      <c r="AC1084" s="587"/>
    </row>
    <row r="1085" spans="1:29">
      <c r="A1085" s="600">
        <v>42370</v>
      </c>
      <c r="B1085" s="577">
        <v>-4.9599999999999998E-2</v>
      </c>
      <c r="C1085" s="599">
        <v>4.9222952667868664E-2</v>
      </c>
      <c r="D1085" s="577">
        <v>2.0999999999999999E-3</v>
      </c>
      <c r="E1085" s="577">
        <v>3.3333333333333331E-3</v>
      </c>
      <c r="F1085" s="577">
        <v>3.4333333333333334E-3</v>
      </c>
      <c r="G1085" s="577">
        <f t="shared" si="189"/>
        <v>3.3833333333333332E-3</v>
      </c>
      <c r="H1085" s="577">
        <v>3.5583333333333326E-3</v>
      </c>
      <c r="I1085" s="577">
        <f t="shared" si="178"/>
        <v>-5.1699999999999996E-2</v>
      </c>
      <c r="J1085" s="577">
        <f t="shared" si="182"/>
        <v>-5.2983333333333334E-2</v>
      </c>
      <c r="K1085" s="577">
        <f t="shared" si="182"/>
        <v>4.5664619334535334E-2</v>
      </c>
      <c r="L1085" s="585">
        <f t="shared" si="179"/>
        <v>-6.4151470932010124E-3</v>
      </c>
      <c r="M1085" s="585">
        <f t="shared" si="180"/>
        <v>2.52E-2</v>
      </c>
      <c r="N1085" s="585">
        <f t="shared" si="184"/>
        <v>4.0599999999999997E-2</v>
      </c>
      <c r="O1085" s="586">
        <f t="shared" si="181"/>
        <v>-3.1615147093201013E-2</v>
      </c>
      <c r="P1085" s="585">
        <f t="shared" si="185"/>
        <v>-4.701514709320101E-2</v>
      </c>
      <c r="Q1085" s="585">
        <f t="shared" si="186"/>
        <v>-4.3998564878398483E-2</v>
      </c>
      <c r="R1085" s="585">
        <f t="shared" si="187"/>
        <v>4.2699999999999988E-2</v>
      </c>
      <c r="S1085" s="586">
        <f t="shared" si="188"/>
        <v>-8.6698564878398471E-2</v>
      </c>
    </row>
    <row r="1086" spans="1:29">
      <c r="A1086" s="600">
        <v>42401</v>
      </c>
      <c r="B1086" s="577">
        <v>-1.2999999999999999E-3</v>
      </c>
      <c r="C1086" s="599">
        <v>1.94081804074543E-2</v>
      </c>
      <c r="D1086" s="577">
        <v>2E-3</v>
      </c>
      <c r="E1086" s="577">
        <v>3.3E-3</v>
      </c>
      <c r="F1086" s="577">
        <v>3.3166666666666665E-3</v>
      </c>
      <c r="G1086" s="577">
        <f t="shared" si="189"/>
        <v>3.3083333333333333E-3</v>
      </c>
      <c r="H1086" s="577">
        <v>3.4250000000000001E-3</v>
      </c>
      <c r="I1086" s="577">
        <f t="shared" si="178"/>
        <v>-3.3E-3</v>
      </c>
      <c r="J1086" s="577">
        <f t="shared" si="182"/>
        <v>-4.6083333333333332E-3</v>
      </c>
      <c r="K1086" s="577">
        <f t="shared" si="182"/>
        <v>1.5983180407454299E-2</v>
      </c>
      <c r="L1086" s="585">
        <f t="shared" si="179"/>
        <v>-6.1661283595253025E-2</v>
      </c>
      <c r="M1086" s="585">
        <f t="shared" si="180"/>
        <v>2.4E-2</v>
      </c>
      <c r="N1086" s="585">
        <f t="shared" si="184"/>
        <v>3.9699999999999999E-2</v>
      </c>
      <c r="O1086" s="586">
        <f t="shared" si="181"/>
        <v>-8.5661283595253018E-2</v>
      </c>
      <c r="P1086" s="585">
        <f t="shared" si="185"/>
        <v>-0.10136128359525302</v>
      </c>
      <c r="Q1086" s="585">
        <f t="shared" si="186"/>
        <v>4.0413882186641326E-2</v>
      </c>
      <c r="R1086" s="585">
        <f t="shared" si="187"/>
        <v>4.1099999999999998E-2</v>
      </c>
      <c r="S1086" s="586">
        <f t="shared" si="188"/>
        <v>-6.8611781335867206E-4</v>
      </c>
    </row>
    <row r="1087" spans="1:29">
      <c r="A1087" s="600">
        <v>42430</v>
      </c>
      <c r="B1087" s="577">
        <v>6.7799999999999999E-2</v>
      </c>
      <c r="C1087" s="599">
        <v>8.14E-2</v>
      </c>
      <c r="D1087" s="577">
        <v>1.8E-3</v>
      </c>
      <c r="E1087" s="577">
        <v>3.1833333333333332E-3</v>
      </c>
      <c r="F1087" s="577">
        <v>3.2583333333333336E-3</v>
      </c>
      <c r="G1087" s="577">
        <f t="shared" si="189"/>
        <v>3.2208333333333334E-3</v>
      </c>
      <c r="H1087" s="577">
        <v>3.4666666666666669E-3</v>
      </c>
      <c r="I1087" s="577">
        <f t="shared" si="178"/>
        <v>6.6000000000000003E-2</v>
      </c>
      <c r="J1087" s="577">
        <f t="shared" si="182"/>
        <v>6.457916666666666E-2</v>
      </c>
      <c r="K1087" s="577">
        <f t="shared" si="182"/>
        <v>7.7933333333333327E-2</v>
      </c>
      <c r="L1087" s="585">
        <f t="shared" si="179"/>
        <v>1.8043163358046677E-2</v>
      </c>
      <c r="M1087" s="585">
        <f t="shared" si="180"/>
        <v>2.1600000000000001E-2</v>
      </c>
      <c r="N1087" s="585">
        <f t="shared" si="184"/>
        <v>3.8650000000000004E-2</v>
      </c>
      <c r="O1087" s="586">
        <f t="shared" si="181"/>
        <v>-3.5568366419533246E-3</v>
      </c>
      <c r="P1087" s="585">
        <f t="shared" si="185"/>
        <v>-2.0606836641953327E-2</v>
      </c>
      <c r="Q1087" s="585">
        <f t="shared" si="186"/>
        <v>0.13064372645626965</v>
      </c>
      <c r="R1087" s="585">
        <f t="shared" si="187"/>
        <v>4.1600000000000005E-2</v>
      </c>
      <c r="S1087" s="586">
        <f t="shared" si="188"/>
        <v>8.9043726456269651E-2</v>
      </c>
    </row>
    <row r="1088" spans="1:29">
      <c r="A1088" s="600">
        <v>42461</v>
      </c>
      <c r="B1088" s="577">
        <v>3.8999999999999998E-3</v>
      </c>
      <c r="C1088" s="599">
        <v>-2.41E-2</v>
      </c>
      <c r="D1088" s="577">
        <v>1.6999999999999999E-3</v>
      </c>
      <c r="E1088" s="577">
        <v>3.1833333333333332E-3</v>
      </c>
      <c r="F1088" s="577">
        <v>3.2583333333333336E-3</v>
      </c>
      <c r="G1088" s="577">
        <f t="shared" si="189"/>
        <v>3.2208333333333334E-3</v>
      </c>
      <c r="H1088" s="577">
        <v>3.4666666666666669E-3</v>
      </c>
      <c r="I1088" s="577">
        <f t="shared" si="178"/>
        <v>2.1999999999999997E-3</v>
      </c>
      <c r="J1088" s="577">
        <f t="shared" si="182"/>
        <v>6.7916666666666646E-4</v>
      </c>
      <c r="K1088" s="577">
        <f t="shared" si="182"/>
        <v>-2.7566666666666666E-2</v>
      </c>
      <c r="L1088" s="585">
        <f t="shared" si="179"/>
        <v>1.2295494943683316E-2</v>
      </c>
      <c r="M1088" s="585">
        <f t="shared" si="180"/>
        <v>2.0399999999999998E-2</v>
      </c>
      <c r="N1088" s="585">
        <f t="shared" si="184"/>
        <v>3.8650000000000004E-2</v>
      </c>
      <c r="O1088" s="586">
        <f t="shared" si="181"/>
        <v>-8.1045050563166819E-3</v>
      </c>
      <c r="P1088" s="585">
        <f t="shared" si="185"/>
        <v>-2.6354505056316688E-2</v>
      </c>
      <c r="Q1088" s="585">
        <f t="shared" si="186"/>
        <v>0.11781502649039965</v>
      </c>
      <c r="R1088" s="585">
        <f t="shared" si="187"/>
        <v>4.1600000000000005E-2</v>
      </c>
      <c r="S1088" s="586">
        <f t="shared" si="188"/>
        <v>7.6215026490399657E-2</v>
      </c>
    </row>
    <row r="1089" spans="1:19">
      <c r="A1089" s="600">
        <v>42491</v>
      </c>
      <c r="B1089" s="577">
        <v>1.7999999999999999E-2</v>
      </c>
      <c r="C1089" s="599">
        <v>1.5100000000000001E-2</v>
      </c>
      <c r="D1089" s="577">
        <v>2E-3</v>
      </c>
      <c r="E1089" s="577">
        <v>3.0416666666666665E-3</v>
      </c>
      <c r="F1089" s="577">
        <v>3.0833333333333333E-3</v>
      </c>
      <c r="G1089" s="577">
        <f t="shared" si="189"/>
        <v>3.0625000000000001E-3</v>
      </c>
      <c r="H1089" s="577">
        <v>3.2750000000000001E-3</v>
      </c>
      <c r="I1089" s="577">
        <f t="shared" si="178"/>
        <v>1.6E-2</v>
      </c>
      <c r="J1089" s="577">
        <f t="shared" si="182"/>
        <v>1.4937499999999999E-2</v>
      </c>
      <c r="K1089" s="577">
        <f t="shared" si="182"/>
        <v>1.1825E-2</v>
      </c>
      <c r="L1089" s="585">
        <f t="shared" si="179"/>
        <v>1.7392451231779793E-2</v>
      </c>
      <c r="M1089" s="585">
        <f t="shared" si="180"/>
        <v>2.4E-2</v>
      </c>
      <c r="N1089" s="585">
        <f t="shared" si="184"/>
        <v>3.6750000000000005E-2</v>
      </c>
      <c r="O1089" s="586">
        <f t="shared" si="181"/>
        <v>-6.6075487682202075E-3</v>
      </c>
      <c r="P1089" s="585">
        <f t="shared" si="185"/>
        <v>-1.9357548768220212E-2</v>
      </c>
      <c r="Q1089" s="585">
        <f t="shared" si="186"/>
        <v>0.12736615339334789</v>
      </c>
      <c r="R1089" s="585">
        <f t="shared" si="187"/>
        <v>3.9300000000000002E-2</v>
      </c>
      <c r="S1089" s="586">
        <f t="shared" si="188"/>
        <v>8.806615339334789E-2</v>
      </c>
    </row>
    <row r="1090" spans="1:19">
      <c r="A1090" s="600">
        <v>42522</v>
      </c>
      <c r="B1090" s="577">
        <v>2.5999999999999999E-3</v>
      </c>
      <c r="C1090" s="599">
        <v>7.7899999999999997E-2</v>
      </c>
      <c r="D1090" s="577">
        <v>1.8E-3</v>
      </c>
      <c r="E1090" s="577">
        <v>2.9166666666666668E-3</v>
      </c>
      <c r="F1090" s="577">
        <v>3.0000000000000001E-3</v>
      </c>
      <c r="G1090" s="577">
        <f t="shared" si="189"/>
        <v>2.9583333333333336E-3</v>
      </c>
      <c r="H1090" s="577">
        <v>3.15E-3</v>
      </c>
      <c r="I1090" s="577">
        <f t="shared" si="178"/>
        <v>7.9999999999999993E-4</v>
      </c>
      <c r="J1090" s="577">
        <f t="shared" si="182"/>
        <v>-3.5833333333333377E-4</v>
      </c>
      <c r="K1090" s="577">
        <f t="shared" si="182"/>
        <v>7.4749999999999997E-2</v>
      </c>
      <c r="L1090" s="585">
        <f t="shared" si="179"/>
        <v>4.0217898842527688E-2</v>
      </c>
      <c r="M1090" s="585">
        <f t="shared" si="180"/>
        <v>2.1600000000000001E-2</v>
      </c>
      <c r="N1090" s="585">
        <f t="shared" si="184"/>
        <v>3.5500000000000004E-2</v>
      </c>
      <c r="O1090" s="586">
        <f t="shared" si="181"/>
        <v>1.8617898842527687E-2</v>
      </c>
      <c r="P1090" s="585">
        <f t="shared" si="185"/>
        <v>4.7178988425276847E-3</v>
      </c>
      <c r="Q1090" s="585">
        <f t="shared" si="186"/>
        <v>0.2927531667475427</v>
      </c>
      <c r="R1090" s="585">
        <f t="shared" si="187"/>
        <v>3.78E-2</v>
      </c>
      <c r="S1090" s="586">
        <f t="shared" si="188"/>
        <v>0.2549531667475427</v>
      </c>
    </row>
    <row r="1091" spans="1:19">
      <c r="A1091" s="600">
        <v>42552</v>
      </c>
      <c r="B1091" s="577">
        <v>3.6900000000000002E-2</v>
      </c>
      <c r="C1091" s="599">
        <v>-8.0000000000000002E-3</v>
      </c>
      <c r="D1091" s="577">
        <v>1.4E-3</v>
      </c>
      <c r="E1091" s="577">
        <v>2.7333333333333337E-3</v>
      </c>
      <c r="F1091" s="577">
        <v>2.8250000000000003E-3</v>
      </c>
      <c r="G1091" s="577">
        <f t="shared" si="189"/>
        <v>2.7791666666666668E-3</v>
      </c>
      <c r="H1091" s="577">
        <v>2.9749999999999998E-3</v>
      </c>
      <c r="I1091" s="577">
        <f t="shared" si="178"/>
        <v>3.5500000000000004E-2</v>
      </c>
      <c r="J1091" s="577">
        <f t="shared" si="182"/>
        <v>3.4120833333333336E-2</v>
      </c>
      <c r="K1091" s="577">
        <f t="shared" si="182"/>
        <v>-1.0975E-2</v>
      </c>
      <c r="L1091" s="585">
        <f t="shared" si="179"/>
        <v>5.641717856005557E-2</v>
      </c>
      <c r="M1091" s="585">
        <f t="shared" si="180"/>
        <v>1.6799999999999999E-2</v>
      </c>
      <c r="N1091" s="585">
        <f t="shared" si="184"/>
        <v>3.3350000000000005E-2</v>
      </c>
      <c r="O1091" s="586">
        <f t="shared" si="181"/>
        <v>3.9617178560055574E-2</v>
      </c>
      <c r="P1091" s="585">
        <f t="shared" si="185"/>
        <v>2.3067178560055565E-2</v>
      </c>
      <c r="Q1091" s="585">
        <f t="shared" si="186"/>
        <v>0.22355800153951177</v>
      </c>
      <c r="R1091" s="585">
        <f t="shared" si="187"/>
        <v>3.5699999999999996E-2</v>
      </c>
      <c r="S1091" s="586">
        <f t="shared" si="188"/>
        <v>0.18785800153951177</v>
      </c>
    </row>
    <row r="1092" spans="1:19">
      <c r="A1092" s="600">
        <v>42583</v>
      </c>
      <c r="B1092" s="577">
        <v>1.4E-3</v>
      </c>
      <c r="C1092" s="599">
        <v>-5.5100000000000003E-2</v>
      </c>
      <c r="D1092" s="577">
        <v>1.6000000000000001E-3</v>
      </c>
      <c r="E1092" s="577">
        <v>2.7666666666666668E-3</v>
      </c>
      <c r="F1092" s="577">
        <v>2.8499999999999997E-3</v>
      </c>
      <c r="G1092" s="577">
        <f t="shared" si="189"/>
        <v>2.8083333333333333E-3</v>
      </c>
      <c r="H1092" s="577">
        <v>2.9916666666666663E-3</v>
      </c>
      <c r="I1092" s="577">
        <f t="shared" si="178"/>
        <v>-2.0000000000000009E-4</v>
      </c>
      <c r="J1092" s="577">
        <f t="shared" si="182"/>
        <v>-1.4083333333333333E-3</v>
      </c>
      <c r="K1092" s="577">
        <f t="shared" si="182"/>
        <v>-5.8091666666666666E-2</v>
      </c>
      <c r="L1092" s="585">
        <f t="shared" si="179"/>
        <v>0.12578074131109873</v>
      </c>
      <c r="M1092" s="585">
        <f t="shared" si="180"/>
        <v>1.9200000000000002E-2</v>
      </c>
      <c r="N1092" s="585">
        <f t="shared" si="184"/>
        <v>3.3700000000000001E-2</v>
      </c>
      <c r="O1092" s="586">
        <f t="shared" si="181"/>
        <v>0.10658074131109874</v>
      </c>
      <c r="P1092" s="585">
        <f t="shared" si="185"/>
        <v>9.2080741311098724E-2</v>
      </c>
      <c r="Q1092" s="585">
        <f t="shared" si="186"/>
        <v>0.20393622373704501</v>
      </c>
      <c r="R1092" s="585">
        <f t="shared" si="187"/>
        <v>3.5899999999999994E-2</v>
      </c>
      <c r="S1092" s="586">
        <f t="shared" si="188"/>
        <v>0.16803622373704502</v>
      </c>
    </row>
    <row r="1093" spans="1:19">
      <c r="A1093" s="600">
        <v>42614</v>
      </c>
      <c r="B1093" s="577">
        <v>2.0000000000000001E-4</v>
      </c>
      <c r="C1093" s="599">
        <v>4.0000000000000001E-3</v>
      </c>
      <c r="D1093" s="577">
        <v>1.5E-3</v>
      </c>
      <c r="E1093" s="577">
        <v>2.8416666666666668E-3</v>
      </c>
      <c r="F1093" s="577">
        <v>2.9166666666666668E-3</v>
      </c>
      <c r="G1093" s="577">
        <f t="shared" si="189"/>
        <v>2.879166666666667E-3</v>
      </c>
      <c r="H1093" s="577">
        <v>3.0499999999999998E-3</v>
      </c>
      <c r="I1093" s="577">
        <f t="shared" si="178"/>
        <v>-1.2999999999999999E-3</v>
      </c>
      <c r="J1093" s="577">
        <f t="shared" si="182"/>
        <v>-2.6791666666666669E-3</v>
      </c>
      <c r="K1093" s="577">
        <f t="shared" si="182"/>
        <v>9.5000000000000032E-4</v>
      </c>
      <c r="L1093" s="585">
        <f t="shared" si="179"/>
        <v>0.15452260582319388</v>
      </c>
      <c r="M1093" s="585">
        <f t="shared" si="180"/>
        <v>1.8000000000000002E-2</v>
      </c>
      <c r="N1093" s="585">
        <f t="shared" si="184"/>
        <v>3.4550000000000004E-2</v>
      </c>
      <c r="O1093" s="586">
        <f t="shared" si="181"/>
        <v>0.13652260582319387</v>
      </c>
      <c r="P1093" s="585">
        <f t="shared" si="185"/>
        <v>0.11997260582319388</v>
      </c>
      <c r="Q1093" s="585">
        <f t="shared" si="186"/>
        <v>0.17468607252866231</v>
      </c>
      <c r="R1093" s="585">
        <f t="shared" si="187"/>
        <v>3.6599999999999994E-2</v>
      </c>
      <c r="S1093" s="586">
        <f t="shared" si="188"/>
        <v>0.13808607252866231</v>
      </c>
    </row>
    <row r="1094" spans="1:19">
      <c r="A1094" s="600">
        <v>42644</v>
      </c>
      <c r="B1094" s="577">
        <v>-1.8200000000000001E-2</v>
      </c>
      <c r="C1094" s="599">
        <v>8.6E-3</v>
      </c>
      <c r="D1094" s="577">
        <v>1.6000000000000001E-3</v>
      </c>
      <c r="E1094" s="577">
        <v>2.8416666666666668E-3</v>
      </c>
      <c r="F1094" s="577">
        <v>2.9166666666666668E-3</v>
      </c>
      <c r="G1094" s="577">
        <f t="shared" si="189"/>
        <v>2.879166666666667E-3</v>
      </c>
      <c r="H1094" s="577">
        <v>3.0499999999999998E-3</v>
      </c>
      <c r="I1094" s="577">
        <f t="shared" ref="I1094:I1144" si="190">B1094-D1094</f>
        <v>-1.9800000000000002E-2</v>
      </c>
      <c r="J1094" s="577">
        <f t="shared" si="182"/>
        <v>-2.107916666666667E-2</v>
      </c>
      <c r="K1094" s="577">
        <f t="shared" si="182"/>
        <v>5.5500000000000002E-3</v>
      </c>
      <c r="L1094" s="585">
        <f t="shared" si="179"/>
        <v>4.5287988193666751E-2</v>
      </c>
      <c r="M1094" s="585">
        <f t="shared" si="180"/>
        <v>1.9200000000000002E-2</v>
      </c>
      <c r="N1094" s="585">
        <f t="shared" si="184"/>
        <v>3.4550000000000004E-2</v>
      </c>
      <c r="O1094" s="586">
        <f t="shared" si="181"/>
        <v>2.6087988193666749E-2</v>
      </c>
      <c r="P1094" s="585">
        <f t="shared" si="185"/>
        <v>1.0737988193666746E-2</v>
      </c>
      <c r="Q1094" s="585">
        <f t="shared" si="186"/>
        <v>0.17212937549704077</v>
      </c>
      <c r="R1094" s="585">
        <f t="shared" si="187"/>
        <v>3.6599999999999994E-2</v>
      </c>
      <c r="S1094" s="586">
        <f t="shared" si="188"/>
        <v>0.13552937549704078</v>
      </c>
    </row>
    <row r="1095" spans="1:19">
      <c r="A1095" s="600">
        <v>42675</v>
      </c>
      <c r="B1095" s="577">
        <v>3.6999999999999998E-2</v>
      </c>
      <c r="C1095" s="599">
        <v>-5.3900000000000003E-2</v>
      </c>
      <c r="D1095" s="577">
        <v>1.8E-3</v>
      </c>
      <c r="E1095" s="577">
        <v>3.2166666666666667E-3</v>
      </c>
      <c r="F1095" s="577">
        <v>3.2750000000000001E-3</v>
      </c>
      <c r="G1095" s="577">
        <f t="shared" si="189"/>
        <v>3.2458333333333332E-3</v>
      </c>
      <c r="H1095" s="577">
        <v>3.4000000000000002E-3</v>
      </c>
      <c r="I1095" s="577">
        <f t="shared" si="190"/>
        <v>3.5199999999999995E-2</v>
      </c>
      <c r="J1095" s="577">
        <f t="shared" si="182"/>
        <v>3.3754166666666668E-2</v>
      </c>
      <c r="K1095" s="577">
        <f t="shared" si="182"/>
        <v>-5.7300000000000004E-2</v>
      </c>
      <c r="L1095" s="585">
        <f t="shared" si="179"/>
        <v>8.0721479318875522E-2</v>
      </c>
      <c r="M1095" s="585">
        <f t="shared" si="180"/>
        <v>2.1600000000000001E-2</v>
      </c>
      <c r="N1095" s="585">
        <f t="shared" si="184"/>
        <v>3.8949999999999999E-2</v>
      </c>
      <c r="O1095" s="586">
        <f t="shared" si="181"/>
        <v>5.9121479318875521E-2</v>
      </c>
      <c r="P1095" s="585">
        <f t="shared" si="185"/>
        <v>4.1771479318875523E-2</v>
      </c>
      <c r="Q1095" s="585">
        <f t="shared" si="186"/>
        <v>0.13308634122586094</v>
      </c>
      <c r="R1095" s="585">
        <f t="shared" si="187"/>
        <v>4.0800000000000003E-2</v>
      </c>
      <c r="S1095" s="586">
        <f t="shared" si="188"/>
        <v>9.2286341225860935E-2</v>
      </c>
    </row>
    <row r="1096" spans="1:19" s="577" customFormat="1">
      <c r="A1096" s="600">
        <v>42705</v>
      </c>
      <c r="B1096" s="577">
        <v>1.9800000000000002E-2</v>
      </c>
      <c r="C1096" s="599">
        <v>4.9399999999999999E-2</v>
      </c>
      <c r="D1096" s="577">
        <v>2.2000000000000001E-3</v>
      </c>
      <c r="E1096" s="577">
        <v>3.3833333333333332E-3</v>
      </c>
      <c r="F1096" s="577">
        <v>3.4333333333333334E-3</v>
      </c>
      <c r="G1096" s="577">
        <f t="shared" si="189"/>
        <v>3.4083333333333335E-3</v>
      </c>
      <c r="H1096" s="577">
        <v>3.5583333333333326E-3</v>
      </c>
      <c r="I1096" s="577">
        <f t="shared" si="190"/>
        <v>1.7600000000000001E-2</v>
      </c>
      <c r="J1096" s="577">
        <f t="shared" si="182"/>
        <v>1.6391666666666669E-2</v>
      </c>
      <c r="K1096" s="577">
        <f t="shared" si="182"/>
        <v>4.5841666666666669E-2</v>
      </c>
      <c r="L1096" s="585">
        <f t="shared" si="179"/>
        <v>0.11981280695934715</v>
      </c>
      <c r="M1096" s="585">
        <f t="shared" si="180"/>
        <v>2.64E-2</v>
      </c>
      <c r="N1096" s="585">
        <f t="shared" si="184"/>
        <v>4.0900000000000006E-2</v>
      </c>
      <c r="O1096" s="586">
        <f t="shared" si="181"/>
        <v>9.3412806959347144E-2</v>
      </c>
      <c r="P1096" s="585">
        <f t="shared" si="185"/>
        <v>7.8912806959347145E-2</v>
      </c>
      <c r="Q1096" s="585">
        <f t="shared" si="186"/>
        <v>0.16392013163901531</v>
      </c>
      <c r="R1096" s="585">
        <f t="shared" si="187"/>
        <v>4.2699999999999988E-2</v>
      </c>
      <c r="S1096" s="586">
        <f t="shared" si="188"/>
        <v>0.12122013163901532</v>
      </c>
    </row>
    <row r="1097" spans="1:19" s="577" customFormat="1">
      <c r="A1097" s="600">
        <v>42736</v>
      </c>
      <c r="B1097" s="577">
        <v>1.9E-2</v>
      </c>
      <c r="C1097" s="577">
        <v>1.26E-2</v>
      </c>
      <c r="D1097" s="577">
        <v>2.3999999999999998E-3</v>
      </c>
      <c r="E1097" s="577">
        <v>3.2666666666666664E-3</v>
      </c>
      <c r="F1097" s="577">
        <v>3.3166666666666665E-3</v>
      </c>
      <c r="G1097" s="577">
        <f t="shared" si="189"/>
        <v>3.2916666666666667E-3</v>
      </c>
      <c r="H1097" s="577">
        <v>3.3E-3</v>
      </c>
      <c r="I1097" s="577">
        <f t="shared" si="190"/>
        <v>1.66E-2</v>
      </c>
      <c r="J1097" s="577">
        <f t="shared" si="182"/>
        <v>1.5708333333333331E-2</v>
      </c>
      <c r="K1097" s="577">
        <f t="shared" si="182"/>
        <v>9.2999999999999992E-3</v>
      </c>
      <c r="L1097" s="585">
        <f t="shared" si="179"/>
        <v>0.20064104618221212</v>
      </c>
      <c r="M1097" s="585">
        <f t="shared" si="180"/>
        <v>2.8799999999999999E-2</v>
      </c>
      <c r="N1097" s="585">
        <f t="shared" si="184"/>
        <v>3.95E-2</v>
      </c>
      <c r="O1097" s="586">
        <f t="shared" si="181"/>
        <v>0.17184104618221213</v>
      </c>
      <c r="P1097" s="585">
        <f t="shared" si="185"/>
        <v>0.16114104618221212</v>
      </c>
      <c r="Q1097" s="585">
        <f t="shared" si="186"/>
        <v>0.12329369301430848</v>
      </c>
      <c r="R1097" s="585">
        <f t="shared" si="187"/>
        <v>3.9599999999999996E-2</v>
      </c>
      <c r="S1097" s="586">
        <f t="shared" si="188"/>
        <v>8.3693693014308485E-2</v>
      </c>
    </row>
    <row r="1098" spans="1:19" s="577" customFormat="1">
      <c r="A1098" s="600">
        <v>42767</v>
      </c>
      <c r="B1098" s="577">
        <v>3.9699999999999999E-2</v>
      </c>
      <c r="C1098" s="577">
        <v>5.2600000000000001E-2</v>
      </c>
      <c r="D1098" s="577">
        <v>2.0999999999999999E-3</v>
      </c>
      <c r="E1098" s="577">
        <v>3.2916666666666667E-3</v>
      </c>
      <c r="F1098" s="577">
        <v>3.3416666666666668E-3</v>
      </c>
      <c r="G1098" s="577">
        <f t="shared" si="189"/>
        <v>3.3166666666666665E-3</v>
      </c>
      <c r="H1098" s="577">
        <v>3.3250000000000003E-3</v>
      </c>
      <c r="I1098" s="577">
        <f t="shared" si="190"/>
        <v>3.7600000000000001E-2</v>
      </c>
      <c r="J1098" s="577">
        <f t="shared" si="182"/>
        <v>3.638333333333333E-2</v>
      </c>
      <c r="K1098" s="577">
        <f t="shared" si="182"/>
        <v>4.9274999999999999E-2</v>
      </c>
      <c r="L1098" s="585">
        <f t="shared" si="179"/>
        <v>0.24993140654415336</v>
      </c>
      <c r="M1098" s="585">
        <f t="shared" si="180"/>
        <v>2.52E-2</v>
      </c>
      <c r="N1098" s="585">
        <f t="shared" si="184"/>
        <v>3.9800000000000002E-2</v>
      </c>
      <c r="O1098" s="586">
        <f t="shared" si="181"/>
        <v>0.22473140654415336</v>
      </c>
      <c r="P1098" s="585">
        <f t="shared" si="185"/>
        <v>0.21013140654415335</v>
      </c>
      <c r="Q1098" s="585">
        <f t="shared" si="186"/>
        <v>0.15986801360988445</v>
      </c>
      <c r="R1098" s="585">
        <f t="shared" si="187"/>
        <v>3.9900000000000005E-2</v>
      </c>
      <c r="S1098" s="586">
        <f t="shared" si="188"/>
        <v>0.11996801360988445</v>
      </c>
    </row>
    <row r="1099" spans="1:19" s="577" customFormat="1">
      <c r="A1099" s="600">
        <v>42795</v>
      </c>
      <c r="B1099" s="577">
        <v>1.1999999999999999E-3</v>
      </c>
      <c r="C1099" s="577">
        <v>2.98E-2</v>
      </c>
      <c r="D1099" s="577">
        <v>2.3E-3</v>
      </c>
      <c r="E1099" s="577">
        <v>3.2916666666666667E-3</v>
      </c>
      <c r="F1099" s="577">
        <v>3.3416666666666668E-3</v>
      </c>
      <c r="G1099" s="577">
        <f t="shared" si="189"/>
        <v>3.3166666666666665E-3</v>
      </c>
      <c r="H1099" s="577">
        <v>3.3250000000000003E-3</v>
      </c>
      <c r="I1099" s="577">
        <f t="shared" si="190"/>
        <v>-1.1000000000000001E-3</v>
      </c>
      <c r="J1099" s="577">
        <f t="shared" si="182"/>
        <v>-2.1166666666666669E-3</v>
      </c>
      <c r="K1099" s="577">
        <f t="shared" si="182"/>
        <v>2.6474999999999999E-2</v>
      </c>
      <c r="L1099" s="585">
        <f t="shared" si="179"/>
        <v>0.17197164659300102</v>
      </c>
      <c r="M1099" s="585">
        <f t="shared" si="180"/>
        <v>2.76E-2</v>
      </c>
      <c r="N1099" s="585">
        <f t="shared" si="184"/>
        <v>3.9800000000000002E-2</v>
      </c>
      <c r="O1099" s="586">
        <f t="shared" si="181"/>
        <v>0.144371646593001</v>
      </c>
      <c r="P1099" s="585">
        <f t="shared" si="185"/>
        <v>0.13217164659300101</v>
      </c>
      <c r="Q1099" s="585">
        <f t="shared" si="186"/>
        <v>0.10452383985154334</v>
      </c>
      <c r="R1099" s="585">
        <f t="shared" si="187"/>
        <v>3.9900000000000005E-2</v>
      </c>
      <c r="S1099" s="586">
        <f t="shared" si="188"/>
        <v>6.4623839851543338E-2</v>
      </c>
    </row>
    <row r="1100" spans="1:19" s="577" customFormat="1">
      <c r="A1100" s="600">
        <v>42826</v>
      </c>
      <c r="B1100" s="577">
        <v>1.03E-2</v>
      </c>
      <c r="C1100" s="577">
        <v>7.7999999999999996E-3</v>
      </c>
      <c r="D1100" s="577">
        <v>2.0999999999999999E-3</v>
      </c>
      <c r="E1100" s="577">
        <v>3.225E-3</v>
      </c>
      <c r="F1100" s="577">
        <v>3.2750000000000001E-3</v>
      </c>
      <c r="G1100" s="577">
        <f t="shared" si="189"/>
        <v>3.2500000000000003E-3</v>
      </c>
      <c r="H1100" s="577">
        <v>3.2750000000000001E-3</v>
      </c>
      <c r="I1100" s="577">
        <f t="shared" si="190"/>
        <v>8.2000000000000007E-3</v>
      </c>
      <c r="J1100" s="577">
        <f t="shared" si="182"/>
        <v>7.0499999999999998E-3</v>
      </c>
      <c r="K1100" s="577">
        <f t="shared" si="182"/>
        <v>4.5249999999999995E-3</v>
      </c>
      <c r="L1100" s="585">
        <f t="shared" si="179"/>
        <v>0.17944312636010462</v>
      </c>
      <c r="M1100" s="585">
        <f t="shared" si="180"/>
        <v>2.52E-2</v>
      </c>
      <c r="N1100" s="585">
        <f t="shared" si="184"/>
        <v>3.9000000000000007E-2</v>
      </c>
      <c r="O1100" s="586">
        <f t="shared" si="181"/>
        <v>0.15424312636010462</v>
      </c>
      <c r="P1100" s="585">
        <f t="shared" si="185"/>
        <v>0.14044312636010461</v>
      </c>
      <c r="Q1100" s="585">
        <f t="shared" si="186"/>
        <v>0.14062826703800146</v>
      </c>
      <c r="R1100" s="585">
        <f t="shared" si="187"/>
        <v>3.9300000000000002E-2</v>
      </c>
      <c r="S1100" s="586">
        <f t="shared" si="188"/>
        <v>0.10132826703800146</v>
      </c>
    </row>
    <row r="1101" spans="1:19" s="577" customFormat="1">
      <c r="A1101" s="600">
        <v>42856</v>
      </c>
      <c r="B1101" s="577">
        <v>1.41E-2</v>
      </c>
      <c r="C1101" s="577">
        <v>4.2200000000000001E-2</v>
      </c>
      <c r="D1101" s="577">
        <v>2.3999999999999998E-3</v>
      </c>
      <c r="E1101" s="577">
        <v>3.2083333333333334E-3</v>
      </c>
      <c r="F1101" s="577">
        <v>3.2750000000000001E-3</v>
      </c>
      <c r="G1101" s="577">
        <f t="shared" si="189"/>
        <v>3.241666666666667E-3</v>
      </c>
      <c r="H1101" s="577">
        <v>3.2750000000000001E-3</v>
      </c>
      <c r="I1101" s="577">
        <f t="shared" si="190"/>
        <v>1.17E-2</v>
      </c>
      <c r="J1101" s="577">
        <f t="shared" si="182"/>
        <v>1.0858333333333333E-2</v>
      </c>
      <c r="K1101" s="577">
        <f t="shared" si="182"/>
        <v>3.8925000000000001E-2</v>
      </c>
      <c r="L1101" s="585">
        <f t="shared" si="179"/>
        <v>0.17492463108230072</v>
      </c>
      <c r="M1101" s="585">
        <f t="shared" si="180"/>
        <v>2.8799999999999999E-2</v>
      </c>
      <c r="N1101" s="585">
        <f t="shared" si="184"/>
        <v>3.8900000000000004E-2</v>
      </c>
      <c r="O1101" s="586">
        <f t="shared" si="181"/>
        <v>0.14612463108230073</v>
      </c>
      <c r="P1101" s="585">
        <f t="shared" si="185"/>
        <v>0.13602463108230073</v>
      </c>
      <c r="Q1101" s="585">
        <f t="shared" si="186"/>
        <v>0.1710794797625903</v>
      </c>
      <c r="R1101" s="585">
        <f t="shared" si="187"/>
        <v>3.9300000000000002E-2</v>
      </c>
      <c r="S1101" s="586">
        <f t="shared" si="188"/>
        <v>0.1317794797625903</v>
      </c>
    </row>
    <row r="1102" spans="1:19" s="577" customFormat="1">
      <c r="A1102" s="600">
        <v>42887</v>
      </c>
      <c r="B1102" s="577">
        <v>6.1999999999999998E-3</v>
      </c>
      <c r="C1102" s="577">
        <v>-2.7E-2</v>
      </c>
      <c r="D1102" s="577">
        <v>2.0999999999999999E-3</v>
      </c>
      <c r="E1102" s="577">
        <v>3.0666666666666672E-3</v>
      </c>
      <c r="F1102" s="577">
        <v>3.1416666666666663E-3</v>
      </c>
      <c r="G1102" s="577">
        <f t="shared" si="189"/>
        <v>3.1041666666666665E-3</v>
      </c>
      <c r="H1102" s="577">
        <v>3.1416666666666663E-3</v>
      </c>
      <c r="I1102" s="577">
        <f t="shared" si="190"/>
        <v>4.0999999999999995E-3</v>
      </c>
      <c r="J1102" s="577">
        <f t="shared" si="182"/>
        <v>3.0958333333333332E-3</v>
      </c>
      <c r="K1102" s="577">
        <f t="shared" si="182"/>
        <v>-3.0141666666666667E-2</v>
      </c>
      <c r="L1102" s="585">
        <f t="shared" si="179"/>
        <v>0.17914339097846721</v>
      </c>
      <c r="M1102" s="585">
        <f t="shared" si="180"/>
        <v>2.52E-2</v>
      </c>
      <c r="N1102" s="585">
        <f t="shared" si="184"/>
        <v>3.7249999999999998E-2</v>
      </c>
      <c r="O1102" s="586">
        <f t="shared" si="181"/>
        <v>0.15394339097846721</v>
      </c>
      <c r="P1102" s="585">
        <f t="shared" si="185"/>
        <v>0.1418933909784672</v>
      </c>
      <c r="Q1102" s="585">
        <f t="shared" si="186"/>
        <v>5.711135894702668E-2</v>
      </c>
      <c r="R1102" s="585">
        <f t="shared" si="187"/>
        <v>3.7699999999999997E-2</v>
      </c>
      <c r="S1102" s="586">
        <f t="shared" si="188"/>
        <v>1.9411358947026683E-2</v>
      </c>
    </row>
    <row r="1103" spans="1:19" s="577" customFormat="1">
      <c r="A1103" s="600">
        <v>42917</v>
      </c>
      <c r="B1103" s="577">
        <v>2.06E-2</v>
      </c>
      <c r="C1103" s="577">
        <v>2.4400000000000002E-2</v>
      </c>
      <c r="D1103" s="577">
        <v>2.2000000000000001E-3</v>
      </c>
      <c r="E1103" s="577">
        <v>3.15E-3</v>
      </c>
      <c r="F1103" s="577">
        <v>3.225E-3</v>
      </c>
      <c r="G1103" s="577">
        <f t="shared" si="189"/>
        <v>3.1875000000000002E-3</v>
      </c>
      <c r="H1103" s="577">
        <v>3.2333333333333329E-3</v>
      </c>
      <c r="I1103" s="577">
        <f t="shared" si="190"/>
        <v>1.84E-2</v>
      </c>
      <c r="J1103" s="577">
        <f t="shared" si="182"/>
        <v>1.7412500000000001E-2</v>
      </c>
      <c r="K1103" s="577">
        <f t="shared" si="182"/>
        <v>2.1166666666666667E-2</v>
      </c>
      <c r="L1103" s="585">
        <f t="shared" si="179"/>
        <v>0.16060733420062023</v>
      </c>
      <c r="M1103" s="585">
        <f t="shared" si="180"/>
        <v>2.64E-2</v>
      </c>
      <c r="N1103" s="585">
        <f t="shared" si="184"/>
        <v>3.8250000000000006E-2</v>
      </c>
      <c r="O1103" s="586">
        <f t="shared" si="181"/>
        <v>0.13420733420062023</v>
      </c>
      <c r="P1103" s="585">
        <f t="shared" si="185"/>
        <v>0.12235733420062023</v>
      </c>
      <c r="Q1103" s="585">
        <f t="shared" si="186"/>
        <v>9.16379799448932E-2</v>
      </c>
      <c r="R1103" s="585">
        <f t="shared" si="187"/>
        <v>3.8799999999999994E-2</v>
      </c>
      <c r="S1103" s="586">
        <f t="shared" si="188"/>
        <v>5.2837979944893206E-2</v>
      </c>
    </row>
    <row r="1104" spans="1:19" s="577" customFormat="1">
      <c r="A1104" s="600">
        <v>42948</v>
      </c>
      <c r="B1104" s="577">
        <v>3.0999999999999999E-3</v>
      </c>
      <c r="C1104" s="577">
        <v>3.2399999999999998E-2</v>
      </c>
      <c r="D1104" s="577">
        <v>2.2000000000000001E-3</v>
      </c>
      <c r="E1104" s="577">
        <v>3.0833333333333333E-3</v>
      </c>
      <c r="F1104" s="577">
        <v>3.1666666666666666E-3</v>
      </c>
      <c r="G1104" s="577">
        <f t="shared" si="189"/>
        <v>3.1250000000000002E-3</v>
      </c>
      <c r="H1104" s="577">
        <v>3.1833333333333332E-3</v>
      </c>
      <c r="I1104" s="577">
        <f t="shared" si="190"/>
        <v>8.9999999999999976E-4</v>
      </c>
      <c r="J1104" s="577">
        <f t="shared" si="182"/>
        <v>-2.5000000000000282E-5</v>
      </c>
      <c r="K1104" s="577">
        <f t="shared" si="182"/>
        <v>2.9216666666666665E-2</v>
      </c>
      <c r="L1104" s="585">
        <f t="shared" ref="L1104:L1144" si="191">((1+B1093)*(1+B1094)*(1+B1095)*(1+B1096)*(1+B1097)*(1+B1098)*(1+B1099)*(1+B1100)*(1+B1101)*(1+B1102)*(1+B1103)*(1+B1104))-1</f>
        <v>0.1625776082850432</v>
      </c>
      <c r="M1104" s="585">
        <f t="shared" ref="M1104:M1144" si="192">D1104*12</f>
        <v>2.64E-2</v>
      </c>
      <c r="N1104" s="585">
        <f t="shared" si="184"/>
        <v>3.7500000000000006E-2</v>
      </c>
      <c r="O1104" s="586">
        <f t="shared" ref="O1104:O1144" si="193">L1104-M1104</f>
        <v>0.13617760828504319</v>
      </c>
      <c r="P1104" s="585">
        <f t="shared" si="185"/>
        <v>0.12507760828504319</v>
      </c>
      <c r="Q1104" s="585">
        <f t="shared" si="186"/>
        <v>0.19272626785385505</v>
      </c>
      <c r="R1104" s="585">
        <f t="shared" si="187"/>
        <v>3.8199999999999998E-2</v>
      </c>
      <c r="S1104" s="586">
        <f t="shared" si="188"/>
        <v>0.15452626785385504</v>
      </c>
    </row>
    <row r="1105" spans="1:19" s="577" customFormat="1">
      <c r="A1105" s="600">
        <v>42979</v>
      </c>
      <c r="B1105" s="577">
        <v>2.06E-2</v>
      </c>
      <c r="C1105" s="577">
        <v>-2.7300000000000001E-2</v>
      </c>
      <c r="D1105" s="577">
        <v>1.9E-3</v>
      </c>
      <c r="E1105" s="577">
        <v>3.0249999999999999E-3</v>
      </c>
      <c r="F1105" s="577">
        <v>3.0999999999999999E-3</v>
      </c>
      <c r="G1105" s="577">
        <f t="shared" si="189"/>
        <v>3.0625000000000001E-3</v>
      </c>
      <c r="H1105" s="577">
        <v>3.0583333333333335E-3</v>
      </c>
      <c r="I1105" s="577">
        <f t="shared" si="190"/>
        <v>1.8700000000000001E-2</v>
      </c>
      <c r="J1105" s="577">
        <f t="shared" si="182"/>
        <v>1.7537500000000001E-2</v>
      </c>
      <c r="K1105" s="577">
        <f t="shared" si="182"/>
        <v>-3.0358333333333334E-2</v>
      </c>
      <c r="L1105" s="585">
        <f t="shared" si="191"/>
        <v>0.18628944912588996</v>
      </c>
      <c r="M1105" s="585">
        <f t="shared" si="192"/>
        <v>2.2800000000000001E-2</v>
      </c>
      <c r="N1105" s="585">
        <f t="shared" si="184"/>
        <v>3.6750000000000005E-2</v>
      </c>
      <c r="O1105" s="586">
        <f t="shared" si="193"/>
        <v>0.16348944912588997</v>
      </c>
      <c r="P1105" s="585">
        <f t="shared" si="185"/>
        <v>0.14953944912588996</v>
      </c>
      <c r="Q1105" s="585">
        <f t="shared" si="186"/>
        <v>0.15554267006120037</v>
      </c>
      <c r="R1105" s="585">
        <f t="shared" si="187"/>
        <v>3.6700000000000003E-2</v>
      </c>
      <c r="S1105" s="586">
        <f t="shared" si="188"/>
        <v>0.11884267006120036</v>
      </c>
    </row>
    <row r="1106" spans="1:19" s="577" customFormat="1">
      <c r="A1106" s="600">
        <v>43009</v>
      </c>
      <c r="B1106" s="577">
        <v>2.3300000000000001E-2</v>
      </c>
      <c r="C1106" s="577">
        <v>3.9E-2</v>
      </c>
      <c r="D1106" s="577">
        <v>2.2000000000000001E-3</v>
      </c>
      <c r="E1106" s="577">
        <v>3.0000000000000001E-3</v>
      </c>
      <c r="F1106" s="577">
        <v>3.1166666666666669E-3</v>
      </c>
      <c r="G1106" s="577">
        <f t="shared" si="189"/>
        <v>3.0583333333333335E-3</v>
      </c>
      <c r="H1106" s="577">
        <v>3.1166666666666669E-3</v>
      </c>
      <c r="I1106" s="577">
        <f t="shared" si="190"/>
        <v>2.1100000000000001E-2</v>
      </c>
      <c r="J1106" s="577">
        <f t="shared" si="182"/>
        <v>2.0241666666666668E-2</v>
      </c>
      <c r="K1106" s="577">
        <f t="shared" si="182"/>
        <v>3.5883333333333337E-2</v>
      </c>
      <c r="L1106" s="585">
        <f t="shared" si="191"/>
        <v>0.23643307526025992</v>
      </c>
      <c r="M1106" s="585">
        <f t="shared" si="192"/>
        <v>2.64E-2</v>
      </c>
      <c r="N1106" s="585">
        <f t="shared" si="184"/>
        <v>3.6700000000000003E-2</v>
      </c>
      <c r="O1106" s="586">
        <f t="shared" si="193"/>
        <v>0.21003307526025991</v>
      </c>
      <c r="P1106" s="585">
        <f t="shared" si="185"/>
        <v>0.19973307526025991</v>
      </c>
      <c r="Q1106" s="585">
        <f t="shared" si="186"/>
        <v>0.19037163810587621</v>
      </c>
      <c r="R1106" s="585">
        <f t="shared" si="187"/>
        <v>3.7400000000000003E-2</v>
      </c>
      <c r="S1106" s="586">
        <f t="shared" si="188"/>
        <v>0.15297163810587622</v>
      </c>
    </row>
    <row r="1107" spans="1:19" s="577" customFormat="1">
      <c r="A1107" s="600">
        <v>43040</v>
      </c>
      <c r="B1107" s="577">
        <v>3.0700000000000002E-2</v>
      </c>
      <c r="C1107" s="577">
        <v>2.75E-2</v>
      </c>
      <c r="D1107" s="577">
        <v>2.0999999999999999E-3</v>
      </c>
      <c r="E1107" s="577">
        <v>3.0000000000000001E-3</v>
      </c>
      <c r="F1107" s="577">
        <v>3.1166666666666669E-3</v>
      </c>
      <c r="G1107" s="577">
        <f t="shared" si="189"/>
        <v>3.0583333333333335E-3</v>
      </c>
      <c r="H1107" s="577">
        <v>3.1166666666666669E-3</v>
      </c>
      <c r="I1107" s="577">
        <f t="shared" si="190"/>
        <v>2.86E-2</v>
      </c>
      <c r="J1107" s="577">
        <f t="shared" si="182"/>
        <v>2.7641666666666669E-2</v>
      </c>
      <c r="K1107" s="577">
        <f t="shared" si="182"/>
        <v>2.4383333333333333E-2</v>
      </c>
      <c r="L1107" s="585">
        <f t="shared" si="191"/>
        <v>0.22892147605665381</v>
      </c>
      <c r="M1107" s="585">
        <f t="shared" si="192"/>
        <v>2.52E-2</v>
      </c>
      <c r="N1107" s="585">
        <f t="shared" si="184"/>
        <v>3.6700000000000003E-2</v>
      </c>
      <c r="O1107" s="586">
        <f t="shared" si="193"/>
        <v>0.20372147605665381</v>
      </c>
      <c r="P1107" s="585">
        <f t="shared" si="185"/>
        <v>0.19222147605665379</v>
      </c>
      <c r="Q1107" s="585">
        <f t="shared" si="186"/>
        <v>0.29278813883710808</v>
      </c>
      <c r="R1107" s="585">
        <f t="shared" si="187"/>
        <v>3.7400000000000003E-2</v>
      </c>
      <c r="S1107" s="586">
        <f t="shared" si="188"/>
        <v>0.25538813883710809</v>
      </c>
    </row>
    <row r="1108" spans="1:19" s="577" customFormat="1">
      <c r="A1108" s="600">
        <v>43070</v>
      </c>
      <c r="B1108" s="577">
        <v>1.11E-2</v>
      </c>
      <c r="C1108" s="577">
        <v>-6.13E-2</v>
      </c>
      <c r="D1108" s="577">
        <v>2E-3</v>
      </c>
      <c r="E1108" s="577">
        <v>2.9249999999999996E-3</v>
      </c>
      <c r="F1108" s="577">
        <v>3.0083333333333333E-3</v>
      </c>
      <c r="G1108" s="577">
        <f t="shared" si="189"/>
        <v>2.9666666666666665E-3</v>
      </c>
      <c r="H1108" s="577">
        <v>3.0166666666666671E-3</v>
      </c>
      <c r="I1108" s="577">
        <f t="shared" si="190"/>
        <v>9.1000000000000004E-3</v>
      </c>
      <c r="J1108" s="577">
        <f t="shared" si="182"/>
        <v>8.1333333333333344E-3</v>
      </c>
      <c r="K1108" s="577">
        <f t="shared" si="182"/>
        <v>-6.4316666666666661E-2</v>
      </c>
      <c r="L1108" s="585">
        <f t="shared" si="191"/>
        <v>0.21843744306813351</v>
      </c>
      <c r="M1108" s="585">
        <f t="shared" si="192"/>
        <v>2.4E-2</v>
      </c>
      <c r="N1108" s="585">
        <f t="shared" si="184"/>
        <v>3.56E-2</v>
      </c>
      <c r="O1108" s="586">
        <f t="shared" si="193"/>
        <v>0.19443744306813351</v>
      </c>
      <c r="P1108" s="585">
        <f t="shared" si="185"/>
        <v>0.18283744306813351</v>
      </c>
      <c r="Q1108" s="585">
        <f t="shared" si="186"/>
        <v>0.15641340377967738</v>
      </c>
      <c r="R1108" s="585">
        <f t="shared" si="187"/>
        <v>3.6200000000000003E-2</v>
      </c>
      <c r="S1108" s="586">
        <f t="shared" si="188"/>
        <v>0.12021340377967737</v>
      </c>
    </row>
    <row r="1109" spans="1:19" s="577" customFormat="1">
      <c r="A1109" s="600">
        <v>43101</v>
      </c>
      <c r="B1109" s="601">
        <v>5.7299999999999997E-2</v>
      </c>
      <c r="C1109" s="601">
        <v>-3.0700000000000002E-2</v>
      </c>
      <c r="D1109" s="601">
        <v>2.3999999999999998E-3</v>
      </c>
      <c r="E1109" s="601">
        <v>2.9249999999999996E-3</v>
      </c>
      <c r="F1109" s="601">
        <v>3.0083333333333333E-3</v>
      </c>
      <c r="G1109" s="601">
        <f t="shared" si="189"/>
        <v>2.9666666666666665E-3</v>
      </c>
      <c r="H1109" s="601">
        <v>3.1583333333333337E-3</v>
      </c>
      <c r="I1109" s="577">
        <f t="shared" si="190"/>
        <v>5.4899999999999997E-2</v>
      </c>
      <c r="J1109" s="601">
        <f t="shared" si="182"/>
        <v>5.4333333333333331E-2</v>
      </c>
      <c r="K1109" s="601">
        <f t="shared" si="182"/>
        <v>-3.3858333333333338E-2</v>
      </c>
      <c r="L1109" s="585">
        <f t="shared" si="191"/>
        <v>0.26423347257697594</v>
      </c>
      <c r="M1109" s="585">
        <f t="shared" si="192"/>
        <v>2.8799999999999999E-2</v>
      </c>
      <c r="N1109" s="602">
        <f t="shared" si="184"/>
        <v>3.56E-2</v>
      </c>
      <c r="O1109" s="586">
        <f t="shared" si="193"/>
        <v>0.23543347257697594</v>
      </c>
      <c r="P1109" s="585">
        <f t="shared" si="185"/>
        <v>0.22863347257697594</v>
      </c>
      <c r="Q1109" s="585">
        <f t="shared" si="186"/>
        <v>0.10696376879680214</v>
      </c>
      <c r="R1109" s="602">
        <f t="shared" si="187"/>
        <v>3.7900000000000003E-2</v>
      </c>
      <c r="S1109" s="586">
        <f t="shared" si="188"/>
        <v>6.9063768796802136E-2</v>
      </c>
    </row>
    <row r="1110" spans="1:19" s="577" customFormat="1">
      <c r="A1110" s="600">
        <v>43132</v>
      </c>
      <c r="B1110" s="601">
        <v>-3.6900000000000002E-2</v>
      </c>
      <c r="C1110" s="601">
        <v>-3.8399999999999997E-2</v>
      </c>
      <c r="D1110" s="601">
        <v>2.2000000000000001E-3</v>
      </c>
      <c r="E1110" s="601">
        <v>2.9583333333333332E-3</v>
      </c>
      <c r="F1110" s="601">
        <v>3.0666666666666672E-3</v>
      </c>
      <c r="G1110" s="601">
        <f t="shared" si="189"/>
        <v>3.0125000000000004E-3</v>
      </c>
      <c r="H1110" s="601">
        <v>3.2166666666666667E-3</v>
      </c>
      <c r="I1110" s="577">
        <f t="shared" si="190"/>
        <v>-3.9100000000000003E-2</v>
      </c>
      <c r="J1110" s="601">
        <f t="shared" si="182"/>
        <v>-3.9912500000000004E-2</v>
      </c>
      <c r="K1110" s="601">
        <f t="shared" si="182"/>
        <v>-4.1616666666666663E-2</v>
      </c>
      <c r="L1110" s="585">
        <f t="shared" si="191"/>
        <v>0.1710909468489803</v>
      </c>
      <c r="M1110" s="585">
        <f t="shared" si="192"/>
        <v>2.64E-2</v>
      </c>
      <c r="N1110" s="602">
        <f t="shared" si="184"/>
        <v>3.6150000000000002E-2</v>
      </c>
      <c r="O1110" s="586">
        <f t="shared" si="193"/>
        <v>0.14469094684898029</v>
      </c>
      <c r="P1110" s="585">
        <f t="shared" si="185"/>
        <v>0.13494094684898028</v>
      </c>
      <c r="Q1110" s="585">
        <f t="shared" si="186"/>
        <v>1.1263879987654546E-2</v>
      </c>
      <c r="R1110" s="602">
        <f t="shared" si="187"/>
        <v>3.8600000000000002E-2</v>
      </c>
      <c r="S1110" s="586">
        <f t="shared" si="188"/>
        <v>-2.7336120012345456E-2</v>
      </c>
    </row>
    <row r="1111" spans="1:19" s="577" customFormat="1">
      <c r="A1111" s="600">
        <v>43160</v>
      </c>
      <c r="B1111" s="601">
        <v>-2.5399999999999999E-2</v>
      </c>
      <c r="C1111" s="601">
        <v>3.7699999999999997E-2</v>
      </c>
      <c r="D1111" s="601">
        <v>2.3999999999999998E-3</v>
      </c>
      <c r="E1111" s="601">
        <v>3.225E-3</v>
      </c>
      <c r="F1111" s="601">
        <v>3.3250000000000003E-3</v>
      </c>
      <c r="G1111" s="601">
        <f t="shared" si="189"/>
        <v>3.2750000000000001E-3</v>
      </c>
      <c r="H1111" s="601">
        <v>3.4416666666666667E-3</v>
      </c>
      <c r="I1111" s="577">
        <f t="shared" si="190"/>
        <v>-2.7799999999999998E-2</v>
      </c>
      <c r="J1111" s="601">
        <f t="shared" si="182"/>
        <v>-2.8674999999999999E-2</v>
      </c>
      <c r="K1111" s="601">
        <f t="shared" si="182"/>
        <v>3.4258333333333328E-2</v>
      </c>
      <c r="L1111" s="585">
        <f t="shared" si="191"/>
        <v>0.13997726408211797</v>
      </c>
      <c r="M1111" s="585">
        <f t="shared" si="192"/>
        <v>2.8799999999999999E-2</v>
      </c>
      <c r="N1111" s="602">
        <f t="shared" si="184"/>
        <v>3.9300000000000002E-2</v>
      </c>
      <c r="O1111" s="586">
        <f t="shared" si="193"/>
        <v>0.11117726408211798</v>
      </c>
      <c r="P1111" s="585">
        <f t="shared" si="185"/>
        <v>0.10067726408211797</v>
      </c>
      <c r="Q1111" s="585">
        <f t="shared" si="186"/>
        <v>1.9021682135549556E-2</v>
      </c>
      <c r="R1111" s="602">
        <f t="shared" si="187"/>
        <v>4.1300000000000003E-2</v>
      </c>
      <c r="S1111" s="586">
        <f t="shared" si="188"/>
        <v>-2.2278317864450448E-2</v>
      </c>
    </row>
    <row r="1112" spans="1:19" s="577" customFormat="1">
      <c r="A1112" s="600">
        <v>43191</v>
      </c>
      <c r="B1112" s="601">
        <v>3.8E-3</v>
      </c>
      <c r="C1112" s="601">
        <v>2.1000000000000001E-2</v>
      </c>
      <c r="D1112" s="601">
        <v>2.5000000000000001E-3</v>
      </c>
      <c r="E1112" s="601">
        <v>3.2083333333333334E-3</v>
      </c>
      <c r="F1112" s="601">
        <v>3.3416666666666668E-3</v>
      </c>
      <c r="G1112" s="601">
        <f t="shared" si="189"/>
        <v>3.2750000000000001E-3</v>
      </c>
      <c r="H1112" s="601">
        <v>3.4749999999999998E-3</v>
      </c>
      <c r="I1112" s="577">
        <f t="shared" si="190"/>
        <v>1.2999999999999999E-3</v>
      </c>
      <c r="J1112" s="601">
        <f t="shared" si="182"/>
        <v>5.2499999999999986E-4</v>
      </c>
      <c r="K1112" s="601">
        <f t="shared" si="182"/>
        <v>1.7525000000000002E-2</v>
      </c>
      <c r="L1112" s="585">
        <f t="shared" si="191"/>
        <v>0.13264295524658998</v>
      </c>
      <c r="M1112" s="585">
        <f t="shared" si="192"/>
        <v>0.03</v>
      </c>
      <c r="N1112" s="602">
        <f t="shared" si="184"/>
        <v>3.9300000000000002E-2</v>
      </c>
      <c r="O1112" s="586">
        <f t="shared" si="193"/>
        <v>0.10264295524658998</v>
      </c>
      <c r="P1112" s="585">
        <f t="shared" si="185"/>
        <v>9.3342955246589976E-2</v>
      </c>
      <c r="Q1112" s="585">
        <f t="shared" si="186"/>
        <v>3.2368661897594908E-2</v>
      </c>
      <c r="R1112" s="602">
        <f t="shared" si="187"/>
        <v>4.1700000000000001E-2</v>
      </c>
      <c r="S1112" s="586">
        <f t="shared" si="188"/>
        <v>-9.3313381024050929E-3</v>
      </c>
    </row>
    <row r="1113" spans="1:19" s="577" customFormat="1">
      <c r="A1113" s="600">
        <v>43221</v>
      </c>
      <c r="B1113" s="601">
        <v>2.41E-2</v>
      </c>
      <c r="C1113" s="601">
        <v>-1.14E-2</v>
      </c>
      <c r="D1113" s="601">
        <v>2.5000000000000001E-3</v>
      </c>
      <c r="E1113" s="601">
        <v>3.3250000000000003E-3</v>
      </c>
      <c r="F1113" s="601">
        <v>3.4333333333333334E-3</v>
      </c>
      <c r="G1113" s="601">
        <f t="shared" si="189"/>
        <v>3.3791666666666666E-3</v>
      </c>
      <c r="H1113" s="601">
        <v>3.5666666666666668E-3</v>
      </c>
      <c r="I1113" s="577">
        <f t="shared" si="190"/>
        <v>2.1600000000000001E-2</v>
      </c>
      <c r="J1113" s="601">
        <f t="shared" si="182"/>
        <v>2.0720833333333334E-2</v>
      </c>
      <c r="K1113" s="601">
        <f t="shared" si="182"/>
        <v>-1.4966666666666666E-2</v>
      </c>
      <c r="L1113" s="585">
        <f t="shared" si="191"/>
        <v>0.14381190264079735</v>
      </c>
      <c r="M1113" s="585">
        <f t="shared" si="192"/>
        <v>0.03</v>
      </c>
      <c r="N1113" s="602">
        <f t="shared" si="184"/>
        <v>4.0550000000000003E-2</v>
      </c>
      <c r="O1113" s="586">
        <f t="shared" si="193"/>
        <v>0.11381190264079735</v>
      </c>
      <c r="P1113" s="585">
        <f t="shared" si="185"/>
        <v>0.10326190264079735</v>
      </c>
      <c r="Q1113" s="585">
        <f t="shared" si="186"/>
        <v>-2.0725715647704979E-2</v>
      </c>
      <c r="R1113" s="602">
        <f t="shared" si="187"/>
        <v>4.2800000000000005E-2</v>
      </c>
      <c r="S1113" s="586">
        <f t="shared" si="188"/>
        <v>-6.3525715647704983E-2</v>
      </c>
    </row>
    <row r="1114" spans="1:19" s="577" customFormat="1">
      <c r="A1114" s="600">
        <v>43252</v>
      </c>
      <c r="B1114" s="601">
        <v>6.1999999999999998E-3</v>
      </c>
      <c r="C1114" s="601">
        <v>2.7300000000000001E-2</v>
      </c>
      <c r="D1114" s="601">
        <v>2.3E-3</v>
      </c>
      <c r="E1114" s="601">
        <v>3.3E-3</v>
      </c>
      <c r="F1114" s="601">
        <v>3.4250000000000001E-3</v>
      </c>
      <c r="G1114" s="601">
        <f t="shared" si="189"/>
        <v>3.3625E-3</v>
      </c>
      <c r="H1114" s="601">
        <v>3.5583333333333326E-3</v>
      </c>
      <c r="I1114" s="577">
        <f t="shared" si="190"/>
        <v>3.8999999999999998E-3</v>
      </c>
      <c r="J1114" s="601">
        <f t="shared" si="182"/>
        <v>2.8374999999999997E-3</v>
      </c>
      <c r="K1114" s="601">
        <f t="shared" si="182"/>
        <v>2.3741666666666668E-2</v>
      </c>
      <c r="L1114" s="585">
        <f t="shared" si="191"/>
        <v>0.14381190264079713</v>
      </c>
      <c r="M1114" s="585">
        <f t="shared" si="192"/>
        <v>2.76E-2</v>
      </c>
      <c r="N1114" s="602">
        <f t="shared" si="184"/>
        <v>4.0349999999999997E-2</v>
      </c>
      <c r="O1114" s="586">
        <f t="shared" si="193"/>
        <v>0.11621190264079713</v>
      </c>
      <c r="P1114" s="585">
        <f t="shared" si="185"/>
        <v>0.10346190264079713</v>
      </c>
      <c r="Q1114" s="585">
        <f t="shared" si="186"/>
        <v>3.3924431978533232E-2</v>
      </c>
      <c r="R1114" s="602">
        <f t="shared" si="187"/>
        <v>4.2699999999999988E-2</v>
      </c>
      <c r="S1114" s="586">
        <f t="shared" si="188"/>
        <v>-8.7755680214667564E-3</v>
      </c>
    </row>
    <row r="1115" spans="1:19" s="577" customFormat="1">
      <c r="A1115" s="600">
        <v>43282</v>
      </c>
      <c r="B1115" s="601">
        <v>3.7199999999999997E-2</v>
      </c>
      <c r="C1115" s="601">
        <v>1.8599999999999998E-2</v>
      </c>
      <c r="D1115" s="601">
        <v>2.5000000000000001E-3</v>
      </c>
      <c r="E1115" s="601">
        <v>3.225E-3</v>
      </c>
      <c r="F1115" s="601">
        <v>3.3916666666666665E-3</v>
      </c>
      <c r="G1115" s="601">
        <f t="shared" si="189"/>
        <v>3.3083333333333333E-3</v>
      </c>
      <c r="H1115" s="601">
        <v>3.5583333333333326E-3</v>
      </c>
      <c r="I1115" s="577">
        <f t="shared" si="190"/>
        <v>3.4699999999999995E-2</v>
      </c>
      <c r="J1115" s="601">
        <f t="shared" si="182"/>
        <v>3.3891666666666667E-2</v>
      </c>
      <c r="K1115" s="601">
        <f t="shared" si="182"/>
        <v>1.5041666666666665E-2</v>
      </c>
      <c r="L1115" s="585">
        <f t="shared" si="191"/>
        <v>0.16241593711447644</v>
      </c>
      <c r="M1115" s="585">
        <f t="shared" si="192"/>
        <v>0.03</v>
      </c>
      <c r="N1115" s="602">
        <f t="shared" si="184"/>
        <v>3.9699999999999999E-2</v>
      </c>
      <c r="O1115" s="586">
        <f t="shared" si="193"/>
        <v>0.13241593711447644</v>
      </c>
      <c r="P1115" s="585">
        <f t="shared" si="185"/>
        <v>0.12271593711447644</v>
      </c>
      <c r="Q1115" s="585">
        <f t="shared" si="186"/>
        <v>2.8070506065339895E-2</v>
      </c>
      <c r="R1115" s="602">
        <f t="shared" si="187"/>
        <v>4.2699999999999988E-2</v>
      </c>
      <c r="S1115" s="586">
        <f t="shared" si="188"/>
        <v>-1.4629493934660093E-2</v>
      </c>
    </row>
    <row r="1116" spans="1:19" s="577" customFormat="1">
      <c r="A1116" s="600">
        <v>43313</v>
      </c>
      <c r="B1116" s="601">
        <v>3.2599999999999997E-2</v>
      </c>
      <c r="C1116" s="601">
        <v>1.1299999999999999E-2</v>
      </c>
      <c r="D1116" s="601">
        <v>2.5000000000000001E-3</v>
      </c>
      <c r="E1116" s="601">
        <v>3.2333333333333329E-3</v>
      </c>
      <c r="F1116" s="601">
        <v>3.3749999999999995E-3</v>
      </c>
      <c r="G1116" s="601">
        <f t="shared" si="189"/>
        <v>3.3041666666666662E-3</v>
      </c>
      <c r="H1116" s="601">
        <v>3.5499999999999998E-3</v>
      </c>
      <c r="I1116" s="577">
        <f t="shared" si="190"/>
        <v>3.0099999999999998E-2</v>
      </c>
      <c r="J1116" s="601">
        <f t="shared" si="182"/>
        <v>2.929583333333333E-2</v>
      </c>
      <c r="K1116" s="601">
        <f t="shared" si="182"/>
        <v>7.7499999999999999E-3</v>
      </c>
      <c r="L1116" s="585">
        <f t="shared" si="191"/>
        <v>0.19660123284259634</v>
      </c>
      <c r="M1116" s="585">
        <f t="shared" si="192"/>
        <v>0.03</v>
      </c>
      <c r="N1116" s="602">
        <f t="shared" si="184"/>
        <v>3.9649999999999991E-2</v>
      </c>
      <c r="O1116" s="586">
        <f t="shared" si="193"/>
        <v>0.16660123284259634</v>
      </c>
      <c r="P1116" s="585">
        <f t="shared" si="185"/>
        <v>0.15695123284259635</v>
      </c>
      <c r="Q1116" s="585">
        <f t="shared" si="186"/>
        <v>7.0589914605561077E-3</v>
      </c>
      <c r="R1116" s="602">
        <f t="shared" si="187"/>
        <v>4.2599999999999999E-2</v>
      </c>
      <c r="S1116" s="586">
        <f t="shared" si="188"/>
        <v>-3.5541008539443891E-2</v>
      </c>
    </row>
    <row r="1117" spans="1:19" s="577" customFormat="1">
      <c r="A1117" s="600">
        <v>43344</v>
      </c>
      <c r="B1117" s="601">
        <v>5.7000000000000002E-3</v>
      </c>
      <c r="C1117" s="601">
        <v>-6.0000000000000001E-3</v>
      </c>
      <c r="D1117" s="601">
        <v>2.2000000000000001E-3</v>
      </c>
      <c r="E1117" s="601">
        <v>3.2333333333333329E-3</v>
      </c>
      <c r="F1117" s="601">
        <v>3.3749999999999995E-3</v>
      </c>
      <c r="G1117" s="601">
        <f t="shared" si="189"/>
        <v>3.3041666666666662E-3</v>
      </c>
      <c r="H1117" s="601">
        <v>3.5499999999999998E-3</v>
      </c>
      <c r="I1117" s="577">
        <f t="shared" si="190"/>
        <v>3.5000000000000001E-3</v>
      </c>
      <c r="J1117" s="601">
        <f t="shared" si="182"/>
        <v>2.395833333333334E-3</v>
      </c>
      <c r="K1117" s="601">
        <f t="shared" si="182"/>
        <v>-9.5499999999999995E-3</v>
      </c>
      <c r="L1117" s="585">
        <f t="shared" si="191"/>
        <v>0.17913174590417347</v>
      </c>
      <c r="M1117" s="585">
        <f t="shared" si="192"/>
        <v>2.64E-2</v>
      </c>
      <c r="N1117" s="602">
        <f t="shared" si="184"/>
        <v>3.9649999999999991E-2</v>
      </c>
      <c r="O1117" s="586">
        <f t="shared" si="193"/>
        <v>0.15273174590417346</v>
      </c>
      <c r="P1117" s="585">
        <f t="shared" si="185"/>
        <v>0.13948174590417348</v>
      </c>
      <c r="Q1117" s="585">
        <f t="shared" si="186"/>
        <v>2.9111378134874855E-2</v>
      </c>
      <c r="R1117" s="602">
        <f t="shared" si="187"/>
        <v>4.2599999999999999E-2</v>
      </c>
      <c r="S1117" s="586">
        <f t="shared" si="188"/>
        <v>-1.3488621865125144E-2</v>
      </c>
    </row>
    <row r="1118" spans="1:19" s="577" customFormat="1">
      <c r="A1118" s="600">
        <v>43374</v>
      </c>
      <c r="B1118" s="601">
        <v>-6.8400000000000002E-2</v>
      </c>
      <c r="C1118" s="601">
        <v>1.95E-2</v>
      </c>
      <c r="D1118" s="601">
        <v>3.0000000000000001E-3</v>
      </c>
      <c r="E1118" s="601">
        <v>3.4499999999999999E-3</v>
      </c>
      <c r="F1118" s="601">
        <v>3.5666666666666663E-3</v>
      </c>
      <c r="G1118" s="601">
        <f t="shared" si="189"/>
        <v>3.5083333333333329E-3</v>
      </c>
      <c r="H1118" s="601">
        <v>3.7083333333333334E-3</v>
      </c>
      <c r="I1118" s="577">
        <f t="shared" si="190"/>
        <v>-7.1400000000000005E-2</v>
      </c>
      <c r="J1118" s="601">
        <f t="shared" si="182"/>
        <v>-7.1908333333333338E-2</v>
      </c>
      <c r="K1118" s="601">
        <f t="shared" si="182"/>
        <v>1.5791666666666666E-2</v>
      </c>
      <c r="L1118" s="585">
        <f t="shared" si="191"/>
        <v>7.3467345337953294E-2</v>
      </c>
      <c r="M1118" s="585">
        <f t="shared" si="192"/>
        <v>3.6000000000000004E-2</v>
      </c>
      <c r="N1118" s="602">
        <f t="shared" si="184"/>
        <v>4.2099999999999999E-2</v>
      </c>
      <c r="O1118" s="586">
        <f t="shared" si="193"/>
        <v>3.7467345337953289E-2</v>
      </c>
      <c r="P1118" s="585">
        <f t="shared" si="185"/>
        <v>3.1367345337953295E-2</v>
      </c>
      <c r="Q1118" s="585">
        <f t="shared" si="186"/>
        <v>9.7969682468770358E-3</v>
      </c>
      <c r="R1118" s="602">
        <f t="shared" si="187"/>
        <v>4.4499999999999998E-2</v>
      </c>
      <c r="S1118" s="586">
        <f t="shared" si="188"/>
        <v>-3.4703031753122962E-2</v>
      </c>
    </row>
    <row r="1119" spans="1:19">
      <c r="A1119" s="600">
        <v>43405</v>
      </c>
      <c r="B1119" s="601">
        <v>2.0400000000000001E-2</v>
      </c>
      <c r="C1119" s="601">
        <v>3.5499999999999997E-2</v>
      </c>
      <c r="D1119" s="601">
        <v>2.8E-3</v>
      </c>
      <c r="E1119" s="601">
        <v>3.5166666666666662E-3</v>
      </c>
      <c r="F1119" s="601">
        <v>3.6833333333333336E-3</v>
      </c>
      <c r="G1119" s="601">
        <f t="shared" si="189"/>
        <v>3.5999999999999999E-3</v>
      </c>
      <c r="H1119" s="601">
        <v>3.7750000000000001E-3</v>
      </c>
      <c r="I1119" s="577">
        <f t="shared" si="190"/>
        <v>1.7600000000000001E-2</v>
      </c>
      <c r="J1119" s="601">
        <f t="shared" si="182"/>
        <v>1.6800000000000002E-2</v>
      </c>
      <c r="K1119" s="601">
        <f t="shared" si="182"/>
        <v>3.1724999999999996E-2</v>
      </c>
      <c r="L1119" s="585">
        <f t="shared" si="191"/>
        <v>6.2739962339039002E-2</v>
      </c>
      <c r="M1119" s="585">
        <f t="shared" si="192"/>
        <v>3.3599999999999998E-2</v>
      </c>
      <c r="N1119" s="602">
        <f t="shared" si="184"/>
        <v>4.3200000000000002E-2</v>
      </c>
      <c r="O1119" s="586">
        <f t="shared" si="193"/>
        <v>2.9139962339039004E-2</v>
      </c>
      <c r="P1119" s="585">
        <f t="shared" si="185"/>
        <v>1.9539962339038999E-2</v>
      </c>
      <c r="Q1119" s="585">
        <f t="shared" si="186"/>
        <v>1.7659134423008371E-2</v>
      </c>
      <c r="R1119" s="602">
        <f t="shared" si="187"/>
        <v>4.53E-2</v>
      </c>
      <c r="S1119" s="586">
        <f t="shared" si="188"/>
        <v>-2.7640865576991629E-2</v>
      </c>
    </row>
    <row r="1120" spans="1:19">
      <c r="A1120" s="600">
        <v>43435</v>
      </c>
      <c r="B1120" s="601">
        <v>-9.0300000000000005E-2</v>
      </c>
      <c r="C1120" s="601">
        <v>-4.0099999999999997E-2</v>
      </c>
      <c r="D1120" s="601">
        <v>2.7000000000000001E-3</v>
      </c>
      <c r="E1120" s="601">
        <v>3.5166666666666662E-3</v>
      </c>
      <c r="F1120" s="601">
        <v>3.6416666666666667E-3</v>
      </c>
      <c r="G1120" s="601">
        <f t="shared" si="189"/>
        <v>3.5791666666666663E-3</v>
      </c>
      <c r="H1120" s="601">
        <v>3.7750000000000001E-3</v>
      </c>
      <c r="I1120" s="577">
        <f t="shared" si="190"/>
        <v>-9.2999999999999999E-2</v>
      </c>
      <c r="J1120" s="601">
        <f t="shared" si="182"/>
        <v>-9.3879166666666666E-2</v>
      </c>
      <c r="K1120" s="601">
        <f t="shared" si="182"/>
        <v>-4.3874999999999997E-2</v>
      </c>
      <c r="L1120" s="585">
        <f t="shared" si="191"/>
        <v>-4.3838845079790523E-2</v>
      </c>
      <c r="M1120" s="585">
        <f t="shared" si="192"/>
        <v>3.2399999999999998E-2</v>
      </c>
      <c r="N1120" s="602">
        <f t="shared" si="184"/>
        <v>4.2949999999999995E-2</v>
      </c>
      <c r="O1120" s="586">
        <f t="shared" si="193"/>
        <v>-7.6238845079790521E-2</v>
      </c>
      <c r="P1120" s="585">
        <f t="shared" si="185"/>
        <v>-8.6788845079790511E-2</v>
      </c>
      <c r="Q1120" s="585">
        <f t="shared" si="186"/>
        <v>4.0642381093688895E-2</v>
      </c>
      <c r="R1120" s="602">
        <f t="shared" si="187"/>
        <v>4.53E-2</v>
      </c>
      <c r="S1120" s="586">
        <f t="shared" si="188"/>
        <v>-4.6576189063111048E-3</v>
      </c>
    </row>
    <row r="1121" spans="1:19">
      <c r="A1121" s="600">
        <v>43466</v>
      </c>
      <c r="B1121" s="577">
        <v>8.0100000000000005E-2</v>
      </c>
      <c r="C1121" s="577">
        <v>4.8399999999999999E-2</v>
      </c>
      <c r="D1121" s="577">
        <v>2.5000000000000001E-3</v>
      </c>
      <c r="E1121" s="577">
        <v>3.2750000000000001E-3</v>
      </c>
      <c r="F1121" s="577">
        <v>3.4499999999999999E-3</v>
      </c>
      <c r="G1121" s="601">
        <f t="shared" si="189"/>
        <v>3.3625E-3</v>
      </c>
      <c r="H1121" s="577">
        <v>3.6249999999999998E-3</v>
      </c>
      <c r="I1121" s="577">
        <f t="shared" si="190"/>
        <v>7.7600000000000002E-2</v>
      </c>
      <c r="J1121" s="601">
        <f t="shared" ref="J1121:K1136" si="194">B1121-G1121</f>
        <v>7.67375E-2</v>
      </c>
      <c r="K1121" s="601">
        <f t="shared" si="194"/>
        <v>4.4774999999999995E-2</v>
      </c>
      <c r="L1121" s="585">
        <f t="shared" si="191"/>
        <v>-2.3219839752843363E-2</v>
      </c>
      <c r="M1121" s="585">
        <f t="shared" si="192"/>
        <v>0.03</v>
      </c>
      <c r="N1121" s="602">
        <f t="shared" si="184"/>
        <v>4.0349999999999997E-2</v>
      </c>
      <c r="O1121" s="586">
        <f t="shared" si="193"/>
        <v>-5.3219839752843362E-2</v>
      </c>
      <c r="P1121" s="585">
        <f t="shared" si="185"/>
        <v>-6.356983975284336E-2</v>
      </c>
      <c r="Q1121" s="585">
        <f t="shared" si="186"/>
        <v>0.12556429623297571</v>
      </c>
      <c r="R1121" s="602">
        <f t="shared" si="187"/>
        <v>4.3499999999999997E-2</v>
      </c>
      <c r="S1121" s="586">
        <f t="shared" si="188"/>
        <v>8.2064296232975717E-2</v>
      </c>
    </row>
    <row r="1122" spans="1:19">
      <c r="A1122" s="600">
        <v>43497</v>
      </c>
      <c r="B1122" s="577">
        <v>3.2099999999999997E-2</v>
      </c>
      <c r="C1122" s="577">
        <v>4.1099999999999998E-2</v>
      </c>
      <c r="D1122" s="577">
        <v>2.2000000000000001E-3</v>
      </c>
      <c r="E1122" s="577">
        <v>3.1583333333333337E-3</v>
      </c>
      <c r="F1122" s="577">
        <v>3.3250000000000003E-3</v>
      </c>
      <c r="G1122" s="601">
        <f t="shared" si="189"/>
        <v>3.241666666666667E-3</v>
      </c>
      <c r="H1122" s="577">
        <v>3.5416666666666669E-3</v>
      </c>
      <c r="I1122" s="577">
        <f t="shared" si="190"/>
        <v>2.9899999999999996E-2</v>
      </c>
      <c r="J1122" s="601">
        <f t="shared" si="194"/>
        <v>2.885833333333333E-2</v>
      </c>
      <c r="K1122" s="601">
        <f t="shared" si="194"/>
        <v>3.7558333333333332E-2</v>
      </c>
      <c r="L1122" s="585">
        <f t="shared" si="191"/>
        <v>4.6760256869577521E-2</v>
      </c>
      <c r="M1122" s="585">
        <f t="shared" si="192"/>
        <v>2.64E-2</v>
      </c>
      <c r="N1122" s="602">
        <f t="shared" si="184"/>
        <v>3.8900000000000004E-2</v>
      </c>
      <c r="O1122" s="586">
        <f t="shared" si="193"/>
        <v>2.0360256869577521E-2</v>
      </c>
      <c r="P1122" s="585">
        <f t="shared" si="185"/>
        <v>7.8602568695775171E-3</v>
      </c>
      <c r="Q1122" s="585">
        <f t="shared" si="186"/>
        <v>0.21861999668068921</v>
      </c>
      <c r="R1122" s="602">
        <f t="shared" si="187"/>
        <v>4.2500000000000003E-2</v>
      </c>
      <c r="S1122" s="586">
        <f t="shared" si="188"/>
        <v>0.1761199966806892</v>
      </c>
    </row>
    <row r="1123" spans="1:19">
      <c r="A1123" s="600">
        <v>43525</v>
      </c>
      <c r="B1123" s="577">
        <v>1.9400000000000001E-2</v>
      </c>
      <c r="C1123" s="577">
        <v>2.8799999999999999E-2</v>
      </c>
      <c r="D1123" s="577">
        <v>2.3E-3</v>
      </c>
      <c r="E1123" s="577">
        <v>3.1583333333333337E-3</v>
      </c>
      <c r="F1123" s="577">
        <v>3.3250000000000003E-3</v>
      </c>
      <c r="G1123" s="601">
        <f t="shared" si="189"/>
        <v>3.241666666666667E-3</v>
      </c>
      <c r="H1123" s="577">
        <v>3.5416666666666669E-3</v>
      </c>
      <c r="I1123" s="577">
        <f t="shared" si="190"/>
        <v>1.7100000000000001E-2</v>
      </c>
      <c r="J1123" s="601">
        <f t="shared" si="194"/>
        <v>1.6158333333333334E-2</v>
      </c>
      <c r="K1123" s="601">
        <f t="shared" si="194"/>
        <v>2.5258333333333334E-2</v>
      </c>
      <c r="L1123" s="585">
        <f t="shared" si="191"/>
        <v>9.4877288993276743E-2</v>
      </c>
      <c r="M1123" s="585">
        <f t="shared" si="192"/>
        <v>2.76E-2</v>
      </c>
      <c r="N1123" s="602">
        <f t="shared" si="184"/>
        <v>3.8900000000000004E-2</v>
      </c>
      <c r="O1123" s="586">
        <f t="shared" si="193"/>
        <v>6.7277288993276743E-2</v>
      </c>
      <c r="P1123" s="585">
        <f t="shared" si="185"/>
        <v>5.5977288993276739E-2</v>
      </c>
      <c r="Q1123" s="585">
        <f t="shared" si="186"/>
        <v>0.20816830739625414</v>
      </c>
      <c r="R1123" s="602">
        <f t="shared" si="187"/>
        <v>4.2500000000000003E-2</v>
      </c>
      <c r="S1123" s="586">
        <f t="shared" si="188"/>
        <v>0.16566830739625413</v>
      </c>
    </row>
    <row r="1124" spans="1:19">
      <c r="A1124" s="600">
        <v>43556</v>
      </c>
      <c r="B1124" s="577">
        <v>4.0500000000000001E-2</v>
      </c>
      <c r="C1124" s="577">
        <v>9.2999999999999992E-3</v>
      </c>
      <c r="D1124" s="577">
        <v>2.3E-3</v>
      </c>
      <c r="E1124" s="577">
        <v>3.075E-3</v>
      </c>
      <c r="F1124" s="577">
        <v>3.2083333333333334E-3</v>
      </c>
      <c r="G1124" s="601">
        <f t="shared" si="189"/>
        <v>3.1416666666666667E-3</v>
      </c>
      <c r="H1124" s="577">
        <v>3.4000000000000002E-3</v>
      </c>
      <c r="I1124" s="577">
        <f t="shared" si="190"/>
        <v>3.8199999999999998E-2</v>
      </c>
      <c r="J1124" s="601">
        <f t="shared" si="194"/>
        <v>3.7358333333333334E-2</v>
      </c>
      <c r="K1124" s="601">
        <f t="shared" si="194"/>
        <v>5.899999999999999E-3</v>
      </c>
      <c r="L1124" s="585">
        <f t="shared" si="191"/>
        <v>0.13490717194411661</v>
      </c>
      <c r="M1124" s="585">
        <f t="shared" si="192"/>
        <v>2.76E-2</v>
      </c>
      <c r="N1124" s="602">
        <f t="shared" si="184"/>
        <v>3.7699999999999997E-2</v>
      </c>
      <c r="O1124" s="586">
        <f t="shared" si="193"/>
        <v>0.10730717194411661</v>
      </c>
      <c r="P1124" s="585">
        <f t="shared" si="185"/>
        <v>9.7207171944116613E-2</v>
      </c>
      <c r="Q1124" s="585">
        <f t="shared" si="186"/>
        <v>0.19432347958378005</v>
      </c>
      <c r="R1124" s="602">
        <f t="shared" si="187"/>
        <v>4.0800000000000003E-2</v>
      </c>
      <c r="S1124" s="586">
        <f t="shared" si="188"/>
        <v>0.15352347958378004</v>
      </c>
    </row>
    <row r="1125" spans="1:19">
      <c r="A1125" s="600">
        <v>43586</v>
      </c>
      <c r="B1125" s="577">
        <v>-6.3500000000000001E-2</v>
      </c>
      <c r="C1125" s="577">
        <v>-7.7999999999999996E-3</v>
      </c>
      <c r="D1125" s="577">
        <v>2.3E-3</v>
      </c>
      <c r="E1125" s="577">
        <v>3.0583333333333335E-3</v>
      </c>
      <c r="F1125" s="577">
        <v>3.1666666666666666E-3</v>
      </c>
      <c r="G1125" s="601">
        <f t="shared" si="189"/>
        <v>3.1124999999999998E-3</v>
      </c>
      <c r="H1125" s="577">
        <v>3.3166666666666665E-3</v>
      </c>
      <c r="I1125" s="577">
        <f t="shared" si="190"/>
        <v>-6.5799999999999997E-2</v>
      </c>
      <c r="J1125" s="601">
        <f t="shared" si="194"/>
        <v>-6.6612500000000005E-2</v>
      </c>
      <c r="K1125" s="601">
        <f t="shared" si="194"/>
        <v>-1.1116666666666667E-2</v>
      </c>
      <c r="L1125" s="585">
        <f t="shared" si="191"/>
        <v>3.7828890270154458E-2</v>
      </c>
      <c r="M1125" s="585">
        <f t="shared" si="192"/>
        <v>2.76E-2</v>
      </c>
      <c r="N1125" s="602">
        <f t="shared" si="184"/>
        <v>3.7349999999999994E-2</v>
      </c>
      <c r="O1125" s="586">
        <f t="shared" si="193"/>
        <v>1.0228890270154459E-2</v>
      </c>
      <c r="P1125" s="585">
        <f t="shared" si="185"/>
        <v>4.7889027015446395E-4</v>
      </c>
      <c r="Q1125" s="585">
        <f t="shared" si="186"/>
        <v>0.19867262436073885</v>
      </c>
      <c r="R1125" s="602">
        <f t="shared" si="187"/>
        <v>3.9800000000000002E-2</v>
      </c>
      <c r="S1125" s="586">
        <f t="shared" si="188"/>
        <v>0.15887262436073885</v>
      </c>
    </row>
    <row r="1126" spans="1:19">
      <c r="A1126" s="600">
        <v>43617</v>
      </c>
      <c r="B1126" s="577">
        <v>7.0499999999999993E-2</v>
      </c>
      <c r="C1126" s="577">
        <v>3.2199999999999999E-2</v>
      </c>
      <c r="D1126" s="577">
        <v>1.8E-3</v>
      </c>
      <c r="E1126" s="577">
        <v>3.0583333333333335E-3</v>
      </c>
      <c r="F1126" s="577">
        <v>3.1666666666666666E-3</v>
      </c>
      <c r="G1126" s="601">
        <f t="shared" si="189"/>
        <v>3.1124999999999998E-3</v>
      </c>
      <c r="H1126" s="577">
        <v>3.3166666666666665E-3</v>
      </c>
      <c r="I1126" s="577">
        <f t="shared" si="190"/>
        <v>6.8699999999999997E-2</v>
      </c>
      <c r="J1126" s="601">
        <f t="shared" si="194"/>
        <v>6.7387499999999989E-2</v>
      </c>
      <c r="K1126" s="601">
        <f t="shared" si="194"/>
        <v>2.8883333333333334E-2</v>
      </c>
      <c r="L1126" s="585">
        <f t="shared" si="191"/>
        <v>0.10415009643629514</v>
      </c>
      <c r="M1126" s="585">
        <f t="shared" si="192"/>
        <v>2.1600000000000001E-2</v>
      </c>
      <c r="N1126" s="602">
        <f t="shared" si="184"/>
        <v>3.7349999999999994E-2</v>
      </c>
      <c r="O1126" s="586">
        <f t="shared" si="193"/>
        <v>8.2550096436295128E-2</v>
      </c>
      <c r="P1126" s="585">
        <f t="shared" si="185"/>
        <v>6.6800096436295142E-2</v>
      </c>
      <c r="Q1126" s="585">
        <f t="shared" si="186"/>
        <v>0.20439003491205576</v>
      </c>
      <c r="R1126" s="602">
        <f t="shared" si="187"/>
        <v>3.9800000000000002E-2</v>
      </c>
      <c r="S1126" s="586">
        <f t="shared" si="188"/>
        <v>0.16459003491205576</v>
      </c>
    </row>
    <row r="1127" spans="1:19">
      <c r="A1127" s="600">
        <v>43647</v>
      </c>
      <c r="B1127" s="577">
        <v>1.44E-2</v>
      </c>
      <c r="C1127" s="577">
        <v>-2.7000000000000001E-3</v>
      </c>
      <c r="D1127" s="577">
        <v>2.0999999999999999E-3</v>
      </c>
      <c r="E1127" s="577">
        <v>2.7416666666666666E-3</v>
      </c>
      <c r="F1127" s="577">
        <v>2.8833333333333332E-3</v>
      </c>
      <c r="G1127" s="601">
        <f t="shared" si="189"/>
        <v>2.8124999999999999E-3</v>
      </c>
      <c r="H1127" s="577">
        <v>3.075E-3</v>
      </c>
      <c r="I1127" s="577">
        <f t="shared" si="190"/>
        <v>1.23E-2</v>
      </c>
      <c r="J1127" s="601">
        <f t="shared" si="194"/>
        <v>1.1587500000000001E-2</v>
      </c>
      <c r="K1127" s="601">
        <f t="shared" si="194"/>
        <v>-5.7750000000000006E-3</v>
      </c>
      <c r="L1127" s="585">
        <f t="shared" si="191"/>
        <v>7.9878382014055394E-2</v>
      </c>
      <c r="M1127" s="585">
        <f t="shared" si="192"/>
        <v>2.52E-2</v>
      </c>
      <c r="N1127" s="602">
        <f t="shared" si="184"/>
        <v>3.3750000000000002E-2</v>
      </c>
      <c r="O1127" s="586">
        <f t="shared" si="193"/>
        <v>5.4678382014055393E-2</v>
      </c>
      <c r="P1127" s="585">
        <f t="shared" si="185"/>
        <v>4.6128382014055391E-2</v>
      </c>
      <c r="Q1127" s="585">
        <f t="shared" si="186"/>
        <v>0.17920496938719155</v>
      </c>
      <c r="R1127" s="602">
        <f t="shared" si="187"/>
        <v>3.6900000000000002E-2</v>
      </c>
      <c r="S1127" s="586">
        <f t="shared" si="188"/>
        <v>0.14230496938719156</v>
      </c>
    </row>
    <row r="1128" spans="1:19">
      <c r="A1128" s="600">
        <v>43678</v>
      </c>
      <c r="B1128" s="577">
        <v>-1.5800000000000002E-2</v>
      </c>
      <c r="C1128" s="577">
        <v>5.1299999999999998E-2</v>
      </c>
      <c r="D1128" s="577">
        <v>1.9E-3</v>
      </c>
      <c r="E1128" s="577">
        <v>2.7416666666666666E-3</v>
      </c>
      <c r="F1128" s="577">
        <v>2.8833333333333332E-3</v>
      </c>
      <c r="G1128" s="601">
        <f t="shared" si="189"/>
        <v>2.8124999999999999E-3</v>
      </c>
      <c r="H1128" s="577">
        <v>3.075E-3</v>
      </c>
      <c r="I1128" s="577">
        <f t="shared" si="190"/>
        <v>-1.77E-2</v>
      </c>
      <c r="J1128" s="601">
        <f t="shared" si="194"/>
        <v>-1.8612500000000001E-2</v>
      </c>
      <c r="K1128" s="601">
        <f t="shared" si="194"/>
        <v>4.8224999999999997E-2</v>
      </c>
      <c r="L1128" s="585">
        <f t="shared" si="191"/>
        <v>2.9262350937665271E-2</v>
      </c>
      <c r="M1128" s="585">
        <f t="shared" si="192"/>
        <v>2.2800000000000001E-2</v>
      </c>
      <c r="N1128" s="602">
        <f t="shared" si="184"/>
        <v>3.3750000000000002E-2</v>
      </c>
      <c r="O1128" s="586">
        <f t="shared" si="193"/>
        <v>6.4623509376652705E-3</v>
      </c>
      <c r="P1128" s="585">
        <f>L1128-N1128</f>
        <v>-4.4876490623347309E-3</v>
      </c>
      <c r="Q1128" s="585">
        <f t="shared" ref="Q1128:Q1156" si="195">((1+C1117)*(1+C1118)*(1+C1119)*(1+C1120)*(1+C1121)*(1+C1122)*(1+C1123)*(1+C1124)*(1+C1125)*(1+C1126)*(1+C1127)*(1+C1128))-1</f>
        <v>0.22584612312543673</v>
      </c>
      <c r="R1128" s="602">
        <f t="shared" si="187"/>
        <v>3.6900000000000002E-2</v>
      </c>
      <c r="S1128" s="586">
        <f>Q1128-R1128</f>
        <v>0.18894612312543674</v>
      </c>
    </row>
    <row r="1129" spans="1:19">
      <c r="A1129" s="600">
        <v>43709</v>
      </c>
      <c r="B1129" s="577">
        <v>1.8700000000000001E-2</v>
      </c>
      <c r="C1129" s="577">
        <v>4.2500000000000003E-2</v>
      </c>
      <c r="D1129" s="577">
        <v>1.5E-3</v>
      </c>
      <c r="E1129" s="577">
        <v>2.4833333333333331E-3</v>
      </c>
      <c r="F1129" s="577">
        <v>2.5666666666666667E-3</v>
      </c>
      <c r="G1129" s="601">
        <f t="shared" si="189"/>
        <v>2.5249999999999999E-3</v>
      </c>
      <c r="H1129" s="577">
        <v>2.7416666666666666E-3</v>
      </c>
      <c r="I1129" s="577">
        <f t="shared" si="190"/>
        <v>1.72E-2</v>
      </c>
      <c r="J1129" s="601">
        <f t="shared" si="194"/>
        <v>1.6175000000000002E-2</v>
      </c>
      <c r="K1129" s="601">
        <f t="shared" si="194"/>
        <v>3.975833333333334E-2</v>
      </c>
      <c r="L1129" s="585">
        <f t="shared" si="191"/>
        <v>4.2566925425275626E-2</v>
      </c>
      <c r="M1129" s="585">
        <f t="shared" si="192"/>
        <v>1.8000000000000002E-2</v>
      </c>
      <c r="N1129" s="602">
        <f t="shared" si="184"/>
        <v>3.0300000000000001E-2</v>
      </c>
      <c r="O1129" s="586">
        <f t="shared" si="193"/>
        <v>2.4566925425275624E-2</v>
      </c>
      <c r="P1129" s="585">
        <f>L1129-N1129</f>
        <v>1.2266925425275625E-2</v>
      </c>
      <c r="Q1129" s="585">
        <f t="shared" si="195"/>
        <v>0.28565853456566126</v>
      </c>
      <c r="R1129" s="602">
        <f t="shared" si="187"/>
        <v>3.2899999999999999E-2</v>
      </c>
      <c r="S1129" s="586">
        <f>Q1129-R1129</f>
        <v>0.25275853456566127</v>
      </c>
    </row>
    <row r="1130" spans="1:19">
      <c r="A1130" s="600">
        <v>43739</v>
      </c>
      <c r="B1130" s="577">
        <v>2.1700000000000001E-2</v>
      </c>
      <c r="C1130" s="577">
        <v>-7.7000000000000002E-3</v>
      </c>
      <c r="D1130" s="577">
        <v>1.6000000000000001E-3</v>
      </c>
      <c r="E1130" s="577">
        <v>2.5249999999999999E-3</v>
      </c>
      <c r="F1130" s="577">
        <v>2.6083333333333332E-3</v>
      </c>
      <c r="G1130" s="601">
        <f t="shared" si="189"/>
        <v>2.5666666666666667E-3</v>
      </c>
      <c r="H1130" s="577">
        <v>2.8083333333333333E-3</v>
      </c>
      <c r="I1130" s="577">
        <f t="shared" si="190"/>
        <v>2.01E-2</v>
      </c>
      <c r="J1130" s="601">
        <f t="shared" si="194"/>
        <v>1.9133333333333336E-2</v>
      </c>
      <c r="K1130" s="601">
        <f t="shared" si="194"/>
        <v>-1.0508333333333333E-2</v>
      </c>
      <c r="L1130" s="585">
        <f t="shared" si="191"/>
        <v>0.1433991280667708</v>
      </c>
      <c r="M1130" s="585">
        <f t="shared" si="192"/>
        <v>1.9200000000000002E-2</v>
      </c>
      <c r="N1130" s="602">
        <f t="shared" si="184"/>
        <v>3.0800000000000001E-2</v>
      </c>
      <c r="O1130" s="586">
        <f t="shared" si="193"/>
        <v>0.1241991280667708</v>
      </c>
      <c r="P1130" s="585">
        <f>L1130-N1130</f>
        <v>0.1125991280667708</v>
      </c>
      <c r="Q1130" s="585">
        <f t="shared" si="195"/>
        <v>0.25135749274105557</v>
      </c>
      <c r="R1130" s="602">
        <f t="shared" si="187"/>
        <v>3.3700000000000001E-2</v>
      </c>
      <c r="S1130" s="586">
        <f>Q1130-R1130</f>
        <v>0.21765749274105556</v>
      </c>
    </row>
    <row r="1131" spans="1:19">
      <c r="A1131" s="600">
        <v>43770</v>
      </c>
      <c r="B1131" s="577">
        <v>3.6299999999999999E-2</v>
      </c>
      <c r="C1131" s="577">
        <v>-1.8599999999999998E-2</v>
      </c>
      <c r="D1131" s="577">
        <v>1.6000000000000001E-3</v>
      </c>
      <c r="E1131" s="577">
        <v>2.558333333333333E-3</v>
      </c>
      <c r="F1131" s="577">
        <v>2.6416666666666667E-3</v>
      </c>
      <c r="G1131" s="601">
        <f t="shared" si="189"/>
        <v>2.5999999999999999E-3</v>
      </c>
      <c r="H1131" s="577">
        <v>2.8583333333333334E-3</v>
      </c>
      <c r="I1131" s="577">
        <f t="shared" si="190"/>
        <v>3.4700000000000002E-2</v>
      </c>
      <c r="J1131" s="601">
        <f t="shared" si="194"/>
        <v>3.3700000000000001E-2</v>
      </c>
      <c r="K1131" s="601">
        <f t="shared" si="194"/>
        <v>-2.1458333333333333E-2</v>
      </c>
      <c r="L1131" s="585">
        <f t="shared" si="191"/>
        <v>0.16121571581300942</v>
      </c>
      <c r="M1131" s="585">
        <f t="shared" si="192"/>
        <v>1.9200000000000002E-2</v>
      </c>
      <c r="N1131" s="602">
        <f t="shared" si="184"/>
        <v>3.1199999999999999E-2</v>
      </c>
      <c r="O1131" s="586">
        <f t="shared" si="193"/>
        <v>0.14201571581300942</v>
      </c>
      <c r="P1131" s="585">
        <f>L1131-N1131</f>
        <v>0.13001571581300941</v>
      </c>
      <c r="Q1131" s="585">
        <f t="shared" si="195"/>
        <v>0.18597995497447739</v>
      </c>
      <c r="R1131" s="602">
        <f t="shared" si="187"/>
        <v>3.4299999999999997E-2</v>
      </c>
      <c r="S1131" s="586">
        <f>Q1131-R1131</f>
        <v>0.15167995497447739</v>
      </c>
    </row>
    <row r="1132" spans="1:19">
      <c r="A1132" s="600">
        <v>43800</v>
      </c>
      <c r="B1132" s="577">
        <v>3.0200000000000001E-2</v>
      </c>
      <c r="C1132" s="577">
        <v>3.4299999999999997E-2</v>
      </c>
      <c r="D1132" s="577">
        <v>1.8E-3</v>
      </c>
      <c r="E1132" s="577">
        <v>2.5083333333333329E-3</v>
      </c>
      <c r="F1132" s="577">
        <v>2.5916666666666666E-3</v>
      </c>
      <c r="G1132" s="601">
        <f t="shared" si="189"/>
        <v>2.5499999999999997E-3</v>
      </c>
      <c r="H1132" s="577">
        <v>2.8333333333333331E-3</v>
      </c>
      <c r="I1132" s="577">
        <f t="shared" si="190"/>
        <v>2.8400000000000002E-2</v>
      </c>
      <c r="J1132" s="601">
        <f t="shared" si="194"/>
        <v>2.7650000000000001E-2</v>
      </c>
      <c r="K1132" s="601">
        <f t="shared" si="194"/>
        <v>3.1466666666666664E-2</v>
      </c>
      <c r="L1132" s="585">
        <f t="shared" si="191"/>
        <v>0.31503180216616733</v>
      </c>
      <c r="M1132" s="585">
        <f t="shared" si="192"/>
        <v>2.1600000000000001E-2</v>
      </c>
      <c r="N1132" s="602">
        <f t="shared" si="184"/>
        <v>3.0599999999999995E-2</v>
      </c>
      <c r="O1132" s="586">
        <f t="shared" si="193"/>
        <v>0.29343180216616732</v>
      </c>
      <c r="P1132" s="585">
        <f>L1132-N1132</f>
        <v>0.28443180216616731</v>
      </c>
      <c r="Q1132" s="585">
        <f t="shared" si="195"/>
        <v>0.27790297679977294</v>
      </c>
      <c r="R1132" s="602">
        <f t="shared" si="187"/>
        <v>3.3999999999999996E-2</v>
      </c>
      <c r="S1132" s="586">
        <f>Q1132-R1132</f>
        <v>0.24390297679977294</v>
      </c>
    </row>
    <row r="1133" spans="1:19">
      <c r="A1133" s="600">
        <v>43831</v>
      </c>
      <c r="B1133" s="577">
        <v>-4.0000000000000002E-4</v>
      </c>
      <c r="C1133" s="577">
        <v>6.6537157778004855E-2</v>
      </c>
      <c r="D1133" s="577">
        <v>2E-3</v>
      </c>
      <c r="E1133" s="577">
        <v>2.4499999999999999E-3</v>
      </c>
      <c r="F1133" s="577">
        <v>2.5083333333333333E-3</v>
      </c>
      <c r="G1133" s="601">
        <f t="shared" si="189"/>
        <v>2.4791666666666668E-3</v>
      </c>
      <c r="H1133" s="577">
        <v>2.7333333333333337E-3</v>
      </c>
      <c r="I1133" s="577">
        <f t="shared" si="190"/>
        <v>-2.4000000000000002E-3</v>
      </c>
      <c r="J1133" s="601">
        <f t="shared" si="194"/>
        <v>-2.879166666666667E-3</v>
      </c>
      <c r="K1133" s="601">
        <f t="shared" si="194"/>
        <v>6.3803824444671517E-2</v>
      </c>
      <c r="L1133" s="585">
        <f t="shared" si="191"/>
        <v>0.21702230297685499</v>
      </c>
      <c r="M1133" s="585">
        <f t="shared" si="192"/>
        <v>2.4E-2</v>
      </c>
      <c r="N1133" s="602">
        <f t="shared" ref="N1133:N1144" si="196">G1133*12</f>
        <v>2.9750000000000002E-2</v>
      </c>
      <c r="O1133" s="586">
        <f t="shared" si="193"/>
        <v>0.19302230297685499</v>
      </c>
      <c r="P1133" s="585">
        <f t="shared" ref="P1133:P1144" si="197">L1133-N1133</f>
        <v>0.18727230297685499</v>
      </c>
      <c r="Q1133" s="585">
        <f t="shared" si="195"/>
        <v>0.30001050056474821</v>
      </c>
      <c r="R1133" s="602">
        <f t="shared" ref="R1133:R1144" si="198">H1133*12</f>
        <v>3.2800000000000003E-2</v>
      </c>
      <c r="S1133" s="586">
        <f t="shared" ref="S1133:S1144" si="199">Q1133-R1133</f>
        <v>0.26721050056474821</v>
      </c>
    </row>
    <row r="1134" spans="1:19">
      <c r="A1134" s="600">
        <v>43862</v>
      </c>
      <c r="B1134" s="577">
        <v>-8.2299999999999998E-2</v>
      </c>
      <c r="C1134" s="577">
        <v>-9.8453153025931217E-2</v>
      </c>
      <c r="D1134" s="577">
        <v>1.5E-3</v>
      </c>
      <c r="E1134" s="577">
        <v>2.316666666666667E-3</v>
      </c>
      <c r="F1134" s="577">
        <v>2.3749999999999999E-3</v>
      </c>
      <c r="G1134" s="601">
        <f t="shared" si="189"/>
        <v>2.3458333333333335E-3</v>
      </c>
      <c r="H1134" s="577">
        <v>2.5916666666666666E-3</v>
      </c>
      <c r="I1134" s="577">
        <f t="shared" si="190"/>
        <v>-8.3799999999999999E-2</v>
      </c>
      <c r="J1134" s="601">
        <f t="shared" si="194"/>
        <v>-8.4645833333333337E-2</v>
      </c>
      <c r="K1134" s="601">
        <f t="shared" si="194"/>
        <v>-0.10104481969259789</v>
      </c>
      <c r="L1134" s="585">
        <f t="shared" si="191"/>
        <v>8.2125150122913659E-2</v>
      </c>
      <c r="M1134" s="585">
        <f t="shared" si="192"/>
        <v>1.8000000000000002E-2</v>
      </c>
      <c r="N1134" s="602">
        <f t="shared" si="196"/>
        <v>2.8150000000000001E-2</v>
      </c>
      <c r="O1134" s="586">
        <f t="shared" si="193"/>
        <v>6.4125150122913657E-2</v>
      </c>
      <c r="P1134" s="585">
        <f t="shared" si="197"/>
        <v>5.3975150122913658E-2</v>
      </c>
      <c r="Q1134" s="585">
        <f t="shared" si="195"/>
        <v>0.1257519621720582</v>
      </c>
      <c r="R1134" s="602">
        <f t="shared" si="198"/>
        <v>3.1099999999999999E-2</v>
      </c>
      <c r="S1134" s="586">
        <f t="shared" si="199"/>
        <v>9.4651962172058193E-2</v>
      </c>
    </row>
    <row r="1135" spans="1:19">
      <c r="A1135" s="600">
        <v>43891</v>
      </c>
      <c r="B1135" s="577">
        <v>-0.1235</v>
      </c>
      <c r="C1135" s="577">
        <v>-9.9852632884989301E-2</v>
      </c>
      <c r="D1135" s="577">
        <v>1.2999999999999999E-3</v>
      </c>
      <c r="E1135" s="577">
        <v>2.5166666666666666E-3</v>
      </c>
      <c r="F1135" s="577">
        <v>2.5666666666666667E-3</v>
      </c>
      <c r="G1135" s="601">
        <f t="shared" si="189"/>
        <v>2.5416666666666669E-3</v>
      </c>
      <c r="H1135" s="577">
        <v>2.9166666666666668E-3</v>
      </c>
      <c r="I1135" s="577">
        <f t="shared" si="190"/>
        <v>-0.12479999999999999</v>
      </c>
      <c r="J1135" s="601">
        <f t="shared" si="194"/>
        <v>-0.12604166666666666</v>
      </c>
      <c r="K1135" s="601">
        <f t="shared" si="194"/>
        <v>-0.10276929955165597</v>
      </c>
      <c r="L1135" s="585">
        <f t="shared" si="191"/>
        <v>-6.956769267928764E-2</v>
      </c>
      <c r="M1135" s="585">
        <f t="shared" si="192"/>
        <v>1.5599999999999999E-2</v>
      </c>
      <c r="N1135" s="602">
        <f t="shared" si="196"/>
        <v>3.0500000000000003E-2</v>
      </c>
      <c r="O1135" s="586">
        <f t="shared" si="193"/>
        <v>-8.5167692679287643E-2</v>
      </c>
      <c r="P1135" s="585">
        <f t="shared" si="197"/>
        <v>-0.10006769267928764</v>
      </c>
      <c r="Q1135" s="585">
        <f t="shared" si="195"/>
        <v>-1.5024625997535845E-2</v>
      </c>
      <c r="R1135" s="602">
        <f t="shared" si="198"/>
        <v>3.5000000000000003E-2</v>
      </c>
      <c r="S1135" s="586">
        <f t="shared" si="199"/>
        <v>-5.0024625997535849E-2</v>
      </c>
    </row>
    <row r="1136" spans="1:19">
      <c r="A1136" s="600">
        <v>43922</v>
      </c>
      <c r="B1136" s="577">
        <v>0.12820000000000001</v>
      </c>
      <c r="C1136" s="577">
        <v>3.2286679387277528E-2</v>
      </c>
      <c r="D1136" s="577">
        <v>8.9999999999999998E-4</v>
      </c>
      <c r="E1136" s="577">
        <v>2.0250000000000003E-3</v>
      </c>
      <c r="F1136" s="577">
        <v>2.2916666666666667E-3</v>
      </c>
      <c r="G1136" s="601">
        <f t="shared" si="189"/>
        <v>2.1583333333333333E-3</v>
      </c>
      <c r="H1136" s="577">
        <v>2.6583333333333333E-3</v>
      </c>
      <c r="I1136" s="577">
        <f t="shared" si="190"/>
        <v>0.1273</v>
      </c>
      <c r="J1136" s="601">
        <f t="shared" si="194"/>
        <v>0.12604166666666666</v>
      </c>
      <c r="K1136" s="601">
        <f t="shared" si="194"/>
        <v>2.9628346053944196E-2</v>
      </c>
      <c r="L1136" s="585">
        <f t="shared" si="191"/>
        <v>8.8550976638424039E-3</v>
      </c>
      <c r="M1136" s="585">
        <f t="shared" si="192"/>
        <v>1.0800000000000001E-2</v>
      </c>
      <c r="N1136" s="602">
        <f t="shared" si="196"/>
        <v>2.5899999999999999E-2</v>
      </c>
      <c r="O1136" s="586">
        <f t="shared" si="193"/>
        <v>-1.9449023361575966E-3</v>
      </c>
      <c r="P1136" s="585">
        <f t="shared" si="197"/>
        <v>-1.7044902336157595E-2</v>
      </c>
      <c r="Q1136" s="585">
        <f t="shared" si="195"/>
        <v>7.4080631202275704E-3</v>
      </c>
      <c r="R1136" s="602">
        <f t="shared" si="198"/>
        <v>3.1899999999999998E-2</v>
      </c>
      <c r="S1136" s="586">
        <f t="shared" si="199"/>
        <v>-2.4491936879772427E-2</v>
      </c>
    </row>
    <row r="1137" spans="1:19">
      <c r="A1137" s="600">
        <v>43952</v>
      </c>
      <c r="B1137" s="577">
        <v>4.7600000000000003E-2</v>
      </c>
      <c r="C1137" s="577">
        <v>4.3538153333576746E-2</v>
      </c>
      <c r="D1137" s="577">
        <v>8.9999999999999998E-4</v>
      </c>
      <c r="E1137" s="577">
        <v>2.075E-3</v>
      </c>
      <c r="F1137" s="577">
        <v>2.2666666666666664E-3</v>
      </c>
      <c r="G1137" s="601">
        <f t="shared" si="189"/>
        <v>2.1708333333333332E-3</v>
      </c>
      <c r="H1137" s="577">
        <v>2.6166666666666669E-3</v>
      </c>
      <c r="I1137" s="577">
        <f t="shared" si="190"/>
        <v>4.6700000000000005E-2</v>
      </c>
      <c r="J1137" s="601">
        <f t="shared" ref="J1137:K1152" si="200">B1137-G1137</f>
        <v>4.5429166666666673E-2</v>
      </c>
      <c r="K1137" s="601">
        <f t="shared" si="200"/>
        <v>4.0921486666910076E-2</v>
      </c>
      <c r="L1137" s="585">
        <f t="shared" si="191"/>
        <v>0.12853881506955789</v>
      </c>
      <c r="M1137" s="585">
        <f t="shared" si="192"/>
        <v>1.0800000000000001E-2</v>
      </c>
      <c r="N1137" s="602">
        <f t="shared" si="196"/>
        <v>2.6049999999999997E-2</v>
      </c>
      <c r="O1137" s="586">
        <f t="shared" si="193"/>
        <v>0.11773881506955788</v>
      </c>
      <c r="P1137" s="585">
        <f t="shared" si="197"/>
        <v>0.1024888150695579</v>
      </c>
      <c r="Q1137" s="585">
        <f t="shared" si="195"/>
        <v>5.9533108084899533E-2</v>
      </c>
      <c r="R1137" s="602">
        <f t="shared" si="198"/>
        <v>3.1400000000000004E-2</v>
      </c>
      <c r="S1137" s="586">
        <f t="shared" si="199"/>
        <v>2.8133108084899529E-2</v>
      </c>
    </row>
    <row r="1138" spans="1:19">
      <c r="A1138" s="600">
        <v>43983</v>
      </c>
      <c r="B1138" s="577">
        <v>1.9900000000000001E-2</v>
      </c>
      <c r="C1138" s="577">
        <v>-4.6515481975296112E-2</v>
      </c>
      <c r="D1138" s="577">
        <v>8.9999999999999998E-4</v>
      </c>
      <c r="E1138" s="577">
        <v>2.0083333333333333E-3</v>
      </c>
      <c r="F1138" s="577">
        <v>2.1916666666666664E-3</v>
      </c>
      <c r="G1138" s="601">
        <f t="shared" si="189"/>
        <v>2.0999999999999999E-3</v>
      </c>
      <c r="H1138" s="577">
        <v>2.558333333333333E-3</v>
      </c>
      <c r="I1138" s="577">
        <f t="shared" si="190"/>
        <v>1.9E-2</v>
      </c>
      <c r="J1138" s="601">
        <f t="shared" si="200"/>
        <v>1.78E-2</v>
      </c>
      <c r="K1138" s="601">
        <f t="shared" si="200"/>
        <v>-4.9073815308629448E-2</v>
      </c>
      <c r="L1138" s="585">
        <f t="shared" si="191"/>
        <v>7.5195457720170333E-2</v>
      </c>
      <c r="M1138" s="585">
        <f t="shared" si="192"/>
        <v>1.0800000000000001E-2</v>
      </c>
      <c r="N1138" s="602">
        <f t="shared" si="196"/>
        <v>2.52E-2</v>
      </c>
      <c r="O1138" s="586">
        <f t="shared" si="193"/>
        <v>6.4395457720170329E-2</v>
      </c>
      <c r="P1138" s="585">
        <f t="shared" si="197"/>
        <v>4.9995457720170333E-2</v>
      </c>
      <c r="Q1138" s="585">
        <f t="shared" si="195"/>
        <v>-2.1266794329057537E-2</v>
      </c>
      <c r="R1138" s="602">
        <f t="shared" si="198"/>
        <v>3.0699999999999998E-2</v>
      </c>
      <c r="S1138" s="586">
        <f t="shared" si="199"/>
        <v>-5.1966794329057535E-2</v>
      </c>
    </row>
    <row r="1139" spans="1:19">
      <c r="A1139" s="600">
        <v>44013</v>
      </c>
      <c r="B1139" s="577">
        <v>5.6399999999999999E-2</v>
      </c>
      <c r="C1139" s="577">
        <v>7.8155639399125773E-2</v>
      </c>
      <c r="D1139" s="577">
        <v>1E-3</v>
      </c>
      <c r="E1139" s="577">
        <v>1.7833333333333334E-3</v>
      </c>
      <c r="F1139" s="577">
        <v>1.9333333333333331E-3</v>
      </c>
      <c r="G1139" s="601">
        <f t="shared" si="189"/>
        <v>1.8583333333333334E-3</v>
      </c>
      <c r="H1139" s="577">
        <v>2.2833333333333334E-3</v>
      </c>
      <c r="I1139" s="577">
        <f t="shared" si="190"/>
        <v>5.5399999999999998E-2</v>
      </c>
      <c r="J1139" s="601">
        <f t="shared" si="200"/>
        <v>5.4541666666666669E-2</v>
      </c>
      <c r="K1139" s="601">
        <f t="shared" si="200"/>
        <v>7.5872306065792441E-2</v>
      </c>
      <c r="L1139" s="585">
        <f t="shared" si="191"/>
        <v>0.11971261981031933</v>
      </c>
      <c r="M1139" s="585">
        <f t="shared" si="192"/>
        <v>1.2E-2</v>
      </c>
      <c r="N1139" s="602">
        <f t="shared" si="196"/>
        <v>2.23E-2</v>
      </c>
      <c r="O1139" s="586">
        <f t="shared" si="193"/>
        <v>0.10771261981031933</v>
      </c>
      <c r="P1139" s="585">
        <f t="shared" si="197"/>
        <v>9.7412619810319331E-2</v>
      </c>
      <c r="Q1139" s="585">
        <f t="shared" si="195"/>
        <v>5.808355074833238E-2</v>
      </c>
      <c r="R1139" s="602">
        <f t="shared" si="198"/>
        <v>2.7400000000000001E-2</v>
      </c>
      <c r="S1139" s="586">
        <f t="shared" si="199"/>
        <v>3.0683550748332379E-2</v>
      </c>
    </row>
    <row r="1140" spans="1:19">
      <c r="A1140" s="600">
        <v>44044</v>
      </c>
      <c r="B1140" s="577">
        <v>7.1900000000000006E-2</v>
      </c>
      <c r="C1140" s="577">
        <v>-2.6496057598276487E-2</v>
      </c>
      <c r="D1140" s="577">
        <v>8.0000000000000004E-4</v>
      </c>
      <c r="E1140" s="577">
        <v>1.8749999999999999E-3</v>
      </c>
      <c r="F1140" s="577">
        <v>1.9750000000000002E-3</v>
      </c>
      <c r="G1140" s="601">
        <f t="shared" si="189"/>
        <v>1.9250000000000001E-3</v>
      </c>
      <c r="H1140" s="577">
        <v>2.2750000000000001E-3</v>
      </c>
      <c r="I1140" s="577">
        <f t="shared" si="190"/>
        <v>7.110000000000001E-2</v>
      </c>
      <c r="J1140" s="601">
        <f t="shared" si="200"/>
        <v>6.9975000000000009E-2</v>
      </c>
      <c r="K1140" s="601">
        <f t="shared" si="200"/>
        <v>-2.8771057598276487E-2</v>
      </c>
      <c r="L1140" s="585">
        <f t="shared" si="191"/>
        <v>0.21948786544877219</v>
      </c>
      <c r="M1140" s="585">
        <f t="shared" si="192"/>
        <v>9.6000000000000009E-3</v>
      </c>
      <c r="N1140" s="602">
        <f t="shared" si="196"/>
        <v>2.3100000000000002E-2</v>
      </c>
      <c r="O1140" s="586">
        <f t="shared" si="193"/>
        <v>0.20988786544877219</v>
      </c>
      <c r="P1140" s="585">
        <f t="shared" si="197"/>
        <v>0.19638786544877218</v>
      </c>
      <c r="Q1140" s="585">
        <f t="shared" si="195"/>
        <v>-2.0214488686469023E-2</v>
      </c>
      <c r="R1140" s="602">
        <f t="shared" si="198"/>
        <v>2.7300000000000001E-2</v>
      </c>
      <c r="S1140" s="586">
        <f t="shared" si="199"/>
        <v>-4.7514488686469028E-2</v>
      </c>
    </row>
    <row r="1141" spans="1:19">
      <c r="A1141" s="600">
        <v>44075</v>
      </c>
      <c r="B1141" s="577">
        <v>-3.7999999999999999E-2</v>
      </c>
      <c r="C1141" s="577">
        <v>1.1208634977297001E-2</v>
      </c>
      <c r="D1141" s="577">
        <v>0</v>
      </c>
      <c r="E1141" s="577">
        <v>1.9250000000000001E-3</v>
      </c>
      <c r="F1141" s="577">
        <v>2.058333333333333E-3</v>
      </c>
      <c r="G1141" s="601">
        <f t="shared" si="189"/>
        <v>1.9916666666666668E-3</v>
      </c>
      <c r="H1141" s="577">
        <v>2.3666666666666667E-3</v>
      </c>
      <c r="I1141" s="577">
        <f t="shared" si="190"/>
        <v>-3.7999999999999999E-2</v>
      </c>
      <c r="J1141" s="601">
        <f t="shared" si="200"/>
        <v>-3.9991666666666668E-2</v>
      </c>
      <c r="K1141" s="601">
        <f t="shared" si="200"/>
        <v>8.8419683106303344E-3</v>
      </c>
      <c r="L1141" s="585">
        <f t="shared" si="191"/>
        <v>0.15161217881782529</v>
      </c>
      <c r="M1141" s="585">
        <f t="shared" si="192"/>
        <v>0</v>
      </c>
      <c r="N1141" s="602">
        <f t="shared" si="196"/>
        <v>2.3900000000000001E-2</v>
      </c>
      <c r="O1141" s="586">
        <f t="shared" si="193"/>
        <v>0.15161217881782529</v>
      </c>
      <c r="P1141" s="585">
        <f t="shared" si="197"/>
        <v>0.12771217881782529</v>
      </c>
      <c r="Q1141" s="585">
        <f t="shared" si="195"/>
        <v>-4.9623434565094549E-2</v>
      </c>
      <c r="R1141" s="602">
        <f t="shared" si="198"/>
        <v>2.8400000000000002E-2</v>
      </c>
      <c r="S1141" s="586">
        <f t="shared" si="199"/>
        <v>-7.8023434565094557E-2</v>
      </c>
    </row>
    <row r="1142" spans="1:19">
      <c r="A1142" s="600">
        <v>44105</v>
      </c>
      <c r="B1142" s="577">
        <v>-2.6599999999999999E-2</v>
      </c>
      <c r="C1142" s="577">
        <v>5.0416695141057254E-2</v>
      </c>
      <c r="D1142" s="577">
        <v>8.9999999999999998E-4</v>
      </c>
      <c r="E1142" s="577">
        <v>1.9583333333333332E-3</v>
      </c>
      <c r="F1142" s="577">
        <v>2.1249999999999997E-3</v>
      </c>
      <c r="G1142" s="601">
        <f>AVERAGE(E1142:F1142)</f>
        <v>2.0416666666666665E-3</v>
      </c>
      <c r="H1142" s="577">
        <v>2.4583333333333336E-3</v>
      </c>
      <c r="I1142" s="577">
        <f t="shared" si="190"/>
        <v>-2.75E-2</v>
      </c>
      <c r="J1142" s="601">
        <f t="shared" si="200"/>
        <v>-2.8641666666666666E-2</v>
      </c>
      <c r="K1142" s="601">
        <f t="shared" si="200"/>
        <v>4.795836180772392E-2</v>
      </c>
      <c r="L1142" s="585">
        <f t="shared" si="191"/>
        <v>9.7170690869404996E-2</v>
      </c>
      <c r="M1142" s="585">
        <f t="shared" si="192"/>
        <v>1.0800000000000001E-2</v>
      </c>
      <c r="N1142" s="602">
        <f t="shared" si="196"/>
        <v>2.4499999999999997E-2</v>
      </c>
      <c r="O1142" s="586">
        <f t="shared" si="193"/>
        <v>8.6370690869404992E-2</v>
      </c>
      <c r="P1142" s="585">
        <f t="shared" si="197"/>
        <v>7.2670690869405002E-2</v>
      </c>
      <c r="Q1142" s="585">
        <f t="shared" si="195"/>
        <v>6.0379028556305503E-3</v>
      </c>
      <c r="R1142" s="602">
        <f t="shared" si="198"/>
        <v>2.9500000000000005E-2</v>
      </c>
      <c r="S1142" s="586">
        <f t="shared" si="199"/>
        <v>-2.3462097144369455E-2</v>
      </c>
    </row>
    <row r="1143" spans="1:19">
      <c r="A1143" s="600">
        <v>44136</v>
      </c>
      <c r="B1143" s="577">
        <v>0.1095</v>
      </c>
      <c r="C1143" s="577">
        <v>7.3522810716743856E-3</v>
      </c>
      <c r="D1143" s="577">
        <v>1.1000000000000001E-3</v>
      </c>
      <c r="E1143" s="577">
        <v>1.9166666666666666E-3</v>
      </c>
      <c r="F1143" s="577">
        <v>2.058333333333333E-3</v>
      </c>
      <c r="G1143" s="601">
        <f>AVERAGE(E1143:F1143)</f>
        <v>1.9874999999999997E-3</v>
      </c>
      <c r="H1143" s="577">
        <v>2.3749999999999999E-3</v>
      </c>
      <c r="I1143" s="577">
        <f t="shared" si="190"/>
        <v>0.1084</v>
      </c>
      <c r="J1143" s="601">
        <f t="shared" si="200"/>
        <v>0.1075125</v>
      </c>
      <c r="K1143" s="601">
        <f t="shared" si="200"/>
        <v>4.9772810716743852E-3</v>
      </c>
      <c r="L1143" s="585">
        <f t="shared" si="191"/>
        <v>0.17467034789115599</v>
      </c>
      <c r="M1143" s="585">
        <f t="shared" si="192"/>
        <v>1.32E-2</v>
      </c>
      <c r="N1143" s="602">
        <f t="shared" si="196"/>
        <v>2.3849999999999996E-2</v>
      </c>
      <c r="O1143" s="586">
        <f t="shared" si="193"/>
        <v>0.161470347891156</v>
      </c>
      <c r="P1143" s="585">
        <f t="shared" si="197"/>
        <v>0.150820347891156</v>
      </c>
      <c r="Q1143" s="585">
        <f t="shared" si="195"/>
        <v>3.2641712131834977E-2</v>
      </c>
      <c r="R1143" s="602">
        <f t="shared" si="198"/>
        <v>2.8499999999999998E-2</v>
      </c>
      <c r="S1143" s="586">
        <f t="shared" si="199"/>
        <v>4.1417121318349792E-3</v>
      </c>
    </row>
    <row r="1144" spans="1:19">
      <c r="A1144" s="600">
        <v>44166</v>
      </c>
      <c r="B1144" s="577">
        <v>3.8399999999999997E-2</v>
      </c>
      <c r="C1144" s="577">
        <v>7.0325529758781969E-3</v>
      </c>
      <c r="D1144" s="577">
        <v>1.1000000000000001E-3</v>
      </c>
      <c r="E1144" s="577">
        <v>1.8833333333333332E-3</v>
      </c>
      <c r="F1144" s="577">
        <v>2.0333333333333332E-3</v>
      </c>
      <c r="G1144" s="601">
        <f>AVERAGE(E1144:F1144)</f>
        <v>1.9583333333333332E-3</v>
      </c>
      <c r="H1144" s="577">
        <v>2.3083333333333332E-3</v>
      </c>
      <c r="I1144" s="577">
        <f t="shared" si="190"/>
        <v>3.73E-2</v>
      </c>
      <c r="J1144" s="601">
        <f t="shared" si="200"/>
        <v>3.6441666666666664E-2</v>
      </c>
      <c r="K1144" s="601">
        <f t="shared" si="200"/>
        <v>4.7242196425448637E-3</v>
      </c>
      <c r="L1144" s="585">
        <f t="shared" si="191"/>
        <v>0.18402027688815403</v>
      </c>
      <c r="M1144" s="585">
        <f t="shared" si="192"/>
        <v>1.32E-2</v>
      </c>
      <c r="N1144" s="602">
        <f t="shared" si="196"/>
        <v>2.35E-2</v>
      </c>
      <c r="O1144" s="586">
        <f t="shared" si="193"/>
        <v>0.17082027688815404</v>
      </c>
      <c r="P1144" s="585">
        <f t="shared" si="197"/>
        <v>0.16052027688815404</v>
      </c>
      <c r="Q1144" s="585">
        <f t="shared" si="195"/>
        <v>5.4179828652263229E-3</v>
      </c>
      <c r="R1144" s="602">
        <f t="shared" si="198"/>
        <v>2.7699999999999999E-2</v>
      </c>
      <c r="S1144" s="586">
        <f t="shared" si="199"/>
        <v>-2.2282017134773676E-2</v>
      </c>
    </row>
    <row r="1145" spans="1:19">
      <c r="A1145" s="603">
        <v>44197</v>
      </c>
      <c r="B1145" s="577">
        <v>-1.01E-2</v>
      </c>
      <c r="C1145" s="577">
        <v>-9.1490879490143378E-3</v>
      </c>
      <c r="D1145" s="577">
        <v>1.1000000000000001E-3</v>
      </c>
      <c r="E1145" s="577">
        <v>2.0416666666666669E-3</v>
      </c>
      <c r="F1145" s="577">
        <v>2.1749999999999999E-3</v>
      </c>
      <c r="G1145" s="601">
        <f t="shared" ref="G1145:G1156" si="201">AVERAGE(E1145:F1145)</f>
        <v>2.1083333333333336E-3</v>
      </c>
      <c r="H1145" s="577">
        <v>2.4250000000000001E-3</v>
      </c>
      <c r="I1145" s="577">
        <f t="shared" ref="I1145:I1156" si="202">B1145-D1145</f>
        <v>-1.12E-2</v>
      </c>
      <c r="J1145" s="601">
        <f t="shared" ref="J1145:K1156" si="203">B1145-G1145</f>
        <v>-1.2208333333333333E-2</v>
      </c>
      <c r="K1145" s="601">
        <f t="shared" si="200"/>
        <v>-1.1574087949014338E-2</v>
      </c>
      <c r="L1145" s="585">
        <f t="shared" ref="L1145:L1156" si="204">((1+B1134)*(1+B1135)*(1+B1136)*(1+B1137)*(1+B1138)*(1+B1139)*(1+B1140)*(1+B1141)*(1+B1142)*(1+B1143)*(1+B1144)*(1+B1145))-1</f>
        <v>0.17253068436532981</v>
      </c>
      <c r="M1145" s="585">
        <f t="shared" ref="M1145:M1156" si="205">D1145*12</f>
        <v>1.32E-2</v>
      </c>
      <c r="N1145" s="602">
        <f t="shared" ref="N1145:N1156" si="206">G1145*12</f>
        <v>2.5300000000000003E-2</v>
      </c>
      <c r="O1145" s="586">
        <f t="shared" ref="O1145:O1156" si="207">L1145-M1145</f>
        <v>0.15933068436532982</v>
      </c>
      <c r="P1145" s="585">
        <f t="shared" ref="P1145:P1156" si="208">L1145-N1145</f>
        <v>0.14723068436532982</v>
      </c>
      <c r="Q1145" s="585">
        <f t="shared" si="195"/>
        <v>-6.5930972916153685E-2</v>
      </c>
      <c r="R1145" s="602">
        <f t="shared" ref="R1145:R1156" si="209">H1145*12</f>
        <v>2.9100000000000001E-2</v>
      </c>
      <c r="S1145" s="586">
        <f t="shared" ref="S1145:S1156" si="210">Q1145-R1145</f>
        <v>-9.5030972916153686E-2</v>
      </c>
    </row>
    <row r="1146" spans="1:19">
      <c r="A1146" s="603">
        <v>44228</v>
      </c>
      <c r="B1146" s="577">
        <v>2.76E-2</v>
      </c>
      <c r="C1146" s="577">
        <v>-6.0949635783169254E-2</v>
      </c>
      <c r="D1146" s="577">
        <v>1.1999999999999999E-3</v>
      </c>
      <c r="E1146" s="577">
        <v>2.2500000000000003E-3</v>
      </c>
      <c r="F1146" s="577">
        <v>2.3583333333333334E-3</v>
      </c>
      <c r="G1146" s="601">
        <f t="shared" si="201"/>
        <v>2.304166666666667E-3</v>
      </c>
      <c r="H1146" s="577">
        <v>2.575E-3</v>
      </c>
      <c r="I1146" s="577">
        <f t="shared" si="202"/>
        <v>2.64E-2</v>
      </c>
      <c r="J1146" s="601">
        <f t="shared" si="203"/>
        <v>2.5295833333333333E-2</v>
      </c>
      <c r="K1146" s="601">
        <f t="shared" si="200"/>
        <v>-6.3524635783169248E-2</v>
      </c>
      <c r="L1146" s="585">
        <f t="shared" si="204"/>
        <v>0.31294816525423719</v>
      </c>
      <c r="M1146" s="585">
        <f t="shared" si="205"/>
        <v>1.44E-2</v>
      </c>
      <c r="N1146" s="602">
        <f t="shared" si="206"/>
        <v>2.7650000000000004E-2</v>
      </c>
      <c r="O1146" s="586">
        <f t="shared" si="207"/>
        <v>0.29854816525423716</v>
      </c>
      <c r="P1146" s="585">
        <f t="shared" si="208"/>
        <v>0.28529816525423718</v>
      </c>
      <c r="Q1146" s="585">
        <f t="shared" si="195"/>
        <v>-2.707456297944788E-2</v>
      </c>
      <c r="R1146" s="602">
        <f t="shared" si="209"/>
        <v>3.09E-2</v>
      </c>
      <c r="S1146" s="586">
        <f t="shared" si="210"/>
        <v>-5.7974562979447877E-2</v>
      </c>
    </row>
    <row r="1147" spans="1:19">
      <c r="A1147" s="603">
        <v>44256</v>
      </c>
      <c r="B1147" s="577">
        <v>4.3799999999999999E-2</v>
      </c>
      <c r="C1147" s="577">
        <v>0.10498835014976989</v>
      </c>
      <c r="D1147" s="577">
        <v>1.8E-3</v>
      </c>
      <c r="E1147" s="577">
        <v>2.5333333333333336E-3</v>
      </c>
      <c r="F1147" s="577">
        <v>2.6416666666666667E-3</v>
      </c>
      <c r="G1147" s="601">
        <f t="shared" si="201"/>
        <v>2.5875000000000004E-3</v>
      </c>
      <c r="H1147" s="577">
        <v>2.8666666666666667E-3</v>
      </c>
      <c r="I1147" s="577">
        <f t="shared" si="202"/>
        <v>4.1999999999999996E-2</v>
      </c>
      <c r="J1147" s="601">
        <f t="shared" si="203"/>
        <v>4.1212499999999999E-2</v>
      </c>
      <c r="K1147" s="601">
        <f t="shared" si="200"/>
        <v>0.10212168348310321</v>
      </c>
      <c r="L1147" s="585">
        <f t="shared" si="204"/>
        <v>0.56355424403008891</v>
      </c>
      <c r="M1147" s="585">
        <f t="shared" si="205"/>
        <v>2.1600000000000001E-2</v>
      </c>
      <c r="N1147" s="602">
        <f t="shared" si="206"/>
        <v>3.1050000000000005E-2</v>
      </c>
      <c r="O1147" s="586">
        <f t="shared" si="207"/>
        <v>0.54195424403008896</v>
      </c>
      <c r="P1147" s="585">
        <f t="shared" si="208"/>
        <v>0.53250424403008889</v>
      </c>
      <c r="Q1147" s="585">
        <f t="shared" si="195"/>
        <v>0.1943280764323152</v>
      </c>
      <c r="R1147" s="602">
        <f t="shared" si="209"/>
        <v>3.44E-2</v>
      </c>
      <c r="S1147" s="586">
        <f t="shared" si="210"/>
        <v>0.15992807643231521</v>
      </c>
    </row>
    <row r="1148" spans="1:19">
      <c r="A1148" s="603">
        <v>44287</v>
      </c>
      <c r="B1148" s="577">
        <v>5.3400000000000003E-2</v>
      </c>
      <c r="C1148" s="577">
        <v>4.2771092437836097E-2</v>
      </c>
      <c r="D1148" s="577">
        <v>1.9E-3</v>
      </c>
      <c r="E1148" s="577">
        <v>2.4166666666666668E-3</v>
      </c>
      <c r="F1148" s="577">
        <v>2.5249999999999999E-3</v>
      </c>
      <c r="G1148" s="601">
        <f t="shared" si="201"/>
        <v>2.4708333333333336E-3</v>
      </c>
      <c r="H1148" s="577">
        <v>2.7499999999999998E-3</v>
      </c>
      <c r="I1148" s="577">
        <f t="shared" si="202"/>
        <v>5.1500000000000004E-2</v>
      </c>
      <c r="J1148" s="601">
        <f t="shared" si="203"/>
        <v>5.0929166666666671E-2</v>
      </c>
      <c r="K1148" s="601">
        <f t="shared" si="200"/>
        <v>4.0021092437836095E-2</v>
      </c>
      <c r="L1148" s="585">
        <f t="shared" si="204"/>
        <v>0.45989012645035854</v>
      </c>
      <c r="M1148" s="585">
        <f t="shared" si="205"/>
        <v>2.2800000000000001E-2</v>
      </c>
      <c r="N1148" s="602">
        <f t="shared" si="206"/>
        <v>2.9650000000000003E-2</v>
      </c>
      <c r="O1148" s="586">
        <f t="shared" si="207"/>
        <v>0.43709012645035855</v>
      </c>
      <c r="P1148" s="585">
        <f t="shared" si="208"/>
        <v>0.43024012645035853</v>
      </c>
      <c r="Q1148" s="585">
        <f t="shared" si="195"/>
        <v>0.20645826189458227</v>
      </c>
      <c r="R1148" s="602">
        <f t="shared" si="209"/>
        <v>3.3000000000000002E-2</v>
      </c>
      <c r="S1148" s="586">
        <f t="shared" si="210"/>
        <v>0.17345826189458227</v>
      </c>
    </row>
    <row r="1149" spans="1:19">
      <c r="A1149" s="603">
        <v>44317</v>
      </c>
      <c r="B1149" s="577">
        <v>7.0000000000000001E-3</v>
      </c>
      <c r="C1149" s="577">
        <v>-2.3727991736619838E-2</v>
      </c>
      <c r="D1149" s="577">
        <v>1.8E-3</v>
      </c>
      <c r="E1149" s="577">
        <v>2.4666666666666669E-3</v>
      </c>
      <c r="F1149" s="577">
        <v>2.558333333333333E-3</v>
      </c>
      <c r="G1149" s="601">
        <f t="shared" si="201"/>
        <v>2.5125E-3</v>
      </c>
      <c r="H1149" s="577">
        <v>2.7750000000000001E-3</v>
      </c>
      <c r="I1149" s="577">
        <f t="shared" si="202"/>
        <v>5.1999999999999998E-3</v>
      </c>
      <c r="J1149" s="601">
        <f t="shared" si="203"/>
        <v>4.4875000000000002E-3</v>
      </c>
      <c r="K1149" s="601">
        <f t="shared" si="200"/>
        <v>-2.6502991736619838E-2</v>
      </c>
      <c r="L1149" s="585">
        <f t="shared" si="204"/>
        <v>0.40331171948788769</v>
      </c>
      <c r="M1149" s="585">
        <f t="shared" si="205"/>
        <v>2.1600000000000001E-2</v>
      </c>
      <c r="N1149" s="602">
        <f t="shared" si="206"/>
        <v>3.015E-2</v>
      </c>
      <c r="O1149" s="586">
        <f t="shared" si="207"/>
        <v>0.38171171948788768</v>
      </c>
      <c r="P1149" s="585">
        <f t="shared" si="208"/>
        <v>0.37316171948788768</v>
      </c>
      <c r="Q1149" s="585">
        <f t="shared" si="195"/>
        <v>0.12869033725618473</v>
      </c>
      <c r="R1149" s="602">
        <f t="shared" si="209"/>
        <v>3.3300000000000003E-2</v>
      </c>
      <c r="S1149" s="586">
        <f t="shared" si="210"/>
        <v>9.5390337256184732E-2</v>
      </c>
    </row>
    <row r="1150" spans="1:19">
      <c r="A1150" s="603">
        <v>44348</v>
      </c>
      <c r="B1150" s="577">
        <v>2.3300000000000001E-2</v>
      </c>
      <c r="C1150" s="577">
        <v>-2.1629631904666716E-2</v>
      </c>
      <c r="D1150" s="577">
        <v>1.6999999999999999E-3</v>
      </c>
      <c r="E1150" s="577">
        <v>2.3250000000000002E-3</v>
      </c>
      <c r="F1150" s="577">
        <v>2.4250000000000001E-3</v>
      </c>
      <c r="G1150" s="601">
        <f t="shared" si="201"/>
        <v>2.3750000000000004E-3</v>
      </c>
      <c r="H1150" s="577">
        <v>2.6333333333333334E-3</v>
      </c>
      <c r="I1150" s="577">
        <f t="shared" si="202"/>
        <v>2.1600000000000001E-2</v>
      </c>
      <c r="J1150" s="601">
        <f t="shared" si="203"/>
        <v>2.0924999999999999E-2</v>
      </c>
      <c r="K1150" s="601">
        <f t="shared" si="200"/>
        <v>-2.4262965238000051E-2</v>
      </c>
      <c r="L1150" s="585">
        <f t="shared" si="204"/>
        <v>0.40798988386307999</v>
      </c>
      <c r="M1150" s="585">
        <f t="shared" si="205"/>
        <v>2.0399999999999998E-2</v>
      </c>
      <c r="N1150" s="602">
        <f t="shared" si="206"/>
        <v>2.8500000000000004E-2</v>
      </c>
      <c r="O1150" s="586">
        <f t="shared" si="207"/>
        <v>0.38758988386308002</v>
      </c>
      <c r="P1150" s="585">
        <f t="shared" si="208"/>
        <v>0.37948988386307997</v>
      </c>
      <c r="Q1150" s="585">
        <f t="shared" si="195"/>
        <v>0.1581490415960467</v>
      </c>
      <c r="R1150" s="602">
        <f t="shared" si="209"/>
        <v>3.1600000000000003E-2</v>
      </c>
      <c r="S1150" s="586">
        <f t="shared" si="210"/>
        <v>0.12654904159604669</v>
      </c>
    </row>
    <row r="1151" spans="1:19">
      <c r="A1151" s="603">
        <v>44378</v>
      </c>
      <c r="B1151" s="577">
        <v>2.3800000000000002E-2</v>
      </c>
      <c r="C1151" s="577">
        <v>3.8580129254477007E-2</v>
      </c>
      <c r="D1151" s="577">
        <v>1.6000000000000001E-3</v>
      </c>
      <c r="E1151" s="577">
        <v>2.1416666666666663E-3</v>
      </c>
      <c r="F1151" s="577">
        <v>2.2583333333333331E-3</v>
      </c>
      <c r="G1151" s="601">
        <f t="shared" si="201"/>
        <v>2.1999999999999997E-3</v>
      </c>
      <c r="H1151" s="577">
        <v>2.4583333333333336E-3</v>
      </c>
      <c r="I1151" s="577">
        <f t="shared" si="202"/>
        <v>2.2200000000000001E-2</v>
      </c>
      <c r="J1151" s="601">
        <f t="shared" si="203"/>
        <v>2.1600000000000001E-2</v>
      </c>
      <c r="K1151" s="601">
        <f t="shared" si="200"/>
        <v>3.6121795921143673E-2</v>
      </c>
      <c r="L1151" s="585">
        <f t="shared" si="204"/>
        <v>0.36453998778779018</v>
      </c>
      <c r="M1151" s="585">
        <f t="shared" si="205"/>
        <v>1.9200000000000002E-2</v>
      </c>
      <c r="N1151" s="602">
        <f t="shared" si="206"/>
        <v>2.6399999999999996E-2</v>
      </c>
      <c r="O1151" s="586">
        <f t="shared" si="207"/>
        <v>0.34533998778779018</v>
      </c>
      <c r="P1151" s="585">
        <f t="shared" si="208"/>
        <v>0.3381399877877902</v>
      </c>
      <c r="Q1151" s="585">
        <f t="shared" si="195"/>
        <v>0.11563723952427551</v>
      </c>
      <c r="R1151" s="602">
        <f t="shared" si="209"/>
        <v>2.9500000000000005E-2</v>
      </c>
      <c r="S1151" s="586">
        <f t="shared" si="210"/>
        <v>8.6137239524275516E-2</v>
      </c>
    </row>
    <row r="1152" spans="1:19">
      <c r="A1152" s="603">
        <v>44409</v>
      </c>
      <c r="B1152" s="577">
        <v>3.04E-2</v>
      </c>
      <c r="C1152" s="577">
        <v>3.9754994769648354E-2</v>
      </c>
      <c r="D1152" s="577">
        <v>1.5E-3</v>
      </c>
      <c r="E1152" s="577">
        <v>2.1250000000000002E-3</v>
      </c>
      <c r="F1152" s="577">
        <v>2.2750000000000001E-3</v>
      </c>
      <c r="G1152" s="601">
        <f t="shared" si="201"/>
        <v>2.2000000000000001E-3</v>
      </c>
      <c r="H1152" s="577">
        <v>2.4583333333333336E-3</v>
      </c>
      <c r="I1152" s="577">
        <f t="shared" si="202"/>
        <v>2.8899999999999999E-2</v>
      </c>
      <c r="J1152" s="601">
        <f t="shared" si="203"/>
        <v>2.8199999999999999E-2</v>
      </c>
      <c r="K1152" s="601">
        <f t="shared" si="200"/>
        <v>3.7296661436315021E-2</v>
      </c>
      <c r="L1152" s="585">
        <f t="shared" si="204"/>
        <v>0.3117100507664321</v>
      </c>
      <c r="M1152" s="585">
        <f t="shared" si="205"/>
        <v>1.8000000000000002E-2</v>
      </c>
      <c r="N1152" s="602">
        <f t="shared" si="206"/>
        <v>2.64E-2</v>
      </c>
      <c r="O1152" s="586">
        <f t="shared" si="207"/>
        <v>0.29371005076643208</v>
      </c>
      <c r="P1152" s="585">
        <f t="shared" si="208"/>
        <v>0.28531005076643212</v>
      </c>
      <c r="Q1152" s="585">
        <f t="shared" si="195"/>
        <v>0.19156106269542938</v>
      </c>
      <c r="R1152" s="602">
        <f t="shared" si="209"/>
        <v>2.9500000000000005E-2</v>
      </c>
      <c r="S1152" s="586">
        <f t="shared" si="210"/>
        <v>0.16206106269542939</v>
      </c>
    </row>
    <row r="1153" spans="1:19">
      <c r="A1153" s="603">
        <v>44440</v>
      </c>
      <c r="B1153" s="577">
        <v>-4.65E-2</v>
      </c>
      <c r="C1153" s="577">
        <v>-6.1694618844009501E-2</v>
      </c>
      <c r="D1153" s="577">
        <v>1.4E-3</v>
      </c>
      <c r="E1153" s="577">
        <v>2.1083333333333332E-3</v>
      </c>
      <c r="F1153" s="577">
        <v>2.2750000000000001E-3</v>
      </c>
      <c r="G1153" s="601">
        <f t="shared" si="201"/>
        <v>2.1916666666666664E-3</v>
      </c>
      <c r="H1153" s="577">
        <v>2.4666666666666669E-3</v>
      </c>
      <c r="I1153" s="577">
        <f t="shared" si="202"/>
        <v>-4.7899999999999998E-2</v>
      </c>
      <c r="J1153" s="601">
        <f t="shared" si="203"/>
        <v>-4.8691666666666668E-2</v>
      </c>
      <c r="K1153" s="601">
        <f t="shared" si="203"/>
        <v>-6.4161285510676166E-2</v>
      </c>
      <c r="L1153" s="585">
        <f t="shared" si="204"/>
        <v>0.30012009709541876</v>
      </c>
      <c r="M1153" s="585">
        <f t="shared" si="205"/>
        <v>1.6799999999999999E-2</v>
      </c>
      <c r="N1153" s="602">
        <f t="shared" si="206"/>
        <v>2.6299999999999997E-2</v>
      </c>
      <c r="O1153" s="586">
        <f t="shared" si="207"/>
        <v>0.28332009709541878</v>
      </c>
      <c r="P1153" s="585">
        <f t="shared" si="208"/>
        <v>0.27382009709541877</v>
      </c>
      <c r="Q1153" s="585">
        <f t="shared" si="195"/>
        <v>0.10565527076237213</v>
      </c>
      <c r="R1153" s="602">
        <f t="shared" si="209"/>
        <v>2.9600000000000001E-2</v>
      </c>
      <c r="S1153" s="586">
        <f t="shared" si="210"/>
        <v>7.6055270762372132E-2</v>
      </c>
    </row>
    <row r="1154" spans="1:19">
      <c r="A1154" s="603">
        <v>44470</v>
      </c>
      <c r="B1154" s="577">
        <v>7.0099999999999996E-2</v>
      </c>
      <c r="C1154" s="577">
        <v>4.7338249999999998E-2</v>
      </c>
      <c r="D1154" s="577">
        <v>1.5E-3</v>
      </c>
      <c r="E1154" s="577">
        <v>2.2333333333333337E-3</v>
      </c>
      <c r="F1154" s="577">
        <v>2.3833333333333332E-3</v>
      </c>
      <c r="G1154" s="601">
        <f t="shared" si="201"/>
        <v>2.3083333333333332E-3</v>
      </c>
      <c r="H1154" s="577">
        <v>2.575E-3</v>
      </c>
      <c r="I1154" s="577">
        <f t="shared" si="202"/>
        <v>6.8599999999999994E-2</v>
      </c>
      <c r="J1154" s="601">
        <f t="shared" si="203"/>
        <v>6.7791666666666667E-2</v>
      </c>
      <c r="K1154" s="601">
        <f t="shared" si="203"/>
        <v>4.4763249999999997E-2</v>
      </c>
      <c r="L1154" s="585">
        <f t="shared" si="204"/>
        <v>0.4292772918654284</v>
      </c>
      <c r="M1154" s="585">
        <f t="shared" si="205"/>
        <v>1.8000000000000002E-2</v>
      </c>
      <c r="N1154" s="602">
        <f t="shared" si="206"/>
        <v>2.7699999999999999E-2</v>
      </c>
      <c r="O1154" s="586">
        <f t="shared" si="207"/>
        <v>0.41127729186542838</v>
      </c>
      <c r="P1154" s="585">
        <f t="shared" si="208"/>
        <v>0.4015772918654284</v>
      </c>
      <c r="Q1154" s="585">
        <f t="shared" si="195"/>
        <v>0.1024149385097457</v>
      </c>
      <c r="R1154" s="602">
        <f t="shared" si="209"/>
        <v>3.09E-2</v>
      </c>
      <c r="S1154" s="586">
        <f t="shared" si="210"/>
        <v>7.1514938509745704E-2</v>
      </c>
    </row>
    <row r="1155" spans="1:19">
      <c r="A1155" s="603">
        <v>44501</v>
      </c>
      <c r="B1155" s="577">
        <v>-6.8999999999999999E-3</v>
      </c>
      <c r="C1155" s="577">
        <v>-1.6393896390234163E-2</v>
      </c>
      <c r="D1155" s="577">
        <v>1.6999999999999999E-3</v>
      </c>
      <c r="E1155" s="577">
        <v>2.1833333333333336E-3</v>
      </c>
      <c r="F1155" s="577">
        <v>2.3083333333333332E-3</v>
      </c>
      <c r="G1155" s="601">
        <f t="shared" si="201"/>
        <v>2.2458333333333332E-3</v>
      </c>
      <c r="H1155" s="577">
        <v>2.5166666666666666E-3</v>
      </c>
      <c r="I1155" s="577">
        <f t="shared" si="202"/>
        <v>-8.6E-3</v>
      </c>
      <c r="J1155" s="601">
        <f t="shared" si="203"/>
        <v>-9.1458333333333322E-3</v>
      </c>
      <c r="K1155" s="601">
        <f t="shared" si="203"/>
        <v>-1.891056305690083E-2</v>
      </c>
      <c r="L1155" s="585">
        <f t="shared" si="204"/>
        <v>0.27932877742366591</v>
      </c>
      <c r="M1155" s="585">
        <f t="shared" si="205"/>
        <v>2.0399999999999998E-2</v>
      </c>
      <c r="N1155" s="602">
        <f t="shared" si="206"/>
        <v>2.6949999999999998E-2</v>
      </c>
      <c r="O1155" s="586">
        <f t="shared" si="207"/>
        <v>0.25892877742366593</v>
      </c>
      <c r="P1155" s="585">
        <f t="shared" si="208"/>
        <v>0.25237877742366593</v>
      </c>
      <c r="Q1155" s="585">
        <f t="shared" si="195"/>
        <v>7.6427862033716432E-2</v>
      </c>
      <c r="R1155" s="602">
        <f t="shared" si="209"/>
        <v>3.0199999999999998E-2</v>
      </c>
      <c r="S1155" s="586">
        <f t="shared" si="210"/>
        <v>4.6227862033716434E-2</v>
      </c>
    </row>
    <row r="1156" spans="1:19">
      <c r="A1156" s="603">
        <v>44531</v>
      </c>
      <c r="B1156" s="577">
        <v>4.48E-2</v>
      </c>
      <c r="C1156" s="577">
        <v>9.6216364270722721E-2</v>
      </c>
      <c r="D1156" s="577">
        <v>1.5E-3</v>
      </c>
      <c r="E1156" s="577">
        <v>2.2000000000000001E-3</v>
      </c>
      <c r="F1156" s="577">
        <v>2.3083333333333332E-3</v>
      </c>
      <c r="G1156" s="601">
        <f t="shared" si="201"/>
        <v>2.2541666666666665E-3</v>
      </c>
      <c r="H1156" s="577">
        <v>2.5333333333333336E-3</v>
      </c>
      <c r="I1156" s="577">
        <f t="shared" si="202"/>
        <v>4.3299999999999998E-2</v>
      </c>
      <c r="J1156" s="601">
        <f t="shared" si="203"/>
        <v>4.2545833333333331E-2</v>
      </c>
      <c r="K1156" s="601">
        <f t="shared" si="203"/>
        <v>9.3683030937389389E-2</v>
      </c>
      <c r="L1156" s="585">
        <f t="shared" si="204"/>
        <v>0.28721370055108419</v>
      </c>
      <c r="M1156" s="585">
        <f t="shared" si="205"/>
        <v>1.8000000000000002E-2</v>
      </c>
      <c r="N1156" s="602">
        <f t="shared" si="206"/>
        <v>2.7049999999999998E-2</v>
      </c>
      <c r="O1156" s="586">
        <f t="shared" si="207"/>
        <v>0.26921370055108418</v>
      </c>
      <c r="P1156" s="585">
        <f t="shared" si="208"/>
        <v>0.26016370055108418</v>
      </c>
      <c r="Q1156" s="585">
        <f t="shared" si="195"/>
        <v>0.171757391388492</v>
      </c>
      <c r="R1156" s="602">
        <f t="shared" si="209"/>
        <v>3.0400000000000003E-2</v>
      </c>
      <c r="S1156" s="586">
        <f t="shared" si="210"/>
        <v>0.14135739138849199</v>
      </c>
    </row>
  </sheetData>
  <mergeCells count="1">
    <mergeCell ref="I1:J3"/>
  </mergeCells>
  <pageMargins left="0.7" right="0.7" top="0.75" bottom="0.75" header="0.3" footer="0.3"/>
  <pageSetup scale="4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OutlineSymbols="0" zoomScale="60" zoomScaleNormal="60" workbookViewId="0">
      <selection activeCell="A12" sqref="A12"/>
    </sheetView>
  </sheetViews>
  <sheetFormatPr defaultColWidth="9" defaultRowHeight="15"/>
  <cols>
    <col min="1" max="1" width="9" style="605"/>
    <col min="2" max="2" width="40" style="605" bestFit="1" customWidth="1"/>
    <col min="3" max="3" width="18.5546875" style="605" bestFit="1" customWidth="1"/>
    <col min="4" max="4" width="29" style="605" bestFit="1" customWidth="1"/>
    <col min="5" max="5" width="27.33203125" style="605" bestFit="1" customWidth="1"/>
    <col min="6" max="6" width="27" style="605" customWidth="1"/>
    <col min="7" max="7" width="26.33203125" style="605" bestFit="1" customWidth="1"/>
    <col min="8" max="8" width="2" style="605" bestFit="1" customWidth="1"/>
    <col min="9" max="9" width="12.5546875" style="605" customWidth="1"/>
    <col min="10" max="10" width="2" style="605" customWidth="1"/>
    <col min="11" max="11" width="10.6640625" style="605" customWidth="1"/>
    <col min="12" max="12" width="9" style="605"/>
    <col min="13" max="13" width="9.33203125" style="605" bestFit="1" customWidth="1"/>
    <col min="14" max="14" width="15" style="605" customWidth="1"/>
    <col min="15" max="15" width="10" style="605" bestFit="1" customWidth="1"/>
    <col min="16" max="16384" width="9" style="605"/>
  </cols>
  <sheetData>
    <row r="1" spans="1:15">
      <c r="B1" s="606"/>
      <c r="C1" s="606"/>
      <c r="D1" s="606"/>
      <c r="E1" s="606"/>
      <c r="F1" s="606"/>
      <c r="G1" s="606"/>
      <c r="H1" s="606"/>
      <c r="I1" s="606"/>
      <c r="J1" s="606"/>
      <c r="K1" s="606"/>
    </row>
    <row r="2" spans="1:15" ht="45">
      <c r="A2" s="611" t="s">
        <v>181</v>
      </c>
      <c r="B2" s="612" t="s">
        <v>4105</v>
      </c>
      <c r="C2" s="612" t="s">
        <v>4106</v>
      </c>
      <c r="D2" s="613" t="s">
        <v>4107</v>
      </c>
      <c r="E2" s="613" t="s">
        <v>4108</v>
      </c>
      <c r="F2" s="613" t="s">
        <v>4109</v>
      </c>
      <c r="G2" s="613"/>
      <c r="H2" s="611"/>
      <c r="I2" s="611"/>
      <c r="J2" s="611"/>
      <c r="K2" s="611"/>
    </row>
    <row r="3" spans="1:15" ht="46.2" customHeight="1">
      <c r="A3" s="611"/>
      <c r="B3" s="611"/>
      <c r="C3" s="611"/>
      <c r="D3" s="614" t="s">
        <v>4358</v>
      </c>
      <c r="E3" s="614" t="s">
        <v>4358</v>
      </c>
      <c r="F3" s="614" t="s">
        <v>4358</v>
      </c>
      <c r="G3" s="615"/>
      <c r="H3" s="611"/>
      <c r="I3" s="616" t="s">
        <v>4111</v>
      </c>
      <c r="J3" s="616"/>
      <c r="K3" s="616" t="s">
        <v>4112</v>
      </c>
      <c r="M3" s="617"/>
      <c r="O3" s="605" t="s">
        <v>4114</v>
      </c>
    </row>
    <row r="4" spans="1:15">
      <c r="A4" s="611"/>
      <c r="B4" s="611"/>
      <c r="C4" s="611"/>
      <c r="D4" s="614"/>
      <c r="E4" s="614"/>
      <c r="F4" s="614"/>
      <c r="G4" s="614"/>
      <c r="H4" s="611"/>
      <c r="I4" s="614" t="s">
        <v>4386</v>
      </c>
      <c r="J4" s="614"/>
      <c r="K4" s="614" t="s">
        <v>4386</v>
      </c>
    </row>
    <row r="5" spans="1:15">
      <c r="A5" s="618" t="s">
        <v>2333</v>
      </c>
      <c r="B5" s="610" t="s">
        <v>3928</v>
      </c>
      <c r="C5" s="618">
        <v>4057157</v>
      </c>
      <c r="D5" s="619">
        <v>7906889</v>
      </c>
      <c r="E5" s="619">
        <v>0</v>
      </c>
      <c r="F5" s="619">
        <v>7563090</v>
      </c>
      <c r="G5" s="614"/>
      <c r="H5" s="611"/>
      <c r="I5" s="621">
        <f t="shared" ref="I5:I11" si="0">(D5)/SUM($D5:$F5)</f>
        <v>0.51111181211041079</v>
      </c>
      <c r="J5" s="621"/>
      <c r="K5" s="621">
        <f t="shared" ref="K5:K11" si="1">(F5)/SUM($D5:$F5)</f>
        <v>0.48888818788958927</v>
      </c>
      <c r="O5" s="609">
        <f>SUM(I5,K5)</f>
        <v>1</v>
      </c>
    </row>
    <row r="6" spans="1:15">
      <c r="A6" s="618" t="s">
        <v>3051</v>
      </c>
      <c r="B6" s="610" t="s">
        <v>4116</v>
      </c>
      <c r="C6" s="618">
        <v>4061755</v>
      </c>
      <c r="D6" s="619">
        <v>1418298</v>
      </c>
      <c r="E6" s="619">
        <v>0</v>
      </c>
      <c r="F6" s="619">
        <v>1104062</v>
      </c>
      <c r="G6" s="620"/>
      <c r="H6" s="611"/>
      <c r="I6" s="621">
        <f t="shared" si="0"/>
        <v>0.56229007754642479</v>
      </c>
      <c r="J6" s="621"/>
      <c r="K6" s="621">
        <f t="shared" si="1"/>
        <v>0.43770992245357521</v>
      </c>
      <c r="M6" s="621"/>
      <c r="O6" s="609">
        <f t="shared" ref="O6:O11" si="2">SUM(I6,K6)</f>
        <v>1</v>
      </c>
    </row>
    <row r="7" spans="1:15">
      <c r="A7" s="618" t="s">
        <v>214</v>
      </c>
      <c r="B7" s="627" t="s">
        <v>4250</v>
      </c>
      <c r="C7" s="618">
        <v>4012860</v>
      </c>
      <c r="D7" s="619">
        <v>2499656.2439999999</v>
      </c>
      <c r="E7" s="619">
        <v>0</v>
      </c>
      <c r="F7" s="619">
        <v>2498919.2940000002</v>
      </c>
      <c r="G7" s="620"/>
      <c r="H7" s="611"/>
      <c r="I7" s="622">
        <f t="shared" si="0"/>
        <v>0.50007371600112838</v>
      </c>
      <c r="J7" s="622"/>
      <c r="K7" s="622">
        <f t="shared" si="1"/>
        <v>0.49992628399887151</v>
      </c>
      <c r="M7" s="621"/>
      <c r="O7" s="609">
        <f t="shared" si="2"/>
        <v>0.99999999999999989</v>
      </c>
    </row>
    <row r="8" spans="1:15">
      <c r="A8" s="618" t="s">
        <v>3052</v>
      </c>
      <c r="B8" s="610" t="s">
        <v>4040</v>
      </c>
      <c r="C8" s="618">
        <v>10344596</v>
      </c>
      <c r="D8" s="619">
        <v>977807</v>
      </c>
      <c r="E8" s="619">
        <v>0</v>
      </c>
      <c r="F8" s="619">
        <v>1067199</v>
      </c>
      <c r="H8" s="611"/>
      <c r="I8" s="621">
        <f t="shared" si="0"/>
        <v>0.47814382940685751</v>
      </c>
      <c r="J8" s="621"/>
      <c r="K8" s="621">
        <f t="shared" si="1"/>
        <v>0.52185617059314249</v>
      </c>
      <c r="L8" s="605" t="s">
        <v>4380</v>
      </c>
      <c r="M8" s="622"/>
      <c r="O8" s="609">
        <f t="shared" si="2"/>
        <v>1</v>
      </c>
    </row>
    <row r="9" spans="1:15">
      <c r="A9" s="610" t="s">
        <v>3053</v>
      </c>
      <c r="B9" s="610" t="s">
        <v>3062</v>
      </c>
      <c r="C9" s="610">
        <v>4427129</v>
      </c>
      <c r="D9" s="605">
        <v>2349532</v>
      </c>
      <c r="E9" s="605">
        <v>0</v>
      </c>
      <c r="F9" s="605">
        <v>3714589</v>
      </c>
      <c r="G9" s="620"/>
      <c r="H9" s="611"/>
      <c r="I9" s="621">
        <f t="shared" si="0"/>
        <v>0.38744807367794937</v>
      </c>
      <c r="J9" s="620"/>
      <c r="K9" s="621">
        <f t="shared" si="1"/>
        <v>0.61255192632205058</v>
      </c>
      <c r="M9" s="621"/>
      <c r="O9" s="609">
        <f t="shared" si="2"/>
        <v>1</v>
      </c>
    </row>
    <row r="10" spans="1:15">
      <c r="A10" s="610" t="s">
        <v>3055</v>
      </c>
      <c r="B10" s="610" t="s">
        <v>3059</v>
      </c>
      <c r="C10" s="610">
        <v>4004296</v>
      </c>
      <c r="D10" s="605">
        <v>881500</v>
      </c>
      <c r="E10" s="605">
        <v>0</v>
      </c>
      <c r="F10" s="605">
        <v>625800</v>
      </c>
      <c r="G10" s="620"/>
      <c r="H10" s="611"/>
      <c r="I10" s="621">
        <f t="shared" si="0"/>
        <v>0.58482054003847939</v>
      </c>
      <c r="J10" s="621"/>
      <c r="K10" s="621">
        <f t="shared" si="1"/>
        <v>0.41517945996152061</v>
      </c>
      <c r="M10" s="620"/>
      <c r="O10" s="609">
        <f t="shared" si="2"/>
        <v>1</v>
      </c>
    </row>
    <row r="11" spans="1:15">
      <c r="A11" s="618" t="s">
        <v>3055</v>
      </c>
      <c r="B11" s="610" t="s">
        <v>3060</v>
      </c>
      <c r="C11" s="618">
        <v>4060957</v>
      </c>
      <c r="D11" s="623">
        <v>1577900</v>
      </c>
      <c r="E11" s="623">
        <v>0</v>
      </c>
      <c r="F11" s="623">
        <v>1339700</v>
      </c>
      <c r="G11" s="620"/>
      <c r="H11" s="611"/>
      <c r="I11" s="621">
        <f t="shared" si="0"/>
        <v>0.54082122292295032</v>
      </c>
      <c r="J11" s="620"/>
      <c r="K11" s="621">
        <f t="shared" si="1"/>
        <v>0.45917877707704963</v>
      </c>
      <c r="M11" s="621"/>
      <c r="O11" s="609">
        <f t="shared" si="2"/>
        <v>1</v>
      </c>
    </row>
    <row r="12" spans="1:15">
      <c r="A12" s="624"/>
      <c r="B12" s="625"/>
      <c r="C12" s="614"/>
      <c r="D12" s="620"/>
      <c r="E12" s="620"/>
      <c r="F12" s="620"/>
      <c r="G12" s="620"/>
      <c r="H12" s="611"/>
      <c r="I12" s="621"/>
      <c r="J12" s="621"/>
      <c r="K12" s="621"/>
      <c r="M12" s="620"/>
    </row>
    <row r="13" spans="1:15">
      <c r="A13" s="624"/>
      <c r="B13" s="625"/>
      <c r="C13" s="614"/>
      <c r="D13" s="620"/>
      <c r="E13" s="620"/>
      <c r="F13" s="620"/>
      <c r="G13" s="620"/>
      <c r="H13" s="611"/>
      <c r="I13" s="621"/>
      <c r="J13" s="621"/>
      <c r="K13" s="621"/>
      <c r="M13" s="621"/>
      <c r="O13" s="609"/>
    </row>
    <row r="14" spans="1:15">
      <c r="A14" s="624"/>
      <c r="B14" s="625"/>
      <c r="C14" s="614"/>
      <c r="D14" s="620"/>
      <c r="E14" s="620"/>
      <c r="F14" s="620"/>
      <c r="G14" s="620"/>
      <c r="H14" s="611"/>
      <c r="I14" s="621"/>
      <c r="J14" s="621"/>
      <c r="K14" s="621"/>
      <c r="M14" s="621"/>
      <c r="O14" s="609"/>
    </row>
    <row r="15" spans="1:15">
      <c r="A15" s="624"/>
      <c r="B15" s="625"/>
      <c r="C15" s="614"/>
      <c r="D15" s="620"/>
      <c r="E15" s="620"/>
      <c r="F15" s="620"/>
      <c r="G15" s="620"/>
      <c r="H15" s="611"/>
      <c r="I15" s="621"/>
      <c r="J15" s="621"/>
      <c r="K15" s="621"/>
      <c r="M15" s="621"/>
      <c r="O15" s="609"/>
    </row>
    <row r="16" spans="1:15">
      <c r="A16" s="624"/>
      <c r="B16" s="625"/>
      <c r="C16" s="614"/>
      <c r="D16" s="620"/>
      <c r="E16" s="620"/>
      <c r="F16" s="620"/>
      <c r="G16" s="620"/>
      <c r="H16" s="611"/>
      <c r="I16" s="621"/>
      <c r="J16" s="621"/>
      <c r="K16" s="621"/>
      <c r="M16" s="621"/>
      <c r="O16" s="609"/>
    </row>
    <row r="17" spans="1:15">
      <c r="A17" s="624"/>
      <c r="B17" s="625"/>
      <c r="C17" s="614"/>
      <c r="D17" s="620"/>
      <c r="E17" s="620"/>
      <c r="F17" s="620"/>
      <c r="G17" s="620"/>
      <c r="H17" s="611"/>
      <c r="I17" s="621"/>
      <c r="J17" s="621"/>
      <c r="K17" s="621"/>
      <c r="M17" s="621"/>
      <c r="O17" s="609"/>
    </row>
    <row r="18" spans="1:15">
      <c r="A18" s="624"/>
      <c r="B18" s="625"/>
      <c r="C18" s="614"/>
      <c r="D18" s="620"/>
      <c r="E18" s="620"/>
      <c r="F18" s="620"/>
      <c r="G18" s="620"/>
      <c r="H18" s="611"/>
      <c r="I18" s="621"/>
      <c r="J18" s="621"/>
      <c r="K18" s="621"/>
      <c r="M18" s="621"/>
      <c r="O18" s="609"/>
    </row>
    <row r="19" spans="1:15">
      <c r="B19" s="607"/>
      <c r="C19" s="618"/>
      <c r="D19" s="626"/>
      <c r="E19" s="626"/>
      <c r="F19" s="626"/>
      <c r="G19" s="620"/>
      <c r="H19" s="611"/>
      <c r="I19" s="621"/>
      <c r="J19" s="621"/>
      <c r="M19" s="621"/>
      <c r="O19" s="609"/>
    </row>
    <row r="20" spans="1:15">
      <c r="B20" s="607"/>
      <c r="C20" s="618"/>
      <c r="D20" s="626"/>
      <c r="E20" s="626"/>
      <c r="F20" s="626"/>
      <c r="G20" s="626"/>
      <c r="I20" s="621"/>
      <c r="J20" s="621"/>
    </row>
    <row r="21" spans="1:15">
      <c r="G21" s="626"/>
      <c r="I21" s="621"/>
      <c r="J21" s="621"/>
    </row>
    <row r="22" spans="1:15">
      <c r="G22" s="626"/>
      <c r="I22" s="621"/>
      <c r="J22" s="621"/>
    </row>
    <row r="23" spans="1:15">
      <c r="G23" s="626"/>
      <c r="I23" s="621"/>
      <c r="J23" s="621"/>
    </row>
    <row r="24" spans="1:15">
      <c r="G24" s="626"/>
      <c r="I24" s="621"/>
      <c r="J24" s="621"/>
    </row>
    <row r="25" spans="1:15">
      <c r="G25" s="626"/>
    </row>
    <row r="27" spans="1:15">
      <c r="G27" s="627"/>
    </row>
    <row r="28" spans="1:15">
      <c r="B28" s="610"/>
      <c r="C28" s="610"/>
      <c r="D28" s="610"/>
      <c r="E28" s="610"/>
      <c r="F28" s="610"/>
      <c r="G28" s="618"/>
    </row>
    <row r="29" spans="1:15">
      <c r="B29" s="610"/>
      <c r="C29" s="610"/>
      <c r="D29" s="610"/>
      <c r="E29" s="610"/>
      <c r="F29" s="610"/>
      <c r="G29" s="610"/>
    </row>
    <row r="30" spans="1:15">
      <c r="G30" s="610"/>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S1188"/>
  <sheetViews>
    <sheetView view="pageBreakPreview" zoomScale="60" zoomScaleNormal="85" workbookViewId="0">
      <pane ySplit="1" topLeftCell="A1150" activePane="bottomLeft" state="frozen"/>
      <selection pane="bottomLeft" activeCell="A1168" sqref="A1168"/>
    </sheetView>
  </sheetViews>
  <sheetFormatPr defaultColWidth="9" defaultRowHeight="15"/>
  <cols>
    <col min="1" max="1" width="26" style="629" bestFit="1" customWidth="1"/>
    <col min="2" max="7" width="13.33203125" style="629" customWidth="1"/>
    <col min="8" max="8" width="14.88671875" style="629" customWidth="1"/>
    <col min="9" max="9" width="13.33203125" style="629" customWidth="1"/>
    <col min="10" max="10" width="17" style="629" customWidth="1"/>
    <col min="11" max="16384" width="9" style="629"/>
  </cols>
  <sheetData>
    <row r="1" spans="1:19">
      <c r="B1" s="236" t="s">
        <v>2333</v>
      </c>
      <c r="C1" s="236" t="s">
        <v>3051</v>
      </c>
      <c r="D1" s="236" t="s">
        <v>214</v>
      </c>
      <c r="E1" s="236" t="s">
        <v>3052</v>
      </c>
      <c r="F1" s="236" t="s">
        <v>3053</v>
      </c>
      <c r="G1" s="236" t="s">
        <v>3055</v>
      </c>
      <c r="H1" s="629" t="s">
        <v>1301</v>
      </c>
      <c r="I1" s="629" t="s">
        <v>1300</v>
      </c>
      <c r="J1" s="629" t="s">
        <v>1299</v>
      </c>
    </row>
    <row r="2" spans="1:19">
      <c r="B2" s="629" t="s">
        <v>4583</v>
      </c>
      <c r="C2" s="629" t="s">
        <v>4584</v>
      </c>
      <c r="D2" s="629" t="s">
        <v>4585</v>
      </c>
      <c r="E2" s="629" t="s">
        <v>4586</v>
      </c>
      <c r="F2" s="629" t="s">
        <v>4587</v>
      </c>
      <c r="G2" s="629" t="s">
        <v>4588</v>
      </c>
      <c r="H2" s="629" t="s">
        <v>4590</v>
      </c>
      <c r="I2" s="629" t="s">
        <v>4591</v>
      </c>
      <c r="J2" s="629" t="s">
        <v>4592</v>
      </c>
    </row>
    <row r="3" spans="1:19">
      <c r="B3" s="629" t="s">
        <v>4589</v>
      </c>
      <c r="C3" s="629" t="s">
        <v>4589</v>
      </c>
      <c r="D3" s="629" t="s">
        <v>4589</v>
      </c>
      <c r="E3" s="629" t="s">
        <v>4589</v>
      </c>
      <c r="F3" s="629" t="s">
        <v>4589</v>
      </c>
      <c r="G3" s="629" t="s">
        <v>4589</v>
      </c>
      <c r="H3" s="629" t="s">
        <v>4589</v>
      </c>
      <c r="I3" s="629" t="s">
        <v>4589</v>
      </c>
      <c r="J3" s="629" t="s">
        <v>4589</v>
      </c>
    </row>
    <row r="5" spans="1:19">
      <c r="A5" s="629" t="s">
        <v>1298</v>
      </c>
      <c r="G5" s="629">
        <v>6.5942562462275602E-4</v>
      </c>
      <c r="H5" s="734">
        <v>1.2535482069544501E-3</v>
      </c>
      <c r="I5" s="734"/>
      <c r="J5" s="734"/>
      <c r="L5" s="84"/>
      <c r="M5" s="84"/>
      <c r="N5" s="84"/>
      <c r="O5" s="84"/>
      <c r="P5" s="84"/>
      <c r="Q5" s="84"/>
      <c r="R5" s="84"/>
      <c r="S5" s="84"/>
    </row>
    <row r="6" spans="1:19">
      <c r="A6" s="629" t="s">
        <v>1297</v>
      </c>
      <c r="G6" s="629">
        <v>6.8852943906320496E-4</v>
      </c>
      <c r="H6" s="734">
        <v>1.1546025084102499E-3</v>
      </c>
      <c r="I6" s="734"/>
      <c r="J6" s="734"/>
      <c r="L6" s="84"/>
      <c r="M6" s="84"/>
      <c r="N6" s="84"/>
      <c r="O6" s="84"/>
      <c r="P6" s="84"/>
      <c r="Q6" s="84"/>
      <c r="R6" s="84"/>
      <c r="S6" s="84"/>
    </row>
    <row r="7" spans="1:19">
      <c r="A7" s="629" t="s">
        <v>1296</v>
      </c>
      <c r="G7" s="629">
        <v>6.8269666939601095E-4</v>
      </c>
      <c r="H7" s="734">
        <v>1.32937791891644E-3</v>
      </c>
      <c r="I7" s="735"/>
      <c r="J7" s="735"/>
      <c r="L7" s="84"/>
      <c r="M7" s="84"/>
      <c r="N7" s="84"/>
      <c r="O7" s="84"/>
      <c r="P7" s="84"/>
      <c r="Q7" s="84"/>
      <c r="R7" s="84"/>
      <c r="S7" s="84"/>
    </row>
    <row r="8" spans="1:19">
      <c r="A8" s="629" t="s">
        <v>1295</v>
      </c>
      <c r="G8" s="629">
        <v>8.1222245156698902E-4</v>
      </c>
      <c r="H8" s="734">
        <v>1.75813846862506E-3</v>
      </c>
      <c r="I8" s="735"/>
      <c r="J8" s="735"/>
      <c r="L8" s="84"/>
      <c r="M8" s="84"/>
      <c r="N8" s="84"/>
      <c r="O8" s="84"/>
      <c r="P8" s="84"/>
      <c r="Q8" s="84"/>
      <c r="R8" s="84"/>
      <c r="S8" s="84"/>
    </row>
    <row r="9" spans="1:19">
      <c r="A9" s="629" t="s">
        <v>1294</v>
      </c>
      <c r="G9" s="629">
        <v>8.0074492684375305E-4</v>
      </c>
      <c r="H9" s="734">
        <v>1.60021832672548E-3</v>
      </c>
      <c r="I9" s="735"/>
      <c r="J9" s="735"/>
      <c r="L9" s="84"/>
      <c r="M9" s="84"/>
      <c r="N9" s="84"/>
      <c r="O9" s="84"/>
      <c r="P9" s="84"/>
      <c r="Q9" s="84"/>
      <c r="R9" s="84"/>
      <c r="S9" s="84"/>
    </row>
    <row r="10" spans="1:19">
      <c r="A10" s="629" t="s">
        <v>1293</v>
      </c>
      <c r="G10" s="629">
        <v>7.8357462461759505E-4</v>
      </c>
      <c r="H10" s="734">
        <v>1.44671196799182E-3</v>
      </c>
      <c r="I10" s="735"/>
      <c r="J10" s="735"/>
      <c r="L10" s="84"/>
      <c r="M10" s="84"/>
      <c r="N10" s="84"/>
      <c r="O10" s="84"/>
      <c r="P10" s="84"/>
      <c r="Q10" s="84"/>
      <c r="R10" s="84"/>
      <c r="S10" s="84"/>
    </row>
    <row r="11" spans="1:19">
      <c r="A11" s="629" t="s">
        <v>1292</v>
      </c>
      <c r="G11" s="629">
        <v>8.1293643815761403E-4</v>
      </c>
      <c r="H11" s="734">
        <v>1.4950942341493501E-3</v>
      </c>
      <c r="I11" s="735"/>
      <c r="J11" s="735"/>
      <c r="L11" s="84"/>
      <c r="M11" s="84"/>
      <c r="N11" s="84"/>
      <c r="O11" s="84"/>
      <c r="P11" s="84"/>
      <c r="Q11" s="84"/>
      <c r="R11" s="84"/>
      <c r="S11" s="84"/>
    </row>
    <row r="12" spans="1:19">
      <c r="A12" s="629" t="s">
        <v>1291</v>
      </c>
      <c r="G12" s="629">
        <v>1.0654315359315001E-3</v>
      </c>
      <c r="H12" s="734">
        <v>1.5578179929539001E-3</v>
      </c>
      <c r="I12" s="735"/>
      <c r="J12" s="735"/>
      <c r="L12" s="84"/>
      <c r="M12" s="84"/>
      <c r="N12" s="84"/>
      <c r="O12" s="84"/>
      <c r="P12" s="84"/>
      <c r="Q12" s="84"/>
      <c r="R12" s="84"/>
      <c r="S12" s="84"/>
    </row>
    <row r="13" spans="1:19">
      <c r="A13" s="629" t="s">
        <v>1290</v>
      </c>
      <c r="G13" s="629">
        <v>1.0211211348767301E-3</v>
      </c>
      <c r="H13" s="734">
        <v>1.4356873944034699E-3</v>
      </c>
      <c r="I13" s="735"/>
      <c r="J13" s="735"/>
      <c r="L13" s="84"/>
      <c r="M13" s="84"/>
      <c r="N13" s="84"/>
      <c r="O13" s="84"/>
      <c r="P13" s="84"/>
      <c r="Q13" s="84"/>
      <c r="R13" s="84"/>
      <c r="S13" s="84"/>
    </row>
    <row r="14" spans="1:19">
      <c r="A14" s="629" t="s">
        <v>1289</v>
      </c>
      <c r="G14" s="629">
        <v>1.04046342614469E-3</v>
      </c>
      <c r="H14" s="734">
        <v>1.33930056752959E-3</v>
      </c>
      <c r="I14" s="735"/>
      <c r="J14" s="735"/>
      <c r="L14" s="84"/>
      <c r="M14" s="84"/>
      <c r="N14" s="84"/>
      <c r="O14" s="84"/>
      <c r="P14" s="84"/>
      <c r="Q14" s="84"/>
      <c r="R14" s="84"/>
      <c r="S14" s="84"/>
    </row>
    <row r="15" spans="1:19">
      <c r="A15" s="629" t="s">
        <v>1288</v>
      </c>
      <c r="G15" s="629">
        <v>1.0012918380904901E-3</v>
      </c>
      <c r="H15" s="734">
        <v>1.38327817252538E-3</v>
      </c>
      <c r="I15" s="735"/>
      <c r="J15" s="735"/>
      <c r="L15" s="84"/>
      <c r="M15" s="84"/>
      <c r="N15" s="84"/>
      <c r="O15" s="84"/>
      <c r="P15" s="84"/>
      <c r="Q15" s="84"/>
      <c r="R15" s="84"/>
      <c r="S15" s="84"/>
    </row>
    <row r="16" spans="1:19">
      <c r="A16" s="629" t="s">
        <v>1287</v>
      </c>
      <c r="G16" s="629">
        <v>1.4672389865342801E-3</v>
      </c>
      <c r="H16" s="734">
        <v>1.3525739330294299E-3</v>
      </c>
      <c r="I16" s="735"/>
      <c r="J16" s="735"/>
      <c r="L16" s="84"/>
      <c r="M16" s="84"/>
      <c r="N16" s="84"/>
      <c r="O16" s="84"/>
      <c r="P16" s="84"/>
      <c r="Q16" s="84"/>
      <c r="R16" s="84"/>
      <c r="S16" s="84"/>
    </row>
    <row r="17" spans="1:19">
      <c r="A17" s="629" t="s">
        <v>1286</v>
      </c>
      <c r="G17" s="629">
        <v>1.59160053453932E-3</v>
      </c>
      <c r="H17" s="734">
        <v>1.2499109340126399E-3</v>
      </c>
      <c r="I17" s="735"/>
      <c r="J17" s="735"/>
      <c r="L17" s="84"/>
      <c r="M17" s="84"/>
      <c r="N17" s="84"/>
      <c r="O17" s="84"/>
      <c r="P17" s="84"/>
      <c r="Q17" s="84"/>
      <c r="R17" s="84"/>
      <c r="S17" s="84"/>
    </row>
    <row r="18" spans="1:19">
      <c r="A18" s="629" t="s">
        <v>1285</v>
      </c>
      <c r="G18" s="629">
        <v>1.49631200007473E-3</v>
      </c>
      <c r="H18" s="734">
        <v>1.2344337008200999E-3</v>
      </c>
      <c r="I18" s="735"/>
      <c r="J18" s="735"/>
      <c r="L18" s="84"/>
      <c r="M18" s="84"/>
      <c r="N18" s="84"/>
      <c r="O18" s="84"/>
      <c r="P18" s="84"/>
      <c r="Q18" s="84"/>
      <c r="R18" s="84"/>
      <c r="S18" s="84"/>
    </row>
    <row r="19" spans="1:19">
      <c r="A19" s="629" t="s">
        <v>1284</v>
      </c>
      <c r="G19" s="629">
        <v>1.80673423726951E-3</v>
      </c>
      <c r="H19" s="734">
        <v>1.4234978875918001E-3</v>
      </c>
      <c r="I19" s="735"/>
      <c r="J19" s="735"/>
      <c r="L19" s="84"/>
      <c r="M19" s="84"/>
      <c r="N19" s="84"/>
      <c r="O19" s="84"/>
      <c r="P19" s="84"/>
      <c r="Q19" s="84"/>
      <c r="R19" s="84"/>
      <c r="S19" s="84"/>
    </row>
    <row r="20" spans="1:19">
      <c r="A20" s="629" t="s">
        <v>1283</v>
      </c>
      <c r="G20" s="629">
        <v>1.7016723107149401E-3</v>
      </c>
      <c r="H20" s="734">
        <v>1.2882195098389501E-3</v>
      </c>
      <c r="I20" s="735"/>
      <c r="J20" s="735"/>
      <c r="L20" s="84"/>
      <c r="M20" s="84"/>
      <c r="N20" s="84"/>
      <c r="O20" s="84"/>
      <c r="P20" s="84"/>
      <c r="Q20" s="84"/>
      <c r="R20" s="84"/>
      <c r="S20" s="84"/>
    </row>
    <row r="21" spans="1:19">
      <c r="A21" s="629" t="s">
        <v>1282</v>
      </c>
      <c r="G21" s="629">
        <v>2.3495226800447099E-3</v>
      </c>
      <c r="H21" s="734">
        <v>1.20040497169373E-3</v>
      </c>
      <c r="I21" s="735"/>
      <c r="J21" s="735"/>
      <c r="L21" s="84"/>
      <c r="M21" s="84"/>
      <c r="N21" s="84"/>
      <c r="O21" s="84"/>
      <c r="P21" s="84"/>
      <c r="Q21" s="84"/>
      <c r="R21" s="84"/>
      <c r="S21" s="84"/>
    </row>
    <row r="22" spans="1:19">
      <c r="A22" s="629" t="s">
        <v>1281</v>
      </c>
      <c r="G22" s="629">
        <v>6.7825284609467603E-3</v>
      </c>
      <c r="H22" s="734">
        <v>1.4882475524241601E-3</v>
      </c>
      <c r="I22" s="735"/>
      <c r="J22" s="735"/>
      <c r="L22" s="84"/>
      <c r="M22" s="84"/>
      <c r="N22" s="84"/>
      <c r="O22" s="84"/>
      <c r="P22" s="84"/>
      <c r="Q22" s="84"/>
      <c r="R22" s="84"/>
      <c r="S22" s="84"/>
    </row>
    <row r="23" spans="1:19">
      <c r="A23" s="629" t="s">
        <v>1280</v>
      </c>
      <c r="G23" s="629">
        <v>6.34579068714081E-3</v>
      </c>
      <c r="H23" s="734">
        <v>1.3665938806320299E-3</v>
      </c>
      <c r="I23" s="735"/>
      <c r="J23" s="735"/>
      <c r="L23" s="84"/>
      <c r="M23" s="84"/>
      <c r="N23" s="84"/>
      <c r="O23" s="84"/>
      <c r="P23" s="84"/>
      <c r="Q23" s="84"/>
      <c r="R23" s="84"/>
      <c r="S23" s="84"/>
    </row>
    <row r="24" spans="1:19">
      <c r="A24" s="629" t="s">
        <v>1279</v>
      </c>
      <c r="G24" s="629">
        <v>5.7823696503500497E-3</v>
      </c>
      <c r="H24" s="734">
        <v>1.71267416813809E-3</v>
      </c>
      <c r="I24" s="735"/>
      <c r="J24" s="735"/>
      <c r="L24" s="84"/>
      <c r="M24" s="84"/>
      <c r="N24" s="84"/>
      <c r="O24" s="84"/>
      <c r="P24" s="84"/>
      <c r="Q24" s="84"/>
      <c r="R24" s="84"/>
      <c r="S24" s="84"/>
    </row>
    <row r="25" spans="1:19">
      <c r="A25" s="629" t="s">
        <v>1278</v>
      </c>
      <c r="G25" s="629">
        <v>5.25884961287287E-3</v>
      </c>
      <c r="H25" s="734">
        <v>1.77075427049495E-3</v>
      </c>
      <c r="I25" s="735"/>
      <c r="J25" s="735"/>
      <c r="L25" s="84"/>
      <c r="M25" s="84"/>
      <c r="N25" s="84"/>
      <c r="O25" s="84"/>
      <c r="P25" s="84"/>
      <c r="Q25" s="84"/>
      <c r="R25" s="84"/>
      <c r="S25" s="84"/>
    </row>
    <row r="26" spans="1:19">
      <c r="A26" s="629" t="s">
        <v>1277</v>
      </c>
      <c r="G26" s="629">
        <v>5.9505634527985104E-3</v>
      </c>
      <c r="H26" s="734">
        <v>1.75066544096312E-3</v>
      </c>
      <c r="I26" s="735"/>
      <c r="J26" s="735"/>
      <c r="L26" s="84"/>
      <c r="M26" s="84"/>
      <c r="N26" s="84"/>
      <c r="O26" s="84"/>
      <c r="P26" s="84"/>
      <c r="Q26" s="84"/>
      <c r="R26" s="84"/>
      <c r="S26" s="84"/>
    </row>
    <row r="27" spans="1:19">
      <c r="A27" s="629" t="s">
        <v>1276</v>
      </c>
      <c r="G27" s="629">
        <v>5.40724993321272E-3</v>
      </c>
      <c r="H27" s="734">
        <v>2.0013167856125199E-3</v>
      </c>
      <c r="I27" s="735"/>
      <c r="J27" s="735"/>
      <c r="L27" s="84"/>
      <c r="M27" s="84"/>
      <c r="N27" s="84"/>
      <c r="O27" s="84"/>
      <c r="P27" s="84"/>
      <c r="Q27" s="84"/>
      <c r="R27" s="84"/>
      <c r="S27" s="84"/>
    </row>
    <row r="28" spans="1:19">
      <c r="A28" s="629" t="s">
        <v>1275</v>
      </c>
      <c r="G28" s="629">
        <v>5.0644812346512698E-3</v>
      </c>
      <c r="H28" s="734">
        <v>2.2849683158488602E-3</v>
      </c>
      <c r="I28" s="735"/>
      <c r="J28" s="735"/>
      <c r="L28" s="84"/>
      <c r="M28" s="84"/>
      <c r="N28" s="84"/>
      <c r="O28" s="84"/>
      <c r="P28" s="84"/>
      <c r="Q28" s="84"/>
      <c r="R28" s="84"/>
      <c r="S28" s="84"/>
    </row>
    <row r="29" spans="1:19">
      <c r="A29" s="629" t="s">
        <v>1274</v>
      </c>
      <c r="G29" s="629">
        <v>5.6840683656384696E-3</v>
      </c>
      <c r="H29" s="734">
        <v>2.0389734673404501E-3</v>
      </c>
      <c r="I29" s="735">
        <v>2.7157672581057898E-3</v>
      </c>
      <c r="J29" s="735">
        <v>2.2817976139644998E-3</v>
      </c>
      <c r="L29" s="84"/>
      <c r="M29" s="84"/>
      <c r="N29" s="84"/>
      <c r="O29" s="84"/>
      <c r="P29" s="84"/>
      <c r="Q29" s="84"/>
      <c r="R29" s="84"/>
      <c r="S29" s="84"/>
    </row>
    <row r="30" spans="1:19">
      <c r="A30" s="629" t="s">
        <v>1273</v>
      </c>
      <c r="G30" s="629">
        <v>1.0291634765586999E-2</v>
      </c>
      <c r="H30" s="734">
        <v>1.8155467928230101E-3</v>
      </c>
      <c r="I30" s="735">
        <v>2.5136198087874098E-3</v>
      </c>
      <c r="J30" s="735">
        <v>2.0171967588548602E-3</v>
      </c>
      <c r="L30" s="84"/>
      <c r="M30" s="84"/>
      <c r="N30" s="84"/>
      <c r="O30" s="84"/>
      <c r="P30" s="84"/>
      <c r="Q30" s="84"/>
      <c r="R30" s="84"/>
      <c r="S30" s="84"/>
    </row>
    <row r="31" spans="1:19">
      <c r="A31" s="629" t="s">
        <v>1272</v>
      </c>
      <c r="G31" s="629">
        <v>9.3170492029053392E-3</v>
      </c>
      <c r="H31" s="734">
        <v>1.66527396309958E-3</v>
      </c>
      <c r="I31" s="735">
        <v>2.27189682457437E-3</v>
      </c>
      <c r="J31" s="735">
        <v>1.8357788742599801E-3</v>
      </c>
      <c r="L31" s="84"/>
      <c r="M31" s="84"/>
      <c r="N31" s="84"/>
      <c r="O31" s="84"/>
      <c r="P31" s="84"/>
      <c r="Q31" s="84"/>
      <c r="R31" s="84"/>
      <c r="S31" s="84"/>
    </row>
    <row r="32" spans="1:19">
      <c r="A32" s="629" t="s">
        <v>1271</v>
      </c>
      <c r="G32" s="629">
        <v>9.08070755943193E-3</v>
      </c>
      <c r="H32" s="734">
        <v>2.85204423492199E-3</v>
      </c>
      <c r="I32" s="735">
        <v>2.4861571455703901E-3</v>
      </c>
      <c r="J32" s="735">
        <v>2.98124041318438E-3</v>
      </c>
      <c r="L32" s="84"/>
      <c r="M32" s="84"/>
      <c r="N32" s="84"/>
      <c r="O32" s="84"/>
      <c r="P32" s="84"/>
      <c r="Q32" s="84"/>
      <c r="R32" s="84"/>
      <c r="S32" s="84"/>
    </row>
    <row r="33" spans="1:19">
      <c r="A33" s="629" t="s">
        <v>1270</v>
      </c>
      <c r="G33" s="629">
        <v>8.2277442171560296E-3</v>
      </c>
      <c r="H33" s="734">
        <v>2.5316812198171801E-3</v>
      </c>
      <c r="I33" s="735">
        <v>3.1077852915705599E-3</v>
      </c>
      <c r="J33" s="735">
        <v>2.6357249668667801E-3</v>
      </c>
      <c r="L33" s="84"/>
      <c r="M33" s="84"/>
      <c r="N33" s="84"/>
      <c r="O33" s="84"/>
      <c r="P33" s="84"/>
      <c r="Q33" s="84"/>
      <c r="R33" s="84"/>
      <c r="S33" s="84"/>
    </row>
    <row r="34" spans="1:19">
      <c r="A34" s="629" t="s">
        <v>1269</v>
      </c>
      <c r="G34" s="629">
        <v>7.4606335778907998E-3</v>
      </c>
      <c r="H34" s="734">
        <v>2.2096262032769002E-3</v>
      </c>
      <c r="I34" s="735">
        <v>2.7784168228821501E-3</v>
      </c>
      <c r="J34" s="735">
        <v>2.2932523650324201E-3</v>
      </c>
      <c r="L34" s="84"/>
      <c r="M34" s="84"/>
      <c r="N34" s="84"/>
      <c r="O34" s="84"/>
      <c r="P34" s="84"/>
      <c r="Q34" s="84"/>
      <c r="R34" s="84"/>
      <c r="S34" s="84"/>
    </row>
    <row r="35" spans="1:19">
      <c r="A35" s="629" t="s">
        <v>1268</v>
      </c>
      <c r="G35" s="629">
        <v>6.9660077367671202E-3</v>
      </c>
      <c r="H35" s="734">
        <v>2.2342076628917799E-3</v>
      </c>
      <c r="I35" s="735">
        <v>2.7285180817359501E-3</v>
      </c>
      <c r="J35" s="735">
        <v>2.3133622749407601E-3</v>
      </c>
      <c r="L35" s="84"/>
      <c r="M35" s="84"/>
      <c r="N35" s="84"/>
      <c r="O35" s="84"/>
      <c r="P35" s="84"/>
      <c r="Q35" s="84"/>
      <c r="R35" s="84"/>
      <c r="S35" s="84"/>
    </row>
    <row r="36" spans="1:19">
      <c r="A36" s="629" t="s">
        <v>1267</v>
      </c>
      <c r="G36" s="629">
        <v>6.5726140989303501E-3</v>
      </c>
      <c r="H36" s="734">
        <v>1.95677278715272E-3</v>
      </c>
      <c r="I36" s="735">
        <v>2.4595544352294099E-3</v>
      </c>
      <c r="J36" s="735">
        <v>2.0193576834546798E-3</v>
      </c>
      <c r="L36" s="84"/>
      <c r="M36" s="84"/>
      <c r="N36" s="84"/>
      <c r="O36" s="84"/>
      <c r="P36" s="84"/>
      <c r="Q36" s="84"/>
      <c r="R36" s="84"/>
      <c r="S36" s="84"/>
    </row>
    <row r="37" spans="1:19">
      <c r="A37" s="629" t="s">
        <v>1266</v>
      </c>
      <c r="G37" s="629">
        <v>7.9986766544352002E-3</v>
      </c>
      <c r="H37" s="734">
        <v>2.3913451088150902E-3</v>
      </c>
      <c r="I37" s="735">
        <v>2.5878716833075098E-3</v>
      </c>
      <c r="J37" s="735">
        <v>2.4388798736334999E-3</v>
      </c>
      <c r="L37" s="84"/>
      <c r="M37" s="84"/>
      <c r="N37" s="84"/>
      <c r="O37" s="84"/>
      <c r="P37" s="84"/>
      <c r="Q37" s="84"/>
      <c r="R37" s="84"/>
      <c r="S37" s="84"/>
    </row>
    <row r="38" spans="1:19">
      <c r="A38" s="629" t="s">
        <v>1265</v>
      </c>
      <c r="G38" s="629">
        <v>8.5446684061442207E-3</v>
      </c>
      <c r="H38" s="734">
        <v>2.1160391618391598E-3</v>
      </c>
      <c r="I38" s="735">
        <v>2.3550357479228102E-3</v>
      </c>
      <c r="J38" s="735">
        <v>2.15200792960219E-3</v>
      </c>
      <c r="L38" s="84"/>
      <c r="M38" s="84"/>
      <c r="N38" s="84"/>
      <c r="O38" s="84"/>
      <c r="P38" s="84"/>
      <c r="Q38" s="84"/>
      <c r="R38" s="84"/>
      <c r="S38" s="84"/>
    </row>
    <row r="39" spans="1:19">
      <c r="A39" s="629" t="s">
        <v>1264</v>
      </c>
      <c r="G39" s="629">
        <v>7.7463460317959698E-3</v>
      </c>
      <c r="H39" s="734">
        <v>1.8639548727375E-3</v>
      </c>
      <c r="I39" s="735">
        <v>2.1374242329022099E-3</v>
      </c>
      <c r="J39" s="735">
        <v>1.8908388277387601E-3</v>
      </c>
      <c r="L39" s="84"/>
      <c r="M39" s="84"/>
      <c r="N39" s="84"/>
      <c r="O39" s="84"/>
      <c r="P39" s="84"/>
      <c r="Q39" s="84"/>
      <c r="R39" s="84"/>
      <c r="S39" s="84"/>
    </row>
    <row r="40" spans="1:19">
      <c r="A40" s="629" t="s">
        <v>1263</v>
      </c>
      <c r="G40" s="629">
        <v>7.0181422173674199E-3</v>
      </c>
      <c r="H40" s="734">
        <v>3.55354311276645E-3</v>
      </c>
      <c r="I40" s="735">
        <v>6.5391376883064097E-3</v>
      </c>
      <c r="J40" s="735">
        <v>3.5786157686715698E-3</v>
      </c>
      <c r="L40" s="84"/>
      <c r="M40" s="84"/>
      <c r="N40" s="84"/>
      <c r="O40" s="84"/>
      <c r="P40" s="84"/>
      <c r="Q40" s="84"/>
      <c r="R40" s="84"/>
      <c r="S40" s="84"/>
    </row>
    <row r="41" spans="1:19">
      <c r="A41" s="629" t="s">
        <v>1262</v>
      </c>
      <c r="G41" s="629">
        <v>6.3730485811082102E-3</v>
      </c>
      <c r="H41" s="734">
        <v>3.0484325056911702E-3</v>
      </c>
      <c r="I41" s="735">
        <v>5.7564813587085003E-3</v>
      </c>
      <c r="J41" s="735">
        <v>3.0708357636636701E-3</v>
      </c>
      <c r="L41" s="84"/>
      <c r="M41" s="84"/>
      <c r="N41" s="84"/>
      <c r="O41" s="84"/>
      <c r="P41" s="84"/>
      <c r="Q41" s="84"/>
      <c r="R41" s="84"/>
      <c r="S41" s="84"/>
    </row>
    <row r="42" spans="1:19">
      <c r="A42" s="629" t="s">
        <v>1261</v>
      </c>
      <c r="G42" s="629">
        <v>5.9810119050245896E-3</v>
      </c>
      <c r="H42" s="734">
        <v>2.8998310772740698E-3</v>
      </c>
      <c r="I42" s="735">
        <v>6.6093448921985603E-3</v>
      </c>
      <c r="J42" s="735">
        <v>2.9220628630904702E-3</v>
      </c>
      <c r="L42" s="84"/>
      <c r="M42" s="84"/>
      <c r="N42" s="84"/>
      <c r="O42" s="84"/>
      <c r="P42" s="84"/>
      <c r="Q42" s="84"/>
      <c r="R42" s="84"/>
      <c r="S42" s="84"/>
    </row>
    <row r="43" spans="1:19">
      <c r="A43" s="629" t="s">
        <v>1260</v>
      </c>
      <c r="G43" s="629">
        <v>5.4629544065442201E-3</v>
      </c>
      <c r="H43" s="734">
        <v>2.52473375221356E-3</v>
      </c>
      <c r="I43" s="735">
        <v>5.9670591700389901E-3</v>
      </c>
      <c r="J43" s="735">
        <v>2.5445523637752298E-3</v>
      </c>
      <c r="L43" s="84"/>
      <c r="M43" s="84"/>
      <c r="N43" s="84"/>
      <c r="O43" s="84"/>
      <c r="P43" s="84"/>
      <c r="Q43" s="84"/>
      <c r="R43" s="84"/>
      <c r="S43" s="84"/>
    </row>
    <row r="44" spans="1:19">
      <c r="A44" s="629" t="s">
        <v>1259</v>
      </c>
      <c r="G44" s="629">
        <v>4.9816168130163499E-3</v>
      </c>
      <c r="H44" s="734">
        <v>2.21077197140896E-3</v>
      </c>
      <c r="I44" s="735">
        <v>5.3196293074280303E-3</v>
      </c>
      <c r="J44" s="735">
        <v>2.2274630788503801E-3</v>
      </c>
      <c r="L44" s="84"/>
      <c r="M44" s="84"/>
      <c r="N44" s="84"/>
      <c r="O44" s="84"/>
      <c r="P44" s="84"/>
      <c r="Q44" s="84"/>
      <c r="R44" s="84"/>
      <c r="S44" s="84"/>
    </row>
    <row r="45" spans="1:19">
      <c r="A45" s="629" t="s">
        <v>1258</v>
      </c>
      <c r="G45" s="629">
        <v>4.6809485934822797E-3</v>
      </c>
      <c r="H45" s="734">
        <v>1.9420028433289199E-3</v>
      </c>
      <c r="I45" s="735">
        <v>4.7450011506908699E-3</v>
      </c>
      <c r="J45" s="735">
        <v>1.9540386901048899E-3</v>
      </c>
      <c r="L45" s="84"/>
      <c r="M45" s="84"/>
      <c r="N45" s="84"/>
      <c r="O45" s="84"/>
      <c r="P45" s="84"/>
      <c r="Q45" s="84"/>
      <c r="R45" s="84"/>
      <c r="S45" s="84"/>
    </row>
    <row r="46" spans="1:19">
      <c r="A46" s="629" t="s">
        <v>1257</v>
      </c>
      <c r="G46" s="629">
        <v>4.5034534714940202E-3</v>
      </c>
      <c r="H46" s="734">
        <v>1.98003783100913E-3</v>
      </c>
      <c r="I46" s="735">
        <v>4.32594168058467E-3</v>
      </c>
      <c r="J46" s="735">
        <v>1.9950229657525998E-3</v>
      </c>
      <c r="L46" s="84"/>
      <c r="M46" s="84"/>
      <c r="N46" s="84"/>
      <c r="O46" s="84"/>
      <c r="P46" s="84"/>
      <c r="Q46" s="84"/>
      <c r="R46" s="84"/>
      <c r="S46" s="84"/>
    </row>
    <row r="47" spans="1:19">
      <c r="A47" s="629" t="s">
        <v>1256</v>
      </c>
      <c r="G47" s="629">
        <v>4.2425314987868997E-3</v>
      </c>
      <c r="H47" s="734">
        <v>3.1846578679281898E-3</v>
      </c>
      <c r="I47" s="735">
        <v>8.4279270279420098E-3</v>
      </c>
      <c r="J47" s="735">
        <v>3.1989721321943501E-3</v>
      </c>
      <c r="L47" s="84"/>
      <c r="M47" s="84"/>
      <c r="N47" s="84"/>
      <c r="O47" s="84"/>
      <c r="P47" s="84"/>
      <c r="Q47" s="84"/>
      <c r="R47" s="84"/>
      <c r="S47" s="84"/>
    </row>
    <row r="48" spans="1:19">
      <c r="A48" s="629" t="s">
        <v>1255</v>
      </c>
      <c r="G48" s="629">
        <v>3.8778443308499499E-3</v>
      </c>
      <c r="H48" s="734">
        <v>2.8870585290919001E-3</v>
      </c>
      <c r="I48" s="735">
        <v>7.9797456442572603E-3</v>
      </c>
      <c r="J48" s="735">
        <v>2.9035582271607499E-3</v>
      </c>
      <c r="L48" s="84"/>
      <c r="M48" s="84"/>
      <c r="N48" s="84"/>
      <c r="O48" s="84"/>
      <c r="P48" s="84"/>
      <c r="Q48" s="84"/>
      <c r="R48" s="84"/>
      <c r="S48" s="84"/>
    </row>
    <row r="49" spans="1:19">
      <c r="A49" s="629" t="s">
        <v>1254</v>
      </c>
      <c r="G49" s="629">
        <v>5.9091133419607597E-3</v>
      </c>
      <c r="H49" s="734">
        <v>3.56982235058041E-3</v>
      </c>
      <c r="I49" s="735">
        <v>7.8202443705393705E-3</v>
      </c>
      <c r="J49" s="735">
        <v>3.5947519928772602E-3</v>
      </c>
      <c r="L49" s="84"/>
      <c r="M49" s="84"/>
      <c r="N49" s="84"/>
      <c r="O49" s="84"/>
      <c r="P49" s="84"/>
      <c r="Q49" s="84"/>
      <c r="R49" s="84"/>
      <c r="S49" s="84"/>
    </row>
    <row r="50" spans="1:19">
      <c r="A50" s="629" t="s">
        <v>1253</v>
      </c>
      <c r="G50" s="629">
        <v>6.7707242566594E-3</v>
      </c>
      <c r="H50" s="734">
        <v>3.5489728350593399E-3</v>
      </c>
      <c r="I50" s="735">
        <v>6.89903915902732E-3</v>
      </c>
      <c r="J50" s="735">
        <v>3.5735948948851801E-3</v>
      </c>
      <c r="L50" s="84"/>
      <c r="M50" s="84"/>
      <c r="N50" s="84"/>
      <c r="O50" s="84"/>
      <c r="P50" s="84"/>
      <c r="Q50" s="84"/>
      <c r="R50" s="84"/>
      <c r="S50" s="84"/>
    </row>
    <row r="51" spans="1:19">
      <c r="A51" s="629" t="s">
        <v>1252</v>
      </c>
      <c r="G51" s="629">
        <v>1.2224381224583501E-2</v>
      </c>
      <c r="H51" s="734">
        <v>8.8593479917986606E-3</v>
      </c>
      <c r="I51" s="735">
        <v>1.6886284634011199E-2</v>
      </c>
      <c r="J51" s="735">
        <v>8.9485652445870697E-3</v>
      </c>
      <c r="L51" s="84"/>
      <c r="M51" s="84"/>
      <c r="N51" s="84"/>
      <c r="O51" s="84"/>
      <c r="P51" s="84"/>
      <c r="Q51" s="84"/>
      <c r="R51" s="84"/>
      <c r="S51" s="84"/>
    </row>
    <row r="52" spans="1:19">
      <c r="A52" s="629" t="s">
        <v>1251</v>
      </c>
      <c r="G52" s="629">
        <v>1.46140363389697E-2</v>
      </c>
      <c r="H52" s="734">
        <v>1.0506949738186999E-2</v>
      </c>
      <c r="I52" s="735">
        <v>1.7975722597731499E-2</v>
      </c>
      <c r="J52" s="735">
        <v>1.05835988295852E-2</v>
      </c>
      <c r="L52" s="84"/>
      <c r="M52" s="84"/>
      <c r="N52" s="84"/>
      <c r="O52" s="84"/>
      <c r="P52" s="84"/>
      <c r="Q52" s="84"/>
      <c r="R52" s="84"/>
      <c r="S52" s="84"/>
    </row>
    <row r="53" spans="1:19">
      <c r="A53" s="629" t="s">
        <v>1250</v>
      </c>
      <c r="G53" s="629">
        <v>1.32628262257347E-2</v>
      </c>
      <c r="H53" s="734">
        <v>8.7579937573988298E-3</v>
      </c>
      <c r="I53" s="735">
        <v>1.5867951928420498E-2</v>
      </c>
      <c r="J53" s="735">
        <v>8.8399954738811008E-3</v>
      </c>
      <c r="L53" s="84"/>
      <c r="M53" s="84"/>
      <c r="N53" s="84"/>
      <c r="O53" s="84"/>
      <c r="P53" s="84"/>
      <c r="Q53" s="84"/>
      <c r="R53" s="84"/>
      <c r="S53" s="84"/>
    </row>
    <row r="54" spans="1:19">
      <c r="A54" s="629" t="s">
        <v>1249</v>
      </c>
      <c r="G54" s="629">
        <v>1.2310249634464599E-2</v>
      </c>
      <c r="H54" s="734">
        <v>7.4665002763113697E-3</v>
      </c>
      <c r="I54" s="735">
        <v>1.41109923114601E-2</v>
      </c>
      <c r="J54" s="735">
        <v>7.5696525848033902E-3</v>
      </c>
      <c r="L54" s="84"/>
      <c r="M54" s="84"/>
      <c r="N54" s="84"/>
      <c r="O54" s="84"/>
      <c r="P54" s="84"/>
      <c r="Q54" s="84"/>
      <c r="R54" s="84"/>
      <c r="S54" s="84"/>
    </row>
    <row r="55" spans="1:19">
      <c r="A55" s="629" t="s">
        <v>1248</v>
      </c>
      <c r="G55" s="629">
        <v>1.1115479865830301E-2</v>
      </c>
      <c r="H55" s="734">
        <v>6.2532165215478299E-3</v>
      </c>
      <c r="I55" s="735">
        <v>1.27785609307733E-2</v>
      </c>
      <c r="J55" s="735">
        <v>6.3520840731491803E-3</v>
      </c>
      <c r="L55" s="84"/>
      <c r="M55" s="84"/>
      <c r="N55" s="84"/>
      <c r="O55" s="84"/>
      <c r="P55" s="84"/>
      <c r="Q55" s="84"/>
      <c r="R55" s="84"/>
      <c r="S55" s="84"/>
    </row>
    <row r="56" spans="1:19">
      <c r="A56" s="629" t="s">
        <v>1247</v>
      </c>
      <c r="G56" s="629">
        <v>1.01462273583028E-2</v>
      </c>
      <c r="H56" s="734">
        <v>5.7124790386328403E-3</v>
      </c>
      <c r="I56" s="735">
        <v>1.1654236073306699E-2</v>
      </c>
      <c r="J56" s="735">
        <v>5.8236810647004401E-3</v>
      </c>
      <c r="L56" s="84"/>
      <c r="M56" s="84"/>
      <c r="N56" s="84"/>
      <c r="O56" s="84"/>
      <c r="P56" s="84"/>
      <c r="Q56" s="84"/>
      <c r="R56" s="84"/>
      <c r="S56" s="84"/>
    </row>
    <row r="57" spans="1:19">
      <c r="A57" s="629" t="s">
        <v>1246</v>
      </c>
      <c r="G57" s="629">
        <v>9.1866706432021002E-3</v>
      </c>
      <c r="H57" s="734">
        <v>4.9158832680565798E-3</v>
      </c>
      <c r="I57" s="735">
        <v>1.0230159584714901E-2</v>
      </c>
      <c r="J57" s="735">
        <v>5.01391437327768E-3</v>
      </c>
      <c r="L57" s="84"/>
      <c r="M57" s="84"/>
      <c r="N57" s="84"/>
      <c r="O57" s="84"/>
      <c r="P57" s="84"/>
      <c r="Q57" s="84"/>
      <c r="R57" s="84"/>
      <c r="S57" s="84"/>
    </row>
    <row r="58" spans="1:19">
      <c r="A58" s="629" t="s">
        <v>1245</v>
      </c>
      <c r="G58" s="629">
        <v>8.3232903723713097E-3</v>
      </c>
      <c r="H58" s="734">
        <v>4.2552476825542503E-3</v>
      </c>
      <c r="I58" s="735">
        <v>9.1748936046316502E-3</v>
      </c>
      <c r="J58" s="735">
        <v>4.3417473691259199E-3</v>
      </c>
      <c r="L58" s="84"/>
      <c r="M58" s="84"/>
      <c r="N58" s="84"/>
      <c r="O58" s="84"/>
      <c r="P58" s="84"/>
      <c r="Q58" s="84"/>
      <c r="R58" s="84"/>
      <c r="S58" s="84"/>
    </row>
    <row r="59" spans="1:19">
      <c r="A59" s="629" t="s">
        <v>1244</v>
      </c>
      <c r="G59" s="629">
        <v>7.5359755319713796E-3</v>
      </c>
      <c r="H59" s="734">
        <v>7.7698612963851199E-3</v>
      </c>
      <c r="I59" s="735">
        <v>1.2724969569921101E-2</v>
      </c>
      <c r="J59" s="735">
        <v>7.8886857026421904E-3</v>
      </c>
      <c r="L59" s="84"/>
      <c r="M59" s="84"/>
      <c r="N59" s="84"/>
      <c r="O59" s="84"/>
      <c r="P59" s="84"/>
      <c r="Q59" s="84"/>
      <c r="R59" s="84"/>
      <c r="S59" s="84"/>
    </row>
    <row r="60" spans="1:19">
      <c r="A60" s="629" t="s">
        <v>1243</v>
      </c>
      <c r="G60" s="629">
        <v>7.0451833276915397E-3</v>
      </c>
      <c r="H60" s="734">
        <v>6.5211682409807197E-3</v>
      </c>
      <c r="I60" s="735">
        <v>1.1151720208183599E-2</v>
      </c>
      <c r="J60" s="735">
        <v>6.6382531043090703E-3</v>
      </c>
      <c r="L60" s="84"/>
      <c r="M60" s="84"/>
      <c r="N60" s="84"/>
      <c r="O60" s="84"/>
      <c r="P60" s="84"/>
      <c r="Q60" s="84"/>
      <c r="R60" s="84"/>
      <c r="S60" s="84"/>
    </row>
    <row r="61" spans="1:19">
      <c r="A61" s="629" t="s">
        <v>1242</v>
      </c>
      <c r="G61" s="629">
        <v>6.4740175651128596E-3</v>
      </c>
      <c r="H61" s="734">
        <v>5.4858778388817602E-3</v>
      </c>
      <c r="I61" s="735">
        <v>9.7958082583309899E-3</v>
      </c>
      <c r="J61" s="735">
        <v>5.5917852713932899E-3</v>
      </c>
      <c r="L61" s="84"/>
      <c r="M61" s="84"/>
      <c r="N61" s="84"/>
      <c r="O61" s="84"/>
      <c r="P61" s="84"/>
      <c r="Q61" s="84"/>
      <c r="R61" s="84"/>
      <c r="S61" s="84"/>
    </row>
    <row r="62" spans="1:19">
      <c r="A62" s="629" t="s">
        <v>1241</v>
      </c>
      <c r="G62" s="629">
        <v>6.0492371791064396E-3</v>
      </c>
      <c r="H62" s="734">
        <v>7.4809647581585903E-3</v>
      </c>
      <c r="I62" s="735">
        <v>1.04045181657324E-2</v>
      </c>
      <c r="J62" s="735">
        <v>7.5854740170083696E-3</v>
      </c>
      <c r="L62" s="84"/>
      <c r="M62" s="84"/>
      <c r="N62" s="84"/>
      <c r="O62" s="84"/>
      <c r="P62" s="84"/>
      <c r="Q62" s="84"/>
      <c r="R62" s="84"/>
      <c r="S62" s="84"/>
    </row>
    <row r="63" spans="1:19">
      <c r="A63" s="629" t="s">
        <v>1240</v>
      </c>
      <c r="G63" s="629">
        <v>5.5014146181569298E-3</v>
      </c>
      <c r="H63" s="734">
        <v>7.8768240801961008E-3</v>
      </c>
      <c r="I63" s="735">
        <v>1.0236838757250601E-2</v>
      </c>
      <c r="J63" s="735">
        <v>7.9625923048277508E-3</v>
      </c>
      <c r="L63" s="84"/>
      <c r="M63" s="84"/>
      <c r="N63" s="84"/>
      <c r="O63" s="84"/>
      <c r="P63" s="84"/>
      <c r="Q63" s="84"/>
      <c r="R63" s="84"/>
      <c r="S63" s="84"/>
    </row>
    <row r="64" spans="1:19">
      <c r="A64" s="629" t="s">
        <v>1239</v>
      </c>
      <c r="G64" s="629">
        <v>5.0087136307224098E-3</v>
      </c>
      <c r="H64" s="734">
        <v>6.7561945068833297E-3</v>
      </c>
      <c r="I64" s="735">
        <v>9.9027295512317606E-3</v>
      </c>
      <c r="J64" s="735">
        <v>6.8324029579555096E-3</v>
      </c>
      <c r="L64" s="84"/>
      <c r="M64" s="84"/>
      <c r="N64" s="84"/>
      <c r="O64" s="84"/>
      <c r="P64" s="84"/>
      <c r="Q64" s="84"/>
      <c r="R64" s="84"/>
      <c r="S64" s="84"/>
    </row>
    <row r="65" spans="1:19">
      <c r="A65" s="629" t="s">
        <v>1238</v>
      </c>
      <c r="G65" s="629">
        <v>4.7047368157537E-3</v>
      </c>
      <c r="H65" s="734">
        <v>6.8254044937387497E-3</v>
      </c>
      <c r="I65" s="735">
        <v>8.9918208926704803E-3</v>
      </c>
      <c r="J65" s="735">
        <v>6.8897588495228897E-3</v>
      </c>
      <c r="L65" s="84"/>
      <c r="M65" s="84"/>
      <c r="N65" s="84"/>
      <c r="O65" s="84"/>
      <c r="P65" s="84"/>
      <c r="Q65" s="84"/>
      <c r="R65" s="84"/>
      <c r="S65" s="84"/>
    </row>
    <row r="66" spans="1:19">
      <c r="A66" s="629" t="s">
        <v>1237</v>
      </c>
      <c r="G66" s="629">
        <v>4.2927906436153098E-3</v>
      </c>
      <c r="H66" s="734">
        <v>5.8178803350811799E-3</v>
      </c>
      <c r="I66" s="735">
        <v>8.0337314355985508E-3</v>
      </c>
      <c r="J66" s="735">
        <v>5.8923130545713003E-3</v>
      </c>
      <c r="L66" s="84"/>
      <c r="M66" s="84"/>
      <c r="N66" s="84"/>
      <c r="O66" s="84"/>
      <c r="P66" s="84"/>
      <c r="Q66" s="84"/>
      <c r="R66" s="84"/>
      <c r="S66" s="84"/>
    </row>
    <row r="67" spans="1:19">
      <c r="A67" s="629" t="s">
        <v>1236</v>
      </c>
      <c r="G67" s="629">
        <v>4.12857819005289E-3</v>
      </c>
      <c r="H67" s="734">
        <v>6.173940778311E-3</v>
      </c>
      <c r="I67" s="735">
        <v>9.0476447861038804E-3</v>
      </c>
      <c r="J67" s="735">
        <v>6.2767308842486703E-3</v>
      </c>
      <c r="L67" s="84"/>
      <c r="M67" s="84"/>
      <c r="N67" s="84"/>
      <c r="O67" s="84"/>
      <c r="P67" s="84"/>
      <c r="Q67" s="84"/>
      <c r="R67" s="84"/>
      <c r="S67" s="84"/>
    </row>
    <row r="68" spans="1:19">
      <c r="A68" s="629" t="s">
        <v>1235</v>
      </c>
      <c r="G68" s="629">
        <v>3.7710436848685199E-3</v>
      </c>
      <c r="H68" s="734">
        <v>6.23244646687654E-3</v>
      </c>
      <c r="I68" s="735">
        <v>8.12970450277011E-3</v>
      </c>
      <c r="J68" s="735">
        <v>6.3177948549558403E-3</v>
      </c>
      <c r="L68" s="84"/>
      <c r="M68" s="84"/>
      <c r="N68" s="84"/>
      <c r="O68" s="84"/>
      <c r="P68" s="84"/>
      <c r="Q68" s="84"/>
      <c r="R68" s="84"/>
      <c r="S68" s="84"/>
    </row>
    <row r="69" spans="1:19">
      <c r="A69" s="629" t="s">
        <v>1234</v>
      </c>
      <c r="G69" s="629">
        <v>3.4534065791078498E-3</v>
      </c>
      <c r="H69" s="734">
        <v>6.9742491744360499E-3</v>
      </c>
      <c r="I69" s="735">
        <v>8.73725236058954E-3</v>
      </c>
      <c r="J69" s="735">
        <v>7.0531360495883003E-3</v>
      </c>
      <c r="L69" s="84"/>
      <c r="M69" s="84"/>
      <c r="N69" s="84"/>
      <c r="O69" s="84"/>
      <c r="P69" s="84"/>
      <c r="Q69" s="84"/>
      <c r="R69" s="84"/>
      <c r="S69" s="84"/>
    </row>
    <row r="70" spans="1:19">
      <c r="A70" s="629" t="s">
        <v>1233</v>
      </c>
      <c r="G70" s="629">
        <v>3.1940516709881399E-3</v>
      </c>
      <c r="H70" s="734">
        <v>8.8589480013025294E-3</v>
      </c>
      <c r="I70" s="735">
        <v>9.2254886544298302E-3</v>
      </c>
      <c r="J70" s="735">
        <v>8.9364146019412904E-3</v>
      </c>
      <c r="L70" s="84"/>
      <c r="M70" s="84"/>
      <c r="N70" s="84"/>
      <c r="O70" s="84"/>
      <c r="P70" s="84"/>
      <c r="Q70" s="84"/>
      <c r="R70" s="84"/>
      <c r="S70" s="84"/>
    </row>
    <row r="71" spans="1:19">
      <c r="A71" s="629" t="s">
        <v>1232</v>
      </c>
      <c r="G71" s="629">
        <v>3.0456597684722802E-3</v>
      </c>
      <c r="H71" s="734">
        <v>9.0381536641901093E-3</v>
      </c>
      <c r="I71" s="735">
        <v>9.6256556901201905E-3</v>
      </c>
      <c r="J71" s="735">
        <v>9.1962024360972804E-3</v>
      </c>
      <c r="L71" s="84"/>
      <c r="M71" s="84"/>
      <c r="N71" s="84"/>
      <c r="O71" s="84"/>
      <c r="P71" s="84"/>
      <c r="Q71" s="84"/>
      <c r="R71" s="84"/>
      <c r="S71" s="84"/>
    </row>
    <row r="72" spans="1:19">
      <c r="A72" s="629" t="s">
        <v>1231</v>
      </c>
      <c r="G72" s="629">
        <v>3.4332241451102202E-3</v>
      </c>
      <c r="H72" s="734">
        <v>8.9185015106622301E-3</v>
      </c>
      <c r="I72" s="735">
        <v>9.1488870740741007E-3</v>
      </c>
      <c r="J72" s="735">
        <v>9.0430320241328202E-3</v>
      </c>
      <c r="L72" s="84"/>
      <c r="M72" s="84"/>
      <c r="N72" s="84"/>
      <c r="O72" s="84"/>
      <c r="P72" s="84"/>
      <c r="Q72" s="84"/>
      <c r="R72" s="84"/>
      <c r="S72" s="84"/>
    </row>
    <row r="73" spans="1:19">
      <c r="A73" s="629" t="s">
        <v>1230</v>
      </c>
      <c r="G73" s="629">
        <v>3.1724214300411502E-3</v>
      </c>
      <c r="H73" s="734">
        <v>7.4645445350388596E-3</v>
      </c>
      <c r="I73" s="735">
        <v>8.0363955568428097E-3</v>
      </c>
      <c r="J73" s="735">
        <v>7.58076312591539E-3</v>
      </c>
      <c r="L73" s="84"/>
      <c r="M73" s="84"/>
      <c r="N73" s="84"/>
      <c r="O73" s="84"/>
      <c r="P73" s="84"/>
      <c r="Q73" s="84"/>
      <c r="R73" s="84"/>
      <c r="S73" s="84"/>
    </row>
    <row r="74" spans="1:19">
      <c r="A74" s="629" t="s">
        <v>1229</v>
      </c>
      <c r="G74" s="629">
        <v>3.5160797670141801E-3</v>
      </c>
      <c r="H74" s="734">
        <v>1.9855829695180301E-2</v>
      </c>
      <c r="I74" s="735">
        <v>1.88674411503954E-2</v>
      </c>
      <c r="J74" s="735">
        <v>2.0064718057521101E-2</v>
      </c>
      <c r="L74" s="84"/>
      <c r="M74" s="84"/>
      <c r="N74" s="84"/>
      <c r="O74" s="84"/>
      <c r="P74" s="84"/>
      <c r="Q74" s="84"/>
      <c r="R74" s="84"/>
      <c r="S74" s="84"/>
    </row>
    <row r="75" spans="1:19">
      <c r="A75" s="629" t="s">
        <v>1228</v>
      </c>
      <c r="G75" s="629">
        <v>3.2244912865317501E-3</v>
      </c>
      <c r="H75" s="734">
        <v>1.65198946607375E-2</v>
      </c>
      <c r="I75" s="735">
        <v>1.6967934453826501E-2</v>
      </c>
      <c r="J75" s="735">
        <v>1.67795460767334E-2</v>
      </c>
      <c r="L75" s="84"/>
      <c r="M75" s="84"/>
      <c r="N75" s="84"/>
      <c r="O75" s="84"/>
      <c r="P75" s="84"/>
      <c r="Q75" s="84"/>
      <c r="R75" s="84"/>
      <c r="S75" s="84"/>
    </row>
    <row r="76" spans="1:19">
      <c r="A76" s="629" t="s">
        <v>1227</v>
      </c>
      <c r="G76" s="629">
        <v>3.16113266941419E-3</v>
      </c>
      <c r="H76" s="734">
        <v>1.6019369444183099E-2</v>
      </c>
      <c r="I76" s="735">
        <v>1.5753390796283701E-2</v>
      </c>
      <c r="J76" s="735">
        <v>1.6175925757031299E-2</v>
      </c>
      <c r="L76" s="84"/>
      <c r="M76" s="84"/>
      <c r="N76" s="84"/>
      <c r="O76" s="84"/>
      <c r="P76" s="84"/>
      <c r="Q76" s="84"/>
      <c r="R76" s="84"/>
      <c r="S76" s="84"/>
    </row>
    <row r="77" spans="1:19">
      <c r="A77" s="629" t="s">
        <v>1226</v>
      </c>
      <c r="G77" s="629">
        <v>9.9650595539552897E-3</v>
      </c>
      <c r="H77" s="734">
        <v>1.8106951089167399E-2</v>
      </c>
      <c r="I77" s="735">
        <v>1.6454615170588101E-2</v>
      </c>
      <c r="J77" s="735">
        <v>1.8163640718230699E-2</v>
      </c>
      <c r="L77" s="84"/>
      <c r="M77" s="84"/>
      <c r="N77" s="84"/>
      <c r="O77" s="84"/>
      <c r="P77" s="84"/>
      <c r="Q77" s="84"/>
      <c r="R77" s="84"/>
      <c r="S77" s="84"/>
    </row>
    <row r="78" spans="1:19">
      <c r="A78" s="629" t="s">
        <v>1225</v>
      </c>
      <c r="G78" s="629">
        <v>9.0248239638744607E-3</v>
      </c>
      <c r="H78" s="734">
        <v>1.5956974855811198E-2</v>
      </c>
      <c r="I78" s="735">
        <v>1.46703149304045E-2</v>
      </c>
      <c r="J78" s="735">
        <v>1.5960166577464598E-2</v>
      </c>
      <c r="L78" s="84"/>
      <c r="M78" s="84"/>
      <c r="N78" s="84"/>
      <c r="O78" s="84"/>
      <c r="P78" s="84"/>
      <c r="Q78" s="84"/>
      <c r="R78" s="84"/>
      <c r="S78" s="84"/>
    </row>
    <row r="79" spans="1:19">
      <c r="A79" s="629" t="s">
        <v>1224</v>
      </c>
      <c r="G79" s="629">
        <v>9.2700686835912195E-3</v>
      </c>
      <c r="H79" s="734">
        <v>1.3232508221907101E-2</v>
      </c>
      <c r="I79" s="735">
        <v>1.31378919613695E-2</v>
      </c>
      <c r="J79" s="735">
        <v>1.3281270664840901E-2</v>
      </c>
      <c r="L79" s="84"/>
      <c r="M79" s="84"/>
      <c r="N79" s="84"/>
      <c r="O79" s="84"/>
      <c r="P79" s="84"/>
      <c r="Q79" s="84"/>
      <c r="R79" s="84"/>
      <c r="S79" s="84"/>
    </row>
    <row r="80" spans="1:19">
      <c r="A80" s="629" t="s">
        <v>1223</v>
      </c>
      <c r="G80" s="629">
        <v>8.5504876212383393E-3</v>
      </c>
      <c r="H80" s="734">
        <v>1.4309383420067399E-2</v>
      </c>
      <c r="I80" s="735">
        <v>1.33486829535088E-2</v>
      </c>
      <c r="J80" s="735">
        <v>1.4298002980237401E-2</v>
      </c>
      <c r="L80" s="84"/>
      <c r="M80" s="84"/>
      <c r="N80" s="84"/>
      <c r="O80" s="84"/>
      <c r="P80" s="84"/>
      <c r="Q80" s="84"/>
      <c r="R80" s="84"/>
      <c r="S80" s="84"/>
    </row>
    <row r="81" spans="1:19">
      <c r="A81" s="629" t="s">
        <v>1222</v>
      </c>
      <c r="G81" s="629">
        <v>1.1967110071915201E-2</v>
      </c>
      <c r="H81" s="734">
        <v>1.9809253589012098E-2</v>
      </c>
      <c r="I81" s="735">
        <v>1.5156589511823601E-2</v>
      </c>
      <c r="J81" s="735">
        <v>1.97270344819571E-2</v>
      </c>
      <c r="L81" s="84"/>
      <c r="M81" s="84"/>
      <c r="N81" s="84"/>
      <c r="O81" s="84"/>
      <c r="P81" s="84"/>
      <c r="Q81" s="84"/>
      <c r="R81" s="84"/>
      <c r="S81" s="84"/>
    </row>
    <row r="82" spans="1:19">
      <c r="A82" s="629" t="s">
        <v>1221</v>
      </c>
      <c r="G82" s="629">
        <v>1.6106040136334699E-2</v>
      </c>
      <c r="H82" s="734">
        <v>2.6855556615641301E-2</v>
      </c>
      <c r="I82" s="735">
        <v>2.3589174272692401E-2</v>
      </c>
      <c r="J82" s="735">
        <v>2.6607683488218601E-2</v>
      </c>
      <c r="L82" s="84"/>
      <c r="M82" s="84"/>
      <c r="N82" s="84"/>
      <c r="O82" s="84"/>
      <c r="P82" s="84"/>
      <c r="Q82" s="84"/>
      <c r="R82" s="84"/>
      <c r="S82" s="84"/>
    </row>
    <row r="83" spans="1:19">
      <c r="A83" s="629" t="s">
        <v>1220</v>
      </c>
      <c r="G83" s="629">
        <v>2.6393952149615998E-2</v>
      </c>
      <c r="H83" s="734">
        <v>2.3179734998097199E-2</v>
      </c>
      <c r="I83" s="735">
        <v>2.0738600813360802E-2</v>
      </c>
      <c r="J83" s="735">
        <v>2.2888902719582799E-2</v>
      </c>
      <c r="L83" s="84"/>
      <c r="M83" s="84"/>
      <c r="N83" s="84"/>
      <c r="O83" s="84"/>
      <c r="P83" s="84"/>
      <c r="Q83" s="84"/>
      <c r="R83" s="84"/>
      <c r="S83" s="84"/>
    </row>
    <row r="84" spans="1:19">
      <c r="A84" s="629" t="s">
        <v>1219</v>
      </c>
      <c r="G84" s="629">
        <v>2.3830120091203201E-2</v>
      </c>
      <c r="H84" s="734">
        <v>3.1512685045204998E-2</v>
      </c>
      <c r="I84" s="735">
        <v>2.74456942185419E-2</v>
      </c>
      <c r="J84" s="735">
        <v>3.20474756439669E-2</v>
      </c>
      <c r="L84" s="84"/>
      <c r="M84" s="84"/>
      <c r="N84" s="84"/>
      <c r="O84" s="84"/>
      <c r="P84" s="84"/>
      <c r="Q84" s="84"/>
      <c r="R84" s="84"/>
      <c r="S84" s="84"/>
    </row>
    <row r="85" spans="1:19">
      <c r="A85" s="629" t="s">
        <v>1218</v>
      </c>
      <c r="G85" s="629">
        <v>3.2620472000438001E-2</v>
      </c>
      <c r="H85" s="734">
        <v>3.67947202564093E-2</v>
      </c>
      <c r="I85" s="735">
        <v>3.7614367031014E-2</v>
      </c>
      <c r="J85" s="735">
        <v>3.8061443358223299E-2</v>
      </c>
      <c r="L85" s="84"/>
      <c r="M85" s="84"/>
      <c r="N85" s="84"/>
      <c r="O85" s="84"/>
      <c r="P85" s="84"/>
      <c r="Q85" s="84"/>
      <c r="R85" s="84"/>
      <c r="S85" s="84"/>
    </row>
    <row r="86" spans="1:19">
      <c r="A86" s="629" t="s">
        <v>1217</v>
      </c>
      <c r="G86" s="629">
        <v>2.98370734346061E-2</v>
      </c>
      <c r="H86" s="734">
        <v>3.3287508406264502E-2</v>
      </c>
      <c r="I86" s="735">
        <v>3.3702440395335202E-2</v>
      </c>
      <c r="J86" s="735">
        <v>3.4178278698429397E-2</v>
      </c>
      <c r="L86" s="84"/>
      <c r="M86" s="84"/>
      <c r="N86" s="84"/>
      <c r="O86" s="84"/>
      <c r="P86" s="84"/>
      <c r="Q86" s="84"/>
      <c r="R86" s="84"/>
      <c r="S86" s="84"/>
    </row>
    <row r="87" spans="1:19">
      <c r="A87" s="629" t="s">
        <v>1216</v>
      </c>
      <c r="G87" s="629">
        <v>2.6961414817072399E-2</v>
      </c>
      <c r="H87" s="734">
        <v>3.4964245398185503E-2</v>
      </c>
      <c r="I87" s="735">
        <v>3.2217795244634397E-2</v>
      </c>
      <c r="J87" s="735">
        <v>3.5418059696333E-2</v>
      </c>
      <c r="L87" s="84"/>
      <c r="M87" s="84"/>
      <c r="N87" s="84"/>
      <c r="O87" s="84"/>
      <c r="P87" s="84"/>
      <c r="Q87" s="84"/>
      <c r="R87" s="84"/>
      <c r="S87" s="84"/>
    </row>
    <row r="88" spans="1:19">
      <c r="A88" s="629" t="s">
        <v>1215</v>
      </c>
      <c r="G88" s="629">
        <v>2.4281711425677501E-2</v>
      </c>
      <c r="H88" s="734">
        <v>3.1842019903504201E-2</v>
      </c>
      <c r="I88" s="735">
        <v>2.90005662618372E-2</v>
      </c>
      <c r="J88" s="735">
        <v>3.1994372082630403E-2</v>
      </c>
      <c r="L88" s="84"/>
      <c r="M88" s="84"/>
      <c r="N88" s="84"/>
      <c r="O88" s="84"/>
      <c r="P88" s="84"/>
      <c r="Q88" s="84"/>
      <c r="R88" s="84"/>
      <c r="S88" s="84"/>
    </row>
    <row r="89" spans="1:19">
      <c r="A89" s="629" t="s">
        <v>1214</v>
      </c>
      <c r="G89" s="629">
        <v>2.28371077374111E-2</v>
      </c>
      <c r="H89" s="734">
        <v>2.6532098462209101E-2</v>
      </c>
      <c r="I89" s="735">
        <v>2.55135909989249E-2</v>
      </c>
      <c r="J89" s="735">
        <v>2.6653303926480999E-2</v>
      </c>
      <c r="L89" s="84"/>
      <c r="M89" s="84"/>
      <c r="N89" s="84"/>
      <c r="O89" s="84"/>
      <c r="P89" s="84"/>
      <c r="Q89" s="84"/>
      <c r="R89" s="84"/>
      <c r="S89" s="84"/>
    </row>
    <row r="90" spans="1:19">
      <c r="A90" s="629" t="s">
        <v>1213</v>
      </c>
      <c r="G90" s="629">
        <v>2.14665851823207E-2</v>
      </c>
      <c r="H90" s="734">
        <v>2.26593809676792E-2</v>
      </c>
      <c r="I90" s="735">
        <v>2.2893064023570699E-2</v>
      </c>
      <c r="J90" s="735">
        <v>2.26979647666774E-2</v>
      </c>
      <c r="L90" s="84"/>
      <c r="M90" s="84"/>
      <c r="N90" s="84"/>
      <c r="O90" s="84"/>
      <c r="P90" s="84"/>
      <c r="Q90" s="84"/>
      <c r="R90" s="84"/>
      <c r="S90" s="84"/>
    </row>
    <row r="91" spans="1:19">
      <c r="A91" s="629" t="s">
        <v>1212</v>
      </c>
      <c r="G91" s="629">
        <v>2.17703391700124E-2</v>
      </c>
      <c r="H91" s="734">
        <v>2.6825400414816899E-2</v>
      </c>
      <c r="I91" s="735">
        <v>2.6106099153031002E-2</v>
      </c>
      <c r="J91" s="735">
        <v>2.6637830729069601E-2</v>
      </c>
      <c r="L91" s="84"/>
      <c r="M91" s="84"/>
      <c r="N91" s="84"/>
      <c r="O91" s="84"/>
      <c r="P91" s="84"/>
      <c r="Q91" s="84"/>
      <c r="R91" s="84"/>
      <c r="S91" s="84"/>
    </row>
    <row r="92" spans="1:19">
      <c r="A92" s="629" t="s">
        <v>1211</v>
      </c>
      <c r="G92" s="629">
        <v>1.9799532183291502E-2</v>
      </c>
      <c r="H92" s="734">
        <v>2.2481157470778699E-2</v>
      </c>
      <c r="I92" s="735">
        <v>2.5331337991079901E-2</v>
      </c>
      <c r="J92" s="735">
        <v>2.2303364817375101E-2</v>
      </c>
      <c r="L92" s="84"/>
      <c r="M92" s="84"/>
      <c r="N92" s="84"/>
      <c r="O92" s="84"/>
      <c r="P92" s="84"/>
      <c r="Q92" s="84"/>
      <c r="R92" s="84"/>
      <c r="S92" s="84"/>
    </row>
    <row r="93" spans="1:19">
      <c r="A93" s="629" t="s">
        <v>1210</v>
      </c>
      <c r="G93" s="629">
        <v>2.9764153376697199E-2</v>
      </c>
      <c r="H93" s="734">
        <v>3.4957905186709902E-2</v>
      </c>
      <c r="I93" s="735">
        <v>2.7310301197873199E-2</v>
      </c>
      <c r="J93" s="735">
        <v>3.5685449034653899E-2</v>
      </c>
      <c r="L93" s="84"/>
      <c r="M93" s="84"/>
      <c r="N93" s="84"/>
      <c r="O93" s="84"/>
      <c r="P93" s="84"/>
      <c r="Q93" s="84"/>
      <c r="R93" s="84"/>
      <c r="S93" s="84"/>
    </row>
    <row r="94" spans="1:19">
      <c r="A94" s="629" t="s">
        <v>1209</v>
      </c>
      <c r="G94" s="629">
        <v>4.7651067438988302E-2</v>
      </c>
      <c r="H94" s="734">
        <v>2.9285274645364501E-2</v>
      </c>
      <c r="I94" s="735">
        <v>2.5579915051026001E-2</v>
      </c>
      <c r="J94" s="735">
        <v>3.01310561193401E-2</v>
      </c>
      <c r="L94" s="84"/>
      <c r="M94" s="84"/>
      <c r="N94" s="84"/>
      <c r="O94" s="84"/>
      <c r="P94" s="84"/>
      <c r="Q94" s="84"/>
      <c r="R94" s="84"/>
      <c r="S94" s="84"/>
    </row>
    <row r="95" spans="1:19">
      <c r="A95" s="629" t="s">
        <v>1208</v>
      </c>
      <c r="G95" s="629">
        <v>5.2547320169256298E-2</v>
      </c>
      <c r="H95" s="734">
        <v>2.4405434481066E-2</v>
      </c>
      <c r="I95" s="735">
        <v>2.3402434207407698E-2</v>
      </c>
      <c r="J95" s="735">
        <v>2.5259306258032199E-2</v>
      </c>
      <c r="L95" s="84"/>
      <c r="M95" s="84"/>
      <c r="N95" s="84"/>
      <c r="O95" s="84"/>
      <c r="P95" s="84"/>
      <c r="Q95" s="84"/>
      <c r="R95" s="84"/>
      <c r="S95" s="84"/>
    </row>
    <row r="96" spans="1:19">
      <c r="A96" s="629" t="s">
        <v>1207</v>
      </c>
      <c r="G96" s="629">
        <v>5.2409447897406501E-2</v>
      </c>
      <c r="H96" s="734">
        <v>2.3664950047271899E-2</v>
      </c>
      <c r="I96" s="735">
        <v>2.32418389497238E-2</v>
      </c>
      <c r="J96" s="735">
        <v>2.42715627667923E-2</v>
      </c>
      <c r="L96" s="84"/>
      <c r="M96" s="84"/>
      <c r="N96" s="84"/>
      <c r="O96" s="84"/>
      <c r="P96" s="84"/>
      <c r="Q96" s="84"/>
      <c r="R96" s="84"/>
      <c r="S96" s="84"/>
    </row>
    <row r="97" spans="1:19">
      <c r="A97" s="629" t="s">
        <v>1206</v>
      </c>
      <c r="G97" s="629">
        <v>4.7392996009117498E-2</v>
      </c>
      <c r="H97" s="734">
        <v>1.9832104150667398E-2</v>
      </c>
      <c r="I97" s="735">
        <v>2.0544167496697598E-2</v>
      </c>
      <c r="J97" s="735">
        <v>2.0465755639195799E-2</v>
      </c>
      <c r="L97" s="84"/>
      <c r="M97" s="84"/>
      <c r="N97" s="84"/>
      <c r="O97" s="84"/>
      <c r="P97" s="84"/>
      <c r="Q97" s="84"/>
      <c r="R97" s="84"/>
      <c r="S97" s="84"/>
    </row>
    <row r="98" spans="1:19">
      <c r="A98" s="629" t="s">
        <v>1205</v>
      </c>
      <c r="G98" s="629">
        <v>5.0142153226468901E-2</v>
      </c>
      <c r="H98" s="734">
        <v>2.0414583605057501E-2</v>
      </c>
      <c r="I98" s="735">
        <v>2.2818924148784399E-2</v>
      </c>
      <c r="J98" s="735">
        <v>2.0869145867819499E-2</v>
      </c>
      <c r="L98" s="84"/>
      <c r="M98" s="84"/>
      <c r="N98" s="84"/>
      <c r="O98" s="84"/>
      <c r="P98" s="84"/>
      <c r="Q98" s="84"/>
      <c r="R98" s="84"/>
      <c r="S98" s="84"/>
    </row>
    <row r="99" spans="1:19">
      <c r="A99" s="629" t="s">
        <v>1204</v>
      </c>
      <c r="G99" s="629">
        <v>5.1127696659348201E-2</v>
      </c>
      <c r="H99" s="734">
        <v>1.9855253134470702E-2</v>
      </c>
      <c r="I99" s="735">
        <v>2.1278312927189499E-2</v>
      </c>
      <c r="J99" s="735">
        <v>2.0143549106623301E-2</v>
      </c>
      <c r="L99" s="84"/>
      <c r="M99" s="84"/>
      <c r="N99" s="84"/>
      <c r="O99" s="84"/>
      <c r="P99" s="84"/>
      <c r="Q99" s="84"/>
      <c r="R99" s="84"/>
      <c r="S99" s="84"/>
    </row>
    <row r="100" spans="1:19">
      <c r="A100" s="629" t="s">
        <v>1203</v>
      </c>
      <c r="G100" s="629">
        <v>4.6497959707052401E-2</v>
      </c>
      <c r="H100" s="734">
        <v>1.6749850407260299E-2</v>
      </c>
      <c r="I100" s="735">
        <v>1.8945512941630899E-2</v>
      </c>
      <c r="J100" s="735">
        <v>1.7102999213096999E-2</v>
      </c>
      <c r="L100" s="84"/>
      <c r="M100" s="84"/>
      <c r="N100" s="84"/>
      <c r="O100" s="84"/>
      <c r="P100" s="84"/>
      <c r="Q100" s="84"/>
      <c r="R100" s="84"/>
      <c r="S100" s="84"/>
    </row>
    <row r="101" spans="1:19">
      <c r="A101" s="629" t="s">
        <v>1202</v>
      </c>
      <c r="G101" s="629">
        <v>4.2560750744416599E-2</v>
      </c>
      <c r="H101" s="734">
        <v>1.3989544850903901E-2</v>
      </c>
      <c r="I101" s="735">
        <v>1.6624646635139899E-2</v>
      </c>
      <c r="J101" s="735">
        <v>1.42980048433045E-2</v>
      </c>
      <c r="L101" s="84"/>
      <c r="M101" s="84"/>
      <c r="N101" s="84"/>
      <c r="O101" s="84"/>
      <c r="P101" s="84"/>
      <c r="Q101" s="84"/>
      <c r="R101" s="84"/>
      <c r="S101" s="84"/>
    </row>
    <row r="102" spans="1:19">
      <c r="A102" s="629" t="s">
        <v>1201</v>
      </c>
      <c r="G102" s="629">
        <v>3.8401425296451498E-2</v>
      </c>
      <c r="H102" s="734">
        <v>1.21000977051501E-2</v>
      </c>
      <c r="I102" s="735">
        <v>1.6774336061222E-2</v>
      </c>
      <c r="J102" s="735">
        <v>1.24435710390664E-2</v>
      </c>
      <c r="L102" s="84"/>
      <c r="M102" s="84"/>
      <c r="N102" s="84"/>
      <c r="O102" s="84"/>
      <c r="P102" s="84"/>
      <c r="Q102" s="84"/>
      <c r="R102" s="84"/>
      <c r="S102" s="84"/>
    </row>
    <row r="103" spans="1:19">
      <c r="A103" s="629" t="s">
        <v>1200</v>
      </c>
      <c r="G103" s="629">
        <v>3.4687396945273299E-2</v>
      </c>
      <c r="H103" s="734">
        <v>1.0731243115816301E-2</v>
      </c>
      <c r="I103" s="735">
        <v>1.49981668098994E-2</v>
      </c>
      <c r="J103" s="735">
        <v>1.10145554894782E-2</v>
      </c>
      <c r="L103" s="84"/>
      <c r="M103" s="84"/>
      <c r="N103" s="84"/>
      <c r="O103" s="84"/>
      <c r="P103" s="84"/>
      <c r="Q103" s="84"/>
      <c r="R103" s="84"/>
      <c r="S103" s="84"/>
    </row>
    <row r="104" spans="1:19">
      <c r="A104" s="629" t="s">
        <v>1199</v>
      </c>
      <c r="G104" s="629">
        <v>3.6556595681121497E-2</v>
      </c>
      <c r="H104" s="734">
        <v>9.1010882185383994E-3</v>
      </c>
      <c r="I104" s="735">
        <v>1.32902985007484E-2</v>
      </c>
      <c r="J104" s="735">
        <v>9.3417618845814503E-3</v>
      </c>
      <c r="L104" s="84"/>
      <c r="M104" s="84"/>
      <c r="N104" s="84"/>
      <c r="O104" s="84"/>
      <c r="P104" s="84"/>
      <c r="Q104" s="84"/>
      <c r="R104" s="84"/>
      <c r="S104" s="84"/>
    </row>
    <row r="105" spans="1:19">
      <c r="A105" s="629" t="s">
        <v>1198</v>
      </c>
      <c r="G105" s="629">
        <v>3.30868588577274E-2</v>
      </c>
      <c r="H105" s="734">
        <v>7.99827336592095E-3</v>
      </c>
      <c r="I105" s="735">
        <v>1.2025929213958699E-2</v>
      </c>
      <c r="J105" s="735">
        <v>8.1995756613056307E-3</v>
      </c>
      <c r="L105" s="84"/>
      <c r="M105" s="84"/>
      <c r="N105" s="84"/>
      <c r="O105" s="84"/>
      <c r="P105" s="84"/>
      <c r="Q105" s="84"/>
      <c r="R105" s="84"/>
      <c r="S105" s="84"/>
    </row>
    <row r="106" spans="1:19">
      <c r="A106" s="629" t="s">
        <v>1197</v>
      </c>
      <c r="G106" s="629">
        <v>2.9873274510290902E-2</v>
      </c>
      <c r="H106" s="734">
        <v>8.0113482105217994E-3</v>
      </c>
      <c r="I106" s="735">
        <v>1.1598418526746999E-2</v>
      </c>
      <c r="J106" s="735">
        <v>8.1776995082019407E-3</v>
      </c>
      <c r="L106" s="84"/>
      <c r="M106" s="84"/>
      <c r="N106" s="84"/>
      <c r="O106" s="84"/>
      <c r="P106" s="84"/>
      <c r="Q106" s="84"/>
      <c r="R106" s="84"/>
      <c r="S106" s="84"/>
    </row>
    <row r="107" spans="1:19">
      <c r="A107" s="629" t="s">
        <v>1196</v>
      </c>
      <c r="G107" s="629">
        <v>3.3432806585053702E-2</v>
      </c>
      <c r="H107" s="734">
        <v>6.7030256187940104E-3</v>
      </c>
      <c r="I107" s="735">
        <v>1.02366477845831E-2</v>
      </c>
      <c r="J107" s="735">
        <v>6.8542911334931803E-3</v>
      </c>
      <c r="L107" s="84"/>
      <c r="M107" s="84"/>
      <c r="N107" s="84"/>
      <c r="O107" s="84"/>
      <c r="P107" s="84"/>
      <c r="Q107" s="84"/>
      <c r="R107" s="84"/>
      <c r="S107" s="84"/>
    </row>
    <row r="108" spans="1:19">
      <c r="A108" s="629" t="s">
        <v>1195</v>
      </c>
      <c r="G108" s="629">
        <v>4.6326126007154599E-2</v>
      </c>
      <c r="H108" s="734">
        <v>8.0448167278966108E-3</v>
      </c>
      <c r="I108" s="735">
        <v>1.24737017970826E-2</v>
      </c>
      <c r="J108" s="735">
        <v>8.1806782044394795E-3</v>
      </c>
      <c r="L108" s="84"/>
      <c r="M108" s="84"/>
      <c r="N108" s="84"/>
      <c r="O108" s="84"/>
      <c r="P108" s="84"/>
      <c r="Q108" s="84"/>
      <c r="R108" s="84"/>
      <c r="S108" s="84"/>
    </row>
    <row r="109" spans="1:19">
      <c r="A109" s="629" t="s">
        <v>1194</v>
      </c>
      <c r="G109" s="629">
        <v>4.1810321296188398E-2</v>
      </c>
      <c r="H109" s="734">
        <v>6.87950923331993E-3</v>
      </c>
      <c r="I109" s="735">
        <v>1.0930158685936499E-2</v>
      </c>
      <c r="J109" s="735">
        <v>7.0213854603316597E-3</v>
      </c>
      <c r="L109" s="84"/>
      <c r="M109" s="84"/>
      <c r="N109" s="84"/>
      <c r="O109" s="84"/>
      <c r="P109" s="84"/>
      <c r="Q109" s="84"/>
      <c r="R109" s="84"/>
      <c r="S109" s="84"/>
    </row>
    <row r="110" spans="1:19">
      <c r="A110" s="629" t="s">
        <v>1193</v>
      </c>
      <c r="G110" s="629">
        <v>3.7596921952408997E-2</v>
      </c>
      <c r="H110" s="734">
        <v>5.8638729240130701E-3</v>
      </c>
      <c r="I110" s="735">
        <v>9.5979434760060604E-3</v>
      </c>
      <c r="J110" s="735">
        <v>5.9883987751690199E-3</v>
      </c>
      <c r="L110" s="84"/>
      <c r="M110" s="84"/>
      <c r="N110" s="84"/>
      <c r="O110" s="84"/>
      <c r="P110" s="84"/>
      <c r="Q110" s="84"/>
      <c r="R110" s="84"/>
      <c r="S110" s="84"/>
    </row>
    <row r="111" spans="1:19">
      <c r="A111" s="629" t="s">
        <v>1192</v>
      </c>
      <c r="G111" s="629">
        <v>3.4454859868043398E-2</v>
      </c>
      <c r="H111" s="734">
        <v>5.2532817812968001E-3</v>
      </c>
      <c r="I111" s="735">
        <v>9.2112975049057598E-3</v>
      </c>
      <c r="J111" s="735">
        <v>5.35680053269797E-3</v>
      </c>
      <c r="L111" s="84"/>
      <c r="M111" s="84"/>
      <c r="N111" s="84"/>
      <c r="O111" s="84"/>
      <c r="P111" s="84"/>
      <c r="Q111" s="84"/>
      <c r="R111" s="84"/>
      <c r="S111" s="84"/>
    </row>
    <row r="112" spans="1:19">
      <c r="A112" s="629" t="s">
        <v>1191</v>
      </c>
      <c r="G112" s="629">
        <v>3.1003952263073301E-2</v>
      </c>
      <c r="H112" s="734">
        <v>5.1803405794142096E-3</v>
      </c>
      <c r="I112" s="735">
        <v>8.1427592870954302E-3</v>
      </c>
      <c r="J112" s="735">
        <v>5.2954722514437702E-3</v>
      </c>
      <c r="L112" s="84"/>
      <c r="M112" s="84"/>
      <c r="N112" s="84"/>
      <c r="O112" s="84"/>
      <c r="P112" s="84"/>
      <c r="Q112" s="84"/>
      <c r="R112" s="84"/>
      <c r="S112" s="84"/>
    </row>
    <row r="113" spans="1:19">
      <c r="A113" s="629" t="s">
        <v>1190</v>
      </c>
      <c r="G113" s="629">
        <v>2.8293584017927802E-2</v>
      </c>
      <c r="H113" s="734">
        <v>4.4237961826570204E-3</v>
      </c>
      <c r="I113" s="735">
        <v>7.9658462211145697E-3</v>
      </c>
      <c r="J113" s="735">
        <v>4.5231012531958704E-3</v>
      </c>
      <c r="L113" s="84"/>
      <c r="M113" s="84"/>
      <c r="N113" s="84"/>
      <c r="O113" s="84"/>
      <c r="P113" s="84"/>
      <c r="Q113" s="84"/>
      <c r="R113" s="84"/>
      <c r="S113" s="84"/>
    </row>
    <row r="114" spans="1:19">
      <c r="A114" s="629" t="s">
        <v>1189</v>
      </c>
      <c r="G114" s="629">
        <v>2.6585629155840999E-2</v>
      </c>
      <c r="H114" s="734">
        <v>4.1795528196639196E-3</v>
      </c>
      <c r="I114" s="735">
        <v>7.1665772635957801E-3</v>
      </c>
      <c r="J114" s="735">
        <v>4.2651144502941704E-3</v>
      </c>
      <c r="L114" s="84"/>
      <c r="M114" s="84"/>
      <c r="N114" s="84"/>
      <c r="O114" s="84"/>
      <c r="P114" s="84"/>
      <c r="Q114" s="84"/>
      <c r="R114" s="84"/>
      <c r="S114" s="84"/>
    </row>
    <row r="115" spans="1:19">
      <c r="A115" s="629" t="s">
        <v>1188</v>
      </c>
      <c r="G115" s="629">
        <v>3.1716973422790298E-2</v>
      </c>
      <c r="H115" s="734">
        <v>3.8659655657199399E-3</v>
      </c>
      <c r="I115" s="735">
        <v>8.0812096766218304E-3</v>
      </c>
      <c r="J115" s="735">
        <v>3.9438066583985599E-3</v>
      </c>
      <c r="L115" s="84"/>
      <c r="M115" s="84"/>
      <c r="N115" s="84"/>
      <c r="O115" s="84"/>
      <c r="P115" s="84"/>
      <c r="Q115" s="84"/>
      <c r="R115" s="84"/>
      <c r="S115" s="84"/>
    </row>
    <row r="116" spans="1:19">
      <c r="A116" s="629" t="s">
        <v>1187</v>
      </c>
      <c r="G116" s="629">
        <v>3.36508571202212E-2</v>
      </c>
      <c r="H116" s="734">
        <v>3.5322113463794602E-3</v>
      </c>
      <c r="I116" s="735">
        <v>7.9311805773840394E-3</v>
      </c>
      <c r="J116" s="735">
        <v>3.6015003416369901E-3</v>
      </c>
      <c r="L116" s="84"/>
      <c r="M116" s="84"/>
      <c r="N116" s="84"/>
      <c r="O116" s="84"/>
      <c r="P116" s="84"/>
      <c r="Q116" s="84"/>
      <c r="R116" s="84"/>
      <c r="S116" s="84"/>
    </row>
    <row r="117" spans="1:19">
      <c r="A117" s="629" t="s">
        <v>1186</v>
      </c>
      <c r="G117" s="629">
        <v>4.1292155196292299E-2</v>
      </c>
      <c r="H117" s="734">
        <v>3.9604677450988503E-3</v>
      </c>
      <c r="I117" s="735">
        <v>8.0820216898526507E-3</v>
      </c>
      <c r="J117" s="735">
        <v>4.0343424181818301E-3</v>
      </c>
      <c r="L117" s="84"/>
      <c r="M117" s="84"/>
      <c r="N117" s="84"/>
      <c r="O117" s="84"/>
      <c r="P117" s="84"/>
      <c r="Q117" s="84"/>
      <c r="R117" s="84"/>
      <c r="S117" s="84"/>
    </row>
    <row r="118" spans="1:19">
      <c r="A118" s="629" t="s">
        <v>1185</v>
      </c>
      <c r="G118" s="629">
        <v>3.9895577476118098E-2</v>
      </c>
      <c r="H118" s="734">
        <v>3.4637918089039598E-3</v>
      </c>
      <c r="I118" s="735">
        <v>8.0598977509005205E-3</v>
      </c>
      <c r="J118" s="735">
        <v>3.5309545349988501E-3</v>
      </c>
      <c r="L118" s="84"/>
      <c r="M118" s="84"/>
      <c r="N118" s="84"/>
      <c r="O118" s="84"/>
      <c r="P118" s="84"/>
      <c r="Q118" s="84"/>
      <c r="R118" s="84"/>
      <c r="S118" s="84"/>
    </row>
    <row r="119" spans="1:19">
      <c r="A119" s="629" t="s">
        <v>1184</v>
      </c>
      <c r="G119" s="629">
        <v>4.4555140027569301E-2</v>
      </c>
      <c r="H119" s="734">
        <v>3.3895009682937101E-3</v>
      </c>
      <c r="I119" s="735">
        <v>7.9055012193223802E-3</v>
      </c>
      <c r="J119" s="735">
        <v>3.4529091702830499E-3</v>
      </c>
      <c r="L119" s="84"/>
      <c r="M119" s="84"/>
      <c r="N119" s="84"/>
      <c r="O119" s="84"/>
      <c r="P119" s="84"/>
      <c r="Q119" s="84"/>
      <c r="R119" s="84"/>
      <c r="S119" s="84"/>
    </row>
    <row r="120" spans="1:19">
      <c r="A120" s="629" t="s">
        <v>1183</v>
      </c>
      <c r="G120" s="629">
        <v>6.6877606127862393E-2</v>
      </c>
      <c r="H120" s="734">
        <v>3.5836715823014701E-3</v>
      </c>
      <c r="I120" s="735">
        <v>7.4927838946793699E-3</v>
      </c>
      <c r="J120" s="735">
        <v>3.6520637071923798E-3</v>
      </c>
      <c r="L120" s="84"/>
      <c r="M120" s="84"/>
      <c r="N120" s="84"/>
      <c r="O120" s="84"/>
      <c r="P120" s="84"/>
      <c r="Q120" s="84"/>
      <c r="R120" s="84"/>
      <c r="S120" s="84"/>
    </row>
    <row r="121" spans="1:19">
      <c r="A121" s="629" t="s">
        <v>1182</v>
      </c>
      <c r="G121" s="629">
        <v>6.14484143004854E-2</v>
      </c>
      <c r="H121" s="734">
        <v>3.09110418468802E-3</v>
      </c>
      <c r="I121" s="735">
        <v>6.7687940343999203E-3</v>
      </c>
      <c r="J121" s="735">
        <v>3.1508477015391601E-3</v>
      </c>
      <c r="L121" s="84"/>
      <c r="M121" s="84"/>
      <c r="N121" s="84"/>
      <c r="O121" s="84"/>
      <c r="P121" s="84"/>
      <c r="Q121" s="84"/>
      <c r="R121" s="84"/>
      <c r="S121" s="84"/>
    </row>
    <row r="122" spans="1:19">
      <c r="A122" s="629" t="s">
        <v>1181</v>
      </c>
      <c r="G122" s="629">
        <v>6.0281800869815202E-2</v>
      </c>
      <c r="H122" s="734">
        <v>2.6830725703138802E-3</v>
      </c>
      <c r="I122" s="735">
        <v>6.0285803811188999E-3</v>
      </c>
      <c r="J122" s="735">
        <v>2.7336203985834401E-3</v>
      </c>
      <c r="L122" s="84"/>
      <c r="M122" s="84"/>
      <c r="N122" s="84"/>
      <c r="O122" s="84"/>
      <c r="P122" s="84"/>
      <c r="Q122" s="84"/>
      <c r="R122" s="84"/>
      <c r="S122" s="84"/>
    </row>
    <row r="123" spans="1:19">
      <c r="A123" s="629" t="s">
        <v>1180</v>
      </c>
      <c r="G123" s="629">
        <v>5.4178075766086499E-2</v>
      </c>
      <c r="H123" s="734">
        <v>2.91167790095105E-3</v>
      </c>
      <c r="I123" s="735">
        <v>6.6008412193149599E-3</v>
      </c>
      <c r="J123" s="735">
        <v>2.9610686130564002E-3</v>
      </c>
      <c r="L123" s="84"/>
      <c r="M123" s="84"/>
      <c r="N123" s="84"/>
      <c r="O123" s="84"/>
      <c r="P123" s="84"/>
      <c r="Q123" s="84"/>
      <c r="R123" s="84"/>
      <c r="S123" s="84"/>
    </row>
    <row r="124" spans="1:19">
      <c r="A124" s="629" t="s">
        <v>1179</v>
      </c>
      <c r="G124" s="629">
        <v>4.8852542309903997E-2</v>
      </c>
      <c r="H124" s="734">
        <v>2.68050943880942E-3</v>
      </c>
      <c r="I124" s="735">
        <v>5.8093085041057996E-3</v>
      </c>
      <c r="J124" s="735">
        <v>2.72611903186453E-3</v>
      </c>
      <c r="L124" s="84"/>
      <c r="M124" s="84"/>
      <c r="N124" s="84"/>
      <c r="O124" s="84"/>
      <c r="P124" s="84"/>
      <c r="Q124" s="84"/>
      <c r="R124" s="84"/>
      <c r="S124" s="84"/>
    </row>
    <row r="125" spans="1:19">
      <c r="A125" s="629" t="s">
        <v>1178</v>
      </c>
      <c r="G125" s="629">
        <v>4.4464481296475102E-2</v>
      </c>
      <c r="H125" s="734">
        <v>2.4288668498254899E-3</v>
      </c>
      <c r="I125" s="735">
        <v>5.2538275239646997E-3</v>
      </c>
      <c r="J125" s="735">
        <v>2.4691460981396299E-3</v>
      </c>
      <c r="L125" s="84"/>
      <c r="M125" s="84"/>
      <c r="N125" s="84"/>
      <c r="O125" s="84"/>
      <c r="P125" s="84"/>
      <c r="Q125" s="84"/>
      <c r="R125" s="84"/>
      <c r="S125" s="84"/>
    </row>
    <row r="126" spans="1:19">
      <c r="A126" s="629" t="s">
        <v>1177</v>
      </c>
      <c r="G126" s="629">
        <v>5.1509397443061503E-2</v>
      </c>
      <c r="H126" s="734">
        <v>2.54024487864919E-3</v>
      </c>
      <c r="I126" s="735">
        <v>5.6840826136240396E-3</v>
      </c>
      <c r="J126" s="735">
        <v>2.5813054800607302E-3</v>
      </c>
      <c r="L126" s="84"/>
      <c r="M126" s="84"/>
      <c r="N126" s="84"/>
      <c r="O126" s="84"/>
      <c r="P126" s="84"/>
      <c r="Q126" s="84"/>
      <c r="R126" s="84"/>
      <c r="S126" s="84"/>
    </row>
    <row r="127" spans="1:19">
      <c r="A127" s="629" t="s">
        <v>1176</v>
      </c>
      <c r="G127" s="629">
        <v>5.2137389745604501E-2</v>
      </c>
      <c r="H127" s="734">
        <v>2.2253054294372201E-3</v>
      </c>
      <c r="I127" s="735">
        <v>5.2398317126714803E-3</v>
      </c>
      <c r="J127" s="735">
        <v>2.2590187208159401E-3</v>
      </c>
      <c r="L127" s="84"/>
      <c r="M127" s="84"/>
      <c r="N127" s="84"/>
      <c r="O127" s="84"/>
      <c r="P127" s="84"/>
      <c r="Q127" s="84"/>
      <c r="R127" s="84"/>
      <c r="S127" s="84"/>
    </row>
    <row r="128" spans="1:19">
      <c r="A128" s="629" t="s">
        <v>1175</v>
      </c>
      <c r="G128" s="629">
        <v>4.6883966572620998E-2</v>
      </c>
      <c r="H128" s="734">
        <v>1.98707109989731E-3</v>
      </c>
      <c r="I128" s="735">
        <v>4.6289080464729697E-3</v>
      </c>
      <c r="J128" s="735">
        <v>2.0144542830840199E-3</v>
      </c>
      <c r="L128" s="84"/>
      <c r="M128" s="84"/>
      <c r="N128" s="84"/>
      <c r="O128" s="84"/>
      <c r="P128" s="84"/>
      <c r="Q128" s="84"/>
      <c r="R128" s="84"/>
      <c r="S128" s="84"/>
    </row>
    <row r="129" spans="1:19">
      <c r="A129" s="629" t="s">
        <v>1174</v>
      </c>
      <c r="G129" s="629">
        <v>4.77067915377343E-2</v>
      </c>
      <c r="H129" s="734">
        <v>2.6584722244260301E-3</v>
      </c>
      <c r="I129" s="735">
        <v>4.9977374936415898E-3</v>
      </c>
      <c r="J129" s="735">
        <v>2.6913897551459199E-3</v>
      </c>
      <c r="L129" s="84"/>
      <c r="M129" s="84"/>
      <c r="N129" s="84"/>
      <c r="O129" s="84"/>
      <c r="P129" s="84"/>
      <c r="Q129" s="84"/>
      <c r="R129" s="84"/>
      <c r="S129" s="84"/>
    </row>
    <row r="130" spans="1:19">
      <c r="A130" s="629" t="s">
        <v>1173</v>
      </c>
      <c r="G130" s="629">
        <v>4.31683473505622E-2</v>
      </c>
      <c r="H130" s="734">
        <v>2.5570051814541301E-3</v>
      </c>
      <c r="I130" s="735">
        <v>4.8659120926394404E-3</v>
      </c>
      <c r="J130" s="735">
        <v>2.58908532051503E-3</v>
      </c>
      <c r="L130" s="84"/>
      <c r="M130" s="84"/>
      <c r="N130" s="84"/>
      <c r="O130" s="84"/>
      <c r="P130" s="84"/>
      <c r="Q130" s="84"/>
      <c r="R130" s="84"/>
      <c r="S130" s="84"/>
    </row>
    <row r="131" spans="1:19">
      <c r="A131" s="629" t="s">
        <v>1172</v>
      </c>
      <c r="G131" s="629">
        <v>3.9408763354574203E-2</v>
      </c>
      <c r="H131" s="734">
        <v>2.28868675663488E-3</v>
      </c>
      <c r="I131" s="735">
        <v>4.3586122858827302E-3</v>
      </c>
      <c r="J131" s="735">
        <v>2.31739291620039E-3</v>
      </c>
      <c r="L131" s="84"/>
      <c r="M131" s="84"/>
      <c r="N131" s="84"/>
      <c r="O131" s="84"/>
      <c r="P131" s="84"/>
      <c r="Q131" s="84"/>
      <c r="R131" s="84"/>
      <c r="S131" s="84"/>
    </row>
    <row r="132" spans="1:19">
      <c r="A132" s="629" t="s">
        <v>1171</v>
      </c>
      <c r="G132" s="629">
        <v>3.6573587070565697E-2</v>
      </c>
      <c r="H132" s="734">
        <v>2.4809254809769299E-3</v>
      </c>
      <c r="I132" s="735">
        <v>4.7419044731536603E-3</v>
      </c>
      <c r="J132" s="735">
        <v>2.5126535806319901E-3</v>
      </c>
      <c r="L132" s="84"/>
      <c r="M132" s="84"/>
      <c r="N132" s="84"/>
      <c r="O132" s="84"/>
      <c r="P132" s="84"/>
      <c r="Q132" s="84"/>
      <c r="R132" s="84"/>
      <c r="S132" s="84"/>
    </row>
    <row r="133" spans="1:19">
      <c r="A133" s="629" t="s">
        <v>1170</v>
      </c>
      <c r="G133" s="629">
        <v>3.3077125922725097E-2</v>
      </c>
      <c r="H133" s="734">
        <v>2.1603070521525E-3</v>
      </c>
      <c r="I133" s="735">
        <v>4.2041593716392704E-3</v>
      </c>
      <c r="J133" s="735">
        <v>2.1856886719140902E-3</v>
      </c>
      <c r="L133" s="84"/>
      <c r="M133" s="84"/>
      <c r="N133" s="84"/>
      <c r="O133" s="84"/>
      <c r="P133" s="84"/>
      <c r="Q133" s="84"/>
      <c r="R133" s="84"/>
      <c r="S133" s="84"/>
    </row>
    <row r="134" spans="1:19">
      <c r="A134" s="629" t="s">
        <v>1169</v>
      </c>
      <c r="G134" s="629">
        <v>2.98387569815892E-2</v>
      </c>
      <c r="H134" s="734">
        <v>1.8974783955437199E-3</v>
      </c>
      <c r="I134" s="735">
        <v>3.8307640063900499E-3</v>
      </c>
      <c r="J134" s="735">
        <v>1.91620952724393E-3</v>
      </c>
      <c r="L134" s="84"/>
      <c r="M134" s="84"/>
      <c r="N134" s="84"/>
      <c r="O134" s="84"/>
      <c r="P134" s="84"/>
      <c r="Q134" s="84"/>
      <c r="R134" s="84"/>
      <c r="S134" s="84"/>
    </row>
    <row r="135" spans="1:19">
      <c r="A135" s="629" t="s">
        <v>1168</v>
      </c>
      <c r="G135" s="629">
        <v>2.7505440144471802E-2</v>
      </c>
      <c r="H135" s="734">
        <v>2.3055506675925298E-3</v>
      </c>
      <c r="I135" s="735">
        <v>3.6350155431329502E-3</v>
      </c>
      <c r="J135" s="735">
        <v>2.3295571128116202E-3</v>
      </c>
      <c r="L135" s="84"/>
      <c r="M135" s="84"/>
      <c r="N135" s="84"/>
      <c r="O135" s="84"/>
      <c r="P135" s="84"/>
      <c r="Q135" s="84"/>
      <c r="R135" s="84"/>
      <c r="S135" s="84"/>
    </row>
    <row r="136" spans="1:19">
      <c r="A136" s="629" t="s">
        <v>1167</v>
      </c>
      <c r="G136" s="629">
        <v>2.4825475514197299E-2</v>
      </c>
      <c r="H136" s="734">
        <v>2.0149175909188102E-3</v>
      </c>
      <c r="I136" s="735">
        <v>3.29369695578596E-3</v>
      </c>
      <c r="J136" s="735">
        <v>2.0332376519567501E-3</v>
      </c>
      <c r="L136" s="84"/>
      <c r="M136" s="84"/>
      <c r="N136" s="84"/>
      <c r="O136" s="84"/>
      <c r="P136" s="84"/>
      <c r="Q136" s="84"/>
      <c r="R136" s="84"/>
      <c r="S136" s="84"/>
    </row>
    <row r="137" spans="1:19">
      <c r="A137" s="629" t="s">
        <v>1166</v>
      </c>
      <c r="G137" s="629">
        <v>2.6885544684812902E-2</v>
      </c>
      <c r="H137" s="734">
        <v>1.7904892748850901E-3</v>
      </c>
      <c r="I137" s="735">
        <v>2.9954503883521202E-3</v>
      </c>
      <c r="J137" s="735">
        <v>1.80262053212323E-3</v>
      </c>
      <c r="L137" s="84"/>
      <c r="M137" s="84"/>
      <c r="N137" s="84"/>
      <c r="O137" s="84"/>
      <c r="P137" s="84"/>
      <c r="Q137" s="84"/>
      <c r="R137" s="84"/>
      <c r="S137" s="84"/>
    </row>
    <row r="138" spans="1:19">
      <c r="A138" s="629" t="s">
        <v>1165</v>
      </c>
      <c r="G138" s="629">
        <v>2.4533035124523601E-2</v>
      </c>
      <c r="H138" s="734">
        <v>1.71822854839639E-3</v>
      </c>
      <c r="I138" s="735">
        <v>2.6798230039290398E-3</v>
      </c>
      <c r="J138" s="735">
        <v>1.7267865279896699E-3</v>
      </c>
      <c r="L138" s="84"/>
      <c r="M138" s="84"/>
      <c r="N138" s="84"/>
      <c r="O138" s="84"/>
      <c r="P138" s="84"/>
      <c r="Q138" s="84"/>
      <c r="R138" s="84"/>
      <c r="S138" s="84"/>
    </row>
    <row r="139" spans="1:19">
      <c r="A139" s="629" t="s">
        <v>1164</v>
      </c>
      <c r="G139" s="629">
        <v>2.3951745930482101E-2</v>
      </c>
      <c r="H139" s="734">
        <v>1.5483833880097499E-3</v>
      </c>
      <c r="I139" s="735">
        <v>2.58507384590119E-3</v>
      </c>
      <c r="J139" s="735">
        <v>1.5515744092568101E-3</v>
      </c>
      <c r="L139" s="84"/>
      <c r="M139" s="84"/>
      <c r="N139" s="84"/>
      <c r="O139" s="84"/>
      <c r="P139" s="84"/>
      <c r="Q139" s="84"/>
      <c r="R139" s="84"/>
      <c r="S139" s="84"/>
    </row>
    <row r="140" spans="1:19">
      <c r="A140" s="629" t="s">
        <v>1163</v>
      </c>
      <c r="G140" s="629">
        <v>2.20304791899231E-2</v>
      </c>
      <c r="H140" s="734">
        <v>1.4185596781573599E-3</v>
      </c>
      <c r="I140" s="735">
        <v>2.7554750944053601E-3</v>
      </c>
      <c r="J140" s="735">
        <v>1.4179811516849101E-3</v>
      </c>
      <c r="L140" s="84"/>
      <c r="M140" s="84"/>
      <c r="N140" s="84"/>
      <c r="O140" s="84"/>
      <c r="P140" s="84"/>
      <c r="Q140" s="84"/>
      <c r="R140" s="84"/>
      <c r="S140" s="84"/>
    </row>
    <row r="141" spans="1:19">
      <c r="A141" s="629" t="s">
        <v>1162</v>
      </c>
      <c r="G141" s="629">
        <v>2.1363029057275901E-2</v>
      </c>
      <c r="H141" s="734">
        <v>2.2840762545806399E-3</v>
      </c>
      <c r="I141" s="735">
        <v>3.1645390864903202E-3</v>
      </c>
      <c r="J141" s="735">
        <v>2.2952485183175401E-3</v>
      </c>
      <c r="L141" s="84"/>
      <c r="M141" s="84"/>
      <c r="N141" s="84"/>
      <c r="O141" s="84"/>
      <c r="P141" s="84"/>
      <c r="Q141" s="84"/>
      <c r="R141" s="84"/>
      <c r="S141" s="84"/>
    </row>
    <row r="142" spans="1:19">
      <c r="A142" s="629" t="s">
        <v>1161</v>
      </c>
      <c r="G142" s="629">
        <v>1.9384700544598999E-2</v>
      </c>
      <c r="H142" s="734">
        <v>2.0126152243403802E-3</v>
      </c>
      <c r="I142" s="735">
        <v>3.1962673310276801E-3</v>
      </c>
      <c r="J142" s="735">
        <v>2.0198527737239399E-3</v>
      </c>
      <c r="L142" s="84"/>
      <c r="M142" s="84"/>
      <c r="N142" s="84"/>
      <c r="O142" s="84"/>
      <c r="P142" s="84"/>
      <c r="Q142" s="84"/>
      <c r="R142" s="84"/>
      <c r="S142" s="84"/>
    </row>
    <row r="143" spans="1:19">
      <c r="A143" s="629" t="s">
        <v>1160</v>
      </c>
      <c r="G143" s="629">
        <v>2.0840674764597299E-2</v>
      </c>
      <c r="H143" s="734">
        <v>2.2273241700227998E-3</v>
      </c>
      <c r="I143" s="735">
        <v>3.16400964823368E-3</v>
      </c>
      <c r="J143" s="735">
        <v>2.2307720992852699E-3</v>
      </c>
      <c r="L143" s="84"/>
      <c r="M143" s="84"/>
      <c r="N143" s="84"/>
      <c r="O143" s="84"/>
      <c r="P143" s="84"/>
      <c r="Q143" s="84"/>
      <c r="R143" s="84"/>
      <c r="S143" s="84"/>
    </row>
    <row r="144" spans="1:19">
      <c r="A144" s="629" t="s">
        <v>1159</v>
      </c>
      <c r="G144" s="629">
        <v>2.0208100770396299E-2</v>
      </c>
      <c r="H144" s="734">
        <v>3.1327929377756901E-3</v>
      </c>
      <c r="I144" s="735">
        <v>5.53141699137459E-3</v>
      </c>
      <c r="J144" s="735">
        <v>3.1590537587406599E-3</v>
      </c>
      <c r="L144" s="84"/>
      <c r="M144" s="84"/>
      <c r="N144" s="84"/>
      <c r="O144" s="84"/>
      <c r="P144" s="84"/>
      <c r="Q144" s="84"/>
      <c r="R144" s="84"/>
      <c r="S144" s="84"/>
    </row>
    <row r="145" spans="1:19">
      <c r="A145" s="629" t="s">
        <v>1158</v>
      </c>
      <c r="G145" s="629">
        <v>1.8323908088052902E-2</v>
      </c>
      <c r="H145" s="734">
        <v>3.1653803182311699E-3</v>
      </c>
      <c r="I145" s="735">
        <v>5.9939362916113497E-3</v>
      </c>
      <c r="J145" s="735">
        <v>3.1854420610455902E-3</v>
      </c>
      <c r="L145" s="84"/>
      <c r="M145" s="84"/>
      <c r="N145" s="84"/>
      <c r="O145" s="84"/>
      <c r="P145" s="84"/>
      <c r="Q145" s="84"/>
      <c r="R145" s="84"/>
      <c r="S145" s="84"/>
    </row>
    <row r="146" spans="1:19">
      <c r="A146" s="629" t="s">
        <v>1157</v>
      </c>
      <c r="G146" s="629">
        <v>2.75486268151654E-2</v>
      </c>
      <c r="H146" s="734">
        <v>5.7461088964330803E-3</v>
      </c>
      <c r="I146" s="735">
        <v>7.0917256260674298E-3</v>
      </c>
      <c r="J146" s="735">
        <v>5.7822560913022196E-3</v>
      </c>
      <c r="L146" s="84"/>
      <c r="M146" s="84"/>
      <c r="N146" s="84"/>
      <c r="O146" s="84"/>
      <c r="P146" s="84"/>
      <c r="Q146" s="84"/>
      <c r="R146" s="84"/>
      <c r="S146" s="84"/>
    </row>
    <row r="147" spans="1:19">
      <c r="A147" s="629" t="s">
        <v>1156</v>
      </c>
      <c r="G147" s="629">
        <v>2.5211194571626901E-2</v>
      </c>
      <c r="H147" s="734">
        <v>6.6571229935614802E-3</v>
      </c>
      <c r="I147" s="735">
        <v>6.7019287695642901E-3</v>
      </c>
      <c r="J147" s="735">
        <v>6.6775228471663397E-3</v>
      </c>
      <c r="L147" s="84"/>
      <c r="M147" s="84"/>
      <c r="N147" s="84"/>
      <c r="O147" s="84"/>
      <c r="P147" s="84"/>
      <c r="Q147" s="84"/>
      <c r="R147" s="84"/>
      <c r="S147" s="84"/>
    </row>
    <row r="148" spans="1:19">
      <c r="A148" s="629" t="s">
        <v>1155</v>
      </c>
      <c r="G148" s="629">
        <v>2.3705320649044001E-2</v>
      </c>
      <c r="H148" s="734">
        <v>7.1502389687829E-3</v>
      </c>
      <c r="I148" s="735">
        <v>5.8999231553401501E-3</v>
      </c>
      <c r="J148" s="735">
        <v>7.1467759411726504E-3</v>
      </c>
      <c r="L148" s="84"/>
      <c r="M148" s="84"/>
      <c r="N148" s="84"/>
      <c r="O148" s="84"/>
      <c r="P148" s="84"/>
      <c r="Q148" s="84"/>
      <c r="R148" s="84"/>
      <c r="S148" s="84"/>
    </row>
    <row r="149" spans="1:19">
      <c r="A149" s="629" t="s">
        <v>1154</v>
      </c>
      <c r="G149" s="629">
        <v>2.45411242576592E-2</v>
      </c>
      <c r="H149" s="734">
        <v>6.6349956422441904E-3</v>
      </c>
      <c r="I149" s="735">
        <v>6.43856915791771E-3</v>
      </c>
      <c r="J149" s="735">
        <v>6.6170479457665597E-3</v>
      </c>
      <c r="L149" s="84"/>
      <c r="M149" s="84"/>
      <c r="N149" s="84"/>
      <c r="O149" s="84"/>
      <c r="P149" s="84"/>
      <c r="Q149" s="84"/>
      <c r="R149" s="84"/>
      <c r="S149" s="84"/>
    </row>
    <row r="150" spans="1:19">
      <c r="A150" s="629" t="s">
        <v>1153</v>
      </c>
      <c r="G150" s="629">
        <v>2.3671855576755101E-2</v>
      </c>
      <c r="H150" s="734">
        <v>5.5772184356244299E-3</v>
      </c>
      <c r="I150" s="735">
        <v>5.9350626263178401E-3</v>
      </c>
      <c r="J150" s="735">
        <v>5.5704296387831696E-3</v>
      </c>
      <c r="L150" s="84"/>
      <c r="M150" s="84"/>
      <c r="N150" s="84"/>
      <c r="O150" s="84"/>
      <c r="P150" s="84"/>
      <c r="Q150" s="84"/>
      <c r="R150" s="84"/>
      <c r="S150" s="84"/>
    </row>
    <row r="151" spans="1:19">
      <c r="A151" s="629" t="s">
        <v>1152</v>
      </c>
      <c r="G151" s="629">
        <v>2.2463606592553101E-2</v>
      </c>
      <c r="H151" s="734">
        <v>5.0040099114034599E-3</v>
      </c>
      <c r="I151" s="735">
        <v>5.2786975774722503E-3</v>
      </c>
      <c r="J151" s="735">
        <v>5.02652946187712E-3</v>
      </c>
      <c r="L151" s="84"/>
      <c r="M151" s="84"/>
      <c r="N151" s="84"/>
      <c r="O151" s="84"/>
      <c r="P151" s="84"/>
      <c r="Q151" s="84"/>
      <c r="R151" s="84"/>
      <c r="S151" s="84"/>
    </row>
    <row r="152" spans="1:19">
      <c r="A152" s="629" t="s">
        <v>1151</v>
      </c>
      <c r="G152" s="629">
        <v>3.6440642826777898E-2</v>
      </c>
      <c r="H152" s="734">
        <v>1.34865545096494E-2</v>
      </c>
      <c r="I152" s="735">
        <v>9.3876876965225294E-3</v>
      </c>
      <c r="J152" s="735">
        <v>1.35538800409718E-2</v>
      </c>
      <c r="L152" s="84"/>
      <c r="M152" s="84"/>
      <c r="N152" s="84"/>
      <c r="O152" s="84"/>
      <c r="P152" s="84"/>
      <c r="Q152" s="84"/>
      <c r="R152" s="84"/>
      <c r="S152" s="84"/>
    </row>
    <row r="153" spans="1:19">
      <c r="A153" s="629" t="s">
        <v>1150</v>
      </c>
      <c r="G153" s="629">
        <v>3.4738655525947501E-2</v>
      </c>
      <c r="H153" s="734">
        <v>1.2534597505033499E-2</v>
      </c>
      <c r="I153" s="735">
        <v>1.02315753560912E-2</v>
      </c>
      <c r="J153" s="735">
        <v>1.2741405738783299E-2</v>
      </c>
      <c r="L153" s="84"/>
      <c r="M153" s="84"/>
      <c r="N153" s="84"/>
      <c r="O153" s="84"/>
      <c r="P153" s="84"/>
      <c r="Q153" s="84"/>
      <c r="R153" s="84"/>
      <c r="S153" s="84"/>
    </row>
    <row r="154" spans="1:19">
      <c r="A154" s="629" t="s">
        <v>1149</v>
      </c>
      <c r="G154" s="629">
        <v>3.1459484819110699E-2</v>
      </c>
      <c r="H154" s="734">
        <v>1.1124894687195E-2</v>
      </c>
      <c r="I154" s="735">
        <v>8.9740801483836705E-3</v>
      </c>
      <c r="J154" s="735">
        <v>1.12736409834297E-2</v>
      </c>
      <c r="L154" s="84"/>
      <c r="M154" s="84"/>
      <c r="N154" s="84"/>
      <c r="O154" s="84"/>
      <c r="P154" s="84"/>
      <c r="Q154" s="84"/>
      <c r="R154" s="84"/>
      <c r="S154" s="84"/>
    </row>
    <row r="155" spans="1:19">
      <c r="A155" s="629" t="s">
        <v>1148</v>
      </c>
      <c r="G155" s="629">
        <v>3.5346723735371899E-2</v>
      </c>
      <c r="H155" s="734">
        <v>1.5239947325561101E-2</v>
      </c>
      <c r="I155" s="735">
        <v>1.01475110412874E-2</v>
      </c>
      <c r="J155" s="735">
        <v>1.5617165473041501E-2</v>
      </c>
      <c r="L155" s="84"/>
      <c r="M155" s="84"/>
      <c r="N155" s="84"/>
      <c r="O155" s="84"/>
      <c r="P155" s="84"/>
      <c r="Q155" s="84"/>
      <c r="R155" s="84"/>
      <c r="S155" s="84"/>
    </row>
    <row r="156" spans="1:19">
      <c r="A156" s="629" t="s">
        <v>1147</v>
      </c>
      <c r="G156" s="629">
        <v>3.2052060973911001E-2</v>
      </c>
      <c r="H156" s="734">
        <v>1.2725590424646801E-2</v>
      </c>
      <c r="I156" s="735">
        <v>8.9023113029262201E-3</v>
      </c>
      <c r="J156" s="735">
        <v>1.30997349355688E-2</v>
      </c>
      <c r="L156" s="84"/>
      <c r="M156" s="84"/>
      <c r="N156" s="84"/>
      <c r="O156" s="84"/>
      <c r="P156" s="84"/>
      <c r="Q156" s="84"/>
      <c r="R156" s="84"/>
      <c r="S156" s="84"/>
    </row>
    <row r="157" spans="1:19">
      <c r="A157" s="629" t="s">
        <v>1146</v>
      </c>
      <c r="G157" s="629">
        <v>3.3384856151841398E-2</v>
      </c>
      <c r="H157" s="734">
        <v>1.11057947069111E-2</v>
      </c>
      <c r="I157" s="735">
        <v>8.3793186985466599E-3</v>
      </c>
      <c r="J157" s="735">
        <v>1.1404985037270599E-2</v>
      </c>
      <c r="L157" s="84"/>
      <c r="M157" s="84"/>
      <c r="N157" s="84"/>
      <c r="O157" s="84"/>
      <c r="P157" s="84"/>
      <c r="Q157" s="84"/>
      <c r="R157" s="84"/>
      <c r="S157" s="84"/>
    </row>
    <row r="158" spans="1:19">
      <c r="A158" s="629" t="s">
        <v>1145</v>
      </c>
      <c r="G158" s="629">
        <v>3.03743545238047E-2</v>
      </c>
      <c r="H158" s="734">
        <v>9.2933125546453398E-3</v>
      </c>
      <c r="I158" s="735">
        <v>7.3601174236256799E-3</v>
      </c>
      <c r="J158" s="735">
        <v>9.5540131531307408E-3</v>
      </c>
      <c r="L158" s="84"/>
      <c r="M158" s="84"/>
      <c r="N158" s="84"/>
      <c r="O158" s="84"/>
      <c r="P158" s="84"/>
      <c r="Q158" s="84"/>
      <c r="R158" s="84"/>
      <c r="S158" s="84"/>
    </row>
    <row r="159" spans="1:19">
      <c r="A159" s="629" t="s">
        <v>1144</v>
      </c>
      <c r="G159" s="629">
        <v>2.7524072779508298E-2</v>
      </c>
      <c r="H159" s="734">
        <v>8.0412848798682504E-3</v>
      </c>
      <c r="I159" s="735">
        <v>9.4256648039969006E-3</v>
      </c>
      <c r="J159" s="735">
        <v>8.3033826793391108E-3</v>
      </c>
      <c r="L159" s="84"/>
      <c r="M159" s="84"/>
      <c r="N159" s="84"/>
      <c r="O159" s="84"/>
      <c r="P159" s="84"/>
      <c r="Q159" s="84"/>
      <c r="R159" s="84"/>
      <c r="S159" s="84"/>
    </row>
    <row r="160" spans="1:19">
      <c r="A160" s="629" t="s">
        <v>1143</v>
      </c>
      <c r="G160" s="629">
        <v>2.8426675470075401E-2</v>
      </c>
      <c r="H160" s="734">
        <v>7.1067606659358396E-3</v>
      </c>
      <c r="I160" s="735">
        <v>8.9500255352209304E-3</v>
      </c>
      <c r="J160" s="735">
        <v>7.3230758444697E-3</v>
      </c>
      <c r="L160" s="84"/>
      <c r="M160" s="84"/>
      <c r="N160" s="84"/>
      <c r="O160" s="84"/>
      <c r="P160" s="84"/>
      <c r="Q160" s="84"/>
      <c r="R160" s="84"/>
      <c r="S160" s="84"/>
    </row>
    <row r="161" spans="1:19">
      <c r="A161" s="629" t="s">
        <v>1142</v>
      </c>
      <c r="G161" s="629">
        <v>2.5822424276679998E-2</v>
      </c>
      <c r="H161" s="734">
        <v>5.9914778948012603E-3</v>
      </c>
      <c r="I161" s="735">
        <v>7.9105339568177196E-3</v>
      </c>
      <c r="J161" s="735">
        <v>6.1888624234020303E-3</v>
      </c>
      <c r="L161" s="84"/>
      <c r="M161" s="84"/>
      <c r="N161" s="84"/>
      <c r="O161" s="84"/>
      <c r="P161" s="84"/>
      <c r="Q161" s="84"/>
      <c r="R161" s="84"/>
      <c r="S161" s="84"/>
    </row>
    <row r="162" spans="1:19">
      <c r="A162" s="629" t="s">
        <v>1141</v>
      </c>
      <c r="G162" s="629">
        <v>2.3465055295225301E-2</v>
      </c>
      <c r="H162" s="734">
        <v>6.0487787943013498E-3</v>
      </c>
      <c r="I162" s="735">
        <v>6.9505491078239497E-3</v>
      </c>
      <c r="J162" s="735">
        <v>6.2111259361602097E-3</v>
      </c>
      <c r="L162" s="84"/>
      <c r="M162" s="84"/>
      <c r="N162" s="84"/>
      <c r="O162" s="84"/>
      <c r="P162" s="84"/>
      <c r="Q162" s="84"/>
      <c r="R162" s="84"/>
      <c r="S162" s="84"/>
    </row>
    <row r="163" spans="1:19">
      <c r="A163" s="629" t="s">
        <v>1140</v>
      </c>
      <c r="G163" s="629">
        <v>2.1674189238948802E-2</v>
      </c>
      <c r="H163" s="734">
        <v>5.1332393446314297E-3</v>
      </c>
      <c r="I163" s="735">
        <v>6.58964141205284E-3</v>
      </c>
      <c r="J163" s="735">
        <v>5.2818118890264696E-3</v>
      </c>
      <c r="L163" s="84"/>
      <c r="M163" s="84"/>
      <c r="N163" s="84"/>
      <c r="O163" s="84"/>
      <c r="P163" s="84"/>
      <c r="Q163" s="84"/>
      <c r="R163" s="84"/>
      <c r="S163" s="84"/>
    </row>
    <row r="164" spans="1:19">
      <c r="A164" s="629" t="s">
        <v>1139</v>
      </c>
      <c r="G164" s="629">
        <v>2.7795060080486302E-2</v>
      </c>
      <c r="H164" s="734">
        <v>7.34053998280853E-3</v>
      </c>
      <c r="I164" s="735">
        <v>8.2435183531708797E-3</v>
      </c>
      <c r="J164" s="735">
        <v>7.4742895831892003E-3</v>
      </c>
      <c r="L164" s="84"/>
      <c r="M164" s="84"/>
      <c r="N164" s="84"/>
      <c r="O164" s="84"/>
      <c r="P164" s="84"/>
      <c r="Q164" s="84"/>
      <c r="R164" s="84"/>
      <c r="S164" s="84"/>
    </row>
    <row r="165" spans="1:19">
      <c r="A165" s="629" t="s">
        <v>1138</v>
      </c>
      <c r="G165" s="629">
        <v>2.5312000484121699E-2</v>
      </c>
      <c r="H165" s="734">
        <v>6.2455833406296502E-3</v>
      </c>
      <c r="I165" s="735">
        <v>7.2588749685308304E-3</v>
      </c>
      <c r="J165" s="735">
        <v>6.3601098693969798E-3</v>
      </c>
      <c r="L165" s="84"/>
      <c r="M165" s="84"/>
      <c r="N165" s="84"/>
      <c r="O165" s="84"/>
      <c r="P165" s="84"/>
      <c r="Q165" s="84"/>
      <c r="R165" s="84"/>
      <c r="S165" s="84"/>
    </row>
    <row r="166" spans="1:19">
      <c r="A166" s="629" t="s">
        <v>1137</v>
      </c>
      <c r="G166" s="629">
        <v>2.4793221584201101E-2</v>
      </c>
      <c r="H166" s="734">
        <v>5.6049050137417199E-3</v>
      </c>
      <c r="I166" s="735">
        <v>6.6792075910832799E-3</v>
      </c>
      <c r="J166" s="735">
        <v>5.7320466292874704E-3</v>
      </c>
      <c r="L166" s="84"/>
      <c r="M166" s="84"/>
      <c r="N166" s="84"/>
      <c r="O166" s="84"/>
      <c r="P166" s="84"/>
      <c r="Q166" s="84"/>
      <c r="R166" s="84"/>
      <c r="S166" s="84"/>
    </row>
    <row r="167" spans="1:19">
      <c r="A167" s="629" t="s">
        <v>1136</v>
      </c>
      <c r="G167" s="629">
        <v>2.51137875407316E-2</v>
      </c>
      <c r="H167" s="734">
        <v>5.5626163950592503E-3</v>
      </c>
      <c r="I167" s="735">
        <v>6.2061934099087003E-3</v>
      </c>
      <c r="J167" s="735">
        <v>5.6683098551896698E-3</v>
      </c>
      <c r="L167" s="84"/>
      <c r="M167" s="84"/>
      <c r="N167" s="84"/>
      <c r="O167" s="84"/>
      <c r="P167" s="84"/>
      <c r="Q167" s="84"/>
      <c r="R167" s="84"/>
      <c r="S167" s="84"/>
    </row>
    <row r="168" spans="1:19">
      <c r="A168" s="629" t="s">
        <v>1135</v>
      </c>
      <c r="G168" s="629">
        <v>2.2608615890339499E-2</v>
      </c>
      <c r="H168" s="734">
        <v>5.7823988647198003E-3</v>
      </c>
      <c r="I168" s="735">
        <v>6.7307979278088403E-3</v>
      </c>
      <c r="J168" s="735">
        <v>5.9174608777799202E-3</v>
      </c>
      <c r="L168" s="84"/>
      <c r="M168" s="84"/>
      <c r="N168" s="84"/>
      <c r="O168" s="84"/>
      <c r="P168" s="84"/>
      <c r="Q168" s="84"/>
      <c r="R168" s="84"/>
      <c r="S168" s="84"/>
    </row>
    <row r="169" spans="1:19">
      <c r="A169" s="629" t="s">
        <v>1134</v>
      </c>
      <c r="G169" s="629">
        <v>2.0445271290744398E-2</v>
      </c>
      <c r="H169" s="734">
        <v>5.79742007818117E-3</v>
      </c>
      <c r="I169" s="735">
        <v>6.5722989010732801E-3</v>
      </c>
      <c r="J169" s="735">
        <v>5.9094317557132703E-3</v>
      </c>
      <c r="L169" s="84"/>
      <c r="M169" s="84"/>
      <c r="N169" s="84"/>
      <c r="O169" s="84"/>
      <c r="P169" s="84"/>
      <c r="Q169" s="84"/>
      <c r="R169" s="84"/>
      <c r="S169" s="84"/>
    </row>
    <row r="170" spans="1:19">
      <c r="A170" s="629" t="s">
        <v>1133</v>
      </c>
      <c r="G170" s="629">
        <v>2.02655435272944E-2</v>
      </c>
      <c r="H170" s="734">
        <v>7.7255090726750103E-3</v>
      </c>
      <c r="I170" s="735">
        <v>5.8741278874521498E-3</v>
      </c>
      <c r="J170" s="735">
        <v>7.8951169940469704E-3</v>
      </c>
      <c r="L170" s="84"/>
      <c r="M170" s="84"/>
      <c r="N170" s="84"/>
      <c r="O170" s="84"/>
      <c r="P170" s="84"/>
      <c r="Q170" s="84"/>
      <c r="R170" s="84"/>
      <c r="S170" s="84"/>
    </row>
    <row r="171" spans="1:19">
      <c r="A171" s="629" t="s">
        <v>1132</v>
      </c>
      <c r="G171" s="629">
        <v>1.8570866846847701E-2</v>
      </c>
      <c r="H171" s="734">
        <v>6.65729939125685E-3</v>
      </c>
      <c r="I171" s="735">
        <v>5.1749463266727302E-3</v>
      </c>
      <c r="J171" s="735">
        <v>6.7962868495109801E-3</v>
      </c>
      <c r="L171" s="84"/>
      <c r="M171" s="84"/>
      <c r="N171" s="84"/>
      <c r="O171" s="84"/>
      <c r="P171" s="84"/>
      <c r="Q171" s="84"/>
      <c r="R171" s="84"/>
      <c r="S171" s="84"/>
    </row>
    <row r="172" spans="1:19">
      <c r="A172" s="629" t="s">
        <v>1131</v>
      </c>
      <c r="G172" s="629">
        <v>2.13084695821288E-2</v>
      </c>
      <c r="H172" s="734">
        <v>6.0933535437202903E-3</v>
      </c>
      <c r="I172" s="735">
        <v>4.64021306381925E-3</v>
      </c>
      <c r="J172" s="735">
        <v>6.2038090743796797E-3</v>
      </c>
      <c r="L172" s="84"/>
      <c r="M172" s="84"/>
      <c r="N172" s="84"/>
      <c r="O172" s="84"/>
      <c r="P172" s="84"/>
      <c r="Q172" s="84"/>
      <c r="R172" s="84"/>
      <c r="S172" s="84"/>
    </row>
    <row r="173" spans="1:19">
      <c r="A173" s="629" t="s">
        <v>1130</v>
      </c>
      <c r="G173" s="629">
        <v>1.91959453053871E-2</v>
      </c>
      <c r="H173" s="734">
        <v>5.1303191724454697E-3</v>
      </c>
      <c r="I173" s="735">
        <v>4.1312925217988497E-3</v>
      </c>
      <c r="J173" s="735">
        <v>5.2331516641245697E-3</v>
      </c>
      <c r="L173" s="84"/>
      <c r="M173" s="84"/>
      <c r="N173" s="84"/>
      <c r="O173" s="84"/>
      <c r="P173" s="84"/>
      <c r="Q173" s="84"/>
      <c r="R173" s="84"/>
      <c r="S173" s="84"/>
    </row>
    <row r="174" spans="1:19">
      <c r="A174" s="629" t="s">
        <v>1129</v>
      </c>
      <c r="G174" s="629">
        <v>1.7415637784937599E-2</v>
      </c>
      <c r="H174" s="734">
        <v>4.6774797593497801E-3</v>
      </c>
      <c r="I174" s="735">
        <v>3.6557657156956898E-3</v>
      </c>
      <c r="J174" s="735">
        <v>4.7599170931761801E-3</v>
      </c>
      <c r="L174" s="84"/>
      <c r="M174" s="84"/>
      <c r="N174" s="84"/>
      <c r="O174" s="84"/>
      <c r="P174" s="84"/>
      <c r="Q174" s="84"/>
      <c r="R174" s="84"/>
      <c r="S174" s="84"/>
    </row>
    <row r="175" spans="1:19">
      <c r="A175" s="629" t="s">
        <v>1128</v>
      </c>
      <c r="G175" s="629">
        <v>1.5806718215025301E-2</v>
      </c>
      <c r="H175" s="734">
        <v>3.9626449237324998E-3</v>
      </c>
      <c r="I175" s="735">
        <v>3.2776595353110598E-3</v>
      </c>
      <c r="J175" s="735">
        <v>4.0354523077750703E-3</v>
      </c>
      <c r="L175" s="84"/>
      <c r="M175" s="84"/>
      <c r="N175" s="84"/>
      <c r="O175" s="84"/>
      <c r="P175" s="84"/>
      <c r="Q175" s="84"/>
      <c r="R175" s="84"/>
      <c r="S175" s="84"/>
    </row>
    <row r="176" spans="1:19">
      <c r="A176" s="629" t="s">
        <v>1127</v>
      </c>
      <c r="G176" s="629">
        <v>1.49601413975986E-2</v>
      </c>
      <c r="H176" s="734">
        <v>3.3746009414917098E-3</v>
      </c>
      <c r="I176" s="735">
        <v>2.91127902702484E-3</v>
      </c>
      <c r="J176" s="735">
        <v>3.43758616323879E-3</v>
      </c>
      <c r="L176" s="84"/>
      <c r="M176" s="84"/>
      <c r="N176" s="84"/>
      <c r="O176" s="84"/>
      <c r="P176" s="84"/>
      <c r="Q176" s="84"/>
      <c r="R176" s="84"/>
      <c r="S176" s="84"/>
    </row>
    <row r="177" spans="1:19">
      <c r="A177" s="629" t="s">
        <v>1126</v>
      </c>
      <c r="G177" s="629">
        <v>1.59173220601256E-2</v>
      </c>
      <c r="H177" s="734">
        <v>2.9186918793951901E-3</v>
      </c>
      <c r="I177" s="735">
        <v>2.6202418506492201E-3</v>
      </c>
      <c r="J177" s="735">
        <v>2.9709891074636398E-3</v>
      </c>
      <c r="L177" s="84"/>
      <c r="M177" s="84"/>
      <c r="N177" s="84"/>
      <c r="O177" s="84"/>
      <c r="P177" s="84"/>
      <c r="Q177" s="84"/>
      <c r="R177" s="84"/>
      <c r="S177" s="84"/>
    </row>
    <row r="178" spans="1:19">
      <c r="A178" s="629" t="s">
        <v>1125</v>
      </c>
      <c r="G178" s="629">
        <v>2.7929651873664901E-2</v>
      </c>
      <c r="H178" s="734">
        <v>1.0016907843262699E-2</v>
      </c>
      <c r="I178" s="735">
        <v>6.7760342457076203E-3</v>
      </c>
      <c r="J178" s="735">
        <v>1.0142975570436299E-2</v>
      </c>
      <c r="L178" s="84"/>
      <c r="M178" s="84"/>
      <c r="N178" s="84"/>
      <c r="O178" s="84"/>
      <c r="P178" s="84"/>
      <c r="Q178" s="84"/>
      <c r="R178" s="84"/>
      <c r="S178" s="84"/>
    </row>
    <row r="179" spans="1:19">
      <c r="A179" s="629" t="s">
        <v>1124</v>
      </c>
      <c r="G179" s="629">
        <v>4.39503374396168E-2</v>
      </c>
      <c r="H179" s="734">
        <v>8.6529863973602694E-3</v>
      </c>
      <c r="I179" s="735">
        <v>7.9952976262283801E-3</v>
      </c>
      <c r="J179" s="735">
        <v>8.8148167855425594E-3</v>
      </c>
      <c r="L179" s="84"/>
      <c r="M179" s="84"/>
      <c r="N179" s="84"/>
      <c r="O179" s="84"/>
      <c r="P179" s="84"/>
      <c r="Q179" s="84"/>
      <c r="R179" s="84"/>
      <c r="S179" s="84"/>
    </row>
    <row r="180" spans="1:19">
      <c r="A180" s="629" t="s">
        <v>1123</v>
      </c>
      <c r="G180" s="629">
        <v>3.9986283411387699E-2</v>
      </c>
      <c r="H180" s="734">
        <v>7.2321196858397196E-3</v>
      </c>
      <c r="I180" s="735">
        <v>7.0317255455674202E-3</v>
      </c>
      <c r="J180" s="735">
        <v>7.3864205105585298E-3</v>
      </c>
      <c r="L180" s="84"/>
      <c r="M180" s="84"/>
      <c r="N180" s="84"/>
      <c r="O180" s="84"/>
      <c r="P180" s="84"/>
      <c r="Q180" s="84"/>
      <c r="R180" s="84"/>
      <c r="S180" s="84"/>
    </row>
    <row r="181" spans="1:19">
      <c r="A181" s="629" t="s">
        <v>1122</v>
      </c>
      <c r="G181" s="629">
        <v>3.7377322070158502E-2</v>
      </c>
      <c r="H181" s="734">
        <v>6.0761904902835702E-3</v>
      </c>
      <c r="I181" s="735">
        <v>6.2398393606483901E-3</v>
      </c>
      <c r="J181" s="735">
        <v>6.2212625423983398E-3</v>
      </c>
      <c r="L181" s="84"/>
      <c r="M181" s="84"/>
      <c r="N181" s="84"/>
      <c r="O181" s="84"/>
      <c r="P181" s="84"/>
      <c r="Q181" s="84"/>
      <c r="R181" s="84"/>
      <c r="S181" s="84"/>
    </row>
    <row r="182" spans="1:19">
      <c r="A182" s="629" t="s">
        <v>1121</v>
      </c>
      <c r="G182" s="629">
        <v>3.36168350558846E-2</v>
      </c>
      <c r="H182" s="734">
        <v>5.1194705335026102E-3</v>
      </c>
      <c r="I182" s="735">
        <v>5.6124721018882004E-3</v>
      </c>
      <c r="J182" s="735">
        <v>5.2465145272959099E-3</v>
      </c>
      <c r="L182" s="84"/>
      <c r="M182" s="84"/>
      <c r="N182" s="84"/>
      <c r="O182" s="84"/>
      <c r="P182" s="84"/>
      <c r="Q182" s="84"/>
      <c r="R182" s="84"/>
      <c r="S182" s="84"/>
    </row>
    <row r="183" spans="1:19">
      <c r="A183" s="629" t="s">
        <v>1120</v>
      </c>
      <c r="G183" s="629">
        <v>3.0874730469215499E-2</v>
      </c>
      <c r="H183" s="734">
        <v>4.4043814561032998E-3</v>
      </c>
      <c r="I183" s="735">
        <v>4.9920868100000702E-3</v>
      </c>
      <c r="J183" s="735">
        <v>4.5221600680388002E-3</v>
      </c>
      <c r="L183" s="84"/>
      <c r="M183" s="84"/>
      <c r="N183" s="84"/>
      <c r="O183" s="84"/>
      <c r="P183" s="84"/>
      <c r="Q183" s="84"/>
      <c r="R183" s="84"/>
      <c r="S183" s="84"/>
    </row>
    <row r="184" spans="1:19">
      <c r="A184" s="629" t="s">
        <v>1119</v>
      </c>
      <c r="G184" s="629">
        <v>2.9082821690841799E-2</v>
      </c>
      <c r="H184" s="734">
        <v>4.0242788254893401E-3</v>
      </c>
      <c r="I184" s="735">
        <v>6.2482028092773201E-3</v>
      </c>
      <c r="J184" s="735">
        <v>4.12202684427352E-3</v>
      </c>
      <c r="L184" s="84"/>
      <c r="M184" s="84"/>
      <c r="N184" s="84"/>
      <c r="O184" s="84"/>
      <c r="P184" s="84"/>
      <c r="Q184" s="84"/>
      <c r="R184" s="84"/>
      <c r="S184" s="84"/>
    </row>
    <row r="185" spans="1:19">
      <c r="A185" s="629" t="s">
        <v>1118</v>
      </c>
      <c r="G185" s="629">
        <v>2.7619084728386499E-2</v>
      </c>
      <c r="H185" s="734">
        <v>3.4474142943740202E-3</v>
      </c>
      <c r="I185" s="735">
        <v>5.5021559640266501E-3</v>
      </c>
      <c r="J185" s="735">
        <v>3.5300324307083498E-3</v>
      </c>
      <c r="L185" s="84"/>
      <c r="M185" s="84"/>
      <c r="N185" s="84"/>
      <c r="O185" s="84"/>
      <c r="P185" s="84"/>
      <c r="Q185" s="84"/>
      <c r="R185" s="84"/>
      <c r="S185" s="84"/>
    </row>
    <row r="186" spans="1:19">
      <c r="A186" s="629" t="s">
        <v>1117</v>
      </c>
      <c r="G186" s="629">
        <v>2.5410750653970901E-2</v>
      </c>
      <c r="H186" s="734">
        <v>3.3970167020120302E-3</v>
      </c>
      <c r="I186" s="735">
        <v>4.8909284987753597E-3</v>
      </c>
      <c r="J186" s="735">
        <v>3.4697407200503E-3</v>
      </c>
      <c r="L186" s="84"/>
      <c r="M186" s="84"/>
      <c r="N186" s="84"/>
      <c r="O186" s="84"/>
      <c r="P186" s="84"/>
      <c r="Q186" s="84"/>
      <c r="R186" s="84"/>
      <c r="S186" s="84"/>
    </row>
    <row r="187" spans="1:19">
      <c r="A187" s="629" t="s">
        <v>1116</v>
      </c>
      <c r="G187" s="629">
        <v>2.3062412531425502E-2</v>
      </c>
      <c r="H187" s="734">
        <v>2.9518487544726501E-3</v>
      </c>
      <c r="I187" s="735">
        <v>4.4375683403679997E-3</v>
      </c>
      <c r="J187" s="735">
        <v>3.0130644718848699E-3</v>
      </c>
      <c r="L187" s="84"/>
      <c r="M187" s="84"/>
      <c r="N187" s="84"/>
      <c r="O187" s="84"/>
      <c r="P187" s="84"/>
      <c r="Q187" s="84"/>
      <c r="R187" s="84"/>
      <c r="S187" s="84"/>
    </row>
    <row r="188" spans="1:19">
      <c r="A188" s="629" t="s">
        <v>1115</v>
      </c>
      <c r="G188" s="629">
        <v>2.0876484441457399E-2</v>
      </c>
      <c r="H188" s="734">
        <v>2.5455588958357899E-3</v>
      </c>
      <c r="I188" s="735">
        <v>4.0725707408450201E-3</v>
      </c>
      <c r="J188" s="735">
        <v>2.5959906246809301E-3</v>
      </c>
      <c r="L188" s="84"/>
      <c r="M188" s="84"/>
      <c r="N188" s="84"/>
      <c r="O188" s="84"/>
      <c r="P188" s="84"/>
      <c r="Q188" s="84"/>
      <c r="R188" s="84"/>
      <c r="S188" s="84"/>
    </row>
    <row r="189" spans="1:19">
      <c r="A189" s="629" t="s">
        <v>1114</v>
      </c>
      <c r="G189" s="629">
        <v>1.9352254583880599E-2</v>
      </c>
      <c r="H189" s="734">
        <v>2.8622332918265699E-3</v>
      </c>
      <c r="I189" s="735">
        <v>4.5384822479909099E-3</v>
      </c>
      <c r="J189" s="735">
        <v>2.9114050357819301E-3</v>
      </c>
      <c r="L189" s="84"/>
      <c r="M189" s="84"/>
      <c r="N189" s="84"/>
      <c r="O189" s="84"/>
      <c r="P189" s="84"/>
      <c r="Q189" s="84"/>
      <c r="R189" s="84"/>
      <c r="S189" s="84"/>
    </row>
    <row r="190" spans="1:19">
      <c r="A190" s="629" t="s">
        <v>1113</v>
      </c>
      <c r="G190" s="629">
        <v>1.7519325673859401E-2</v>
      </c>
      <c r="H190" s="734">
        <v>2.4780779870831001E-3</v>
      </c>
      <c r="I190" s="735">
        <v>4.2106869987190701E-3</v>
      </c>
      <c r="J190" s="735">
        <v>2.5189041752856E-3</v>
      </c>
      <c r="L190" s="84"/>
      <c r="M190" s="84"/>
      <c r="N190" s="84"/>
      <c r="O190" s="84"/>
      <c r="P190" s="84"/>
      <c r="Q190" s="84"/>
      <c r="R190" s="84"/>
      <c r="S190" s="84"/>
    </row>
    <row r="191" spans="1:19">
      <c r="A191" s="629" t="s">
        <v>1112</v>
      </c>
      <c r="G191" s="629">
        <v>1.6707790333086E-2</v>
      </c>
      <c r="H191" s="734">
        <v>2.46267937098752E-3</v>
      </c>
      <c r="I191" s="735">
        <v>3.7547561963890402E-3</v>
      </c>
      <c r="J191" s="735">
        <v>2.4986786698325998E-3</v>
      </c>
      <c r="L191" s="84"/>
      <c r="M191" s="84"/>
      <c r="N191" s="84"/>
      <c r="O191" s="84"/>
      <c r="P191" s="84"/>
      <c r="Q191" s="84"/>
      <c r="R191" s="84"/>
      <c r="S191" s="84"/>
    </row>
    <row r="192" spans="1:19">
      <c r="A192" s="629" t="s">
        <v>1111</v>
      </c>
      <c r="G192" s="629">
        <v>6.4474605863079903E-2</v>
      </c>
      <c r="H192" s="734">
        <v>2.4518971595939099E-3</v>
      </c>
      <c r="I192" s="735">
        <v>3.5505604371275199E-3</v>
      </c>
      <c r="J192" s="735">
        <v>2.48442373036488E-3</v>
      </c>
      <c r="L192" s="84"/>
      <c r="M192" s="84"/>
      <c r="N192" s="84"/>
      <c r="O192" s="84"/>
      <c r="P192" s="84"/>
      <c r="Q192" s="84"/>
      <c r="R192" s="84"/>
      <c r="S192" s="84"/>
    </row>
    <row r="193" spans="1:19">
      <c r="A193" s="629" t="s">
        <v>1110</v>
      </c>
      <c r="G193" s="629">
        <v>5.8308783944554E-2</v>
      </c>
      <c r="H193" s="734">
        <v>2.1415361755809598E-3</v>
      </c>
      <c r="I193" s="735">
        <v>3.2278034975103502E-3</v>
      </c>
      <c r="J193" s="735">
        <v>2.1671155247436299E-3</v>
      </c>
      <c r="L193" s="84"/>
      <c r="M193" s="84"/>
      <c r="N193" s="84"/>
      <c r="O193" s="84"/>
      <c r="P193" s="84"/>
      <c r="Q193" s="84"/>
      <c r="R193" s="84"/>
      <c r="S193" s="84"/>
    </row>
    <row r="194" spans="1:19">
      <c r="A194" s="629" t="s">
        <v>1109</v>
      </c>
      <c r="G194" s="629">
        <v>5.4543042963595398E-2</v>
      </c>
      <c r="H194" s="734">
        <v>1.9071563531525199E-3</v>
      </c>
      <c r="I194" s="735">
        <v>3.0038827853203099E-3</v>
      </c>
      <c r="J194" s="735">
        <v>1.92672410502221E-3</v>
      </c>
      <c r="L194" s="84"/>
      <c r="M194" s="84"/>
      <c r="N194" s="84"/>
      <c r="O194" s="84"/>
      <c r="P194" s="84"/>
      <c r="Q194" s="84"/>
      <c r="R194" s="84"/>
      <c r="S194" s="84"/>
    </row>
    <row r="195" spans="1:19">
      <c r="A195" s="629" t="s">
        <v>1108</v>
      </c>
      <c r="G195" s="629">
        <v>4.9203625859190497E-2</v>
      </c>
      <c r="H195" s="734">
        <v>2.3835380042053602E-3</v>
      </c>
      <c r="I195" s="735">
        <v>3.58001595944489E-3</v>
      </c>
      <c r="J195" s="735">
        <v>2.4084465300649501E-3</v>
      </c>
      <c r="L195" s="84"/>
      <c r="M195" s="84"/>
      <c r="N195" s="84"/>
      <c r="O195" s="84"/>
      <c r="P195" s="84"/>
      <c r="Q195" s="84"/>
      <c r="R195" s="84"/>
      <c r="S195" s="84"/>
    </row>
    <row r="196" spans="1:19">
      <c r="A196" s="629" t="s">
        <v>1107</v>
      </c>
      <c r="G196" s="629">
        <v>4.5969809744613101E-2</v>
      </c>
      <c r="H196" s="734">
        <v>2.2564555996372701E-3</v>
      </c>
      <c r="I196" s="735">
        <v>3.7497534018678599E-3</v>
      </c>
      <c r="J196" s="735">
        <v>2.27950305559395E-3</v>
      </c>
      <c r="L196" s="84"/>
      <c r="M196" s="84"/>
      <c r="N196" s="84"/>
      <c r="O196" s="84"/>
      <c r="P196" s="84"/>
      <c r="Q196" s="84"/>
      <c r="R196" s="84"/>
      <c r="S196" s="84"/>
    </row>
    <row r="197" spans="1:19">
      <c r="A197" s="629" t="s">
        <v>1106</v>
      </c>
      <c r="G197" s="629">
        <v>5.2488760567694602E-2</v>
      </c>
      <c r="H197" s="734">
        <v>2.28845710570814E-3</v>
      </c>
      <c r="I197" s="735">
        <v>3.9446713183170197E-3</v>
      </c>
      <c r="J197" s="735">
        <v>2.3107645443948498E-3</v>
      </c>
      <c r="L197" s="84"/>
      <c r="M197" s="84"/>
      <c r="N197" s="84"/>
      <c r="O197" s="84"/>
      <c r="P197" s="84"/>
      <c r="Q197" s="84"/>
      <c r="R197" s="84"/>
      <c r="S197" s="84"/>
    </row>
    <row r="198" spans="1:19">
      <c r="A198" s="629" t="s">
        <v>1105</v>
      </c>
      <c r="G198" s="629">
        <v>4.7638024418697099E-2</v>
      </c>
      <c r="H198" s="734">
        <v>2.0050093330590802E-3</v>
      </c>
      <c r="I198" s="735">
        <v>3.5222969683344298E-3</v>
      </c>
      <c r="J198" s="735">
        <v>2.0224567780894498E-3</v>
      </c>
      <c r="L198" s="84"/>
      <c r="M198" s="84"/>
      <c r="N198" s="84"/>
      <c r="O198" s="84"/>
      <c r="P198" s="84"/>
      <c r="Q198" s="84"/>
      <c r="R198" s="84"/>
      <c r="S198" s="84"/>
    </row>
    <row r="199" spans="1:19">
      <c r="A199" s="629" t="s">
        <v>1104</v>
      </c>
      <c r="G199" s="629">
        <v>4.2831248015383003E-2</v>
      </c>
      <c r="H199" s="734">
        <v>1.8405847201199499E-3</v>
      </c>
      <c r="I199" s="735">
        <v>3.3124743488372002E-3</v>
      </c>
      <c r="J199" s="735">
        <v>1.85256235223781E-3</v>
      </c>
      <c r="L199" s="84"/>
      <c r="M199" s="84"/>
      <c r="N199" s="84"/>
      <c r="O199" s="84"/>
      <c r="P199" s="84"/>
      <c r="Q199" s="84"/>
      <c r="R199" s="84"/>
      <c r="S199" s="84"/>
    </row>
    <row r="200" spans="1:19">
      <c r="A200" s="629" t="s">
        <v>1103</v>
      </c>
      <c r="G200" s="629">
        <v>3.9466739044459298E-2</v>
      </c>
      <c r="H200" s="734">
        <v>2.3249481174364402E-3</v>
      </c>
      <c r="I200" s="735">
        <v>4.2962343676233297E-3</v>
      </c>
      <c r="J200" s="735">
        <v>2.3358380075669898E-3</v>
      </c>
      <c r="L200" s="84"/>
      <c r="M200" s="84"/>
      <c r="N200" s="84"/>
      <c r="O200" s="84"/>
      <c r="P200" s="84"/>
      <c r="Q200" s="84"/>
      <c r="R200" s="84"/>
      <c r="S200" s="84"/>
    </row>
    <row r="201" spans="1:19">
      <c r="A201" s="629" t="s">
        <v>1102</v>
      </c>
      <c r="G201" s="629">
        <v>3.7770837092121402E-2</v>
      </c>
      <c r="H201" s="734">
        <v>2.3422984105153999E-3</v>
      </c>
      <c r="I201" s="735">
        <v>4.09333129559971E-3</v>
      </c>
      <c r="J201" s="735">
        <v>2.3491662329583099E-3</v>
      </c>
      <c r="L201" s="84"/>
      <c r="M201" s="84"/>
      <c r="N201" s="84"/>
      <c r="O201" s="84"/>
      <c r="P201" s="84"/>
      <c r="Q201" s="84"/>
      <c r="R201" s="84"/>
      <c r="S201" s="84"/>
    </row>
    <row r="202" spans="1:19">
      <c r="A202" s="629" t="s">
        <v>1101</v>
      </c>
      <c r="G202" s="629">
        <v>3.8724403189898102E-2</v>
      </c>
      <c r="H202" s="734">
        <v>2.6917778684586802E-3</v>
      </c>
      <c r="I202" s="735">
        <v>4.4324726002079396E-3</v>
      </c>
      <c r="J202" s="735">
        <v>2.7091054887012698E-3</v>
      </c>
      <c r="L202" s="84"/>
      <c r="M202" s="84"/>
      <c r="N202" s="84"/>
      <c r="O202" s="84"/>
      <c r="P202" s="84"/>
      <c r="Q202" s="84"/>
      <c r="R202" s="84"/>
      <c r="S202" s="84"/>
    </row>
    <row r="203" spans="1:19">
      <c r="A203" s="629" t="s">
        <v>1100</v>
      </c>
      <c r="G203" s="629">
        <v>3.6477635711662099E-2</v>
      </c>
      <c r="H203" s="734">
        <v>2.3480402918858198E-3</v>
      </c>
      <c r="I203" s="735">
        <v>3.9192802797902403E-3</v>
      </c>
      <c r="J203" s="735">
        <v>2.3636625297321899E-3</v>
      </c>
      <c r="L203" s="84"/>
      <c r="M203" s="84"/>
      <c r="N203" s="84"/>
      <c r="O203" s="84"/>
      <c r="P203" s="84"/>
      <c r="Q203" s="84"/>
      <c r="R203" s="84"/>
      <c r="S203" s="84"/>
    </row>
    <row r="204" spans="1:19">
      <c r="A204" s="629" t="s">
        <v>1099</v>
      </c>
      <c r="G204" s="629">
        <v>3.3315204797890699E-2</v>
      </c>
      <c r="H204" s="734">
        <v>2.1252934732255199E-3</v>
      </c>
      <c r="I204" s="735">
        <v>3.4726289735646002E-3</v>
      </c>
      <c r="J204" s="735">
        <v>2.1404458894883401E-3</v>
      </c>
      <c r="L204" s="84"/>
      <c r="M204" s="84"/>
      <c r="N204" s="84"/>
      <c r="O204" s="84"/>
      <c r="P204" s="84"/>
      <c r="Q204" s="84"/>
      <c r="R204" s="84"/>
      <c r="S204" s="84"/>
    </row>
    <row r="205" spans="1:19">
      <c r="A205" s="629" t="s">
        <v>1098</v>
      </c>
      <c r="G205" s="629">
        <v>3.02054972255291E-2</v>
      </c>
      <c r="H205" s="734">
        <v>1.8724876861326101E-3</v>
      </c>
      <c r="I205" s="735">
        <v>3.0839597067328101E-3</v>
      </c>
      <c r="J205" s="735">
        <v>1.88356878519684E-3</v>
      </c>
      <c r="L205" s="84"/>
      <c r="M205" s="84"/>
      <c r="N205" s="84"/>
      <c r="O205" s="84"/>
      <c r="P205" s="84"/>
      <c r="Q205" s="84"/>
      <c r="R205" s="84"/>
      <c r="S205" s="84"/>
    </row>
    <row r="206" spans="1:19">
      <c r="A206" s="629" t="s">
        <v>1097</v>
      </c>
      <c r="G206" s="629">
        <v>3.0032268578032699E-2</v>
      </c>
      <c r="H206" s="734">
        <v>1.71583553451652E-3</v>
      </c>
      <c r="I206" s="735">
        <v>2.9086258637743799E-3</v>
      </c>
      <c r="J206" s="735">
        <v>1.72386714462213E-3</v>
      </c>
      <c r="L206" s="84"/>
      <c r="M206" s="84"/>
      <c r="N206" s="84"/>
      <c r="O206" s="84"/>
      <c r="P206" s="84"/>
      <c r="Q206" s="84"/>
      <c r="R206" s="84"/>
      <c r="S206" s="84"/>
    </row>
    <row r="207" spans="1:19">
      <c r="A207" s="629" t="s">
        <v>1096</v>
      </c>
      <c r="G207" s="629">
        <v>2.7129798829126198E-2</v>
      </c>
      <c r="H207" s="734">
        <v>2.0048070741702801E-3</v>
      </c>
      <c r="I207" s="735">
        <v>4.3850636094944096E-3</v>
      </c>
      <c r="J207" s="735">
        <v>2.0186249931202298E-3</v>
      </c>
      <c r="L207" s="84"/>
      <c r="M207" s="84"/>
      <c r="N207" s="84"/>
      <c r="O207" s="84"/>
      <c r="P207" s="84"/>
      <c r="Q207" s="84"/>
      <c r="R207" s="84"/>
      <c r="S207" s="84"/>
    </row>
    <row r="208" spans="1:19">
      <c r="A208" s="629" t="s">
        <v>1095</v>
      </c>
      <c r="G208" s="629">
        <v>2.6175019743824701E-2</v>
      </c>
      <c r="H208" s="734">
        <v>1.77928609365128E-3</v>
      </c>
      <c r="I208" s="735">
        <v>3.8888894656771002E-3</v>
      </c>
      <c r="J208" s="735">
        <v>1.78747654719384E-3</v>
      </c>
      <c r="L208" s="84"/>
      <c r="M208" s="84"/>
      <c r="N208" s="84"/>
      <c r="O208" s="84"/>
      <c r="P208" s="84"/>
      <c r="Q208" s="84"/>
      <c r="R208" s="84"/>
      <c r="S208" s="84"/>
    </row>
    <row r="209" spans="1:19">
      <c r="A209" s="629" t="s">
        <v>1094</v>
      </c>
      <c r="G209" s="629">
        <v>2.3630496710202901E-2</v>
      </c>
      <c r="H209" s="734">
        <v>1.8727734103978E-3</v>
      </c>
      <c r="I209" s="735">
        <v>3.5076364074576902E-3</v>
      </c>
      <c r="J209" s="735">
        <v>1.88368227937838E-3</v>
      </c>
      <c r="L209" s="84"/>
      <c r="M209" s="84"/>
      <c r="N209" s="84"/>
      <c r="O209" s="84"/>
      <c r="P209" s="84"/>
      <c r="Q209" s="84"/>
      <c r="R209" s="84"/>
      <c r="S209" s="84"/>
    </row>
    <row r="210" spans="1:19">
      <c r="A210" s="629" t="s">
        <v>1093</v>
      </c>
      <c r="G210" s="629">
        <v>2.1856424347271499E-2</v>
      </c>
      <c r="H210" s="734">
        <v>2.2247786143055602E-3</v>
      </c>
      <c r="I210" s="735">
        <v>4.5051358411112002E-3</v>
      </c>
      <c r="J210" s="735">
        <v>2.2423252084008802E-3</v>
      </c>
      <c r="L210" s="84"/>
      <c r="M210" s="84"/>
      <c r="N210" s="84"/>
      <c r="O210" s="84"/>
      <c r="P210" s="84"/>
      <c r="Q210" s="84"/>
      <c r="R210" s="84"/>
      <c r="S210" s="84"/>
    </row>
    <row r="211" spans="1:19">
      <c r="A211" s="629" t="s">
        <v>1092</v>
      </c>
      <c r="G211" s="629">
        <v>2.0154502934146699E-2</v>
      </c>
      <c r="H211" s="734">
        <v>2.2670678106827299E-3</v>
      </c>
      <c r="I211" s="735">
        <v>4.4018622497056297E-3</v>
      </c>
      <c r="J211" s="735">
        <v>2.2872246361488298E-3</v>
      </c>
      <c r="L211" s="84"/>
      <c r="M211" s="84"/>
      <c r="N211" s="84"/>
      <c r="O211" s="84"/>
      <c r="P211" s="84"/>
      <c r="Q211" s="84"/>
      <c r="R211" s="84"/>
      <c r="S211" s="84"/>
    </row>
    <row r="212" spans="1:19">
      <c r="A212" s="629" t="s">
        <v>1091</v>
      </c>
      <c r="G212" s="629">
        <v>2.3840170842457001E-2</v>
      </c>
      <c r="H212" s="734">
        <v>2.2506071742479801E-3</v>
      </c>
      <c r="I212" s="735">
        <v>4.00132393328237E-3</v>
      </c>
      <c r="J212" s="735">
        <v>2.2746919443044399E-3</v>
      </c>
      <c r="L212" s="84"/>
      <c r="M212" s="84"/>
      <c r="N212" s="84"/>
      <c r="O212" s="84"/>
      <c r="P212" s="84"/>
      <c r="Q212" s="84"/>
      <c r="R212" s="84"/>
      <c r="S212" s="84"/>
    </row>
    <row r="213" spans="1:19">
      <c r="A213" s="629" t="s">
        <v>1090</v>
      </c>
      <c r="G213" s="629">
        <v>2.1567678660223501E-2</v>
      </c>
      <c r="H213" s="734">
        <v>1.9713526775242498E-3</v>
      </c>
      <c r="I213" s="735">
        <v>3.6395184124144598E-3</v>
      </c>
      <c r="J213" s="735">
        <v>1.9888260662573099E-3</v>
      </c>
      <c r="L213" s="84"/>
      <c r="M213" s="84"/>
      <c r="N213" s="84"/>
      <c r="O213" s="84"/>
      <c r="P213" s="84"/>
      <c r="Q213" s="84"/>
      <c r="R213" s="84"/>
      <c r="S213" s="84"/>
    </row>
    <row r="214" spans="1:19">
      <c r="A214" s="629" t="s">
        <v>1089</v>
      </c>
      <c r="G214" s="629">
        <v>1.9794431954773001E-2</v>
      </c>
      <c r="H214" s="734">
        <v>2.0294877735835201E-3</v>
      </c>
      <c r="I214" s="735">
        <v>3.3029910010665699E-3</v>
      </c>
      <c r="J214" s="735">
        <v>2.0474437926986701E-3</v>
      </c>
      <c r="L214" s="84"/>
      <c r="M214" s="84"/>
      <c r="N214" s="84"/>
      <c r="O214" s="84"/>
      <c r="P214" s="84"/>
      <c r="Q214" s="84"/>
      <c r="R214" s="84"/>
      <c r="S214" s="84"/>
    </row>
    <row r="215" spans="1:19">
      <c r="A215" s="629" t="s">
        <v>1088</v>
      </c>
      <c r="G215" s="629">
        <v>1.8090307831261199E-2</v>
      </c>
      <c r="H215" s="734">
        <v>1.8113560613145601E-3</v>
      </c>
      <c r="I215" s="735">
        <v>3.1636229235683399E-3</v>
      </c>
      <c r="J215" s="735">
        <v>1.8255227247370399E-3</v>
      </c>
      <c r="L215" s="84"/>
      <c r="M215" s="84"/>
      <c r="N215" s="84"/>
      <c r="O215" s="84"/>
      <c r="P215" s="84"/>
      <c r="Q215" s="84"/>
      <c r="R215" s="84"/>
      <c r="S215" s="84"/>
    </row>
    <row r="216" spans="1:19">
      <c r="A216" s="629" t="s">
        <v>1087</v>
      </c>
      <c r="G216" s="629">
        <v>1.8388335404393101E-2</v>
      </c>
      <c r="H216" s="734">
        <v>2.0803776420255499E-3</v>
      </c>
      <c r="I216" s="735">
        <v>2.8128629082863001E-3</v>
      </c>
      <c r="J216" s="735">
        <v>2.0888814049573701E-3</v>
      </c>
      <c r="L216" s="84"/>
      <c r="M216" s="84"/>
      <c r="N216" s="84"/>
      <c r="O216" s="84"/>
      <c r="P216" s="84"/>
      <c r="Q216" s="84"/>
      <c r="R216" s="84"/>
      <c r="S216" s="84"/>
    </row>
    <row r="217" spans="1:19">
      <c r="A217" s="629" t="s">
        <v>1086</v>
      </c>
      <c r="G217" s="629">
        <v>1.6782861102033399E-2</v>
      </c>
      <c r="H217" s="734">
        <v>1.8373757496542001E-3</v>
      </c>
      <c r="I217" s="735">
        <v>2.50726054130424E-3</v>
      </c>
      <c r="J217" s="735">
        <v>1.8432531764698099E-3</v>
      </c>
      <c r="L217" s="84"/>
      <c r="M217" s="84"/>
      <c r="N217" s="84"/>
      <c r="O217" s="84"/>
      <c r="P217" s="84"/>
      <c r="Q217" s="84"/>
      <c r="R217" s="84"/>
      <c r="S217" s="84"/>
    </row>
    <row r="218" spans="1:19">
      <c r="A218" s="629" t="s">
        <v>1085</v>
      </c>
      <c r="G218" s="629">
        <v>1.5845618564759901E-2</v>
      </c>
      <c r="H218" s="734">
        <v>1.67348033052131E-3</v>
      </c>
      <c r="I218" s="735">
        <v>2.3121293122811601E-3</v>
      </c>
      <c r="J218" s="735">
        <v>1.6773677081596201E-3</v>
      </c>
      <c r="L218" s="84"/>
      <c r="M218" s="84"/>
      <c r="N218" s="84"/>
      <c r="O218" s="84"/>
      <c r="P218" s="84"/>
      <c r="Q218" s="84"/>
      <c r="R218" s="84"/>
      <c r="S218" s="84"/>
    </row>
    <row r="219" spans="1:19">
      <c r="A219" s="629" t="s">
        <v>1084</v>
      </c>
      <c r="G219" s="629">
        <v>1.5474619914461901E-2</v>
      </c>
      <c r="H219" s="734">
        <v>1.53530476228922E-3</v>
      </c>
      <c r="I219" s="735">
        <v>2.06968384725406E-3</v>
      </c>
      <c r="J219" s="735">
        <v>1.5341697255007499E-3</v>
      </c>
      <c r="L219" s="84"/>
      <c r="M219" s="84"/>
      <c r="N219" s="84"/>
      <c r="O219" s="84"/>
      <c r="P219" s="84"/>
      <c r="Q219" s="84"/>
      <c r="R219" s="84"/>
      <c r="S219" s="84"/>
    </row>
    <row r="220" spans="1:19">
      <c r="A220" s="629" t="s">
        <v>1083</v>
      </c>
      <c r="G220" s="629">
        <v>1.7314484494478199E-2</v>
      </c>
      <c r="H220" s="734">
        <v>2.0601732809197599E-3</v>
      </c>
      <c r="I220" s="735">
        <v>2.6010587877062399E-3</v>
      </c>
      <c r="J220" s="735">
        <v>2.0580771471618801E-3</v>
      </c>
      <c r="L220" s="84"/>
      <c r="M220" s="84"/>
      <c r="N220" s="84"/>
      <c r="O220" s="84"/>
      <c r="P220" s="84"/>
      <c r="Q220" s="84"/>
      <c r="R220" s="84"/>
      <c r="S220" s="84"/>
    </row>
    <row r="221" spans="1:19">
      <c r="A221" s="629" t="s">
        <v>1082</v>
      </c>
      <c r="G221" s="629">
        <v>1.5750993591484699E-2</v>
      </c>
      <c r="H221" s="734">
        <v>2.1815450100181898E-3</v>
      </c>
      <c r="I221" s="735">
        <v>2.6047487484371699E-3</v>
      </c>
      <c r="J221" s="735">
        <v>2.1890148361228402E-3</v>
      </c>
      <c r="L221" s="84"/>
      <c r="M221" s="84"/>
      <c r="N221" s="84"/>
      <c r="O221" s="84"/>
      <c r="P221" s="84"/>
      <c r="Q221" s="84"/>
      <c r="R221" s="84"/>
      <c r="S221" s="84"/>
    </row>
    <row r="222" spans="1:19">
      <c r="A222" s="629" t="s">
        <v>1081</v>
      </c>
      <c r="G222" s="629">
        <v>1.4423848460085899E-2</v>
      </c>
      <c r="H222" s="734">
        <v>1.9198147422307399E-3</v>
      </c>
      <c r="I222" s="735">
        <v>2.3261413139114102E-3</v>
      </c>
      <c r="J222" s="735">
        <v>1.9251299862344899E-3</v>
      </c>
      <c r="L222" s="84"/>
      <c r="M222" s="84"/>
      <c r="N222" s="84"/>
      <c r="O222" s="84"/>
      <c r="P222" s="84"/>
      <c r="Q222" s="84"/>
      <c r="R222" s="84"/>
      <c r="S222" s="84"/>
    </row>
    <row r="223" spans="1:19">
      <c r="A223" s="629" t="s">
        <v>1080</v>
      </c>
      <c r="G223" s="629">
        <v>1.3314578389531E-2</v>
      </c>
      <c r="H223" s="734">
        <v>1.6975237172860999E-3</v>
      </c>
      <c r="I223" s="735">
        <v>2.0965378191753702E-3</v>
      </c>
      <c r="J223" s="735">
        <v>1.6987009521969301E-3</v>
      </c>
      <c r="L223" s="84"/>
      <c r="M223" s="84"/>
      <c r="N223" s="84"/>
      <c r="O223" s="84"/>
      <c r="P223" s="84"/>
      <c r="Q223" s="84"/>
      <c r="R223" s="84"/>
      <c r="S223" s="84"/>
    </row>
    <row r="224" spans="1:19">
      <c r="A224" s="629" t="s">
        <v>1079</v>
      </c>
      <c r="G224" s="629">
        <v>1.22453075135944E-2</v>
      </c>
      <c r="H224" s="734">
        <v>1.5325108238942199E-3</v>
      </c>
      <c r="I224" s="735">
        <v>1.88360188909799E-3</v>
      </c>
      <c r="J224" s="735">
        <v>1.53135237827972E-3</v>
      </c>
      <c r="L224" s="84"/>
      <c r="M224" s="84"/>
      <c r="N224" s="84"/>
      <c r="O224" s="84"/>
      <c r="P224" s="84"/>
      <c r="Q224" s="84"/>
      <c r="R224" s="84"/>
      <c r="S224" s="84"/>
    </row>
    <row r="225" spans="1:19">
      <c r="A225" s="629" t="s">
        <v>1078</v>
      </c>
      <c r="G225" s="629">
        <v>1.1642462685807899E-2</v>
      </c>
      <c r="H225" s="734">
        <v>1.4139086397159399E-3</v>
      </c>
      <c r="I225" s="735">
        <v>1.71800276578491E-3</v>
      </c>
      <c r="J225" s="735">
        <v>1.4084112737148501E-3</v>
      </c>
      <c r="L225" s="84"/>
      <c r="M225" s="84"/>
      <c r="N225" s="84"/>
      <c r="O225" s="84"/>
      <c r="P225" s="84"/>
      <c r="Q225" s="84"/>
      <c r="R225" s="84"/>
      <c r="S225" s="84"/>
    </row>
    <row r="226" spans="1:19">
      <c r="A226" s="629" t="s">
        <v>1077</v>
      </c>
      <c r="G226" s="629">
        <v>1.2275561849103301E-2</v>
      </c>
      <c r="H226" s="734">
        <v>1.53229208278662E-3</v>
      </c>
      <c r="I226" s="735">
        <v>1.6183578692550301E-3</v>
      </c>
      <c r="J226" s="735">
        <v>1.5312857034030999E-3</v>
      </c>
      <c r="L226" s="84"/>
      <c r="M226" s="84"/>
      <c r="N226" s="84"/>
      <c r="O226" s="84"/>
      <c r="P226" s="84"/>
      <c r="Q226" s="84"/>
      <c r="R226" s="84"/>
      <c r="S226" s="84"/>
    </row>
    <row r="227" spans="1:19">
      <c r="A227" s="629" t="s">
        <v>1076</v>
      </c>
      <c r="G227" s="629">
        <v>1.14201166091372E-2</v>
      </c>
      <c r="H227" s="734">
        <v>1.6730184177882899E-3</v>
      </c>
      <c r="I227" s="735">
        <v>1.7084739738084699E-3</v>
      </c>
      <c r="J227" s="735">
        <v>1.6748536802698301E-3</v>
      </c>
      <c r="L227" s="84"/>
      <c r="M227" s="84"/>
      <c r="N227" s="84"/>
      <c r="O227" s="84"/>
      <c r="P227" s="84"/>
      <c r="Q227" s="84"/>
      <c r="R227" s="84"/>
      <c r="S227" s="84"/>
    </row>
    <row r="228" spans="1:19">
      <c r="A228" s="629" t="s">
        <v>1075</v>
      </c>
      <c r="G228" s="629">
        <v>1.1574377353115801E-2</v>
      </c>
      <c r="H228" s="734">
        <v>1.5848110618208601E-3</v>
      </c>
      <c r="I228" s="735">
        <v>1.5433419760877401E-3</v>
      </c>
      <c r="J228" s="735">
        <v>1.5812857174763799E-3</v>
      </c>
      <c r="L228" s="84"/>
      <c r="M228" s="84"/>
      <c r="N228" s="84"/>
      <c r="O228" s="84"/>
      <c r="P228" s="84"/>
      <c r="Q228" s="84"/>
      <c r="R228" s="84"/>
      <c r="S228" s="84"/>
    </row>
    <row r="229" spans="1:19">
      <c r="A229" s="629" t="s">
        <v>1074</v>
      </c>
      <c r="G229" s="629">
        <v>1.0489923595849601E-2</v>
      </c>
      <c r="H229" s="734">
        <v>1.4304632479367201E-3</v>
      </c>
      <c r="I229" s="735">
        <v>1.50159184733764E-3</v>
      </c>
      <c r="J229" s="735">
        <v>1.42462849809181E-3</v>
      </c>
      <c r="L229" s="84"/>
      <c r="M229" s="84"/>
      <c r="N229" s="84"/>
      <c r="O229" s="84"/>
      <c r="P229" s="84"/>
      <c r="Q229" s="84"/>
      <c r="R229" s="84"/>
      <c r="S229" s="84"/>
    </row>
    <row r="230" spans="1:19">
      <c r="A230" s="629" t="s">
        <v>1073</v>
      </c>
      <c r="G230" s="629">
        <v>9.4857146136591106E-3</v>
      </c>
      <c r="H230" s="734">
        <v>1.3004121053493301E-3</v>
      </c>
      <c r="I230" s="735">
        <v>1.4043046714006999E-3</v>
      </c>
      <c r="J230" s="735">
        <v>1.2909073842525499E-3</v>
      </c>
      <c r="L230" s="84"/>
      <c r="M230" s="84"/>
      <c r="N230" s="84"/>
      <c r="O230" s="84"/>
      <c r="P230" s="84"/>
      <c r="Q230" s="84"/>
      <c r="R230" s="84"/>
      <c r="S230" s="84"/>
    </row>
    <row r="231" spans="1:19">
      <c r="A231" s="629" t="s">
        <v>1072</v>
      </c>
      <c r="G231" s="629">
        <v>8.5849884399594907E-3</v>
      </c>
      <c r="H231" s="734">
        <v>1.1886886858736899E-3</v>
      </c>
      <c r="I231" s="735">
        <v>1.2869718804699301E-3</v>
      </c>
      <c r="J231" s="735">
        <v>1.1758449358619E-3</v>
      </c>
      <c r="L231" s="84"/>
      <c r="M231" s="84"/>
      <c r="N231" s="84"/>
      <c r="O231" s="84"/>
      <c r="P231" s="84"/>
      <c r="Q231" s="84"/>
      <c r="R231" s="84"/>
      <c r="S231" s="84"/>
    </row>
    <row r="232" spans="1:19">
      <c r="A232" s="629" t="s">
        <v>1071</v>
      </c>
      <c r="G232" s="629">
        <v>8.0380657416761307E-3</v>
      </c>
      <c r="H232" s="734">
        <v>1.1026663109706999E-3</v>
      </c>
      <c r="I232" s="735">
        <v>1.2079859973419E-3</v>
      </c>
      <c r="J232" s="735">
        <v>1.08737187087197E-3</v>
      </c>
      <c r="L232" s="84"/>
      <c r="M232" s="84"/>
      <c r="N232" s="84"/>
      <c r="O232" s="84"/>
      <c r="P232" s="84"/>
      <c r="Q232" s="84"/>
      <c r="R232" s="84"/>
      <c r="S232" s="84"/>
    </row>
    <row r="233" spans="1:19">
      <c r="A233" s="629" t="s">
        <v>1070</v>
      </c>
      <c r="G233" s="629">
        <v>7.4991447683733104E-3</v>
      </c>
      <c r="H233" s="734">
        <v>1.1581179138830599E-3</v>
      </c>
      <c r="I233" s="735">
        <v>1.1913348962962001E-3</v>
      </c>
      <c r="J233" s="735">
        <v>1.1431733553346399E-3</v>
      </c>
      <c r="L233" s="84"/>
      <c r="M233" s="84"/>
      <c r="N233" s="84"/>
      <c r="O233" s="84"/>
      <c r="P233" s="84"/>
      <c r="Q233" s="84"/>
      <c r="R233" s="84"/>
      <c r="S233" s="84"/>
    </row>
    <row r="234" spans="1:19">
      <c r="A234" s="629" t="s">
        <v>1069</v>
      </c>
      <c r="G234" s="629">
        <v>1.14938837471079E-2</v>
      </c>
      <c r="H234" s="734">
        <v>1.0833413551374601E-3</v>
      </c>
      <c r="I234" s="735">
        <v>1.31362958654596E-3</v>
      </c>
      <c r="J234" s="735">
        <v>1.0667367482454901E-3</v>
      </c>
      <c r="L234" s="84"/>
      <c r="M234" s="84"/>
      <c r="N234" s="84"/>
      <c r="O234" s="84"/>
      <c r="P234" s="84"/>
      <c r="Q234" s="84"/>
      <c r="R234" s="84"/>
      <c r="S234" s="84"/>
    </row>
    <row r="235" spans="1:19">
      <c r="A235" s="629" t="s">
        <v>1068</v>
      </c>
      <c r="G235" s="629">
        <v>1.03974305684356E-2</v>
      </c>
      <c r="H235" s="734">
        <v>1.5293041801676501E-3</v>
      </c>
      <c r="I235" s="735">
        <v>1.6533055131798099E-3</v>
      </c>
      <c r="J235" s="735">
        <v>1.51673101659055E-3</v>
      </c>
      <c r="L235" s="84"/>
      <c r="M235" s="84"/>
      <c r="N235" s="84"/>
      <c r="O235" s="84"/>
      <c r="P235" s="84"/>
      <c r="Q235" s="84"/>
      <c r="R235" s="84"/>
      <c r="S235" s="84"/>
    </row>
    <row r="236" spans="1:19">
      <c r="A236" s="629" t="s">
        <v>1067</v>
      </c>
      <c r="G236" s="629">
        <v>1.9990369561731901E-2</v>
      </c>
      <c r="H236" s="734">
        <v>1.7114856508956E-3</v>
      </c>
      <c r="I236" s="735">
        <v>1.67280285748739E-3</v>
      </c>
      <c r="J236" s="735">
        <v>1.6969771427308199E-3</v>
      </c>
      <c r="L236" s="84"/>
      <c r="M236" s="84"/>
      <c r="N236" s="84"/>
      <c r="O236" s="84"/>
      <c r="P236" s="84"/>
      <c r="Q236" s="84"/>
      <c r="R236" s="84"/>
      <c r="S236" s="84"/>
    </row>
    <row r="237" spans="1:19">
      <c r="A237" s="629" t="s">
        <v>1066</v>
      </c>
      <c r="G237" s="629">
        <v>1.8202736734447899E-2</v>
      </c>
      <c r="H237" s="734">
        <v>2.4246436451271099E-3</v>
      </c>
      <c r="I237" s="735">
        <v>2.6220244956591801E-3</v>
      </c>
      <c r="J237" s="735">
        <v>2.4277967228194699E-3</v>
      </c>
      <c r="L237" s="84"/>
      <c r="M237" s="84"/>
      <c r="N237" s="84"/>
      <c r="O237" s="84"/>
      <c r="P237" s="84"/>
      <c r="Q237" s="84"/>
      <c r="R237" s="84"/>
      <c r="S237" s="84"/>
    </row>
    <row r="238" spans="1:19">
      <c r="A238" s="629" t="s">
        <v>1065</v>
      </c>
      <c r="G238" s="629">
        <v>1.6700288367607799E-2</v>
      </c>
      <c r="H238" s="734">
        <v>2.1240286523074498E-3</v>
      </c>
      <c r="I238" s="735">
        <v>2.3516243379675E-3</v>
      </c>
      <c r="J238" s="735">
        <v>2.1267755958427402E-3</v>
      </c>
      <c r="L238" s="84"/>
      <c r="M238" s="84"/>
      <c r="N238" s="84"/>
      <c r="O238" s="84"/>
      <c r="P238" s="84"/>
      <c r="Q238" s="84"/>
      <c r="R238" s="84"/>
      <c r="S238" s="84"/>
    </row>
    <row r="239" spans="1:19">
      <c r="A239" s="629" t="s">
        <v>1064</v>
      </c>
      <c r="G239" s="629">
        <v>1.53126094944071E-2</v>
      </c>
      <c r="H239" s="734">
        <v>1.87437887016453E-3</v>
      </c>
      <c r="I239" s="735">
        <v>2.4938426213138801E-3</v>
      </c>
      <c r="J239" s="735">
        <v>1.87348824845777E-3</v>
      </c>
      <c r="L239" s="84"/>
      <c r="M239" s="84"/>
      <c r="N239" s="84"/>
      <c r="O239" s="84"/>
      <c r="P239" s="84"/>
      <c r="Q239" s="84"/>
      <c r="R239" s="84"/>
      <c r="S239" s="84"/>
    </row>
    <row r="240" spans="1:19">
      <c r="A240" s="629" t="s">
        <v>1063</v>
      </c>
      <c r="G240" s="629">
        <v>1.3835056698626299E-2</v>
      </c>
      <c r="H240" s="734">
        <v>1.74358210208978E-3</v>
      </c>
      <c r="I240" s="735">
        <v>2.2412007581227998E-3</v>
      </c>
      <c r="J240" s="735">
        <v>1.73923808540871E-3</v>
      </c>
      <c r="L240" s="84"/>
      <c r="M240" s="84"/>
      <c r="N240" s="84"/>
      <c r="O240" s="84"/>
      <c r="P240" s="84"/>
      <c r="Q240" s="84"/>
      <c r="R240" s="84"/>
      <c r="S240" s="84"/>
    </row>
    <row r="241" spans="1:19">
      <c r="A241" s="629" t="s">
        <v>1062</v>
      </c>
      <c r="G241" s="629">
        <v>1.26115696143054E-2</v>
      </c>
      <c r="H241" s="734">
        <v>1.9727342640625599E-3</v>
      </c>
      <c r="I241" s="735">
        <v>2.0080656379456701E-3</v>
      </c>
      <c r="J241" s="735">
        <v>1.9758428739907801E-3</v>
      </c>
      <c r="L241" s="84"/>
      <c r="M241" s="84"/>
      <c r="N241" s="84"/>
      <c r="O241" s="84"/>
      <c r="P241" s="84"/>
      <c r="Q241" s="84"/>
      <c r="R241" s="84"/>
      <c r="S241" s="84"/>
    </row>
    <row r="242" spans="1:19">
      <c r="A242" s="629" t="s">
        <v>1061</v>
      </c>
      <c r="G242" s="629">
        <v>1.1651070861448801E-2</v>
      </c>
      <c r="H242" s="734">
        <v>1.9078870792619601E-3</v>
      </c>
      <c r="I242" s="735">
        <v>2.3090917590792201E-3</v>
      </c>
      <c r="J242" s="735">
        <v>1.9123660244932501E-3</v>
      </c>
      <c r="L242" s="84"/>
      <c r="M242" s="84"/>
      <c r="N242" s="84"/>
      <c r="O242" s="84"/>
      <c r="P242" s="84"/>
      <c r="Q242" s="84"/>
      <c r="R242" s="84"/>
      <c r="S242" s="84"/>
    </row>
    <row r="243" spans="1:19">
      <c r="A243" s="629" t="s">
        <v>1060</v>
      </c>
      <c r="G243" s="629">
        <v>1.0993347164361299E-2</v>
      </c>
      <c r="H243" s="734">
        <v>1.7639568319788299E-3</v>
      </c>
      <c r="I243" s="735">
        <v>2.43166616642003E-3</v>
      </c>
      <c r="J243" s="735">
        <v>1.76787433919125E-3</v>
      </c>
      <c r="L243" s="84"/>
      <c r="M243" s="84"/>
      <c r="N243" s="84"/>
      <c r="O243" s="84"/>
      <c r="P243" s="84"/>
      <c r="Q243" s="84"/>
      <c r="R243" s="84"/>
      <c r="S243" s="84"/>
    </row>
    <row r="244" spans="1:19">
      <c r="A244" s="629" t="s">
        <v>1059</v>
      </c>
      <c r="G244" s="629">
        <v>1.13541732523344E-2</v>
      </c>
      <c r="H244" s="734">
        <v>1.7045982209494099E-3</v>
      </c>
      <c r="I244" s="735">
        <v>2.35503844529752E-3</v>
      </c>
      <c r="J244" s="735">
        <v>1.7078909502366E-3</v>
      </c>
      <c r="L244" s="84"/>
      <c r="M244" s="84"/>
      <c r="N244" s="84"/>
      <c r="O244" s="84"/>
      <c r="P244" s="84"/>
      <c r="Q244" s="84"/>
      <c r="R244" s="84"/>
      <c r="S244" s="84"/>
    </row>
    <row r="245" spans="1:19">
      <c r="A245" s="629" t="s">
        <v>1058</v>
      </c>
      <c r="G245" s="629">
        <v>1.0679720749198301E-2</v>
      </c>
      <c r="H245" s="734">
        <v>1.52164661199131E-3</v>
      </c>
      <c r="I245" s="735">
        <v>2.1397773593090602E-3</v>
      </c>
      <c r="J245" s="735">
        <v>1.5210495061429899E-3</v>
      </c>
      <c r="L245" s="84"/>
      <c r="M245" s="84"/>
      <c r="N245" s="84"/>
      <c r="O245" s="84"/>
      <c r="P245" s="84"/>
      <c r="Q245" s="84"/>
      <c r="R245" s="84"/>
      <c r="S245" s="84"/>
    </row>
    <row r="246" spans="1:19">
      <c r="A246" s="629" t="s">
        <v>1057</v>
      </c>
      <c r="G246" s="629">
        <v>1.704084707316E-2</v>
      </c>
      <c r="H246" s="734">
        <v>1.92049124132681E-3</v>
      </c>
      <c r="I246" s="735">
        <v>3.3267269023612902E-3</v>
      </c>
      <c r="J246" s="735">
        <v>1.9245369281630999E-3</v>
      </c>
      <c r="L246" s="84"/>
      <c r="M246" s="84"/>
      <c r="N246" s="84"/>
      <c r="O246" s="84"/>
      <c r="P246" s="84"/>
      <c r="Q246" s="84"/>
      <c r="R246" s="84"/>
      <c r="S246" s="84"/>
    </row>
    <row r="247" spans="1:19">
      <c r="A247" s="629" t="s">
        <v>1056</v>
      </c>
      <c r="G247" s="629">
        <v>1.73390141085395E-2</v>
      </c>
      <c r="H247" s="734">
        <v>2.3631816371324299E-3</v>
      </c>
      <c r="I247" s="735">
        <v>3.5002836668453401E-3</v>
      </c>
      <c r="J247" s="735">
        <v>2.37145075231721E-3</v>
      </c>
      <c r="L247" s="84"/>
      <c r="M247" s="84"/>
      <c r="N247" s="84"/>
      <c r="O247" s="84"/>
      <c r="P247" s="84"/>
      <c r="Q247" s="84"/>
      <c r="R247" s="84"/>
      <c r="S247" s="84"/>
    </row>
    <row r="248" spans="1:19">
      <c r="A248" s="629" t="s">
        <v>1055</v>
      </c>
      <c r="G248" s="629">
        <v>1.56415335267986E-2</v>
      </c>
      <c r="H248" s="734">
        <v>2.2600877433773098E-3</v>
      </c>
      <c r="I248" s="735">
        <v>3.4371688926735401E-3</v>
      </c>
      <c r="J248" s="735">
        <v>2.27113993728028E-3</v>
      </c>
      <c r="L248" s="84"/>
      <c r="M248" s="84"/>
      <c r="N248" s="84"/>
      <c r="O248" s="84"/>
      <c r="P248" s="84"/>
      <c r="Q248" s="84"/>
      <c r="R248" s="84"/>
      <c r="S248" s="84"/>
    </row>
    <row r="249" spans="1:19">
      <c r="A249" s="629" t="s">
        <v>1054</v>
      </c>
      <c r="G249" s="629">
        <v>1.4330701928218999E-2</v>
      </c>
      <c r="H249" s="734">
        <v>2.0980815231118402E-3</v>
      </c>
      <c r="I249" s="735">
        <v>3.1248490510138401E-3</v>
      </c>
      <c r="J249" s="735">
        <v>2.1098410119688698E-3</v>
      </c>
      <c r="L249" s="84"/>
      <c r="M249" s="84"/>
      <c r="N249" s="84"/>
      <c r="O249" s="84"/>
      <c r="P249" s="84"/>
      <c r="Q249" s="84"/>
      <c r="R249" s="84"/>
      <c r="S249" s="84"/>
    </row>
    <row r="250" spans="1:19">
      <c r="A250" s="629" t="s">
        <v>1053</v>
      </c>
      <c r="G250" s="629">
        <v>1.51001456164403E-2</v>
      </c>
      <c r="H250" s="734">
        <v>1.8974199613161101E-3</v>
      </c>
      <c r="I250" s="735">
        <v>2.8351993697686099E-3</v>
      </c>
      <c r="J250" s="735">
        <v>1.90749701846E-3</v>
      </c>
      <c r="L250" s="84"/>
      <c r="M250" s="84"/>
      <c r="N250" s="84"/>
      <c r="O250" s="84"/>
      <c r="P250" s="84"/>
      <c r="Q250" s="84"/>
      <c r="R250" s="84"/>
      <c r="S250" s="84"/>
    </row>
    <row r="251" spans="1:19">
      <c r="A251" s="629" t="s">
        <v>1052</v>
      </c>
      <c r="G251" s="629">
        <v>1.5088726386713099E-2</v>
      </c>
      <c r="H251" s="734">
        <v>1.93479558191147E-3</v>
      </c>
      <c r="I251" s="735">
        <v>2.6507206508093102E-3</v>
      </c>
      <c r="J251" s="735">
        <v>1.94222325577082E-3</v>
      </c>
      <c r="L251" s="84"/>
      <c r="M251" s="84"/>
      <c r="N251" s="84"/>
      <c r="O251" s="84"/>
      <c r="P251" s="84"/>
      <c r="Q251" s="84"/>
      <c r="R251" s="84"/>
      <c r="S251" s="84"/>
    </row>
    <row r="252" spans="1:19">
      <c r="A252" s="629" t="s">
        <v>1051</v>
      </c>
      <c r="G252" s="629">
        <v>1.42266794756786E-2</v>
      </c>
      <c r="H252" s="734">
        <v>1.8394541094941799E-3</v>
      </c>
      <c r="I252" s="735">
        <v>2.5897008196376701E-3</v>
      </c>
      <c r="J252" s="735">
        <v>1.8408123082716099E-3</v>
      </c>
      <c r="L252" s="84"/>
      <c r="M252" s="84"/>
      <c r="N252" s="84"/>
      <c r="O252" s="84"/>
      <c r="P252" s="84"/>
      <c r="Q252" s="84"/>
      <c r="R252" s="84"/>
      <c r="S252" s="84"/>
    </row>
    <row r="253" spans="1:19">
      <c r="A253" s="629" t="s">
        <v>1050</v>
      </c>
      <c r="G253" s="629">
        <v>1.3068939195888101E-2</v>
      </c>
      <c r="H253" s="734">
        <v>2.3586401271441801E-3</v>
      </c>
      <c r="I253" s="735">
        <v>2.9755738932459E-3</v>
      </c>
      <c r="J253" s="735">
        <v>2.3624311363244798E-3</v>
      </c>
      <c r="L253" s="84"/>
      <c r="M253" s="84"/>
      <c r="N253" s="84"/>
      <c r="O253" s="84"/>
      <c r="P253" s="84"/>
      <c r="Q253" s="84"/>
      <c r="R253" s="84"/>
      <c r="S253" s="84"/>
    </row>
    <row r="254" spans="1:19">
      <c r="A254" s="629" t="s">
        <v>1049</v>
      </c>
      <c r="G254" s="629">
        <v>1.34494618464628E-2</v>
      </c>
      <c r="H254" s="734">
        <v>3.5990295138702299E-3</v>
      </c>
      <c r="I254" s="735">
        <v>3.9947718419649303E-3</v>
      </c>
      <c r="J254" s="735">
        <v>3.60915435646916E-3</v>
      </c>
      <c r="L254" s="84"/>
      <c r="M254" s="84"/>
      <c r="N254" s="84"/>
      <c r="O254" s="84"/>
      <c r="P254" s="84"/>
      <c r="Q254" s="84"/>
      <c r="R254" s="84"/>
      <c r="S254" s="84"/>
    </row>
    <row r="255" spans="1:19">
      <c r="A255" s="629" t="s">
        <v>1048</v>
      </c>
      <c r="G255" s="629">
        <v>1.22538960754505E-2</v>
      </c>
      <c r="H255" s="734">
        <v>3.1222660441549699E-3</v>
      </c>
      <c r="I255" s="735">
        <v>3.5562112747818098E-3</v>
      </c>
      <c r="J255" s="735">
        <v>3.12887980937429E-3</v>
      </c>
      <c r="L255" s="84"/>
      <c r="M255" s="84"/>
      <c r="N255" s="84"/>
      <c r="O255" s="84"/>
      <c r="P255" s="84"/>
      <c r="Q255" s="84"/>
      <c r="R255" s="84"/>
      <c r="S255" s="84"/>
    </row>
    <row r="256" spans="1:19">
      <c r="A256" s="629" t="s">
        <v>1047</v>
      </c>
      <c r="G256" s="629">
        <v>1.18458162662735E-2</v>
      </c>
      <c r="H256" s="734">
        <v>2.7095913304418001E-3</v>
      </c>
      <c r="I256" s="735">
        <v>3.15424722523386E-3</v>
      </c>
      <c r="J256" s="735">
        <v>2.71364556309743E-3</v>
      </c>
      <c r="L256" s="84"/>
      <c r="M256" s="84"/>
      <c r="N256" s="84"/>
      <c r="O256" s="84"/>
      <c r="P256" s="84"/>
      <c r="Q256" s="84"/>
      <c r="R256" s="84"/>
      <c r="S256" s="84"/>
    </row>
    <row r="257" spans="1:19">
      <c r="A257" s="629" t="s">
        <v>1046</v>
      </c>
      <c r="G257" s="629">
        <v>1.10645885856137E-2</v>
      </c>
      <c r="H257" s="734">
        <v>2.5090449768301001E-3</v>
      </c>
      <c r="I257" s="735">
        <v>3.23718642718434E-3</v>
      </c>
      <c r="J257" s="735">
        <v>2.5198337100669401E-3</v>
      </c>
      <c r="L257" s="84"/>
      <c r="M257" s="84"/>
      <c r="N257" s="84"/>
      <c r="O257" s="84"/>
      <c r="P257" s="84"/>
      <c r="Q257" s="84"/>
      <c r="R257" s="84"/>
      <c r="S257" s="84"/>
    </row>
    <row r="258" spans="1:19">
      <c r="A258" s="629" t="s">
        <v>1045</v>
      </c>
      <c r="G258" s="629">
        <v>1.02127566363288E-2</v>
      </c>
      <c r="H258" s="734">
        <v>2.2133260835017102E-3</v>
      </c>
      <c r="I258" s="735">
        <v>2.8815718465427399E-3</v>
      </c>
      <c r="J258" s="735">
        <v>2.2234824912528502E-3</v>
      </c>
      <c r="L258" s="84"/>
      <c r="M258" s="84"/>
      <c r="N258" s="84"/>
      <c r="O258" s="84"/>
      <c r="P258" s="84"/>
      <c r="Q258" s="84"/>
      <c r="R258" s="84"/>
      <c r="S258" s="84"/>
    </row>
    <row r="259" spans="1:19">
      <c r="A259" s="629" t="s">
        <v>1044</v>
      </c>
      <c r="G259" s="629">
        <v>1.02900341345637E-2</v>
      </c>
      <c r="H259" s="734">
        <v>1.9706814166510801E-3</v>
      </c>
      <c r="I259" s="735">
        <v>2.5916426310886201E-3</v>
      </c>
      <c r="J259" s="735">
        <v>1.9767170697522398E-3</v>
      </c>
      <c r="L259" s="84"/>
      <c r="M259" s="84"/>
      <c r="N259" s="84"/>
      <c r="O259" s="84"/>
      <c r="P259" s="84"/>
      <c r="Q259" s="84"/>
      <c r="R259" s="84"/>
      <c r="S259" s="84"/>
    </row>
    <row r="260" spans="1:19">
      <c r="A260" s="629" t="s">
        <v>1043</v>
      </c>
      <c r="G260" s="629">
        <v>9.71096521712159E-3</v>
      </c>
      <c r="H260" s="734">
        <v>1.8050360822492199E-3</v>
      </c>
      <c r="I260" s="735">
        <v>2.5081078890923899E-3</v>
      </c>
      <c r="J260" s="735">
        <v>1.80633302386777E-3</v>
      </c>
      <c r="L260" s="84"/>
      <c r="M260" s="84"/>
      <c r="N260" s="84"/>
      <c r="O260" s="84"/>
      <c r="P260" s="84"/>
      <c r="Q260" s="84"/>
      <c r="R260" s="84"/>
      <c r="S260" s="84"/>
    </row>
    <row r="261" spans="1:19">
      <c r="A261" s="629" t="s">
        <v>1042</v>
      </c>
      <c r="G261" s="629">
        <v>9.7260919799039194E-3</v>
      </c>
      <c r="H261" s="734">
        <v>1.84875117946686E-3</v>
      </c>
      <c r="I261" s="735">
        <v>2.3958518414274699E-3</v>
      </c>
      <c r="J261" s="735">
        <v>1.84788191625177E-3</v>
      </c>
      <c r="L261" s="84"/>
      <c r="M261" s="84"/>
      <c r="N261" s="84"/>
      <c r="O261" s="84"/>
      <c r="P261" s="84"/>
      <c r="Q261" s="84"/>
      <c r="R261" s="84"/>
      <c r="S261" s="84"/>
    </row>
    <row r="262" spans="1:19">
      <c r="A262" s="629" t="s">
        <v>1041</v>
      </c>
      <c r="G262" s="629">
        <v>8.9133626078932698E-3</v>
      </c>
      <c r="H262" s="734">
        <v>1.64200937291223E-3</v>
      </c>
      <c r="I262" s="735">
        <v>2.2649717161328802E-3</v>
      </c>
      <c r="J262" s="735">
        <v>1.6379219410712E-3</v>
      </c>
      <c r="L262" s="84"/>
      <c r="M262" s="84"/>
      <c r="N262" s="84"/>
      <c r="O262" s="84"/>
      <c r="P262" s="84"/>
      <c r="Q262" s="84"/>
      <c r="R262" s="84"/>
      <c r="S262" s="84"/>
    </row>
    <row r="263" spans="1:19">
      <c r="A263" s="629" t="s">
        <v>1040</v>
      </c>
      <c r="G263" s="629">
        <v>8.0656493452904293E-3</v>
      </c>
      <c r="H263" s="734">
        <v>1.7739934569404E-3</v>
      </c>
      <c r="I263" s="735">
        <v>2.1760847552507899E-3</v>
      </c>
      <c r="J263" s="735">
        <v>1.7749965761201E-3</v>
      </c>
      <c r="L263" s="84"/>
      <c r="M263" s="84"/>
      <c r="N263" s="84"/>
      <c r="O263" s="84"/>
      <c r="P263" s="84"/>
      <c r="Q263" s="84"/>
      <c r="R263" s="84"/>
      <c r="S263" s="84"/>
    </row>
    <row r="264" spans="1:19">
      <c r="A264" s="629" t="s">
        <v>1039</v>
      </c>
      <c r="G264" s="629">
        <v>7.4608009161766103E-3</v>
      </c>
      <c r="H264" s="734">
        <v>1.7002103537382899E-3</v>
      </c>
      <c r="I264" s="735">
        <v>1.97745461262679E-3</v>
      </c>
      <c r="J264" s="735">
        <v>1.7013554387418799E-3</v>
      </c>
      <c r="L264" s="84"/>
      <c r="M264" s="84"/>
      <c r="N264" s="84"/>
      <c r="O264" s="84"/>
      <c r="P264" s="84"/>
      <c r="Q264" s="84"/>
      <c r="R264" s="84"/>
      <c r="S264" s="84"/>
    </row>
    <row r="265" spans="1:19">
      <c r="A265" s="629" t="s">
        <v>1038</v>
      </c>
      <c r="G265" s="629">
        <v>9.1271095810874503E-3</v>
      </c>
      <c r="H265" s="734">
        <v>1.6119457542893901E-3</v>
      </c>
      <c r="I265" s="735">
        <v>1.7833779352682199E-3</v>
      </c>
      <c r="J265" s="735">
        <v>1.60974976148312E-3</v>
      </c>
      <c r="L265" s="84"/>
      <c r="M265" s="84"/>
      <c r="N265" s="84"/>
      <c r="O265" s="84"/>
      <c r="P265" s="84"/>
      <c r="Q265" s="84"/>
      <c r="R265" s="84"/>
      <c r="S265" s="84"/>
    </row>
    <row r="266" spans="1:19">
      <c r="A266" s="629" t="s">
        <v>1037</v>
      </c>
      <c r="G266" s="629">
        <v>8.9254087688726402E-3</v>
      </c>
      <c r="H266" s="734">
        <v>1.4843308206763299E-3</v>
      </c>
      <c r="I266" s="735">
        <v>1.6479781353899801E-3</v>
      </c>
      <c r="J266" s="735">
        <v>1.47850429498271E-3</v>
      </c>
      <c r="L266" s="84"/>
      <c r="M266" s="84"/>
      <c r="N266" s="84"/>
      <c r="O266" s="84"/>
      <c r="P266" s="84"/>
      <c r="Q266" s="84"/>
      <c r="R266" s="84"/>
      <c r="S266" s="84"/>
    </row>
    <row r="267" spans="1:19">
      <c r="A267" s="629" t="s">
        <v>1036</v>
      </c>
      <c r="G267" s="629">
        <v>8.3602149120201603E-3</v>
      </c>
      <c r="H267" s="734">
        <v>1.3776626936955699E-3</v>
      </c>
      <c r="I267" s="735">
        <v>1.5257393089984899E-3</v>
      </c>
      <c r="J267" s="735">
        <v>1.36935327332553E-3</v>
      </c>
      <c r="L267" s="84"/>
      <c r="M267" s="84"/>
      <c r="N267" s="84"/>
      <c r="O267" s="84"/>
      <c r="P267" s="84"/>
      <c r="Q267" s="84"/>
      <c r="R267" s="84"/>
      <c r="S267" s="84"/>
    </row>
    <row r="268" spans="1:19">
      <c r="A268" s="629" t="s">
        <v>1035</v>
      </c>
      <c r="G268" s="629">
        <v>8.1668735430969995E-3</v>
      </c>
      <c r="H268" s="734">
        <v>1.3218878543411099E-3</v>
      </c>
      <c r="I268" s="735">
        <v>2.2006460995212798E-3</v>
      </c>
      <c r="J268" s="735">
        <v>1.31233591178966E-3</v>
      </c>
      <c r="L268" s="84"/>
      <c r="M268" s="84"/>
      <c r="N268" s="84"/>
      <c r="O268" s="84"/>
      <c r="P268" s="84"/>
      <c r="Q268" s="84"/>
      <c r="R268" s="84"/>
      <c r="S268" s="84"/>
    </row>
    <row r="269" spans="1:19">
      <c r="A269" s="629" t="s">
        <v>1034</v>
      </c>
      <c r="G269" s="629">
        <v>7.4540469054475899E-3</v>
      </c>
      <c r="H269" s="734">
        <v>1.2428281483261199E-3</v>
      </c>
      <c r="I269" s="735">
        <v>1.99017371380702E-3</v>
      </c>
      <c r="J269" s="735">
        <v>1.2315109571687799E-3</v>
      </c>
      <c r="L269" s="84"/>
      <c r="M269" s="84"/>
      <c r="N269" s="84"/>
      <c r="O269" s="84"/>
      <c r="P269" s="84"/>
      <c r="Q269" s="84"/>
      <c r="R269" s="84"/>
      <c r="S269" s="84"/>
    </row>
    <row r="270" spans="1:19">
      <c r="A270" s="629" t="s">
        <v>1033</v>
      </c>
      <c r="G270" s="629">
        <v>6.9248457629483397E-3</v>
      </c>
      <c r="H270" s="734">
        <v>1.38881763437583E-3</v>
      </c>
      <c r="I270" s="735">
        <v>1.78867014793621E-3</v>
      </c>
      <c r="J270" s="735">
        <v>1.3773494139160899E-3</v>
      </c>
      <c r="L270" s="84"/>
      <c r="M270" s="84"/>
      <c r="N270" s="84"/>
      <c r="O270" s="84"/>
      <c r="P270" s="84"/>
      <c r="Q270" s="84"/>
      <c r="R270" s="84"/>
      <c r="S270" s="84"/>
    </row>
    <row r="271" spans="1:19">
      <c r="A271" s="629" t="s">
        <v>1032</v>
      </c>
      <c r="G271" s="629">
        <v>6.38299983939791E-3</v>
      </c>
      <c r="H271" s="734">
        <v>1.5232055824526099E-3</v>
      </c>
      <c r="I271" s="735">
        <v>1.8066767529033201E-3</v>
      </c>
      <c r="J271" s="735">
        <v>1.51270997578832E-3</v>
      </c>
      <c r="L271" s="84"/>
      <c r="M271" s="84"/>
      <c r="N271" s="84"/>
      <c r="O271" s="84"/>
      <c r="P271" s="84"/>
      <c r="Q271" s="84"/>
      <c r="R271" s="84"/>
      <c r="S271" s="84"/>
    </row>
    <row r="272" spans="1:19">
      <c r="A272" s="629" t="s">
        <v>1031</v>
      </c>
      <c r="G272" s="629">
        <v>5.8750768224821804E-3</v>
      </c>
      <c r="H272" s="734">
        <v>2.0544235199988401E-3</v>
      </c>
      <c r="I272" s="735">
        <v>1.9710625799091502E-3</v>
      </c>
      <c r="J272" s="735">
        <v>2.05779237608895E-3</v>
      </c>
      <c r="L272" s="84"/>
      <c r="M272" s="84"/>
      <c r="N272" s="84"/>
      <c r="O272" s="84"/>
      <c r="P272" s="84"/>
      <c r="Q272" s="84"/>
      <c r="R272" s="84"/>
      <c r="S272" s="84"/>
    </row>
    <row r="273" spans="1:19">
      <c r="A273" s="629" t="s">
        <v>1030</v>
      </c>
      <c r="G273" s="629">
        <v>5.74670638726975E-3</v>
      </c>
      <c r="H273" s="734">
        <v>1.8633548306073099E-3</v>
      </c>
      <c r="I273" s="735">
        <v>1.7837114317089901E-3</v>
      </c>
      <c r="J273" s="735">
        <v>1.86629562166229E-3</v>
      </c>
      <c r="L273" s="84"/>
      <c r="M273" s="84"/>
      <c r="N273" s="84"/>
      <c r="O273" s="84"/>
      <c r="P273" s="84"/>
      <c r="Q273" s="84"/>
      <c r="R273" s="84"/>
      <c r="S273" s="84"/>
    </row>
    <row r="274" spans="1:19">
      <c r="A274" s="629" t="s">
        <v>1029</v>
      </c>
      <c r="G274" s="629">
        <v>6.2970017530586597E-3</v>
      </c>
      <c r="H274" s="734">
        <v>2.4925771151334702E-3</v>
      </c>
      <c r="I274" s="735">
        <v>1.91216364404669E-3</v>
      </c>
      <c r="J274" s="735">
        <v>2.5050913849266601E-3</v>
      </c>
      <c r="L274" s="84"/>
      <c r="M274" s="84"/>
      <c r="N274" s="84"/>
      <c r="O274" s="84"/>
      <c r="P274" s="84"/>
      <c r="Q274" s="84"/>
      <c r="R274" s="84"/>
      <c r="S274" s="84"/>
    </row>
    <row r="275" spans="1:19">
      <c r="A275" s="629" t="s">
        <v>1028</v>
      </c>
      <c r="G275" s="629">
        <v>5.7561970218141098E-3</v>
      </c>
      <c r="H275" s="734">
        <v>2.1688224914643301E-3</v>
      </c>
      <c r="I275" s="735">
        <v>1.74743407799739E-3</v>
      </c>
      <c r="J275" s="735">
        <v>2.1773259808987502E-3</v>
      </c>
      <c r="L275" s="84"/>
      <c r="M275" s="84"/>
      <c r="N275" s="84"/>
      <c r="O275" s="84"/>
      <c r="P275" s="84"/>
      <c r="Q275" s="84"/>
      <c r="R275" s="84"/>
      <c r="S275" s="84"/>
    </row>
    <row r="276" spans="1:19">
      <c r="A276" s="629" t="s">
        <v>1027</v>
      </c>
      <c r="G276" s="629">
        <v>5.3069756502505602E-3</v>
      </c>
      <c r="H276" s="734">
        <v>2.3599827805981699E-3</v>
      </c>
      <c r="I276" s="735">
        <v>1.83979759451556E-3</v>
      </c>
      <c r="J276" s="735">
        <v>2.3669775523655701E-3</v>
      </c>
      <c r="L276" s="84"/>
      <c r="M276" s="84"/>
      <c r="N276" s="84"/>
      <c r="O276" s="84"/>
      <c r="P276" s="84"/>
      <c r="Q276" s="84"/>
      <c r="R276" s="84"/>
      <c r="S276" s="84"/>
    </row>
    <row r="277" spans="1:19">
      <c r="A277" s="629" t="s">
        <v>1026</v>
      </c>
      <c r="G277" s="629">
        <v>4.9049101284744396E-3</v>
      </c>
      <c r="H277" s="734">
        <v>2.0628673111109802E-3</v>
      </c>
      <c r="I277" s="735">
        <v>1.6576566517308899E-3</v>
      </c>
      <c r="J277" s="735">
        <v>2.06796014193534E-3</v>
      </c>
      <c r="L277" s="84"/>
      <c r="M277" s="84"/>
      <c r="N277" s="84"/>
      <c r="O277" s="84"/>
      <c r="P277" s="84"/>
      <c r="Q277" s="84"/>
      <c r="R277" s="84"/>
      <c r="S277" s="84"/>
    </row>
    <row r="278" spans="1:19">
      <c r="A278" s="629" t="s">
        <v>1025</v>
      </c>
      <c r="G278" s="629">
        <v>4.4678837595680697E-3</v>
      </c>
      <c r="H278" s="734">
        <v>1.9816997175894002E-3</v>
      </c>
      <c r="I278" s="735">
        <v>1.5144386342762499E-3</v>
      </c>
      <c r="J278" s="735">
        <v>1.9828485992220298E-3</v>
      </c>
      <c r="L278" s="84"/>
      <c r="M278" s="84"/>
      <c r="N278" s="84"/>
      <c r="O278" s="84"/>
      <c r="P278" s="84"/>
      <c r="Q278" s="84"/>
      <c r="R278" s="84"/>
      <c r="S278" s="84"/>
    </row>
    <row r="279" spans="1:19">
      <c r="A279" s="629" t="s">
        <v>1024</v>
      </c>
      <c r="G279" s="629">
        <v>4.20752132510938E-3</v>
      </c>
      <c r="H279" s="734">
        <v>2.2648974070126299E-3</v>
      </c>
      <c r="I279" s="735">
        <v>1.5090118921334799E-3</v>
      </c>
      <c r="J279" s="735">
        <v>2.2728668359862799E-3</v>
      </c>
      <c r="L279" s="84"/>
      <c r="M279" s="84"/>
      <c r="N279" s="84"/>
      <c r="O279" s="84"/>
      <c r="P279" s="84"/>
      <c r="Q279" s="84"/>
      <c r="R279" s="84"/>
      <c r="S279" s="84"/>
    </row>
    <row r="280" spans="1:19">
      <c r="A280" s="629" t="s">
        <v>1023</v>
      </c>
      <c r="G280" s="629">
        <v>6.0307948481035899E-3</v>
      </c>
      <c r="H280" s="734">
        <v>3.4218861827254301E-3</v>
      </c>
      <c r="I280" s="735">
        <v>2.3633434552022101E-3</v>
      </c>
      <c r="J280" s="735">
        <v>3.4329143589164599E-3</v>
      </c>
      <c r="L280" s="84"/>
      <c r="M280" s="84"/>
      <c r="N280" s="84"/>
      <c r="O280" s="84"/>
      <c r="P280" s="84"/>
      <c r="Q280" s="84"/>
      <c r="R280" s="84"/>
      <c r="S280" s="84"/>
    </row>
    <row r="281" spans="1:19">
      <c r="A281" s="629" t="s">
        <v>1022</v>
      </c>
      <c r="G281" s="629">
        <v>5.5254798728490498E-3</v>
      </c>
      <c r="H281" s="734">
        <v>2.9937076578254E-3</v>
      </c>
      <c r="I281" s="735">
        <v>2.1412029619293101E-3</v>
      </c>
      <c r="J281" s="735">
        <v>3.0098957407188099E-3</v>
      </c>
      <c r="L281" s="84"/>
      <c r="M281" s="84"/>
      <c r="N281" s="84"/>
      <c r="O281" s="84"/>
      <c r="P281" s="84"/>
      <c r="Q281" s="84"/>
      <c r="R281" s="84"/>
      <c r="S281" s="84"/>
    </row>
    <row r="282" spans="1:19">
      <c r="A282" s="629" t="s">
        <v>1021</v>
      </c>
      <c r="G282" s="629">
        <v>6.3402798589772503E-3</v>
      </c>
      <c r="H282" s="734">
        <v>2.5850306836292798E-3</v>
      </c>
      <c r="I282" s="735">
        <v>2.1346049546889299E-3</v>
      </c>
      <c r="J282" s="735">
        <v>2.5974812184545899E-3</v>
      </c>
      <c r="L282" s="84"/>
      <c r="M282" s="84"/>
      <c r="N282" s="84"/>
      <c r="O282" s="84"/>
      <c r="P282" s="84"/>
      <c r="Q282" s="84"/>
      <c r="R282" s="84"/>
      <c r="S282" s="84"/>
    </row>
    <row r="283" spans="1:19">
      <c r="A283" s="629" t="s">
        <v>1020</v>
      </c>
      <c r="G283" s="629">
        <v>5.7756593213335204E-3</v>
      </c>
      <c r="H283" s="734">
        <v>2.4441324577063502E-3</v>
      </c>
      <c r="I283" s="735">
        <v>1.9173253876944101E-3</v>
      </c>
      <c r="J283" s="735">
        <v>2.4523739748068601E-3</v>
      </c>
      <c r="L283" s="84"/>
      <c r="M283" s="84"/>
      <c r="N283" s="84"/>
      <c r="O283" s="84"/>
      <c r="P283" s="84"/>
      <c r="Q283" s="84"/>
      <c r="R283" s="84"/>
      <c r="S283" s="84"/>
    </row>
    <row r="284" spans="1:19">
      <c r="A284" s="629" t="s">
        <v>1019</v>
      </c>
      <c r="G284" s="629">
        <v>8.1623735735842102E-3</v>
      </c>
      <c r="H284" s="734">
        <v>2.1980430747140399E-3</v>
      </c>
      <c r="I284" s="735">
        <v>1.8283732946820599E-3</v>
      </c>
      <c r="J284" s="735">
        <v>2.2071382328041401E-3</v>
      </c>
      <c r="L284" s="84"/>
      <c r="M284" s="84"/>
      <c r="N284" s="84"/>
      <c r="O284" s="84"/>
      <c r="P284" s="84"/>
      <c r="Q284" s="84"/>
      <c r="R284" s="84"/>
      <c r="S284" s="84"/>
    </row>
    <row r="285" spans="1:19">
      <c r="A285" s="629" t="s">
        <v>1018</v>
      </c>
      <c r="G285" s="629">
        <v>7.5971967834168701E-3</v>
      </c>
      <c r="H285" s="734">
        <v>2.0155752098284701E-3</v>
      </c>
      <c r="I285" s="735">
        <v>1.6474104343379701E-3</v>
      </c>
      <c r="J285" s="735">
        <v>2.0204711220758601E-3</v>
      </c>
      <c r="L285" s="84"/>
      <c r="M285" s="84"/>
      <c r="N285" s="84"/>
      <c r="O285" s="84"/>
      <c r="P285" s="84"/>
      <c r="Q285" s="84"/>
      <c r="R285" s="84"/>
      <c r="S285" s="84"/>
    </row>
    <row r="286" spans="1:19">
      <c r="A286" s="629" t="s">
        <v>1017</v>
      </c>
      <c r="G286" s="629">
        <v>6.8937553645362299E-3</v>
      </c>
      <c r="H286" s="734">
        <v>1.9251000955743699E-3</v>
      </c>
      <c r="I286" s="735">
        <v>1.48986059773026E-3</v>
      </c>
      <c r="J286" s="735">
        <v>1.9249647449824101E-3</v>
      </c>
      <c r="L286" s="84"/>
      <c r="M286" s="84"/>
      <c r="N286" s="84"/>
      <c r="O286" s="84"/>
      <c r="P286" s="84"/>
      <c r="Q286" s="84"/>
      <c r="R286" s="84"/>
      <c r="S286" s="84"/>
    </row>
    <row r="287" spans="1:19">
      <c r="A287" s="629" t="s">
        <v>1016</v>
      </c>
      <c r="G287" s="629">
        <v>6.3942032325924004E-3</v>
      </c>
      <c r="H287" s="734">
        <v>1.70544237184861E-3</v>
      </c>
      <c r="I287" s="735">
        <v>1.38752589949471E-3</v>
      </c>
      <c r="J287" s="735">
        <v>1.70203324655358E-3</v>
      </c>
      <c r="L287" s="84"/>
      <c r="M287" s="84"/>
      <c r="N287" s="84"/>
      <c r="O287" s="84"/>
      <c r="P287" s="84"/>
      <c r="Q287" s="84"/>
      <c r="R287" s="84"/>
      <c r="S287" s="84"/>
    </row>
    <row r="288" spans="1:19">
      <c r="A288" s="629" t="s">
        <v>1015</v>
      </c>
      <c r="G288" s="629">
        <v>5.8982475593182E-3</v>
      </c>
      <c r="H288" s="734">
        <v>1.95964636495262E-3</v>
      </c>
      <c r="I288" s="735">
        <v>1.5580575494311699E-3</v>
      </c>
      <c r="J288" s="735">
        <v>1.95972316345174E-3</v>
      </c>
      <c r="L288" s="84"/>
      <c r="M288" s="84"/>
      <c r="N288" s="84"/>
      <c r="O288" s="84"/>
      <c r="P288" s="84"/>
      <c r="Q288" s="84"/>
      <c r="R288" s="84"/>
      <c r="S288" s="84"/>
    </row>
    <row r="289" spans="1:19">
      <c r="A289" s="629" t="s">
        <v>1014</v>
      </c>
      <c r="G289" s="629">
        <v>5.79765725461157E-3</v>
      </c>
      <c r="H289" s="734">
        <v>1.75402236219739E-3</v>
      </c>
      <c r="I289" s="735">
        <v>1.50752354786785E-3</v>
      </c>
      <c r="J289" s="735">
        <v>1.7529524074178101E-3</v>
      </c>
      <c r="L289" s="84"/>
      <c r="M289" s="84"/>
      <c r="N289" s="84"/>
      <c r="O289" s="84"/>
      <c r="P289" s="84"/>
      <c r="Q289" s="84"/>
      <c r="R289" s="84"/>
      <c r="S289" s="84"/>
    </row>
    <row r="290" spans="1:19">
      <c r="A290" s="629" t="s">
        <v>1013</v>
      </c>
      <c r="G290" s="629">
        <v>5.2688537427699996E-3</v>
      </c>
      <c r="H290" s="734">
        <v>1.6077396086959599E-3</v>
      </c>
      <c r="I290" s="735">
        <v>1.48218157298385E-3</v>
      </c>
      <c r="J290" s="735">
        <v>1.604611968564E-3</v>
      </c>
      <c r="L290" s="84"/>
      <c r="M290" s="84"/>
      <c r="N290" s="84"/>
      <c r="O290" s="84"/>
      <c r="P290" s="84"/>
      <c r="Q290" s="84"/>
      <c r="R290" s="84"/>
      <c r="S290" s="84"/>
    </row>
    <row r="291" spans="1:19">
      <c r="A291" s="629" t="s">
        <v>1012</v>
      </c>
      <c r="G291" s="629">
        <v>5.1753416285554498E-3</v>
      </c>
      <c r="H291" s="734">
        <v>1.53637410153059E-3</v>
      </c>
      <c r="I291" s="735">
        <v>1.3502071029479999E-3</v>
      </c>
      <c r="J291" s="735">
        <v>1.53232270418554E-3</v>
      </c>
      <c r="L291" s="84"/>
      <c r="M291" s="84"/>
      <c r="N291" s="84"/>
      <c r="O291" s="84"/>
      <c r="P291" s="84"/>
      <c r="Q291" s="84"/>
      <c r="R291" s="84"/>
      <c r="S291" s="84"/>
    </row>
    <row r="292" spans="1:19">
      <c r="A292" s="629" t="s">
        <v>1011</v>
      </c>
      <c r="G292" s="629">
        <v>4.7603815208779503E-3</v>
      </c>
      <c r="H292" s="734">
        <v>1.3967418843137799E-3</v>
      </c>
      <c r="I292" s="735">
        <v>1.2447109429804799E-3</v>
      </c>
      <c r="J292" s="735">
        <v>1.38967009144689E-3</v>
      </c>
      <c r="L292" s="84"/>
      <c r="M292" s="84"/>
      <c r="N292" s="84"/>
      <c r="O292" s="84"/>
      <c r="P292" s="84"/>
      <c r="Q292" s="84"/>
      <c r="R292" s="84"/>
      <c r="S292" s="84"/>
    </row>
    <row r="293" spans="1:19">
      <c r="A293" s="629" t="s">
        <v>1010</v>
      </c>
      <c r="G293" s="629">
        <v>4.3377690521730601E-3</v>
      </c>
      <c r="H293" s="734">
        <v>1.50296453668264E-3</v>
      </c>
      <c r="I293" s="735">
        <v>1.27321672818369E-3</v>
      </c>
      <c r="J293" s="735">
        <v>1.49595385354158E-3</v>
      </c>
      <c r="L293" s="84"/>
      <c r="M293" s="84"/>
      <c r="N293" s="84"/>
      <c r="O293" s="84"/>
      <c r="P293" s="84"/>
      <c r="Q293" s="84"/>
      <c r="R293" s="84"/>
      <c r="S293" s="84"/>
    </row>
    <row r="294" spans="1:19">
      <c r="A294" s="629" t="s">
        <v>1009</v>
      </c>
      <c r="G294" s="629">
        <v>4.7138553011569599E-3</v>
      </c>
      <c r="H294" s="734">
        <v>1.3762977358903799E-3</v>
      </c>
      <c r="I294" s="735">
        <v>1.2671431205359799E-3</v>
      </c>
      <c r="J294" s="735">
        <v>1.3672337031847199E-3</v>
      </c>
      <c r="L294" s="84"/>
      <c r="M294" s="84"/>
      <c r="N294" s="84"/>
      <c r="O294" s="84"/>
      <c r="P294" s="84"/>
      <c r="Q294" s="84"/>
      <c r="R294" s="84"/>
      <c r="S294" s="84"/>
    </row>
    <row r="295" spans="1:19">
      <c r="A295" s="629" t="s">
        <v>1008</v>
      </c>
      <c r="G295" s="629">
        <v>4.35174307630142E-3</v>
      </c>
      <c r="H295" s="734">
        <v>1.2750375740936599E-3</v>
      </c>
      <c r="I295" s="735">
        <v>1.1616342427185999E-3</v>
      </c>
      <c r="J295" s="735">
        <v>1.26306937135306E-3</v>
      </c>
      <c r="L295" s="84"/>
      <c r="M295" s="84"/>
      <c r="N295" s="84"/>
      <c r="O295" s="84"/>
      <c r="P295" s="84"/>
      <c r="Q295" s="84"/>
      <c r="R295" s="84"/>
      <c r="S295" s="84"/>
    </row>
    <row r="296" spans="1:19">
      <c r="A296" s="629" t="s">
        <v>1007</v>
      </c>
      <c r="G296" s="629">
        <v>4.1117326329656702E-3</v>
      </c>
      <c r="H296" s="734">
        <v>1.1661853118620101E-3</v>
      </c>
      <c r="I296" s="735">
        <v>1.06807706448329E-3</v>
      </c>
      <c r="J296" s="735">
        <v>1.1515058040385601E-3</v>
      </c>
      <c r="L296" s="84"/>
      <c r="M296" s="84"/>
      <c r="N296" s="84"/>
      <c r="O296" s="84"/>
      <c r="P296" s="84"/>
      <c r="Q296" s="84"/>
      <c r="R296" s="84"/>
      <c r="S296" s="84"/>
    </row>
    <row r="297" spans="1:19">
      <c r="A297" s="629" t="s">
        <v>1006</v>
      </c>
      <c r="G297" s="629">
        <v>3.758355729723E-3</v>
      </c>
      <c r="H297" s="734">
        <v>1.32258699608622E-3</v>
      </c>
      <c r="I297" s="735">
        <v>1.00731342755253E-3</v>
      </c>
      <c r="J297" s="735">
        <v>1.30686911906897E-3</v>
      </c>
      <c r="L297" s="84"/>
      <c r="M297" s="84"/>
      <c r="N297" s="84"/>
      <c r="O297" s="84"/>
      <c r="P297" s="84"/>
      <c r="Q297" s="84"/>
      <c r="R297" s="84"/>
      <c r="S297" s="84"/>
    </row>
    <row r="298" spans="1:19">
      <c r="A298" s="629" t="s">
        <v>1005</v>
      </c>
      <c r="G298" s="629">
        <v>3.5251331278875202E-3</v>
      </c>
      <c r="H298" s="734">
        <v>1.4686271838964999E-3</v>
      </c>
      <c r="I298" s="735">
        <v>9.5683007632609604E-4</v>
      </c>
      <c r="J298" s="735">
        <v>1.456736567079E-3</v>
      </c>
      <c r="L298" s="84"/>
      <c r="M298" s="84"/>
      <c r="N298" s="84"/>
      <c r="O298" s="84"/>
      <c r="P298" s="84"/>
      <c r="Q298" s="84"/>
      <c r="R298" s="84"/>
      <c r="S298" s="84"/>
    </row>
    <row r="299" spans="1:19">
      <c r="A299" s="629" t="s">
        <v>1004</v>
      </c>
      <c r="G299" s="629">
        <v>4.2079648716604598E-3</v>
      </c>
      <c r="H299" s="734">
        <v>1.81062709558028E-3</v>
      </c>
      <c r="I299" s="735">
        <v>1.59109090342852E-3</v>
      </c>
      <c r="J299" s="735">
        <v>1.80255619253728E-3</v>
      </c>
      <c r="L299" s="84"/>
      <c r="M299" s="84"/>
      <c r="N299" s="84"/>
      <c r="O299" s="84"/>
      <c r="P299" s="84"/>
      <c r="Q299" s="84"/>
      <c r="R299" s="84"/>
      <c r="S299" s="84"/>
    </row>
    <row r="300" spans="1:19">
      <c r="A300" s="629" t="s">
        <v>1003</v>
      </c>
      <c r="G300" s="629">
        <v>4.0275854464976698E-3</v>
      </c>
      <c r="H300" s="734">
        <v>1.60873555721494E-3</v>
      </c>
      <c r="I300" s="735">
        <v>1.69186881609662E-3</v>
      </c>
      <c r="J300" s="735">
        <v>1.5991248171684199E-3</v>
      </c>
      <c r="L300" s="84"/>
      <c r="M300" s="84"/>
      <c r="N300" s="84"/>
      <c r="O300" s="84"/>
      <c r="P300" s="84"/>
      <c r="Q300" s="84"/>
      <c r="R300" s="84"/>
      <c r="S300" s="84"/>
    </row>
    <row r="301" spans="1:19">
      <c r="A301" s="629" t="s">
        <v>1002</v>
      </c>
      <c r="G301" s="629">
        <v>3.7921391216452498E-3</v>
      </c>
      <c r="H301" s="734">
        <v>1.6243104492930001E-3</v>
      </c>
      <c r="I301" s="735">
        <v>1.54028442228843E-3</v>
      </c>
      <c r="J301" s="735">
        <v>1.61678749471589E-3</v>
      </c>
      <c r="L301" s="84"/>
      <c r="M301" s="84"/>
      <c r="N301" s="84"/>
      <c r="O301" s="84"/>
      <c r="P301" s="84"/>
      <c r="Q301" s="84"/>
      <c r="R301" s="84"/>
      <c r="S301" s="84"/>
    </row>
    <row r="302" spans="1:19">
      <c r="A302" s="629" t="s">
        <v>1001</v>
      </c>
      <c r="G302" s="629">
        <v>3.6270294648245902E-3</v>
      </c>
      <c r="H302" s="734">
        <v>1.8128756222705201E-3</v>
      </c>
      <c r="I302" s="735">
        <v>1.5444496767918099E-3</v>
      </c>
      <c r="J302" s="735">
        <v>1.8083686494866601E-3</v>
      </c>
      <c r="L302" s="84"/>
      <c r="M302" s="84"/>
      <c r="N302" s="84"/>
      <c r="O302" s="84"/>
      <c r="P302" s="84"/>
      <c r="Q302" s="84"/>
      <c r="R302" s="84"/>
      <c r="S302" s="84"/>
    </row>
    <row r="303" spans="1:19">
      <c r="A303" s="629" t="s">
        <v>1000</v>
      </c>
      <c r="G303" s="629">
        <v>3.3231028059886101E-3</v>
      </c>
      <c r="H303" s="734">
        <v>1.60832609671899E-3</v>
      </c>
      <c r="I303" s="735">
        <v>1.4057268458793899E-3</v>
      </c>
      <c r="J303" s="735">
        <v>1.6015266115307E-3</v>
      </c>
      <c r="L303" s="84"/>
      <c r="M303" s="84"/>
      <c r="N303" s="84"/>
      <c r="O303" s="84"/>
      <c r="P303" s="84"/>
      <c r="Q303" s="84"/>
      <c r="R303" s="84"/>
      <c r="S303" s="84"/>
    </row>
    <row r="304" spans="1:19">
      <c r="A304" s="629" t="s">
        <v>999</v>
      </c>
      <c r="G304" s="629">
        <v>3.7763450629529102E-3</v>
      </c>
      <c r="H304" s="734">
        <v>1.4533076796889399E-3</v>
      </c>
      <c r="I304" s="735">
        <v>1.33150478471538E-3</v>
      </c>
      <c r="J304" s="735">
        <v>1.4443745698611401E-3</v>
      </c>
      <c r="L304" s="84"/>
      <c r="M304" s="84"/>
      <c r="N304" s="84"/>
      <c r="O304" s="84"/>
      <c r="P304" s="84"/>
      <c r="Q304" s="84"/>
      <c r="R304" s="84"/>
      <c r="S304" s="84"/>
    </row>
    <row r="305" spans="1:19">
      <c r="A305" s="629" t="s">
        <v>998</v>
      </c>
      <c r="G305" s="629">
        <v>3.5171593577146601E-3</v>
      </c>
      <c r="H305" s="734">
        <v>1.5771987931363001E-3</v>
      </c>
      <c r="I305" s="735">
        <v>1.2913785212213E-3</v>
      </c>
      <c r="J305" s="735">
        <v>1.56998912027548E-3</v>
      </c>
      <c r="L305" s="84"/>
      <c r="M305" s="84"/>
      <c r="N305" s="84"/>
      <c r="O305" s="84"/>
      <c r="P305" s="84"/>
      <c r="Q305" s="84"/>
      <c r="R305" s="84"/>
      <c r="S305" s="84"/>
    </row>
    <row r="306" spans="1:19">
      <c r="A306" s="629" t="s">
        <v>997</v>
      </c>
      <c r="G306" s="629">
        <v>3.3057916127871502E-3</v>
      </c>
      <c r="H306" s="734">
        <v>1.83617586101576E-3</v>
      </c>
      <c r="I306" s="735">
        <v>1.3468220566696899E-3</v>
      </c>
      <c r="J306" s="735">
        <v>1.83681147714063E-3</v>
      </c>
      <c r="L306" s="84"/>
      <c r="M306" s="84"/>
      <c r="N306" s="84"/>
      <c r="O306" s="84"/>
      <c r="P306" s="84"/>
      <c r="Q306" s="84"/>
      <c r="R306" s="84"/>
      <c r="S306" s="84"/>
    </row>
    <row r="307" spans="1:19">
      <c r="A307" s="629" t="s">
        <v>996</v>
      </c>
      <c r="G307" s="629">
        <v>3.04598296769882E-3</v>
      </c>
      <c r="H307" s="734">
        <v>1.63616986926812E-3</v>
      </c>
      <c r="I307" s="735">
        <v>1.2814234419266401E-3</v>
      </c>
      <c r="J307" s="735">
        <v>1.6338535672175501E-3</v>
      </c>
      <c r="L307" s="84"/>
      <c r="M307" s="84"/>
      <c r="N307" s="84"/>
      <c r="O307" s="84"/>
      <c r="P307" s="84"/>
      <c r="Q307" s="84"/>
      <c r="R307" s="84"/>
      <c r="S307" s="84"/>
    </row>
    <row r="308" spans="1:19">
      <c r="A308" s="629" t="s">
        <v>995</v>
      </c>
      <c r="G308" s="629">
        <v>2.8570992146938301E-3</v>
      </c>
      <c r="H308" s="734">
        <v>1.5288512824619201E-3</v>
      </c>
      <c r="I308" s="735">
        <v>1.2216431180303499E-3</v>
      </c>
      <c r="J308" s="735">
        <v>1.52322975356559E-3</v>
      </c>
      <c r="L308" s="84"/>
      <c r="M308" s="84"/>
      <c r="N308" s="84"/>
      <c r="O308" s="84"/>
      <c r="P308" s="84"/>
      <c r="Q308" s="84"/>
      <c r="R308" s="84"/>
      <c r="S308" s="84"/>
    </row>
    <row r="309" spans="1:19">
      <c r="A309" s="629" t="s">
        <v>994</v>
      </c>
      <c r="G309" s="629">
        <v>2.6749696844963E-3</v>
      </c>
      <c r="H309" s="734">
        <v>1.62958343669845E-3</v>
      </c>
      <c r="I309" s="735">
        <v>1.1200397488897601E-3</v>
      </c>
      <c r="J309" s="735">
        <v>1.6257254724774499E-3</v>
      </c>
      <c r="L309" s="84"/>
      <c r="M309" s="84"/>
      <c r="N309" s="84"/>
      <c r="O309" s="84"/>
      <c r="P309" s="84"/>
      <c r="Q309" s="84"/>
      <c r="R309" s="84"/>
      <c r="S309" s="84"/>
    </row>
    <row r="310" spans="1:19">
      <c r="A310" s="629" t="s">
        <v>993</v>
      </c>
      <c r="G310" s="629">
        <v>2.48161175160359E-3</v>
      </c>
      <c r="H310" s="734">
        <v>1.6358867799680201E-3</v>
      </c>
      <c r="I310" s="735">
        <v>1.0303542422866101E-3</v>
      </c>
      <c r="J310" s="735">
        <v>1.6288637625618101E-3</v>
      </c>
      <c r="L310" s="84"/>
      <c r="M310" s="84"/>
      <c r="N310" s="84"/>
      <c r="O310" s="84"/>
      <c r="P310" s="84"/>
      <c r="Q310" s="84"/>
      <c r="R310" s="84"/>
      <c r="S310" s="84"/>
    </row>
    <row r="311" spans="1:19">
      <c r="A311" s="629" t="s">
        <v>992</v>
      </c>
      <c r="G311" s="629">
        <v>2.3517049717686899E-3</v>
      </c>
      <c r="H311" s="734">
        <v>1.57846302910092E-3</v>
      </c>
      <c r="I311" s="735">
        <v>9.5889951508185004E-4</v>
      </c>
      <c r="J311" s="735">
        <v>1.56954845204193E-3</v>
      </c>
      <c r="L311" s="84"/>
      <c r="M311" s="84"/>
      <c r="N311" s="84"/>
      <c r="O311" s="84"/>
      <c r="P311" s="84"/>
      <c r="Q311" s="84"/>
      <c r="R311" s="84"/>
      <c r="S311" s="84"/>
    </row>
    <row r="312" spans="1:19">
      <c r="A312" s="629" t="s">
        <v>991</v>
      </c>
      <c r="G312" s="629">
        <v>2.1924788866054101E-3</v>
      </c>
      <c r="H312" s="734">
        <v>1.94909317096894E-3</v>
      </c>
      <c r="I312" s="735">
        <v>1.05904181852733E-3</v>
      </c>
      <c r="J312" s="735">
        <v>1.95164410897355E-3</v>
      </c>
      <c r="L312" s="84"/>
      <c r="M312" s="84"/>
      <c r="N312" s="84"/>
      <c r="O312" s="84"/>
      <c r="P312" s="84"/>
      <c r="Q312" s="84"/>
      <c r="R312" s="84"/>
      <c r="S312" s="84"/>
    </row>
    <row r="313" spans="1:19">
      <c r="A313" s="629" t="s">
        <v>990</v>
      </c>
      <c r="G313" s="629">
        <v>2.12334414584457E-3</v>
      </c>
      <c r="H313" s="734">
        <v>1.92571453828704E-3</v>
      </c>
      <c r="I313" s="735">
        <v>9.8946194198562109E-4</v>
      </c>
      <c r="J313" s="735">
        <v>1.9314009842950901E-3</v>
      </c>
      <c r="L313" s="84"/>
      <c r="M313" s="84"/>
      <c r="N313" s="84"/>
      <c r="O313" s="84"/>
      <c r="P313" s="84"/>
      <c r="Q313" s="84"/>
      <c r="R313" s="84"/>
      <c r="S313" s="84"/>
    </row>
    <row r="314" spans="1:19">
      <c r="A314" s="629" t="s">
        <v>989</v>
      </c>
      <c r="G314" s="629">
        <v>2.3578297890851098E-3</v>
      </c>
      <c r="H314" s="734">
        <v>1.7061188275486101E-3</v>
      </c>
      <c r="I314" s="735">
        <v>9.1809971632011002E-4</v>
      </c>
      <c r="J314" s="735">
        <v>1.7076923280578799E-3</v>
      </c>
      <c r="L314" s="84"/>
      <c r="M314" s="84"/>
      <c r="N314" s="84"/>
      <c r="O314" s="84"/>
      <c r="P314" s="84"/>
      <c r="Q314" s="84"/>
      <c r="R314" s="84"/>
      <c r="S314" s="84"/>
    </row>
    <row r="315" spans="1:19">
      <c r="A315" s="629" t="s">
        <v>988</v>
      </c>
      <c r="G315" s="629">
        <v>2.19387668985071E-3</v>
      </c>
      <c r="H315" s="734">
        <v>1.56165593764406E-3</v>
      </c>
      <c r="I315" s="735">
        <v>8.5386057755665399E-4</v>
      </c>
      <c r="J315" s="735">
        <v>1.5578019590978499E-3</v>
      </c>
      <c r="L315" s="84"/>
      <c r="M315" s="84"/>
      <c r="N315" s="84"/>
      <c r="O315" s="84"/>
      <c r="P315" s="84"/>
      <c r="Q315" s="84"/>
      <c r="R315" s="84"/>
      <c r="S315" s="84"/>
    </row>
    <row r="316" spans="1:19">
      <c r="A316" s="629" t="s">
        <v>987</v>
      </c>
      <c r="G316" s="629">
        <v>2.1060505258351501E-3</v>
      </c>
      <c r="H316" s="734">
        <v>1.40242802949877E-3</v>
      </c>
      <c r="I316" s="735">
        <v>8.0460013775246302E-4</v>
      </c>
      <c r="J316" s="735">
        <v>1.3953885099409499E-3</v>
      </c>
      <c r="L316" s="84"/>
      <c r="M316" s="84"/>
      <c r="N316" s="84"/>
      <c r="O316" s="84"/>
      <c r="P316" s="84"/>
      <c r="Q316" s="84"/>
      <c r="R316" s="84"/>
      <c r="S316" s="84"/>
    </row>
    <row r="317" spans="1:19">
      <c r="A317" s="629" t="s">
        <v>986</v>
      </c>
      <c r="G317" s="629">
        <v>2.4569040791463299E-3</v>
      </c>
      <c r="H317" s="734">
        <v>1.4388124999572E-3</v>
      </c>
      <c r="I317" s="735">
        <v>8.5970503982190803E-4</v>
      </c>
      <c r="J317" s="735">
        <v>1.4324323076964701E-3</v>
      </c>
      <c r="L317" s="84"/>
      <c r="M317" s="84"/>
      <c r="N317" s="84"/>
      <c r="O317" s="84"/>
      <c r="P317" s="84"/>
      <c r="Q317" s="84"/>
      <c r="R317" s="84"/>
      <c r="S317" s="84"/>
    </row>
    <row r="318" spans="1:19">
      <c r="A318" s="629" t="s">
        <v>985</v>
      </c>
      <c r="G318" s="629">
        <v>2.2720808038611501E-3</v>
      </c>
      <c r="H318" s="734">
        <v>1.31745760812072E-3</v>
      </c>
      <c r="I318" s="735">
        <v>8.7806772483409905E-4</v>
      </c>
      <c r="J318" s="735">
        <v>1.30898495874287E-3</v>
      </c>
      <c r="L318" s="84"/>
      <c r="M318" s="84"/>
      <c r="N318" s="84"/>
      <c r="O318" s="84"/>
      <c r="P318" s="84"/>
      <c r="Q318" s="84"/>
      <c r="R318" s="84"/>
      <c r="S318" s="84"/>
    </row>
    <row r="319" spans="1:19">
      <c r="A319" s="629" t="s">
        <v>984</v>
      </c>
      <c r="G319" s="629">
        <v>2.2089402690712201E-3</v>
      </c>
      <c r="H319" s="734">
        <v>1.35469494637992E-3</v>
      </c>
      <c r="I319" s="735">
        <v>8.1919584372845103E-4</v>
      </c>
      <c r="J319" s="735">
        <v>1.3440955255056199E-3</v>
      </c>
      <c r="L319" s="84"/>
      <c r="M319" s="84"/>
      <c r="N319" s="84"/>
      <c r="O319" s="84"/>
      <c r="P319" s="84"/>
      <c r="Q319" s="84"/>
      <c r="R319" s="84"/>
      <c r="S319" s="84"/>
    </row>
    <row r="320" spans="1:19">
      <c r="A320" s="629" t="s">
        <v>983</v>
      </c>
      <c r="G320" s="629">
        <v>2.0579953306374501E-3</v>
      </c>
      <c r="H320" s="734">
        <v>1.48228190944801E-3</v>
      </c>
      <c r="I320" s="735">
        <v>7.8751971546011095E-4</v>
      </c>
      <c r="J320" s="735">
        <v>1.4757620809832399E-3</v>
      </c>
      <c r="L320" s="84"/>
      <c r="M320" s="84"/>
      <c r="N320" s="84"/>
      <c r="O320" s="84"/>
      <c r="P320" s="84"/>
      <c r="Q320" s="84"/>
      <c r="R320" s="84"/>
      <c r="S320" s="84"/>
    </row>
    <row r="321" spans="1:19">
      <c r="A321" s="629" t="s">
        <v>982</v>
      </c>
      <c r="G321" s="629">
        <v>2.0216307164456502E-3</v>
      </c>
      <c r="H321" s="734">
        <v>1.62382432407224E-3</v>
      </c>
      <c r="I321" s="735">
        <v>7.7988808423440597E-4</v>
      </c>
      <c r="J321" s="735">
        <v>1.6148806644996701E-3</v>
      </c>
      <c r="L321" s="84"/>
      <c r="M321" s="84"/>
      <c r="N321" s="84"/>
      <c r="O321" s="84"/>
      <c r="P321" s="84"/>
      <c r="Q321" s="84"/>
      <c r="R321" s="84"/>
      <c r="S321" s="84"/>
    </row>
    <row r="322" spans="1:19">
      <c r="A322" s="629" t="s">
        <v>981</v>
      </c>
      <c r="G322" s="629">
        <v>2.6205625774635699E-3</v>
      </c>
      <c r="H322" s="734">
        <v>1.5499511706165701E-3</v>
      </c>
      <c r="I322" s="735">
        <v>7.5784362829767898E-4</v>
      </c>
      <c r="J322" s="735">
        <v>1.54089015772039E-3</v>
      </c>
      <c r="L322" s="84"/>
      <c r="M322" s="84"/>
      <c r="N322" s="84"/>
      <c r="O322" s="84"/>
      <c r="P322" s="84"/>
      <c r="Q322" s="84"/>
      <c r="R322" s="84"/>
      <c r="S322" s="84"/>
    </row>
    <row r="323" spans="1:19">
      <c r="A323" s="629" t="s">
        <v>980</v>
      </c>
      <c r="G323" s="629">
        <v>2.62592964818362E-3</v>
      </c>
      <c r="H323" s="734">
        <v>1.6225545844699501E-3</v>
      </c>
      <c r="I323" s="735">
        <v>7.1411829339905898E-4</v>
      </c>
      <c r="J323" s="735">
        <v>1.6171564782388201E-3</v>
      </c>
      <c r="L323" s="84"/>
      <c r="M323" s="84"/>
      <c r="N323" s="84"/>
      <c r="O323" s="84"/>
      <c r="P323" s="84"/>
      <c r="Q323" s="84"/>
      <c r="R323" s="84"/>
      <c r="S323" s="84"/>
    </row>
    <row r="324" spans="1:19">
      <c r="A324" s="629" t="s">
        <v>979</v>
      </c>
      <c r="G324" s="629">
        <v>2.4818531577768602E-3</v>
      </c>
      <c r="H324" s="734">
        <v>1.4716507767333601E-3</v>
      </c>
      <c r="I324" s="735">
        <v>7.0634412969635297E-4</v>
      </c>
      <c r="J324" s="735">
        <v>1.46458499556076E-3</v>
      </c>
      <c r="L324" s="84"/>
      <c r="M324" s="84"/>
      <c r="N324" s="84"/>
      <c r="O324" s="84"/>
      <c r="P324" s="84"/>
      <c r="Q324" s="84"/>
      <c r="R324" s="84"/>
      <c r="S324" s="84"/>
    </row>
    <row r="325" spans="1:19">
      <c r="A325" s="629" t="s">
        <v>978</v>
      </c>
      <c r="G325" s="629">
        <v>2.3020161949929602E-3</v>
      </c>
      <c r="H325" s="734">
        <v>1.35205106567512E-3</v>
      </c>
      <c r="I325" s="735">
        <v>6.9847213055012399E-4</v>
      </c>
      <c r="J325" s="735">
        <v>1.34183042569717E-3</v>
      </c>
      <c r="L325" s="84"/>
      <c r="M325" s="84"/>
      <c r="N325" s="84"/>
      <c r="O325" s="84"/>
      <c r="P325" s="84"/>
      <c r="Q325" s="84"/>
      <c r="R325" s="84"/>
      <c r="S325" s="84"/>
    </row>
    <row r="326" spans="1:19">
      <c r="A326" s="629" t="s">
        <v>977</v>
      </c>
      <c r="G326" s="629">
        <v>2.1401411247083798E-3</v>
      </c>
      <c r="H326" s="734">
        <v>1.3046935556210999E-3</v>
      </c>
      <c r="I326" s="735">
        <v>6.6278118450064304E-4</v>
      </c>
      <c r="J326" s="735">
        <v>1.2908398042618301E-3</v>
      </c>
      <c r="L326" s="84"/>
      <c r="M326" s="84"/>
      <c r="N326" s="84"/>
      <c r="O326" s="84"/>
      <c r="P326" s="84"/>
      <c r="Q326" s="84"/>
      <c r="R326" s="84"/>
      <c r="S326" s="84"/>
    </row>
    <row r="327" spans="1:19">
      <c r="A327" s="629" t="s">
        <v>976</v>
      </c>
      <c r="G327" s="629">
        <v>1.9951226086042302E-3</v>
      </c>
      <c r="H327" s="734">
        <v>1.1927480768850001E-3</v>
      </c>
      <c r="I327" s="735">
        <v>6.35485372327978E-4</v>
      </c>
      <c r="J327" s="735">
        <v>1.17632255141323E-3</v>
      </c>
      <c r="L327" s="84"/>
      <c r="M327" s="84"/>
      <c r="N327" s="84"/>
      <c r="O327" s="84"/>
      <c r="P327" s="84"/>
      <c r="Q327" s="84"/>
      <c r="R327" s="84"/>
      <c r="S327" s="84"/>
    </row>
    <row r="328" spans="1:19">
      <c r="A328" s="629" t="s">
        <v>975</v>
      </c>
      <c r="G328" s="629">
        <v>1.8570458084864901E-3</v>
      </c>
      <c r="H328" s="734">
        <v>1.44233320263261E-3</v>
      </c>
      <c r="I328" s="735">
        <v>7.6785883725563999E-4</v>
      </c>
      <c r="J328" s="735">
        <v>1.4288037848343E-3</v>
      </c>
      <c r="L328" s="84"/>
      <c r="M328" s="84"/>
      <c r="N328" s="84"/>
      <c r="O328" s="84"/>
      <c r="P328" s="84"/>
      <c r="Q328" s="84"/>
      <c r="R328" s="84"/>
      <c r="S328" s="84"/>
    </row>
    <row r="329" spans="1:19">
      <c r="A329" s="629" t="s">
        <v>974</v>
      </c>
      <c r="G329" s="629">
        <v>2.3440382390752601E-3</v>
      </c>
      <c r="H329" s="734">
        <v>1.4318992295007701E-3</v>
      </c>
      <c r="I329" s="735">
        <v>7.5547976822586799E-4</v>
      </c>
      <c r="J329" s="735">
        <v>1.4216643189492899E-3</v>
      </c>
      <c r="L329" s="84"/>
      <c r="M329" s="84"/>
      <c r="N329" s="84"/>
      <c r="O329" s="84"/>
      <c r="P329" s="84"/>
      <c r="Q329" s="84"/>
      <c r="R329" s="84"/>
      <c r="S329" s="84"/>
    </row>
    <row r="330" spans="1:19">
      <c r="A330" s="629" t="s">
        <v>973</v>
      </c>
      <c r="G330" s="629">
        <v>2.1758183806879299E-3</v>
      </c>
      <c r="H330" s="734">
        <v>1.31238326730374E-3</v>
      </c>
      <c r="I330" s="735">
        <v>7.16401083155694E-4</v>
      </c>
      <c r="J330" s="735">
        <v>1.2989606173610499E-3</v>
      </c>
      <c r="L330" s="84"/>
      <c r="M330" s="84"/>
      <c r="N330" s="84"/>
      <c r="O330" s="84"/>
      <c r="P330" s="84"/>
      <c r="Q330" s="84"/>
      <c r="R330" s="84"/>
      <c r="S330" s="84"/>
    </row>
    <row r="331" spans="1:19">
      <c r="A331" s="629" t="s">
        <v>972</v>
      </c>
      <c r="G331" s="629">
        <v>2.4706248111617101E-3</v>
      </c>
      <c r="H331" s="734">
        <v>1.2331496759247101E-3</v>
      </c>
      <c r="I331" s="735">
        <v>6.8980936998568304E-4</v>
      </c>
      <c r="J331" s="735">
        <v>1.2178212056473E-3</v>
      </c>
      <c r="L331" s="84"/>
      <c r="M331" s="84"/>
      <c r="N331" s="84"/>
      <c r="O331" s="84"/>
      <c r="P331" s="84"/>
      <c r="Q331" s="84"/>
      <c r="R331" s="84"/>
      <c r="S331" s="84"/>
    </row>
    <row r="332" spans="1:19">
      <c r="A332" s="629" t="s">
        <v>971</v>
      </c>
      <c r="G332" s="629">
        <v>2.3322868161609598E-3</v>
      </c>
      <c r="H332" s="734">
        <v>1.2300965491119399E-3</v>
      </c>
      <c r="I332" s="735">
        <v>6.6181967402028795E-4</v>
      </c>
      <c r="J332" s="735">
        <v>1.2113191652207301E-3</v>
      </c>
      <c r="L332" s="84"/>
      <c r="M332" s="84"/>
      <c r="N332" s="84"/>
      <c r="O332" s="84"/>
      <c r="P332" s="84"/>
      <c r="Q332" s="84"/>
      <c r="R332" s="84"/>
      <c r="S332" s="84"/>
    </row>
    <row r="333" spans="1:19">
      <c r="A333" s="629" t="s">
        <v>970</v>
      </c>
      <c r="G333" s="629">
        <v>2.3563443245369999E-3</v>
      </c>
      <c r="H333" s="734">
        <v>1.2454791528005099E-3</v>
      </c>
      <c r="I333" s="735">
        <v>6.8765714185192001E-4</v>
      </c>
      <c r="J333" s="735">
        <v>1.2253053100960999E-3</v>
      </c>
      <c r="L333" s="84"/>
      <c r="M333" s="84"/>
      <c r="N333" s="84"/>
      <c r="O333" s="84"/>
      <c r="P333" s="84"/>
      <c r="Q333" s="84"/>
      <c r="R333" s="84"/>
      <c r="S333" s="84"/>
    </row>
    <row r="334" spans="1:19">
      <c r="A334" s="629" t="s">
        <v>969</v>
      </c>
      <c r="G334" s="629">
        <v>2.1818183865381698E-3</v>
      </c>
      <c r="H334" s="734">
        <v>1.1419675250268499E-3</v>
      </c>
      <c r="I334" s="735">
        <v>6.5310162550192901E-4</v>
      </c>
      <c r="J334" s="735">
        <v>1.1204317344978699E-3</v>
      </c>
      <c r="L334" s="84"/>
      <c r="M334" s="84"/>
      <c r="N334" s="84"/>
      <c r="O334" s="84"/>
      <c r="P334" s="84"/>
      <c r="Q334" s="84"/>
      <c r="R334" s="84"/>
      <c r="S334" s="84"/>
    </row>
    <row r="335" spans="1:19">
      <c r="A335" s="629" t="s">
        <v>968</v>
      </c>
      <c r="G335" s="629">
        <v>2.0575535199163198E-3</v>
      </c>
      <c r="H335" s="734">
        <v>1.10676663839164E-3</v>
      </c>
      <c r="I335" s="735">
        <v>7.2861704008592295E-4</v>
      </c>
      <c r="J335" s="735">
        <v>1.08300041223747E-3</v>
      </c>
      <c r="L335" s="84"/>
      <c r="M335" s="84"/>
      <c r="N335" s="84"/>
      <c r="O335" s="84"/>
      <c r="P335" s="84"/>
      <c r="Q335" s="84"/>
      <c r="R335" s="84"/>
      <c r="S335" s="84"/>
    </row>
    <row r="336" spans="1:19">
      <c r="A336" s="629" t="s">
        <v>967</v>
      </c>
      <c r="G336" s="629">
        <v>1.9215604232976401E-3</v>
      </c>
      <c r="H336" s="734">
        <v>1.08750241438526E-3</v>
      </c>
      <c r="I336" s="735">
        <v>7.8754262340436699E-4</v>
      </c>
      <c r="J336" s="735">
        <v>1.0642333330243899E-3</v>
      </c>
      <c r="L336" s="84"/>
      <c r="M336" s="84"/>
      <c r="N336" s="84"/>
      <c r="O336" s="84"/>
      <c r="P336" s="84"/>
      <c r="Q336" s="84"/>
      <c r="R336" s="84"/>
      <c r="S336" s="84"/>
    </row>
    <row r="337" spans="1:19">
      <c r="A337" s="629" t="s">
        <v>966</v>
      </c>
      <c r="G337" s="629">
        <v>1.8230753802211399E-3</v>
      </c>
      <c r="H337" s="734">
        <v>1.4201336278741E-3</v>
      </c>
      <c r="I337" s="735">
        <v>7.4062051679446301E-4</v>
      </c>
      <c r="J337" s="735">
        <v>1.39835053889229E-3</v>
      </c>
      <c r="L337" s="84"/>
      <c r="M337" s="84"/>
      <c r="N337" s="84"/>
      <c r="O337" s="84"/>
      <c r="P337" s="84"/>
      <c r="Q337" s="84"/>
      <c r="R337" s="84"/>
      <c r="S337" s="84"/>
    </row>
    <row r="338" spans="1:19">
      <c r="A338" s="629" t="s">
        <v>965</v>
      </c>
      <c r="G338" s="629">
        <v>1.7612775629628199E-3</v>
      </c>
      <c r="H338" s="734">
        <v>1.28674351290682E-3</v>
      </c>
      <c r="I338" s="735">
        <v>7.0545300446176904E-4</v>
      </c>
      <c r="J338" s="735">
        <v>1.26416874593712E-3</v>
      </c>
      <c r="L338" s="84"/>
      <c r="M338" s="84"/>
      <c r="N338" s="84"/>
      <c r="O338" s="84"/>
      <c r="P338" s="84"/>
      <c r="Q338" s="84"/>
      <c r="R338" s="84"/>
      <c r="S338" s="84"/>
    </row>
    <row r="339" spans="1:19">
      <c r="A339" s="629" t="s">
        <v>964</v>
      </c>
      <c r="G339" s="629">
        <v>2.5470980285373498E-3</v>
      </c>
      <c r="H339" s="734">
        <v>1.4731654130492799E-3</v>
      </c>
      <c r="I339" s="735">
        <v>8.1652102363173802E-4</v>
      </c>
      <c r="J339" s="735">
        <v>1.4549720948274E-3</v>
      </c>
      <c r="L339" s="84"/>
      <c r="M339" s="84"/>
      <c r="N339" s="84"/>
      <c r="O339" s="84"/>
      <c r="P339" s="84"/>
      <c r="Q339" s="84"/>
      <c r="R339" s="84"/>
      <c r="S339" s="84"/>
    </row>
    <row r="340" spans="1:19">
      <c r="A340" s="629" t="s">
        <v>963</v>
      </c>
      <c r="G340" s="629">
        <v>2.3948847141145898E-3</v>
      </c>
      <c r="H340" s="734">
        <v>1.3524818323900701E-3</v>
      </c>
      <c r="I340" s="735">
        <v>8.2367902939416398E-4</v>
      </c>
      <c r="J340" s="735">
        <v>1.3346207405617199E-3</v>
      </c>
      <c r="L340" s="84"/>
      <c r="M340" s="84"/>
      <c r="N340" s="84"/>
      <c r="O340" s="84"/>
      <c r="P340" s="84"/>
      <c r="Q340" s="84"/>
      <c r="R340" s="84"/>
      <c r="S340" s="84"/>
    </row>
    <row r="341" spans="1:19">
      <c r="A341" s="629" t="s">
        <v>962</v>
      </c>
      <c r="G341" s="629">
        <v>2.2669390077967402E-3</v>
      </c>
      <c r="H341" s="734">
        <v>1.2298369501485E-3</v>
      </c>
      <c r="I341" s="735">
        <v>7.7198205542778004E-4</v>
      </c>
      <c r="J341" s="735">
        <v>1.2104179744401001E-3</v>
      </c>
      <c r="L341" s="84"/>
      <c r="M341" s="84"/>
      <c r="N341" s="84"/>
      <c r="O341" s="84"/>
      <c r="P341" s="84"/>
      <c r="Q341" s="84"/>
      <c r="R341" s="84"/>
      <c r="S341" s="84"/>
    </row>
    <row r="342" spans="1:19">
      <c r="A342" s="629" t="s">
        <v>961</v>
      </c>
      <c r="G342" s="629">
        <v>2.1408503392147502E-3</v>
      </c>
      <c r="H342" s="734">
        <v>1.42360410926219E-3</v>
      </c>
      <c r="I342" s="735">
        <v>8.1529141380172498E-4</v>
      </c>
      <c r="J342" s="735">
        <v>1.4085472245685901E-3</v>
      </c>
      <c r="L342" s="84"/>
      <c r="M342" s="84"/>
      <c r="N342" s="84"/>
      <c r="O342" s="84"/>
      <c r="P342" s="84"/>
      <c r="Q342" s="84"/>
      <c r="R342" s="84"/>
      <c r="S342" s="84"/>
    </row>
    <row r="343" spans="1:19">
      <c r="A343" s="629" t="s">
        <v>960</v>
      </c>
      <c r="G343" s="629">
        <v>2.17978791274058E-3</v>
      </c>
      <c r="H343" s="734">
        <v>1.2907216028597999E-3</v>
      </c>
      <c r="I343" s="735">
        <v>7.7057683321451803E-4</v>
      </c>
      <c r="J343" s="735">
        <v>1.2741882352366801E-3</v>
      </c>
      <c r="L343" s="84"/>
      <c r="M343" s="84"/>
      <c r="N343" s="84"/>
      <c r="O343" s="84"/>
      <c r="P343" s="84"/>
      <c r="Q343" s="84"/>
      <c r="R343" s="84"/>
      <c r="S343" s="84"/>
    </row>
    <row r="344" spans="1:19">
      <c r="A344" s="629" t="s">
        <v>959</v>
      </c>
      <c r="G344" s="629">
        <v>2.0644148401031698E-3</v>
      </c>
      <c r="H344" s="734">
        <v>1.26735304716752E-3</v>
      </c>
      <c r="I344" s="735">
        <v>7.8296950240636098E-4</v>
      </c>
      <c r="J344" s="735">
        <v>1.2538285905771399E-3</v>
      </c>
      <c r="L344" s="84"/>
      <c r="M344" s="84"/>
      <c r="N344" s="84"/>
      <c r="O344" s="84"/>
      <c r="P344" s="84"/>
      <c r="Q344" s="84"/>
      <c r="R344" s="84"/>
      <c r="S344" s="84"/>
    </row>
    <row r="345" spans="1:19">
      <c r="A345" s="629" t="s">
        <v>958</v>
      </c>
      <c r="G345" s="629">
        <v>1.9193733229949501E-3</v>
      </c>
      <c r="H345" s="734">
        <v>1.4299646891021501E-3</v>
      </c>
      <c r="I345" s="735">
        <v>7.4327160081986E-4</v>
      </c>
      <c r="J345" s="735">
        <v>1.42038989966895E-3</v>
      </c>
      <c r="L345" s="84"/>
      <c r="M345" s="84"/>
      <c r="N345" s="84"/>
      <c r="O345" s="84"/>
      <c r="P345" s="84"/>
      <c r="Q345" s="84"/>
      <c r="R345" s="84"/>
      <c r="S345" s="84"/>
    </row>
    <row r="346" spans="1:19">
      <c r="A346" s="629" t="s">
        <v>957</v>
      </c>
      <c r="G346" s="629">
        <v>2.5424491171154502E-3</v>
      </c>
      <c r="H346" s="734">
        <v>1.45693000628518E-3</v>
      </c>
      <c r="I346" s="735">
        <v>7.5313171566547305E-4</v>
      </c>
      <c r="J346" s="735">
        <v>1.4473604508811501E-3</v>
      </c>
      <c r="L346" s="84"/>
      <c r="M346" s="84"/>
      <c r="N346" s="84"/>
      <c r="O346" s="84"/>
      <c r="P346" s="84"/>
      <c r="Q346" s="84"/>
      <c r="R346" s="84"/>
      <c r="S346" s="84"/>
    </row>
    <row r="347" spans="1:19">
      <c r="A347" s="629" t="s">
        <v>956</v>
      </c>
      <c r="G347" s="629">
        <v>2.3639183970282701E-3</v>
      </c>
      <c r="H347" s="734">
        <v>1.31737172978138E-3</v>
      </c>
      <c r="I347" s="735">
        <v>7.1353399574363005E-4</v>
      </c>
      <c r="J347" s="735">
        <v>1.3046844976530099E-3</v>
      </c>
      <c r="L347" s="84"/>
      <c r="M347" s="84"/>
      <c r="N347" s="84"/>
      <c r="O347" s="84"/>
      <c r="P347" s="84"/>
      <c r="Q347" s="84"/>
      <c r="R347" s="84"/>
      <c r="S347" s="84"/>
    </row>
    <row r="348" spans="1:19">
      <c r="A348" s="629" t="s">
        <v>955</v>
      </c>
      <c r="G348" s="629">
        <v>2.1884513131303E-3</v>
      </c>
      <c r="H348" s="734">
        <v>1.56261577685453E-3</v>
      </c>
      <c r="I348" s="735">
        <v>9.0097606286168098E-4</v>
      </c>
      <c r="J348" s="735">
        <v>1.5552861670994199E-3</v>
      </c>
      <c r="L348" s="84"/>
      <c r="M348" s="84"/>
      <c r="N348" s="84"/>
      <c r="O348" s="84"/>
      <c r="P348" s="84"/>
      <c r="Q348" s="84"/>
      <c r="R348" s="84"/>
      <c r="S348" s="84"/>
    </row>
    <row r="349" spans="1:19">
      <c r="A349" s="629" t="s">
        <v>954</v>
      </c>
      <c r="G349" s="629">
        <v>2.1047176540087099E-3</v>
      </c>
      <c r="H349" s="734">
        <v>1.5583935436740901E-3</v>
      </c>
      <c r="I349" s="735">
        <v>8.7016112023313404E-4</v>
      </c>
      <c r="J349" s="735">
        <v>1.54678199788903E-3</v>
      </c>
      <c r="L349" s="84"/>
      <c r="M349" s="84"/>
      <c r="N349" s="84"/>
      <c r="O349" s="84"/>
      <c r="P349" s="84"/>
      <c r="Q349" s="84"/>
      <c r="R349" s="84"/>
      <c r="S349" s="84"/>
    </row>
    <row r="350" spans="1:19">
      <c r="A350" s="629" t="s">
        <v>953</v>
      </c>
      <c r="G350" s="629">
        <v>1.9690060959387098E-3</v>
      </c>
      <c r="H350" s="734">
        <v>2.19515830225592E-3</v>
      </c>
      <c r="I350" s="735">
        <v>8.3263920251133001E-4</v>
      </c>
      <c r="J350" s="735">
        <v>2.1983337363098801E-3</v>
      </c>
      <c r="L350" s="84"/>
      <c r="M350" s="84"/>
      <c r="N350" s="84"/>
      <c r="O350" s="84"/>
      <c r="P350" s="84"/>
      <c r="Q350" s="84"/>
      <c r="R350" s="84"/>
      <c r="S350" s="84"/>
    </row>
    <row r="351" spans="1:19">
      <c r="A351" s="629" t="s">
        <v>952</v>
      </c>
      <c r="G351" s="629">
        <v>1.9565571220416002E-3</v>
      </c>
      <c r="H351" s="734">
        <v>2.00704158058758E-3</v>
      </c>
      <c r="I351" s="735">
        <v>9.5707998769877195E-4</v>
      </c>
      <c r="J351" s="735">
        <v>2.0060907573923202E-3</v>
      </c>
      <c r="L351" s="84"/>
      <c r="M351" s="84"/>
      <c r="N351" s="84"/>
      <c r="O351" s="84"/>
      <c r="P351" s="84"/>
      <c r="Q351" s="84"/>
      <c r="R351" s="84"/>
      <c r="S351" s="84"/>
    </row>
    <row r="352" spans="1:19">
      <c r="A352" s="629" t="s">
        <v>951</v>
      </c>
      <c r="G352" s="629">
        <v>2.69242425787212E-3</v>
      </c>
      <c r="H352" s="734">
        <v>2.6543959397004801E-3</v>
      </c>
      <c r="I352" s="735">
        <v>1.1836500804108701E-3</v>
      </c>
      <c r="J352" s="735">
        <v>2.6741936100155199E-3</v>
      </c>
      <c r="L352" s="84"/>
      <c r="M352" s="84"/>
      <c r="N352" s="84"/>
      <c r="O352" s="84"/>
      <c r="P352" s="84"/>
      <c r="Q352" s="84"/>
      <c r="R352" s="84"/>
      <c r="S352" s="84"/>
    </row>
    <row r="353" spans="1:19">
      <c r="A353" s="629" t="s">
        <v>950</v>
      </c>
      <c r="G353" s="629">
        <v>3.2174392779655099E-3</v>
      </c>
      <c r="H353" s="734">
        <v>2.5401577810787298E-3</v>
      </c>
      <c r="I353" s="735">
        <v>1.18018999864786E-3</v>
      </c>
      <c r="J353" s="735">
        <v>2.5668203611938002E-3</v>
      </c>
      <c r="L353" s="84"/>
      <c r="M353" s="84"/>
      <c r="N353" s="84"/>
      <c r="O353" s="84"/>
      <c r="P353" s="84"/>
      <c r="Q353" s="84"/>
      <c r="R353" s="84"/>
      <c r="S353" s="84"/>
    </row>
    <row r="354" spans="1:19">
      <c r="A354" s="629" t="s">
        <v>949</v>
      </c>
      <c r="G354" s="629">
        <v>3.0507174949394602E-3</v>
      </c>
      <c r="H354" s="734">
        <v>2.2177630251644801E-3</v>
      </c>
      <c r="I354" s="735">
        <v>1.09277253039505E-3</v>
      </c>
      <c r="J354" s="735">
        <v>2.2401783637968102E-3</v>
      </c>
      <c r="L354" s="84"/>
      <c r="M354" s="84"/>
      <c r="N354" s="84"/>
      <c r="O354" s="84"/>
      <c r="P354" s="84"/>
      <c r="Q354" s="84"/>
      <c r="R354" s="84"/>
      <c r="S354" s="84"/>
    </row>
    <row r="355" spans="1:19">
      <c r="A355" s="629" t="s">
        <v>948</v>
      </c>
      <c r="G355" s="629">
        <v>3.13489364496171E-3</v>
      </c>
      <c r="H355" s="734">
        <v>1.9406436361885701E-3</v>
      </c>
      <c r="I355" s="735">
        <v>1.10361364957747E-3</v>
      </c>
      <c r="J355" s="735">
        <v>1.9571960490101098E-3</v>
      </c>
      <c r="L355" s="84"/>
      <c r="M355" s="84"/>
      <c r="N355" s="84"/>
      <c r="O355" s="84"/>
      <c r="P355" s="84"/>
      <c r="Q355" s="84"/>
      <c r="R355" s="84"/>
      <c r="S355" s="84"/>
    </row>
    <row r="356" spans="1:19">
      <c r="A356" s="629" t="s">
        <v>947</v>
      </c>
      <c r="G356" s="629">
        <v>2.8797801137785098E-3</v>
      </c>
      <c r="H356" s="734">
        <v>1.7296753157854199E-3</v>
      </c>
      <c r="I356" s="735">
        <v>1.04065497152149E-3</v>
      </c>
      <c r="J356" s="735">
        <v>1.73932519867592E-3</v>
      </c>
      <c r="L356" s="84"/>
      <c r="M356" s="84"/>
      <c r="N356" s="84"/>
      <c r="O356" s="84"/>
      <c r="P356" s="84"/>
      <c r="Q356" s="84"/>
      <c r="R356" s="84"/>
      <c r="S356" s="84"/>
    </row>
    <row r="357" spans="1:19">
      <c r="A357" s="629" t="s">
        <v>946</v>
      </c>
      <c r="G357" s="629">
        <v>2.6517282285150202E-3</v>
      </c>
      <c r="H357" s="734">
        <v>1.6739492969798399E-3</v>
      </c>
      <c r="I357" s="735">
        <v>9.8808882112495105E-4</v>
      </c>
      <c r="J357" s="735">
        <v>1.68201195298931E-3</v>
      </c>
      <c r="L357" s="84"/>
      <c r="M357" s="84"/>
      <c r="N357" s="84"/>
      <c r="O357" s="84"/>
      <c r="P357" s="84"/>
      <c r="Q357" s="84"/>
      <c r="R357" s="84"/>
      <c r="S357" s="84"/>
    </row>
    <row r="358" spans="1:19">
      <c r="A358" s="629" t="s">
        <v>945</v>
      </c>
      <c r="G358" s="629">
        <v>2.4468664027456899E-3</v>
      </c>
      <c r="H358" s="734">
        <v>1.4943280252135401E-3</v>
      </c>
      <c r="I358" s="735">
        <v>9.2541431911559002E-4</v>
      </c>
      <c r="J358" s="735">
        <v>1.4970892382211499E-3</v>
      </c>
      <c r="L358" s="84"/>
      <c r="M358" s="84"/>
      <c r="N358" s="84"/>
      <c r="O358" s="84"/>
      <c r="P358" s="84"/>
      <c r="Q358" s="84"/>
      <c r="R358" s="84"/>
      <c r="S358" s="84"/>
    </row>
    <row r="359" spans="1:19">
      <c r="A359" s="629" t="s">
        <v>944</v>
      </c>
      <c r="G359" s="629">
        <v>2.2617473878733599E-3</v>
      </c>
      <c r="H359" s="734">
        <v>2.1242034679253298E-3</v>
      </c>
      <c r="I359" s="735">
        <v>8.9125203684542399E-4</v>
      </c>
      <c r="J359" s="735">
        <v>2.1373005449538398E-3</v>
      </c>
      <c r="L359" s="84"/>
      <c r="M359" s="84"/>
      <c r="N359" s="84"/>
      <c r="O359" s="84"/>
      <c r="P359" s="84"/>
      <c r="Q359" s="84"/>
      <c r="R359" s="84"/>
      <c r="S359" s="84"/>
    </row>
    <row r="360" spans="1:19">
      <c r="A360" s="629" t="s">
        <v>943</v>
      </c>
      <c r="G360" s="629">
        <v>2.4621946075127099E-3</v>
      </c>
      <c r="H360" s="734">
        <v>2.2355985716184198E-3</v>
      </c>
      <c r="I360" s="735">
        <v>1.02523975294551E-3</v>
      </c>
      <c r="J360" s="735">
        <v>2.2548941240131499E-3</v>
      </c>
      <c r="L360" s="84"/>
      <c r="M360" s="84"/>
      <c r="N360" s="84"/>
      <c r="O360" s="84"/>
      <c r="P360" s="84"/>
      <c r="Q360" s="84"/>
      <c r="R360" s="84"/>
      <c r="S360" s="84"/>
    </row>
    <row r="361" spans="1:19">
      <c r="A361" s="629" t="s">
        <v>942</v>
      </c>
      <c r="G361" s="629">
        <v>2.3641124152594399E-3</v>
      </c>
      <c r="H361" s="734">
        <v>1.9741768381799801E-3</v>
      </c>
      <c r="I361" s="735">
        <v>9.4723097187946403E-4</v>
      </c>
      <c r="J361" s="735">
        <v>1.9859192778171201E-3</v>
      </c>
      <c r="L361" s="84"/>
      <c r="M361" s="84"/>
      <c r="N361" s="84"/>
      <c r="O361" s="84"/>
      <c r="P361" s="84"/>
      <c r="Q361" s="84"/>
      <c r="R361" s="84"/>
      <c r="S361" s="84"/>
    </row>
    <row r="362" spans="1:19">
      <c r="A362" s="629" t="s">
        <v>941</v>
      </c>
      <c r="G362" s="629">
        <v>2.2940997037461598E-3</v>
      </c>
      <c r="H362" s="734">
        <v>1.7431147646388299E-3</v>
      </c>
      <c r="I362" s="735">
        <v>9.9742538253444393E-4</v>
      </c>
      <c r="J362" s="735">
        <v>1.7505791247196399E-3</v>
      </c>
      <c r="L362" s="84"/>
      <c r="M362" s="84"/>
      <c r="N362" s="84"/>
      <c r="O362" s="84"/>
      <c r="P362" s="84"/>
      <c r="Q362" s="84"/>
      <c r="R362" s="84"/>
      <c r="S362" s="84"/>
    </row>
    <row r="363" spans="1:19">
      <c r="A363" s="629" t="s">
        <v>940</v>
      </c>
      <c r="G363" s="629">
        <v>2.1676743969260399E-3</v>
      </c>
      <c r="H363" s="734">
        <v>1.7219840628934901E-3</v>
      </c>
      <c r="I363" s="735">
        <v>9.4041339951686596E-4</v>
      </c>
      <c r="J363" s="735">
        <v>1.7225725582433399E-3</v>
      </c>
      <c r="L363" s="84"/>
      <c r="M363" s="84"/>
      <c r="N363" s="84"/>
      <c r="O363" s="84"/>
      <c r="P363" s="84"/>
      <c r="Q363" s="84"/>
      <c r="R363" s="84"/>
      <c r="S363" s="84"/>
    </row>
    <row r="364" spans="1:19">
      <c r="A364" s="629" t="s">
        <v>939</v>
      </c>
      <c r="G364" s="629">
        <v>2.0123064962926001E-3</v>
      </c>
      <c r="H364" s="734">
        <v>2.2675928785995301E-3</v>
      </c>
      <c r="I364" s="735">
        <v>9.4042405839212396E-4</v>
      </c>
      <c r="J364" s="735">
        <v>2.2817928530013201E-3</v>
      </c>
      <c r="L364" s="84"/>
      <c r="M364" s="84"/>
      <c r="N364" s="84"/>
      <c r="O364" s="84"/>
      <c r="P364" s="84"/>
      <c r="Q364" s="84"/>
      <c r="R364" s="84"/>
      <c r="S364" s="84"/>
    </row>
    <row r="365" spans="1:19">
      <c r="A365" s="629" t="s">
        <v>938</v>
      </c>
      <c r="G365" s="629">
        <v>2.3074537616177599E-3</v>
      </c>
      <c r="H365" s="734">
        <v>1.9895497314267999E-3</v>
      </c>
      <c r="I365" s="735">
        <v>8.8601415636079895E-4</v>
      </c>
      <c r="J365" s="735">
        <v>1.9984914699650198E-3</v>
      </c>
      <c r="L365" s="84"/>
      <c r="M365" s="84"/>
      <c r="N365" s="84"/>
      <c r="O365" s="84"/>
      <c r="P365" s="84"/>
      <c r="Q365" s="84"/>
      <c r="R365" s="84"/>
      <c r="S365" s="84"/>
    </row>
    <row r="366" spans="1:19">
      <c r="A366" s="629" t="s">
        <v>937</v>
      </c>
      <c r="G366" s="629">
        <v>2.1513174841152199E-3</v>
      </c>
      <c r="H366" s="734">
        <v>1.9977028973964701E-3</v>
      </c>
      <c r="I366" s="735">
        <v>8.2587785147836604E-4</v>
      </c>
      <c r="J366" s="735">
        <v>1.9994842353638401E-3</v>
      </c>
      <c r="L366" s="84"/>
      <c r="M366" s="84"/>
      <c r="N366" s="84"/>
      <c r="O366" s="84"/>
      <c r="P366" s="84"/>
      <c r="Q366" s="84"/>
      <c r="R366" s="84"/>
      <c r="S366" s="84"/>
    </row>
    <row r="367" spans="1:19">
      <c r="A367" s="629" t="s">
        <v>936</v>
      </c>
      <c r="G367" s="629">
        <v>2.0710965429302001E-3</v>
      </c>
      <c r="H367" s="734">
        <v>1.9007720793505301E-3</v>
      </c>
      <c r="I367" s="735">
        <v>7.9380777589137198E-4</v>
      </c>
      <c r="J367" s="735">
        <v>1.9047874702539801E-3</v>
      </c>
      <c r="L367" s="84"/>
      <c r="M367" s="84"/>
      <c r="N367" s="84"/>
      <c r="O367" s="84"/>
      <c r="P367" s="84"/>
      <c r="Q367" s="84"/>
      <c r="R367" s="84"/>
      <c r="S367" s="84"/>
    </row>
    <row r="368" spans="1:19">
      <c r="A368" s="629" t="s">
        <v>935</v>
      </c>
      <c r="G368" s="629">
        <v>2.0869443463711998E-3</v>
      </c>
      <c r="H368" s="734">
        <v>2.1959082826605602E-3</v>
      </c>
      <c r="I368" s="735">
        <v>8.8053931611709296E-4</v>
      </c>
      <c r="J368" s="735">
        <v>2.2085629518086201E-3</v>
      </c>
      <c r="L368" s="84"/>
      <c r="M368" s="84"/>
      <c r="N368" s="84"/>
      <c r="O368" s="84"/>
      <c r="P368" s="84"/>
      <c r="Q368" s="84"/>
      <c r="R368" s="84"/>
      <c r="S368" s="84"/>
    </row>
    <row r="369" spans="1:19">
      <c r="A369" s="629" t="s">
        <v>934</v>
      </c>
      <c r="G369" s="629">
        <v>1.97753388874396E-3</v>
      </c>
      <c r="H369" s="734">
        <v>1.93496454161003E-3</v>
      </c>
      <c r="I369" s="735">
        <v>9.3719648026266596E-4</v>
      </c>
      <c r="J369" s="735">
        <v>1.9419679147924501E-3</v>
      </c>
      <c r="L369" s="84"/>
      <c r="M369" s="84"/>
      <c r="N369" s="84"/>
      <c r="O369" s="84"/>
      <c r="P369" s="84"/>
      <c r="Q369" s="84"/>
      <c r="R369" s="84"/>
      <c r="S369" s="84"/>
    </row>
    <row r="370" spans="1:19">
      <c r="A370" s="629" t="s">
        <v>933</v>
      </c>
      <c r="G370" s="629">
        <v>1.84101784199025E-3</v>
      </c>
      <c r="H370" s="734">
        <v>2.3086150615381999E-3</v>
      </c>
      <c r="I370" s="735">
        <v>9.05704448765336E-4</v>
      </c>
      <c r="J370" s="735">
        <v>2.3106992528148101E-3</v>
      </c>
      <c r="L370" s="84"/>
      <c r="M370" s="84"/>
      <c r="N370" s="84"/>
      <c r="O370" s="84"/>
      <c r="P370" s="84"/>
      <c r="Q370" s="84"/>
      <c r="R370" s="84"/>
      <c r="S370" s="84"/>
    </row>
    <row r="371" spans="1:19">
      <c r="A371" s="629" t="s">
        <v>932</v>
      </c>
      <c r="G371" s="629">
        <v>1.77048754579662E-3</v>
      </c>
      <c r="H371" s="734">
        <v>2.1448618650479201E-3</v>
      </c>
      <c r="I371" s="735">
        <v>8.7332712226280201E-4</v>
      </c>
      <c r="J371" s="735">
        <v>2.1493631918810502E-3</v>
      </c>
      <c r="L371" s="84"/>
      <c r="M371" s="84"/>
      <c r="N371" s="84"/>
      <c r="O371" s="84"/>
      <c r="P371" s="84"/>
      <c r="Q371" s="84"/>
      <c r="R371" s="84"/>
      <c r="S371" s="84"/>
    </row>
    <row r="372" spans="1:19">
      <c r="A372" s="629" t="s">
        <v>931</v>
      </c>
      <c r="G372" s="629">
        <v>1.66665358244899E-3</v>
      </c>
      <c r="H372" s="734">
        <v>2.1312633736067801E-3</v>
      </c>
      <c r="I372" s="735">
        <v>1.0647233170203601E-3</v>
      </c>
      <c r="J372" s="735">
        <v>2.1424524537873202E-3</v>
      </c>
      <c r="L372" s="84"/>
      <c r="M372" s="84"/>
      <c r="N372" s="84"/>
      <c r="O372" s="84"/>
      <c r="P372" s="84"/>
      <c r="Q372" s="84"/>
      <c r="R372" s="84"/>
      <c r="S372" s="84"/>
    </row>
    <row r="373" spans="1:19">
      <c r="A373" s="629" t="s">
        <v>930</v>
      </c>
      <c r="G373" s="629">
        <v>1.5623447400851601E-3</v>
      </c>
      <c r="H373" s="734">
        <v>2.0989550312788098E-3</v>
      </c>
      <c r="I373" s="735">
        <v>1.0819022028113899E-3</v>
      </c>
      <c r="J373" s="735">
        <v>2.1043163967132202E-3</v>
      </c>
      <c r="L373" s="84"/>
      <c r="M373" s="84"/>
      <c r="N373" s="84"/>
      <c r="O373" s="84"/>
      <c r="P373" s="84"/>
      <c r="Q373" s="84"/>
      <c r="R373" s="84"/>
      <c r="S373" s="84"/>
    </row>
    <row r="374" spans="1:19">
      <c r="A374" s="629" t="s">
        <v>929</v>
      </c>
      <c r="G374" s="629">
        <v>1.4739453247244001E-3</v>
      </c>
      <c r="H374" s="734">
        <v>2.2085949552312599E-3</v>
      </c>
      <c r="I374" s="735">
        <v>1.1409712053303601E-3</v>
      </c>
      <c r="J374" s="735">
        <v>2.2124773888983701E-3</v>
      </c>
      <c r="L374" s="84"/>
      <c r="M374" s="84"/>
      <c r="N374" s="84"/>
      <c r="O374" s="84"/>
      <c r="P374" s="84"/>
      <c r="Q374" s="84"/>
      <c r="R374" s="84"/>
      <c r="S374" s="84"/>
    </row>
    <row r="375" spans="1:19">
      <c r="A375" s="629" t="s">
        <v>928</v>
      </c>
      <c r="G375" s="629">
        <v>1.3894562565415899E-3</v>
      </c>
      <c r="H375" s="734">
        <v>1.93425855428722E-3</v>
      </c>
      <c r="I375" s="735">
        <v>1.0482534455208501E-3</v>
      </c>
      <c r="J375" s="735">
        <v>1.93496050200362E-3</v>
      </c>
      <c r="L375" s="84"/>
      <c r="M375" s="84"/>
      <c r="N375" s="84"/>
      <c r="O375" s="84"/>
      <c r="P375" s="84"/>
      <c r="Q375" s="84"/>
      <c r="R375" s="84"/>
      <c r="S375" s="84"/>
    </row>
    <row r="376" spans="1:19">
      <c r="A376" s="629" t="s">
        <v>927</v>
      </c>
      <c r="G376" s="629">
        <v>1.3133946135509499E-3</v>
      </c>
      <c r="H376" s="734">
        <v>1.7318625926922701E-3</v>
      </c>
      <c r="I376" s="735">
        <v>9.6762106015964397E-4</v>
      </c>
      <c r="J376" s="735">
        <v>1.7289465386503501E-3</v>
      </c>
      <c r="L376" s="84"/>
      <c r="M376" s="84"/>
      <c r="N376" s="84"/>
      <c r="O376" s="84"/>
      <c r="P376" s="84"/>
      <c r="Q376" s="84"/>
      <c r="R376" s="84"/>
      <c r="S376" s="84"/>
    </row>
    <row r="377" spans="1:19">
      <c r="A377" s="629" t="s">
        <v>926</v>
      </c>
      <c r="G377" s="629">
        <v>1.2648772854679301E-3</v>
      </c>
      <c r="H377" s="734">
        <v>1.65022748794916E-3</v>
      </c>
      <c r="I377" s="735">
        <v>9.0035785673017905E-4</v>
      </c>
      <c r="J377" s="735">
        <v>1.6476203489759699E-3</v>
      </c>
      <c r="L377" s="84"/>
      <c r="M377" s="84"/>
      <c r="N377" s="84"/>
      <c r="O377" s="84"/>
      <c r="P377" s="84"/>
      <c r="Q377" s="84"/>
      <c r="R377" s="84"/>
      <c r="S377" s="84"/>
    </row>
    <row r="378" spans="1:19">
      <c r="A378" s="629" t="s">
        <v>925</v>
      </c>
      <c r="G378" s="629">
        <v>1.3845084759643901E-3</v>
      </c>
      <c r="H378" s="734">
        <v>1.77563917762399E-3</v>
      </c>
      <c r="I378" s="735">
        <v>9.2097155628905402E-4</v>
      </c>
      <c r="J378" s="735">
        <v>1.7701425802072099E-3</v>
      </c>
      <c r="L378" s="84"/>
      <c r="M378" s="84"/>
      <c r="N378" s="84"/>
      <c r="O378" s="84"/>
      <c r="P378" s="84"/>
      <c r="Q378" s="84"/>
      <c r="R378" s="84"/>
      <c r="S378" s="84"/>
    </row>
    <row r="379" spans="1:19">
      <c r="A379" s="629" t="s">
        <v>924</v>
      </c>
      <c r="G379" s="629">
        <v>1.3500175883618599E-3</v>
      </c>
      <c r="H379" s="734">
        <v>1.7312042755400199E-3</v>
      </c>
      <c r="I379" s="735">
        <v>8.6894539118709496E-4</v>
      </c>
      <c r="J379" s="735">
        <v>1.7253295830728199E-3</v>
      </c>
      <c r="L379" s="84"/>
      <c r="M379" s="84"/>
      <c r="N379" s="84"/>
      <c r="O379" s="84"/>
      <c r="P379" s="84"/>
      <c r="Q379" s="84"/>
      <c r="R379" s="84"/>
      <c r="S379" s="84"/>
    </row>
    <row r="380" spans="1:19">
      <c r="A380" s="629" t="s">
        <v>923</v>
      </c>
      <c r="G380" s="629">
        <v>1.2765583305825599E-3</v>
      </c>
      <c r="H380" s="734">
        <v>1.5648843660646099E-3</v>
      </c>
      <c r="I380" s="735">
        <v>8.1190110549952802E-4</v>
      </c>
      <c r="J380" s="735">
        <v>1.5572548855402801E-3</v>
      </c>
      <c r="L380" s="84"/>
      <c r="M380" s="84"/>
      <c r="N380" s="84"/>
      <c r="O380" s="84"/>
      <c r="P380" s="84"/>
      <c r="Q380" s="84"/>
      <c r="R380" s="84"/>
      <c r="S380" s="84"/>
    </row>
    <row r="381" spans="1:19">
      <c r="A381" s="629" t="s">
        <v>922</v>
      </c>
      <c r="G381" s="629">
        <v>1.2503952728256499E-3</v>
      </c>
      <c r="H381" s="734">
        <v>1.5303453775470199E-3</v>
      </c>
      <c r="I381" s="735">
        <v>8.9763343937372198E-4</v>
      </c>
      <c r="J381" s="735">
        <v>1.52466594096905E-3</v>
      </c>
      <c r="L381" s="84"/>
      <c r="M381" s="84"/>
      <c r="N381" s="84"/>
      <c r="O381" s="84"/>
      <c r="P381" s="84"/>
      <c r="Q381" s="84"/>
      <c r="R381" s="84"/>
      <c r="S381" s="84"/>
    </row>
    <row r="382" spans="1:19">
      <c r="A382" s="629" t="s">
        <v>921</v>
      </c>
      <c r="G382" s="629">
        <v>1.2278855597627699E-3</v>
      </c>
      <c r="H382" s="734">
        <v>1.54586839693191E-3</v>
      </c>
      <c r="I382" s="735">
        <v>8.5488686420102098E-4</v>
      </c>
      <c r="J382" s="735">
        <v>1.54213604511577E-3</v>
      </c>
      <c r="L382" s="84"/>
      <c r="M382" s="84"/>
      <c r="N382" s="84"/>
      <c r="O382" s="84"/>
      <c r="P382" s="84"/>
      <c r="Q382" s="84"/>
      <c r="R382" s="84"/>
      <c r="S382" s="84"/>
    </row>
    <row r="383" spans="1:19">
      <c r="A383" s="629" t="s">
        <v>920</v>
      </c>
      <c r="G383" s="629">
        <v>1.32591307364981E-3</v>
      </c>
      <c r="H383" s="734">
        <v>1.39460143521814E-3</v>
      </c>
      <c r="I383" s="735">
        <v>1.0312555806938201E-3</v>
      </c>
      <c r="J383" s="735">
        <v>1.38801469235313E-3</v>
      </c>
      <c r="L383" s="84"/>
      <c r="M383" s="84"/>
      <c r="N383" s="84"/>
      <c r="O383" s="84"/>
      <c r="P383" s="84"/>
      <c r="Q383" s="84"/>
      <c r="R383" s="84"/>
      <c r="S383" s="84"/>
    </row>
    <row r="384" spans="1:19">
      <c r="A384" s="629" t="s">
        <v>919</v>
      </c>
      <c r="G384" s="629">
        <v>1.27161175623266E-3</v>
      </c>
      <c r="H384" s="734">
        <v>1.2681895367691301E-3</v>
      </c>
      <c r="I384" s="735">
        <v>9.5264488137942105E-4</v>
      </c>
      <c r="J384" s="735">
        <v>1.25897284764829E-3</v>
      </c>
      <c r="L384" s="84"/>
      <c r="M384" s="84"/>
      <c r="N384" s="84"/>
      <c r="O384" s="84"/>
      <c r="P384" s="84"/>
      <c r="Q384" s="84"/>
      <c r="R384" s="84"/>
      <c r="S384" s="84"/>
    </row>
    <row r="385" spans="1:19">
      <c r="A385" s="629" t="s">
        <v>918</v>
      </c>
      <c r="G385" s="629">
        <v>1.25095017080636E-3</v>
      </c>
      <c r="H385" s="734">
        <v>1.5900965685761901E-3</v>
      </c>
      <c r="I385" s="735">
        <v>1.0117868352073399E-3</v>
      </c>
      <c r="J385" s="735">
        <v>1.58332115446234E-3</v>
      </c>
      <c r="L385" s="84"/>
      <c r="M385" s="84"/>
      <c r="N385" s="84"/>
      <c r="O385" s="84"/>
      <c r="P385" s="84"/>
      <c r="Q385" s="84"/>
      <c r="R385" s="84"/>
      <c r="S385" s="84"/>
    </row>
    <row r="386" spans="1:19">
      <c r="A386" s="629" t="s">
        <v>917</v>
      </c>
      <c r="G386" s="629">
        <v>1.18764558030628E-3</v>
      </c>
      <c r="H386" s="734">
        <v>2.0313335183210499E-3</v>
      </c>
      <c r="I386" s="735">
        <v>9.7476598844963101E-4</v>
      </c>
      <c r="J386" s="735">
        <v>2.0267146463517202E-3</v>
      </c>
      <c r="L386" s="84"/>
      <c r="M386" s="84"/>
      <c r="N386" s="84"/>
      <c r="O386" s="84"/>
      <c r="P386" s="84"/>
      <c r="Q386" s="84"/>
      <c r="R386" s="84"/>
      <c r="S386" s="84"/>
    </row>
    <row r="387" spans="1:19">
      <c r="A387" s="629" t="s">
        <v>916</v>
      </c>
      <c r="G387" s="629">
        <v>1.68292768033474E-3</v>
      </c>
      <c r="H387" s="734">
        <v>1.9912674214130101E-3</v>
      </c>
      <c r="I387" s="735">
        <v>9.2053970588942303E-4</v>
      </c>
      <c r="J387" s="735">
        <v>1.9842129662905801E-3</v>
      </c>
      <c r="L387" s="84"/>
      <c r="M387" s="84"/>
      <c r="N387" s="84"/>
      <c r="O387" s="84"/>
      <c r="P387" s="84"/>
      <c r="Q387" s="84"/>
      <c r="R387" s="84"/>
      <c r="S387" s="84"/>
    </row>
    <row r="388" spans="1:19">
      <c r="A388" s="629" t="s">
        <v>915</v>
      </c>
      <c r="G388" s="629">
        <v>2.0832853676889802E-3</v>
      </c>
      <c r="H388" s="734">
        <v>1.7803815075692899E-3</v>
      </c>
      <c r="I388" s="735">
        <v>1.0075175907535601E-3</v>
      </c>
      <c r="J388" s="735">
        <v>1.77264407579418E-3</v>
      </c>
      <c r="L388" s="84"/>
      <c r="M388" s="84"/>
      <c r="N388" s="84"/>
      <c r="O388" s="84"/>
      <c r="P388" s="84"/>
      <c r="Q388" s="84"/>
      <c r="R388" s="84"/>
      <c r="S388" s="84"/>
    </row>
    <row r="389" spans="1:19">
      <c r="A389" s="629" t="s">
        <v>914</v>
      </c>
      <c r="G389" s="629">
        <v>1.93470225385471E-3</v>
      </c>
      <c r="H389" s="734">
        <v>1.8800656292169301E-3</v>
      </c>
      <c r="I389" s="735">
        <v>9.5378813734300503E-4</v>
      </c>
      <c r="J389" s="735">
        <v>1.87117257435315E-3</v>
      </c>
      <c r="L389" s="84"/>
      <c r="M389" s="84"/>
      <c r="N389" s="84"/>
      <c r="O389" s="84"/>
      <c r="P389" s="84"/>
      <c r="Q389" s="84"/>
      <c r="R389" s="84"/>
      <c r="S389" s="84"/>
    </row>
    <row r="390" spans="1:19">
      <c r="A390" s="629" t="s">
        <v>913</v>
      </c>
      <c r="G390" s="629">
        <v>2.6659221901935899E-3</v>
      </c>
      <c r="H390" s="734">
        <v>1.83253606275246E-3</v>
      </c>
      <c r="I390" s="735">
        <v>1.2158583115412999E-3</v>
      </c>
      <c r="J390" s="735">
        <v>1.8271444217993101E-3</v>
      </c>
      <c r="L390" s="84"/>
      <c r="M390" s="84"/>
      <c r="N390" s="84"/>
      <c r="O390" s="84"/>
      <c r="P390" s="84"/>
      <c r="Q390" s="84"/>
      <c r="R390" s="84"/>
      <c r="S390" s="84"/>
    </row>
    <row r="391" spans="1:19">
      <c r="A391" s="629" t="s">
        <v>912</v>
      </c>
      <c r="G391" s="629">
        <v>3.02924365226545E-3</v>
      </c>
      <c r="H391" s="734">
        <v>1.68845690357629E-3</v>
      </c>
      <c r="I391" s="735">
        <v>1.12120036380479E-3</v>
      </c>
      <c r="J391" s="735">
        <v>1.68120617711713E-3</v>
      </c>
      <c r="L391" s="84"/>
      <c r="M391" s="84"/>
      <c r="N391" s="84"/>
      <c r="O391" s="84"/>
      <c r="P391" s="84"/>
      <c r="Q391" s="84"/>
      <c r="R391" s="84"/>
      <c r="S391" s="84"/>
    </row>
    <row r="392" spans="1:19">
      <c r="A392" s="629" t="s">
        <v>911</v>
      </c>
      <c r="G392" s="629">
        <v>2.8754057558453001E-3</v>
      </c>
      <c r="H392" s="734">
        <v>1.5867077428610801E-3</v>
      </c>
      <c r="I392" s="735">
        <v>1.05453584474954E-3</v>
      </c>
      <c r="J392" s="735">
        <v>1.57961633522814E-3</v>
      </c>
      <c r="L392" s="84"/>
      <c r="M392" s="84"/>
      <c r="N392" s="84"/>
      <c r="O392" s="84"/>
      <c r="P392" s="84"/>
      <c r="Q392" s="84"/>
      <c r="R392" s="84"/>
      <c r="S392" s="84"/>
    </row>
    <row r="393" spans="1:19">
      <c r="A393" s="629" t="s">
        <v>910</v>
      </c>
      <c r="G393" s="629">
        <v>2.7933857809010901E-3</v>
      </c>
      <c r="H393" s="734">
        <v>1.5118634708401299E-3</v>
      </c>
      <c r="I393" s="735">
        <v>1.2073132598722099E-3</v>
      </c>
      <c r="J393" s="735">
        <v>1.5039323787615301E-3</v>
      </c>
      <c r="L393" s="84"/>
      <c r="M393" s="84"/>
      <c r="N393" s="84"/>
      <c r="O393" s="84"/>
      <c r="P393" s="84"/>
      <c r="Q393" s="84"/>
      <c r="R393" s="84"/>
      <c r="S393" s="84"/>
    </row>
    <row r="394" spans="1:19">
      <c r="A394" s="629" t="s">
        <v>909</v>
      </c>
      <c r="G394" s="629">
        <v>2.7638157595951001E-3</v>
      </c>
      <c r="H394" s="734">
        <v>1.3867362278012099E-3</v>
      </c>
      <c r="I394" s="735">
        <v>1.11943215917073E-3</v>
      </c>
      <c r="J394" s="735">
        <v>1.37596121474371E-3</v>
      </c>
      <c r="L394" s="84"/>
      <c r="M394" s="84"/>
      <c r="N394" s="84"/>
      <c r="O394" s="84"/>
      <c r="P394" s="84"/>
      <c r="Q394" s="84"/>
      <c r="R394" s="84"/>
      <c r="S394" s="84"/>
    </row>
    <row r="395" spans="1:19">
      <c r="A395" s="629" t="s">
        <v>908</v>
      </c>
      <c r="G395" s="629">
        <v>2.6164408248762899E-3</v>
      </c>
      <c r="H395" s="734">
        <v>1.3150062937409999E-3</v>
      </c>
      <c r="I395" s="735">
        <v>1.0452011137425199E-3</v>
      </c>
      <c r="J395" s="735">
        <v>1.3031788575774E-3</v>
      </c>
      <c r="L395" s="84"/>
      <c r="M395" s="84"/>
      <c r="N395" s="84"/>
      <c r="O395" s="84"/>
      <c r="P395" s="84"/>
      <c r="Q395" s="84"/>
      <c r="R395" s="84"/>
      <c r="S395" s="84"/>
    </row>
    <row r="396" spans="1:19">
      <c r="A396" s="629" t="s">
        <v>907</v>
      </c>
      <c r="G396" s="629">
        <v>2.4884650313027699E-3</v>
      </c>
      <c r="H396" s="734">
        <v>1.3889029578757501E-3</v>
      </c>
      <c r="I396" s="735">
        <v>9.6834095133619899E-4</v>
      </c>
      <c r="J396" s="735">
        <v>1.37756533613857E-3</v>
      </c>
      <c r="L396" s="84"/>
      <c r="M396" s="84"/>
      <c r="N396" s="84"/>
      <c r="O396" s="84"/>
      <c r="P396" s="84"/>
      <c r="Q396" s="84"/>
      <c r="R396" s="84"/>
      <c r="S396" s="84"/>
    </row>
    <row r="397" spans="1:19">
      <c r="A397" s="629" t="s">
        <v>906</v>
      </c>
      <c r="G397" s="629">
        <v>2.3109436010255399E-3</v>
      </c>
      <c r="H397" s="734">
        <v>1.2743020839064501E-3</v>
      </c>
      <c r="I397" s="735">
        <v>9.1236785163031702E-4</v>
      </c>
      <c r="J397" s="735">
        <v>1.2604974737958101E-3</v>
      </c>
      <c r="L397" s="84"/>
      <c r="M397" s="84"/>
      <c r="N397" s="84"/>
      <c r="O397" s="84"/>
      <c r="P397" s="84"/>
      <c r="Q397" s="84"/>
      <c r="R397" s="84"/>
      <c r="S397" s="84"/>
    </row>
    <row r="398" spans="1:19">
      <c r="A398" s="629" t="s">
        <v>905</v>
      </c>
      <c r="G398" s="629">
        <v>2.1427967341045399E-3</v>
      </c>
      <c r="H398" s="734">
        <v>1.4065555213536799E-3</v>
      </c>
      <c r="I398" s="735">
        <v>9.3318249288919404E-4</v>
      </c>
      <c r="J398" s="735">
        <v>1.39607182493455E-3</v>
      </c>
      <c r="L398" s="84"/>
      <c r="M398" s="84"/>
      <c r="N398" s="84"/>
      <c r="O398" s="84"/>
      <c r="P398" s="84"/>
      <c r="Q398" s="84"/>
      <c r="R398" s="84"/>
      <c r="S398" s="84"/>
    </row>
    <row r="399" spans="1:19">
      <c r="A399" s="629" t="s">
        <v>904</v>
      </c>
      <c r="G399" s="629">
        <v>2.0289235502366702E-3</v>
      </c>
      <c r="H399" s="734">
        <v>1.3235833464565101E-3</v>
      </c>
      <c r="I399" s="735">
        <v>1.0015238627326E-3</v>
      </c>
      <c r="J399" s="735">
        <v>1.3124269733127E-3</v>
      </c>
      <c r="L399" s="84"/>
      <c r="M399" s="84"/>
      <c r="N399" s="84"/>
      <c r="O399" s="84"/>
      <c r="P399" s="84"/>
      <c r="Q399" s="84"/>
      <c r="R399" s="84"/>
      <c r="S399" s="84"/>
    </row>
    <row r="400" spans="1:19">
      <c r="A400" s="629" t="s">
        <v>903</v>
      </c>
      <c r="G400" s="629">
        <v>1.88612330332827E-3</v>
      </c>
      <c r="H400" s="734">
        <v>1.26640797973172E-3</v>
      </c>
      <c r="I400" s="735">
        <v>9.7413151829582698E-4</v>
      </c>
      <c r="J400" s="735">
        <v>1.25234198323427E-3</v>
      </c>
      <c r="L400" s="84"/>
      <c r="M400" s="84"/>
      <c r="N400" s="84"/>
      <c r="O400" s="84"/>
      <c r="P400" s="84"/>
      <c r="Q400" s="84"/>
      <c r="R400" s="84"/>
      <c r="S400" s="84"/>
    </row>
    <row r="401" spans="1:19">
      <c r="A401" s="629" t="s">
        <v>902</v>
      </c>
      <c r="G401" s="629">
        <v>3.25738004177893E-3</v>
      </c>
      <c r="H401" s="734">
        <v>1.43880920170929E-3</v>
      </c>
      <c r="I401" s="735">
        <v>1.2933878959268401E-3</v>
      </c>
      <c r="J401" s="735">
        <v>1.4301580878014299E-3</v>
      </c>
      <c r="L401" s="84"/>
      <c r="M401" s="84"/>
      <c r="N401" s="84"/>
      <c r="O401" s="84"/>
      <c r="P401" s="84"/>
      <c r="Q401" s="84"/>
      <c r="R401" s="84"/>
      <c r="S401" s="84"/>
    </row>
    <row r="402" spans="1:19">
      <c r="A402" s="629" t="s">
        <v>901</v>
      </c>
      <c r="G402" s="629">
        <v>2.9910137436727799E-3</v>
      </c>
      <c r="H402" s="734">
        <v>1.30116951831787E-3</v>
      </c>
      <c r="I402" s="735">
        <v>1.1872543076029999E-3</v>
      </c>
      <c r="J402" s="735">
        <v>1.2896048526078699E-3</v>
      </c>
      <c r="L402" s="84"/>
      <c r="M402" s="84"/>
      <c r="N402" s="84"/>
      <c r="O402" s="84"/>
      <c r="P402" s="84"/>
      <c r="Q402" s="84"/>
      <c r="R402" s="84"/>
      <c r="S402" s="84"/>
    </row>
    <row r="403" spans="1:19">
      <c r="A403" s="629" t="s">
        <v>900</v>
      </c>
      <c r="G403" s="629">
        <v>2.8572853291856798E-3</v>
      </c>
      <c r="H403" s="734">
        <v>1.1880649634415999E-3</v>
      </c>
      <c r="I403" s="735">
        <v>1.11274259550699E-3</v>
      </c>
      <c r="J403" s="735">
        <v>1.17371921062362E-3</v>
      </c>
      <c r="L403" s="84"/>
      <c r="M403" s="84"/>
      <c r="N403" s="84"/>
      <c r="O403" s="84"/>
      <c r="P403" s="84"/>
      <c r="Q403" s="84"/>
      <c r="R403" s="84"/>
      <c r="S403" s="84"/>
    </row>
    <row r="404" spans="1:19">
      <c r="A404" s="629" t="s">
        <v>899</v>
      </c>
      <c r="G404" s="629">
        <v>2.6863485565055099E-3</v>
      </c>
      <c r="H404" s="734">
        <v>1.09795800175449E-3</v>
      </c>
      <c r="I404" s="735">
        <v>1.0258897385912299E-3</v>
      </c>
      <c r="J404" s="735">
        <v>1.0804649392767199E-3</v>
      </c>
      <c r="L404" s="84"/>
      <c r="M404" s="84"/>
      <c r="N404" s="84"/>
      <c r="O404" s="84"/>
      <c r="P404" s="84"/>
      <c r="Q404" s="84"/>
      <c r="R404" s="84"/>
      <c r="S404" s="84"/>
    </row>
    <row r="405" spans="1:19">
      <c r="A405" s="629" t="s">
        <v>898</v>
      </c>
      <c r="G405" s="629">
        <v>2.9481626561992402E-3</v>
      </c>
      <c r="H405" s="734">
        <v>1.16720356763565E-3</v>
      </c>
      <c r="I405" s="735">
        <v>9.5486270337271696E-4</v>
      </c>
      <c r="J405" s="735">
        <v>1.1508129619390399E-3</v>
      </c>
      <c r="L405" s="84"/>
      <c r="M405" s="84"/>
      <c r="N405" s="84"/>
      <c r="O405" s="84"/>
      <c r="P405" s="84"/>
      <c r="Q405" s="84"/>
      <c r="R405" s="84"/>
      <c r="S405" s="84"/>
    </row>
    <row r="406" spans="1:19">
      <c r="A406" s="629" t="s">
        <v>897</v>
      </c>
      <c r="G406" s="629">
        <v>3.25422089691179E-3</v>
      </c>
      <c r="H406" s="734">
        <v>1.11561654149154E-3</v>
      </c>
      <c r="I406" s="735">
        <v>9.18437787981955E-4</v>
      </c>
      <c r="J406" s="735">
        <v>1.0977529012549201E-3</v>
      </c>
      <c r="L406" s="84"/>
      <c r="M406" s="84"/>
      <c r="N406" s="84"/>
      <c r="O406" s="84"/>
      <c r="P406" s="84"/>
      <c r="Q406" s="84"/>
      <c r="R406" s="84"/>
      <c r="S406" s="84"/>
    </row>
    <row r="407" spans="1:19">
      <c r="A407" s="629" t="s">
        <v>896</v>
      </c>
      <c r="G407" s="629">
        <v>3.20927175051998E-3</v>
      </c>
      <c r="H407" s="734">
        <v>1.04607361773402E-3</v>
      </c>
      <c r="I407" s="735">
        <v>8.7584498608707904E-4</v>
      </c>
      <c r="J407" s="735">
        <v>1.0255082717215999E-3</v>
      </c>
      <c r="L407" s="84"/>
      <c r="M407" s="84"/>
      <c r="N407" s="84"/>
      <c r="O407" s="84"/>
      <c r="P407" s="84"/>
      <c r="Q407" s="84"/>
      <c r="R407" s="84"/>
      <c r="S407" s="84"/>
    </row>
    <row r="408" spans="1:19">
      <c r="A408" s="629" t="s">
        <v>895</v>
      </c>
      <c r="G408" s="629">
        <v>2.94852497228297E-3</v>
      </c>
      <c r="H408" s="734">
        <v>1.0921105269756199E-3</v>
      </c>
      <c r="I408" s="735">
        <v>9.2498205187529505E-4</v>
      </c>
      <c r="J408" s="735">
        <v>1.0722893031988999E-3</v>
      </c>
      <c r="L408" s="84"/>
      <c r="M408" s="84"/>
      <c r="N408" s="84"/>
      <c r="O408" s="84"/>
      <c r="P408" s="84"/>
      <c r="Q408" s="84"/>
      <c r="R408" s="84"/>
      <c r="S408" s="84"/>
    </row>
    <row r="409" spans="1:19">
      <c r="A409" s="629" t="s">
        <v>894</v>
      </c>
      <c r="G409" s="629">
        <v>2.7258240370032901E-3</v>
      </c>
      <c r="H409" s="734">
        <v>1.0535926815003699E-3</v>
      </c>
      <c r="I409" s="735">
        <v>8.7526057881753697E-4</v>
      </c>
      <c r="J409" s="735">
        <v>1.03156710375415E-3</v>
      </c>
      <c r="L409" s="84"/>
      <c r="M409" s="84"/>
      <c r="N409" s="84"/>
      <c r="O409" s="84"/>
      <c r="P409" s="84"/>
      <c r="Q409" s="84"/>
      <c r="R409" s="84"/>
      <c r="S409" s="84"/>
    </row>
    <row r="410" spans="1:19">
      <c r="A410" s="629" t="s">
        <v>893</v>
      </c>
      <c r="G410" s="629">
        <v>2.6461827236836499E-3</v>
      </c>
      <c r="H410" s="734">
        <v>1.32249307302551E-3</v>
      </c>
      <c r="I410" s="735">
        <v>1.03245974704021E-3</v>
      </c>
      <c r="J410" s="735">
        <v>1.3034985767338299E-3</v>
      </c>
      <c r="L410" s="84"/>
      <c r="M410" s="84"/>
      <c r="N410" s="84"/>
      <c r="O410" s="84"/>
      <c r="P410" s="84"/>
      <c r="Q410" s="84"/>
      <c r="R410" s="84"/>
      <c r="S410" s="84"/>
    </row>
    <row r="411" spans="1:19">
      <c r="A411" s="629" t="s">
        <v>892</v>
      </c>
      <c r="G411" s="629">
        <v>2.4997817533563998E-3</v>
      </c>
      <c r="H411" s="734">
        <v>1.2085496447744801E-3</v>
      </c>
      <c r="I411" s="735">
        <v>9.6418138901951803E-4</v>
      </c>
      <c r="J411" s="735">
        <v>1.1884002114190299E-3</v>
      </c>
      <c r="L411" s="84"/>
      <c r="M411" s="84"/>
      <c r="N411" s="84"/>
      <c r="O411" s="84"/>
      <c r="P411" s="84"/>
      <c r="Q411" s="84"/>
      <c r="R411" s="84"/>
      <c r="S411" s="84"/>
    </row>
    <row r="412" spans="1:19">
      <c r="A412" s="629" t="s">
        <v>891</v>
      </c>
      <c r="G412" s="629">
        <v>2.3468960236182898E-3</v>
      </c>
      <c r="H412" s="734">
        <v>1.1282796119066699E-3</v>
      </c>
      <c r="I412" s="735">
        <v>8.97092808447333E-4</v>
      </c>
      <c r="J412" s="735">
        <v>1.1071907194943999E-3</v>
      </c>
      <c r="L412" s="84"/>
      <c r="M412" s="84"/>
      <c r="N412" s="84"/>
      <c r="O412" s="84"/>
      <c r="P412" s="84"/>
      <c r="Q412" s="84"/>
      <c r="R412" s="84"/>
      <c r="S412" s="84"/>
    </row>
    <row r="413" spans="1:19">
      <c r="A413" s="629" t="s">
        <v>890</v>
      </c>
      <c r="G413" s="629">
        <v>2.6211556811382999E-3</v>
      </c>
      <c r="H413" s="734">
        <v>1.1093496637186199E-3</v>
      </c>
      <c r="I413" s="735">
        <v>8.6835869351731395E-4</v>
      </c>
      <c r="J413" s="735">
        <v>1.08848794238511E-3</v>
      </c>
      <c r="L413" s="84"/>
      <c r="M413" s="84"/>
      <c r="N413" s="84"/>
      <c r="O413" s="84"/>
      <c r="P413" s="84"/>
      <c r="Q413" s="84"/>
      <c r="R413" s="84"/>
      <c r="S413" s="84"/>
    </row>
    <row r="414" spans="1:19">
      <c r="A414" s="629" t="s">
        <v>889</v>
      </c>
      <c r="G414" s="629">
        <v>3.07672546474417E-3</v>
      </c>
      <c r="H414" s="734">
        <v>1.8015165523485399E-3</v>
      </c>
      <c r="I414" s="735">
        <v>8.3894140405117495E-4</v>
      </c>
      <c r="J414" s="735">
        <v>1.78856672275177E-3</v>
      </c>
      <c r="L414" s="84"/>
      <c r="M414" s="84"/>
      <c r="N414" s="84"/>
      <c r="O414" s="84"/>
      <c r="P414" s="84"/>
      <c r="Q414" s="84"/>
      <c r="R414" s="84"/>
      <c r="S414" s="84"/>
    </row>
    <row r="415" spans="1:19">
      <c r="A415" s="629" t="s">
        <v>888</v>
      </c>
      <c r="G415" s="629">
        <v>2.9261259476652001E-3</v>
      </c>
      <c r="H415" s="734">
        <v>1.6024636815558501E-3</v>
      </c>
      <c r="I415" s="735">
        <v>8.0193921827977598E-4</v>
      </c>
      <c r="J415" s="735">
        <v>1.5893095603151299E-3</v>
      </c>
      <c r="L415" s="84"/>
      <c r="M415" s="84"/>
      <c r="N415" s="84"/>
      <c r="O415" s="84"/>
      <c r="P415" s="84"/>
      <c r="Q415" s="84"/>
      <c r="R415" s="84"/>
      <c r="S415" s="84"/>
    </row>
    <row r="416" spans="1:19">
      <c r="A416" s="629" t="s">
        <v>887</v>
      </c>
      <c r="G416" s="629">
        <v>3.0939395123874901E-3</v>
      </c>
      <c r="H416" s="734">
        <v>1.4915256487554999E-3</v>
      </c>
      <c r="I416" s="735">
        <v>7.6075244677991001E-4</v>
      </c>
      <c r="J416" s="735">
        <v>1.4754135709751999E-3</v>
      </c>
      <c r="L416" s="84"/>
      <c r="M416" s="84"/>
      <c r="N416" s="84"/>
      <c r="O416" s="84"/>
      <c r="P416" s="84"/>
      <c r="Q416" s="84"/>
      <c r="R416" s="84"/>
      <c r="S416" s="84"/>
    </row>
    <row r="417" spans="1:19">
      <c r="A417" s="629" t="s">
        <v>886</v>
      </c>
      <c r="G417" s="629">
        <v>3.6778124710444399E-3</v>
      </c>
      <c r="H417" s="734">
        <v>1.4182154467678699E-3</v>
      </c>
      <c r="I417" s="735">
        <v>7.1712757322240598E-4</v>
      </c>
      <c r="J417" s="735">
        <v>1.40173734301217E-3</v>
      </c>
      <c r="L417" s="84"/>
      <c r="M417" s="84"/>
      <c r="N417" s="84"/>
      <c r="O417" s="84"/>
      <c r="P417" s="84"/>
      <c r="Q417" s="84"/>
      <c r="R417" s="84"/>
      <c r="S417" s="84"/>
    </row>
    <row r="418" spans="1:19">
      <c r="A418" s="629" t="s">
        <v>885</v>
      </c>
      <c r="G418" s="629">
        <v>3.3708817267665602E-3</v>
      </c>
      <c r="H418" s="734">
        <v>1.36226568521246E-3</v>
      </c>
      <c r="I418" s="735">
        <v>7.1396894298957905E-4</v>
      </c>
      <c r="J418" s="735">
        <v>1.3482872159331001E-3</v>
      </c>
      <c r="L418" s="84"/>
      <c r="M418" s="84"/>
      <c r="N418" s="84"/>
      <c r="O418" s="84"/>
      <c r="P418" s="84"/>
      <c r="Q418" s="84"/>
      <c r="R418" s="84"/>
      <c r="S418" s="84"/>
    </row>
    <row r="419" spans="1:19">
      <c r="A419" s="629" t="s">
        <v>884</v>
      </c>
      <c r="G419" s="629">
        <v>3.1652128057691599E-3</v>
      </c>
      <c r="H419" s="734">
        <v>1.2615019534894E-3</v>
      </c>
      <c r="I419" s="735">
        <v>8.12686108822532E-4</v>
      </c>
      <c r="J419" s="735">
        <v>1.2462015681643499E-3</v>
      </c>
      <c r="L419" s="84"/>
      <c r="M419" s="84"/>
      <c r="N419" s="84"/>
      <c r="O419" s="84"/>
      <c r="P419" s="84"/>
      <c r="Q419" s="84"/>
      <c r="R419" s="84"/>
      <c r="S419" s="84"/>
    </row>
    <row r="420" spans="1:19">
      <c r="A420" s="629" t="s">
        <v>883</v>
      </c>
      <c r="G420" s="629">
        <v>2.9151132075040001E-3</v>
      </c>
      <c r="H420" s="734">
        <v>1.2759784587555701E-3</v>
      </c>
      <c r="I420" s="735">
        <v>7.8675115017885603E-4</v>
      </c>
      <c r="J420" s="735">
        <v>1.2605677227578199E-3</v>
      </c>
      <c r="L420" s="84"/>
      <c r="M420" s="84"/>
      <c r="N420" s="84"/>
      <c r="O420" s="84"/>
      <c r="P420" s="84"/>
      <c r="Q420" s="84"/>
      <c r="R420" s="84"/>
      <c r="S420" s="84"/>
    </row>
    <row r="421" spans="1:19">
      <c r="A421" s="629" t="s">
        <v>882</v>
      </c>
      <c r="G421" s="629">
        <v>3.5368751144233801E-3</v>
      </c>
      <c r="H421" s="734">
        <v>1.2443498786854901E-3</v>
      </c>
      <c r="I421" s="735">
        <v>9.5834511739219198E-4</v>
      </c>
      <c r="J421" s="735">
        <v>1.22944526446263E-3</v>
      </c>
      <c r="L421" s="84"/>
      <c r="M421" s="84"/>
      <c r="N421" s="84"/>
      <c r="O421" s="84"/>
      <c r="P421" s="84"/>
      <c r="Q421" s="84"/>
      <c r="R421" s="84"/>
      <c r="S421" s="84"/>
    </row>
    <row r="422" spans="1:19">
      <c r="A422" s="629" t="s">
        <v>881</v>
      </c>
      <c r="G422" s="629">
        <v>3.49555614203107E-3</v>
      </c>
      <c r="H422" s="734">
        <v>1.7094256820256899E-3</v>
      </c>
      <c r="I422" s="735">
        <v>1.23417713392917E-3</v>
      </c>
      <c r="J422" s="735">
        <v>1.69865826215681E-3</v>
      </c>
      <c r="L422" s="84"/>
      <c r="M422" s="84"/>
      <c r="N422" s="84"/>
      <c r="O422" s="84"/>
      <c r="P422" s="84"/>
      <c r="Q422" s="84"/>
      <c r="R422" s="84"/>
      <c r="S422" s="84"/>
    </row>
    <row r="423" spans="1:19">
      <c r="A423" s="629" t="s">
        <v>880</v>
      </c>
      <c r="G423" s="629">
        <v>3.5514865532916698E-3</v>
      </c>
      <c r="H423" s="734">
        <v>1.5340279305812801E-3</v>
      </c>
      <c r="I423" s="735">
        <v>1.1344520853602E-3</v>
      </c>
      <c r="J423" s="735">
        <v>1.5210764965021199E-3</v>
      </c>
      <c r="L423" s="84"/>
      <c r="M423" s="84"/>
      <c r="N423" s="84"/>
      <c r="O423" s="84"/>
      <c r="P423" s="84"/>
      <c r="Q423" s="84"/>
      <c r="R423" s="84"/>
      <c r="S423" s="84"/>
    </row>
    <row r="424" spans="1:19">
      <c r="A424" s="629" t="s">
        <v>879</v>
      </c>
      <c r="G424" s="629">
        <v>4.3534529048768903E-3</v>
      </c>
      <c r="H424" s="734">
        <v>1.57315414373802E-3</v>
      </c>
      <c r="I424" s="735">
        <v>1.1596677928715001E-3</v>
      </c>
      <c r="J424" s="735">
        <v>1.5620700860292599E-3</v>
      </c>
      <c r="L424" s="84"/>
      <c r="M424" s="84"/>
      <c r="N424" s="84"/>
      <c r="O424" s="84"/>
      <c r="P424" s="84"/>
      <c r="Q424" s="84"/>
      <c r="R424" s="84"/>
      <c r="S424" s="84"/>
    </row>
    <row r="425" spans="1:19">
      <c r="A425" s="629" t="s">
        <v>878</v>
      </c>
      <c r="G425" s="629">
        <v>4.15926807455143E-3</v>
      </c>
      <c r="H425" s="734">
        <v>1.61737015849912E-3</v>
      </c>
      <c r="I425" s="735">
        <v>1.5437649574653401E-3</v>
      </c>
      <c r="J425" s="735">
        <v>1.6089727470637201E-3</v>
      </c>
      <c r="L425" s="84"/>
      <c r="M425" s="84"/>
      <c r="N425" s="84"/>
      <c r="O425" s="84"/>
      <c r="P425" s="84"/>
      <c r="Q425" s="84"/>
      <c r="R425" s="84"/>
      <c r="S425" s="84"/>
    </row>
    <row r="426" spans="1:19">
      <c r="A426" s="629" t="s">
        <v>877</v>
      </c>
      <c r="G426" s="629">
        <v>3.92872314489154E-3</v>
      </c>
      <c r="H426" s="734">
        <v>1.8599854198413999E-3</v>
      </c>
      <c r="I426" s="735">
        <v>1.7327827824439299E-3</v>
      </c>
      <c r="J426" s="735">
        <v>1.85791080811183E-3</v>
      </c>
      <c r="L426" s="84"/>
      <c r="M426" s="84"/>
      <c r="N426" s="84"/>
      <c r="O426" s="84"/>
      <c r="P426" s="84"/>
      <c r="Q426" s="84"/>
      <c r="R426" s="84"/>
      <c r="S426" s="84"/>
    </row>
    <row r="427" spans="1:19">
      <c r="A427" s="629" t="s">
        <v>876</v>
      </c>
      <c r="G427" s="629">
        <v>4.0396434307597897E-3</v>
      </c>
      <c r="H427" s="734">
        <v>1.71680717927684E-3</v>
      </c>
      <c r="I427" s="735">
        <v>1.65600493530556E-3</v>
      </c>
      <c r="J427" s="735">
        <v>1.7131439479006799E-3</v>
      </c>
      <c r="L427" s="84"/>
      <c r="M427" s="84"/>
      <c r="N427" s="84"/>
      <c r="O427" s="84"/>
      <c r="P427" s="84"/>
      <c r="Q427" s="84"/>
      <c r="R427" s="84"/>
      <c r="S427" s="84"/>
    </row>
    <row r="428" spans="1:19">
      <c r="A428" s="629" t="s">
        <v>875</v>
      </c>
      <c r="G428" s="629">
        <v>3.9768973983380701E-3</v>
      </c>
      <c r="H428" s="734">
        <v>1.57426737316297E-3</v>
      </c>
      <c r="I428" s="735">
        <v>1.5678576549674899E-3</v>
      </c>
      <c r="J428" s="735">
        <v>1.56901370910712E-3</v>
      </c>
      <c r="L428" s="84"/>
      <c r="M428" s="84"/>
      <c r="N428" s="84"/>
      <c r="O428" s="84"/>
      <c r="P428" s="84"/>
      <c r="Q428" s="84"/>
      <c r="R428" s="84"/>
      <c r="S428" s="84"/>
    </row>
    <row r="429" spans="1:19">
      <c r="A429" s="629" t="s">
        <v>874</v>
      </c>
      <c r="G429" s="629">
        <v>3.6389306309740502E-3</v>
      </c>
      <c r="H429" s="734">
        <v>1.4128735514613599E-3</v>
      </c>
      <c r="I429" s="735">
        <v>1.42269869518384E-3</v>
      </c>
      <c r="J429" s="735">
        <v>1.4045526503801099E-3</v>
      </c>
      <c r="L429" s="84"/>
      <c r="M429" s="84"/>
      <c r="N429" s="84"/>
      <c r="O429" s="84"/>
      <c r="P429" s="84"/>
      <c r="Q429" s="84"/>
      <c r="R429" s="84"/>
      <c r="S429" s="84"/>
    </row>
    <row r="430" spans="1:19">
      <c r="A430" s="629" t="s">
        <v>873</v>
      </c>
      <c r="G430" s="629">
        <v>3.8860928368207098E-3</v>
      </c>
      <c r="H430" s="734">
        <v>1.31333091845974E-3</v>
      </c>
      <c r="I430" s="735">
        <v>1.2995190775250301E-3</v>
      </c>
      <c r="J430" s="735">
        <v>1.30375589186269E-3</v>
      </c>
      <c r="L430" s="84"/>
      <c r="M430" s="84"/>
      <c r="N430" s="84"/>
      <c r="O430" s="84"/>
      <c r="P430" s="84"/>
      <c r="Q430" s="84"/>
      <c r="R430" s="84"/>
      <c r="S430" s="84"/>
    </row>
    <row r="431" spans="1:19">
      <c r="A431" s="629" t="s">
        <v>872</v>
      </c>
      <c r="G431" s="629">
        <v>4.3404130052955899E-3</v>
      </c>
      <c r="H431" s="734">
        <v>1.3547951556889301E-3</v>
      </c>
      <c r="I431" s="735">
        <v>1.27353990825603E-3</v>
      </c>
      <c r="J431" s="735">
        <v>1.3440595830077899E-3</v>
      </c>
      <c r="L431" s="84"/>
      <c r="M431" s="84"/>
      <c r="N431" s="84"/>
      <c r="O431" s="84"/>
      <c r="P431" s="84"/>
      <c r="Q431" s="84"/>
      <c r="R431" s="84"/>
      <c r="S431" s="84"/>
    </row>
    <row r="432" spans="1:19">
      <c r="A432" s="629" t="s">
        <v>871</v>
      </c>
      <c r="G432" s="629">
        <v>3.9634359331524698E-3</v>
      </c>
      <c r="H432" s="734">
        <v>1.3248453730945399E-3</v>
      </c>
      <c r="I432" s="735">
        <v>1.3076265127619699E-3</v>
      </c>
      <c r="J432" s="735">
        <v>1.31313446745712E-3</v>
      </c>
      <c r="L432" s="84"/>
      <c r="M432" s="84"/>
      <c r="N432" s="84"/>
      <c r="O432" s="84"/>
      <c r="P432" s="84"/>
      <c r="Q432" s="84"/>
      <c r="R432" s="84"/>
      <c r="S432" s="84"/>
    </row>
    <row r="433" spans="1:19">
      <c r="A433" s="629" t="s">
        <v>870</v>
      </c>
      <c r="G433" s="629">
        <v>3.6406254034731301E-3</v>
      </c>
      <c r="H433" s="734">
        <v>1.2443283364431199E-3</v>
      </c>
      <c r="I433" s="735">
        <v>1.3609203103591601E-3</v>
      </c>
      <c r="J433" s="735">
        <v>1.23061095248917E-3</v>
      </c>
      <c r="L433" s="84"/>
      <c r="M433" s="84"/>
      <c r="N433" s="84"/>
      <c r="O433" s="84"/>
      <c r="P433" s="84"/>
      <c r="Q433" s="84"/>
      <c r="R433" s="84"/>
      <c r="S433" s="84"/>
    </row>
    <row r="434" spans="1:19">
      <c r="A434" s="629" t="s">
        <v>869</v>
      </c>
      <c r="G434" s="629">
        <v>3.5425481041093201E-3</v>
      </c>
      <c r="H434" s="734">
        <v>1.2250231449691801E-3</v>
      </c>
      <c r="I434" s="735">
        <v>1.25718675917414E-3</v>
      </c>
      <c r="J434" s="735">
        <v>1.2105633244531499E-3</v>
      </c>
      <c r="L434" s="84"/>
      <c r="M434" s="84"/>
      <c r="N434" s="84"/>
      <c r="O434" s="84"/>
      <c r="P434" s="84"/>
      <c r="Q434" s="84"/>
      <c r="R434" s="84"/>
      <c r="S434" s="84"/>
    </row>
    <row r="435" spans="1:19">
      <c r="A435" s="629" t="s">
        <v>868</v>
      </c>
      <c r="G435" s="629">
        <v>3.28521055705586E-3</v>
      </c>
      <c r="H435" s="734">
        <v>1.19178077021183E-3</v>
      </c>
      <c r="I435" s="735">
        <v>1.3405919394595899E-3</v>
      </c>
      <c r="J435" s="735">
        <v>1.1764757632192E-3</v>
      </c>
      <c r="L435" s="84"/>
      <c r="M435" s="84"/>
      <c r="N435" s="84"/>
      <c r="O435" s="84"/>
      <c r="P435" s="84"/>
      <c r="Q435" s="84"/>
      <c r="R435" s="84"/>
      <c r="S435" s="84"/>
    </row>
    <row r="436" spans="1:19">
      <c r="A436" s="629" t="s">
        <v>867</v>
      </c>
      <c r="G436" s="629">
        <v>3.0173503195942801E-3</v>
      </c>
      <c r="H436" s="734">
        <v>1.28445890355557E-3</v>
      </c>
      <c r="I436" s="735">
        <v>1.3038005323640399E-3</v>
      </c>
      <c r="J436" s="735">
        <v>1.2685486303883099E-3</v>
      </c>
      <c r="L436" s="84"/>
      <c r="M436" s="84"/>
      <c r="N436" s="84"/>
      <c r="O436" s="84"/>
      <c r="P436" s="84"/>
      <c r="Q436" s="84"/>
      <c r="R436" s="84"/>
      <c r="S436" s="84"/>
    </row>
    <row r="437" spans="1:19">
      <c r="A437" s="629" t="s">
        <v>866</v>
      </c>
      <c r="G437" s="629">
        <v>3.1034558346055298E-3</v>
      </c>
      <c r="H437" s="734">
        <v>1.17448488225797E-3</v>
      </c>
      <c r="I437" s="735">
        <v>1.32219638620139E-3</v>
      </c>
      <c r="J437" s="735">
        <v>1.15666136151749E-3</v>
      </c>
      <c r="L437" s="84"/>
      <c r="M437" s="84"/>
      <c r="N437" s="84"/>
      <c r="O437" s="84"/>
      <c r="P437" s="84"/>
      <c r="Q437" s="84"/>
      <c r="R437" s="84"/>
      <c r="S437" s="84"/>
    </row>
    <row r="438" spans="1:19">
      <c r="A438" s="629" t="s">
        <v>865</v>
      </c>
      <c r="G438" s="629">
        <v>3.45465358509537E-3</v>
      </c>
      <c r="H438" s="734">
        <v>1.3348405248787901E-3</v>
      </c>
      <c r="I438" s="735">
        <v>1.4001872190015599E-3</v>
      </c>
      <c r="J438" s="735">
        <v>1.3135195489905401E-3</v>
      </c>
      <c r="L438" s="84"/>
      <c r="M438" s="84"/>
      <c r="N438" s="84"/>
      <c r="O438" s="84"/>
      <c r="P438" s="84"/>
      <c r="Q438" s="84"/>
      <c r="R438" s="84"/>
      <c r="S438" s="84"/>
    </row>
    <row r="439" spans="1:19">
      <c r="A439" s="629" t="s">
        <v>864</v>
      </c>
      <c r="G439" s="629">
        <v>3.18771155964631E-3</v>
      </c>
      <c r="H439" s="734">
        <v>1.2392657130921899E-3</v>
      </c>
      <c r="I439" s="735">
        <v>1.3359439895847601E-3</v>
      </c>
      <c r="J439" s="735">
        <v>1.2172564430791501E-3</v>
      </c>
      <c r="L439" s="84"/>
      <c r="M439" s="84"/>
      <c r="N439" s="84"/>
      <c r="O439" s="84"/>
      <c r="P439" s="84"/>
      <c r="Q439" s="84"/>
      <c r="R439" s="84"/>
      <c r="S439" s="84"/>
    </row>
    <row r="440" spans="1:19">
      <c r="A440" s="629" t="s">
        <v>863</v>
      </c>
      <c r="G440" s="629">
        <v>2.9312488286947699E-3</v>
      </c>
      <c r="H440" s="734">
        <v>1.1544379112013699E-3</v>
      </c>
      <c r="I440" s="735">
        <v>1.2185565923013E-3</v>
      </c>
      <c r="J440" s="735">
        <v>1.1313541895661501E-3</v>
      </c>
      <c r="L440" s="84"/>
      <c r="M440" s="84"/>
      <c r="N440" s="84"/>
      <c r="O440" s="84"/>
      <c r="P440" s="84"/>
      <c r="Q440" s="84"/>
      <c r="R440" s="84"/>
      <c r="S440" s="84"/>
    </row>
    <row r="441" spans="1:19">
      <c r="A441" s="629" t="s">
        <v>862</v>
      </c>
      <c r="G441" s="629">
        <v>2.7960838729749098E-3</v>
      </c>
      <c r="H441" s="734">
        <v>1.66211415811362E-3</v>
      </c>
      <c r="I441" s="735">
        <v>1.29629188238691E-3</v>
      </c>
      <c r="J441" s="735">
        <v>1.6442238431755799E-3</v>
      </c>
      <c r="L441" s="84"/>
      <c r="M441" s="84"/>
      <c r="N441" s="84"/>
      <c r="O441" s="84"/>
      <c r="P441" s="84"/>
      <c r="Q441" s="84"/>
      <c r="R441" s="84"/>
      <c r="S441" s="84"/>
    </row>
    <row r="442" spans="1:19">
      <c r="A442" s="629" t="s">
        <v>861</v>
      </c>
      <c r="G442" s="629">
        <v>3.72067577541316E-3</v>
      </c>
      <c r="H442" s="734">
        <v>2.52683423014697E-3</v>
      </c>
      <c r="I442" s="735">
        <v>2.1940062649167999E-3</v>
      </c>
      <c r="J442" s="735">
        <v>2.51764761213478E-3</v>
      </c>
      <c r="L442" s="84"/>
      <c r="M442" s="84"/>
      <c r="N442" s="84"/>
      <c r="O442" s="84"/>
      <c r="P442" s="84"/>
      <c r="Q442" s="84"/>
      <c r="R442" s="84"/>
      <c r="S442" s="84"/>
    </row>
    <row r="443" spans="1:19">
      <c r="A443" s="629" t="s">
        <v>860</v>
      </c>
      <c r="G443" s="629">
        <v>3.42910966329165E-3</v>
      </c>
      <c r="H443" s="734">
        <v>3.2762162067568701E-3</v>
      </c>
      <c r="I443" s="735">
        <v>2.3778684488622399E-3</v>
      </c>
      <c r="J443" s="735">
        <v>3.2755126687230201E-3</v>
      </c>
      <c r="L443" s="84"/>
      <c r="M443" s="84"/>
      <c r="N443" s="84"/>
      <c r="O443" s="84"/>
      <c r="P443" s="84"/>
      <c r="Q443" s="84"/>
      <c r="R443" s="84"/>
      <c r="S443" s="84"/>
    </row>
    <row r="444" spans="1:19">
      <c r="A444" s="629" t="s">
        <v>859</v>
      </c>
      <c r="G444" s="629">
        <v>3.1774496708442202E-3</v>
      </c>
      <c r="H444" s="734">
        <v>3.1597577498083699E-3</v>
      </c>
      <c r="I444" s="735">
        <v>2.5337748854205801E-3</v>
      </c>
      <c r="J444" s="735">
        <v>3.1767190528466101E-3</v>
      </c>
      <c r="L444" s="84"/>
      <c r="M444" s="84"/>
      <c r="N444" s="84"/>
      <c r="O444" s="84"/>
      <c r="P444" s="84"/>
      <c r="Q444" s="84"/>
      <c r="R444" s="84"/>
      <c r="S444" s="84"/>
    </row>
    <row r="445" spans="1:19">
      <c r="A445" s="629" t="s">
        <v>858</v>
      </c>
      <c r="G445" s="629">
        <v>2.9181015600452799E-3</v>
      </c>
      <c r="H445" s="734">
        <v>2.7223119419730502E-3</v>
      </c>
      <c r="I445" s="735">
        <v>2.3031998344175699E-3</v>
      </c>
      <c r="J445" s="735">
        <v>2.7388017567505502E-3</v>
      </c>
      <c r="L445" s="84"/>
      <c r="M445" s="84"/>
      <c r="N445" s="84"/>
      <c r="O445" s="84"/>
      <c r="P445" s="84"/>
      <c r="Q445" s="84"/>
      <c r="R445" s="84"/>
      <c r="S445" s="84"/>
    </row>
    <row r="446" spans="1:19">
      <c r="A446" s="629" t="s">
        <v>857</v>
      </c>
      <c r="G446" s="629">
        <v>2.7441173314685799E-3</v>
      </c>
      <c r="H446" s="734">
        <v>2.79177469613905E-3</v>
      </c>
      <c r="I446" s="735">
        <v>2.2391838205153801E-3</v>
      </c>
      <c r="J446" s="735">
        <v>2.8070103497264101E-3</v>
      </c>
      <c r="L446" s="84"/>
      <c r="M446" s="84"/>
      <c r="N446" s="84"/>
      <c r="O446" s="84"/>
      <c r="P446" s="84"/>
      <c r="Q446" s="84"/>
      <c r="R446" s="84"/>
      <c r="S446" s="84"/>
    </row>
    <row r="447" spans="1:19">
      <c r="A447" s="629" t="s">
        <v>856</v>
      </c>
      <c r="G447" s="629">
        <v>2.5475794021707198E-3</v>
      </c>
      <c r="H447" s="734">
        <v>2.4163782555950701E-3</v>
      </c>
      <c r="I447" s="735">
        <v>2.0134109835715898E-3</v>
      </c>
      <c r="J447" s="735">
        <v>2.4275555036329601E-3</v>
      </c>
      <c r="L447" s="84"/>
      <c r="M447" s="84"/>
      <c r="N447" s="84"/>
      <c r="O447" s="84"/>
      <c r="P447" s="84"/>
      <c r="Q447" s="84"/>
      <c r="R447" s="84"/>
      <c r="S447" s="84"/>
    </row>
    <row r="448" spans="1:19">
      <c r="A448" s="629" t="s">
        <v>855</v>
      </c>
      <c r="G448" s="629">
        <v>2.69086138211343E-3</v>
      </c>
      <c r="H448" s="734">
        <v>3.35929051037006E-3</v>
      </c>
      <c r="I448" s="735">
        <v>2.3362341846532202E-3</v>
      </c>
      <c r="J448" s="735">
        <v>3.39150941443817E-3</v>
      </c>
      <c r="L448" s="84"/>
      <c r="M448" s="84"/>
      <c r="N448" s="84"/>
      <c r="O448" s="84"/>
      <c r="P448" s="84"/>
      <c r="Q448" s="84"/>
      <c r="R448" s="84"/>
      <c r="S448" s="84"/>
    </row>
    <row r="449" spans="1:19">
      <c r="A449" s="629" t="s">
        <v>854</v>
      </c>
      <c r="D449" s="629">
        <v>4.3773631775935497E-3</v>
      </c>
      <c r="G449" s="629">
        <v>2.7780341559523998E-3</v>
      </c>
      <c r="H449" s="734">
        <v>2.8789210458239302E-3</v>
      </c>
      <c r="I449" s="735">
        <v>2.1518689349864901E-3</v>
      </c>
      <c r="J449" s="735">
        <v>2.9072447136252E-3</v>
      </c>
      <c r="L449" s="84"/>
      <c r="M449" s="84"/>
      <c r="N449" s="84"/>
      <c r="O449" s="84"/>
      <c r="P449" s="84"/>
      <c r="Q449" s="84"/>
      <c r="R449" s="84"/>
      <c r="S449" s="84"/>
    </row>
    <row r="450" spans="1:19">
      <c r="A450" s="629" t="s">
        <v>853</v>
      </c>
      <c r="D450" s="629">
        <v>5.3902028118981097E-3</v>
      </c>
      <c r="G450" s="629">
        <v>3.8182773925388401E-3</v>
      </c>
      <c r="H450" s="734">
        <v>2.6779497422560199E-3</v>
      </c>
      <c r="I450" s="735">
        <v>2.1863272941508899E-3</v>
      </c>
      <c r="J450" s="735">
        <v>2.7093850671923098E-3</v>
      </c>
      <c r="L450" s="84"/>
      <c r="M450" s="84"/>
      <c r="N450" s="84"/>
      <c r="O450" s="84"/>
      <c r="P450" s="84"/>
      <c r="Q450" s="84"/>
      <c r="R450" s="84"/>
      <c r="S450" s="84"/>
    </row>
    <row r="451" spans="1:19">
      <c r="A451" s="629" t="s">
        <v>852</v>
      </c>
      <c r="D451" s="629">
        <v>4.6174583754237204E-3</v>
      </c>
      <c r="G451" s="629">
        <v>3.69732258162509E-3</v>
      </c>
      <c r="H451" s="734">
        <v>2.4786225710717001E-3</v>
      </c>
      <c r="I451" s="735">
        <v>2.04119684127416E-3</v>
      </c>
      <c r="J451" s="735">
        <v>2.5043664401611801E-3</v>
      </c>
      <c r="L451" s="84"/>
      <c r="M451" s="84"/>
      <c r="N451" s="84"/>
      <c r="O451" s="84"/>
      <c r="P451" s="84"/>
      <c r="Q451" s="84"/>
      <c r="R451" s="84"/>
      <c r="S451" s="84"/>
    </row>
    <row r="452" spans="1:19">
      <c r="A452" s="629" t="s">
        <v>851</v>
      </c>
      <c r="D452" s="629">
        <v>3.67328180476633E-3</v>
      </c>
      <c r="G452" s="629">
        <v>4.1459457789928501E-3</v>
      </c>
      <c r="H452" s="734">
        <v>2.2451541832181699E-3</v>
      </c>
      <c r="I452" s="735">
        <v>1.8480551411092601E-3</v>
      </c>
      <c r="J452" s="735">
        <v>2.2686440685203099E-3</v>
      </c>
      <c r="L452" s="84"/>
      <c r="M452" s="84"/>
      <c r="N452" s="84"/>
      <c r="O452" s="84"/>
      <c r="P452" s="84"/>
      <c r="Q452" s="84"/>
      <c r="R452" s="84"/>
      <c r="S452" s="84"/>
    </row>
    <row r="453" spans="1:19">
      <c r="A453" s="629" t="s">
        <v>850</v>
      </c>
      <c r="D453" s="629">
        <v>5.7923889076956902E-3</v>
      </c>
      <c r="G453" s="629">
        <v>3.9574230674872301E-3</v>
      </c>
      <c r="H453" s="734">
        <v>2.1688930470209699E-3</v>
      </c>
      <c r="I453" s="735">
        <v>1.6947141188742301E-3</v>
      </c>
      <c r="J453" s="735">
        <v>2.1948006650159401E-3</v>
      </c>
      <c r="L453" s="84"/>
      <c r="M453" s="84"/>
      <c r="N453" s="84"/>
      <c r="O453" s="84"/>
      <c r="P453" s="84"/>
      <c r="Q453" s="84"/>
      <c r="R453" s="84"/>
      <c r="S453" s="84"/>
    </row>
    <row r="454" spans="1:19">
      <c r="A454" s="629" t="s">
        <v>849</v>
      </c>
      <c r="D454" s="629">
        <v>4.3076077399746299E-3</v>
      </c>
      <c r="G454" s="629">
        <v>3.79683290687022E-3</v>
      </c>
      <c r="H454" s="734">
        <v>1.9118131635643099E-3</v>
      </c>
      <c r="I454" s="735">
        <v>1.5309075362862699E-3</v>
      </c>
      <c r="J454" s="735">
        <v>1.9321662083394101E-3</v>
      </c>
      <c r="L454" s="84"/>
      <c r="M454" s="84"/>
      <c r="N454" s="84"/>
      <c r="O454" s="84"/>
      <c r="P454" s="84"/>
      <c r="Q454" s="84"/>
      <c r="R454" s="84"/>
      <c r="S454" s="84"/>
    </row>
    <row r="455" spans="1:19">
      <c r="A455" s="629" t="s">
        <v>848</v>
      </c>
      <c r="D455" s="629">
        <v>3.1711973652087098E-3</v>
      </c>
      <c r="G455" s="629">
        <v>3.47644674283155E-3</v>
      </c>
      <c r="H455" s="734">
        <v>1.78902333232356E-3</v>
      </c>
      <c r="I455" s="735">
        <v>1.4239170394181901E-3</v>
      </c>
      <c r="J455" s="735">
        <v>1.8039946334490499E-3</v>
      </c>
      <c r="L455" s="84"/>
      <c r="M455" s="84"/>
      <c r="N455" s="84"/>
      <c r="O455" s="84"/>
      <c r="P455" s="84"/>
      <c r="Q455" s="84"/>
      <c r="R455" s="84"/>
      <c r="S455" s="84"/>
    </row>
    <row r="456" spans="1:19">
      <c r="A456" s="629" t="s">
        <v>847</v>
      </c>
      <c r="D456" s="629">
        <v>3.54151123974847E-3</v>
      </c>
      <c r="G456" s="629">
        <v>3.1854522586114899E-3</v>
      </c>
      <c r="H456" s="734">
        <v>1.6049045311723601E-3</v>
      </c>
      <c r="I456" s="735">
        <v>1.2992503655139299E-3</v>
      </c>
      <c r="J456" s="735">
        <v>1.6124903723388E-3</v>
      </c>
      <c r="L456" s="84"/>
      <c r="M456" s="84"/>
      <c r="N456" s="84"/>
      <c r="O456" s="84"/>
      <c r="P456" s="84"/>
      <c r="Q456" s="84"/>
      <c r="R456" s="84"/>
      <c r="S456" s="84"/>
    </row>
    <row r="457" spans="1:19">
      <c r="A457" s="629" t="s">
        <v>846</v>
      </c>
      <c r="D457" s="629">
        <v>2.7139970088245402E-3</v>
      </c>
      <c r="G457" s="629">
        <v>3.01705437184585E-3</v>
      </c>
      <c r="H457" s="734">
        <v>1.7045304655859601E-3</v>
      </c>
      <c r="I457" s="735">
        <v>1.33230249682937E-3</v>
      </c>
      <c r="J457" s="735">
        <v>1.7130268306008701E-3</v>
      </c>
      <c r="L457" s="84"/>
      <c r="M457" s="84"/>
      <c r="N457" s="84"/>
      <c r="O457" s="84"/>
      <c r="P457" s="84"/>
      <c r="Q457" s="84"/>
      <c r="R457" s="84"/>
      <c r="S457" s="84"/>
    </row>
    <row r="458" spans="1:19">
      <c r="A458" s="629" t="s">
        <v>845</v>
      </c>
      <c r="D458" s="629">
        <v>2.48225339514528E-3</v>
      </c>
      <c r="G458" s="629">
        <v>3.0377010544990202E-3</v>
      </c>
      <c r="H458" s="734">
        <v>1.5626869533696701E-3</v>
      </c>
      <c r="I458" s="735">
        <v>1.3215287266048E-3</v>
      </c>
      <c r="J458" s="735">
        <v>1.5651133617350301E-3</v>
      </c>
      <c r="L458" s="84"/>
      <c r="M458" s="84"/>
      <c r="N458" s="84"/>
      <c r="O458" s="84"/>
      <c r="P458" s="84"/>
      <c r="Q458" s="84"/>
      <c r="R458" s="84"/>
      <c r="S458" s="84"/>
    </row>
    <row r="459" spans="1:19">
      <c r="A459" s="629" t="s">
        <v>844</v>
      </c>
      <c r="D459" s="629">
        <v>2.62319014877012E-3</v>
      </c>
      <c r="G459" s="629">
        <v>2.8287787263224502E-3</v>
      </c>
      <c r="H459" s="734">
        <v>1.4885591504352699E-3</v>
      </c>
      <c r="I459" s="735">
        <v>1.21414643240413E-3</v>
      </c>
      <c r="J459" s="735">
        <v>1.4896802994653401E-3</v>
      </c>
      <c r="L459" s="84"/>
      <c r="M459" s="84"/>
      <c r="N459" s="84"/>
      <c r="O459" s="84"/>
      <c r="P459" s="84"/>
      <c r="Q459" s="84"/>
      <c r="R459" s="84"/>
      <c r="S459" s="84"/>
    </row>
    <row r="460" spans="1:19">
      <c r="A460" s="629" t="s">
        <v>843</v>
      </c>
      <c r="D460" s="629">
        <v>2.88782939928816E-3</v>
      </c>
      <c r="G460" s="629">
        <v>2.7407560544977201E-3</v>
      </c>
      <c r="H460" s="734">
        <v>1.3613565189672899E-3</v>
      </c>
      <c r="I460" s="735">
        <v>1.13211315071683E-3</v>
      </c>
      <c r="J460" s="735">
        <v>1.35815118512418E-3</v>
      </c>
      <c r="L460" s="84"/>
      <c r="M460" s="84"/>
      <c r="N460" s="84"/>
      <c r="O460" s="84"/>
      <c r="P460" s="84"/>
      <c r="Q460" s="84"/>
      <c r="R460" s="84"/>
      <c r="S460" s="84"/>
    </row>
    <row r="461" spans="1:19">
      <c r="A461" s="629" t="s">
        <v>842</v>
      </c>
      <c r="D461" s="629">
        <v>2.5852377662098601E-3</v>
      </c>
      <c r="G461" s="629">
        <v>2.59635390781323E-3</v>
      </c>
      <c r="H461" s="734">
        <v>1.28119446277465E-3</v>
      </c>
      <c r="I461" s="735">
        <v>1.1145052290859501E-3</v>
      </c>
      <c r="J461" s="735">
        <v>1.27656179447765E-3</v>
      </c>
      <c r="L461" s="84"/>
      <c r="M461" s="84"/>
      <c r="N461" s="84"/>
      <c r="O461" s="84"/>
      <c r="P461" s="84"/>
      <c r="Q461" s="84"/>
      <c r="R461" s="84"/>
      <c r="S461" s="84"/>
    </row>
    <row r="462" spans="1:19">
      <c r="A462" s="629" t="s">
        <v>841</v>
      </c>
      <c r="D462" s="629">
        <v>2.2444492054557999E-3</v>
      </c>
      <c r="G462" s="629">
        <v>2.5705872284889999E-3</v>
      </c>
      <c r="H462" s="734">
        <v>1.22787083988445E-3</v>
      </c>
      <c r="I462" s="735">
        <v>1.03064132427757E-3</v>
      </c>
      <c r="J462" s="735">
        <v>1.22144150207571E-3</v>
      </c>
      <c r="L462" s="84"/>
      <c r="M462" s="84"/>
      <c r="N462" s="84"/>
      <c r="O462" s="84"/>
      <c r="P462" s="84"/>
      <c r="Q462" s="84"/>
      <c r="R462" s="84"/>
      <c r="S462" s="84"/>
    </row>
    <row r="463" spans="1:19">
      <c r="A463" s="629" t="s">
        <v>840</v>
      </c>
      <c r="D463" s="629">
        <v>2.9471404317377098E-3</v>
      </c>
      <c r="G463" s="629">
        <v>2.5989589858288098E-3</v>
      </c>
      <c r="H463" s="734">
        <v>1.1350207836638699E-3</v>
      </c>
      <c r="I463" s="735">
        <v>9.5232686550716505E-4</v>
      </c>
      <c r="J463" s="735">
        <v>1.12476915846727E-3</v>
      </c>
      <c r="L463" s="84"/>
      <c r="M463" s="84"/>
      <c r="N463" s="84"/>
      <c r="O463" s="84"/>
      <c r="P463" s="84"/>
      <c r="Q463" s="84"/>
      <c r="R463" s="84"/>
      <c r="S463" s="84"/>
    </row>
    <row r="464" spans="1:19">
      <c r="A464" s="629" t="s">
        <v>839</v>
      </c>
      <c r="D464" s="629">
        <v>2.4148855766813701E-3</v>
      </c>
      <c r="G464" s="629">
        <v>2.3976034199021299E-3</v>
      </c>
      <c r="H464" s="734">
        <v>1.0622570574198699E-3</v>
      </c>
      <c r="I464" s="735">
        <v>8.9171558652141104E-4</v>
      </c>
      <c r="J464" s="735">
        <v>1.0497822736906901E-3</v>
      </c>
      <c r="L464" s="84"/>
      <c r="M464" s="84"/>
      <c r="N464" s="84"/>
      <c r="O464" s="84"/>
      <c r="P464" s="84"/>
      <c r="Q464" s="84"/>
      <c r="R464" s="84"/>
      <c r="S464" s="84"/>
    </row>
    <row r="465" spans="1:19">
      <c r="A465" s="629" t="s">
        <v>838</v>
      </c>
      <c r="D465" s="629">
        <v>2.1339344267514498E-3</v>
      </c>
      <c r="G465" s="629">
        <v>2.3402600085220202E-3</v>
      </c>
      <c r="H465" s="734">
        <v>9.9120850425808292E-4</v>
      </c>
      <c r="I465" s="735">
        <v>8.3098543001563498E-4</v>
      </c>
      <c r="J465" s="735">
        <v>9.7548759553119199E-4</v>
      </c>
      <c r="L465" s="84"/>
      <c r="M465" s="84"/>
      <c r="N465" s="84"/>
      <c r="O465" s="84"/>
      <c r="P465" s="84"/>
      <c r="Q465" s="84"/>
      <c r="R465" s="84"/>
      <c r="S465" s="84"/>
    </row>
    <row r="466" spans="1:19">
      <c r="A466" s="629" t="s">
        <v>837</v>
      </c>
      <c r="D466" s="629">
        <v>2.0155099092296698E-3</v>
      </c>
      <c r="G466" s="629">
        <v>2.1878967141047501E-3</v>
      </c>
      <c r="H466" s="734">
        <v>9.4570599842515204E-4</v>
      </c>
      <c r="I466" s="735">
        <v>7.7813103908112196E-4</v>
      </c>
      <c r="J466" s="735">
        <v>9.2689028323612605E-4</v>
      </c>
      <c r="L466" s="84"/>
      <c r="M466" s="84"/>
      <c r="N466" s="84"/>
      <c r="O466" s="84"/>
      <c r="P466" s="84"/>
      <c r="Q466" s="84"/>
      <c r="R466" s="84"/>
      <c r="S466" s="84"/>
    </row>
    <row r="467" spans="1:19">
      <c r="A467" s="629" t="s">
        <v>836</v>
      </c>
      <c r="D467" s="629">
        <v>1.93458282289926E-3</v>
      </c>
      <c r="G467" s="629">
        <v>2.0500574700177002E-3</v>
      </c>
      <c r="H467" s="734">
        <v>9.1145043394703397E-4</v>
      </c>
      <c r="I467" s="735">
        <v>7.6820235469189397E-4</v>
      </c>
      <c r="J467" s="735">
        <v>8.9170379239420698E-4</v>
      </c>
      <c r="L467" s="84"/>
      <c r="M467" s="84"/>
      <c r="N467" s="84"/>
      <c r="O467" s="84"/>
      <c r="P467" s="84"/>
      <c r="Q467" s="84"/>
      <c r="R467" s="84"/>
      <c r="S467" s="84"/>
    </row>
    <row r="468" spans="1:19">
      <c r="A468" s="629" t="s">
        <v>835</v>
      </c>
      <c r="D468" s="629">
        <v>2.5337564756911799E-3</v>
      </c>
      <c r="G468" s="629">
        <v>1.9672254002535599E-3</v>
      </c>
      <c r="H468" s="734">
        <v>8.8998061504077597E-4</v>
      </c>
      <c r="I468" s="735">
        <v>9.14114988348352E-4</v>
      </c>
      <c r="J468" s="735">
        <v>8.6863382501107904E-4</v>
      </c>
      <c r="L468" s="84"/>
      <c r="M468" s="84"/>
      <c r="N468" s="84"/>
      <c r="O468" s="84"/>
      <c r="P468" s="84"/>
      <c r="Q468" s="84"/>
      <c r="R468" s="84"/>
      <c r="S468" s="84"/>
    </row>
    <row r="469" spans="1:19">
      <c r="A469" s="629" t="s">
        <v>834</v>
      </c>
      <c r="D469" s="629">
        <v>2.2349404065717198E-3</v>
      </c>
      <c r="G469" s="629">
        <v>2.08052807472825E-3</v>
      </c>
      <c r="H469" s="734">
        <v>8.9199898779264701E-4</v>
      </c>
      <c r="I469" s="735">
        <v>8.5070933679786504E-4</v>
      </c>
      <c r="J469" s="735">
        <v>8.6822058178134896E-4</v>
      </c>
      <c r="L469" s="84"/>
      <c r="M469" s="84"/>
      <c r="N469" s="84"/>
      <c r="O469" s="84"/>
      <c r="P469" s="84"/>
      <c r="Q469" s="84"/>
      <c r="R469" s="84"/>
      <c r="S469" s="84"/>
    </row>
    <row r="470" spans="1:19">
      <c r="A470" s="629" t="s">
        <v>833</v>
      </c>
      <c r="D470" s="629">
        <v>4.61350645307965E-3</v>
      </c>
      <c r="G470" s="629">
        <v>1.93445445990462E-3</v>
      </c>
      <c r="H470" s="734">
        <v>9.2618571123508498E-4</v>
      </c>
      <c r="I470" s="735">
        <v>8.1027870807212903E-4</v>
      </c>
      <c r="J470" s="735">
        <v>9.0199461614746696E-4</v>
      </c>
      <c r="L470" s="84"/>
      <c r="M470" s="84"/>
      <c r="N470" s="84"/>
      <c r="O470" s="84"/>
      <c r="P470" s="84"/>
      <c r="Q470" s="84"/>
      <c r="R470" s="84"/>
      <c r="S470" s="84"/>
    </row>
    <row r="471" spans="1:19">
      <c r="A471" s="629" t="s">
        <v>832</v>
      </c>
      <c r="D471" s="629">
        <v>4.7011186728716401E-3</v>
      </c>
      <c r="G471" s="629">
        <v>1.80946593718938E-3</v>
      </c>
      <c r="H471" s="734">
        <v>8.8080650150968299E-4</v>
      </c>
      <c r="I471" s="735">
        <v>7.7396398468195296E-4</v>
      </c>
      <c r="J471" s="735">
        <v>8.5505923877952504E-4</v>
      </c>
      <c r="L471" s="84"/>
      <c r="M471" s="84"/>
      <c r="N471" s="84"/>
      <c r="O471" s="84"/>
      <c r="P471" s="84"/>
      <c r="Q471" s="84"/>
      <c r="R471" s="84"/>
      <c r="S471" s="84"/>
    </row>
    <row r="472" spans="1:19">
      <c r="A472" s="629" t="s">
        <v>831</v>
      </c>
      <c r="D472" s="629">
        <v>3.3152505247312399E-3</v>
      </c>
      <c r="G472" s="629">
        <v>1.6907219754176701E-3</v>
      </c>
      <c r="H472" s="734">
        <v>8.4628790079376102E-4</v>
      </c>
      <c r="I472" s="735">
        <v>7.32524501957227E-4</v>
      </c>
      <c r="J472" s="735">
        <v>8.1885878326007702E-4</v>
      </c>
      <c r="L472" s="84"/>
      <c r="M472" s="84"/>
      <c r="N472" s="84"/>
      <c r="O472" s="84"/>
      <c r="P472" s="84"/>
      <c r="Q472" s="84"/>
      <c r="R472" s="84"/>
      <c r="S472" s="84"/>
    </row>
    <row r="473" spans="1:19">
      <c r="A473" s="629" t="s">
        <v>830</v>
      </c>
      <c r="D473" s="629">
        <v>3.1642587509551198E-3</v>
      </c>
      <c r="G473" s="629">
        <v>1.58357261605417E-3</v>
      </c>
      <c r="H473" s="734">
        <v>8.1371697151600396E-4</v>
      </c>
      <c r="I473" s="735">
        <v>6.9339610318889199E-4</v>
      </c>
      <c r="J473" s="735">
        <v>7.8496072698994895E-4</v>
      </c>
      <c r="L473" s="84"/>
      <c r="M473" s="84"/>
      <c r="N473" s="84"/>
      <c r="O473" s="84"/>
      <c r="P473" s="84"/>
      <c r="Q473" s="84"/>
      <c r="R473" s="84"/>
      <c r="S473" s="84"/>
    </row>
    <row r="474" spans="1:19">
      <c r="A474" s="629" t="s">
        <v>829</v>
      </c>
      <c r="D474" s="629">
        <v>4.1802107204878397E-3</v>
      </c>
      <c r="G474" s="629">
        <v>1.48831255404769E-3</v>
      </c>
      <c r="H474" s="734">
        <v>8.9444248522374504E-4</v>
      </c>
      <c r="I474" s="735">
        <v>7.6982215729532897E-4</v>
      </c>
      <c r="J474" s="735">
        <v>8.6553286441919E-4</v>
      </c>
      <c r="L474" s="84"/>
      <c r="M474" s="84"/>
      <c r="N474" s="84"/>
      <c r="O474" s="84"/>
      <c r="P474" s="84"/>
      <c r="Q474" s="84"/>
      <c r="R474" s="84"/>
      <c r="S474" s="84"/>
    </row>
    <row r="475" spans="1:19">
      <c r="A475" s="629" t="s">
        <v>828</v>
      </c>
      <c r="D475" s="629">
        <v>3.0490701223662999E-3</v>
      </c>
      <c r="G475" s="629">
        <v>1.7120296668220599E-3</v>
      </c>
      <c r="H475" s="734">
        <v>8.5430565118031201E-4</v>
      </c>
      <c r="I475" s="735">
        <v>7.2618563529076201E-4</v>
      </c>
      <c r="J475" s="735">
        <v>8.2458435073956896E-4</v>
      </c>
      <c r="L475" s="84"/>
      <c r="M475" s="84"/>
      <c r="N475" s="84"/>
      <c r="O475" s="84"/>
      <c r="P475" s="84"/>
      <c r="Q475" s="84"/>
      <c r="R475" s="84"/>
      <c r="S475" s="84"/>
    </row>
    <row r="476" spans="1:19">
      <c r="A476" s="629" t="s">
        <v>827</v>
      </c>
      <c r="D476" s="629">
        <v>2.5470376196108902E-3</v>
      </c>
      <c r="G476" s="629">
        <v>1.7887151423242799E-3</v>
      </c>
      <c r="H476" s="734">
        <v>8.7101406361703203E-4</v>
      </c>
      <c r="I476" s="735">
        <v>6.88249827341412E-4</v>
      </c>
      <c r="J476" s="735">
        <v>8.3867041141494499E-4</v>
      </c>
      <c r="L476" s="84"/>
      <c r="M476" s="84"/>
      <c r="N476" s="84"/>
      <c r="O476" s="84"/>
      <c r="P476" s="84"/>
      <c r="Q476" s="84"/>
      <c r="R476" s="84"/>
      <c r="S476" s="84"/>
    </row>
    <row r="477" spans="1:19">
      <c r="A477" s="629" t="s">
        <v>826</v>
      </c>
      <c r="D477" s="629">
        <v>2.3811600698398802E-3</v>
      </c>
      <c r="G477" s="629">
        <v>1.6702639606524601E-3</v>
      </c>
      <c r="H477" s="734">
        <v>9.4855660597937196E-4</v>
      </c>
      <c r="I477" s="735">
        <v>6.5733692764534098E-4</v>
      </c>
      <c r="J477" s="735">
        <v>9.1717092570669698E-4</v>
      </c>
      <c r="L477" s="84"/>
      <c r="M477" s="84"/>
      <c r="N477" s="84"/>
      <c r="O477" s="84"/>
      <c r="P477" s="84"/>
      <c r="Q477" s="84"/>
      <c r="R477" s="84"/>
      <c r="S477" s="84"/>
    </row>
    <row r="478" spans="1:19">
      <c r="A478" s="629" t="s">
        <v>825</v>
      </c>
      <c r="D478" s="629">
        <v>2.1716793021399998E-3</v>
      </c>
      <c r="G478" s="629">
        <v>1.57196634129594E-3</v>
      </c>
      <c r="H478" s="734">
        <v>9.0877908699501196E-4</v>
      </c>
      <c r="I478" s="735">
        <v>6.4496263427730105E-4</v>
      </c>
      <c r="J478" s="735">
        <v>8.7724600625531401E-4</v>
      </c>
      <c r="L478" s="84"/>
      <c r="M478" s="84"/>
      <c r="N478" s="84"/>
      <c r="O478" s="84"/>
      <c r="P478" s="84"/>
      <c r="Q478" s="84"/>
      <c r="R478" s="84"/>
      <c r="S478" s="84"/>
    </row>
    <row r="479" spans="1:19">
      <c r="A479" s="629" t="s">
        <v>824</v>
      </c>
      <c r="D479" s="629">
        <v>2.7007722193304099E-3</v>
      </c>
      <c r="G479" s="629">
        <v>1.6346632097280699E-3</v>
      </c>
      <c r="H479" s="734">
        <v>1.2439367648105599E-3</v>
      </c>
      <c r="I479" s="735">
        <v>7.7705958451422302E-4</v>
      </c>
      <c r="J479" s="735">
        <v>1.21052402405119E-3</v>
      </c>
      <c r="L479" s="84"/>
      <c r="M479" s="84"/>
      <c r="N479" s="84"/>
      <c r="O479" s="84"/>
      <c r="P479" s="84"/>
      <c r="Q479" s="84"/>
      <c r="R479" s="84"/>
      <c r="S479" s="84"/>
    </row>
    <row r="480" spans="1:19">
      <c r="A480" s="629" t="s">
        <v>823</v>
      </c>
      <c r="D480" s="629">
        <v>3.2767610228369602E-3</v>
      </c>
      <c r="G480" s="629">
        <v>1.5341242192397301E-3</v>
      </c>
      <c r="H480" s="734">
        <v>1.1477263078272901E-3</v>
      </c>
      <c r="I480" s="735">
        <v>7.3404655870685403E-4</v>
      </c>
      <c r="J480" s="735">
        <v>1.11564058284746E-3</v>
      </c>
      <c r="L480" s="84"/>
      <c r="M480" s="84"/>
      <c r="N480" s="84"/>
      <c r="O480" s="84"/>
      <c r="P480" s="84"/>
      <c r="Q480" s="84"/>
      <c r="R480" s="84"/>
      <c r="S480" s="84"/>
    </row>
    <row r="481" spans="1:19">
      <c r="A481" s="629" t="s">
        <v>822</v>
      </c>
      <c r="D481" s="629">
        <v>2.8334066217653299E-3</v>
      </c>
      <c r="G481" s="629">
        <v>1.47807593240215E-3</v>
      </c>
      <c r="H481" s="734">
        <v>1.11345801545234E-3</v>
      </c>
      <c r="I481" s="735">
        <v>6.9569296264871696E-4</v>
      </c>
      <c r="J481" s="735">
        <v>1.08460291773998E-3</v>
      </c>
      <c r="L481" s="84"/>
      <c r="M481" s="84"/>
      <c r="N481" s="84"/>
      <c r="O481" s="84"/>
      <c r="P481" s="84"/>
      <c r="Q481" s="84"/>
      <c r="R481" s="84"/>
      <c r="S481" s="84"/>
    </row>
    <row r="482" spans="1:19">
      <c r="A482" s="629" t="s">
        <v>821</v>
      </c>
      <c r="D482" s="629">
        <v>2.79192513948232E-3</v>
      </c>
      <c r="G482" s="629">
        <v>1.3925339904496401E-3</v>
      </c>
      <c r="H482" s="734">
        <v>1.1247441264003099E-3</v>
      </c>
      <c r="I482" s="735">
        <v>6.8237383734333899E-4</v>
      </c>
      <c r="J482" s="735">
        <v>1.09789517007913E-3</v>
      </c>
      <c r="L482" s="84"/>
      <c r="M482" s="84"/>
      <c r="N482" s="84"/>
      <c r="O482" s="84"/>
      <c r="P482" s="84"/>
      <c r="Q482" s="84"/>
      <c r="R482" s="84"/>
      <c r="S482" s="84"/>
    </row>
    <row r="483" spans="1:19">
      <c r="A483" s="629" t="s">
        <v>820</v>
      </c>
      <c r="D483" s="629">
        <v>2.4779086969652802E-3</v>
      </c>
      <c r="G483" s="629">
        <v>1.3986731080191199E-3</v>
      </c>
      <c r="H483" s="734">
        <v>1.10593058473001E-3</v>
      </c>
      <c r="I483" s="735">
        <v>6.5504401307851605E-4</v>
      </c>
      <c r="J483" s="735">
        <v>1.0794552220805701E-3</v>
      </c>
      <c r="L483" s="84"/>
      <c r="M483" s="84"/>
      <c r="N483" s="84"/>
      <c r="O483" s="84"/>
      <c r="P483" s="84"/>
      <c r="Q483" s="84"/>
      <c r="R483" s="84"/>
      <c r="S483" s="84"/>
    </row>
    <row r="484" spans="1:19">
      <c r="A484" s="629" t="s">
        <v>819</v>
      </c>
      <c r="D484" s="629">
        <v>2.6186156652877302E-3</v>
      </c>
      <c r="G484" s="629">
        <v>1.3751085408274101E-3</v>
      </c>
      <c r="H484" s="734">
        <v>1.0405728991518201E-3</v>
      </c>
      <c r="I484" s="735">
        <v>6.5372288785347805E-4</v>
      </c>
      <c r="J484" s="735">
        <v>1.0128192066750101E-3</v>
      </c>
      <c r="L484" s="84"/>
      <c r="M484" s="84"/>
      <c r="N484" s="84"/>
      <c r="O484" s="84"/>
      <c r="P484" s="84"/>
      <c r="Q484" s="84"/>
      <c r="R484" s="84"/>
      <c r="S484" s="84"/>
    </row>
    <row r="485" spans="1:19">
      <c r="A485" s="629" t="s">
        <v>818</v>
      </c>
      <c r="D485" s="629">
        <v>2.9171450325207499E-3</v>
      </c>
      <c r="G485" s="629">
        <v>1.6465859305397599E-3</v>
      </c>
      <c r="H485" s="734">
        <v>9.7511515002874803E-4</v>
      </c>
      <c r="I485" s="735">
        <v>6.2685624973800997E-4</v>
      </c>
      <c r="J485" s="735">
        <v>9.4689522055044001E-4</v>
      </c>
      <c r="L485" s="84"/>
      <c r="M485" s="84"/>
      <c r="N485" s="84"/>
      <c r="O485" s="84"/>
      <c r="P485" s="84"/>
      <c r="Q485" s="84"/>
      <c r="R485" s="84"/>
      <c r="S485" s="84"/>
    </row>
    <row r="486" spans="1:19">
      <c r="A486" s="629" t="s">
        <v>817</v>
      </c>
      <c r="D486" s="629">
        <v>2.9418047412739898E-3</v>
      </c>
      <c r="G486" s="629">
        <v>1.75074979291825E-3</v>
      </c>
      <c r="H486" s="734">
        <v>9.1958157078350601E-4</v>
      </c>
      <c r="I486" s="735">
        <v>7.2932269743208801E-4</v>
      </c>
      <c r="J486" s="735">
        <v>8.9054453272820698E-4</v>
      </c>
      <c r="L486" s="84"/>
      <c r="M486" s="84"/>
      <c r="N486" s="84"/>
      <c r="O486" s="84"/>
      <c r="P486" s="84"/>
      <c r="Q486" s="84"/>
      <c r="R486" s="84"/>
      <c r="S486" s="84"/>
    </row>
    <row r="487" spans="1:19">
      <c r="A487" s="629" t="s">
        <v>816</v>
      </c>
      <c r="D487" s="629">
        <v>2.5715257131752301E-3</v>
      </c>
      <c r="G487" s="629">
        <v>1.81584299236401E-3</v>
      </c>
      <c r="H487" s="734">
        <v>9.2261123912376402E-4</v>
      </c>
      <c r="I487" s="735">
        <v>9.2278775227465403E-4</v>
      </c>
      <c r="J487" s="735">
        <v>8.9462544622525002E-4</v>
      </c>
      <c r="L487" s="84"/>
      <c r="M487" s="84"/>
      <c r="N487" s="84"/>
      <c r="O487" s="84"/>
      <c r="P487" s="84"/>
      <c r="Q487" s="84"/>
      <c r="R487" s="84"/>
      <c r="S487" s="84"/>
    </row>
    <row r="488" spans="1:19">
      <c r="A488" s="629" t="s">
        <v>815</v>
      </c>
      <c r="D488" s="629">
        <v>2.3474134068413701E-3</v>
      </c>
      <c r="G488" s="629">
        <v>1.69559066861665E-3</v>
      </c>
      <c r="H488" s="734">
        <v>9.7385377540859205E-4</v>
      </c>
      <c r="I488" s="735">
        <v>8.6896834904317698E-4</v>
      </c>
      <c r="J488" s="735">
        <v>9.4444230624172196E-4</v>
      </c>
      <c r="L488" s="84"/>
      <c r="M488" s="84"/>
      <c r="N488" s="84"/>
      <c r="O488" s="84"/>
      <c r="P488" s="84"/>
      <c r="Q488" s="84"/>
      <c r="R488" s="84"/>
      <c r="S488" s="84"/>
    </row>
    <row r="489" spans="1:19">
      <c r="A489" s="629" t="s">
        <v>814</v>
      </c>
      <c r="D489" s="629">
        <v>2.2540976599057499E-3</v>
      </c>
      <c r="G489" s="629">
        <v>1.6746688570197E-3</v>
      </c>
      <c r="H489" s="734">
        <v>9.49502658768276E-4</v>
      </c>
      <c r="I489" s="735">
        <v>8.2512021709551695E-4</v>
      </c>
      <c r="J489" s="735">
        <v>9.19258426232526E-4</v>
      </c>
      <c r="L489" s="84"/>
      <c r="M489" s="84"/>
      <c r="N489" s="84"/>
      <c r="O489" s="84"/>
      <c r="P489" s="84"/>
      <c r="Q489" s="84"/>
      <c r="R489" s="84"/>
      <c r="S489" s="84"/>
    </row>
    <row r="490" spans="1:19">
      <c r="A490" s="629" t="s">
        <v>813</v>
      </c>
      <c r="D490" s="629">
        <v>2.22601231421525E-3</v>
      </c>
      <c r="G490" s="629">
        <v>1.5923157050705E-3</v>
      </c>
      <c r="H490" s="734">
        <v>1.3107974966271999E-3</v>
      </c>
      <c r="I490" s="735">
        <v>9.0614538849112796E-4</v>
      </c>
      <c r="J490" s="735">
        <v>1.28091181439202E-3</v>
      </c>
      <c r="L490" s="84"/>
      <c r="M490" s="84"/>
      <c r="N490" s="84"/>
      <c r="O490" s="84"/>
      <c r="P490" s="84"/>
      <c r="Q490" s="84"/>
      <c r="R490" s="84"/>
      <c r="S490" s="84"/>
    </row>
    <row r="491" spans="1:19">
      <c r="A491" s="629" t="s">
        <v>812</v>
      </c>
      <c r="D491" s="629">
        <v>2.8012804329343301E-3</v>
      </c>
      <c r="G491" s="629">
        <v>1.49955833463107E-3</v>
      </c>
      <c r="H491" s="734">
        <v>1.2615222881951201E-3</v>
      </c>
      <c r="I491" s="735">
        <v>9.0513559507037801E-4</v>
      </c>
      <c r="J491" s="735">
        <v>1.2319992199891501E-3</v>
      </c>
      <c r="L491" s="84"/>
      <c r="M491" s="84"/>
      <c r="N491" s="84"/>
      <c r="O491" s="84"/>
      <c r="P491" s="84"/>
      <c r="Q491" s="84"/>
      <c r="R491" s="84"/>
      <c r="S491" s="84"/>
    </row>
    <row r="492" spans="1:19">
      <c r="A492" s="629" t="s">
        <v>811</v>
      </c>
      <c r="D492" s="629">
        <v>2.3738592503036102E-3</v>
      </c>
      <c r="G492" s="629">
        <v>1.4756245224151201E-3</v>
      </c>
      <c r="H492" s="734">
        <v>1.2053401800727101E-3</v>
      </c>
      <c r="I492" s="735">
        <v>8.4512590137112299E-4</v>
      </c>
      <c r="J492" s="735">
        <v>1.1768905508876899E-3</v>
      </c>
      <c r="L492" s="84"/>
      <c r="M492" s="84"/>
      <c r="N492" s="84"/>
      <c r="O492" s="84"/>
      <c r="P492" s="84"/>
      <c r="Q492" s="84"/>
      <c r="R492" s="84"/>
      <c r="S492" s="84"/>
    </row>
    <row r="493" spans="1:19">
      <c r="A493" s="629" t="s">
        <v>810</v>
      </c>
      <c r="D493" s="629">
        <v>6.5375117733635704E-3</v>
      </c>
      <c r="G493" s="629">
        <v>1.5246359566931801E-3</v>
      </c>
      <c r="H493" s="734">
        <v>1.9542093612644599E-3</v>
      </c>
      <c r="I493" s="735">
        <v>1.7290989016111799E-3</v>
      </c>
      <c r="J493" s="735">
        <v>1.92969692293902E-3</v>
      </c>
      <c r="L493" s="84"/>
      <c r="M493" s="84"/>
      <c r="N493" s="84"/>
      <c r="O493" s="84"/>
      <c r="P493" s="84"/>
      <c r="Q493" s="84"/>
      <c r="R493" s="84"/>
      <c r="S493" s="84"/>
    </row>
    <row r="494" spans="1:19">
      <c r="A494" s="629" t="s">
        <v>809</v>
      </c>
      <c r="D494" s="629">
        <v>1.00971383816675E-2</v>
      </c>
      <c r="G494" s="629">
        <v>1.43975150181429E-3</v>
      </c>
      <c r="H494" s="734">
        <v>1.7549249904161299E-3</v>
      </c>
      <c r="I494" s="735">
        <v>1.73318071660496E-3</v>
      </c>
      <c r="J494" s="735">
        <v>1.7313737603827501E-3</v>
      </c>
      <c r="L494" s="84"/>
      <c r="M494" s="84"/>
      <c r="N494" s="84"/>
      <c r="O494" s="84"/>
      <c r="P494" s="84"/>
      <c r="Q494" s="84"/>
      <c r="R494" s="84"/>
      <c r="S494" s="84"/>
    </row>
    <row r="495" spans="1:19">
      <c r="A495" s="629" t="s">
        <v>808</v>
      </c>
      <c r="D495" s="629">
        <v>8.3456644206980693E-3</v>
      </c>
      <c r="G495" s="629">
        <v>1.3831494044367499E-3</v>
      </c>
      <c r="H495" s="734">
        <v>1.7692491832228801E-3</v>
      </c>
      <c r="I495" s="735">
        <v>2.4275587701687298E-3</v>
      </c>
      <c r="J495" s="735">
        <v>1.7505031641096699E-3</v>
      </c>
      <c r="L495" s="84"/>
      <c r="M495" s="84"/>
      <c r="N495" s="84"/>
      <c r="O495" s="84"/>
      <c r="P495" s="84"/>
      <c r="Q495" s="84"/>
      <c r="R495" s="84"/>
      <c r="S495" s="84"/>
    </row>
    <row r="496" spans="1:19">
      <c r="A496" s="629" t="s">
        <v>807</v>
      </c>
      <c r="D496" s="629">
        <v>7.0129214352448203E-3</v>
      </c>
      <c r="G496" s="629">
        <v>1.3062350668321099E-3</v>
      </c>
      <c r="H496" s="734">
        <v>1.5720477711112699E-3</v>
      </c>
      <c r="I496" s="735">
        <v>2.1972696000629802E-3</v>
      </c>
      <c r="J496" s="735">
        <v>1.5532140043471099E-3</v>
      </c>
      <c r="L496" s="84"/>
      <c r="M496" s="84"/>
      <c r="N496" s="84"/>
      <c r="O496" s="84"/>
      <c r="P496" s="84"/>
      <c r="Q496" s="84"/>
      <c r="R496" s="84"/>
      <c r="S496" s="84"/>
    </row>
    <row r="497" spans="1:19">
      <c r="A497" s="629" t="s">
        <v>806</v>
      </c>
      <c r="D497" s="629">
        <v>4.5548497933748299E-3</v>
      </c>
      <c r="G497" s="629">
        <v>1.3615412931354499E-3</v>
      </c>
      <c r="H497" s="734">
        <v>1.4194795481451399E-3</v>
      </c>
      <c r="I497" s="735">
        <v>1.99020266849439E-3</v>
      </c>
      <c r="J497" s="735">
        <v>1.4001931548192001E-3</v>
      </c>
      <c r="L497" s="84"/>
      <c r="M497" s="84"/>
      <c r="N497" s="84"/>
      <c r="O497" s="84"/>
      <c r="P497" s="84"/>
      <c r="Q497" s="84"/>
      <c r="R497" s="84"/>
      <c r="S497" s="84"/>
    </row>
    <row r="498" spans="1:19">
      <c r="A498" s="629" t="s">
        <v>805</v>
      </c>
      <c r="D498" s="629">
        <v>3.3406361428300201E-3</v>
      </c>
      <c r="G498" s="629">
        <v>2.7664399027836199E-3</v>
      </c>
      <c r="H498" s="734">
        <v>1.9507612479176301E-3</v>
      </c>
      <c r="I498" s="735">
        <v>1.8294805951625101E-3</v>
      </c>
      <c r="J498" s="735">
        <v>1.9424504648223699E-3</v>
      </c>
      <c r="L498" s="84"/>
      <c r="M498" s="84"/>
      <c r="N498" s="84"/>
      <c r="O498" s="84"/>
      <c r="P498" s="84"/>
      <c r="Q498" s="84"/>
      <c r="R498" s="84"/>
      <c r="S498" s="84"/>
    </row>
    <row r="499" spans="1:19">
      <c r="A499" s="629" t="s">
        <v>804</v>
      </c>
      <c r="D499" s="629">
        <v>2.6113308808588401E-3</v>
      </c>
      <c r="G499" s="629">
        <v>2.6168577339093701E-3</v>
      </c>
      <c r="H499" s="734">
        <v>1.72179852927125E-3</v>
      </c>
      <c r="I499" s="735">
        <v>1.70465207293059E-3</v>
      </c>
      <c r="J499" s="735">
        <v>1.71221587846661E-3</v>
      </c>
      <c r="L499" s="84"/>
      <c r="M499" s="84"/>
      <c r="N499" s="84"/>
      <c r="O499" s="84"/>
      <c r="P499" s="84"/>
      <c r="Q499" s="84"/>
      <c r="R499" s="84"/>
      <c r="S499" s="84"/>
    </row>
    <row r="500" spans="1:19">
      <c r="A500" s="629" t="s">
        <v>803</v>
      </c>
      <c r="D500" s="629">
        <v>2.4837199447627399E-3</v>
      </c>
      <c r="G500" s="629">
        <v>2.4182699698354401E-3</v>
      </c>
      <c r="H500" s="734">
        <v>1.66434748039262E-3</v>
      </c>
      <c r="I500" s="735">
        <v>1.55651769162526E-3</v>
      </c>
      <c r="J500" s="735">
        <v>1.65639058575375E-3</v>
      </c>
      <c r="L500" s="84"/>
      <c r="M500" s="84"/>
      <c r="N500" s="84"/>
      <c r="O500" s="84"/>
      <c r="P500" s="84"/>
      <c r="Q500" s="84"/>
      <c r="R500" s="84"/>
      <c r="S500" s="84"/>
    </row>
    <row r="501" spans="1:19">
      <c r="A501" s="629" t="s">
        <v>802</v>
      </c>
      <c r="D501" s="629">
        <v>4.74314854996352E-3</v>
      </c>
      <c r="G501" s="629">
        <v>2.3054477250120499E-3</v>
      </c>
      <c r="H501" s="734">
        <v>1.64657908894982E-3</v>
      </c>
      <c r="I501" s="735">
        <v>1.42942724651245E-3</v>
      </c>
      <c r="J501" s="735">
        <v>1.63638922237226E-3</v>
      </c>
      <c r="L501" s="84"/>
      <c r="M501" s="84"/>
      <c r="N501" s="84"/>
      <c r="O501" s="84"/>
      <c r="P501" s="84"/>
      <c r="Q501" s="84"/>
      <c r="R501" s="84"/>
      <c r="S501" s="84"/>
    </row>
    <row r="502" spans="1:19">
      <c r="A502" s="629" t="s">
        <v>801</v>
      </c>
      <c r="D502" s="629">
        <v>4.1469958578156801E-3</v>
      </c>
      <c r="G502" s="629">
        <v>2.1434154799692502E-3</v>
      </c>
      <c r="H502" s="734">
        <v>1.89592701869042E-3</v>
      </c>
      <c r="I502" s="735">
        <v>1.65502834513457E-3</v>
      </c>
      <c r="J502" s="735">
        <v>1.8825846539657701E-3</v>
      </c>
      <c r="L502" s="84"/>
      <c r="M502" s="84"/>
      <c r="N502" s="84"/>
      <c r="O502" s="84"/>
      <c r="P502" s="84"/>
      <c r="Q502" s="84"/>
      <c r="R502" s="84"/>
      <c r="S502" s="84"/>
    </row>
    <row r="503" spans="1:19">
      <c r="A503" s="629" t="s">
        <v>800</v>
      </c>
      <c r="D503" s="629">
        <v>5.7017660780448497E-3</v>
      </c>
      <c r="G503" s="629">
        <v>2.02218722575353E-3</v>
      </c>
      <c r="H503" s="734">
        <v>1.68737680948561E-3</v>
      </c>
      <c r="I503" s="735">
        <v>1.54136279830514E-3</v>
      </c>
      <c r="J503" s="735">
        <v>1.6734760556215401E-3</v>
      </c>
      <c r="L503" s="84"/>
      <c r="M503" s="84"/>
      <c r="N503" s="84"/>
      <c r="O503" s="84"/>
      <c r="P503" s="84"/>
      <c r="Q503" s="84"/>
      <c r="R503" s="84"/>
      <c r="S503" s="84"/>
    </row>
    <row r="504" spans="1:19">
      <c r="A504" s="629" t="s">
        <v>799</v>
      </c>
      <c r="D504" s="629">
        <v>4.3387611877264299E-3</v>
      </c>
      <c r="G504" s="629">
        <v>1.88168763714086E-3</v>
      </c>
      <c r="H504" s="734">
        <v>1.68656970716249E-3</v>
      </c>
      <c r="I504" s="735">
        <v>1.4156161471838599E-3</v>
      </c>
      <c r="J504" s="735">
        <v>1.6760031501330899E-3</v>
      </c>
      <c r="L504" s="84"/>
      <c r="M504" s="84"/>
      <c r="N504" s="84"/>
      <c r="O504" s="84"/>
      <c r="P504" s="84"/>
      <c r="Q504" s="84"/>
      <c r="R504" s="84"/>
      <c r="S504" s="84"/>
    </row>
    <row r="505" spans="1:19">
      <c r="A505" s="629" t="s">
        <v>798</v>
      </c>
      <c r="D505" s="629">
        <v>3.3732717875856501E-3</v>
      </c>
      <c r="G505" s="629">
        <v>1.7795618294887501E-3</v>
      </c>
      <c r="H505" s="734">
        <v>1.5390775982896E-3</v>
      </c>
      <c r="I505" s="735">
        <v>1.30744703682299E-3</v>
      </c>
      <c r="J505" s="735">
        <v>1.5269082398244201E-3</v>
      </c>
      <c r="L505" s="84"/>
      <c r="M505" s="84"/>
      <c r="N505" s="84"/>
      <c r="O505" s="84"/>
      <c r="P505" s="84"/>
      <c r="Q505" s="84"/>
      <c r="R505" s="84"/>
      <c r="S505" s="84"/>
    </row>
    <row r="506" spans="1:19">
      <c r="A506" s="629" t="s">
        <v>797</v>
      </c>
      <c r="D506" s="629">
        <v>3.3124765527857399E-3</v>
      </c>
      <c r="G506" s="629">
        <v>1.66279824973974E-3</v>
      </c>
      <c r="H506" s="734">
        <v>1.4676401312976599E-3</v>
      </c>
      <c r="I506" s="735">
        <v>1.20556918025075E-3</v>
      </c>
      <c r="J506" s="735">
        <v>1.45309237012112E-3</v>
      </c>
      <c r="L506" s="84"/>
      <c r="M506" s="84"/>
      <c r="N506" s="84"/>
      <c r="O506" s="84"/>
      <c r="P506" s="84"/>
      <c r="Q506" s="84"/>
      <c r="R506" s="84"/>
      <c r="S506" s="84"/>
    </row>
    <row r="507" spans="1:19">
      <c r="A507" s="629" t="s">
        <v>796</v>
      </c>
      <c r="D507" s="629">
        <v>3.3419533104181E-3</v>
      </c>
      <c r="G507" s="629">
        <v>1.6036321696715401E-3</v>
      </c>
      <c r="H507" s="734">
        <v>1.4990175317869999E-3</v>
      </c>
      <c r="I507" s="735">
        <v>1.54744243912878E-3</v>
      </c>
      <c r="J507" s="735">
        <v>1.48393424688458E-3</v>
      </c>
      <c r="L507" s="84"/>
      <c r="M507" s="84"/>
      <c r="N507" s="84"/>
      <c r="O507" s="84"/>
      <c r="P507" s="84"/>
      <c r="Q507" s="84"/>
      <c r="R507" s="84"/>
      <c r="S507" s="84"/>
    </row>
    <row r="508" spans="1:19">
      <c r="A508" s="629" t="s">
        <v>795</v>
      </c>
      <c r="D508" s="629">
        <v>3.1339692020450199E-3</v>
      </c>
      <c r="G508" s="629">
        <v>1.5513864168270599E-3</v>
      </c>
      <c r="H508" s="734">
        <v>1.3508810987884401E-3</v>
      </c>
      <c r="I508" s="735">
        <v>1.4523805930125499E-3</v>
      </c>
      <c r="J508" s="735">
        <v>1.33432313996558E-3</v>
      </c>
      <c r="L508" s="84"/>
      <c r="M508" s="84"/>
      <c r="N508" s="84"/>
      <c r="O508" s="84"/>
      <c r="P508" s="84"/>
      <c r="Q508" s="84"/>
      <c r="R508" s="84"/>
      <c r="S508" s="84"/>
    </row>
    <row r="509" spans="1:19">
      <c r="A509" s="629" t="s">
        <v>794</v>
      </c>
      <c r="D509" s="629">
        <v>2.6971371973108999E-3</v>
      </c>
      <c r="G509" s="629">
        <v>1.51487850299763E-3</v>
      </c>
      <c r="H509" s="734">
        <v>1.2766790939638E-3</v>
      </c>
      <c r="I509" s="735">
        <v>1.36624311586139E-3</v>
      </c>
      <c r="J509" s="735">
        <v>1.2574652269048399E-3</v>
      </c>
      <c r="L509" s="84"/>
      <c r="M509" s="84"/>
      <c r="N509" s="84"/>
      <c r="O509" s="84"/>
      <c r="P509" s="84"/>
      <c r="Q509" s="84"/>
      <c r="R509" s="84"/>
      <c r="S509" s="84"/>
    </row>
    <row r="510" spans="1:19">
      <c r="A510" s="629" t="s">
        <v>793</v>
      </c>
      <c r="D510" s="629">
        <v>2.7074213159363602E-3</v>
      </c>
      <c r="G510" s="629">
        <v>1.79072318224357E-3</v>
      </c>
      <c r="H510" s="734">
        <v>1.51225646005304E-3</v>
      </c>
      <c r="I510" s="735">
        <v>1.2445008022138901E-3</v>
      </c>
      <c r="J510" s="735">
        <v>1.4920586107242801E-3</v>
      </c>
      <c r="L510" s="84"/>
      <c r="M510" s="84"/>
      <c r="N510" s="84"/>
      <c r="O510" s="84"/>
      <c r="P510" s="84"/>
      <c r="Q510" s="84"/>
      <c r="R510" s="84"/>
      <c r="S510" s="84"/>
    </row>
    <row r="511" spans="1:19">
      <c r="A511" s="629" t="s">
        <v>792</v>
      </c>
      <c r="D511" s="629">
        <v>2.5180842824076202E-3</v>
      </c>
      <c r="G511" s="629">
        <v>1.89682672337885E-3</v>
      </c>
      <c r="H511" s="734">
        <v>1.52015111540267E-3</v>
      </c>
      <c r="I511" s="735">
        <v>1.23836261996121E-3</v>
      </c>
      <c r="J511" s="735">
        <v>1.50497004505299E-3</v>
      </c>
      <c r="L511" s="84"/>
      <c r="M511" s="84"/>
      <c r="N511" s="84"/>
      <c r="O511" s="84"/>
      <c r="P511" s="84"/>
      <c r="Q511" s="84"/>
      <c r="R511" s="84"/>
      <c r="S511" s="84"/>
    </row>
    <row r="512" spans="1:19">
      <c r="A512" s="629" t="s">
        <v>791</v>
      </c>
      <c r="D512" s="629">
        <v>3.4664628125818399E-3</v>
      </c>
      <c r="G512" s="629">
        <v>1.82701747650432E-3</v>
      </c>
      <c r="H512" s="734">
        <v>1.3679084797736101E-3</v>
      </c>
      <c r="I512" s="735">
        <v>1.37180820780471E-3</v>
      </c>
      <c r="J512" s="735">
        <v>1.35113428396862E-3</v>
      </c>
      <c r="L512" s="84"/>
      <c r="M512" s="84"/>
      <c r="N512" s="84"/>
      <c r="O512" s="84"/>
      <c r="P512" s="84"/>
      <c r="Q512" s="84"/>
      <c r="R512" s="84"/>
      <c r="S512" s="84"/>
    </row>
    <row r="513" spans="1:19">
      <c r="A513" s="629" t="s">
        <v>790</v>
      </c>
      <c r="D513" s="629">
        <v>2.8998412030303302E-3</v>
      </c>
      <c r="G513" s="629">
        <v>1.70880764395805E-3</v>
      </c>
      <c r="H513" s="734">
        <v>1.96274681299411E-3</v>
      </c>
      <c r="I513" s="735">
        <v>1.2920355632191601E-3</v>
      </c>
      <c r="J513" s="735">
        <v>1.9572907588814802E-3</v>
      </c>
      <c r="L513" s="84"/>
      <c r="M513" s="84"/>
      <c r="N513" s="84"/>
      <c r="O513" s="84"/>
      <c r="P513" s="84"/>
      <c r="Q513" s="84"/>
      <c r="R513" s="84"/>
      <c r="S513" s="84"/>
    </row>
    <row r="514" spans="1:19">
      <c r="A514" s="629" t="s">
        <v>789</v>
      </c>
      <c r="D514" s="629">
        <v>2.3842209823147298E-3</v>
      </c>
      <c r="G514" s="629">
        <v>1.61026629167043E-3</v>
      </c>
      <c r="H514" s="734">
        <v>1.73494689399551E-3</v>
      </c>
      <c r="I514" s="735">
        <v>1.1998813081099699E-3</v>
      </c>
      <c r="J514" s="735">
        <v>1.7276750307495699E-3</v>
      </c>
      <c r="L514" s="84"/>
      <c r="M514" s="84"/>
      <c r="N514" s="84"/>
      <c r="O514" s="84"/>
      <c r="P514" s="84"/>
      <c r="Q514" s="84"/>
      <c r="R514" s="84"/>
      <c r="S514" s="84"/>
    </row>
    <row r="515" spans="1:19">
      <c r="A515" s="629" t="s">
        <v>788</v>
      </c>
      <c r="D515" s="629">
        <v>5.12487305627044E-3</v>
      </c>
      <c r="G515" s="629">
        <v>1.7918739432864199E-3</v>
      </c>
      <c r="H515" s="734">
        <v>1.5439787619977499E-3</v>
      </c>
      <c r="I515" s="735">
        <v>1.6782574967087499E-3</v>
      </c>
      <c r="J515" s="735">
        <v>1.5344117965961101E-3</v>
      </c>
      <c r="L515" s="84"/>
      <c r="M515" s="84"/>
      <c r="N515" s="84"/>
      <c r="O515" s="84"/>
      <c r="P515" s="84"/>
      <c r="Q515" s="84"/>
      <c r="R515" s="84"/>
      <c r="S515" s="84"/>
    </row>
    <row r="516" spans="1:19">
      <c r="A516" s="629" t="s">
        <v>787</v>
      </c>
      <c r="D516" s="629">
        <v>3.5534800120102E-3</v>
      </c>
      <c r="G516" s="629">
        <v>1.71365399061649E-3</v>
      </c>
      <c r="H516" s="734">
        <v>1.4802056300351101E-3</v>
      </c>
      <c r="I516" s="735">
        <v>1.5406693917684401E-3</v>
      </c>
      <c r="J516" s="735">
        <v>1.46900252620928E-3</v>
      </c>
      <c r="L516" s="84"/>
      <c r="M516" s="84"/>
      <c r="N516" s="84"/>
      <c r="O516" s="84"/>
      <c r="P516" s="84"/>
      <c r="Q516" s="84"/>
      <c r="R516" s="84"/>
      <c r="S516" s="84"/>
    </row>
    <row r="517" spans="1:19">
      <c r="A517" s="629" t="s">
        <v>786</v>
      </c>
      <c r="D517" s="629">
        <v>2.79338448362661E-3</v>
      </c>
      <c r="G517" s="629">
        <v>1.77713513312856E-3</v>
      </c>
      <c r="H517" s="734">
        <v>1.34220406707282E-3</v>
      </c>
      <c r="I517" s="735">
        <v>1.4020561387219201E-3</v>
      </c>
      <c r="J517" s="735">
        <v>1.3281007535671701E-3</v>
      </c>
      <c r="L517" s="84"/>
      <c r="M517" s="84"/>
      <c r="N517" s="84"/>
      <c r="O517" s="84"/>
      <c r="P517" s="84"/>
      <c r="Q517" s="84"/>
      <c r="R517" s="84"/>
      <c r="S517" s="84"/>
    </row>
    <row r="518" spans="1:19">
      <c r="A518" s="629" t="s">
        <v>785</v>
      </c>
      <c r="D518" s="629">
        <v>2.40313408740443E-3</v>
      </c>
      <c r="G518" s="629">
        <v>1.67766159216908E-3</v>
      </c>
      <c r="H518" s="734">
        <v>1.35050574021596E-3</v>
      </c>
      <c r="I518" s="735">
        <v>1.27642894675327E-3</v>
      </c>
      <c r="J518" s="735">
        <v>1.33444106828898E-3</v>
      </c>
      <c r="L518" s="84"/>
      <c r="M518" s="84"/>
      <c r="N518" s="84"/>
      <c r="O518" s="84"/>
      <c r="P518" s="84"/>
      <c r="Q518" s="84"/>
      <c r="R518" s="84"/>
      <c r="S518" s="84"/>
    </row>
    <row r="519" spans="1:19">
      <c r="A519" s="629" t="s">
        <v>784</v>
      </c>
      <c r="D519" s="629">
        <v>2.3076368207421102E-3</v>
      </c>
      <c r="G519" s="629">
        <v>1.57408642519713E-3</v>
      </c>
      <c r="H519" s="734">
        <v>1.22797700850199E-3</v>
      </c>
      <c r="I519" s="735">
        <v>1.16633352253722E-3</v>
      </c>
      <c r="J519" s="735">
        <v>1.2101106029539499E-3</v>
      </c>
      <c r="L519" s="84"/>
      <c r="M519" s="84"/>
      <c r="N519" s="84"/>
      <c r="O519" s="84"/>
      <c r="P519" s="84"/>
      <c r="Q519" s="84"/>
      <c r="R519" s="84"/>
      <c r="S519" s="84"/>
    </row>
    <row r="520" spans="1:19">
      <c r="A520" s="629" t="s">
        <v>783</v>
      </c>
      <c r="D520" s="629">
        <v>8.2895215760701805E-3</v>
      </c>
      <c r="G520" s="629">
        <v>2.6039390258083702E-3</v>
      </c>
      <c r="H520" s="734">
        <v>1.3919484852425599E-3</v>
      </c>
      <c r="I520" s="735">
        <v>1.60986075758921E-3</v>
      </c>
      <c r="J520" s="735">
        <v>1.36989070822468E-3</v>
      </c>
      <c r="L520" s="84"/>
      <c r="M520" s="84"/>
      <c r="N520" s="84"/>
      <c r="O520" s="84"/>
      <c r="P520" s="84"/>
      <c r="Q520" s="84"/>
      <c r="R520" s="84"/>
      <c r="S520" s="84"/>
    </row>
    <row r="521" spans="1:19">
      <c r="A521" s="629" t="s">
        <v>782</v>
      </c>
      <c r="D521" s="629">
        <v>9.5338206148137192E-3</v>
      </c>
      <c r="G521" s="629">
        <v>2.84261042871682E-3</v>
      </c>
      <c r="H521" s="734">
        <v>1.5800535328701099E-3</v>
      </c>
      <c r="I521" s="735">
        <v>1.62106012456487E-3</v>
      </c>
      <c r="J521" s="735">
        <v>1.5618685290814901E-3</v>
      </c>
      <c r="L521" s="84"/>
      <c r="M521" s="84"/>
      <c r="N521" s="84"/>
      <c r="O521" s="84"/>
      <c r="P521" s="84"/>
      <c r="Q521" s="84"/>
      <c r="R521" s="84"/>
      <c r="S521" s="84"/>
    </row>
    <row r="522" spans="1:19">
      <c r="A522" s="629" t="s">
        <v>781</v>
      </c>
      <c r="D522" s="629">
        <v>1.14884543558197E-2</v>
      </c>
      <c r="G522" s="629">
        <v>2.69797531862368E-3</v>
      </c>
      <c r="H522" s="734">
        <v>1.4527362610585099E-3</v>
      </c>
      <c r="I522" s="735">
        <v>1.4745228717615701E-3</v>
      </c>
      <c r="J522" s="735">
        <v>1.4340848053545599E-3</v>
      </c>
      <c r="L522" s="84"/>
      <c r="M522" s="84"/>
      <c r="N522" s="84"/>
      <c r="O522" s="84"/>
      <c r="P522" s="84"/>
      <c r="Q522" s="84"/>
      <c r="R522" s="84"/>
      <c r="S522" s="84"/>
    </row>
    <row r="523" spans="1:19">
      <c r="A523" s="629" t="s">
        <v>780</v>
      </c>
      <c r="D523" s="629">
        <v>8.9556281803091602E-3</v>
      </c>
      <c r="G523" s="629">
        <v>2.8662672350981602E-3</v>
      </c>
      <c r="H523" s="734">
        <v>1.6601395859240399E-3</v>
      </c>
      <c r="I523" s="735">
        <v>1.7441290063869999E-3</v>
      </c>
      <c r="J523" s="735">
        <v>1.6511422136253201E-3</v>
      </c>
      <c r="L523" s="84"/>
      <c r="M523" s="84"/>
      <c r="N523" s="84"/>
      <c r="O523" s="84"/>
      <c r="P523" s="84"/>
      <c r="Q523" s="84"/>
      <c r="R523" s="84"/>
      <c r="S523" s="84"/>
    </row>
    <row r="524" spans="1:19">
      <c r="A524" s="629" t="s">
        <v>779</v>
      </c>
      <c r="D524" s="629">
        <v>5.9564323511390998E-3</v>
      </c>
      <c r="G524" s="629">
        <v>2.67693743688065E-3</v>
      </c>
      <c r="H524" s="734">
        <v>1.5713440321715301E-3</v>
      </c>
      <c r="I524" s="735">
        <v>1.6099822764059301E-3</v>
      </c>
      <c r="J524" s="735">
        <v>1.55831236366675E-3</v>
      </c>
      <c r="L524" s="84"/>
      <c r="M524" s="84"/>
      <c r="N524" s="84"/>
      <c r="O524" s="84"/>
      <c r="P524" s="84"/>
      <c r="Q524" s="84"/>
      <c r="R524" s="84"/>
      <c r="S524" s="84"/>
    </row>
    <row r="525" spans="1:19">
      <c r="A525" s="629" t="s">
        <v>778</v>
      </c>
      <c r="D525" s="629">
        <v>4.6891694539221099E-3</v>
      </c>
      <c r="G525" s="629">
        <v>2.5023324521699E-3</v>
      </c>
      <c r="H525" s="734">
        <v>1.4300859056340699E-3</v>
      </c>
      <c r="I525" s="735">
        <v>1.4600665840519E-3</v>
      </c>
      <c r="J525" s="735">
        <v>1.4166015776470101E-3</v>
      </c>
      <c r="L525" s="84"/>
      <c r="M525" s="84"/>
      <c r="N525" s="84"/>
      <c r="O525" s="84"/>
      <c r="P525" s="84"/>
      <c r="Q525" s="84"/>
      <c r="R525" s="84"/>
      <c r="S525" s="84"/>
    </row>
    <row r="526" spans="1:19">
      <c r="A526" s="629" t="s">
        <v>777</v>
      </c>
      <c r="D526" s="629">
        <v>4.9177391920241804E-3</v>
      </c>
      <c r="G526" s="629">
        <v>2.3124770607474698E-3</v>
      </c>
      <c r="H526" s="734">
        <v>1.2988512694973801E-3</v>
      </c>
      <c r="I526" s="735">
        <v>1.33455778549333E-3</v>
      </c>
      <c r="J526" s="735">
        <v>1.28430934747444E-3</v>
      </c>
      <c r="L526" s="84"/>
      <c r="M526" s="84"/>
      <c r="N526" s="84"/>
      <c r="O526" s="84"/>
      <c r="P526" s="84"/>
      <c r="Q526" s="84"/>
      <c r="R526" s="84"/>
      <c r="S526" s="84"/>
    </row>
    <row r="527" spans="1:19">
      <c r="A527" s="629" t="s">
        <v>776</v>
      </c>
      <c r="D527" s="629">
        <v>3.9279761009664996E-3</v>
      </c>
      <c r="G527" s="629">
        <v>2.48090561394524E-3</v>
      </c>
      <c r="H527" s="734">
        <v>1.71472488646998E-3</v>
      </c>
      <c r="I527" s="735">
        <v>1.60150830118768E-3</v>
      </c>
      <c r="J527" s="735">
        <v>1.7030729979603E-3</v>
      </c>
      <c r="L527" s="84"/>
      <c r="M527" s="84"/>
      <c r="N527" s="84"/>
      <c r="O527" s="84"/>
      <c r="P527" s="84"/>
      <c r="Q527" s="84"/>
      <c r="R527" s="84"/>
      <c r="S527" s="84"/>
    </row>
    <row r="528" spans="1:19">
      <c r="A528" s="629" t="s">
        <v>775</v>
      </c>
      <c r="D528" s="629">
        <v>3.2130162863368301E-3</v>
      </c>
      <c r="G528" s="629">
        <v>2.4236527290046801E-3</v>
      </c>
      <c r="H528" s="734">
        <v>2.1513347759406199E-3</v>
      </c>
      <c r="I528" s="735">
        <v>1.66739256520362E-3</v>
      </c>
      <c r="J528" s="735">
        <v>2.14908022358676E-3</v>
      </c>
      <c r="L528" s="84"/>
      <c r="M528" s="84"/>
      <c r="N528" s="84"/>
      <c r="O528" s="84"/>
      <c r="P528" s="84"/>
      <c r="Q528" s="84"/>
      <c r="R528" s="84"/>
      <c r="S528" s="84"/>
    </row>
    <row r="529" spans="1:19">
      <c r="A529" s="629" t="s">
        <v>774</v>
      </c>
      <c r="D529" s="629">
        <v>3.2379839910302698E-3</v>
      </c>
      <c r="G529" s="629">
        <v>2.2690762130900002E-3</v>
      </c>
      <c r="H529" s="734">
        <v>2.0368560719988501E-3</v>
      </c>
      <c r="I529" s="735">
        <v>1.5506232447425601E-3</v>
      </c>
      <c r="J529" s="735">
        <v>2.0314774283978899E-3</v>
      </c>
      <c r="L529" s="84"/>
      <c r="M529" s="84"/>
      <c r="N529" s="84"/>
      <c r="O529" s="84"/>
      <c r="P529" s="84"/>
      <c r="Q529" s="84"/>
      <c r="R529" s="84"/>
      <c r="S529" s="84"/>
    </row>
    <row r="530" spans="1:19">
      <c r="A530" s="629" t="s">
        <v>773</v>
      </c>
      <c r="D530" s="629">
        <v>6.1999665111573104E-3</v>
      </c>
      <c r="G530" s="629">
        <v>2.1474417867102199E-3</v>
      </c>
      <c r="H530" s="734">
        <v>1.9549358353658799E-3</v>
      </c>
      <c r="I530" s="735">
        <v>1.6319677331086001E-3</v>
      </c>
      <c r="J530" s="735">
        <v>1.9484412827395099E-3</v>
      </c>
      <c r="L530" s="84"/>
      <c r="M530" s="84"/>
      <c r="N530" s="84"/>
      <c r="O530" s="84"/>
      <c r="P530" s="84"/>
      <c r="Q530" s="84"/>
      <c r="R530" s="84"/>
      <c r="S530" s="84"/>
    </row>
    <row r="531" spans="1:19">
      <c r="A531" s="629" t="s">
        <v>772</v>
      </c>
      <c r="D531" s="629">
        <v>1.63282739506127E-2</v>
      </c>
      <c r="G531" s="629">
        <v>1.9924955421495001E-3</v>
      </c>
      <c r="H531" s="734">
        <v>1.8772841362116701E-3</v>
      </c>
      <c r="I531" s="735">
        <v>2.0128081473732499E-3</v>
      </c>
      <c r="J531" s="735">
        <v>1.8729597954281101E-3</v>
      </c>
      <c r="L531" s="84"/>
      <c r="M531" s="84"/>
      <c r="N531" s="84"/>
      <c r="O531" s="84"/>
      <c r="P531" s="84"/>
      <c r="Q531" s="84"/>
      <c r="R531" s="84"/>
      <c r="S531" s="84"/>
    </row>
    <row r="532" spans="1:19">
      <c r="A532" s="629" t="s">
        <v>771</v>
      </c>
      <c r="D532" s="629">
        <v>1.8439420178562101E-2</v>
      </c>
      <c r="G532" s="629">
        <v>1.8659853979793E-3</v>
      </c>
      <c r="H532" s="734">
        <v>1.8733199630425301E-3</v>
      </c>
      <c r="I532" s="735">
        <v>2.3132631887920899E-3</v>
      </c>
      <c r="J532" s="735">
        <v>1.8766294358601599E-3</v>
      </c>
      <c r="L532" s="84"/>
      <c r="M532" s="84"/>
      <c r="N532" s="84"/>
      <c r="O532" s="84"/>
      <c r="P532" s="84"/>
      <c r="Q532" s="84"/>
      <c r="R532" s="84"/>
      <c r="S532" s="84"/>
    </row>
    <row r="533" spans="1:19">
      <c r="A533" s="629" t="s">
        <v>770</v>
      </c>
      <c r="D533" s="629">
        <v>1.17663676117746E-2</v>
      </c>
      <c r="G533" s="629">
        <v>1.76094870978745E-3</v>
      </c>
      <c r="H533" s="734">
        <v>1.77067396142694E-3</v>
      </c>
      <c r="I533" s="735">
        <v>2.11479482565698E-3</v>
      </c>
      <c r="J533" s="735">
        <v>1.7709298953704001E-3</v>
      </c>
      <c r="L533" s="84"/>
      <c r="M533" s="84"/>
      <c r="N533" s="84"/>
      <c r="O533" s="84"/>
      <c r="P533" s="84"/>
      <c r="Q533" s="84"/>
      <c r="R533" s="84"/>
      <c r="S533" s="84"/>
    </row>
    <row r="534" spans="1:19">
      <c r="A534" s="629" t="s">
        <v>769</v>
      </c>
      <c r="D534" s="629">
        <v>7.5973266824706301E-3</v>
      </c>
      <c r="G534" s="629">
        <v>1.7422177291614501E-3</v>
      </c>
      <c r="H534" s="734">
        <v>2.5233033252662698E-3</v>
      </c>
      <c r="I534" s="735">
        <v>2.2314775687482598E-3</v>
      </c>
      <c r="J534" s="735">
        <v>2.54362483205139E-3</v>
      </c>
      <c r="L534" s="84"/>
      <c r="M534" s="84"/>
      <c r="N534" s="84"/>
      <c r="O534" s="84"/>
      <c r="P534" s="84"/>
      <c r="Q534" s="84"/>
      <c r="R534" s="84"/>
      <c r="S534" s="84"/>
    </row>
    <row r="535" spans="1:19">
      <c r="A535" s="629" t="s">
        <v>768</v>
      </c>
      <c r="D535" s="629">
        <v>4.92426578550799E-3</v>
      </c>
      <c r="G535" s="629">
        <v>1.8103769130567E-3</v>
      </c>
      <c r="H535" s="734">
        <v>2.4636918441651601E-3</v>
      </c>
      <c r="I535" s="735">
        <v>2.9658365297234599E-3</v>
      </c>
      <c r="J535" s="735">
        <v>2.4748367868872301E-3</v>
      </c>
      <c r="L535" s="84"/>
      <c r="M535" s="84"/>
      <c r="N535" s="84"/>
      <c r="O535" s="84"/>
      <c r="P535" s="84"/>
      <c r="Q535" s="84"/>
      <c r="R535" s="84"/>
      <c r="S535" s="84"/>
    </row>
    <row r="536" spans="1:19">
      <c r="A536" s="629" t="s">
        <v>767</v>
      </c>
      <c r="D536" s="629">
        <v>6.57044306630763E-3</v>
      </c>
      <c r="G536" s="629">
        <v>1.88781092413209E-3</v>
      </c>
      <c r="H536" s="734">
        <v>2.1560821010698701E-3</v>
      </c>
      <c r="I536" s="735">
        <v>2.65401151480031E-3</v>
      </c>
      <c r="J536" s="735">
        <v>2.1647012670720999E-3</v>
      </c>
      <c r="L536" s="84"/>
      <c r="M536" s="84"/>
      <c r="N536" s="84"/>
      <c r="O536" s="84"/>
      <c r="P536" s="84"/>
      <c r="Q536" s="84"/>
      <c r="R536" s="84"/>
      <c r="S536" s="84"/>
    </row>
    <row r="537" spans="1:19">
      <c r="A537" s="629" t="s">
        <v>766</v>
      </c>
      <c r="D537" s="629">
        <v>7.8513891417345306E-3</v>
      </c>
      <c r="G537" s="629">
        <v>2.32098758991867E-3</v>
      </c>
      <c r="H537" s="734">
        <v>3.2186442932269801E-3</v>
      </c>
      <c r="I537" s="735">
        <v>3.5274519664633798E-3</v>
      </c>
      <c r="J537" s="735">
        <v>3.2541821573597298E-3</v>
      </c>
      <c r="L537" s="84"/>
      <c r="M537" s="84"/>
      <c r="N537" s="84"/>
      <c r="O537" s="84"/>
      <c r="P537" s="84"/>
      <c r="Q537" s="84"/>
      <c r="R537" s="84"/>
      <c r="S537" s="84"/>
    </row>
    <row r="538" spans="1:19">
      <c r="A538" s="629" t="s">
        <v>765</v>
      </c>
      <c r="D538" s="629">
        <v>9.1341980694280497E-3</v>
      </c>
      <c r="G538" s="629">
        <v>2.2323076662997998E-3</v>
      </c>
      <c r="H538" s="734">
        <v>3.4035884768521501E-3</v>
      </c>
      <c r="I538" s="735">
        <v>3.5705339656093302E-3</v>
      </c>
      <c r="J538" s="735">
        <v>3.4478582995759598E-3</v>
      </c>
      <c r="L538" s="84"/>
      <c r="M538" s="84"/>
      <c r="N538" s="84"/>
      <c r="O538" s="84"/>
      <c r="P538" s="84"/>
      <c r="Q538" s="84"/>
      <c r="R538" s="84"/>
      <c r="S538" s="84"/>
    </row>
    <row r="539" spans="1:19">
      <c r="A539" s="629" t="s">
        <v>764</v>
      </c>
      <c r="D539" s="629">
        <v>5.6582040642504904E-3</v>
      </c>
      <c r="G539" s="629">
        <v>2.21900004400732E-3</v>
      </c>
      <c r="H539" s="734">
        <v>3.4668196107213601E-3</v>
      </c>
      <c r="I539" s="735">
        <v>3.7109999882009299E-3</v>
      </c>
      <c r="J539" s="735">
        <v>3.50619210876313E-3</v>
      </c>
      <c r="L539" s="84"/>
      <c r="M539" s="84"/>
      <c r="N539" s="84"/>
      <c r="O539" s="84"/>
      <c r="P539" s="84"/>
      <c r="Q539" s="84"/>
      <c r="R539" s="84"/>
      <c r="S539" s="84"/>
    </row>
    <row r="540" spans="1:19">
      <c r="A540" s="629" t="s">
        <v>763</v>
      </c>
      <c r="D540" s="629">
        <v>5.2293004553125404E-3</v>
      </c>
      <c r="G540" s="629">
        <v>2.0679491649490001E-3</v>
      </c>
      <c r="H540" s="734">
        <v>3.4160148958396501E-3</v>
      </c>
      <c r="I540" s="735">
        <v>4.0497540000506496E-3</v>
      </c>
      <c r="J540" s="735">
        <v>3.4541663261296401E-3</v>
      </c>
      <c r="L540" s="84"/>
      <c r="M540" s="84"/>
      <c r="N540" s="84"/>
      <c r="O540" s="84"/>
      <c r="P540" s="84"/>
      <c r="Q540" s="84"/>
      <c r="R540" s="84"/>
      <c r="S540" s="84"/>
    </row>
    <row r="541" spans="1:19">
      <c r="A541" s="629" t="s">
        <v>762</v>
      </c>
      <c r="D541" s="629">
        <v>4.2203402208286396E-3</v>
      </c>
      <c r="G541" s="629">
        <v>2.51745727765481E-3</v>
      </c>
      <c r="H541" s="734">
        <v>3.0824605328695202E-3</v>
      </c>
      <c r="I541" s="735">
        <v>3.7976012592211301E-3</v>
      </c>
      <c r="J541" s="735">
        <v>3.1161770397506901E-3</v>
      </c>
      <c r="L541" s="84"/>
      <c r="M541" s="84"/>
      <c r="N541" s="84"/>
      <c r="O541" s="84"/>
      <c r="P541" s="84"/>
      <c r="Q541" s="84"/>
      <c r="R541" s="84"/>
      <c r="S541" s="84"/>
    </row>
    <row r="542" spans="1:19">
      <c r="A542" s="629" t="s">
        <v>761</v>
      </c>
      <c r="D542" s="629">
        <v>3.4034299874122101E-3</v>
      </c>
      <c r="G542" s="629">
        <v>2.3255104936492502E-3</v>
      </c>
      <c r="H542" s="734">
        <v>2.70141803575149E-3</v>
      </c>
      <c r="I542" s="735">
        <v>3.4289983762919298E-3</v>
      </c>
      <c r="J542" s="735">
        <v>2.72874413296178E-3</v>
      </c>
      <c r="L542" s="84"/>
      <c r="M542" s="84"/>
      <c r="N542" s="84"/>
      <c r="O542" s="84"/>
      <c r="P542" s="84"/>
      <c r="Q542" s="84"/>
      <c r="R542" s="84"/>
      <c r="S542" s="84"/>
    </row>
    <row r="543" spans="1:19">
      <c r="A543" s="629" t="s">
        <v>760</v>
      </c>
      <c r="D543" s="629">
        <v>3.6392628979167799E-3</v>
      </c>
      <c r="G543" s="629">
        <v>2.2211646203841801E-3</v>
      </c>
      <c r="H543" s="734">
        <v>2.4099141869487798E-3</v>
      </c>
      <c r="I543" s="735">
        <v>3.1237605011060301E-3</v>
      </c>
      <c r="J543" s="735">
        <v>2.4359683900190801E-3</v>
      </c>
      <c r="L543" s="84"/>
      <c r="M543" s="84"/>
      <c r="N543" s="84"/>
      <c r="O543" s="84"/>
      <c r="P543" s="84"/>
      <c r="Q543" s="84"/>
      <c r="R543" s="84"/>
      <c r="S543" s="84"/>
    </row>
    <row r="544" spans="1:19">
      <c r="A544" s="629" t="s">
        <v>759</v>
      </c>
      <c r="D544" s="629">
        <v>6.1509199213712002E-3</v>
      </c>
      <c r="G544" s="629">
        <v>3.1941372365827301E-3</v>
      </c>
      <c r="H544" s="734">
        <v>2.3115331573389801E-3</v>
      </c>
      <c r="I544" s="735">
        <v>3.5617722690737198E-3</v>
      </c>
      <c r="J544" s="735">
        <v>2.3311759570849E-3</v>
      </c>
      <c r="L544" s="84"/>
      <c r="M544" s="84"/>
      <c r="N544" s="84"/>
      <c r="O544" s="84"/>
      <c r="P544" s="84"/>
      <c r="Q544" s="84"/>
      <c r="R544" s="84"/>
      <c r="S544" s="84"/>
    </row>
    <row r="545" spans="1:19">
      <c r="A545" s="629" t="s">
        <v>758</v>
      </c>
      <c r="D545" s="629">
        <v>6.32644282333647E-3</v>
      </c>
      <c r="G545" s="629">
        <v>3.0403495149140401E-3</v>
      </c>
      <c r="H545" s="734">
        <v>2.2938693003231002E-3</v>
      </c>
      <c r="I545" s="735">
        <v>3.5592042725765198E-3</v>
      </c>
      <c r="J545" s="735">
        <v>2.3056124383670001E-3</v>
      </c>
      <c r="L545" s="84"/>
      <c r="M545" s="84"/>
      <c r="N545" s="84"/>
      <c r="O545" s="84"/>
      <c r="P545" s="84"/>
      <c r="Q545" s="84"/>
      <c r="R545" s="84"/>
      <c r="S545" s="84"/>
    </row>
    <row r="546" spans="1:19">
      <c r="A546" s="629" t="s">
        <v>757</v>
      </c>
      <c r="D546" s="629">
        <v>5.3214319108151704E-3</v>
      </c>
      <c r="G546" s="629">
        <v>2.79981386207392E-3</v>
      </c>
      <c r="H546" s="734">
        <v>2.1187123028624999E-3</v>
      </c>
      <c r="I546" s="735">
        <v>3.1760670563080701E-3</v>
      </c>
      <c r="J546" s="735">
        <v>2.12423283507012E-3</v>
      </c>
      <c r="L546" s="84"/>
      <c r="M546" s="84"/>
      <c r="N546" s="84"/>
      <c r="O546" s="84"/>
      <c r="P546" s="84"/>
      <c r="Q546" s="84"/>
      <c r="R546" s="84"/>
      <c r="S546" s="84"/>
    </row>
    <row r="547" spans="1:19">
      <c r="A547" s="629" t="s">
        <v>756</v>
      </c>
      <c r="D547" s="629">
        <v>4.5805289602259096E-3</v>
      </c>
      <c r="G547" s="629">
        <v>2.5788126625494899E-3</v>
      </c>
      <c r="H547" s="734">
        <v>1.86035218788008E-3</v>
      </c>
      <c r="I547" s="735">
        <v>2.9868698013144398E-3</v>
      </c>
      <c r="J547" s="735">
        <v>1.86202105132036E-3</v>
      </c>
      <c r="L547" s="84"/>
      <c r="M547" s="84"/>
      <c r="N547" s="84"/>
      <c r="O547" s="84"/>
      <c r="P547" s="84"/>
      <c r="Q547" s="84"/>
      <c r="R547" s="84"/>
      <c r="S547" s="84"/>
    </row>
    <row r="548" spans="1:19">
      <c r="A548" s="629" t="s">
        <v>755</v>
      </c>
      <c r="D548" s="629">
        <v>3.2576142377308999E-3</v>
      </c>
      <c r="G548" s="629">
        <v>2.3973149628290199E-3</v>
      </c>
      <c r="H548" s="734">
        <v>1.7412863373217999E-3</v>
      </c>
      <c r="I548" s="735">
        <v>2.7088182153953699E-3</v>
      </c>
      <c r="J548" s="735">
        <v>1.74090607558176E-3</v>
      </c>
      <c r="L548" s="84"/>
      <c r="M548" s="84"/>
      <c r="N548" s="84"/>
      <c r="O548" s="84"/>
      <c r="P548" s="84"/>
      <c r="Q548" s="84"/>
      <c r="R548" s="84"/>
      <c r="S548" s="84"/>
    </row>
    <row r="549" spans="1:19">
      <c r="A549" s="629" t="s">
        <v>754</v>
      </c>
      <c r="D549" s="629">
        <v>3.8037136962695999E-3</v>
      </c>
      <c r="G549" s="629">
        <v>2.2176950110369101E-3</v>
      </c>
      <c r="H549" s="734">
        <v>1.6481816701894899E-3</v>
      </c>
      <c r="I549" s="735">
        <v>2.6400760739468399E-3</v>
      </c>
      <c r="J549" s="735">
        <v>1.6396744857769901E-3</v>
      </c>
      <c r="L549" s="84"/>
      <c r="M549" s="84"/>
      <c r="N549" s="84"/>
      <c r="O549" s="84"/>
      <c r="P549" s="84"/>
      <c r="Q549" s="84"/>
      <c r="R549" s="84"/>
      <c r="S549" s="84"/>
    </row>
    <row r="550" spans="1:19">
      <c r="A550" s="629" t="s">
        <v>753</v>
      </c>
      <c r="D550" s="629">
        <v>2.8498635606299901E-3</v>
      </c>
      <c r="G550" s="629">
        <v>3.0144196072554E-3</v>
      </c>
      <c r="H550" s="734">
        <v>1.75414821345203E-3</v>
      </c>
      <c r="I550" s="735">
        <v>2.58330573630884E-3</v>
      </c>
      <c r="J550" s="735">
        <v>1.7609540848291701E-3</v>
      </c>
      <c r="L550" s="84"/>
      <c r="M550" s="84"/>
      <c r="N550" s="84"/>
      <c r="O550" s="84"/>
      <c r="P550" s="84"/>
      <c r="Q550" s="84"/>
      <c r="R550" s="84"/>
      <c r="S550" s="84"/>
    </row>
    <row r="551" spans="1:19">
      <c r="A551" s="629" t="s">
        <v>752</v>
      </c>
      <c r="D551" s="629">
        <v>2.7485392517228799E-3</v>
      </c>
      <c r="G551" s="629">
        <v>2.7710775946082301E-3</v>
      </c>
      <c r="H551" s="734">
        <v>1.56991629220001E-3</v>
      </c>
      <c r="I551" s="735">
        <v>2.3950084785799202E-3</v>
      </c>
      <c r="J551" s="735">
        <v>1.57299440674574E-3</v>
      </c>
      <c r="L551" s="84"/>
      <c r="M551" s="84"/>
      <c r="N551" s="84"/>
      <c r="O551" s="84"/>
      <c r="P551" s="84"/>
      <c r="Q551" s="84"/>
      <c r="R551" s="84"/>
      <c r="S551" s="84"/>
    </row>
    <row r="552" spans="1:19">
      <c r="A552" s="629" t="s">
        <v>751</v>
      </c>
      <c r="D552" s="629">
        <v>3.9780855613190703E-3</v>
      </c>
      <c r="G552" s="629">
        <v>2.5578719614831298E-3</v>
      </c>
      <c r="H552" s="734">
        <v>1.7333504432140399E-3</v>
      </c>
      <c r="I552" s="735">
        <v>2.2598449642653902E-3</v>
      </c>
      <c r="J552" s="735">
        <v>1.7464234167957899E-3</v>
      </c>
      <c r="L552" s="84"/>
      <c r="M552" s="84"/>
      <c r="N552" s="84"/>
      <c r="O552" s="84"/>
      <c r="P552" s="84"/>
      <c r="Q552" s="84"/>
      <c r="R552" s="84"/>
      <c r="S552" s="84"/>
    </row>
    <row r="553" spans="1:19">
      <c r="A553" s="629" t="s">
        <v>750</v>
      </c>
      <c r="B553" s="248"/>
      <c r="C553" s="248"/>
      <c r="D553" s="248">
        <v>3.0775375387178299E-3</v>
      </c>
      <c r="E553" s="248"/>
      <c r="F553" s="248"/>
      <c r="G553" s="248">
        <v>2.4797785822267601E-3</v>
      </c>
      <c r="H553" s="735">
        <v>1.66301675509379E-3</v>
      </c>
      <c r="I553" s="735">
        <v>2.1563478664179E-3</v>
      </c>
      <c r="J553" s="735">
        <v>1.6686947208097501E-3</v>
      </c>
      <c r="L553" s="84"/>
      <c r="M553" s="84"/>
      <c r="N553" s="84"/>
      <c r="O553" s="84"/>
      <c r="P553" s="84"/>
      <c r="Q553" s="84"/>
      <c r="R553" s="84"/>
      <c r="S553" s="84"/>
    </row>
    <row r="554" spans="1:19">
      <c r="A554" s="629" t="s">
        <v>749</v>
      </c>
      <c r="B554" s="248"/>
      <c r="C554" s="248"/>
      <c r="D554" s="248">
        <v>2.5233109597877601E-3</v>
      </c>
      <c r="E554" s="248"/>
      <c r="F554" s="248"/>
      <c r="G554" s="248">
        <v>2.3607286213454199E-3</v>
      </c>
      <c r="H554" s="735">
        <v>1.51650376187812E-3</v>
      </c>
      <c r="I554" s="735">
        <v>1.9989229592062398E-3</v>
      </c>
      <c r="J554" s="735">
        <v>1.52171671262775E-3</v>
      </c>
      <c r="L554" s="84"/>
      <c r="M554" s="84"/>
      <c r="N554" s="84"/>
      <c r="O554" s="84"/>
      <c r="P554" s="84"/>
      <c r="Q554" s="84"/>
      <c r="R554" s="84"/>
      <c r="S554" s="84"/>
    </row>
    <row r="555" spans="1:19">
      <c r="A555" s="629" t="s">
        <v>748</v>
      </c>
      <c r="B555" s="248"/>
      <c r="C555" s="248"/>
      <c r="D555" s="248">
        <v>2.35066308405868E-3</v>
      </c>
      <c r="E555" s="248"/>
      <c r="F555" s="248"/>
      <c r="G555" s="248">
        <v>2.2288094459389E-3</v>
      </c>
      <c r="H555" s="735">
        <v>1.6873340962437599E-3</v>
      </c>
      <c r="I555" s="735">
        <v>1.80167209196779E-3</v>
      </c>
      <c r="J555" s="735">
        <v>1.70606840302035E-3</v>
      </c>
      <c r="L555" s="84"/>
      <c r="M555" s="84"/>
      <c r="N555" s="84"/>
      <c r="O555" s="84"/>
      <c r="P555" s="84"/>
      <c r="Q555" s="84"/>
      <c r="R555" s="84"/>
      <c r="S555" s="84"/>
    </row>
    <row r="556" spans="1:19">
      <c r="A556" s="629" t="s">
        <v>747</v>
      </c>
      <c r="B556" s="248"/>
      <c r="C556" s="248"/>
      <c r="D556" s="248">
        <v>2.5559224402248002E-3</v>
      </c>
      <c r="E556" s="248"/>
      <c r="F556" s="248"/>
      <c r="G556" s="248">
        <v>2.0808383092767399E-3</v>
      </c>
      <c r="H556" s="735">
        <v>1.512217044975E-3</v>
      </c>
      <c r="I556" s="735">
        <v>1.64788505201309E-3</v>
      </c>
      <c r="J556" s="735">
        <v>1.5252754521503701E-3</v>
      </c>
      <c r="L556" s="84"/>
      <c r="M556" s="84"/>
      <c r="N556" s="84"/>
      <c r="O556" s="84"/>
      <c r="P556" s="84"/>
      <c r="Q556" s="84"/>
      <c r="R556" s="84"/>
      <c r="S556" s="84"/>
    </row>
    <row r="557" spans="1:19">
      <c r="A557" s="629" t="s">
        <v>746</v>
      </c>
      <c r="B557" s="248"/>
      <c r="C557" s="248"/>
      <c r="D557" s="248">
        <v>2.6606557965322499E-3</v>
      </c>
      <c r="E557" s="248"/>
      <c r="F557" s="248"/>
      <c r="G557" s="248">
        <v>1.9337804955061599E-3</v>
      </c>
      <c r="H557" s="735">
        <v>2.1560267788299399E-3</v>
      </c>
      <c r="I557" s="735">
        <v>2.0400770224956199E-3</v>
      </c>
      <c r="J557" s="735">
        <v>2.1590592178798002E-3</v>
      </c>
      <c r="L557" s="84"/>
      <c r="M557" s="84"/>
      <c r="N557" s="84"/>
      <c r="O557" s="84"/>
      <c r="P557" s="84"/>
      <c r="Q557" s="84"/>
      <c r="R557" s="84"/>
      <c r="S557" s="84"/>
    </row>
    <row r="558" spans="1:19">
      <c r="A558" s="629" t="s">
        <v>745</v>
      </c>
      <c r="B558" s="248"/>
      <c r="C558" s="248"/>
      <c r="D558" s="248">
        <v>2.7984348001635498E-3</v>
      </c>
      <c r="E558" s="248"/>
      <c r="F558" s="248"/>
      <c r="G558" s="248">
        <v>1.80489931863822E-3</v>
      </c>
      <c r="H558" s="735">
        <v>1.8977514822838099E-3</v>
      </c>
      <c r="I558" s="735">
        <v>1.8630152853177399E-3</v>
      </c>
      <c r="J558" s="735">
        <v>1.8973482523890501E-3</v>
      </c>
      <c r="L558" s="84"/>
      <c r="M558" s="84"/>
      <c r="N558" s="84"/>
      <c r="O558" s="84"/>
      <c r="P558" s="84"/>
      <c r="Q558" s="84"/>
      <c r="R558" s="84"/>
      <c r="S558" s="84"/>
    </row>
    <row r="559" spans="1:19">
      <c r="A559" s="629" t="s">
        <v>744</v>
      </c>
      <c r="B559" s="248"/>
      <c r="C559" s="248"/>
      <c r="D559" s="248">
        <v>2.8124924487445001E-3</v>
      </c>
      <c r="E559" s="248"/>
      <c r="F559" s="248"/>
      <c r="G559" s="248">
        <v>1.7145293391434E-3</v>
      </c>
      <c r="H559" s="735">
        <v>1.72663735439145E-3</v>
      </c>
      <c r="I559" s="735">
        <v>1.79695934798153E-3</v>
      </c>
      <c r="J559" s="735">
        <v>1.7199207085563501E-3</v>
      </c>
      <c r="L559" s="84"/>
      <c r="M559" s="84"/>
      <c r="N559" s="84"/>
      <c r="O559" s="84"/>
      <c r="P559" s="84"/>
      <c r="Q559" s="84"/>
      <c r="R559" s="84"/>
      <c r="S559" s="84"/>
    </row>
    <row r="560" spans="1:19">
      <c r="A560" s="629" t="s">
        <v>743</v>
      </c>
      <c r="B560" s="248"/>
      <c r="C560" s="248"/>
      <c r="D560" s="248">
        <v>2.70795590149308E-3</v>
      </c>
      <c r="E560" s="248"/>
      <c r="F560" s="248"/>
      <c r="G560" s="248">
        <v>1.6038450743445199E-3</v>
      </c>
      <c r="H560" s="735">
        <v>1.5381956307292399E-3</v>
      </c>
      <c r="I560" s="735">
        <v>1.6376270906403301E-3</v>
      </c>
      <c r="J560" s="735">
        <v>1.52973333110129E-3</v>
      </c>
      <c r="L560" s="84"/>
      <c r="M560" s="84"/>
      <c r="N560" s="84"/>
      <c r="O560" s="84"/>
      <c r="P560" s="84"/>
      <c r="Q560" s="84"/>
      <c r="R560" s="84"/>
      <c r="S560" s="84"/>
    </row>
    <row r="561" spans="1:19">
      <c r="A561" s="629" t="s">
        <v>742</v>
      </c>
      <c r="B561" s="248"/>
      <c r="C561" s="248"/>
      <c r="D561" s="248">
        <v>3.1551976736981001E-3</v>
      </c>
      <c r="E561" s="248"/>
      <c r="F561" s="248"/>
      <c r="G561" s="248">
        <v>1.58652500707028E-3</v>
      </c>
      <c r="H561" s="735">
        <v>1.3840928242307201E-3</v>
      </c>
      <c r="I561" s="735">
        <v>1.6259837473512899E-3</v>
      </c>
      <c r="J561" s="735">
        <v>1.37402182117303E-3</v>
      </c>
      <c r="L561" s="84"/>
      <c r="M561" s="84"/>
      <c r="N561" s="84"/>
      <c r="O561" s="84"/>
      <c r="P561" s="84"/>
      <c r="Q561" s="84"/>
      <c r="R561" s="84"/>
      <c r="S561" s="84"/>
    </row>
    <row r="562" spans="1:19">
      <c r="A562" s="629" t="s">
        <v>741</v>
      </c>
      <c r="B562" s="248"/>
      <c r="C562" s="248"/>
      <c r="D562" s="248">
        <v>2.5219934646524798E-3</v>
      </c>
      <c r="E562" s="248"/>
      <c r="F562" s="248"/>
      <c r="G562" s="248">
        <v>1.5780007618256299E-3</v>
      </c>
      <c r="H562" s="735">
        <v>1.2748559195671499E-3</v>
      </c>
      <c r="I562" s="735">
        <v>1.48324137746154E-3</v>
      </c>
      <c r="J562" s="735">
        <v>1.2616930385520499E-3</v>
      </c>
      <c r="L562" s="84"/>
      <c r="M562" s="84"/>
      <c r="N562" s="84"/>
      <c r="O562" s="84"/>
      <c r="P562" s="84"/>
      <c r="Q562" s="84"/>
      <c r="R562" s="84"/>
      <c r="S562" s="84"/>
    </row>
    <row r="563" spans="1:19">
      <c r="A563" s="629" t="s">
        <v>740</v>
      </c>
      <c r="B563" s="248"/>
      <c r="C563" s="248"/>
      <c r="D563" s="248">
        <v>3.3367981826223601E-3</v>
      </c>
      <c r="E563" s="248"/>
      <c r="F563" s="248"/>
      <c r="G563" s="248">
        <v>1.4972927164267E-3</v>
      </c>
      <c r="H563" s="735">
        <v>1.2779099261694201E-3</v>
      </c>
      <c r="I563" s="735">
        <v>1.4415259462194701E-3</v>
      </c>
      <c r="J563" s="735">
        <v>1.2697071785118001E-3</v>
      </c>
      <c r="L563" s="84"/>
      <c r="M563" s="84"/>
      <c r="N563" s="84"/>
      <c r="O563" s="84"/>
      <c r="P563" s="84"/>
      <c r="Q563" s="84"/>
      <c r="R563" s="84"/>
      <c r="S563" s="84"/>
    </row>
    <row r="564" spans="1:19">
      <c r="A564" s="629" t="s">
        <v>739</v>
      </c>
      <c r="B564" s="248"/>
      <c r="C564" s="248"/>
      <c r="D564" s="248">
        <v>2.6679225695860199E-3</v>
      </c>
      <c r="E564" s="248"/>
      <c r="F564" s="248"/>
      <c r="G564" s="248">
        <v>1.40867265626335E-3</v>
      </c>
      <c r="H564" s="735">
        <v>1.1721589233019099E-3</v>
      </c>
      <c r="I564" s="735">
        <v>1.3210785855775099E-3</v>
      </c>
      <c r="J564" s="735">
        <v>1.16146179243849E-3</v>
      </c>
      <c r="L564" s="84"/>
      <c r="M564" s="84"/>
      <c r="N564" s="84"/>
      <c r="O564" s="84"/>
      <c r="P564" s="84"/>
      <c r="Q564" s="84"/>
      <c r="R564" s="84"/>
      <c r="S564" s="84"/>
    </row>
    <row r="565" spans="1:19">
      <c r="A565" s="629" t="s">
        <v>738</v>
      </c>
      <c r="B565" s="248"/>
      <c r="C565" s="248"/>
      <c r="D565" s="248">
        <v>3.7790732857269499E-3</v>
      </c>
      <c r="E565" s="248"/>
      <c r="F565" s="248"/>
      <c r="G565" s="248">
        <v>1.3291150283079201E-3</v>
      </c>
      <c r="H565" s="735">
        <v>1.2036692282909199E-3</v>
      </c>
      <c r="I565" s="735">
        <v>1.4635964096462099E-3</v>
      </c>
      <c r="J565" s="735">
        <v>1.1852616415797799E-3</v>
      </c>
      <c r="L565" s="84"/>
      <c r="M565" s="84"/>
      <c r="N565" s="84"/>
      <c r="O565" s="84"/>
      <c r="P565" s="84"/>
      <c r="Q565" s="84"/>
      <c r="R565" s="84"/>
      <c r="S565" s="84"/>
    </row>
    <row r="566" spans="1:19">
      <c r="A566" s="629" t="s">
        <v>737</v>
      </c>
      <c r="B566" s="248"/>
      <c r="C566" s="248"/>
      <c r="D566" s="248">
        <v>2.8911231136607698E-3</v>
      </c>
      <c r="E566" s="248"/>
      <c r="F566" s="248"/>
      <c r="G566" s="248">
        <v>1.26179657130232E-3</v>
      </c>
      <c r="H566" s="735">
        <v>1.1260891211054001E-3</v>
      </c>
      <c r="I566" s="735">
        <v>1.33303423081655E-3</v>
      </c>
      <c r="J566" s="735">
        <v>1.10916432920869E-3</v>
      </c>
      <c r="L566" s="84"/>
      <c r="M566" s="84"/>
      <c r="N566" s="84"/>
      <c r="O566" s="84"/>
      <c r="P566" s="84"/>
      <c r="Q566" s="84"/>
      <c r="R566" s="84"/>
      <c r="S566" s="84"/>
    </row>
    <row r="567" spans="1:19">
      <c r="A567" s="629" t="s">
        <v>736</v>
      </c>
      <c r="B567" s="248"/>
      <c r="C567" s="248"/>
      <c r="D567" s="248">
        <v>7.9281229060736095E-3</v>
      </c>
      <c r="E567" s="248"/>
      <c r="F567" s="248"/>
      <c r="G567" s="248">
        <v>1.4958912624413599E-3</v>
      </c>
      <c r="H567" s="735">
        <v>1.04413110582314E-3</v>
      </c>
      <c r="I567" s="735">
        <v>1.5611802725597999E-3</v>
      </c>
      <c r="J567" s="735">
        <v>1.02466665210091E-3</v>
      </c>
      <c r="L567" s="84"/>
      <c r="M567" s="84"/>
      <c r="N567" s="84"/>
      <c r="O567" s="84"/>
      <c r="P567" s="84"/>
      <c r="Q567" s="84"/>
      <c r="R567" s="84"/>
      <c r="S567" s="84"/>
    </row>
    <row r="568" spans="1:19">
      <c r="A568" s="629" t="s">
        <v>735</v>
      </c>
      <c r="B568" s="248"/>
      <c r="C568" s="248"/>
      <c r="D568" s="248">
        <v>4.9953857049913897E-3</v>
      </c>
      <c r="E568" s="248"/>
      <c r="F568" s="248"/>
      <c r="G568" s="248">
        <v>1.4358406774088201E-3</v>
      </c>
      <c r="H568" s="735">
        <v>1.2119213667994299E-3</v>
      </c>
      <c r="I568" s="735">
        <v>1.7420856370364301E-3</v>
      </c>
      <c r="J568" s="735">
        <v>1.1842023879271E-3</v>
      </c>
      <c r="L568" s="84"/>
      <c r="M568" s="84"/>
      <c r="N568" s="84"/>
      <c r="O568" s="84"/>
      <c r="P568" s="84"/>
      <c r="Q568" s="84"/>
      <c r="R568" s="84"/>
      <c r="S568" s="84"/>
    </row>
    <row r="569" spans="1:19">
      <c r="A569" s="629" t="s">
        <v>734</v>
      </c>
      <c r="B569" s="248"/>
      <c r="C569" s="248">
        <v>5.4323464943571501E-3</v>
      </c>
      <c r="D569" s="248">
        <v>6.9389703057193899E-3</v>
      </c>
      <c r="E569" s="248">
        <v>2.3360973535626601E-3</v>
      </c>
      <c r="F569" s="248"/>
      <c r="G569" s="248">
        <v>1.51231699025237E-3</v>
      </c>
      <c r="H569" s="735">
        <v>1.11722109405439E-3</v>
      </c>
      <c r="I569" s="735">
        <v>1.6464348240380899E-3</v>
      </c>
      <c r="J569" s="735">
        <v>1.08818925549764E-3</v>
      </c>
      <c r="L569" s="84"/>
      <c r="M569" s="84"/>
      <c r="N569" s="84"/>
      <c r="O569" s="84"/>
      <c r="P569" s="84"/>
      <c r="Q569" s="84"/>
      <c r="R569" s="84"/>
      <c r="S569" s="84"/>
    </row>
    <row r="570" spans="1:19">
      <c r="A570" s="629" t="s">
        <v>733</v>
      </c>
      <c r="B570" s="248"/>
      <c r="C570" s="248">
        <v>7.8679199448625295E-3</v>
      </c>
      <c r="D570" s="248">
        <v>5.0255091367954804E-3</v>
      </c>
      <c r="E570" s="248">
        <v>2.7801522362462098E-3</v>
      </c>
      <c r="F570" s="248"/>
      <c r="G570" s="248">
        <v>1.8340727535653099E-3</v>
      </c>
      <c r="H570" s="735">
        <v>1.11607245592915E-3</v>
      </c>
      <c r="I570" s="735">
        <v>1.7871216172442601E-3</v>
      </c>
      <c r="J570" s="735">
        <v>1.0890899466999501E-3</v>
      </c>
      <c r="L570" s="84"/>
      <c r="M570" s="84"/>
      <c r="N570" s="84"/>
      <c r="O570" s="84"/>
      <c r="P570" s="84"/>
      <c r="Q570" s="84"/>
      <c r="R570" s="84"/>
      <c r="S570" s="84"/>
    </row>
    <row r="571" spans="1:19">
      <c r="A571" s="629" t="s">
        <v>732</v>
      </c>
      <c r="B571" s="248"/>
      <c r="C571" s="248">
        <v>5.0411195855088898E-3</v>
      </c>
      <c r="D571" s="248">
        <v>4.7312284481573702E-3</v>
      </c>
      <c r="E571" s="248">
        <v>2.7437018523769801E-3</v>
      </c>
      <c r="F571" s="248"/>
      <c r="G571" s="248">
        <v>1.72576108945326E-3</v>
      </c>
      <c r="H571" s="735">
        <v>1.2635892483536301E-3</v>
      </c>
      <c r="I571" s="735">
        <v>1.72478391686205E-3</v>
      </c>
      <c r="J571" s="735">
        <v>1.2453034912204501E-3</v>
      </c>
      <c r="L571" s="84"/>
      <c r="M571" s="84"/>
      <c r="N571" s="84"/>
      <c r="O571" s="84"/>
      <c r="P571" s="84"/>
      <c r="Q571" s="84"/>
      <c r="R571" s="84"/>
      <c r="S571" s="84"/>
    </row>
    <row r="572" spans="1:19">
      <c r="A572" s="629" t="s">
        <v>731</v>
      </c>
      <c r="B572" s="248"/>
      <c r="C572" s="248">
        <v>4.3254116937569099E-3</v>
      </c>
      <c r="D572" s="248">
        <v>4.2580574042340802E-3</v>
      </c>
      <c r="E572" s="248">
        <v>2.5212620874085702E-3</v>
      </c>
      <c r="F572" s="248"/>
      <c r="G572" s="248">
        <v>1.6187101938385899E-3</v>
      </c>
      <c r="H572" s="735">
        <v>1.1687743292970499E-3</v>
      </c>
      <c r="I572" s="735">
        <v>1.6115339574323301E-3</v>
      </c>
      <c r="J572" s="735">
        <v>1.1491637018987101E-3</v>
      </c>
      <c r="L572" s="84"/>
      <c r="M572" s="84"/>
      <c r="N572" s="84"/>
      <c r="O572" s="84"/>
      <c r="P572" s="84"/>
      <c r="Q572" s="84"/>
      <c r="R572" s="84"/>
      <c r="S572" s="84"/>
    </row>
    <row r="573" spans="1:19">
      <c r="A573" s="629" t="s">
        <v>730</v>
      </c>
      <c r="B573" s="248"/>
      <c r="C573" s="248">
        <v>3.3398686298653098E-3</v>
      </c>
      <c r="D573" s="248">
        <v>3.7049628815405602E-3</v>
      </c>
      <c r="E573" s="248">
        <v>2.2889467747104898E-3</v>
      </c>
      <c r="F573" s="248"/>
      <c r="G573" s="248">
        <v>1.53371533006944E-3</v>
      </c>
      <c r="H573" s="735">
        <v>1.3891986925987001E-3</v>
      </c>
      <c r="I573" s="735">
        <v>1.4785280634726399E-3</v>
      </c>
      <c r="J573" s="735">
        <v>1.37183954927694E-3</v>
      </c>
      <c r="L573" s="84"/>
      <c r="M573" s="84"/>
      <c r="N573" s="84"/>
      <c r="O573" s="84"/>
      <c r="P573" s="84"/>
      <c r="Q573" s="84"/>
      <c r="R573" s="84"/>
      <c r="S573" s="84"/>
    </row>
    <row r="574" spans="1:19">
      <c r="A574" s="629" t="s">
        <v>729</v>
      </c>
      <c r="B574" s="248"/>
      <c r="C574" s="248">
        <v>3.5546670376225501E-3</v>
      </c>
      <c r="D574" s="248">
        <v>6.1311659500878201E-3</v>
      </c>
      <c r="E574" s="248">
        <v>2.2525244069894002E-3</v>
      </c>
      <c r="F574" s="248"/>
      <c r="G574" s="248">
        <v>1.7155677443053199E-3</v>
      </c>
      <c r="H574" s="735">
        <v>1.3346766391077701E-3</v>
      </c>
      <c r="I574" s="735">
        <v>1.34274228164849E-3</v>
      </c>
      <c r="J574" s="735">
        <v>1.3157852169663701E-3</v>
      </c>
      <c r="L574" s="84"/>
      <c r="M574" s="84"/>
      <c r="N574" s="84"/>
      <c r="O574" s="84"/>
      <c r="P574" s="84"/>
      <c r="Q574" s="84"/>
      <c r="R574" s="84"/>
      <c r="S574" s="84"/>
    </row>
    <row r="575" spans="1:19">
      <c r="A575" s="629" t="s">
        <v>728</v>
      </c>
      <c r="B575" s="248"/>
      <c r="C575" s="248">
        <v>2.9298041769539001E-3</v>
      </c>
      <c r="D575" s="248">
        <v>4.2082406208398E-3</v>
      </c>
      <c r="E575" s="248">
        <v>2.1897786837831801E-3</v>
      </c>
      <c r="F575" s="248"/>
      <c r="G575" s="248">
        <v>1.6658806302044E-3</v>
      </c>
      <c r="H575" s="735">
        <v>1.2431384093389199E-3</v>
      </c>
      <c r="I575" s="735">
        <v>1.2920811556394499E-3</v>
      </c>
      <c r="J575" s="735">
        <v>1.22406557604489E-3</v>
      </c>
      <c r="L575" s="84"/>
      <c r="M575" s="84"/>
      <c r="N575" s="84"/>
      <c r="O575" s="84"/>
      <c r="P575" s="84"/>
      <c r="Q575" s="84"/>
      <c r="R575" s="84"/>
      <c r="S575" s="84"/>
    </row>
    <row r="576" spans="1:19">
      <c r="A576" s="629" t="s">
        <v>727</v>
      </c>
      <c r="B576" s="248"/>
      <c r="C576" s="248">
        <v>2.68833971022878E-3</v>
      </c>
      <c r="D576" s="248">
        <v>1.28469176330504E-2</v>
      </c>
      <c r="E576" s="248">
        <v>2.0872426844831E-3</v>
      </c>
      <c r="F576" s="248"/>
      <c r="G576" s="248">
        <v>1.6632578899516701E-3</v>
      </c>
      <c r="H576" s="735">
        <v>1.25322560425513E-3</v>
      </c>
      <c r="I576" s="735">
        <v>1.2664250823213501E-3</v>
      </c>
      <c r="J576" s="735">
        <v>1.23636499633779E-3</v>
      </c>
      <c r="L576" s="84"/>
      <c r="M576" s="84"/>
      <c r="N576" s="84"/>
      <c r="O576" s="84"/>
      <c r="P576" s="84"/>
      <c r="Q576" s="84"/>
      <c r="R576" s="84"/>
      <c r="S576" s="84"/>
    </row>
    <row r="577" spans="1:19">
      <c r="A577" s="629" t="s">
        <v>726</v>
      </c>
      <c r="B577" s="248"/>
      <c r="C577" s="248">
        <v>2.6729579285996201E-3</v>
      </c>
      <c r="D577" s="248">
        <v>8.0194678329483307E-3</v>
      </c>
      <c r="E577" s="248">
        <v>2.2144427624582398E-3</v>
      </c>
      <c r="F577" s="248"/>
      <c r="G577" s="248">
        <v>1.56021868121463E-3</v>
      </c>
      <c r="H577" s="735">
        <v>1.3765055752702599E-3</v>
      </c>
      <c r="I577" s="735">
        <v>1.30486882706367E-3</v>
      </c>
      <c r="J577" s="735">
        <v>1.35838127791549E-3</v>
      </c>
      <c r="L577" s="84"/>
      <c r="M577" s="84"/>
      <c r="N577" s="84"/>
      <c r="O577" s="84"/>
      <c r="P577" s="84"/>
      <c r="Q577" s="84"/>
      <c r="R577" s="84"/>
      <c r="S577" s="84"/>
    </row>
    <row r="578" spans="1:19">
      <c r="A578" s="629" t="s">
        <v>725</v>
      </c>
      <c r="B578" s="248"/>
      <c r="C578" s="248">
        <v>2.5832892120237799E-3</v>
      </c>
      <c r="D578" s="248">
        <v>1.22983627337248E-2</v>
      </c>
      <c r="E578" s="248">
        <v>2.10242070041333E-3</v>
      </c>
      <c r="F578" s="248"/>
      <c r="G578" s="248">
        <v>1.4793940696691799E-3</v>
      </c>
      <c r="H578" s="735">
        <v>1.38112348762944E-3</v>
      </c>
      <c r="I578" s="735">
        <v>1.69441775971948E-3</v>
      </c>
      <c r="J578" s="735">
        <v>1.3597988468464601E-3</v>
      </c>
      <c r="L578" s="84"/>
      <c r="M578" s="84"/>
      <c r="N578" s="84"/>
      <c r="O578" s="84"/>
      <c r="P578" s="84"/>
      <c r="Q578" s="84"/>
      <c r="R578" s="84"/>
      <c r="S578" s="84"/>
    </row>
    <row r="579" spans="1:19">
      <c r="A579" s="629" t="s">
        <v>724</v>
      </c>
      <c r="B579" s="248"/>
      <c r="C579" s="248">
        <v>3.1121502685846499E-3</v>
      </c>
      <c r="D579" s="248">
        <v>1.3043944605090899E-2</v>
      </c>
      <c r="E579" s="248">
        <v>1.9862273893099E-3</v>
      </c>
      <c r="F579" s="248"/>
      <c r="G579" s="248">
        <v>1.4325469290053299E-3</v>
      </c>
      <c r="H579" s="735">
        <v>1.2668023750307699E-3</v>
      </c>
      <c r="I579" s="735">
        <v>1.77900680584894E-3</v>
      </c>
      <c r="J579" s="735">
        <v>1.24380405355263E-3</v>
      </c>
      <c r="L579" s="84"/>
      <c r="M579" s="84"/>
      <c r="N579" s="84"/>
      <c r="O579" s="84"/>
      <c r="P579" s="84"/>
      <c r="Q579" s="84"/>
      <c r="R579" s="84"/>
      <c r="S579" s="84"/>
    </row>
    <row r="580" spans="1:19">
      <c r="A580" s="629" t="s">
        <v>723</v>
      </c>
      <c r="B580" s="248"/>
      <c r="C580" s="248">
        <v>5.1936059164625296E-3</v>
      </c>
      <c r="D580" s="248">
        <v>1.4970449695707501E-2</v>
      </c>
      <c r="E580" s="248">
        <v>2.8573881275445502E-3</v>
      </c>
      <c r="F580" s="248"/>
      <c r="G580" s="248">
        <v>1.6111294645790801E-3</v>
      </c>
      <c r="H580" s="735">
        <v>2.9664100043718701E-3</v>
      </c>
      <c r="I580" s="735">
        <v>3.3308665114621999E-3</v>
      </c>
      <c r="J580" s="735">
        <v>2.9786177992450502E-3</v>
      </c>
      <c r="L580" s="84"/>
      <c r="M580" s="84"/>
      <c r="N580" s="84"/>
      <c r="O580" s="84"/>
      <c r="P580" s="84"/>
      <c r="Q580" s="84"/>
      <c r="R580" s="84"/>
      <c r="S580" s="84"/>
    </row>
    <row r="581" spans="1:19">
      <c r="A581" s="629" t="s">
        <v>722</v>
      </c>
      <c r="B581" s="248"/>
      <c r="C581" s="248">
        <v>3.5739286105913601E-3</v>
      </c>
      <c r="D581" s="248">
        <v>1.039878821264E-2</v>
      </c>
      <c r="E581" s="248">
        <v>2.91533388630819E-3</v>
      </c>
      <c r="F581" s="248"/>
      <c r="G581" s="248">
        <v>1.5499950658680801E-3</v>
      </c>
      <c r="H581" s="735">
        <v>2.55702727686314E-3</v>
      </c>
      <c r="I581" s="735">
        <v>3.0277140914842801E-3</v>
      </c>
      <c r="J581" s="735">
        <v>2.5677539197669001E-3</v>
      </c>
      <c r="L581" s="84"/>
      <c r="M581" s="84"/>
      <c r="N581" s="84"/>
      <c r="O581" s="84"/>
      <c r="P581" s="84"/>
      <c r="Q581" s="84"/>
      <c r="R581" s="84"/>
      <c r="S581" s="84"/>
    </row>
    <row r="582" spans="1:19">
      <c r="A582" s="629" t="s">
        <v>721</v>
      </c>
      <c r="B582" s="248"/>
      <c r="C582" s="248">
        <v>3.9253044182033696E-3</v>
      </c>
      <c r="D582" s="248">
        <v>7.9381547438131597E-3</v>
      </c>
      <c r="E582" s="248">
        <v>5.43033611432946E-3</v>
      </c>
      <c r="F582" s="248"/>
      <c r="G582" s="248">
        <v>1.4962355694343201E-3</v>
      </c>
      <c r="H582" s="735">
        <v>2.28502675754282E-3</v>
      </c>
      <c r="I582" s="735">
        <v>2.7913740361381E-3</v>
      </c>
      <c r="J582" s="735">
        <v>2.2916091766698298E-3</v>
      </c>
      <c r="L582" s="84"/>
      <c r="M582" s="84"/>
      <c r="N582" s="84"/>
      <c r="O582" s="84"/>
      <c r="P582" s="84"/>
      <c r="Q582" s="84"/>
      <c r="R582" s="84"/>
      <c r="S582" s="84"/>
    </row>
    <row r="583" spans="1:19">
      <c r="A583" s="629" t="s">
        <v>720</v>
      </c>
      <c r="B583" s="248"/>
      <c r="C583" s="248">
        <v>3.3589578484135799E-3</v>
      </c>
      <c r="D583" s="248">
        <v>8.1018405573213808E-3</v>
      </c>
      <c r="E583" s="248">
        <v>4.5983464466671396E-3</v>
      </c>
      <c r="F583" s="248"/>
      <c r="G583" s="248">
        <v>1.6251797842062501E-3</v>
      </c>
      <c r="H583" s="735">
        <v>2.0105065531942599E-3</v>
      </c>
      <c r="I583" s="735">
        <v>2.4899800137241699E-3</v>
      </c>
      <c r="J583" s="735">
        <v>2.0153015448719299E-3</v>
      </c>
      <c r="L583" s="84"/>
      <c r="M583" s="84"/>
      <c r="N583" s="84"/>
      <c r="O583" s="84"/>
      <c r="P583" s="84"/>
      <c r="Q583" s="84"/>
      <c r="R583" s="84"/>
      <c r="S583" s="84"/>
    </row>
    <row r="584" spans="1:19">
      <c r="A584" s="629" t="s">
        <v>719</v>
      </c>
      <c r="B584" s="248"/>
      <c r="C584" s="248">
        <v>3.9636691995807603E-3</v>
      </c>
      <c r="D584" s="248">
        <v>9.4590975575846708E-3</v>
      </c>
      <c r="E584" s="248">
        <v>4.47033741074861E-3</v>
      </c>
      <c r="F584" s="248"/>
      <c r="G584" s="248">
        <v>1.7200291152855401E-3</v>
      </c>
      <c r="H584" s="735">
        <v>1.91815019175519E-3</v>
      </c>
      <c r="I584" s="735">
        <v>2.49027378239339E-3</v>
      </c>
      <c r="J584" s="735">
        <v>1.9237748926040101E-3</v>
      </c>
      <c r="L584" s="84"/>
      <c r="M584" s="84"/>
      <c r="N584" s="84"/>
      <c r="O584" s="84"/>
      <c r="P584" s="84"/>
      <c r="Q584" s="84"/>
      <c r="R584" s="84"/>
      <c r="S584" s="84"/>
    </row>
    <row r="585" spans="1:19">
      <c r="A585" s="629" t="s">
        <v>718</v>
      </c>
      <c r="B585" s="248"/>
      <c r="C585" s="248">
        <v>4.3366555126305804E-3</v>
      </c>
      <c r="D585" s="248">
        <v>8.9808886929493292E-3</v>
      </c>
      <c r="E585" s="248">
        <v>4.3128933274370696E-3</v>
      </c>
      <c r="F585" s="248"/>
      <c r="G585" s="248">
        <v>1.7832810914901701E-3</v>
      </c>
      <c r="H585" s="735">
        <v>2.0203605383572998E-3</v>
      </c>
      <c r="I585" s="735">
        <v>4.3535890199945396E-3</v>
      </c>
      <c r="J585" s="735">
        <v>2.0198536295949498E-3</v>
      </c>
      <c r="L585" s="84"/>
      <c r="M585" s="84"/>
      <c r="N585" s="84"/>
      <c r="O585" s="84"/>
      <c r="P585" s="84"/>
      <c r="Q585" s="84"/>
      <c r="R585" s="84"/>
      <c r="S585" s="84"/>
    </row>
    <row r="586" spans="1:19">
      <c r="A586" s="629" t="s">
        <v>717</v>
      </c>
      <c r="B586" s="248"/>
      <c r="C586" s="248">
        <v>6.2204797993399997E-3</v>
      </c>
      <c r="D586" s="248">
        <v>5.5323019605790797E-3</v>
      </c>
      <c r="E586" s="248">
        <v>4.1314779374528798E-3</v>
      </c>
      <c r="F586" s="248"/>
      <c r="G586" s="248">
        <v>2.6397132641011599E-3</v>
      </c>
      <c r="H586" s="735">
        <v>1.9891835064727199E-3</v>
      </c>
      <c r="I586" s="735">
        <v>4.2694602183086299E-3</v>
      </c>
      <c r="J586" s="735">
        <v>1.9843200634755598E-3</v>
      </c>
      <c r="L586" s="84"/>
      <c r="M586" s="84"/>
      <c r="N586" s="84"/>
      <c r="O586" s="84"/>
      <c r="P586" s="84"/>
      <c r="Q586" s="84"/>
      <c r="R586" s="84"/>
      <c r="S586" s="84"/>
    </row>
    <row r="587" spans="1:19">
      <c r="A587" s="629" t="s">
        <v>716</v>
      </c>
      <c r="B587" s="248"/>
      <c r="C587" s="248">
        <v>4.8664480782907703E-3</v>
      </c>
      <c r="D587" s="248">
        <v>5.7347739205340503E-3</v>
      </c>
      <c r="E587" s="248">
        <v>3.6525016158326599E-3</v>
      </c>
      <c r="F587" s="248"/>
      <c r="G587" s="248">
        <v>2.4860994109413802E-3</v>
      </c>
      <c r="H587" s="735">
        <v>1.8342971690150001E-3</v>
      </c>
      <c r="I587" s="735">
        <v>4.3218483169341201E-3</v>
      </c>
      <c r="J587" s="735">
        <v>1.83114624041176E-3</v>
      </c>
      <c r="L587" s="84"/>
      <c r="M587" s="84"/>
      <c r="N587" s="84"/>
      <c r="O587" s="84"/>
      <c r="P587" s="84"/>
      <c r="Q587" s="84"/>
      <c r="R587" s="84"/>
      <c r="S587" s="84"/>
    </row>
    <row r="588" spans="1:19">
      <c r="A588" s="629" t="s">
        <v>715</v>
      </c>
      <c r="B588" s="248"/>
      <c r="C588" s="248">
        <v>6.4040147014232402E-3</v>
      </c>
      <c r="D588" s="248">
        <v>4.4161332071501304E-3</v>
      </c>
      <c r="E588" s="248">
        <v>3.1780296169451202E-3</v>
      </c>
      <c r="F588" s="248"/>
      <c r="G588" s="248">
        <v>2.31770740849448E-3</v>
      </c>
      <c r="H588" s="735">
        <v>2.6526883181978199E-3</v>
      </c>
      <c r="I588" s="735">
        <v>3.8808985912593698E-3</v>
      </c>
      <c r="J588" s="735">
        <v>2.6498942781642298E-3</v>
      </c>
      <c r="L588" s="84"/>
      <c r="M588" s="84"/>
      <c r="N588" s="84"/>
      <c r="O588" s="84"/>
      <c r="P588" s="84"/>
      <c r="Q588" s="84"/>
      <c r="R588" s="84"/>
      <c r="S588" s="84"/>
    </row>
    <row r="589" spans="1:19">
      <c r="A589" s="629" t="s">
        <v>714</v>
      </c>
      <c r="B589" s="248"/>
      <c r="C589" s="248">
        <v>4.1373993022723599E-3</v>
      </c>
      <c r="D589" s="248">
        <v>8.1606790564002097E-3</v>
      </c>
      <c r="E589" s="248">
        <v>5.3858640255774999E-3</v>
      </c>
      <c r="F589" s="248"/>
      <c r="G589" s="248">
        <v>3.0320563980754502E-3</v>
      </c>
      <c r="H589" s="735">
        <v>3.53668293898661E-3</v>
      </c>
      <c r="I589" s="735">
        <v>4.5419305526908102E-3</v>
      </c>
      <c r="J589" s="735">
        <v>3.5550390625553601E-3</v>
      </c>
      <c r="L589" s="84"/>
      <c r="M589" s="84"/>
      <c r="N589" s="84"/>
      <c r="O589" s="84"/>
      <c r="P589" s="84"/>
      <c r="Q589" s="84"/>
      <c r="R589" s="84"/>
      <c r="S589" s="84"/>
    </row>
    <row r="590" spans="1:19">
      <c r="A590" s="629" t="s">
        <v>713</v>
      </c>
      <c r="B590" s="248"/>
      <c r="C590" s="248">
        <v>3.76659836317344E-3</v>
      </c>
      <c r="D590" s="248">
        <v>8.5556233085099399E-3</v>
      </c>
      <c r="E590" s="248">
        <v>6.0708214950650303E-3</v>
      </c>
      <c r="F590" s="248"/>
      <c r="G590" s="248">
        <v>2.9700311236896099E-3</v>
      </c>
      <c r="H590" s="735">
        <v>5.4004330807893601E-3</v>
      </c>
      <c r="I590" s="735">
        <v>4.0763421867583E-3</v>
      </c>
      <c r="J590" s="735">
        <v>5.4348418208659804E-3</v>
      </c>
      <c r="L590" s="84"/>
      <c r="M590" s="84"/>
      <c r="N590" s="84"/>
      <c r="O590" s="84"/>
      <c r="P590" s="84"/>
      <c r="Q590" s="84"/>
      <c r="R590" s="84"/>
      <c r="S590" s="84"/>
    </row>
    <row r="591" spans="1:19">
      <c r="A591" s="629" t="s">
        <v>712</v>
      </c>
      <c r="B591" s="248"/>
      <c r="C591" s="248">
        <v>3.8536098480064802E-3</v>
      </c>
      <c r="D591" s="248">
        <v>2.47712758260627E-2</v>
      </c>
      <c r="E591" s="248">
        <v>6.9415972275098103E-3</v>
      </c>
      <c r="F591" s="248"/>
      <c r="G591" s="248">
        <v>4.0150154858075403E-3</v>
      </c>
      <c r="H591" s="735">
        <v>7.1920148414171799E-3</v>
      </c>
      <c r="I591" s="735">
        <v>4.7869266703566699E-3</v>
      </c>
      <c r="J591" s="735">
        <v>7.2964538122314102E-3</v>
      </c>
      <c r="L591" s="84"/>
      <c r="M591" s="84"/>
      <c r="N591" s="84"/>
      <c r="O591" s="84"/>
      <c r="P591" s="84"/>
      <c r="Q591" s="84"/>
      <c r="R591" s="84"/>
      <c r="S591" s="84"/>
    </row>
    <row r="592" spans="1:19">
      <c r="A592" s="629" t="s">
        <v>711</v>
      </c>
      <c r="B592" s="248"/>
      <c r="C592" s="248">
        <v>4.5968132932799497E-3</v>
      </c>
      <c r="D592" s="248">
        <v>1.58771459828429E-2</v>
      </c>
      <c r="E592" s="248">
        <v>5.9751273846997298E-3</v>
      </c>
      <c r="F592" s="248"/>
      <c r="G592" s="248">
        <v>5.2800961133907904E-3</v>
      </c>
      <c r="H592" s="735">
        <v>6.7240257373795999E-3</v>
      </c>
      <c r="I592" s="735">
        <v>4.3105783630880698E-3</v>
      </c>
      <c r="J592" s="735">
        <v>6.81671534564556E-3</v>
      </c>
      <c r="L592" s="84"/>
      <c r="M592" s="84"/>
      <c r="N592" s="84"/>
      <c r="O592" s="84"/>
      <c r="P592" s="84"/>
      <c r="Q592" s="84"/>
      <c r="R592" s="84"/>
      <c r="S592" s="84"/>
    </row>
    <row r="593" spans="1:19">
      <c r="A593" s="629" t="s">
        <v>710</v>
      </c>
      <c r="B593" s="248"/>
      <c r="C593" s="248">
        <v>5.4852797276628397E-3</v>
      </c>
      <c r="D593" s="248">
        <v>9.1241191309415302E-3</v>
      </c>
      <c r="E593" s="248">
        <v>6.4063228295252799E-3</v>
      </c>
      <c r="F593" s="248"/>
      <c r="G593" s="248">
        <v>5.0255918338456404E-3</v>
      </c>
      <c r="H593" s="735">
        <v>5.9075780101769801E-3</v>
      </c>
      <c r="I593" s="735">
        <v>3.8239163078121201E-3</v>
      </c>
      <c r="J593" s="735">
        <v>5.9844312056471097E-3</v>
      </c>
      <c r="L593" s="84"/>
      <c r="M593" s="84"/>
      <c r="N593" s="84"/>
      <c r="O593" s="84"/>
      <c r="P593" s="84"/>
      <c r="Q593" s="84"/>
      <c r="R593" s="84"/>
      <c r="S593" s="84"/>
    </row>
    <row r="594" spans="1:19">
      <c r="A594" s="629" t="s">
        <v>709</v>
      </c>
      <c r="B594" s="248"/>
      <c r="C594" s="248">
        <v>3.2134434468711399E-2</v>
      </c>
      <c r="D594" s="248">
        <v>1.11418871507439E-2</v>
      </c>
      <c r="E594" s="248">
        <v>1.3967013906723001E-2</v>
      </c>
      <c r="F594" s="248"/>
      <c r="G594" s="248">
        <v>1.7019606762384301E-2</v>
      </c>
      <c r="H594" s="735">
        <v>6.2820550749660203E-3</v>
      </c>
      <c r="I594" s="735">
        <v>6.6906075559931399E-3</v>
      </c>
      <c r="J594" s="735">
        <v>6.4023470701714399E-3</v>
      </c>
      <c r="L594" s="84"/>
      <c r="M594" s="84"/>
      <c r="N594" s="84"/>
      <c r="O594" s="84"/>
      <c r="P594" s="84"/>
      <c r="Q594" s="84"/>
      <c r="R594" s="84"/>
      <c r="S594" s="84"/>
    </row>
    <row r="595" spans="1:19">
      <c r="A595" s="629" t="s">
        <v>708</v>
      </c>
      <c r="B595" s="248"/>
      <c r="C595" s="248">
        <v>1.7827984796902899E-2</v>
      </c>
      <c r="D595" s="248">
        <v>7.2177656371613204E-3</v>
      </c>
      <c r="E595" s="248">
        <v>1.1384731272048299E-2</v>
      </c>
      <c r="F595" s="248"/>
      <c r="G595" s="248">
        <v>1.58557520735155E-2</v>
      </c>
      <c r="H595" s="735">
        <v>5.5116915347644202E-3</v>
      </c>
      <c r="I595" s="735">
        <v>5.88858802543129E-3</v>
      </c>
      <c r="J595" s="735">
        <v>5.6300693523440399E-3</v>
      </c>
      <c r="L595" s="84"/>
      <c r="M595" s="84"/>
      <c r="N595" s="84"/>
      <c r="O595" s="84"/>
      <c r="P595" s="84"/>
      <c r="Q595" s="84"/>
      <c r="R595" s="84"/>
      <c r="S595" s="84"/>
    </row>
    <row r="596" spans="1:19">
      <c r="A596" s="629" t="s">
        <v>707</v>
      </c>
      <c r="B596" s="248"/>
      <c r="C596" s="248">
        <v>1.05777756858439E-2</v>
      </c>
      <c r="D596" s="248">
        <v>5.3147452156189897E-3</v>
      </c>
      <c r="E596" s="248">
        <v>1.15334850354765E-2</v>
      </c>
      <c r="F596" s="248"/>
      <c r="G596" s="248">
        <v>1.4299957736194999E-2</v>
      </c>
      <c r="H596" s="735">
        <v>4.6470279175109298E-3</v>
      </c>
      <c r="I596" s="735">
        <v>5.3480969343000897E-3</v>
      </c>
      <c r="J596" s="735">
        <v>4.7525627461125503E-3</v>
      </c>
      <c r="L596" s="84"/>
      <c r="M596" s="84"/>
      <c r="N596" s="84"/>
      <c r="O596" s="84"/>
      <c r="P596" s="84"/>
      <c r="Q596" s="84"/>
      <c r="R596" s="84"/>
      <c r="S596" s="84"/>
    </row>
    <row r="597" spans="1:19">
      <c r="A597" s="629" t="s">
        <v>706</v>
      </c>
      <c r="B597" s="248"/>
      <c r="C597" s="248">
        <v>5.9376105166379003E-3</v>
      </c>
      <c r="D597" s="248">
        <v>3.76298833782854E-3</v>
      </c>
      <c r="E597" s="248">
        <v>9.5743851602669103E-3</v>
      </c>
      <c r="F597" s="248"/>
      <c r="G597" s="248">
        <v>1.29397167456259E-2</v>
      </c>
      <c r="H597" s="735">
        <v>4.0414571365497802E-3</v>
      </c>
      <c r="I597" s="735">
        <v>4.8163109080584998E-3</v>
      </c>
      <c r="J597" s="735">
        <v>4.1385494742081398E-3</v>
      </c>
      <c r="L597" s="84"/>
      <c r="M597" s="84"/>
      <c r="N597" s="84"/>
      <c r="O597" s="84"/>
      <c r="P597" s="84"/>
      <c r="Q597" s="84"/>
      <c r="R597" s="84"/>
      <c r="S597" s="84"/>
    </row>
    <row r="598" spans="1:19">
      <c r="A598" s="629" t="s">
        <v>705</v>
      </c>
      <c r="B598" s="248"/>
      <c r="C598" s="248">
        <v>4.2002958445769203E-3</v>
      </c>
      <c r="D598" s="248">
        <v>3.3396850968150302E-3</v>
      </c>
      <c r="E598" s="248">
        <v>8.2216793181246507E-3</v>
      </c>
      <c r="F598" s="248"/>
      <c r="G598" s="248">
        <v>1.3084358991931101E-2</v>
      </c>
      <c r="H598" s="735">
        <v>3.5710249608638198E-3</v>
      </c>
      <c r="I598" s="735">
        <v>4.7910036005149098E-3</v>
      </c>
      <c r="J598" s="735">
        <v>3.6585473049152101E-3</v>
      </c>
      <c r="L598" s="84"/>
      <c r="M598" s="84"/>
      <c r="N598" s="84"/>
      <c r="O598" s="84"/>
      <c r="P598" s="84"/>
      <c r="Q598" s="84"/>
      <c r="R598" s="84"/>
      <c r="S598" s="84"/>
    </row>
    <row r="599" spans="1:19">
      <c r="A599" s="629" t="s">
        <v>704</v>
      </c>
      <c r="B599" s="248"/>
      <c r="C599" s="248">
        <v>5.0077810595922003E-3</v>
      </c>
      <c r="D599" s="248">
        <v>1.17836958691838E-2</v>
      </c>
      <c r="E599" s="248">
        <v>1.24899297684268E-2</v>
      </c>
      <c r="F599" s="248"/>
      <c r="G599" s="248">
        <v>1.1868346207234801E-2</v>
      </c>
      <c r="H599" s="735">
        <v>3.15661284332164E-3</v>
      </c>
      <c r="I599" s="735">
        <v>5.12120676139985E-3</v>
      </c>
      <c r="J599" s="735">
        <v>3.2362121758962E-3</v>
      </c>
      <c r="L599" s="84"/>
      <c r="M599" s="84"/>
      <c r="N599" s="84"/>
      <c r="O599" s="84"/>
      <c r="P599" s="84"/>
      <c r="Q599" s="84"/>
      <c r="R599" s="84"/>
      <c r="S599" s="84"/>
    </row>
    <row r="600" spans="1:19">
      <c r="A600" s="629" t="s">
        <v>703</v>
      </c>
      <c r="B600" s="248"/>
      <c r="C600" s="248">
        <v>6.1847392342647299E-3</v>
      </c>
      <c r="D600" s="248">
        <v>9.1712126624456207E-3</v>
      </c>
      <c r="E600" s="248">
        <v>1.23714576355632E-2</v>
      </c>
      <c r="F600" s="248"/>
      <c r="G600" s="248">
        <v>1.09870984600431E-2</v>
      </c>
      <c r="H600" s="735">
        <v>3.5974946239608601E-3</v>
      </c>
      <c r="I600" s="735">
        <v>5.0029952521256499E-3</v>
      </c>
      <c r="J600" s="735">
        <v>3.6715859822265902E-3</v>
      </c>
      <c r="L600" s="84"/>
      <c r="M600" s="84"/>
      <c r="N600" s="84"/>
      <c r="O600" s="84"/>
      <c r="P600" s="84"/>
      <c r="Q600" s="84"/>
      <c r="R600" s="84"/>
      <c r="S600" s="84"/>
    </row>
    <row r="601" spans="1:19">
      <c r="A601" s="629" t="s">
        <v>702</v>
      </c>
      <c r="B601" s="248"/>
      <c r="C601" s="248">
        <v>4.7726619778902099E-3</v>
      </c>
      <c r="D601" s="248">
        <v>7.6255391667010503E-3</v>
      </c>
      <c r="E601" s="248">
        <v>1.00482403109204E-2</v>
      </c>
      <c r="F601" s="248"/>
      <c r="G601" s="248">
        <v>1.0197579748512301E-2</v>
      </c>
      <c r="H601" s="735">
        <v>3.2072597244713302E-3</v>
      </c>
      <c r="I601" s="735">
        <v>4.5644301497831004E-3</v>
      </c>
      <c r="J601" s="735">
        <v>3.2724825861556602E-3</v>
      </c>
      <c r="L601" s="84"/>
      <c r="M601" s="84"/>
      <c r="N601" s="84"/>
      <c r="O601" s="84"/>
      <c r="P601" s="84"/>
      <c r="Q601" s="84"/>
      <c r="R601" s="84"/>
      <c r="S601" s="84"/>
    </row>
    <row r="602" spans="1:19">
      <c r="A602" s="629" t="s">
        <v>701</v>
      </c>
      <c r="B602" s="248"/>
      <c r="C602" s="248">
        <v>3.4322396072983701E-3</v>
      </c>
      <c r="D602" s="248">
        <v>5.1383025815587603E-3</v>
      </c>
      <c r="E602" s="248">
        <v>8.5889521670803898E-3</v>
      </c>
      <c r="F602" s="248"/>
      <c r="G602" s="248">
        <v>9.2393692076530604E-3</v>
      </c>
      <c r="H602" s="735">
        <v>3.0789421975403498E-3</v>
      </c>
      <c r="I602" s="735">
        <v>4.07735952319225E-3</v>
      </c>
      <c r="J602" s="735">
        <v>3.1300078980641501E-3</v>
      </c>
      <c r="L602" s="84"/>
      <c r="M602" s="84"/>
      <c r="N602" s="84"/>
      <c r="O602" s="84"/>
      <c r="P602" s="84"/>
      <c r="Q602" s="84"/>
      <c r="R602" s="84"/>
      <c r="S602" s="84"/>
    </row>
    <row r="603" spans="1:19">
      <c r="A603" s="629" t="s">
        <v>700</v>
      </c>
      <c r="B603" s="248"/>
      <c r="C603" s="248">
        <v>3.6271211457576599E-3</v>
      </c>
      <c r="D603" s="248">
        <v>4.92192412103345E-3</v>
      </c>
      <c r="E603" s="248">
        <v>8.1286957328919E-3</v>
      </c>
      <c r="F603" s="248"/>
      <c r="G603" s="248">
        <v>8.4027348276637104E-3</v>
      </c>
      <c r="H603" s="735">
        <v>2.9371279025072199E-3</v>
      </c>
      <c r="I603" s="735">
        <v>3.94719796145595E-3</v>
      </c>
      <c r="J603" s="735">
        <v>2.9904784647542498E-3</v>
      </c>
      <c r="L603" s="84"/>
      <c r="M603" s="84"/>
      <c r="N603" s="84"/>
      <c r="O603" s="84"/>
      <c r="P603" s="84"/>
      <c r="Q603" s="84"/>
      <c r="R603" s="84"/>
      <c r="S603" s="84"/>
    </row>
    <row r="604" spans="1:19">
      <c r="A604" s="629" t="s">
        <v>699</v>
      </c>
      <c r="B604" s="248"/>
      <c r="C604" s="248">
        <v>5.1854345064259004E-3</v>
      </c>
      <c r="D604" s="248">
        <v>7.1229770205746201E-3</v>
      </c>
      <c r="E604" s="248">
        <v>7.0049243107262998E-3</v>
      </c>
      <c r="F604" s="248"/>
      <c r="G604" s="248">
        <v>7.6128809677611297E-3</v>
      </c>
      <c r="H604" s="735">
        <v>2.5658487596416598E-3</v>
      </c>
      <c r="I604" s="735">
        <v>3.54055068704443E-3</v>
      </c>
      <c r="J604" s="735">
        <v>2.6081510891896001E-3</v>
      </c>
      <c r="L604" s="84"/>
      <c r="M604" s="84"/>
      <c r="N604" s="84"/>
      <c r="O604" s="84"/>
      <c r="P604" s="84"/>
      <c r="Q604" s="84"/>
      <c r="R604" s="84"/>
      <c r="S604" s="84"/>
    </row>
    <row r="605" spans="1:19">
      <c r="A605" s="629" t="s">
        <v>698</v>
      </c>
      <c r="B605" s="248"/>
      <c r="C605" s="248">
        <v>4.1140288928330103E-3</v>
      </c>
      <c r="D605" s="248">
        <v>4.5699015424238796E-3</v>
      </c>
      <c r="E605" s="248">
        <v>5.8155406618946503E-3</v>
      </c>
      <c r="F605" s="248"/>
      <c r="G605" s="248">
        <v>6.8983661209820902E-3</v>
      </c>
      <c r="H605" s="735">
        <v>2.3072573354836999E-3</v>
      </c>
      <c r="I605" s="735">
        <v>3.1442127524841401E-3</v>
      </c>
      <c r="J605" s="735">
        <v>2.33797767394613E-3</v>
      </c>
      <c r="L605" s="84"/>
      <c r="M605" s="84"/>
      <c r="N605" s="84"/>
      <c r="O605" s="84"/>
      <c r="P605" s="84"/>
      <c r="Q605" s="84"/>
      <c r="R605" s="84"/>
      <c r="S605" s="84"/>
    </row>
    <row r="606" spans="1:19">
      <c r="A606" s="629" t="s">
        <v>697</v>
      </c>
      <c r="B606" s="248"/>
      <c r="C606" s="248">
        <v>6.4642759680365097E-3</v>
      </c>
      <c r="D606" s="248">
        <v>3.58974452372471E-3</v>
      </c>
      <c r="E606" s="248">
        <v>7.8289000804152697E-3</v>
      </c>
      <c r="F606" s="248"/>
      <c r="G606" s="248">
        <v>6.3412917795982104E-3</v>
      </c>
      <c r="H606" s="735">
        <v>3.4892801582296E-3</v>
      </c>
      <c r="I606" s="735">
        <v>3.4219994700491899E-3</v>
      </c>
      <c r="J606" s="735">
        <v>3.52751563926038E-3</v>
      </c>
      <c r="L606" s="84"/>
      <c r="M606" s="84"/>
      <c r="N606" s="84"/>
      <c r="O606" s="84"/>
      <c r="P606" s="84"/>
      <c r="Q606" s="84"/>
      <c r="R606" s="84"/>
      <c r="S606" s="84"/>
    </row>
    <row r="607" spans="1:19">
      <c r="A607" s="629" t="s">
        <v>696</v>
      </c>
      <c r="B607" s="248"/>
      <c r="C607" s="248">
        <v>4.7223111457751999E-3</v>
      </c>
      <c r="D607" s="248">
        <v>3.8619592717979599E-3</v>
      </c>
      <c r="E607" s="248">
        <v>6.7209770798346497E-3</v>
      </c>
      <c r="F607" s="248"/>
      <c r="G607" s="248">
        <v>5.9305573268612598E-3</v>
      </c>
      <c r="H607" s="735">
        <v>3.05135681830328E-3</v>
      </c>
      <c r="I607" s="735">
        <v>3.2939586449950301E-3</v>
      </c>
      <c r="J607" s="735">
        <v>3.0868271322962702E-3</v>
      </c>
      <c r="L607" s="84"/>
      <c r="M607" s="84"/>
      <c r="N607" s="84"/>
      <c r="O607" s="84"/>
      <c r="P607" s="84"/>
      <c r="Q607" s="84"/>
      <c r="R607" s="84"/>
      <c r="S607" s="84"/>
    </row>
    <row r="608" spans="1:19">
      <c r="A608" s="629" t="s">
        <v>695</v>
      </c>
      <c r="B608" s="248"/>
      <c r="C608" s="248">
        <v>3.4163480713532701E-3</v>
      </c>
      <c r="D608" s="248">
        <v>4.1793362586156797E-3</v>
      </c>
      <c r="E608" s="248">
        <v>5.71411683920968E-3</v>
      </c>
      <c r="F608" s="248"/>
      <c r="G608" s="248">
        <v>5.7597033969113498E-3</v>
      </c>
      <c r="H608" s="735">
        <v>2.65949313964694E-3</v>
      </c>
      <c r="I608" s="735">
        <v>2.9262123970390601E-3</v>
      </c>
      <c r="J608" s="735">
        <v>2.6929316733072298E-3</v>
      </c>
      <c r="L608" s="84"/>
      <c r="M608" s="84"/>
      <c r="N608" s="84"/>
      <c r="O608" s="84"/>
      <c r="P608" s="84"/>
      <c r="Q608" s="84"/>
      <c r="R608" s="84"/>
      <c r="S608" s="84"/>
    </row>
    <row r="609" spans="1:19">
      <c r="A609" s="629" t="s">
        <v>694</v>
      </c>
      <c r="B609" s="248"/>
      <c r="C609" s="248">
        <v>3.2474088673503702E-3</v>
      </c>
      <c r="D609" s="248">
        <v>3.9508526208808003E-3</v>
      </c>
      <c r="E609" s="248">
        <v>4.86484264542935E-3</v>
      </c>
      <c r="F609" s="248"/>
      <c r="G609" s="248">
        <v>5.2426847733240299E-3</v>
      </c>
      <c r="H609" s="735">
        <v>2.3815432163266201E-3</v>
      </c>
      <c r="I609" s="735">
        <v>2.6126895142942201E-3</v>
      </c>
      <c r="J609" s="735">
        <v>2.4092801789098199E-3</v>
      </c>
      <c r="L609" s="84"/>
      <c r="M609" s="84"/>
      <c r="N609" s="84"/>
      <c r="O609" s="84"/>
      <c r="P609" s="84"/>
      <c r="Q609" s="84"/>
      <c r="R609" s="84"/>
      <c r="S609" s="84"/>
    </row>
    <row r="610" spans="1:19">
      <c r="A610" s="629" t="s">
        <v>693</v>
      </c>
      <c r="B610" s="248"/>
      <c r="C610" s="248">
        <v>3.0077902660740098E-3</v>
      </c>
      <c r="D610" s="248">
        <v>5.1483604533910697E-3</v>
      </c>
      <c r="E610" s="248">
        <v>4.5221267055507103E-3</v>
      </c>
      <c r="F610" s="248"/>
      <c r="G610" s="248">
        <v>4.8642792563633099E-3</v>
      </c>
      <c r="H610" s="735">
        <v>2.1299800171888802E-3</v>
      </c>
      <c r="I610" s="735">
        <v>2.4029703545146099E-3</v>
      </c>
      <c r="J610" s="735">
        <v>2.1555808008460599E-3</v>
      </c>
      <c r="L610" s="84"/>
      <c r="M610" s="84"/>
      <c r="N610" s="84"/>
      <c r="O610" s="84"/>
      <c r="P610" s="84"/>
      <c r="Q610" s="84"/>
      <c r="R610" s="84"/>
      <c r="S610" s="84"/>
    </row>
    <row r="611" spans="1:19">
      <c r="A611" s="629" t="s">
        <v>692</v>
      </c>
      <c r="B611" s="248"/>
      <c r="C611" s="248">
        <v>3.5300495753249699E-3</v>
      </c>
      <c r="D611" s="248">
        <v>5.3711981923216696E-3</v>
      </c>
      <c r="E611" s="248">
        <v>3.8924878514446201E-3</v>
      </c>
      <c r="F611" s="248"/>
      <c r="G611" s="248">
        <v>4.4628009607715503E-3</v>
      </c>
      <c r="H611" s="735">
        <v>1.9771854376522298E-3</v>
      </c>
      <c r="I611" s="735">
        <v>2.20088543642534E-3</v>
      </c>
      <c r="J611" s="735">
        <v>2.00261697489322E-3</v>
      </c>
      <c r="L611" s="84"/>
      <c r="M611" s="84"/>
      <c r="N611" s="84"/>
      <c r="O611" s="84"/>
      <c r="P611" s="84"/>
      <c r="Q611" s="84"/>
      <c r="R611" s="84"/>
      <c r="S611" s="84"/>
    </row>
    <row r="612" spans="1:19">
      <c r="A612" s="629" t="s">
        <v>691</v>
      </c>
      <c r="B612" s="248"/>
      <c r="C612" s="248">
        <v>3.04554158232534E-3</v>
      </c>
      <c r="D612" s="248">
        <v>3.7494613239270301E-3</v>
      </c>
      <c r="E612" s="248">
        <v>3.9616429202793003E-3</v>
      </c>
      <c r="F612" s="248"/>
      <c r="G612" s="248">
        <v>4.3249341861834496E-3</v>
      </c>
      <c r="H612" s="735">
        <v>1.79180944659074E-3</v>
      </c>
      <c r="I612" s="735">
        <v>2.0288026262143301E-3</v>
      </c>
      <c r="J612" s="735">
        <v>1.81131238092204E-3</v>
      </c>
      <c r="L612" s="84"/>
      <c r="M612" s="84"/>
      <c r="N612" s="84"/>
      <c r="O612" s="84"/>
      <c r="P612" s="84"/>
      <c r="Q612" s="84"/>
      <c r="R612" s="84"/>
      <c r="S612" s="84"/>
    </row>
    <row r="613" spans="1:19">
      <c r="A613" s="629" t="s">
        <v>690</v>
      </c>
      <c r="B613" s="248"/>
      <c r="C613" s="248">
        <v>2.8473536325306502E-3</v>
      </c>
      <c r="D613" s="248">
        <v>2.9212018897990201E-3</v>
      </c>
      <c r="E613" s="248">
        <v>3.43953260458161E-3</v>
      </c>
      <c r="F613" s="248"/>
      <c r="G613" s="248">
        <v>4.03571057147594E-3</v>
      </c>
      <c r="H613" s="735">
        <v>1.6063464203767901E-3</v>
      </c>
      <c r="I613" s="735">
        <v>1.9041140229264801E-3</v>
      </c>
      <c r="J613" s="735">
        <v>1.6183691553877499E-3</v>
      </c>
      <c r="L613" s="84"/>
      <c r="M613" s="84"/>
      <c r="N613" s="84"/>
      <c r="O613" s="84"/>
      <c r="P613" s="84"/>
      <c r="Q613" s="84"/>
      <c r="R613" s="84"/>
      <c r="S613" s="84"/>
    </row>
    <row r="614" spans="1:19">
      <c r="A614" s="629" t="s">
        <v>689</v>
      </c>
      <c r="B614" s="248"/>
      <c r="C614" s="248">
        <v>2.7824443906917301E-3</v>
      </c>
      <c r="D614" s="248">
        <v>6.13818307039685E-3</v>
      </c>
      <c r="E614" s="248">
        <v>3.2440316765479302E-3</v>
      </c>
      <c r="F614" s="248"/>
      <c r="G614" s="248">
        <v>3.7200027565163899E-3</v>
      </c>
      <c r="H614" s="735">
        <v>1.4615305127450801E-3</v>
      </c>
      <c r="I614" s="735">
        <v>1.7964791285334501E-3</v>
      </c>
      <c r="J614" s="735">
        <v>1.46744656188506E-3</v>
      </c>
      <c r="L614" s="84"/>
      <c r="M614" s="84"/>
      <c r="N614" s="84"/>
      <c r="O614" s="84"/>
      <c r="P614" s="84"/>
      <c r="Q614" s="84"/>
      <c r="R614" s="84"/>
      <c r="S614" s="84"/>
    </row>
    <row r="615" spans="1:19">
      <c r="A615" s="629" t="s">
        <v>688</v>
      </c>
      <c r="B615" s="248"/>
      <c r="C615" s="248">
        <v>2.6574742155101899E-3</v>
      </c>
      <c r="D615" s="248">
        <v>5.1727258058181401E-3</v>
      </c>
      <c r="E615" s="248">
        <v>2.88660187666041E-3</v>
      </c>
      <c r="F615" s="248"/>
      <c r="G615" s="248">
        <v>3.4126426220635001E-3</v>
      </c>
      <c r="H615" s="735">
        <v>1.4460706248235701E-3</v>
      </c>
      <c r="I615" s="735">
        <v>1.6354612871798701E-3</v>
      </c>
      <c r="J615" s="735">
        <v>1.45175606066293E-3</v>
      </c>
      <c r="L615" s="84"/>
      <c r="M615" s="84"/>
      <c r="N615" s="84"/>
      <c r="O615" s="84"/>
      <c r="P615" s="84"/>
      <c r="Q615" s="84"/>
      <c r="R615" s="84"/>
      <c r="S615" s="84"/>
    </row>
    <row r="616" spans="1:19">
      <c r="A616" s="629" t="s">
        <v>687</v>
      </c>
      <c r="B616" s="248"/>
      <c r="C616" s="248">
        <v>2.7066609578312501E-3</v>
      </c>
      <c r="D616" s="248">
        <v>4.0204540240278801E-3</v>
      </c>
      <c r="E616" s="248">
        <v>2.8965007082604002E-3</v>
      </c>
      <c r="F616" s="248"/>
      <c r="G616" s="248">
        <v>3.17938692865941E-3</v>
      </c>
      <c r="H616" s="735">
        <v>1.32508149900226E-3</v>
      </c>
      <c r="I616" s="735">
        <v>1.5103178048608799E-3</v>
      </c>
      <c r="J616" s="735">
        <v>1.3252995855333701E-3</v>
      </c>
      <c r="L616" s="84"/>
      <c r="M616" s="84"/>
      <c r="N616" s="84"/>
      <c r="O616" s="84"/>
      <c r="P616" s="84"/>
      <c r="Q616" s="84"/>
      <c r="R616" s="84"/>
      <c r="S616" s="84"/>
    </row>
    <row r="617" spans="1:19">
      <c r="A617" s="629" t="s">
        <v>686</v>
      </c>
      <c r="B617" s="248"/>
      <c r="C617" s="248">
        <v>4.0645315285481399E-3</v>
      </c>
      <c r="D617" s="248">
        <v>3.14041224904494E-3</v>
      </c>
      <c r="E617" s="248">
        <v>4.22370529744397E-3</v>
      </c>
      <c r="F617" s="248"/>
      <c r="G617" s="248">
        <v>3.1598836474516201E-3</v>
      </c>
      <c r="H617" s="735">
        <v>1.4555618286434999E-3</v>
      </c>
      <c r="I617" s="735">
        <v>1.6793320381737001E-3</v>
      </c>
      <c r="J617" s="735">
        <v>1.45430318295927E-3</v>
      </c>
      <c r="L617" s="84"/>
      <c r="M617" s="84"/>
      <c r="N617" s="84"/>
      <c r="O617" s="84"/>
      <c r="P617" s="84"/>
      <c r="Q617" s="84"/>
      <c r="R617" s="84"/>
      <c r="S617" s="84"/>
    </row>
    <row r="618" spans="1:19">
      <c r="A618" s="629" t="s">
        <v>685</v>
      </c>
      <c r="B618" s="248"/>
      <c r="C618" s="248">
        <v>3.1758809729111699E-3</v>
      </c>
      <c r="D618" s="248">
        <v>2.50918504963323E-3</v>
      </c>
      <c r="E618" s="248">
        <v>3.6757399145919299E-3</v>
      </c>
      <c r="F618" s="248"/>
      <c r="G618" s="248">
        <v>5.8494244895654001E-3</v>
      </c>
      <c r="H618" s="735">
        <v>1.77258459655068E-3</v>
      </c>
      <c r="I618" s="735">
        <v>1.52160118205406E-3</v>
      </c>
      <c r="J618" s="735">
        <v>1.77819596112102E-3</v>
      </c>
      <c r="L618" s="84"/>
      <c r="M618" s="84"/>
      <c r="N618" s="84"/>
      <c r="O618" s="84"/>
      <c r="P618" s="84"/>
      <c r="Q618" s="84"/>
      <c r="R618" s="84"/>
      <c r="S618" s="84"/>
    </row>
    <row r="619" spans="1:19">
      <c r="A619" s="629" t="s">
        <v>684</v>
      </c>
      <c r="B619" s="248"/>
      <c r="C619" s="248">
        <v>2.9639948978605998E-3</v>
      </c>
      <c r="D619" s="248">
        <v>3.6288965994621301E-3</v>
      </c>
      <c r="E619" s="248">
        <v>3.4787221048141999E-3</v>
      </c>
      <c r="F619" s="248"/>
      <c r="G619" s="248">
        <v>7.35560071187149E-3</v>
      </c>
      <c r="H619" s="735">
        <v>1.6645906432037399E-3</v>
      </c>
      <c r="I619" s="735">
        <v>1.6146936512526199E-3</v>
      </c>
      <c r="J619" s="735">
        <v>1.67051055117602E-3</v>
      </c>
      <c r="L619" s="84"/>
      <c r="M619" s="84"/>
      <c r="N619" s="84"/>
      <c r="O619" s="84"/>
      <c r="P619" s="84"/>
      <c r="Q619" s="84"/>
      <c r="R619" s="84"/>
      <c r="S619" s="84"/>
    </row>
    <row r="620" spans="1:19">
      <c r="A620" s="629" t="s">
        <v>683</v>
      </c>
      <c r="B620" s="248"/>
      <c r="C620" s="248">
        <v>2.7161705191937899E-3</v>
      </c>
      <c r="D620" s="248">
        <v>4.1412071708118803E-3</v>
      </c>
      <c r="E620" s="248">
        <v>3.2097090858080801E-3</v>
      </c>
      <c r="F620" s="248"/>
      <c r="G620" s="248">
        <v>6.72008325493642E-3</v>
      </c>
      <c r="H620" s="735">
        <v>1.5581312197881401E-3</v>
      </c>
      <c r="I620" s="735">
        <v>1.4610992831483899E-3</v>
      </c>
      <c r="J620" s="735">
        <v>1.55883839042447E-3</v>
      </c>
      <c r="L620" s="84"/>
      <c r="M620" s="84"/>
      <c r="N620" s="84"/>
      <c r="O620" s="84"/>
      <c r="P620" s="84"/>
      <c r="Q620" s="84"/>
      <c r="R620" s="84"/>
      <c r="S620" s="84"/>
    </row>
    <row r="621" spans="1:19">
      <c r="A621" s="629" t="s">
        <v>682</v>
      </c>
      <c r="B621" s="248"/>
      <c r="C621" s="248">
        <v>3.4467877827861699E-3</v>
      </c>
      <c r="D621" s="248">
        <v>6.7161927428572802E-3</v>
      </c>
      <c r="E621" s="248">
        <v>2.8284815368216898E-3</v>
      </c>
      <c r="F621" s="248"/>
      <c r="G621" s="248">
        <v>6.1115890997232303E-3</v>
      </c>
      <c r="H621" s="735">
        <v>1.4102932614249301E-3</v>
      </c>
      <c r="I621" s="735">
        <v>1.3411863026447E-3</v>
      </c>
      <c r="J621" s="735">
        <v>1.4074443262745899E-3</v>
      </c>
      <c r="L621" s="84"/>
      <c r="M621" s="84"/>
      <c r="N621" s="84"/>
      <c r="O621" s="84"/>
      <c r="P621" s="84"/>
      <c r="Q621" s="84"/>
      <c r="R621" s="84"/>
      <c r="S621" s="84"/>
    </row>
    <row r="622" spans="1:19">
      <c r="A622" s="629" t="s">
        <v>681</v>
      </c>
      <c r="B622" s="248"/>
      <c r="C622" s="248">
        <v>3.1068560372716002E-3</v>
      </c>
      <c r="D622" s="248">
        <v>4.4104049761315104E-3</v>
      </c>
      <c r="E622" s="248">
        <v>3.0317363317201901E-3</v>
      </c>
      <c r="F622" s="248"/>
      <c r="G622" s="248">
        <v>5.9158864541735299E-3</v>
      </c>
      <c r="H622" s="735">
        <v>1.36547547491003E-3</v>
      </c>
      <c r="I622" s="735">
        <v>1.23759057050006E-3</v>
      </c>
      <c r="J622" s="735">
        <v>1.35718775949809E-3</v>
      </c>
      <c r="L622" s="84"/>
      <c r="M622" s="84"/>
      <c r="N622" s="84"/>
      <c r="O622" s="84"/>
      <c r="P622" s="84"/>
      <c r="Q622" s="84"/>
      <c r="R622" s="84"/>
      <c r="S622" s="84"/>
    </row>
    <row r="623" spans="1:19">
      <c r="A623" s="629" t="s">
        <v>680</v>
      </c>
      <c r="B623" s="248"/>
      <c r="C623" s="248">
        <v>5.8431161909596003E-3</v>
      </c>
      <c r="D623" s="248">
        <v>3.6047552795535199E-3</v>
      </c>
      <c r="E623" s="248">
        <v>4.3273024509514497E-3</v>
      </c>
      <c r="F623" s="248"/>
      <c r="G623" s="248">
        <v>5.93386171370052E-3</v>
      </c>
      <c r="H623" s="735">
        <v>1.42000994037078E-3</v>
      </c>
      <c r="I623" s="735">
        <v>1.34117374402544E-3</v>
      </c>
      <c r="J623" s="735">
        <v>1.4106818653500299E-3</v>
      </c>
      <c r="L623" s="84"/>
      <c r="M623" s="84"/>
      <c r="N623" s="84"/>
      <c r="O623" s="84"/>
      <c r="P623" s="84"/>
      <c r="Q623" s="84"/>
      <c r="R623" s="84"/>
      <c r="S623" s="84"/>
    </row>
    <row r="624" spans="1:19">
      <c r="A624" s="629" t="s">
        <v>679</v>
      </c>
      <c r="B624" s="248"/>
      <c r="C624" s="248">
        <v>3.8511104349617299E-3</v>
      </c>
      <c r="D624" s="248">
        <v>2.7785502481360901E-3</v>
      </c>
      <c r="E624" s="248">
        <v>3.7142619462247899E-3</v>
      </c>
      <c r="F624" s="248"/>
      <c r="G624" s="248">
        <v>5.4640741876047097E-3</v>
      </c>
      <c r="H624" s="735">
        <v>1.36896596386885E-3</v>
      </c>
      <c r="I624" s="735">
        <v>1.22827930709505E-3</v>
      </c>
      <c r="J624" s="735">
        <v>1.3598325131299401E-3</v>
      </c>
      <c r="L624" s="84"/>
      <c r="M624" s="84"/>
      <c r="N624" s="84"/>
      <c r="O624" s="84"/>
      <c r="P624" s="84"/>
      <c r="Q624" s="84"/>
      <c r="R624" s="84"/>
      <c r="S624" s="84"/>
    </row>
    <row r="625" spans="1:19">
      <c r="A625" s="629" t="s">
        <v>678</v>
      </c>
      <c r="B625" s="248"/>
      <c r="C625" s="248">
        <v>4.5057842547319496E-3</v>
      </c>
      <c r="D625" s="248">
        <v>2.4803963731154198E-3</v>
      </c>
      <c r="E625" s="248">
        <v>3.6983630576920899E-3</v>
      </c>
      <c r="F625" s="248"/>
      <c r="G625" s="248">
        <v>5.3261517136461304E-3</v>
      </c>
      <c r="H625" s="735">
        <v>1.3195477217464401E-3</v>
      </c>
      <c r="I625" s="735">
        <v>1.33469446731791E-3</v>
      </c>
      <c r="J625" s="735">
        <v>1.30549533730044E-3</v>
      </c>
      <c r="L625" s="84"/>
      <c r="M625" s="84"/>
      <c r="N625" s="84"/>
      <c r="O625" s="84"/>
      <c r="P625" s="84"/>
      <c r="Q625" s="84"/>
      <c r="R625" s="84"/>
      <c r="S625" s="84"/>
    </row>
    <row r="626" spans="1:19">
      <c r="A626" s="629" t="s">
        <v>677</v>
      </c>
      <c r="B626" s="248"/>
      <c r="C626" s="248">
        <v>3.3764467263598199E-3</v>
      </c>
      <c r="D626" s="248">
        <v>2.3159082080134899E-3</v>
      </c>
      <c r="E626" s="248">
        <v>3.5695089290637399E-3</v>
      </c>
      <c r="F626" s="248"/>
      <c r="G626" s="248">
        <v>4.8537976286115196E-3</v>
      </c>
      <c r="H626" s="735">
        <v>1.2159723676816901E-3</v>
      </c>
      <c r="I626" s="735">
        <v>1.2431935077168101E-3</v>
      </c>
      <c r="J626" s="735">
        <v>1.20012490719689E-3</v>
      </c>
      <c r="L626" s="84"/>
      <c r="M626" s="84"/>
      <c r="N626" s="84"/>
      <c r="O626" s="84"/>
      <c r="P626" s="84"/>
      <c r="Q626" s="84"/>
      <c r="R626" s="84"/>
      <c r="S626" s="84"/>
    </row>
    <row r="627" spans="1:19">
      <c r="A627" s="629" t="s">
        <v>676</v>
      </c>
      <c r="B627" s="248"/>
      <c r="C627" s="248">
        <v>3.75907093427345E-3</v>
      </c>
      <c r="D627" s="248">
        <v>3.97040345261831E-3</v>
      </c>
      <c r="E627" s="248">
        <v>3.1112548843719098E-3</v>
      </c>
      <c r="F627" s="248"/>
      <c r="G627" s="248">
        <v>4.6788111096493301E-3</v>
      </c>
      <c r="H627" s="735">
        <v>1.4639061665560401E-3</v>
      </c>
      <c r="I627" s="735">
        <v>1.2979625161917E-3</v>
      </c>
      <c r="J627" s="735">
        <v>1.45080115191113E-3</v>
      </c>
      <c r="L627" s="84"/>
      <c r="M627" s="84"/>
      <c r="N627" s="84"/>
      <c r="O627" s="84"/>
      <c r="P627" s="84"/>
      <c r="Q627" s="84"/>
      <c r="R627" s="84"/>
      <c r="S627" s="84"/>
    </row>
    <row r="628" spans="1:19">
      <c r="A628" s="629" t="s">
        <v>675</v>
      </c>
      <c r="B628" s="248"/>
      <c r="C628" s="248">
        <v>3.6105664461229601E-3</v>
      </c>
      <c r="D628" s="248">
        <v>4.2438426212533199E-3</v>
      </c>
      <c r="E628" s="248">
        <v>2.93568714255657E-3</v>
      </c>
      <c r="F628" s="248"/>
      <c r="G628" s="248">
        <v>4.36298677358653E-3</v>
      </c>
      <c r="H628" s="735">
        <v>1.4108027082219499E-3</v>
      </c>
      <c r="I628" s="735">
        <v>1.2749250641273099E-3</v>
      </c>
      <c r="J628" s="735">
        <v>1.3969002913135999E-3</v>
      </c>
      <c r="L628" s="84"/>
      <c r="M628" s="84"/>
      <c r="N628" s="84"/>
      <c r="O628" s="84"/>
      <c r="P628" s="84"/>
      <c r="Q628" s="84"/>
      <c r="R628" s="84"/>
      <c r="S628" s="84"/>
    </row>
    <row r="629" spans="1:19">
      <c r="A629" s="629" t="s">
        <v>674</v>
      </c>
      <c r="B629" s="248"/>
      <c r="C629" s="248">
        <v>3.1584779357990301E-3</v>
      </c>
      <c r="D629" s="248">
        <v>3.1140082020196099E-3</v>
      </c>
      <c r="E629" s="248">
        <v>2.7564649114382501E-3</v>
      </c>
      <c r="F629" s="248"/>
      <c r="G629" s="248">
        <v>4.1586511105432796E-3</v>
      </c>
      <c r="H629" s="735">
        <v>1.28179764354643E-3</v>
      </c>
      <c r="I629" s="735">
        <v>1.17046728214132E-3</v>
      </c>
      <c r="J629" s="735">
        <v>1.26624133541844E-3</v>
      </c>
      <c r="L629" s="84"/>
      <c r="M629" s="84"/>
      <c r="N629" s="84"/>
      <c r="O629" s="84"/>
      <c r="P629" s="84"/>
      <c r="Q629" s="84"/>
      <c r="R629" s="84"/>
      <c r="S629" s="84"/>
    </row>
    <row r="630" spans="1:19">
      <c r="A630" s="629" t="s">
        <v>673</v>
      </c>
      <c r="B630" s="248"/>
      <c r="C630" s="248">
        <v>3.0088949095281102E-3</v>
      </c>
      <c r="D630" s="248">
        <v>3.5359915653530899E-3</v>
      </c>
      <c r="E630" s="248">
        <v>2.6184008346266199E-3</v>
      </c>
      <c r="F630" s="248"/>
      <c r="G630" s="248">
        <v>3.8251792465032E-3</v>
      </c>
      <c r="H630" s="735">
        <v>1.81879865538299E-3</v>
      </c>
      <c r="I630" s="735">
        <v>1.4940797416988299E-3</v>
      </c>
      <c r="J630" s="735">
        <v>1.8041225340096E-3</v>
      </c>
      <c r="L630" s="84"/>
      <c r="M630" s="84"/>
      <c r="N630" s="84"/>
      <c r="O630" s="84"/>
      <c r="P630" s="84"/>
      <c r="Q630" s="84"/>
      <c r="R630" s="84"/>
      <c r="S630" s="84"/>
    </row>
    <row r="631" spans="1:19">
      <c r="A631" s="629" t="s">
        <v>672</v>
      </c>
      <c r="B631" s="248"/>
      <c r="C631" s="248">
        <v>3.6158318270008501E-3</v>
      </c>
      <c r="D631" s="248">
        <v>2.7384294364704502E-3</v>
      </c>
      <c r="E631" s="248">
        <v>2.4201620134339801E-3</v>
      </c>
      <c r="F631" s="248"/>
      <c r="G631" s="248">
        <v>3.50705262913902E-3</v>
      </c>
      <c r="H631" s="735">
        <v>1.7127046706232401E-3</v>
      </c>
      <c r="I631" s="735">
        <v>1.3832598890205401E-3</v>
      </c>
      <c r="J631" s="735">
        <v>1.70213605102513E-3</v>
      </c>
      <c r="L631" s="84"/>
      <c r="M631" s="84"/>
      <c r="N631" s="84"/>
      <c r="O631" s="84"/>
      <c r="P631" s="84"/>
      <c r="Q631" s="84"/>
      <c r="R631" s="84"/>
      <c r="S631" s="84"/>
    </row>
    <row r="632" spans="1:19">
      <c r="A632" s="629" t="s">
        <v>671</v>
      </c>
      <c r="B632" s="248"/>
      <c r="C632" s="248">
        <v>2.9539107083745601E-3</v>
      </c>
      <c r="D632" s="248">
        <v>2.3872671397941999E-3</v>
      </c>
      <c r="E632" s="248">
        <v>2.4721894356352701E-3</v>
      </c>
      <c r="F632" s="248"/>
      <c r="G632" s="248">
        <v>3.2242505759511901E-3</v>
      </c>
      <c r="H632" s="735">
        <v>1.55672005658512E-3</v>
      </c>
      <c r="I632" s="735">
        <v>1.3081539838522801E-3</v>
      </c>
      <c r="J632" s="735">
        <v>1.5464602629253899E-3</v>
      </c>
      <c r="L632" s="84"/>
      <c r="M632" s="84"/>
      <c r="N632" s="84"/>
      <c r="O632" s="84"/>
      <c r="P632" s="84"/>
      <c r="Q632" s="84"/>
      <c r="R632" s="84"/>
      <c r="S632" s="84"/>
    </row>
    <row r="633" spans="1:19">
      <c r="A633" s="629" t="s">
        <v>670</v>
      </c>
      <c r="B633" s="248"/>
      <c r="C633" s="248">
        <v>2.8492011171017901E-3</v>
      </c>
      <c r="D633" s="248">
        <v>2.2870340255123599E-3</v>
      </c>
      <c r="E633" s="248">
        <v>3.7775551455486302E-3</v>
      </c>
      <c r="F633" s="248"/>
      <c r="G633" s="248">
        <v>3.07079856138384E-3</v>
      </c>
      <c r="H633" s="735">
        <v>2.1496630416802101E-3</v>
      </c>
      <c r="I633" s="735">
        <v>1.19392047448026E-3</v>
      </c>
      <c r="J633" s="735">
        <v>2.1403913461152699E-3</v>
      </c>
      <c r="L633" s="84"/>
      <c r="M633" s="84"/>
      <c r="N633" s="84"/>
      <c r="O633" s="84"/>
      <c r="P633" s="84"/>
      <c r="Q633" s="84"/>
      <c r="R633" s="84"/>
      <c r="S633" s="84"/>
    </row>
    <row r="634" spans="1:19">
      <c r="A634" s="629" t="s">
        <v>669</v>
      </c>
      <c r="B634" s="248"/>
      <c r="C634" s="248">
        <v>2.8321935820949701E-3</v>
      </c>
      <c r="D634" s="248">
        <v>2.0655133507467699E-3</v>
      </c>
      <c r="E634" s="248">
        <v>3.6947310755884402E-3</v>
      </c>
      <c r="F634" s="248"/>
      <c r="G634" s="248">
        <v>2.9044365297971101E-3</v>
      </c>
      <c r="H634" s="735">
        <v>1.88463714023776E-3</v>
      </c>
      <c r="I634" s="735">
        <v>1.09711210135818E-3</v>
      </c>
      <c r="J634" s="735">
        <v>1.8747500821211401E-3</v>
      </c>
      <c r="L634" s="84"/>
      <c r="M634" s="84"/>
      <c r="N634" s="84"/>
      <c r="O634" s="84"/>
      <c r="P634" s="84"/>
      <c r="Q634" s="84"/>
      <c r="R634" s="84"/>
      <c r="S634" s="84"/>
    </row>
    <row r="635" spans="1:19">
      <c r="A635" s="629" t="s">
        <v>668</v>
      </c>
      <c r="B635" s="248"/>
      <c r="C635" s="248">
        <v>3.0800014103548601E-3</v>
      </c>
      <c r="D635" s="248">
        <v>2.7823928234831999E-3</v>
      </c>
      <c r="E635" s="248">
        <v>3.3699192406873302E-3</v>
      </c>
      <c r="F635" s="248"/>
      <c r="G635" s="248">
        <v>2.6717985961071701E-3</v>
      </c>
      <c r="H635" s="735">
        <v>1.7682644216321E-3</v>
      </c>
      <c r="I635" s="735">
        <v>1.0135451909424899E-3</v>
      </c>
      <c r="J635" s="735">
        <v>1.7569677661297301E-3</v>
      </c>
      <c r="L635" s="84"/>
      <c r="M635" s="84"/>
      <c r="N635" s="84"/>
      <c r="O635" s="84"/>
      <c r="P635" s="84"/>
      <c r="Q635" s="84"/>
      <c r="R635" s="84"/>
      <c r="S635" s="84"/>
    </row>
    <row r="636" spans="1:19">
      <c r="A636" s="629" t="s">
        <v>667</v>
      </c>
      <c r="B636" s="248"/>
      <c r="C636" s="248">
        <v>2.8183896292746698E-3</v>
      </c>
      <c r="D636" s="248">
        <v>2.50647429312613E-3</v>
      </c>
      <c r="E636" s="248">
        <v>3.23048811160111E-3</v>
      </c>
      <c r="F636" s="248"/>
      <c r="G636" s="248">
        <v>2.4721141522944098E-3</v>
      </c>
      <c r="H636" s="735">
        <v>1.8156337639368401E-3</v>
      </c>
      <c r="I636" s="735">
        <v>9.8963769749185705E-4</v>
      </c>
      <c r="J636" s="735">
        <v>1.81150365950629E-3</v>
      </c>
      <c r="L636" s="84"/>
      <c r="M636" s="84"/>
      <c r="N636" s="84"/>
      <c r="O636" s="84"/>
      <c r="P636" s="84"/>
      <c r="Q636" s="84"/>
      <c r="R636" s="84"/>
      <c r="S636" s="84"/>
    </row>
    <row r="637" spans="1:19">
      <c r="A637" s="629" t="s">
        <v>666</v>
      </c>
      <c r="B637" s="248"/>
      <c r="C637" s="248">
        <v>2.6415438039910002E-3</v>
      </c>
      <c r="D637" s="248">
        <v>2.3628121210503999E-3</v>
      </c>
      <c r="E637" s="248">
        <v>2.91078865537294E-3</v>
      </c>
      <c r="F637" s="248"/>
      <c r="G637" s="248">
        <v>2.2851509085027801E-3</v>
      </c>
      <c r="H637" s="735">
        <v>1.6700925175596401E-3</v>
      </c>
      <c r="I637" s="735">
        <v>9.2594692266620199E-4</v>
      </c>
      <c r="J637" s="735">
        <v>1.66586882959378E-3</v>
      </c>
      <c r="L637" s="84"/>
      <c r="M637" s="84"/>
      <c r="N637" s="84"/>
      <c r="O637" s="84"/>
      <c r="P637" s="84"/>
      <c r="Q637" s="84"/>
      <c r="R637" s="84"/>
      <c r="S637" s="84"/>
    </row>
    <row r="638" spans="1:19">
      <c r="A638" s="629" t="s">
        <v>665</v>
      </c>
      <c r="B638" s="248"/>
      <c r="C638" s="248">
        <v>3.0925515283921601E-3</v>
      </c>
      <c r="D638" s="248">
        <v>2.2818278286342898E-3</v>
      </c>
      <c r="E638" s="248">
        <v>3.35621510925091E-3</v>
      </c>
      <c r="F638" s="248"/>
      <c r="G638" s="248">
        <v>2.1831571450196098E-3</v>
      </c>
      <c r="H638" s="735">
        <v>1.5257508007244199E-3</v>
      </c>
      <c r="I638" s="735">
        <v>8.8393461701387203E-4</v>
      </c>
      <c r="J638" s="735">
        <v>1.5201565869012001E-3</v>
      </c>
      <c r="L638" s="84"/>
      <c r="M638" s="84"/>
      <c r="N638" s="84"/>
      <c r="O638" s="84"/>
      <c r="P638" s="84"/>
      <c r="Q638" s="84"/>
      <c r="R638" s="84"/>
      <c r="S638" s="84"/>
    </row>
    <row r="639" spans="1:19">
      <c r="A639" s="629" t="s">
        <v>664</v>
      </c>
      <c r="B639" s="248"/>
      <c r="C639" s="248">
        <v>8.5522709589419404E-3</v>
      </c>
      <c r="D639" s="248">
        <v>4.37148916587518E-3</v>
      </c>
      <c r="E639" s="248">
        <v>3.0222948628722802E-3</v>
      </c>
      <c r="F639" s="248"/>
      <c r="G639" s="248">
        <v>2.7388168387812001E-3</v>
      </c>
      <c r="H639" s="735">
        <v>2.7051408809229201E-3</v>
      </c>
      <c r="I639" s="735">
        <v>1.47208331308042E-3</v>
      </c>
      <c r="J639" s="735">
        <v>2.7045347697479999E-3</v>
      </c>
      <c r="L639" s="84"/>
      <c r="M639" s="84"/>
      <c r="N639" s="84"/>
      <c r="O639" s="84"/>
      <c r="P639" s="84"/>
      <c r="Q639" s="84"/>
      <c r="R639" s="84"/>
      <c r="S639" s="84"/>
    </row>
    <row r="640" spans="1:19">
      <c r="A640" s="629" t="s">
        <v>663</v>
      </c>
      <c r="B640" s="248"/>
      <c r="C640" s="248">
        <v>4.9128545516528097E-3</v>
      </c>
      <c r="D640" s="248">
        <v>3.1833851782596201E-3</v>
      </c>
      <c r="E640" s="248">
        <v>3.0052651177330898E-3</v>
      </c>
      <c r="F640" s="248"/>
      <c r="G640" s="248">
        <v>2.6693164534226598E-3</v>
      </c>
      <c r="H640" s="735">
        <v>2.3556921683196099E-3</v>
      </c>
      <c r="I640" s="735">
        <v>1.4055599338737501E-3</v>
      </c>
      <c r="J640" s="735">
        <v>2.3560138618074198E-3</v>
      </c>
      <c r="L640" s="84"/>
      <c r="M640" s="84"/>
      <c r="N640" s="84"/>
      <c r="O640" s="84"/>
      <c r="P640" s="84"/>
      <c r="Q640" s="84"/>
      <c r="R640" s="84"/>
      <c r="S640" s="84"/>
    </row>
    <row r="641" spans="1:19">
      <c r="A641" s="629" t="s">
        <v>662</v>
      </c>
      <c r="B641" s="248"/>
      <c r="C641" s="248">
        <v>3.4736824380295198E-3</v>
      </c>
      <c r="D641" s="248">
        <v>2.54372236323031E-3</v>
      </c>
      <c r="E641" s="248">
        <v>2.6664383367916902E-3</v>
      </c>
      <c r="F641" s="248"/>
      <c r="G641" s="248">
        <v>2.4909799110267002E-3</v>
      </c>
      <c r="H641" s="735">
        <v>2.05520697249786E-3</v>
      </c>
      <c r="I641" s="735">
        <v>1.3466011858706899E-3</v>
      </c>
      <c r="J641" s="735">
        <v>2.0537884489352102E-3</v>
      </c>
      <c r="L641" s="84"/>
      <c r="M641" s="84"/>
      <c r="N641" s="84"/>
      <c r="O641" s="84"/>
      <c r="P641" s="84"/>
      <c r="Q641" s="84"/>
      <c r="R641" s="84"/>
      <c r="S641" s="84"/>
    </row>
    <row r="642" spans="1:19">
      <c r="A642" s="629" t="s">
        <v>661</v>
      </c>
      <c r="B642" s="248"/>
      <c r="C642" s="248">
        <v>4.5235806881505696E-3</v>
      </c>
      <c r="D642" s="248">
        <v>2.9064414881559402E-3</v>
      </c>
      <c r="E642" s="248">
        <v>2.4198861973177199E-3</v>
      </c>
      <c r="F642" s="248"/>
      <c r="G642" s="248">
        <v>3.0070650847104602E-3</v>
      </c>
      <c r="H642" s="735">
        <v>1.90855732164871E-3</v>
      </c>
      <c r="I642" s="735">
        <v>1.6005206501670899E-3</v>
      </c>
      <c r="J642" s="735">
        <v>1.91227308064044E-3</v>
      </c>
      <c r="L642" s="84"/>
      <c r="M642" s="84"/>
      <c r="N642" s="84"/>
      <c r="O642" s="84"/>
      <c r="P642" s="84"/>
      <c r="Q642" s="84"/>
      <c r="R642" s="84"/>
      <c r="S642" s="84"/>
    </row>
    <row r="643" spans="1:19">
      <c r="A643" s="629" t="s">
        <v>660</v>
      </c>
      <c r="B643" s="248"/>
      <c r="C643" s="248">
        <v>3.5269374342108699E-3</v>
      </c>
      <c r="D643" s="248">
        <v>3.7319889388989398E-3</v>
      </c>
      <c r="E643" s="248">
        <v>2.2059795897492501E-3</v>
      </c>
      <c r="F643" s="248"/>
      <c r="G643" s="248">
        <v>3.7872256501981301E-3</v>
      </c>
      <c r="H643" s="735">
        <v>1.90320558531479E-3</v>
      </c>
      <c r="I643" s="735">
        <v>1.5577070367360701E-3</v>
      </c>
      <c r="J643" s="735">
        <v>1.91343869499236E-3</v>
      </c>
      <c r="L643" s="84"/>
      <c r="M643" s="84"/>
      <c r="N643" s="84"/>
      <c r="O643" s="84"/>
      <c r="P643" s="84"/>
      <c r="Q643" s="84"/>
      <c r="R643" s="84"/>
      <c r="S643" s="84"/>
    </row>
    <row r="644" spans="1:19">
      <c r="A644" s="629" t="s">
        <v>659</v>
      </c>
      <c r="B644" s="248"/>
      <c r="C644" s="248">
        <v>3.5764345187849701E-3</v>
      </c>
      <c r="D644" s="248">
        <v>3.3139071354114E-3</v>
      </c>
      <c r="E644" s="248">
        <v>2.0580127300118402E-3</v>
      </c>
      <c r="F644" s="248"/>
      <c r="G644" s="248">
        <v>3.4791848039489202E-3</v>
      </c>
      <c r="H644" s="735">
        <v>1.9377746202474001E-3</v>
      </c>
      <c r="I644" s="735">
        <v>1.41984177488319E-3</v>
      </c>
      <c r="J644" s="735">
        <v>1.9480512263382E-3</v>
      </c>
      <c r="L644" s="84"/>
      <c r="M644" s="84"/>
      <c r="N644" s="84"/>
      <c r="O644" s="84"/>
      <c r="P644" s="84"/>
      <c r="Q644" s="84"/>
      <c r="R644" s="84"/>
      <c r="S644" s="84"/>
    </row>
    <row r="645" spans="1:19">
      <c r="A645" s="629" t="s">
        <v>658</v>
      </c>
      <c r="B645" s="248"/>
      <c r="C645" s="248">
        <v>3.2909122016497199E-3</v>
      </c>
      <c r="D645" s="248">
        <v>3.18107941364076E-3</v>
      </c>
      <c r="E645" s="248">
        <v>3.02047784307421E-3</v>
      </c>
      <c r="F645" s="248"/>
      <c r="G645" s="248">
        <v>3.4378846316233699E-3</v>
      </c>
      <c r="H645" s="735">
        <v>1.72340386196686E-3</v>
      </c>
      <c r="I645" s="735">
        <v>1.42654251994083E-3</v>
      </c>
      <c r="J645" s="735">
        <v>1.72837091187531E-3</v>
      </c>
      <c r="L645" s="84"/>
      <c r="M645" s="84"/>
      <c r="N645" s="84"/>
      <c r="O645" s="84"/>
      <c r="P645" s="84"/>
      <c r="Q645" s="84"/>
      <c r="R645" s="84"/>
      <c r="S645" s="84"/>
    </row>
    <row r="646" spans="1:19">
      <c r="A646" s="629" t="s">
        <v>657</v>
      </c>
      <c r="B646" s="248"/>
      <c r="C646" s="248">
        <v>2.8267601577179001E-3</v>
      </c>
      <c r="D646" s="248">
        <v>2.7716618314323101E-3</v>
      </c>
      <c r="E646" s="248">
        <v>2.7941222998732499E-3</v>
      </c>
      <c r="F646" s="248"/>
      <c r="G646" s="248">
        <v>3.50749761059242E-3</v>
      </c>
      <c r="H646" s="735">
        <v>1.6501253978684E-3</v>
      </c>
      <c r="I646" s="735">
        <v>1.29896784565881E-3</v>
      </c>
      <c r="J646" s="735">
        <v>1.6505594182540701E-3</v>
      </c>
      <c r="L646" s="84"/>
      <c r="M646" s="84"/>
      <c r="N646" s="84"/>
      <c r="O646" s="84"/>
      <c r="P646" s="84"/>
      <c r="Q646" s="84"/>
      <c r="R646" s="84"/>
      <c r="S646" s="84"/>
    </row>
    <row r="647" spans="1:19">
      <c r="A647" s="629" t="s">
        <v>656</v>
      </c>
      <c r="B647" s="248"/>
      <c r="C647" s="248">
        <v>3.0782464435834302E-3</v>
      </c>
      <c r="D647" s="248">
        <v>2.6711807116180501E-3</v>
      </c>
      <c r="E647" s="248">
        <v>2.51078250317893E-3</v>
      </c>
      <c r="F647" s="248"/>
      <c r="G647" s="248">
        <v>3.3983299058475401E-3</v>
      </c>
      <c r="H647" s="735">
        <v>1.58269598345022E-3</v>
      </c>
      <c r="I647" s="735">
        <v>1.2711856696029601E-3</v>
      </c>
      <c r="J647" s="735">
        <v>1.5790412379554E-3</v>
      </c>
      <c r="L647" s="84"/>
      <c r="M647" s="84"/>
      <c r="N647" s="84"/>
      <c r="O647" s="84"/>
      <c r="P647" s="84"/>
      <c r="Q647" s="84"/>
      <c r="R647" s="84"/>
      <c r="S647" s="84"/>
    </row>
    <row r="648" spans="1:19">
      <c r="A648" s="629" t="s">
        <v>655</v>
      </c>
      <c r="B648" s="248"/>
      <c r="C648" s="248">
        <v>4.2576545354736503E-3</v>
      </c>
      <c r="D648" s="248">
        <v>2.3318396711388399E-3</v>
      </c>
      <c r="E648" s="248">
        <v>4.0613613733306098E-3</v>
      </c>
      <c r="F648" s="248"/>
      <c r="G648" s="248">
        <v>3.1848900923780901E-3</v>
      </c>
      <c r="H648" s="735">
        <v>1.4190315204837E-3</v>
      </c>
      <c r="I648" s="735">
        <v>1.2232769640485399E-3</v>
      </c>
      <c r="J648" s="735">
        <v>1.41196932492482E-3</v>
      </c>
      <c r="L648" s="84"/>
      <c r="M648" s="84"/>
      <c r="N648" s="84"/>
      <c r="O648" s="84"/>
      <c r="P648" s="84"/>
      <c r="Q648" s="84"/>
      <c r="R648" s="84"/>
      <c r="S648" s="84"/>
    </row>
    <row r="649" spans="1:19">
      <c r="A649" s="629" t="s">
        <v>654</v>
      </c>
      <c r="B649" s="248"/>
      <c r="C649" s="248">
        <v>3.22297107623581E-3</v>
      </c>
      <c r="D649" s="248">
        <v>2.26445901308416E-3</v>
      </c>
      <c r="E649" s="248">
        <v>7.76450949646378E-3</v>
      </c>
      <c r="F649" s="248"/>
      <c r="G649" s="248">
        <v>2.9256980708341198E-3</v>
      </c>
      <c r="H649" s="735">
        <v>1.6033515501738299E-3</v>
      </c>
      <c r="I649" s="735">
        <v>1.1198029278902399E-3</v>
      </c>
      <c r="J649" s="735">
        <v>1.5972482111893901E-3</v>
      </c>
      <c r="L649" s="84"/>
      <c r="M649" s="84"/>
      <c r="N649" s="84"/>
      <c r="O649" s="84"/>
      <c r="P649" s="84"/>
      <c r="Q649" s="84"/>
      <c r="R649" s="84"/>
      <c r="S649" s="84"/>
    </row>
    <row r="650" spans="1:19">
      <c r="A650" s="629" t="s">
        <v>653</v>
      </c>
      <c r="B650" s="248"/>
      <c r="C650" s="248">
        <v>2.9178919716942898E-3</v>
      </c>
      <c r="D650" s="248">
        <v>3.4073194247052599E-3</v>
      </c>
      <c r="E650" s="248">
        <v>7.33305925882137E-3</v>
      </c>
      <c r="F650" s="248"/>
      <c r="G650" s="248">
        <v>2.69086153494528E-3</v>
      </c>
      <c r="H650" s="735">
        <v>1.44681112707807E-3</v>
      </c>
      <c r="I650" s="735">
        <v>1.1141234725906199E-3</v>
      </c>
      <c r="J650" s="735">
        <v>1.4395801496473401E-3</v>
      </c>
      <c r="L650" s="84"/>
      <c r="M650" s="84"/>
      <c r="N650" s="84"/>
      <c r="O650" s="84"/>
      <c r="P650" s="84"/>
      <c r="Q650" s="84"/>
      <c r="R650" s="84"/>
      <c r="S650" s="84"/>
    </row>
    <row r="651" spans="1:19">
      <c r="A651" s="629" t="s">
        <v>652</v>
      </c>
      <c r="B651" s="248"/>
      <c r="C651" s="248">
        <v>7.2551151792135202E-3</v>
      </c>
      <c r="D651" s="248">
        <v>7.3731918399524404E-3</v>
      </c>
      <c r="E651" s="248">
        <v>7.72595125028831E-3</v>
      </c>
      <c r="F651" s="248"/>
      <c r="G651" s="248">
        <v>4.1573377103910798E-3</v>
      </c>
      <c r="H651" s="735">
        <v>2.1058118872836901E-3</v>
      </c>
      <c r="I651" s="735">
        <v>1.4340132794816701E-3</v>
      </c>
      <c r="J651" s="735">
        <v>2.1032095834866999E-3</v>
      </c>
      <c r="L651" s="84"/>
      <c r="M651" s="84"/>
      <c r="N651" s="84"/>
      <c r="O651" s="84"/>
      <c r="P651" s="84"/>
      <c r="Q651" s="84"/>
      <c r="R651" s="84"/>
      <c r="S651" s="84"/>
    </row>
    <row r="652" spans="1:19">
      <c r="A652" s="629" t="s">
        <v>651</v>
      </c>
      <c r="B652" s="248"/>
      <c r="C652" s="248">
        <v>4.6425351756860002E-3</v>
      </c>
      <c r="D652" s="248">
        <v>6.8837817931847898E-3</v>
      </c>
      <c r="E652" s="248">
        <v>9.3054847513934606E-3</v>
      </c>
      <c r="F652" s="248"/>
      <c r="G652" s="248">
        <v>3.8126637606765699E-3</v>
      </c>
      <c r="H652" s="735">
        <v>2.0237853245137199E-3</v>
      </c>
      <c r="I652" s="735">
        <v>1.5577222275584899E-3</v>
      </c>
      <c r="J652" s="735">
        <v>2.02039474533461E-3</v>
      </c>
      <c r="L652" s="84"/>
      <c r="M652" s="84"/>
      <c r="N652" s="84"/>
      <c r="O652" s="84"/>
      <c r="P652" s="84"/>
      <c r="Q652" s="84"/>
      <c r="R652" s="84"/>
      <c r="S652" s="84"/>
    </row>
    <row r="653" spans="1:19">
      <c r="A653" s="629" t="s">
        <v>650</v>
      </c>
      <c r="B653" s="248"/>
      <c r="C653" s="248">
        <v>4.9113105561001498E-3</v>
      </c>
      <c r="D653" s="248">
        <v>5.9236901924699997E-3</v>
      </c>
      <c r="E653" s="248">
        <v>7.7369422322972501E-3</v>
      </c>
      <c r="F653" s="248"/>
      <c r="G653" s="248">
        <v>3.55108160708383E-3</v>
      </c>
      <c r="H653" s="735">
        <v>1.7840540161306001E-3</v>
      </c>
      <c r="I653" s="735">
        <v>1.4227943933563E-3</v>
      </c>
      <c r="J653" s="735">
        <v>1.77854379709468E-3</v>
      </c>
      <c r="L653" s="84"/>
      <c r="M653" s="84"/>
      <c r="N653" s="84"/>
      <c r="O653" s="84"/>
      <c r="P653" s="84"/>
      <c r="Q653" s="84"/>
      <c r="R653" s="84"/>
      <c r="S653" s="84"/>
    </row>
    <row r="654" spans="1:19">
      <c r="A654" s="629" t="s">
        <v>649</v>
      </c>
      <c r="B654" s="248"/>
      <c r="C654" s="248">
        <v>5.9301104533811804E-3</v>
      </c>
      <c r="D654" s="248">
        <v>5.1255902527580603E-3</v>
      </c>
      <c r="E654" s="248">
        <v>6.3939126327393504E-3</v>
      </c>
      <c r="F654" s="248"/>
      <c r="G654" s="248">
        <v>4.1505757194704399E-3</v>
      </c>
      <c r="H654" s="735">
        <v>1.87527648611927E-3</v>
      </c>
      <c r="I654" s="735">
        <v>1.3168098662217E-3</v>
      </c>
      <c r="J654" s="735">
        <v>1.8649753214629199E-3</v>
      </c>
      <c r="L654" s="84"/>
      <c r="M654" s="84"/>
      <c r="N654" s="84"/>
      <c r="O654" s="84"/>
      <c r="P654" s="84"/>
      <c r="Q654" s="84"/>
      <c r="R654" s="84"/>
      <c r="S654" s="84"/>
    </row>
    <row r="655" spans="1:19">
      <c r="A655" s="629" t="s">
        <v>648</v>
      </c>
      <c r="B655" s="248"/>
      <c r="C655" s="248">
        <v>5.1577652788796103E-3</v>
      </c>
      <c r="D655" s="248">
        <v>7.01595486269606E-3</v>
      </c>
      <c r="E655" s="248">
        <v>5.3737916406582896E-3</v>
      </c>
      <c r="F655" s="248"/>
      <c r="G655" s="248">
        <v>5.4865285791022003E-3</v>
      </c>
      <c r="H655" s="735">
        <v>1.6750881346579E-3</v>
      </c>
      <c r="I655" s="735">
        <v>1.35446655148121E-3</v>
      </c>
      <c r="J655" s="735">
        <v>1.66805439430863E-3</v>
      </c>
      <c r="L655" s="84"/>
      <c r="M655" s="84"/>
      <c r="N655" s="84"/>
      <c r="O655" s="84"/>
      <c r="P655" s="84"/>
      <c r="Q655" s="84"/>
      <c r="R655" s="84"/>
      <c r="S655" s="84"/>
    </row>
    <row r="656" spans="1:19">
      <c r="A656" s="629" t="s">
        <v>647</v>
      </c>
      <c r="B656" s="248"/>
      <c r="C656" s="248">
        <v>4.67160855527066E-3</v>
      </c>
      <c r="D656" s="248">
        <v>4.5987445611766504E-3</v>
      </c>
      <c r="E656" s="248">
        <v>1.23416845356692E-2</v>
      </c>
      <c r="F656" s="248"/>
      <c r="G656" s="248">
        <v>7.4691292307180902E-3</v>
      </c>
      <c r="H656" s="735">
        <v>3.1826546049789199E-3</v>
      </c>
      <c r="I656" s="735">
        <v>1.7187086357157899E-3</v>
      </c>
      <c r="J656" s="735">
        <v>3.2116086344654501E-3</v>
      </c>
      <c r="L656" s="84"/>
      <c r="M656" s="84"/>
      <c r="N656" s="84"/>
      <c r="O656" s="84"/>
      <c r="P656" s="84"/>
      <c r="Q656" s="84"/>
      <c r="R656" s="84"/>
      <c r="S656" s="84"/>
    </row>
    <row r="657" spans="1:19">
      <c r="A657" s="629" t="s">
        <v>646</v>
      </c>
      <c r="B657" s="248"/>
      <c r="C657" s="248">
        <v>9.8682221637531094E-3</v>
      </c>
      <c r="D657" s="248">
        <v>1.06999089915198E-2</v>
      </c>
      <c r="E657" s="248">
        <v>1.14084490999097E-2</v>
      </c>
      <c r="F657" s="248"/>
      <c r="G657" s="248">
        <v>8.2702187822254001E-3</v>
      </c>
      <c r="H657" s="735">
        <v>2.8032450422283998E-3</v>
      </c>
      <c r="I657" s="735">
        <v>2.71691923984043E-3</v>
      </c>
      <c r="J657" s="735">
        <v>2.83236820693671E-3</v>
      </c>
      <c r="L657" s="84"/>
      <c r="M657" s="84"/>
      <c r="N657" s="84"/>
      <c r="O657" s="84"/>
      <c r="P657" s="84"/>
      <c r="Q657" s="84"/>
      <c r="R657" s="84"/>
      <c r="S657" s="84"/>
    </row>
    <row r="658" spans="1:19">
      <c r="A658" s="629" t="s">
        <v>645</v>
      </c>
      <c r="B658" s="248"/>
      <c r="C658" s="248">
        <v>6.0190348857104602E-3</v>
      </c>
      <c r="D658" s="248">
        <v>6.8818244516712498E-3</v>
      </c>
      <c r="E658" s="248">
        <v>9.4315156432068E-3</v>
      </c>
      <c r="F658" s="248"/>
      <c r="G658" s="248">
        <v>7.6888136247096903E-3</v>
      </c>
      <c r="H658" s="735">
        <v>2.6191272611956499E-3</v>
      </c>
      <c r="I658" s="735">
        <v>2.4552466274388699E-3</v>
      </c>
      <c r="J658" s="735">
        <v>2.6459576799630199E-3</v>
      </c>
      <c r="L658" s="84"/>
      <c r="M658" s="84"/>
      <c r="N658" s="84"/>
      <c r="O658" s="84"/>
      <c r="P658" s="84"/>
      <c r="Q658" s="84"/>
      <c r="R658" s="84"/>
      <c r="S658" s="84"/>
    </row>
    <row r="659" spans="1:19">
      <c r="A659" s="629" t="s">
        <v>644</v>
      </c>
      <c r="B659" s="248"/>
      <c r="C659" s="248">
        <v>3.89855514548606E-3</v>
      </c>
      <c r="D659" s="248">
        <v>5.1050193489111896E-3</v>
      </c>
      <c r="E659" s="248">
        <v>7.7888134108228101E-3</v>
      </c>
      <c r="F659" s="248"/>
      <c r="G659" s="248">
        <v>7.1818349563499799E-3</v>
      </c>
      <c r="H659" s="735">
        <v>2.2922903430532401E-3</v>
      </c>
      <c r="I659" s="735">
        <v>2.2354181756957E-3</v>
      </c>
      <c r="J659" s="735">
        <v>2.31482765530575E-3</v>
      </c>
      <c r="L659" s="84"/>
      <c r="M659" s="84"/>
      <c r="N659" s="84"/>
      <c r="O659" s="84"/>
      <c r="P659" s="84"/>
      <c r="Q659" s="84"/>
      <c r="R659" s="84"/>
      <c r="S659" s="84"/>
    </row>
    <row r="660" spans="1:19">
      <c r="A660" s="629" t="s">
        <v>643</v>
      </c>
      <c r="B660" s="248"/>
      <c r="C660" s="248">
        <v>4.25210878876724E-3</v>
      </c>
      <c r="D660" s="248">
        <v>4.3564931962474397E-3</v>
      </c>
      <c r="E660" s="248">
        <v>6.5316332471209299E-3</v>
      </c>
      <c r="F660" s="248"/>
      <c r="G660" s="248">
        <v>6.6214359218155702E-3</v>
      </c>
      <c r="H660" s="735">
        <v>2.3569666327104299E-3</v>
      </c>
      <c r="I660" s="735">
        <v>2.03568497550824E-3</v>
      </c>
      <c r="J660" s="735">
        <v>2.3750817720338199E-3</v>
      </c>
      <c r="L660" s="84"/>
      <c r="M660" s="84"/>
      <c r="N660" s="84"/>
      <c r="O660" s="84"/>
      <c r="P660" s="84"/>
      <c r="Q660" s="84"/>
      <c r="R660" s="84"/>
      <c r="S660" s="84"/>
    </row>
    <row r="661" spans="1:19">
      <c r="A661" s="629" t="s">
        <v>642</v>
      </c>
      <c r="B661" s="248"/>
      <c r="C661" s="248">
        <v>3.20748453395332E-3</v>
      </c>
      <c r="D661" s="248">
        <v>4.8380592496761804E-3</v>
      </c>
      <c r="E661" s="248">
        <v>6.7542956437121396E-3</v>
      </c>
      <c r="F661" s="248"/>
      <c r="G661" s="248">
        <v>6.5008997417406698E-3</v>
      </c>
      <c r="H661" s="735">
        <v>2.05558411726135E-3</v>
      </c>
      <c r="I661" s="735">
        <v>1.9097315865814501E-3</v>
      </c>
      <c r="J661" s="735">
        <v>2.0696496647645501E-3</v>
      </c>
      <c r="L661" s="84"/>
      <c r="M661" s="84"/>
      <c r="N661" s="84"/>
      <c r="O661" s="84"/>
      <c r="P661" s="84"/>
      <c r="Q661" s="84"/>
      <c r="R661" s="84"/>
      <c r="S661" s="84"/>
    </row>
    <row r="662" spans="1:19">
      <c r="A662" s="629" t="s">
        <v>641</v>
      </c>
      <c r="B662" s="248"/>
      <c r="C662" s="248">
        <v>3.7031106233109002E-3</v>
      </c>
      <c r="D662" s="248">
        <v>4.0772798399892497E-3</v>
      </c>
      <c r="E662" s="248">
        <v>5.6660489361681499E-3</v>
      </c>
      <c r="F662" s="248"/>
      <c r="G662" s="248">
        <v>7.2276531524719696E-3</v>
      </c>
      <c r="H662" s="735">
        <v>1.8264015772442299E-3</v>
      </c>
      <c r="I662" s="735">
        <v>1.7875940662874701E-3</v>
      </c>
      <c r="J662" s="735">
        <v>1.8362064383912399E-3</v>
      </c>
      <c r="L662" s="84"/>
      <c r="M662" s="84"/>
      <c r="N662" s="84"/>
      <c r="O662" s="84"/>
      <c r="P662" s="84"/>
      <c r="Q662" s="84"/>
      <c r="R662" s="84"/>
      <c r="S662" s="84"/>
    </row>
    <row r="663" spans="1:19">
      <c r="A663" s="629" t="s">
        <v>640</v>
      </c>
      <c r="B663" s="248"/>
      <c r="C663" s="248">
        <v>3.3803394863282901E-3</v>
      </c>
      <c r="D663" s="248">
        <v>2.9934405976624E-3</v>
      </c>
      <c r="E663" s="248">
        <v>4.9616682615760003E-3</v>
      </c>
      <c r="F663" s="248"/>
      <c r="G663" s="248">
        <v>6.6012558871827399E-3</v>
      </c>
      <c r="H663" s="735">
        <v>1.6205056558802099E-3</v>
      </c>
      <c r="I663" s="735">
        <v>1.63114545302131E-3</v>
      </c>
      <c r="J663" s="735">
        <v>1.6253129353785501E-3</v>
      </c>
      <c r="L663" s="84"/>
      <c r="M663" s="84"/>
      <c r="N663" s="84"/>
      <c r="O663" s="84"/>
      <c r="P663" s="84"/>
      <c r="Q663" s="84"/>
      <c r="R663" s="84"/>
      <c r="S663" s="84"/>
    </row>
    <row r="664" spans="1:19">
      <c r="A664" s="629" t="s">
        <v>639</v>
      </c>
      <c r="B664" s="248"/>
      <c r="C664" s="248">
        <v>2.9900781484759401E-3</v>
      </c>
      <c r="D664" s="248">
        <v>4.4852055953232004E-3</v>
      </c>
      <c r="E664" s="248">
        <v>6.3691687297453498E-3</v>
      </c>
      <c r="F664" s="248"/>
      <c r="G664" s="248">
        <v>7.8223498713286804E-3</v>
      </c>
      <c r="H664" s="735">
        <v>2.6381960125429101E-3</v>
      </c>
      <c r="I664" s="735">
        <v>1.61438167628433E-3</v>
      </c>
      <c r="J664" s="735">
        <v>2.6211280912797801E-3</v>
      </c>
      <c r="L664" s="84"/>
      <c r="M664" s="84"/>
      <c r="N664" s="84"/>
      <c r="O664" s="84"/>
      <c r="P664" s="84"/>
      <c r="Q664" s="84"/>
      <c r="R664" s="84"/>
      <c r="S664" s="84"/>
    </row>
    <row r="665" spans="1:19">
      <c r="A665" s="629" t="s">
        <v>638</v>
      </c>
      <c r="B665" s="248"/>
      <c r="C665" s="248">
        <v>4.1587319740477996E-3</v>
      </c>
      <c r="D665" s="248">
        <v>4.77650769916718E-3</v>
      </c>
      <c r="E665" s="248">
        <v>7.9234247923805692E-3</v>
      </c>
      <c r="F665" s="248"/>
      <c r="G665" s="248">
        <v>7.1087360305182399E-3</v>
      </c>
      <c r="H665" s="735">
        <v>2.6173283492473502E-3</v>
      </c>
      <c r="I665" s="735">
        <v>1.4885783235510999E-3</v>
      </c>
      <c r="J665" s="735">
        <v>2.6000776426615599E-3</v>
      </c>
      <c r="L665" s="84"/>
      <c r="M665" s="84"/>
      <c r="N665" s="84"/>
      <c r="O665" s="84"/>
      <c r="P665" s="84"/>
      <c r="Q665" s="84"/>
      <c r="R665" s="84"/>
      <c r="S665" s="84"/>
    </row>
    <row r="666" spans="1:19">
      <c r="A666" s="629" t="s">
        <v>637</v>
      </c>
      <c r="B666" s="248"/>
      <c r="C666" s="248">
        <v>3.1686877900122899E-3</v>
      </c>
      <c r="D666" s="248">
        <v>3.7753190429537101E-3</v>
      </c>
      <c r="E666" s="248">
        <v>6.78017296843458E-3</v>
      </c>
      <c r="F666" s="248"/>
      <c r="G666" s="248">
        <v>7.7367438500696101E-3</v>
      </c>
      <c r="H666" s="735">
        <v>2.7580021301388501E-3</v>
      </c>
      <c r="I666" s="735">
        <v>1.46653134190793E-3</v>
      </c>
      <c r="J666" s="735">
        <v>2.7595036758826601E-3</v>
      </c>
      <c r="L666" s="84"/>
      <c r="M666" s="84"/>
      <c r="N666" s="84"/>
      <c r="O666" s="84"/>
      <c r="P666" s="84"/>
      <c r="Q666" s="84"/>
      <c r="R666" s="84"/>
      <c r="S666" s="84"/>
    </row>
    <row r="667" spans="1:19">
      <c r="A667" s="629" t="s">
        <v>636</v>
      </c>
      <c r="B667" s="248"/>
      <c r="C667" s="248">
        <v>2.8082060568863001E-3</v>
      </c>
      <c r="D667" s="248">
        <v>2.8769287279476101E-3</v>
      </c>
      <c r="E667" s="248">
        <v>6.6041602166362198E-3</v>
      </c>
      <c r="F667" s="248"/>
      <c r="G667" s="248">
        <v>7.0832372030125096E-3</v>
      </c>
      <c r="H667" s="735">
        <v>2.38608706788961E-3</v>
      </c>
      <c r="I667" s="735">
        <v>1.4780470568619801E-3</v>
      </c>
      <c r="J667" s="735">
        <v>2.38575829271065E-3</v>
      </c>
      <c r="L667" s="84"/>
      <c r="M667" s="84"/>
      <c r="N667" s="84"/>
      <c r="O667" s="84"/>
      <c r="P667" s="84"/>
      <c r="Q667" s="84"/>
      <c r="R667" s="84"/>
      <c r="S667" s="84"/>
    </row>
    <row r="668" spans="1:19">
      <c r="A668" s="629" t="s">
        <v>635</v>
      </c>
      <c r="B668" s="248"/>
      <c r="C668" s="248">
        <v>2.7734596741646601E-3</v>
      </c>
      <c r="D668" s="248">
        <v>2.4318668655512899E-3</v>
      </c>
      <c r="E668" s="248">
        <v>5.5774590614693E-3</v>
      </c>
      <c r="F668" s="248"/>
      <c r="G668" s="248">
        <v>6.6226993919529598E-3</v>
      </c>
      <c r="H668" s="735">
        <v>2.1289097296625301E-3</v>
      </c>
      <c r="I668" s="735">
        <v>1.4212150340704799E-3</v>
      </c>
      <c r="J668" s="735">
        <v>2.1308113554942402E-3</v>
      </c>
      <c r="L668" s="84"/>
      <c r="M668" s="84"/>
      <c r="N668" s="84"/>
      <c r="O668" s="84"/>
      <c r="P668" s="84"/>
      <c r="Q668" s="84"/>
      <c r="R668" s="84"/>
      <c r="S668" s="84"/>
    </row>
    <row r="669" spans="1:19">
      <c r="A669" s="629" t="s">
        <v>634</v>
      </c>
      <c r="B669" s="248"/>
      <c r="C669" s="248">
        <v>4.94900795082618E-3</v>
      </c>
      <c r="D669" s="248">
        <v>2.18927514562689E-3</v>
      </c>
      <c r="E669" s="248">
        <v>5.0816939463507599E-3</v>
      </c>
      <c r="F669" s="248"/>
      <c r="G669" s="248">
        <v>6.1730260257088897E-3</v>
      </c>
      <c r="H669" s="735">
        <v>2.0552614938064901E-3</v>
      </c>
      <c r="I669" s="735">
        <v>1.35677733009924E-3</v>
      </c>
      <c r="J669" s="735">
        <v>2.0666548493870102E-3</v>
      </c>
      <c r="L669" s="84"/>
      <c r="M669" s="84"/>
      <c r="N669" s="84"/>
      <c r="O669" s="84"/>
      <c r="P669" s="84"/>
      <c r="Q669" s="84"/>
      <c r="R669" s="84"/>
      <c r="S669" s="84"/>
    </row>
    <row r="670" spans="1:19">
      <c r="A670" s="629" t="s">
        <v>633</v>
      </c>
      <c r="B670" s="248"/>
      <c r="C670" s="248">
        <v>4.1813343530161503E-3</v>
      </c>
      <c r="D670" s="248">
        <v>2.2078189841900899E-3</v>
      </c>
      <c r="E670" s="248">
        <v>4.3383455778987397E-3</v>
      </c>
      <c r="F670" s="248"/>
      <c r="G670" s="248">
        <v>5.6546591208744201E-3</v>
      </c>
      <c r="H670" s="735">
        <v>1.8214316636598099E-3</v>
      </c>
      <c r="I670" s="735">
        <v>1.2561167368994499E-3</v>
      </c>
      <c r="J670" s="735">
        <v>1.83167449051743E-3</v>
      </c>
      <c r="L670" s="84"/>
      <c r="M670" s="84"/>
      <c r="N670" s="84"/>
      <c r="O670" s="84"/>
      <c r="P670" s="84"/>
      <c r="Q670" s="84"/>
      <c r="R670" s="84"/>
      <c r="S670" s="84"/>
    </row>
    <row r="671" spans="1:19">
      <c r="A671" s="629" t="s">
        <v>632</v>
      </c>
      <c r="B671" s="248"/>
      <c r="C671" s="248">
        <v>4.5767643335280599E-3</v>
      </c>
      <c r="D671" s="248">
        <v>3.6806917280413701E-3</v>
      </c>
      <c r="E671" s="248">
        <v>3.7194920328694199E-3</v>
      </c>
      <c r="F671" s="248"/>
      <c r="G671" s="248">
        <v>5.1429059367145901E-3</v>
      </c>
      <c r="H671" s="735">
        <v>1.69314231396098E-3</v>
      </c>
      <c r="I671" s="735">
        <v>1.1642618457886899E-3</v>
      </c>
      <c r="J671" s="735">
        <v>1.70091888554519E-3</v>
      </c>
      <c r="L671" s="84"/>
      <c r="M671" s="84"/>
      <c r="N671" s="84"/>
      <c r="O671" s="84"/>
      <c r="P671" s="84"/>
      <c r="Q671" s="84"/>
      <c r="R671" s="84"/>
      <c r="S671" s="84"/>
    </row>
    <row r="672" spans="1:19">
      <c r="A672" s="629" t="s">
        <v>631</v>
      </c>
      <c r="B672" s="248"/>
      <c r="C672" s="248">
        <v>3.4692750894263599E-3</v>
      </c>
      <c r="D672" s="248">
        <v>2.9968745072598501E-3</v>
      </c>
      <c r="E672" s="248">
        <v>3.3736902210531401E-3</v>
      </c>
      <c r="F672" s="248"/>
      <c r="G672" s="248">
        <v>5.1204949387652103E-3</v>
      </c>
      <c r="H672" s="735">
        <v>1.54041684812941E-3</v>
      </c>
      <c r="I672" s="735">
        <v>1.10692045393175E-3</v>
      </c>
      <c r="J672" s="735">
        <v>1.5465137805888501E-3</v>
      </c>
      <c r="L672" s="84"/>
      <c r="M672" s="84"/>
      <c r="N672" s="84"/>
      <c r="O672" s="84"/>
      <c r="P672" s="84"/>
      <c r="Q672" s="84"/>
      <c r="R672" s="84"/>
      <c r="S672" s="84"/>
    </row>
    <row r="673" spans="1:19">
      <c r="A673" s="629" t="s">
        <v>630</v>
      </c>
      <c r="B673" s="248"/>
      <c r="C673" s="248">
        <v>3.1196570240823599E-3</v>
      </c>
      <c r="D673" s="248">
        <v>2.4333362286415102E-3</v>
      </c>
      <c r="E673" s="248">
        <v>3.0855431834754901E-3</v>
      </c>
      <c r="F673" s="248"/>
      <c r="G673" s="248">
        <v>4.6686002682153303E-3</v>
      </c>
      <c r="H673" s="735">
        <v>2.0440935147855999E-3</v>
      </c>
      <c r="I673" s="735">
        <v>1.0523874339830701E-3</v>
      </c>
      <c r="J673" s="735">
        <v>2.0749307795479102E-3</v>
      </c>
      <c r="L673" s="84"/>
      <c r="M673" s="84"/>
      <c r="N673" s="84"/>
      <c r="O673" s="84"/>
      <c r="P673" s="84"/>
      <c r="Q673" s="84"/>
      <c r="R673" s="84"/>
      <c r="S673" s="84"/>
    </row>
    <row r="674" spans="1:19">
      <c r="A674" s="629" t="s">
        <v>629</v>
      </c>
      <c r="B674" s="248"/>
      <c r="C674" s="248">
        <v>3.9736429428129999E-3</v>
      </c>
      <c r="D674" s="248">
        <v>2.8994233958282E-3</v>
      </c>
      <c r="E674" s="248">
        <v>2.7431156095026402E-3</v>
      </c>
      <c r="F674" s="248"/>
      <c r="G674" s="248">
        <v>4.6182125125935796E-3</v>
      </c>
      <c r="H674" s="735">
        <v>2.3988939026171299E-3</v>
      </c>
      <c r="I674" s="735">
        <v>1.3164915503953501E-3</v>
      </c>
      <c r="J674" s="735">
        <v>2.4492378784000098E-3</v>
      </c>
      <c r="L674" s="84"/>
      <c r="M674" s="84"/>
      <c r="N674" s="84"/>
      <c r="O674" s="84"/>
      <c r="P674" s="84"/>
      <c r="Q674" s="84"/>
      <c r="R674" s="84"/>
      <c r="S674" s="84"/>
    </row>
    <row r="675" spans="1:19">
      <c r="A675" s="629" t="s">
        <v>628</v>
      </c>
      <c r="B675" s="248"/>
      <c r="C675" s="248">
        <v>3.0937460580386898E-3</v>
      </c>
      <c r="D675" s="248">
        <v>3.4408790372081701E-3</v>
      </c>
      <c r="E675" s="248">
        <v>2.46024515100191E-3</v>
      </c>
      <c r="F675" s="248"/>
      <c r="G675" s="248">
        <v>4.23463440099841E-3</v>
      </c>
      <c r="H675" s="735">
        <v>2.2379733264217298E-3</v>
      </c>
      <c r="I675" s="735">
        <v>1.4219937987512399E-3</v>
      </c>
      <c r="J675" s="735">
        <v>2.2745094373089201E-3</v>
      </c>
      <c r="L675" s="84"/>
      <c r="M675" s="84"/>
      <c r="N675" s="84"/>
      <c r="O675" s="84"/>
      <c r="P675" s="84"/>
      <c r="Q675" s="84"/>
      <c r="R675" s="84"/>
      <c r="S675" s="84"/>
    </row>
    <row r="676" spans="1:19">
      <c r="A676" s="629" t="s">
        <v>627</v>
      </c>
      <c r="B676" s="248"/>
      <c r="C676" s="248">
        <v>5.1906513810757804E-3</v>
      </c>
      <c r="D676" s="248">
        <v>2.8823581649824602E-3</v>
      </c>
      <c r="E676" s="248">
        <v>2.91320642370349E-3</v>
      </c>
      <c r="F676" s="248"/>
      <c r="G676" s="248">
        <v>8.5296997736711098E-3</v>
      </c>
      <c r="H676" s="735">
        <v>2.04495584257843E-3</v>
      </c>
      <c r="I676" s="735">
        <v>1.4049975039943101E-3</v>
      </c>
      <c r="J676" s="735">
        <v>2.0729818220624101E-3</v>
      </c>
      <c r="L676" s="84"/>
      <c r="M676" s="84"/>
      <c r="N676" s="84"/>
      <c r="O676" s="84"/>
      <c r="P676" s="84"/>
      <c r="Q676" s="84"/>
      <c r="R676" s="84"/>
      <c r="S676" s="84"/>
    </row>
    <row r="677" spans="1:19">
      <c r="A677" s="629" t="s">
        <v>626</v>
      </c>
      <c r="B677" s="248"/>
      <c r="C677" s="248">
        <v>3.61170186176236E-3</v>
      </c>
      <c r="D677" s="248">
        <v>2.4249833948404198E-3</v>
      </c>
      <c r="E677" s="248">
        <v>3.20751637789061E-3</v>
      </c>
      <c r="F677" s="248"/>
      <c r="G677" s="248">
        <v>7.8138744759819398E-3</v>
      </c>
      <c r="H677" s="735">
        <v>2.0372736034461698E-3</v>
      </c>
      <c r="I677" s="735">
        <v>1.50686601861477E-3</v>
      </c>
      <c r="J677" s="735">
        <v>2.0788364404767498E-3</v>
      </c>
      <c r="L677" s="84"/>
      <c r="M677" s="84"/>
      <c r="N677" s="84"/>
      <c r="O677" s="84"/>
      <c r="P677" s="84"/>
      <c r="Q677" s="84"/>
      <c r="R677" s="84"/>
      <c r="S677" s="84"/>
    </row>
    <row r="678" spans="1:19">
      <c r="A678" s="629" t="s">
        <v>625</v>
      </c>
      <c r="B678" s="248"/>
      <c r="C678" s="248">
        <v>2.9570398197436999E-3</v>
      </c>
      <c r="D678" s="248">
        <v>2.1361993543001999E-3</v>
      </c>
      <c r="E678" s="248">
        <v>2.8635739938934601E-3</v>
      </c>
      <c r="F678" s="248"/>
      <c r="G678" s="248">
        <v>7.6044532607549998E-3</v>
      </c>
      <c r="H678" s="735">
        <v>1.93736337281163E-3</v>
      </c>
      <c r="I678" s="735">
        <v>1.38410876279317E-3</v>
      </c>
      <c r="J678" s="735">
        <v>1.98448355870407E-3</v>
      </c>
      <c r="L678" s="84"/>
      <c r="M678" s="84"/>
      <c r="N678" s="84"/>
      <c r="O678" s="84"/>
      <c r="P678" s="84"/>
      <c r="Q678" s="84"/>
      <c r="R678" s="84"/>
      <c r="S678" s="84"/>
    </row>
    <row r="679" spans="1:19">
      <c r="A679" s="629" t="s">
        <v>624</v>
      </c>
      <c r="B679" s="248"/>
      <c r="C679" s="248">
        <v>2.7074428236753402E-3</v>
      </c>
      <c r="D679" s="248">
        <v>2.0286254037289102E-3</v>
      </c>
      <c r="E679" s="248">
        <v>3.0446108727274299E-3</v>
      </c>
      <c r="F679" s="248"/>
      <c r="G679" s="248">
        <v>6.9019258620032402E-3</v>
      </c>
      <c r="H679" s="735">
        <v>2.30365526609709E-3</v>
      </c>
      <c r="I679" s="735">
        <v>1.3017692990063101E-3</v>
      </c>
      <c r="J679" s="735">
        <v>2.38502148905768E-3</v>
      </c>
      <c r="L679" s="84"/>
      <c r="M679" s="84"/>
      <c r="N679" s="84"/>
      <c r="O679" s="84"/>
      <c r="P679" s="84"/>
      <c r="Q679" s="84"/>
      <c r="R679" s="84"/>
      <c r="S679" s="84"/>
    </row>
    <row r="680" spans="1:19">
      <c r="A680" s="629" t="s">
        <v>623</v>
      </c>
      <c r="B680" s="248"/>
      <c r="C680" s="248">
        <v>3.4748291461066602E-3</v>
      </c>
      <c r="D680" s="248">
        <v>1.9979566013842002E-3</v>
      </c>
      <c r="E680" s="248">
        <v>2.7330136651406698E-3</v>
      </c>
      <c r="F680" s="248"/>
      <c r="G680" s="248">
        <v>6.3595693589860803E-3</v>
      </c>
      <c r="H680" s="735">
        <v>2.09574029273615E-3</v>
      </c>
      <c r="I680" s="735">
        <v>1.18836393642682E-3</v>
      </c>
      <c r="J680" s="735">
        <v>2.1584374659010699E-3</v>
      </c>
      <c r="L680" s="84"/>
      <c r="M680" s="84"/>
      <c r="N680" s="84"/>
      <c r="O680" s="84"/>
      <c r="P680" s="84"/>
      <c r="Q680" s="84"/>
      <c r="R680" s="84"/>
      <c r="S680" s="84"/>
    </row>
    <row r="681" spans="1:19">
      <c r="A681" s="629" t="s">
        <v>622</v>
      </c>
      <c r="B681" s="248"/>
      <c r="C681" s="248">
        <v>2.91933523179764E-3</v>
      </c>
      <c r="D681" s="248">
        <v>2.06841418558765E-3</v>
      </c>
      <c r="E681" s="248">
        <v>2.4784197384431E-3</v>
      </c>
      <c r="F681" s="248"/>
      <c r="G681" s="248">
        <v>5.7736794094933397E-3</v>
      </c>
      <c r="H681" s="735">
        <v>1.9140529795787201E-3</v>
      </c>
      <c r="I681" s="735">
        <v>1.25573608051721E-3</v>
      </c>
      <c r="J681" s="735">
        <v>1.9613458254674398E-3</v>
      </c>
      <c r="L681" s="84"/>
      <c r="M681" s="84"/>
      <c r="N681" s="84"/>
      <c r="O681" s="84"/>
      <c r="P681" s="84"/>
      <c r="Q681" s="84"/>
      <c r="R681" s="84"/>
      <c r="S681" s="84"/>
    </row>
    <row r="682" spans="1:19">
      <c r="A682" s="629" t="s">
        <v>621</v>
      </c>
      <c r="B682" s="248"/>
      <c r="C682" s="248">
        <v>2.7378244733088299E-3</v>
      </c>
      <c r="D682" s="248">
        <v>2.1345130947084102E-3</v>
      </c>
      <c r="E682" s="248">
        <v>2.33231418555998E-3</v>
      </c>
      <c r="F682" s="248"/>
      <c r="G682" s="248">
        <v>5.4634067229271501E-3</v>
      </c>
      <c r="H682" s="735">
        <v>1.95254700160253E-3</v>
      </c>
      <c r="I682" s="735">
        <v>1.2725040240043799E-3</v>
      </c>
      <c r="J682" s="735">
        <v>2.0096807630645601E-3</v>
      </c>
      <c r="L682" s="84"/>
      <c r="M682" s="84"/>
      <c r="N682" s="84"/>
      <c r="O682" s="84"/>
      <c r="P682" s="84"/>
      <c r="Q682" s="84"/>
      <c r="R682" s="84"/>
      <c r="S682" s="84"/>
    </row>
    <row r="683" spans="1:19">
      <c r="A683" s="629" t="s">
        <v>620</v>
      </c>
      <c r="B683" s="248"/>
      <c r="C683" s="248">
        <v>2.9753750608604102E-3</v>
      </c>
      <c r="D683" s="248">
        <v>2.0140375388516098E-3</v>
      </c>
      <c r="E683" s="248">
        <v>2.93438350103687E-3</v>
      </c>
      <c r="F683" s="248"/>
      <c r="G683" s="248">
        <v>4.9688378696850898E-3</v>
      </c>
      <c r="H683" s="735">
        <v>1.8860461078521601E-3</v>
      </c>
      <c r="I683" s="735">
        <v>1.2704718863587601E-3</v>
      </c>
      <c r="J683" s="735">
        <v>1.93259618891892E-3</v>
      </c>
      <c r="L683" s="84"/>
      <c r="M683" s="84"/>
      <c r="N683" s="84"/>
      <c r="O683" s="84"/>
      <c r="P683" s="84"/>
      <c r="Q683" s="84"/>
      <c r="R683" s="84"/>
      <c r="S683" s="84"/>
    </row>
    <row r="684" spans="1:19">
      <c r="A684" s="629" t="s">
        <v>619</v>
      </c>
      <c r="B684" s="248"/>
      <c r="C684" s="248">
        <v>3.1390012250256702E-3</v>
      </c>
      <c r="D684" s="248">
        <v>1.9809982880332599E-3</v>
      </c>
      <c r="E684" s="248">
        <v>2.6581871723172202E-3</v>
      </c>
      <c r="F684" s="248"/>
      <c r="G684" s="248">
        <v>4.6000473468965101E-3</v>
      </c>
      <c r="H684" s="735">
        <v>1.86326309973301E-3</v>
      </c>
      <c r="I684" s="735">
        <v>1.29610280841571E-3</v>
      </c>
      <c r="J684" s="735">
        <v>1.9063643058180001E-3</v>
      </c>
      <c r="L684" s="84"/>
      <c r="M684" s="84"/>
      <c r="N684" s="84"/>
      <c r="O684" s="84"/>
      <c r="P684" s="84"/>
      <c r="Q684" s="84"/>
      <c r="R684" s="84"/>
      <c r="S684" s="84"/>
    </row>
    <row r="685" spans="1:19">
      <c r="A685" s="629" t="s">
        <v>618</v>
      </c>
      <c r="B685" s="248"/>
      <c r="C685" s="248">
        <v>4.6595668581896604E-3</v>
      </c>
      <c r="D685" s="248">
        <v>8.4488156003508699E-3</v>
      </c>
      <c r="E685" s="248">
        <v>2.55857191301409E-3</v>
      </c>
      <c r="F685" s="248"/>
      <c r="G685" s="248">
        <v>4.2012325030107702E-3</v>
      </c>
      <c r="H685" s="735">
        <v>3.2220824097608201E-3</v>
      </c>
      <c r="I685" s="735">
        <v>2.3887386860019801E-3</v>
      </c>
      <c r="J685" s="735">
        <v>3.2748250640200001E-3</v>
      </c>
      <c r="L685" s="84"/>
      <c r="M685" s="84"/>
      <c r="N685" s="84"/>
      <c r="O685" s="84"/>
      <c r="P685" s="84"/>
      <c r="Q685" s="84"/>
      <c r="R685" s="84"/>
      <c r="S685" s="84"/>
    </row>
    <row r="686" spans="1:19">
      <c r="A686" s="629" t="s">
        <v>617</v>
      </c>
      <c r="B686" s="248"/>
      <c r="C686" s="248">
        <v>3.3748110944961198E-3</v>
      </c>
      <c r="D686" s="248">
        <v>5.7302587083810303E-3</v>
      </c>
      <c r="E686" s="248">
        <v>2.5830481095018699E-3</v>
      </c>
      <c r="F686" s="248"/>
      <c r="G686" s="248">
        <v>3.9757483938739303E-3</v>
      </c>
      <c r="H686" s="735">
        <v>2.7760493539840001E-3</v>
      </c>
      <c r="I686" s="735">
        <v>2.1497001027533198E-3</v>
      </c>
      <c r="J686" s="735">
        <v>2.8209628770850801E-3</v>
      </c>
      <c r="L686" s="84"/>
      <c r="M686" s="84"/>
      <c r="N686" s="84"/>
      <c r="O686" s="84"/>
      <c r="P686" s="84"/>
      <c r="Q686" s="84"/>
      <c r="R686" s="84"/>
      <c r="S686" s="84"/>
    </row>
    <row r="687" spans="1:19">
      <c r="A687" s="629" t="s">
        <v>616</v>
      </c>
      <c r="B687" s="248"/>
      <c r="C687" s="248">
        <v>3.4362866330147701E-3</v>
      </c>
      <c r="D687" s="248">
        <v>3.9137006056697296E-3</v>
      </c>
      <c r="E687" s="248">
        <v>3.0888889839454201E-3</v>
      </c>
      <c r="F687" s="248"/>
      <c r="G687" s="248">
        <v>3.78116286128436E-3</v>
      </c>
      <c r="H687" s="735">
        <v>3.5766408945799499E-3</v>
      </c>
      <c r="I687" s="735">
        <v>2.1980151665581598E-3</v>
      </c>
      <c r="J687" s="735">
        <v>3.6159560074021501E-3</v>
      </c>
      <c r="L687" s="84"/>
      <c r="M687" s="84"/>
      <c r="N687" s="84"/>
      <c r="O687" s="84"/>
      <c r="P687" s="84"/>
      <c r="Q687" s="84"/>
      <c r="R687" s="84"/>
      <c r="S687" s="84"/>
    </row>
    <row r="688" spans="1:19">
      <c r="A688" s="629" t="s">
        <v>615</v>
      </c>
      <c r="B688" s="248"/>
      <c r="C688" s="248">
        <v>3.35900628634077E-3</v>
      </c>
      <c r="D688" s="248">
        <v>3.0337810202359099E-3</v>
      </c>
      <c r="E688" s="248">
        <v>2.7783100465871E-3</v>
      </c>
      <c r="F688" s="248"/>
      <c r="G688" s="248">
        <v>3.8518193247129E-3</v>
      </c>
      <c r="H688" s="735">
        <v>3.12873906475626E-3</v>
      </c>
      <c r="I688" s="735">
        <v>1.9898294701512801E-3</v>
      </c>
      <c r="J688" s="735">
        <v>3.1669319219403201E-3</v>
      </c>
      <c r="L688" s="84"/>
      <c r="M688" s="84"/>
      <c r="N688" s="84"/>
      <c r="O688" s="84"/>
      <c r="P688" s="84"/>
      <c r="Q688" s="84"/>
      <c r="R688" s="84"/>
      <c r="S688" s="84"/>
    </row>
    <row r="689" spans="1:19">
      <c r="A689" s="629" t="s">
        <v>614</v>
      </c>
      <c r="B689" s="248"/>
      <c r="C689" s="248">
        <v>4.2395799814212501E-3</v>
      </c>
      <c r="D689" s="248">
        <v>2.7469166517418799E-3</v>
      </c>
      <c r="E689" s="248">
        <v>2.5596487650393902E-3</v>
      </c>
      <c r="F689" s="248"/>
      <c r="G689" s="248">
        <v>3.7099571294479002E-3</v>
      </c>
      <c r="H689" s="735">
        <v>2.6893965438245702E-3</v>
      </c>
      <c r="I689" s="735">
        <v>1.83537815509703E-3</v>
      </c>
      <c r="J689" s="735">
        <v>2.7215074364191098E-3</v>
      </c>
      <c r="L689" s="84"/>
      <c r="M689" s="84"/>
      <c r="N689" s="84"/>
      <c r="O689" s="84"/>
      <c r="P689" s="84"/>
      <c r="Q689" s="84"/>
      <c r="R689" s="84"/>
      <c r="S689" s="84"/>
    </row>
    <row r="690" spans="1:19">
      <c r="A690" s="629" t="s">
        <v>613</v>
      </c>
      <c r="B690" s="248"/>
      <c r="C690" s="248">
        <v>6.0009236283049602E-3</v>
      </c>
      <c r="D690" s="248">
        <v>2.3435170433516298E-3</v>
      </c>
      <c r="E690" s="248">
        <v>2.8192205403539099E-3</v>
      </c>
      <c r="F690" s="248"/>
      <c r="G690" s="248">
        <v>3.3953292055773901E-3</v>
      </c>
      <c r="H690" s="735">
        <v>2.36967317062583E-3</v>
      </c>
      <c r="I690" s="735">
        <v>1.70814636098565E-3</v>
      </c>
      <c r="J690" s="735">
        <v>2.3936684726485699E-3</v>
      </c>
      <c r="L690" s="84"/>
      <c r="M690" s="84"/>
      <c r="N690" s="84"/>
      <c r="O690" s="84"/>
      <c r="P690" s="84"/>
      <c r="Q690" s="84"/>
      <c r="R690" s="84"/>
      <c r="S690" s="84"/>
    </row>
    <row r="691" spans="1:19">
      <c r="A691" s="629" t="s">
        <v>612</v>
      </c>
      <c r="B691" s="248"/>
      <c r="C691" s="248">
        <v>5.00969960058465E-3</v>
      </c>
      <c r="D691" s="248">
        <v>2.9890907927261098E-3</v>
      </c>
      <c r="E691" s="248">
        <v>3.1995687281931901E-3</v>
      </c>
      <c r="F691" s="248"/>
      <c r="G691" s="248">
        <v>3.1292447130554699E-3</v>
      </c>
      <c r="H691" s="735">
        <v>2.0801337621759101E-3</v>
      </c>
      <c r="I691" s="735">
        <v>1.56673558288463E-3</v>
      </c>
      <c r="J691" s="735">
        <v>2.09487305713809E-3</v>
      </c>
      <c r="L691" s="84"/>
      <c r="M691" s="84"/>
      <c r="N691" s="84"/>
      <c r="O691" s="84"/>
      <c r="P691" s="84"/>
      <c r="Q691" s="84"/>
      <c r="R691" s="84"/>
      <c r="S691" s="84"/>
    </row>
    <row r="692" spans="1:19">
      <c r="A692" s="629" t="s">
        <v>611</v>
      </c>
      <c r="B692" s="248"/>
      <c r="C692" s="248">
        <v>3.6188857600707299E-3</v>
      </c>
      <c r="D692" s="248">
        <v>2.5320830632440498E-3</v>
      </c>
      <c r="E692" s="248">
        <v>3.3143578014158798E-3</v>
      </c>
      <c r="F692" s="248"/>
      <c r="G692" s="248">
        <v>2.8801547876303102E-3</v>
      </c>
      <c r="H692" s="735">
        <v>1.88624500815837E-3</v>
      </c>
      <c r="I692" s="735">
        <v>1.4357189229375E-3</v>
      </c>
      <c r="J692" s="735">
        <v>1.8942754257096101E-3</v>
      </c>
      <c r="L692" s="84"/>
      <c r="M692" s="84"/>
      <c r="N692" s="84"/>
      <c r="O692" s="84"/>
      <c r="P692" s="84"/>
      <c r="Q692" s="84"/>
      <c r="R692" s="84"/>
      <c r="S692" s="84"/>
    </row>
    <row r="693" spans="1:19">
      <c r="A693" s="629" t="s">
        <v>610</v>
      </c>
      <c r="B693" s="248"/>
      <c r="C693" s="248">
        <v>2.95444050434648E-3</v>
      </c>
      <c r="D693" s="248">
        <v>2.6373592055238398E-3</v>
      </c>
      <c r="E693" s="248">
        <v>2.92968706804519E-3</v>
      </c>
      <c r="F693" s="248"/>
      <c r="G693" s="248">
        <v>2.67989992934215E-3</v>
      </c>
      <c r="H693" s="735">
        <v>2.1619713433517801E-3</v>
      </c>
      <c r="I693" s="735">
        <v>1.50905903195522E-3</v>
      </c>
      <c r="J693" s="735">
        <v>2.1609384300582801E-3</v>
      </c>
      <c r="L693" s="84"/>
      <c r="M693" s="84"/>
      <c r="N693" s="84"/>
      <c r="O693" s="84"/>
      <c r="P693" s="84"/>
      <c r="Q693" s="84"/>
      <c r="R693" s="84"/>
      <c r="S693" s="84"/>
    </row>
    <row r="694" spans="1:19">
      <c r="A694" s="629" t="s">
        <v>609</v>
      </c>
      <c r="B694" s="248"/>
      <c r="C694" s="248">
        <v>3.0223577572192298E-3</v>
      </c>
      <c r="D694" s="248">
        <v>2.3887320351434101E-3</v>
      </c>
      <c r="E694" s="248">
        <v>3.0225295289146698E-3</v>
      </c>
      <c r="F694" s="248"/>
      <c r="G694" s="248">
        <v>2.51216297910254E-3</v>
      </c>
      <c r="H694" s="735">
        <v>1.95187553641608E-3</v>
      </c>
      <c r="I694" s="735">
        <v>1.36911022284031E-3</v>
      </c>
      <c r="J694" s="735">
        <v>1.94905224959587E-3</v>
      </c>
      <c r="L694" s="84"/>
      <c r="M694" s="84"/>
      <c r="N694" s="84"/>
      <c r="O694" s="84"/>
      <c r="P694" s="84"/>
      <c r="Q694" s="84"/>
      <c r="R694" s="84"/>
      <c r="S694" s="84"/>
    </row>
    <row r="695" spans="1:19">
      <c r="A695" s="629" t="s">
        <v>608</v>
      </c>
      <c r="B695" s="248"/>
      <c r="C695" s="248">
        <v>3.3978872493629999E-3</v>
      </c>
      <c r="D695" s="248">
        <v>2.1579519669850801E-3</v>
      </c>
      <c r="E695" s="248">
        <v>2.8108669242597598E-3</v>
      </c>
      <c r="F695" s="248"/>
      <c r="G695" s="248">
        <v>2.3687310720301499E-3</v>
      </c>
      <c r="H695" s="735">
        <v>1.79241938855336E-3</v>
      </c>
      <c r="I695" s="735">
        <v>1.31829046853733E-3</v>
      </c>
      <c r="J695" s="735">
        <v>1.78653364389649E-3</v>
      </c>
      <c r="L695" s="84"/>
      <c r="M695" s="84"/>
      <c r="N695" s="84"/>
      <c r="O695" s="84"/>
      <c r="P695" s="84"/>
      <c r="Q695" s="84"/>
      <c r="R695" s="84"/>
      <c r="S695" s="84"/>
    </row>
    <row r="696" spans="1:19">
      <c r="A696" s="629" t="s">
        <v>607</v>
      </c>
      <c r="B696" s="248"/>
      <c r="C696" s="248">
        <v>2.8675956639239901E-3</v>
      </c>
      <c r="D696" s="248">
        <v>2.03548936633389E-3</v>
      </c>
      <c r="E696" s="248">
        <v>2.6795359314039798E-3</v>
      </c>
      <c r="F696" s="248"/>
      <c r="G696" s="248">
        <v>2.34728103160737E-3</v>
      </c>
      <c r="H696" s="735">
        <v>1.8623587314644001E-3</v>
      </c>
      <c r="I696" s="735">
        <v>1.2482272930869199E-3</v>
      </c>
      <c r="J696" s="735">
        <v>1.86740555913497E-3</v>
      </c>
      <c r="L696" s="84"/>
      <c r="M696" s="84"/>
      <c r="N696" s="84"/>
      <c r="O696" s="84"/>
      <c r="P696" s="84"/>
      <c r="Q696" s="84"/>
      <c r="R696" s="84"/>
      <c r="S696" s="84"/>
    </row>
    <row r="697" spans="1:19">
      <c r="A697" s="629" t="s">
        <v>606</v>
      </c>
      <c r="B697" s="248"/>
      <c r="C697" s="248">
        <v>2.7679410901091201E-3</v>
      </c>
      <c r="D697" s="248">
        <v>2.02770830802607E-3</v>
      </c>
      <c r="E697" s="248">
        <v>2.55871083318286E-3</v>
      </c>
      <c r="F697" s="248"/>
      <c r="G697" s="248">
        <v>2.6439226942878702E-3</v>
      </c>
      <c r="H697" s="735">
        <v>1.64866933726865E-3</v>
      </c>
      <c r="I697" s="735">
        <v>1.1506650927062901E-3</v>
      </c>
      <c r="J697" s="735">
        <v>1.6498697726544001E-3</v>
      </c>
      <c r="L697" s="84"/>
      <c r="M697" s="84"/>
      <c r="N697" s="84"/>
      <c r="O697" s="84"/>
      <c r="P697" s="84"/>
      <c r="Q697" s="84"/>
      <c r="R697" s="84"/>
      <c r="S697" s="84"/>
    </row>
    <row r="698" spans="1:19">
      <c r="A698" s="629" t="s">
        <v>605</v>
      </c>
      <c r="B698" s="248"/>
      <c r="C698" s="248">
        <v>3.7391931057333301E-3</v>
      </c>
      <c r="D698" s="248">
        <v>3.7050873690129601E-3</v>
      </c>
      <c r="E698" s="248">
        <v>2.4998597119876699E-3</v>
      </c>
      <c r="F698" s="248"/>
      <c r="G698" s="248">
        <v>2.6362013882485998E-3</v>
      </c>
      <c r="H698" s="735">
        <v>1.4731084971797801E-3</v>
      </c>
      <c r="I698" s="735">
        <v>1.1635855095492901E-3</v>
      </c>
      <c r="J698" s="735">
        <v>1.4704453638524401E-3</v>
      </c>
      <c r="L698" s="84"/>
      <c r="M698" s="84"/>
      <c r="N698" s="84"/>
      <c r="O698" s="84"/>
      <c r="P698" s="84"/>
      <c r="Q698" s="84"/>
      <c r="R698" s="84"/>
      <c r="S698" s="84"/>
    </row>
    <row r="699" spans="1:19">
      <c r="A699" s="629" t="s">
        <v>604</v>
      </c>
      <c r="B699" s="248"/>
      <c r="C699" s="248">
        <v>3.60735694166083E-3</v>
      </c>
      <c r="D699" s="248">
        <v>3.3111417326268898E-3</v>
      </c>
      <c r="E699" s="248">
        <v>2.7627368239252601E-3</v>
      </c>
      <c r="F699" s="248"/>
      <c r="G699" s="248">
        <v>2.7371778281639601E-3</v>
      </c>
      <c r="H699" s="735">
        <v>1.4267989417461901E-3</v>
      </c>
      <c r="I699" s="735">
        <v>1.2432087705612101E-3</v>
      </c>
      <c r="J699" s="735">
        <v>1.4237791725197999E-3</v>
      </c>
      <c r="L699" s="84"/>
      <c r="M699" s="84"/>
      <c r="N699" s="84"/>
      <c r="O699" s="84"/>
      <c r="P699" s="84"/>
      <c r="Q699" s="84"/>
      <c r="R699" s="84"/>
      <c r="S699" s="84"/>
    </row>
    <row r="700" spans="1:19">
      <c r="A700" s="629" t="s">
        <v>603</v>
      </c>
      <c r="B700" s="248"/>
      <c r="C700" s="248">
        <v>7.1206430601732096E-2</v>
      </c>
      <c r="D700" s="248">
        <v>3.06659915993342E-3</v>
      </c>
      <c r="E700" s="248">
        <v>2.5480754016125999E-3</v>
      </c>
      <c r="F700" s="248"/>
      <c r="G700" s="248">
        <v>3.7216922083031399E-3</v>
      </c>
      <c r="H700" s="735">
        <v>1.3025021179591399E-3</v>
      </c>
      <c r="I700" s="735">
        <v>1.2574731872139601E-3</v>
      </c>
      <c r="J700" s="735">
        <v>1.2944928704577601E-3</v>
      </c>
      <c r="L700" s="84"/>
      <c r="M700" s="84"/>
      <c r="N700" s="84"/>
      <c r="O700" s="84"/>
      <c r="P700" s="84"/>
      <c r="Q700" s="84"/>
      <c r="R700" s="84"/>
      <c r="S700" s="84"/>
    </row>
    <row r="701" spans="1:19">
      <c r="A701" s="629" t="s">
        <v>602</v>
      </c>
      <c r="B701" s="248">
        <v>1.2799727651795401E-3</v>
      </c>
      <c r="C701" s="248">
        <v>4.37675905596503E-2</v>
      </c>
      <c r="D701" s="248">
        <v>2.5167223810000799E-3</v>
      </c>
      <c r="E701" s="248">
        <v>2.50881937727298E-3</v>
      </c>
      <c r="F701" s="248"/>
      <c r="G701" s="248">
        <v>3.5025600936875001E-3</v>
      </c>
      <c r="H701" s="735">
        <v>1.2381203854186201E-3</v>
      </c>
      <c r="I701" s="735">
        <v>1.28728082579119E-3</v>
      </c>
      <c r="J701" s="735">
        <v>1.2309901080960501E-3</v>
      </c>
      <c r="L701" s="84"/>
      <c r="M701" s="84"/>
      <c r="N701" s="84"/>
      <c r="O701" s="84"/>
      <c r="P701" s="84"/>
      <c r="Q701" s="84"/>
      <c r="R701" s="84"/>
      <c r="S701" s="84"/>
    </row>
    <row r="702" spans="1:19">
      <c r="A702" s="629" t="s">
        <v>601</v>
      </c>
      <c r="B702" s="248">
        <v>1.24604920602876E-3</v>
      </c>
      <c r="C702" s="248">
        <v>3.4687960655894197E-2</v>
      </c>
      <c r="D702" s="248">
        <v>2.3329220680835599E-3</v>
      </c>
      <c r="E702" s="248">
        <v>2.56974941729527E-3</v>
      </c>
      <c r="F702" s="248"/>
      <c r="G702" s="248">
        <v>3.2124464680285702E-3</v>
      </c>
      <c r="H702" s="735">
        <v>1.1909889896693799E-3</v>
      </c>
      <c r="I702" s="735">
        <v>1.30794442941251E-3</v>
      </c>
      <c r="J702" s="735">
        <v>1.1789027760956E-3</v>
      </c>
      <c r="L702" s="84"/>
      <c r="M702" s="84"/>
      <c r="N702" s="84"/>
      <c r="O702" s="84"/>
      <c r="P702" s="84"/>
      <c r="Q702" s="84"/>
      <c r="R702" s="84"/>
      <c r="S702" s="84"/>
    </row>
    <row r="703" spans="1:19">
      <c r="A703" s="629" t="s">
        <v>600</v>
      </c>
      <c r="B703" s="248">
        <v>1.2156262869708601E-3</v>
      </c>
      <c r="C703" s="248">
        <v>1.52730930888042E-2</v>
      </c>
      <c r="D703" s="248">
        <v>2.2244001340064401E-3</v>
      </c>
      <c r="E703" s="248">
        <v>2.8796874475929398E-3</v>
      </c>
      <c r="F703" s="248"/>
      <c r="G703" s="248">
        <v>3.0165012865768699E-3</v>
      </c>
      <c r="H703" s="735">
        <v>1.36885804497765E-3</v>
      </c>
      <c r="I703" s="735">
        <v>1.51020226072933E-3</v>
      </c>
      <c r="J703" s="735">
        <v>1.36568210467208E-3</v>
      </c>
      <c r="L703" s="84"/>
      <c r="M703" s="84"/>
      <c r="N703" s="84"/>
      <c r="O703" s="84"/>
      <c r="P703" s="84"/>
      <c r="Q703" s="84"/>
      <c r="R703" s="84"/>
      <c r="S703" s="84"/>
    </row>
    <row r="704" spans="1:19">
      <c r="A704" s="629" t="s">
        <v>599</v>
      </c>
      <c r="B704" s="248">
        <v>1.22859873962935E-3</v>
      </c>
      <c r="C704" s="248">
        <v>8.8648078238421895E-3</v>
      </c>
      <c r="D704" s="248">
        <v>2.32925551765027E-3</v>
      </c>
      <c r="E704" s="248">
        <v>2.5920271534642298E-3</v>
      </c>
      <c r="F704" s="248"/>
      <c r="G704" s="248">
        <v>3.1433218798416198E-3</v>
      </c>
      <c r="H704" s="735">
        <v>1.2443120566435499E-3</v>
      </c>
      <c r="I704" s="735">
        <v>1.40991751422548E-3</v>
      </c>
      <c r="J704" s="735">
        <v>1.2367920073996801E-3</v>
      </c>
      <c r="L704" s="84"/>
      <c r="M704" s="84"/>
      <c r="N704" s="84"/>
      <c r="O704" s="84"/>
      <c r="P704" s="84"/>
      <c r="Q704" s="84"/>
      <c r="R704" s="84"/>
      <c r="S704" s="84"/>
    </row>
    <row r="705" spans="1:19">
      <c r="A705" s="629" t="s">
        <v>598</v>
      </c>
      <c r="B705" s="248">
        <v>1.7441202952767701E-3</v>
      </c>
      <c r="C705" s="248">
        <v>5.0215070013608903E-3</v>
      </c>
      <c r="D705" s="248">
        <v>2.1737728210465498E-3</v>
      </c>
      <c r="E705" s="248">
        <v>2.6471042490284198E-3</v>
      </c>
      <c r="F705" s="248"/>
      <c r="G705" s="248">
        <v>3.205923922795E-3</v>
      </c>
      <c r="H705" s="735">
        <v>1.1477051624453501E-3</v>
      </c>
      <c r="I705" s="735">
        <v>1.2829541341142E-3</v>
      </c>
      <c r="J705" s="735">
        <v>1.13686271146609E-3</v>
      </c>
      <c r="L705" s="84"/>
      <c r="M705" s="84"/>
      <c r="N705" s="84"/>
      <c r="O705" s="84"/>
      <c r="P705" s="84"/>
      <c r="Q705" s="84"/>
      <c r="R705" s="84"/>
      <c r="S705" s="84"/>
    </row>
    <row r="706" spans="1:19">
      <c r="A706" s="629" t="s">
        <v>597</v>
      </c>
      <c r="B706" s="248">
        <v>1.64261798223432E-3</v>
      </c>
      <c r="C706" s="248">
        <v>6.3121709150050498E-3</v>
      </c>
      <c r="D706" s="248">
        <v>3.96729892096335E-3</v>
      </c>
      <c r="E706" s="248">
        <v>2.45214733169708E-3</v>
      </c>
      <c r="F706" s="248"/>
      <c r="G706" s="248">
        <v>3.3640338616623801E-3</v>
      </c>
      <c r="H706" s="735">
        <v>1.6509438393342399E-3</v>
      </c>
      <c r="I706" s="735">
        <v>1.3218778318526299E-3</v>
      </c>
      <c r="J706" s="735">
        <v>1.6567896827616099E-3</v>
      </c>
      <c r="L706" s="84"/>
      <c r="M706" s="84"/>
      <c r="N706" s="84"/>
      <c r="O706" s="84"/>
      <c r="P706" s="84"/>
      <c r="Q706" s="84"/>
      <c r="R706" s="84"/>
      <c r="S706" s="84"/>
    </row>
    <row r="707" spans="1:19">
      <c r="A707" s="629" t="s">
        <v>596</v>
      </c>
      <c r="B707" s="248">
        <v>1.77107504635582E-3</v>
      </c>
      <c r="C707" s="248">
        <v>4.9314264645425199E-3</v>
      </c>
      <c r="D707" s="248">
        <v>3.9344160382764701E-3</v>
      </c>
      <c r="E707" s="248">
        <v>2.5560342089878899E-3</v>
      </c>
      <c r="F707" s="248"/>
      <c r="G707" s="248">
        <v>3.0843373476691599E-3</v>
      </c>
      <c r="H707" s="735">
        <v>1.48024041671457E-3</v>
      </c>
      <c r="I707" s="735">
        <v>1.2121309700791701E-3</v>
      </c>
      <c r="J707" s="735">
        <v>1.4806490651966501E-3</v>
      </c>
      <c r="L707" s="84"/>
      <c r="M707" s="84"/>
      <c r="N707" s="84"/>
      <c r="O707" s="84"/>
      <c r="P707" s="84"/>
      <c r="Q707" s="84"/>
      <c r="R707" s="84"/>
      <c r="S707" s="84"/>
    </row>
    <row r="708" spans="1:19">
      <c r="A708" s="629" t="s">
        <v>595</v>
      </c>
      <c r="B708" s="248">
        <v>2.1034143360830399E-3</v>
      </c>
      <c r="C708" s="248">
        <v>3.4955120720200901E-3</v>
      </c>
      <c r="D708" s="248">
        <v>4.9670301309750397E-3</v>
      </c>
      <c r="E708" s="248">
        <v>2.5066672402783798E-3</v>
      </c>
      <c r="F708" s="248"/>
      <c r="G708" s="248">
        <v>2.8532603046710499E-3</v>
      </c>
      <c r="H708" s="735">
        <v>1.45547237870102E-3</v>
      </c>
      <c r="I708" s="735">
        <v>1.20100482195579E-3</v>
      </c>
      <c r="J708" s="735">
        <v>1.4481856931544499E-3</v>
      </c>
      <c r="L708" s="84"/>
      <c r="M708" s="84"/>
      <c r="N708" s="84"/>
      <c r="O708" s="84"/>
      <c r="P708" s="84"/>
      <c r="Q708" s="84"/>
      <c r="R708" s="84"/>
      <c r="S708" s="84"/>
    </row>
    <row r="709" spans="1:19">
      <c r="A709" s="629" t="s">
        <v>594</v>
      </c>
      <c r="B709" s="248">
        <v>2.30523080193496E-3</v>
      </c>
      <c r="C709" s="248">
        <v>3.3623337763618302E-3</v>
      </c>
      <c r="D709" s="248">
        <v>4.49762501977625E-3</v>
      </c>
      <c r="E709" s="248">
        <v>2.2971209983208198E-3</v>
      </c>
      <c r="F709" s="248"/>
      <c r="G709" s="248">
        <v>2.6974987092459502E-3</v>
      </c>
      <c r="H709" s="735">
        <v>2.55308180610621E-3</v>
      </c>
      <c r="I709" s="735">
        <v>1.37741723534505E-3</v>
      </c>
      <c r="J709" s="735">
        <v>2.5630008397106302E-3</v>
      </c>
      <c r="L709" s="84"/>
      <c r="M709" s="84"/>
      <c r="N709" s="84"/>
      <c r="O709" s="84"/>
      <c r="P709" s="84"/>
      <c r="Q709" s="84"/>
      <c r="R709" s="84"/>
      <c r="S709" s="84"/>
    </row>
    <row r="710" spans="1:19">
      <c r="A710" s="629" t="s">
        <v>593</v>
      </c>
      <c r="B710" s="248">
        <v>2.6797204561038301E-3</v>
      </c>
      <c r="C710" s="248">
        <v>3.1028118048158598E-3</v>
      </c>
      <c r="D710" s="248">
        <v>3.41049560029081E-3</v>
      </c>
      <c r="E710" s="248">
        <v>2.3242450259436699E-3</v>
      </c>
      <c r="F710" s="248"/>
      <c r="G710" s="248">
        <v>4.72166820399868E-3</v>
      </c>
      <c r="H710" s="735">
        <v>2.2539117089999199E-3</v>
      </c>
      <c r="I710" s="735">
        <v>1.3502506596929E-3</v>
      </c>
      <c r="J710" s="735">
        <v>2.2640686910453001E-3</v>
      </c>
      <c r="L710" s="84"/>
      <c r="M710" s="84"/>
      <c r="N710" s="84"/>
      <c r="O710" s="84"/>
      <c r="P710" s="84"/>
      <c r="Q710" s="84"/>
      <c r="R710" s="84"/>
      <c r="S710" s="84"/>
    </row>
    <row r="711" spans="1:19">
      <c r="A711" s="629" t="s">
        <v>592</v>
      </c>
      <c r="B711" s="248">
        <v>2.5241421663716999E-3</v>
      </c>
      <c r="C711" s="248">
        <v>2.7525149523962801E-3</v>
      </c>
      <c r="D711" s="248">
        <v>2.8347562426856402E-3</v>
      </c>
      <c r="E711" s="248">
        <v>2.7521352255138998E-3</v>
      </c>
      <c r="F711" s="248"/>
      <c r="G711" s="248">
        <v>5.33355116982232E-3</v>
      </c>
      <c r="H711" s="735">
        <v>2.0000572892317401E-3</v>
      </c>
      <c r="I711" s="735">
        <v>1.25047089138651E-3</v>
      </c>
      <c r="J711" s="735">
        <v>2.0036894053177402E-3</v>
      </c>
      <c r="L711" s="84"/>
      <c r="M711" s="84"/>
      <c r="N711" s="84"/>
      <c r="O711" s="84"/>
      <c r="P711" s="84"/>
      <c r="Q711" s="84"/>
      <c r="R711" s="84"/>
      <c r="S711" s="84"/>
    </row>
    <row r="712" spans="1:19">
      <c r="A712" s="629" t="s">
        <v>591</v>
      </c>
      <c r="B712" s="248">
        <v>3.18954052796625E-3</v>
      </c>
      <c r="C712" s="248">
        <v>2.8008814946539999E-3</v>
      </c>
      <c r="D712" s="248">
        <v>2.3499747620794298E-3</v>
      </c>
      <c r="E712" s="248">
        <v>2.5133320798073899E-3</v>
      </c>
      <c r="F712" s="248"/>
      <c r="G712" s="248">
        <v>4.88854286598377E-3</v>
      </c>
      <c r="H712" s="735">
        <v>1.8454209154575201E-3</v>
      </c>
      <c r="I712" s="735">
        <v>1.1647766183758E-3</v>
      </c>
      <c r="J712" s="735">
        <v>1.85101057941922E-3</v>
      </c>
      <c r="L712" s="84"/>
      <c r="M712" s="84"/>
      <c r="N712" s="84"/>
      <c r="O712" s="84"/>
      <c r="P712" s="84"/>
      <c r="Q712" s="84"/>
      <c r="R712" s="84"/>
      <c r="S712" s="84"/>
    </row>
    <row r="713" spans="1:19">
      <c r="A713" s="629" t="s">
        <v>590</v>
      </c>
      <c r="B713" s="248">
        <v>2.9361455134511E-3</v>
      </c>
      <c r="C713" s="248">
        <v>2.64974711109276E-3</v>
      </c>
      <c r="D713" s="248">
        <v>1.31645426546387E-2</v>
      </c>
      <c r="E713" s="248">
        <v>2.31901168914409E-3</v>
      </c>
      <c r="F713" s="248"/>
      <c r="G713" s="248">
        <v>4.6670983549157901E-3</v>
      </c>
      <c r="H713" s="735">
        <v>1.6472633238319801E-3</v>
      </c>
      <c r="I713" s="735">
        <v>1.10737457770984E-3</v>
      </c>
      <c r="J713" s="735">
        <v>1.64931377496869E-3</v>
      </c>
      <c r="L713" s="84"/>
      <c r="M713" s="84"/>
      <c r="N713" s="84"/>
      <c r="O713" s="84"/>
      <c r="P713" s="84"/>
      <c r="Q713" s="84"/>
      <c r="R713" s="84"/>
      <c r="S713" s="84"/>
    </row>
    <row r="714" spans="1:19">
      <c r="A714" s="629" t="s">
        <v>589</v>
      </c>
      <c r="B714" s="248">
        <v>2.83324326206533E-3</v>
      </c>
      <c r="C714" s="248">
        <v>2.9979542622155099E-3</v>
      </c>
      <c r="D714" s="248">
        <v>7.8856669074157601E-3</v>
      </c>
      <c r="E714" s="248">
        <v>2.7321371389481199E-3</v>
      </c>
      <c r="F714" s="248"/>
      <c r="G714" s="248">
        <v>4.2613763797988502E-3</v>
      </c>
      <c r="H714" s="735">
        <v>1.97582237034545E-3</v>
      </c>
      <c r="I714" s="735">
        <v>1.03175193732809E-3</v>
      </c>
      <c r="J714" s="735">
        <v>1.9796551776607402E-3</v>
      </c>
      <c r="L714" s="84"/>
      <c r="M714" s="84"/>
      <c r="N714" s="84"/>
      <c r="O714" s="84"/>
      <c r="P714" s="84"/>
      <c r="Q714" s="84"/>
      <c r="R714" s="84"/>
      <c r="S714" s="84"/>
    </row>
    <row r="715" spans="1:19">
      <c r="A715" s="629" t="s">
        <v>588</v>
      </c>
      <c r="B715" s="248">
        <v>2.5905827024487699E-3</v>
      </c>
      <c r="C715" s="248">
        <v>2.7153076664555402E-3</v>
      </c>
      <c r="D715" s="248">
        <v>4.97090100555235E-3</v>
      </c>
      <c r="E715" s="248">
        <v>2.4545379297483899E-3</v>
      </c>
      <c r="F715" s="248"/>
      <c r="G715" s="248">
        <v>3.8945394351684501E-3</v>
      </c>
      <c r="H715" s="735">
        <v>1.7418097972099499E-3</v>
      </c>
      <c r="I715" s="735">
        <v>9.5789017396088398E-4</v>
      </c>
      <c r="J715" s="735">
        <v>1.7426725314355501E-3</v>
      </c>
      <c r="L715" s="84"/>
      <c r="M715" s="84"/>
      <c r="N715" s="84"/>
      <c r="O715" s="84"/>
      <c r="P715" s="84"/>
      <c r="Q715" s="84"/>
      <c r="R715" s="84"/>
      <c r="S715" s="84"/>
    </row>
    <row r="716" spans="1:19">
      <c r="A716" s="629" t="s">
        <v>587</v>
      </c>
      <c r="B716" s="248">
        <v>2.5255680513567402E-3</v>
      </c>
      <c r="C716" s="248">
        <v>2.6823274676505198E-3</v>
      </c>
      <c r="D716" s="248">
        <v>3.56203124529938E-3</v>
      </c>
      <c r="E716" s="248">
        <v>2.3427149484497199E-3</v>
      </c>
      <c r="F716" s="248"/>
      <c r="G716" s="248">
        <v>3.6270928400567799E-3</v>
      </c>
      <c r="H716" s="735">
        <v>1.57134401749917E-3</v>
      </c>
      <c r="I716" s="735">
        <v>9.4652281947123001E-4</v>
      </c>
      <c r="J716" s="735">
        <v>1.57103910026049E-3</v>
      </c>
      <c r="L716" s="84"/>
      <c r="M716" s="84"/>
      <c r="N716" s="84"/>
      <c r="O716" s="84"/>
      <c r="P716" s="84"/>
      <c r="Q716" s="84"/>
      <c r="R716" s="84"/>
      <c r="S716" s="84"/>
    </row>
    <row r="717" spans="1:19">
      <c r="A717" s="629" t="s">
        <v>586</v>
      </c>
      <c r="B717" s="248">
        <v>3.1962606292778701E-3</v>
      </c>
      <c r="C717" s="248">
        <v>2.6012060943523801E-3</v>
      </c>
      <c r="D717" s="248">
        <v>2.8908372319518998E-3</v>
      </c>
      <c r="E717" s="248">
        <v>2.15202307223463E-3</v>
      </c>
      <c r="F717" s="248"/>
      <c r="G717" s="248">
        <v>4.05678295829821E-3</v>
      </c>
      <c r="H717" s="735">
        <v>1.4527372718820301E-3</v>
      </c>
      <c r="I717" s="735">
        <v>8.8528299898364498E-4</v>
      </c>
      <c r="J717" s="735">
        <v>1.44737975145388E-3</v>
      </c>
      <c r="L717" s="84"/>
      <c r="M717" s="84"/>
      <c r="N717" s="84"/>
      <c r="O717" s="84"/>
      <c r="P717" s="84"/>
      <c r="Q717" s="84"/>
      <c r="R717" s="84"/>
      <c r="S717" s="84"/>
    </row>
    <row r="718" spans="1:19">
      <c r="A718" s="629" t="s">
        <v>585</v>
      </c>
      <c r="B718" s="248">
        <v>4.6563644365110596E-3</v>
      </c>
      <c r="C718" s="248">
        <v>3.6120449621846202E-3</v>
      </c>
      <c r="D718" s="248">
        <v>4.3138957042158704E-3</v>
      </c>
      <c r="E718" s="248">
        <v>2.1523782598408601E-3</v>
      </c>
      <c r="F718" s="248"/>
      <c r="G718" s="248">
        <v>4.6816215773705303E-3</v>
      </c>
      <c r="H718" s="735">
        <v>1.6044794538405899E-3</v>
      </c>
      <c r="I718" s="735">
        <v>1.0757883326181E-3</v>
      </c>
      <c r="J718" s="735">
        <v>1.60223571486755E-3</v>
      </c>
      <c r="L718" s="84"/>
      <c r="M718" s="84"/>
      <c r="N718" s="84"/>
      <c r="O718" s="84"/>
      <c r="P718" s="84"/>
      <c r="Q718" s="84"/>
      <c r="R718" s="84"/>
      <c r="S718" s="84"/>
    </row>
    <row r="719" spans="1:19">
      <c r="A719" s="629" t="s">
        <v>584</v>
      </c>
      <c r="B719" s="248">
        <v>4.7698855011477099E-3</v>
      </c>
      <c r="C719" s="248">
        <v>3.2299667526817901E-3</v>
      </c>
      <c r="D719" s="248">
        <v>5.2114038202385696E-3</v>
      </c>
      <c r="E719" s="248">
        <v>2.1478070879234301E-3</v>
      </c>
      <c r="F719" s="248"/>
      <c r="G719" s="248">
        <v>4.2899135615297604E-3</v>
      </c>
      <c r="H719" s="735">
        <v>1.4378136263273099E-3</v>
      </c>
      <c r="I719" s="735">
        <v>1.01924666793834E-3</v>
      </c>
      <c r="J719" s="735">
        <v>1.4315851622528201E-3</v>
      </c>
      <c r="L719" s="84"/>
      <c r="M719" s="84"/>
      <c r="N719" s="84"/>
      <c r="O719" s="84"/>
      <c r="P719" s="84"/>
      <c r="Q719" s="84"/>
      <c r="R719" s="84"/>
      <c r="S719" s="84"/>
    </row>
    <row r="720" spans="1:19">
      <c r="A720" s="629" t="s">
        <v>583</v>
      </c>
      <c r="B720" s="248">
        <v>5.4448102381468803E-3</v>
      </c>
      <c r="C720" s="248">
        <v>2.9963075483289501E-3</v>
      </c>
      <c r="D720" s="248">
        <v>3.95406285750554E-3</v>
      </c>
      <c r="E720" s="248">
        <v>2.9772491041455298E-3</v>
      </c>
      <c r="F720" s="248"/>
      <c r="G720" s="248">
        <v>4.2664470003246097E-3</v>
      </c>
      <c r="H720" s="735">
        <v>1.3348461217406601E-3</v>
      </c>
      <c r="I720" s="735">
        <v>1.2590838859532099E-3</v>
      </c>
      <c r="J720" s="735">
        <v>1.3233254049437001E-3</v>
      </c>
      <c r="L720" s="84"/>
      <c r="M720" s="84"/>
      <c r="N720" s="84"/>
      <c r="O720" s="84"/>
      <c r="P720" s="84"/>
      <c r="Q720" s="84"/>
      <c r="R720" s="84"/>
      <c r="S720" s="84"/>
    </row>
    <row r="721" spans="1:19">
      <c r="A721" s="629" t="s">
        <v>582</v>
      </c>
      <c r="B721" s="248">
        <v>4.8295533650309502E-3</v>
      </c>
      <c r="C721" s="248">
        <v>2.7330490025564702E-3</v>
      </c>
      <c r="D721" s="248">
        <v>3.3120422763009199E-3</v>
      </c>
      <c r="E721" s="248">
        <v>2.6649799101834E-3</v>
      </c>
      <c r="F721" s="248"/>
      <c r="G721" s="248">
        <v>3.9092863242848001E-3</v>
      </c>
      <c r="H721" s="735">
        <v>1.2607054517385201E-3</v>
      </c>
      <c r="I721" s="735">
        <v>1.1549869950614601E-3</v>
      </c>
      <c r="J721" s="735">
        <v>1.24909582118001E-3</v>
      </c>
      <c r="L721" s="84"/>
      <c r="M721" s="84"/>
      <c r="N721" s="84"/>
      <c r="O721" s="84"/>
      <c r="P721" s="84"/>
      <c r="Q721" s="84"/>
      <c r="R721" s="84"/>
      <c r="S721" s="84"/>
    </row>
    <row r="722" spans="1:19">
      <c r="A722" s="629" t="s">
        <v>581</v>
      </c>
      <c r="B722" s="248">
        <v>4.3088058444032502E-3</v>
      </c>
      <c r="C722" s="248">
        <v>3.35206592044576E-3</v>
      </c>
      <c r="D722" s="248">
        <v>2.7707066811365399E-3</v>
      </c>
      <c r="E722" s="248">
        <v>2.4869196067269701E-3</v>
      </c>
      <c r="F722" s="248"/>
      <c r="G722" s="248">
        <v>4.2372930063846702E-3</v>
      </c>
      <c r="H722" s="735">
        <v>1.4156845186130999E-3</v>
      </c>
      <c r="I722" s="735">
        <v>1.5003523302254101E-3</v>
      </c>
      <c r="J722" s="735">
        <v>1.4061192209324799E-3</v>
      </c>
      <c r="L722" s="84"/>
      <c r="M722" s="84"/>
      <c r="N722" s="84"/>
      <c r="O722" s="84"/>
      <c r="P722" s="84"/>
      <c r="Q722" s="84"/>
      <c r="R722" s="84"/>
      <c r="S722" s="84"/>
    </row>
    <row r="723" spans="1:19">
      <c r="A723" s="629" t="s">
        <v>580</v>
      </c>
      <c r="B723" s="248">
        <v>5.2045137106682196E-3</v>
      </c>
      <c r="C723" s="248">
        <v>3.1256003607063902E-3</v>
      </c>
      <c r="D723" s="248">
        <v>3.8057985763829899E-3</v>
      </c>
      <c r="E723" s="248">
        <v>2.4306751740526202E-3</v>
      </c>
      <c r="F723" s="248"/>
      <c r="G723" s="248">
        <v>3.9183259162316898E-3</v>
      </c>
      <c r="H723" s="735">
        <v>1.41067326221467E-3</v>
      </c>
      <c r="I723" s="735">
        <v>1.64674871596676E-3</v>
      </c>
      <c r="J723" s="735">
        <v>1.4005096849503699E-3</v>
      </c>
      <c r="L723" s="84"/>
      <c r="M723" s="84"/>
      <c r="N723" s="84"/>
      <c r="O723" s="84"/>
      <c r="P723" s="84"/>
      <c r="Q723" s="84"/>
      <c r="R723" s="84"/>
      <c r="S723" s="84"/>
    </row>
    <row r="724" spans="1:19">
      <c r="A724" s="629" t="s">
        <v>579</v>
      </c>
      <c r="B724" s="248">
        <v>5.60580566364355E-3</v>
      </c>
      <c r="C724" s="248">
        <v>2.8100987993643499E-3</v>
      </c>
      <c r="D724" s="248">
        <v>7.9723259948516808E-3</v>
      </c>
      <c r="E724" s="248">
        <v>2.4475997503175299E-3</v>
      </c>
      <c r="F724" s="248"/>
      <c r="G724" s="248">
        <v>4.6680518125217004E-3</v>
      </c>
      <c r="H724" s="735">
        <v>1.7343361771696101E-3</v>
      </c>
      <c r="I724" s="735">
        <v>1.6619996770507199E-3</v>
      </c>
      <c r="J724" s="735">
        <v>1.72143841489547E-3</v>
      </c>
      <c r="L724" s="84"/>
      <c r="M724" s="84"/>
      <c r="N724" s="84"/>
      <c r="O724" s="84"/>
      <c r="P724" s="84"/>
      <c r="Q724" s="84"/>
      <c r="R724" s="84"/>
      <c r="S724" s="84"/>
    </row>
    <row r="725" spans="1:19">
      <c r="A725" s="629" t="s">
        <v>578</v>
      </c>
      <c r="B725" s="248">
        <v>5.1672036105594498E-3</v>
      </c>
      <c r="C725" s="248">
        <v>2.6386575726525998E-3</v>
      </c>
      <c r="D725" s="248">
        <v>7.3096606645648501E-3</v>
      </c>
      <c r="E725" s="248">
        <v>2.3527163476140798E-3</v>
      </c>
      <c r="F725" s="248"/>
      <c r="G725" s="248">
        <v>4.6115446278820402E-3</v>
      </c>
      <c r="H725" s="735">
        <v>1.68358406049035E-3</v>
      </c>
      <c r="I725" s="735">
        <v>1.86042865836251E-3</v>
      </c>
      <c r="J725" s="735">
        <v>1.67633022393085E-3</v>
      </c>
      <c r="L725" s="84"/>
      <c r="M725" s="84"/>
      <c r="N725" s="84"/>
      <c r="O725" s="84"/>
      <c r="P725" s="84"/>
      <c r="Q725" s="84"/>
      <c r="R725" s="84"/>
      <c r="S725" s="84"/>
    </row>
    <row r="726" spans="1:19">
      <c r="A726" s="629" t="s">
        <v>577</v>
      </c>
      <c r="B726" s="248">
        <v>4.8542064140063498E-3</v>
      </c>
      <c r="C726" s="248">
        <v>2.7702642324014498E-3</v>
      </c>
      <c r="D726" s="248">
        <v>5.9802850573664303E-3</v>
      </c>
      <c r="E726" s="248">
        <v>2.7391645017552299E-3</v>
      </c>
      <c r="F726" s="248"/>
      <c r="G726" s="248">
        <v>4.33662677097161E-3</v>
      </c>
      <c r="H726" s="735">
        <v>1.51144190307159E-3</v>
      </c>
      <c r="I726" s="735">
        <v>1.7081676457765E-3</v>
      </c>
      <c r="J726" s="735">
        <v>1.5020646539724201E-3</v>
      </c>
      <c r="L726" s="84"/>
      <c r="M726" s="84"/>
      <c r="N726" s="84"/>
      <c r="O726" s="84"/>
      <c r="P726" s="84"/>
      <c r="Q726" s="84"/>
      <c r="R726" s="84"/>
      <c r="S726" s="84"/>
    </row>
    <row r="727" spans="1:19">
      <c r="A727" s="629" t="s">
        <v>576</v>
      </c>
      <c r="B727" s="248">
        <v>5.1764524845391603E-3</v>
      </c>
      <c r="C727" s="248">
        <v>4.1927588749177402E-3</v>
      </c>
      <c r="D727" s="248">
        <v>4.39165607462161E-3</v>
      </c>
      <c r="E727" s="248">
        <v>2.49544273534972E-3</v>
      </c>
      <c r="F727" s="248"/>
      <c r="G727" s="248">
        <v>5.1699631010790302E-3</v>
      </c>
      <c r="H727" s="735">
        <v>1.89746084545044E-3</v>
      </c>
      <c r="I727" s="735">
        <v>1.82351241117605E-3</v>
      </c>
      <c r="J727" s="735">
        <v>1.88590602379882E-3</v>
      </c>
      <c r="L727" s="84"/>
      <c r="M727" s="84"/>
      <c r="N727" s="84"/>
      <c r="O727" s="84"/>
      <c r="P727" s="84"/>
      <c r="Q727" s="84"/>
      <c r="R727" s="84"/>
      <c r="S727" s="84"/>
    </row>
    <row r="728" spans="1:19">
      <c r="A728" s="629" t="s">
        <v>575</v>
      </c>
      <c r="B728" s="248">
        <v>4.6849024176825798E-3</v>
      </c>
      <c r="C728" s="248">
        <v>3.2554152044486002E-3</v>
      </c>
      <c r="D728" s="248">
        <v>3.5544705788636199E-3</v>
      </c>
      <c r="E728" s="248">
        <v>4.7263979125052999E-3</v>
      </c>
      <c r="F728" s="248"/>
      <c r="G728" s="248">
        <v>4.8343048236300697E-3</v>
      </c>
      <c r="H728" s="735">
        <v>1.9128788933620499E-3</v>
      </c>
      <c r="I728" s="735">
        <v>1.82132251721868E-3</v>
      </c>
      <c r="J728" s="735">
        <v>1.9044127151393801E-3</v>
      </c>
      <c r="L728" s="84"/>
      <c r="M728" s="84"/>
      <c r="N728" s="84"/>
      <c r="O728" s="84"/>
      <c r="P728" s="84"/>
      <c r="Q728" s="84"/>
      <c r="R728" s="84"/>
      <c r="S728" s="84"/>
    </row>
    <row r="729" spans="1:19">
      <c r="A729" s="629" t="s">
        <v>574</v>
      </c>
      <c r="B729" s="248">
        <v>6.1625975711820501E-3</v>
      </c>
      <c r="C729" s="248">
        <v>3.14919483748804E-3</v>
      </c>
      <c r="D729" s="248">
        <v>4.5817410490850497E-3</v>
      </c>
      <c r="E729" s="248">
        <v>5.2828762480942003E-3</v>
      </c>
      <c r="F729" s="248"/>
      <c r="G729" s="248">
        <v>4.5346365753649804E-3</v>
      </c>
      <c r="H729" s="735">
        <v>1.7687946526223101E-3</v>
      </c>
      <c r="I729" s="735">
        <v>1.84642176342103E-3</v>
      </c>
      <c r="J729" s="735">
        <v>1.76330148801588E-3</v>
      </c>
      <c r="L729" s="84"/>
      <c r="M729" s="84"/>
      <c r="N729" s="84"/>
      <c r="O729" s="84"/>
      <c r="P729" s="84"/>
      <c r="Q729" s="84"/>
      <c r="R729" s="84"/>
      <c r="S729" s="84"/>
    </row>
    <row r="730" spans="1:19">
      <c r="A730" s="629" t="s">
        <v>573</v>
      </c>
      <c r="B730" s="248">
        <v>5.7941364368319301E-3</v>
      </c>
      <c r="C730" s="248">
        <v>2.8430091887929601E-3</v>
      </c>
      <c r="D730" s="248">
        <v>4.9507652381986797E-3</v>
      </c>
      <c r="E730" s="248">
        <v>4.8610481200301002E-3</v>
      </c>
      <c r="F730" s="248"/>
      <c r="G730" s="248">
        <v>4.1777376843436503E-3</v>
      </c>
      <c r="H730" s="735">
        <v>1.8160510670538999E-3</v>
      </c>
      <c r="I730" s="735">
        <v>1.85034347585795E-3</v>
      </c>
      <c r="J730" s="735">
        <v>1.8012995780908401E-3</v>
      </c>
      <c r="L730" s="84"/>
      <c r="M730" s="84"/>
      <c r="N730" s="84"/>
      <c r="O730" s="84"/>
      <c r="P730" s="84"/>
      <c r="Q730" s="84"/>
      <c r="R730" s="84"/>
      <c r="S730" s="84"/>
    </row>
    <row r="731" spans="1:19">
      <c r="A731" s="629" t="s">
        <v>572</v>
      </c>
      <c r="B731" s="248">
        <v>5.3418900983189599E-3</v>
      </c>
      <c r="C731" s="248">
        <v>3.0275997393378602E-3</v>
      </c>
      <c r="D731" s="248">
        <v>3.48636830463435E-3</v>
      </c>
      <c r="E731" s="248">
        <v>4.1305266929476401E-3</v>
      </c>
      <c r="F731" s="248"/>
      <c r="G731" s="248">
        <v>4.32984440188684E-3</v>
      </c>
      <c r="H731" s="735">
        <v>1.61261375970782E-3</v>
      </c>
      <c r="I731" s="735">
        <v>1.9231254566345799E-3</v>
      </c>
      <c r="J731" s="735">
        <v>1.59714841258539E-3</v>
      </c>
      <c r="L731" s="84"/>
      <c r="M731" s="84"/>
      <c r="N731" s="84"/>
      <c r="O731" s="84"/>
      <c r="P731" s="84"/>
      <c r="Q731" s="84"/>
      <c r="R731" s="84"/>
      <c r="S731" s="84"/>
    </row>
    <row r="732" spans="1:19">
      <c r="A732" s="629" t="s">
        <v>571</v>
      </c>
      <c r="B732" s="248">
        <v>6.8068399383850496E-3</v>
      </c>
      <c r="C732" s="248">
        <v>3.1735069098148901E-3</v>
      </c>
      <c r="D732" s="248">
        <v>4.5241934528752296E-3</v>
      </c>
      <c r="E732" s="248">
        <v>4.0428784774382996E-3</v>
      </c>
      <c r="F732" s="248"/>
      <c r="G732" s="248">
        <v>4.0355603507591497E-3</v>
      </c>
      <c r="H732" s="735">
        <v>2.0546311014203898E-3</v>
      </c>
      <c r="I732" s="735">
        <v>1.7632398991499301E-3</v>
      </c>
      <c r="J732" s="735">
        <v>2.0528165899651499E-3</v>
      </c>
      <c r="L732" s="84"/>
      <c r="M732" s="84"/>
      <c r="N732" s="84"/>
      <c r="O732" s="84"/>
      <c r="P732" s="84"/>
      <c r="Q732" s="84"/>
      <c r="R732" s="84"/>
      <c r="S732" s="84"/>
    </row>
    <row r="733" spans="1:19">
      <c r="A733" s="629" t="s">
        <v>570</v>
      </c>
      <c r="B733" s="248">
        <v>7.4507584107550004E-3</v>
      </c>
      <c r="C733" s="248">
        <v>3.2448172218613202E-3</v>
      </c>
      <c r="D733" s="248">
        <v>3.65172960473608E-3</v>
      </c>
      <c r="E733" s="248">
        <v>6.66102490049958E-3</v>
      </c>
      <c r="F733" s="248"/>
      <c r="G733" s="248">
        <v>4.0918136952637499E-3</v>
      </c>
      <c r="H733" s="735">
        <v>2.3113634488723502E-3</v>
      </c>
      <c r="I733" s="735">
        <v>2.2443945834012E-3</v>
      </c>
      <c r="J733" s="735">
        <v>2.3064958952568101E-3</v>
      </c>
      <c r="L733" s="84"/>
      <c r="M733" s="84"/>
      <c r="N733" s="84"/>
      <c r="O733" s="84"/>
      <c r="P733" s="84"/>
      <c r="Q733" s="84"/>
      <c r="R733" s="84"/>
      <c r="S733" s="84"/>
    </row>
    <row r="734" spans="1:19">
      <c r="A734" s="629" t="s">
        <v>569</v>
      </c>
      <c r="B734" s="248">
        <v>6.6545889442283096E-3</v>
      </c>
      <c r="C734" s="248">
        <v>5.35362940947512E-3</v>
      </c>
      <c r="D734" s="248">
        <v>4.1666784119732299E-3</v>
      </c>
      <c r="E734" s="248">
        <v>7.4146764286494001E-3</v>
      </c>
      <c r="F734" s="248"/>
      <c r="G734" s="248">
        <v>3.8328170484798799E-3</v>
      </c>
      <c r="H734" s="735">
        <v>3.2147179348719301E-3</v>
      </c>
      <c r="I734" s="735">
        <v>3.6915518747197202E-3</v>
      </c>
      <c r="J734" s="735">
        <v>3.2322461041243201E-3</v>
      </c>
      <c r="L734" s="84"/>
      <c r="M734" s="84"/>
      <c r="N734" s="84"/>
      <c r="O734" s="84"/>
      <c r="P734" s="84"/>
      <c r="Q734" s="84"/>
      <c r="R734" s="84"/>
      <c r="S734" s="84"/>
    </row>
    <row r="735" spans="1:19">
      <c r="A735" s="629" t="s">
        <v>568</v>
      </c>
      <c r="B735" s="248">
        <v>5.8734178831093302E-3</v>
      </c>
      <c r="C735" s="248">
        <v>3.7092598684099198E-3</v>
      </c>
      <c r="D735" s="248">
        <v>1.4748734659409801E-2</v>
      </c>
      <c r="E735" s="248">
        <v>6.6180178765531698E-3</v>
      </c>
      <c r="F735" s="248"/>
      <c r="G735" s="248">
        <v>3.50973536994429E-3</v>
      </c>
      <c r="H735" s="735">
        <v>2.9565893281058098E-3</v>
      </c>
      <c r="I735" s="735">
        <v>3.41871293979859E-3</v>
      </c>
      <c r="J735" s="735">
        <v>2.9785470001724799E-3</v>
      </c>
      <c r="L735" s="84"/>
      <c r="M735" s="84"/>
      <c r="N735" s="84"/>
      <c r="O735" s="84"/>
      <c r="P735" s="84"/>
      <c r="Q735" s="84"/>
      <c r="R735" s="84"/>
      <c r="S735" s="84"/>
    </row>
    <row r="736" spans="1:19">
      <c r="A736" s="629" t="s">
        <v>567</v>
      </c>
      <c r="B736" s="248">
        <v>5.2103723338997399E-3</v>
      </c>
      <c r="C736" s="248">
        <v>2.9963186132640502E-3</v>
      </c>
      <c r="D736" s="248">
        <v>1.10180095338287E-2</v>
      </c>
      <c r="E736" s="248">
        <v>5.5256402307061999E-3</v>
      </c>
      <c r="F736" s="248"/>
      <c r="G736" s="248">
        <v>3.4624582421406698E-3</v>
      </c>
      <c r="H736" s="735">
        <v>2.56237567929876E-3</v>
      </c>
      <c r="I736" s="735">
        <v>3.0411352703801501E-3</v>
      </c>
      <c r="J736" s="735">
        <v>2.5792335309437202E-3</v>
      </c>
      <c r="L736" s="84"/>
      <c r="M736" s="84"/>
      <c r="N736" s="84"/>
      <c r="O736" s="84"/>
      <c r="P736" s="84"/>
      <c r="Q736" s="84"/>
      <c r="R736" s="84"/>
      <c r="S736" s="84"/>
    </row>
    <row r="737" spans="1:19">
      <c r="A737" s="629" t="s">
        <v>566</v>
      </c>
      <c r="B737" s="248">
        <v>5.4426587277205899E-3</v>
      </c>
      <c r="C737" s="248">
        <v>2.73498221010783E-3</v>
      </c>
      <c r="D737" s="248">
        <v>7.34562396488738E-3</v>
      </c>
      <c r="E737" s="248">
        <v>6.2620074315875001E-3</v>
      </c>
      <c r="F737" s="248"/>
      <c r="G737" s="248">
        <v>3.2761073734445898E-3</v>
      </c>
      <c r="H737" s="735">
        <v>2.4458177451376802E-3</v>
      </c>
      <c r="I737" s="735">
        <v>2.8570069798808601E-3</v>
      </c>
      <c r="J737" s="735">
        <v>2.45576582243218E-3</v>
      </c>
      <c r="L737" s="84"/>
      <c r="M737" s="84"/>
      <c r="N737" s="84"/>
      <c r="O737" s="84"/>
      <c r="P737" s="84"/>
      <c r="Q737" s="84"/>
      <c r="R737" s="84"/>
      <c r="S737" s="84"/>
    </row>
    <row r="738" spans="1:19">
      <c r="A738" s="629" t="s">
        <v>565</v>
      </c>
      <c r="B738" s="248">
        <v>4.9298885069097602E-3</v>
      </c>
      <c r="C738" s="248">
        <v>1.20478372500776E-2</v>
      </c>
      <c r="D738" s="248">
        <v>4.7384152583533901E-3</v>
      </c>
      <c r="E738" s="248">
        <v>7.3040141949618402E-3</v>
      </c>
      <c r="F738" s="248"/>
      <c r="G738" s="248">
        <v>3.01758426018163E-3</v>
      </c>
      <c r="H738" s="735">
        <v>4.0195437797379803E-3</v>
      </c>
      <c r="I738" s="735">
        <v>3.3509659360254902E-3</v>
      </c>
      <c r="J738" s="735">
        <v>4.0528383258802998E-3</v>
      </c>
      <c r="L738" s="84"/>
      <c r="M738" s="84"/>
      <c r="N738" s="84"/>
      <c r="O738" s="84"/>
      <c r="P738" s="84"/>
      <c r="Q738" s="84"/>
      <c r="R738" s="84"/>
      <c r="S738" s="84"/>
    </row>
    <row r="739" spans="1:19">
      <c r="A739" s="629" t="s">
        <v>564</v>
      </c>
      <c r="B739" s="248">
        <v>4.7193686464735403E-3</v>
      </c>
      <c r="C739" s="248">
        <v>6.3563754114472704E-3</v>
      </c>
      <c r="D739" s="248">
        <v>3.6651436931817698E-3</v>
      </c>
      <c r="E739" s="248">
        <v>6.2223311525218296E-3</v>
      </c>
      <c r="F739" s="248"/>
      <c r="G739" s="248">
        <v>2.77370303368941E-3</v>
      </c>
      <c r="H739" s="735">
        <v>3.4904783081576001E-3</v>
      </c>
      <c r="I739" s="735">
        <v>3.1709816598392499E-3</v>
      </c>
      <c r="J739" s="735">
        <v>3.5222236993370801E-3</v>
      </c>
      <c r="L739" s="84"/>
      <c r="M739" s="84"/>
      <c r="N739" s="84"/>
      <c r="O739" s="84"/>
      <c r="P739" s="84"/>
      <c r="Q739" s="84"/>
      <c r="R739" s="84"/>
      <c r="S739" s="84"/>
    </row>
    <row r="740" spans="1:19">
      <c r="A740" s="629" t="s">
        <v>563</v>
      </c>
      <c r="B740" s="248">
        <v>4.5693252752828598E-3</v>
      </c>
      <c r="C740" s="248">
        <v>4.0352426842046197E-3</v>
      </c>
      <c r="D740" s="248">
        <v>2.80983996987088E-3</v>
      </c>
      <c r="E740" s="248">
        <v>5.6891922411008997E-3</v>
      </c>
      <c r="F740" s="248"/>
      <c r="G740" s="248">
        <v>2.6148264506569E-3</v>
      </c>
      <c r="H740" s="735">
        <v>2.9990719996804299E-3</v>
      </c>
      <c r="I740" s="735">
        <v>2.92241631542109E-3</v>
      </c>
      <c r="J740" s="735">
        <v>3.0286611953458599E-3</v>
      </c>
      <c r="L740" s="84"/>
      <c r="M740" s="84"/>
      <c r="N740" s="84"/>
      <c r="O740" s="84"/>
      <c r="P740" s="84"/>
      <c r="Q740" s="84"/>
      <c r="R740" s="84"/>
      <c r="S740" s="84"/>
    </row>
    <row r="741" spans="1:19">
      <c r="A741" s="629" t="s">
        <v>562</v>
      </c>
      <c r="B741" s="248">
        <v>4.1518341497506599E-3</v>
      </c>
      <c r="C741" s="248">
        <v>3.13404919721203E-3</v>
      </c>
      <c r="D741" s="248">
        <v>3.2707516114779001E-3</v>
      </c>
      <c r="E741" s="248">
        <v>5.1234080766996903E-3</v>
      </c>
      <c r="F741" s="248"/>
      <c r="G741" s="248">
        <v>3.73823896114468E-3</v>
      </c>
      <c r="H741" s="735">
        <v>2.6608220287416798E-3</v>
      </c>
      <c r="I741" s="735">
        <v>2.91068590119576E-3</v>
      </c>
      <c r="J741" s="735">
        <v>2.6868405782238302E-3</v>
      </c>
      <c r="L741" s="84"/>
      <c r="M741" s="84"/>
      <c r="N741" s="84"/>
      <c r="O741" s="84"/>
      <c r="P741" s="84"/>
      <c r="Q741" s="84"/>
      <c r="R741" s="84"/>
      <c r="S741" s="84"/>
    </row>
    <row r="742" spans="1:19">
      <c r="A742" s="629" t="s">
        <v>561</v>
      </c>
      <c r="B742" s="248">
        <v>4.1743542553210203E-3</v>
      </c>
      <c r="C742" s="248">
        <v>3.3451470967407102E-3</v>
      </c>
      <c r="D742" s="248">
        <v>3.3454629534696799E-3</v>
      </c>
      <c r="E742" s="248">
        <v>4.4578059731620202E-3</v>
      </c>
      <c r="F742" s="248"/>
      <c r="G742" s="248">
        <v>3.7045766941644401E-3</v>
      </c>
      <c r="H742" s="735">
        <v>2.30719430963422E-3</v>
      </c>
      <c r="I742" s="735">
        <v>2.6300428705877698E-3</v>
      </c>
      <c r="J742" s="735">
        <v>2.3285056533370102E-3</v>
      </c>
      <c r="L742" s="84"/>
      <c r="M742" s="84"/>
      <c r="N742" s="84"/>
      <c r="O742" s="84"/>
      <c r="P742" s="84"/>
      <c r="Q742" s="84"/>
      <c r="R742" s="84"/>
      <c r="S742" s="84"/>
    </row>
    <row r="743" spans="1:19">
      <c r="A743" s="629" t="s">
        <v>560</v>
      </c>
      <c r="B743" s="248">
        <v>3.7453385410617401E-3</v>
      </c>
      <c r="C743" s="248">
        <v>2.98156926067232E-3</v>
      </c>
      <c r="D743" s="248">
        <v>2.6124848810264701E-3</v>
      </c>
      <c r="E743" s="248">
        <v>4.1311759377791104E-3</v>
      </c>
      <c r="F743" s="248"/>
      <c r="G743" s="248">
        <v>3.4531233990957502E-3</v>
      </c>
      <c r="H743" s="735">
        <v>2.1768790367965901E-3</v>
      </c>
      <c r="I743" s="735">
        <v>2.453438892905E-3</v>
      </c>
      <c r="J743" s="735">
        <v>2.1979847157605802E-3</v>
      </c>
      <c r="L743" s="84"/>
      <c r="M743" s="84"/>
      <c r="N743" s="84"/>
      <c r="O743" s="84"/>
      <c r="P743" s="84"/>
      <c r="Q743" s="84"/>
      <c r="R743" s="84"/>
      <c r="S743" s="84"/>
    </row>
    <row r="744" spans="1:19">
      <c r="A744" s="629" t="s">
        <v>559</v>
      </c>
      <c r="B744" s="248">
        <v>3.85279383420583E-3</v>
      </c>
      <c r="C744" s="248">
        <v>3.5888132820926602E-3</v>
      </c>
      <c r="D744" s="248">
        <v>5.2916868594481596E-3</v>
      </c>
      <c r="E744" s="248">
        <v>3.56385970571236E-3</v>
      </c>
      <c r="F744" s="248"/>
      <c r="G744" s="248">
        <v>3.1649096224081199E-3</v>
      </c>
      <c r="H744" s="735">
        <v>2.0744434366144898E-3</v>
      </c>
      <c r="I744" s="735">
        <v>2.2155261886213301E-3</v>
      </c>
      <c r="J744" s="735">
        <v>2.09237199209737E-3</v>
      </c>
      <c r="L744" s="84"/>
      <c r="M744" s="84"/>
      <c r="N744" s="84"/>
      <c r="O744" s="84"/>
      <c r="P744" s="84"/>
      <c r="Q744" s="84"/>
      <c r="R744" s="84"/>
      <c r="S744" s="84"/>
    </row>
    <row r="745" spans="1:19">
      <c r="A745" s="629" t="s">
        <v>558</v>
      </c>
      <c r="B745" s="248">
        <v>3.9323145691384101E-3</v>
      </c>
      <c r="C745" s="248">
        <v>2.9628808446129102E-3</v>
      </c>
      <c r="D745" s="248">
        <v>4.3523113753764298E-3</v>
      </c>
      <c r="E745" s="248">
        <v>3.8795393795236898E-3</v>
      </c>
      <c r="F745" s="248"/>
      <c r="G745" s="248">
        <v>2.9096090122905601E-3</v>
      </c>
      <c r="H745" s="735">
        <v>1.90202082098756E-3</v>
      </c>
      <c r="I745" s="735">
        <v>2.1624929848664998E-3</v>
      </c>
      <c r="J745" s="735">
        <v>1.9155897516534299E-3</v>
      </c>
      <c r="L745" s="84"/>
      <c r="M745" s="84"/>
      <c r="N745" s="84"/>
      <c r="O745" s="84"/>
      <c r="P745" s="84"/>
      <c r="Q745" s="84"/>
      <c r="R745" s="84"/>
      <c r="S745" s="84"/>
    </row>
    <row r="746" spans="1:19">
      <c r="A746" s="629" t="s">
        <v>557</v>
      </c>
      <c r="B746" s="248">
        <v>3.7134640750112E-3</v>
      </c>
      <c r="C746" s="248">
        <v>3.0227515705074999E-3</v>
      </c>
      <c r="D746" s="248">
        <v>5.1643173901107604E-3</v>
      </c>
      <c r="E746" s="248">
        <v>4.0033491808564104E-3</v>
      </c>
      <c r="F746" s="248"/>
      <c r="G746" s="248">
        <v>2.8779806146398599E-3</v>
      </c>
      <c r="H746" s="735">
        <v>1.8440243590364799E-3</v>
      </c>
      <c r="I746" s="735">
        <v>1.9505505451918399E-3</v>
      </c>
      <c r="J746" s="735">
        <v>1.85847782088262E-3</v>
      </c>
      <c r="L746" s="84"/>
      <c r="M746" s="84"/>
      <c r="N746" s="84"/>
      <c r="O746" s="84"/>
      <c r="P746" s="84"/>
      <c r="Q746" s="84"/>
      <c r="R746" s="84"/>
      <c r="S746" s="84"/>
    </row>
    <row r="747" spans="1:19">
      <c r="A747" s="629" t="s">
        <v>556</v>
      </c>
      <c r="B747" s="248">
        <v>4.7076234563241297E-3</v>
      </c>
      <c r="C747" s="248">
        <v>1.0246261231729E-2</v>
      </c>
      <c r="D747" s="248">
        <v>1.01861624234763E-2</v>
      </c>
      <c r="E747" s="248">
        <v>4.0526885696633499E-3</v>
      </c>
      <c r="F747" s="248"/>
      <c r="G747" s="248">
        <v>4.2253247834925997E-3</v>
      </c>
      <c r="H747" s="735">
        <v>8.4617276044117798E-3</v>
      </c>
      <c r="I747" s="735">
        <v>2.4936355714767402E-3</v>
      </c>
      <c r="J747" s="735">
        <v>8.5828915247145397E-3</v>
      </c>
      <c r="L747" s="84"/>
      <c r="M747" s="84"/>
      <c r="N747" s="84"/>
      <c r="O747" s="84"/>
      <c r="P747" s="84"/>
      <c r="Q747" s="84"/>
      <c r="R747" s="84"/>
      <c r="S747" s="84"/>
    </row>
    <row r="748" spans="1:19">
      <c r="A748" s="629" t="s">
        <v>555</v>
      </c>
      <c r="B748" s="248">
        <v>4.2426673156100402E-3</v>
      </c>
      <c r="C748" s="248">
        <v>5.6110104732597903E-3</v>
      </c>
      <c r="D748" s="248">
        <v>8.595788591474E-3</v>
      </c>
      <c r="E748" s="248">
        <v>3.5420615148855899E-3</v>
      </c>
      <c r="F748" s="248"/>
      <c r="G748" s="248">
        <v>3.9616734409601102E-3</v>
      </c>
      <c r="H748" s="735">
        <v>8.8070063214351294E-3</v>
      </c>
      <c r="I748" s="735">
        <v>2.72931863756056E-3</v>
      </c>
      <c r="J748" s="735">
        <v>8.8967483051300492E-3</v>
      </c>
      <c r="L748" s="84"/>
      <c r="M748" s="84"/>
      <c r="N748" s="84"/>
      <c r="O748" s="84"/>
      <c r="P748" s="84"/>
      <c r="Q748" s="84"/>
      <c r="R748" s="84"/>
      <c r="S748" s="84"/>
    </row>
    <row r="749" spans="1:19">
      <c r="A749" s="629" t="s">
        <v>554</v>
      </c>
      <c r="B749" s="248">
        <v>4.1226703120378202E-3</v>
      </c>
      <c r="C749" s="248">
        <v>6.1393284696812699E-3</v>
      </c>
      <c r="D749" s="248">
        <v>5.4090302112623397E-3</v>
      </c>
      <c r="E749" s="248">
        <v>3.3043798059727001E-3</v>
      </c>
      <c r="F749" s="248"/>
      <c r="G749" s="248">
        <v>3.6219532478122701E-3</v>
      </c>
      <c r="H749" s="735">
        <v>7.5530585826213397E-3</v>
      </c>
      <c r="I749" s="735">
        <v>2.4335519338967299E-3</v>
      </c>
      <c r="J749" s="735">
        <v>7.6693202863690199E-3</v>
      </c>
      <c r="L749" s="84"/>
      <c r="M749" s="84"/>
      <c r="N749" s="84"/>
      <c r="O749" s="84"/>
      <c r="P749" s="84"/>
      <c r="Q749" s="84"/>
      <c r="R749" s="84"/>
      <c r="S749" s="84"/>
    </row>
    <row r="750" spans="1:19">
      <c r="A750" s="629" t="s">
        <v>553</v>
      </c>
      <c r="B750" s="248">
        <v>5.0784854537380903E-3</v>
      </c>
      <c r="C750" s="248">
        <v>4.8098780081962398E-3</v>
      </c>
      <c r="D750" s="248">
        <v>1.90296488626879E-2</v>
      </c>
      <c r="E750" s="248">
        <v>2.9101060644762399E-3</v>
      </c>
      <c r="F750" s="248"/>
      <c r="G750" s="248">
        <v>3.3373988884884101E-3</v>
      </c>
      <c r="H750" s="735">
        <v>6.3441892941793901E-3</v>
      </c>
      <c r="I750" s="735">
        <v>3.30736020759478E-3</v>
      </c>
      <c r="J750" s="735">
        <v>6.4581877533866601E-3</v>
      </c>
      <c r="L750" s="84"/>
      <c r="M750" s="84"/>
      <c r="N750" s="84"/>
      <c r="O750" s="84"/>
      <c r="P750" s="84"/>
      <c r="Q750" s="84"/>
      <c r="R750" s="84"/>
      <c r="S750" s="84"/>
    </row>
    <row r="751" spans="1:19">
      <c r="A751" s="629" t="s">
        <v>552</v>
      </c>
      <c r="B751" s="248">
        <v>5.7036970750917702E-3</v>
      </c>
      <c r="C751" s="248">
        <v>4.60074868035694E-3</v>
      </c>
      <c r="D751" s="248">
        <v>1.0739581255997201E-2</v>
      </c>
      <c r="E751" s="248">
        <v>2.5944815278546801E-3</v>
      </c>
      <c r="F751" s="248"/>
      <c r="G751" s="248">
        <v>3.2383792403088999E-3</v>
      </c>
      <c r="H751" s="735">
        <v>5.3856039748599897E-3</v>
      </c>
      <c r="I751" s="735">
        <v>3.0399595801584001E-3</v>
      </c>
      <c r="J751" s="735">
        <v>5.4964954514510498E-3</v>
      </c>
      <c r="L751" s="84"/>
      <c r="M751" s="84"/>
      <c r="N751" s="84"/>
      <c r="O751" s="84"/>
      <c r="P751" s="84"/>
      <c r="Q751" s="84"/>
      <c r="R751" s="84"/>
      <c r="S751" s="84"/>
    </row>
    <row r="752" spans="1:19">
      <c r="A752" s="629" t="s">
        <v>551</v>
      </c>
      <c r="B752" s="248">
        <v>5.0523851247665204E-3</v>
      </c>
      <c r="C752" s="248">
        <v>3.3403753455675698E-3</v>
      </c>
      <c r="D752" s="248">
        <v>6.4637601520327404E-3</v>
      </c>
      <c r="E752" s="248">
        <v>2.4375785272738801E-3</v>
      </c>
      <c r="F752" s="248"/>
      <c r="G752" s="248">
        <v>2.9781957001292401E-3</v>
      </c>
      <c r="H752" s="735">
        <v>4.9227040211580701E-3</v>
      </c>
      <c r="I752" s="735">
        <v>3.1682499981836002E-3</v>
      </c>
      <c r="J752" s="735">
        <v>5.0145529911478299E-3</v>
      </c>
      <c r="L752" s="84"/>
      <c r="M752" s="84"/>
      <c r="N752" s="84"/>
      <c r="O752" s="84"/>
      <c r="P752" s="84"/>
      <c r="Q752" s="84"/>
      <c r="R752" s="84"/>
      <c r="S752" s="84"/>
    </row>
    <row r="753" spans="1:19">
      <c r="A753" s="629" t="s">
        <v>550</v>
      </c>
      <c r="B753" s="248">
        <v>4.52501655257973E-3</v>
      </c>
      <c r="C753" s="248">
        <v>2.93709314666037E-3</v>
      </c>
      <c r="D753" s="248">
        <v>4.6072238477423101E-3</v>
      </c>
      <c r="E753" s="248">
        <v>2.2315235418745799E-3</v>
      </c>
      <c r="F753" s="248"/>
      <c r="G753" s="248">
        <v>2.74713041612822E-3</v>
      </c>
      <c r="H753" s="735">
        <v>4.1797239056891302E-3</v>
      </c>
      <c r="I753" s="735">
        <v>2.8302806820896401E-3</v>
      </c>
      <c r="J753" s="735">
        <v>4.2607854468874702E-3</v>
      </c>
      <c r="L753" s="84"/>
      <c r="M753" s="84"/>
      <c r="N753" s="84"/>
      <c r="O753" s="84"/>
      <c r="P753" s="84"/>
      <c r="Q753" s="84"/>
      <c r="R753" s="84"/>
      <c r="S753" s="84"/>
    </row>
    <row r="754" spans="1:19">
      <c r="A754" s="629" t="s">
        <v>549</v>
      </c>
      <c r="B754" s="248">
        <v>4.2177961673589403E-3</v>
      </c>
      <c r="C754" s="248">
        <v>3.1547419723479699E-3</v>
      </c>
      <c r="D754" s="248">
        <v>5.0744277087060603E-3</v>
      </c>
      <c r="E754" s="248">
        <v>2.0575420849449199E-3</v>
      </c>
      <c r="F754" s="248"/>
      <c r="G754" s="248">
        <v>2.7167266030874199E-3</v>
      </c>
      <c r="H754" s="735">
        <v>3.5740408145985502E-3</v>
      </c>
      <c r="I754" s="735">
        <v>2.6359787145292901E-3</v>
      </c>
      <c r="J754" s="735">
        <v>3.64270378345288E-3</v>
      </c>
      <c r="L754" s="84"/>
      <c r="M754" s="84"/>
      <c r="N754" s="84"/>
      <c r="O754" s="84"/>
      <c r="P754" s="84"/>
      <c r="Q754" s="84"/>
      <c r="R754" s="84"/>
      <c r="S754" s="84"/>
    </row>
    <row r="755" spans="1:19">
      <c r="A755" s="629" t="s">
        <v>548</v>
      </c>
      <c r="B755" s="248">
        <v>3.77809715147751E-3</v>
      </c>
      <c r="C755" s="248">
        <v>2.7743657655479401E-3</v>
      </c>
      <c r="D755" s="248">
        <v>3.5083997165233399E-3</v>
      </c>
      <c r="E755" s="248">
        <v>2.1773149947786502E-3</v>
      </c>
      <c r="F755" s="248"/>
      <c r="G755" s="248">
        <v>2.6537631109344001E-3</v>
      </c>
      <c r="H755" s="735">
        <v>3.1560954007981098E-3</v>
      </c>
      <c r="I755" s="735">
        <v>2.3882882729971701E-3</v>
      </c>
      <c r="J755" s="735">
        <v>3.2184206235553298E-3</v>
      </c>
      <c r="L755" s="84"/>
      <c r="M755" s="84"/>
      <c r="N755" s="84"/>
      <c r="O755" s="84"/>
      <c r="P755" s="84"/>
      <c r="Q755" s="84"/>
      <c r="R755" s="84"/>
      <c r="S755" s="84"/>
    </row>
    <row r="756" spans="1:19">
      <c r="A756" s="629" t="s">
        <v>547</v>
      </c>
      <c r="B756" s="248">
        <v>3.6445408326308301E-3</v>
      </c>
      <c r="C756" s="248">
        <v>3.2358482002763701E-3</v>
      </c>
      <c r="D756" s="248">
        <v>2.71771241804973E-3</v>
      </c>
      <c r="E756" s="248">
        <v>2.0162671665031602E-3</v>
      </c>
      <c r="F756" s="248"/>
      <c r="G756" s="248">
        <v>2.4942653602136899E-3</v>
      </c>
      <c r="H756" s="735">
        <v>2.7678730645336901E-3</v>
      </c>
      <c r="I756" s="735">
        <v>2.1488515417421002E-3</v>
      </c>
      <c r="J756" s="735">
        <v>2.82301766230588E-3</v>
      </c>
      <c r="L756" s="84"/>
      <c r="M756" s="84"/>
      <c r="N756" s="84"/>
      <c r="O756" s="84"/>
      <c r="P756" s="84"/>
      <c r="Q756" s="84"/>
      <c r="R756" s="84"/>
      <c r="S756" s="84"/>
    </row>
    <row r="757" spans="1:19">
      <c r="A757" s="629" t="s">
        <v>546</v>
      </c>
      <c r="B757" s="248">
        <v>3.8978181662179499E-3</v>
      </c>
      <c r="C757" s="248">
        <v>2.85443087391074E-3</v>
      </c>
      <c r="D757" s="248">
        <v>2.28725788611944E-3</v>
      </c>
      <c r="E757" s="248">
        <v>1.90354876953504E-3</v>
      </c>
      <c r="F757" s="248"/>
      <c r="G757" s="248">
        <v>2.4301302465919499E-3</v>
      </c>
      <c r="H757" s="735">
        <v>2.7173040752920198E-3</v>
      </c>
      <c r="I757" s="735">
        <v>2.00104840634167E-3</v>
      </c>
      <c r="J757" s="735">
        <v>2.7591755308612399E-3</v>
      </c>
      <c r="L757" s="84"/>
      <c r="M757" s="84"/>
      <c r="N757" s="84"/>
      <c r="O757" s="84"/>
      <c r="P757" s="84"/>
      <c r="Q757" s="84"/>
      <c r="R757" s="84"/>
      <c r="S757" s="84"/>
    </row>
    <row r="758" spans="1:19">
      <c r="A758" s="629" t="s">
        <v>545</v>
      </c>
      <c r="B758" s="248">
        <v>3.75071982255664E-3</v>
      </c>
      <c r="C758" s="248">
        <v>4.6178529035472496E-3</v>
      </c>
      <c r="D758" s="248">
        <v>2.7705064344612702E-3</v>
      </c>
      <c r="E758" s="248">
        <v>1.83234981738731E-3</v>
      </c>
      <c r="F758" s="248"/>
      <c r="G758" s="248">
        <v>2.5207686477976199E-3</v>
      </c>
      <c r="H758" s="735">
        <v>2.4424251961522002E-3</v>
      </c>
      <c r="I758" s="735">
        <v>1.8907142615980799E-3</v>
      </c>
      <c r="J758" s="735">
        <v>2.4786094963664099E-3</v>
      </c>
      <c r="L758" s="84"/>
      <c r="M758" s="84"/>
      <c r="N758" s="84"/>
      <c r="O758" s="84"/>
      <c r="P758" s="84"/>
      <c r="Q758" s="84"/>
      <c r="R758" s="84"/>
      <c r="S758" s="84"/>
    </row>
    <row r="759" spans="1:19">
      <c r="A759" s="629" t="s">
        <v>544</v>
      </c>
      <c r="B759" s="248">
        <v>3.5198224670052198E-3</v>
      </c>
      <c r="C759" s="248">
        <v>3.8772245539854902E-3</v>
      </c>
      <c r="D759" s="248">
        <v>9.8498526239045297E-3</v>
      </c>
      <c r="E759" s="248">
        <v>1.7529043852808901E-3</v>
      </c>
      <c r="F759" s="248"/>
      <c r="G759" s="248">
        <v>2.3762528068236202E-3</v>
      </c>
      <c r="H759" s="735">
        <v>2.1446114978016799E-3</v>
      </c>
      <c r="I759" s="735">
        <v>1.7259608849050001E-3</v>
      </c>
      <c r="J759" s="735">
        <v>2.17447138692405E-3</v>
      </c>
      <c r="L759" s="84"/>
      <c r="M759" s="84"/>
      <c r="N759" s="84"/>
      <c r="O759" s="84"/>
      <c r="P759" s="84"/>
      <c r="Q759" s="84"/>
      <c r="R759" s="84"/>
      <c r="S759" s="84"/>
    </row>
    <row r="760" spans="1:19">
      <c r="A760" s="629" t="s">
        <v>543</v>
      </c>
      <c r="B760" s="248">
        <v>3.3574807184708799E-3</v>
      </c>
      <c r="C760" s="248">
        <v>3.0724245000286199E-3</v>
      </c>
      <c r="D760" s="248">
        <v>6.3630776385902197E-3</v>
      </c>
      <c r="E760" s="248">
        <v>1.73248916060493E-3</v>
      </c>
      <c r="F760" s="248"/>
      <c r="G760" s="248">
        <v>2.3670164233985198E-3</v>
      </c>
      <c r="H760" s="735">
        <v>1.9811257422548299E-3</v>
      </c>
      <c r="I760" s="735">
        <v>1.59595899515871E-3</v>
      </c>
      <c r="J760" s="735">
        <v>2.0072529737575101E-3</v>
      </c>
      <c r="L760" s="84"/>
      <c r="M760" s="84"/>
      <c r="N760" s="84"/>
      <c r="O760" s="84"/>
      <c r="P760" s="84"/>
      <c r="Q760" s="84"/>
      <c r="R760" s="84"/>
      <c r="S760" s="84"/>
    </row>
    <row r="761" spans="1:19">
      <c r="A761" s="629" t="s">
        <v>542</v>
      </c>
      <c r="B761" s="248">
        <v>3.0544401643212301E-3</v>
      </c>
      <c r="C761" s="248">
        <v>3.7690966018499301E-3</v>
      </c>
      <c r="D761" s="248">
        <v>4.2528330856397697E-3</v>
      </c>
      <c r="E761" s="248">
        <v>1.7229535269993801E-3</v>
      </c>
      <c r="F761" s="248"/>
      <c r="G761" s="248">
        <v>2.23232049901081E-3</v>
      </c>
      <c r="H761" s="735">
        <v>1.7487991212614799E-3</v>
      </c>
      <c r="I761" s="735">
        <v>1.44691842416419E-3</v>
      </c>
      <c r="J761" s="735">
        <v>1.7676844249492601E-3</v>
      </c>
      <c r="L761" s="84"/>
      <c r="M761" s="84"/>
      <c r="N761" s="84"/>
      <c r="O761" s="84"/>
      <c r="P761" s="84"/>
      <c r="Q761" s="84"/>
      <c r="R761" s="84"/>
      <c r="S761" s="84"/>
    </row>
    <row r="762" spans="1:19">
      <c r="A762" s="629" t="s">
        <v>541</v>
      </c>
      <c r="B762" s="248">
        <v>3.25645688790535E-3</v>
      </c>
      <c r="C762" s="248">
        <v>3.0933450540363899E-3</v>
      </c>
      <c r="D762" s="248">
        <v>3.1369595205523299E-3</v>
      </c>
      <c r="E762" s="248">
        <v>1.6821225611026501E-3</v>
      </c>
      <c r="F762" s="248"/>
      <c r="G762" s="248">
        <v>2.3931054239874402E-3</v>
      </c>
      <c r="H762" s="735">
        <v>2.00850904033192E-3</v>
      </c>
      <c r="I762" s="735">
        <v>1.5473347244067499E-3</v>
      </c>
      <c r="J762" s="735">
        <v>2.0338080740964202E-3</v>
      </c>
      <c r="L762" s="84"/>
      <c r="M762" s="84"/>
      <c r="N762" s="84"/>
      <c r="O762" s="84"/>
      <c r="P762" s="84"/>
      <c r="Q762" s="84"/>
      <c r="R762" s="84"/>
      <c r="S762" s="84"/>
    </row>
    <row r="763" spans="1:19">
      <c r="A763" s="629" t="s">
        <v>540</v>
      </c>
      <c r="B763" s="248">
        <v>2.9457045746034598E-3</v>
      </c>
      <c r="C763" s="248">
        <v>2.7577663292418998E-3</v>
      </c>
      <c r="D763" s="248">
        <v>2.53526686644738E-3</v>
      </c>
      <c r="E763" s="248">
        <v>2.4157170939967201E-3</v>
      </c>
      <c r="F763" s="248"/>
      <c r="G763" s="248">
        <v>2.21508672053277E-3</v>
      </c>
      <c r="H763" s="735">
        <v>1.9566393371302799E-3</v>
      </c>
      <c r="I763" s="735">
        <v>1.51410571943597E-3</v>
      </c>
      <c r="J763" s="735">
        <v>1.9832788140132498E-3</v>
      </c>
      <c r="L763" s="84"/>
      <c r="M763" s="84"/>
      <c r="N763" s="84"/>
      <c r="O763" s="84"/>
      <c r="P763" s="84"/>
      <c r="Q763" s="84"/>
      <c r="R763" s="84"/>
      <c r="S763" s="84"/>
    </row>
    <row r="764" spans="1:19">
      <c r="A764" s="629" t="s">
        <v>539</v>
      </c>
      <c r="B764" s="248">
        <v>2.6768644202708699E-3</v>
      </c>
      <c r="C764" s="248">
        <v>3.0240820011380402E-3</v>
      </c>
      <c r="D764" s="248">
        <v>2.9074820333174602E-3</v>
      </c>
      <c r="E764" s="248">
        <v>2.2185711374173201E-3</v>
      </c>
      <c r="F764" s="248"/>
      <c r="G764" s="248">
        <v>2.1549307517651898E-3</v>
      </c>
      <c r="H764" s="735">
        <v>1.73828655716483E-3</v>
      </c>
      <c r="I764" s="735">
        <v>1.4011291247743301E-3</v>
      </c>
      <c r="J764" s="735">
        <v>1.7582831822348401E-3</v>
      </c>
      <c r="L764" s="84"/>
      <c r="M764" s="84"/>
      <c r="N764" s="84"/>
      <c r="O764" s="84"/>
      <c r="P764" s="84"/>
      <c r="Q764" s="84"/>
      <c r="R764" s="84"/>
      <c r="S764" s="84"/>
    </row>
    <row r="765" spans="1:19">
      <c r="A765" s="629" t="s">
        <v>538</v>
      </c>
      <c r="B765" s="248">
        <v>2.4906730251842901E-3</v>
      </c>
      <c r="C765" s="248">
        <v>2.8128937701949299E-3</v>
      </c>
      <c r="D765" s="248">
        <v>9.5793022158999295E-3</v>
      </c>
      <c r="E765" s="248">
        <v>3.0989668263903202E-3</v>
      </c>
      <c r="F765" s="248"/>
      <c r="G765" s="248">
        <v>2.0440592779616901E-3</v>
      </c>
      <c r="H765" s="735">
        <v>1.74782895892589E-3</v>
      </c>
      <c r="I765" s="735">
        <v>1.57448637664621E-3</v>
      </c>
      <c r="J765" s="735">
        <v>1.7565754132059499E-3</v>
      </c>
      <c r="L765" s="84"/>
      <c r="M765" s="84"/>
      <c r="N765" s="84"/>
      <c r="O765" s="84"/>
      <c r="P765" s="84"/>
      <c r="Q765" s="84"/>
      <c r="R765" s="84"/>
      <c r="S765" s="84"/>
    </row>
    <row r="766" spans="1:19">
      <c r="A766" s="629" t="s">
        <v>537</v>
      </c>
      <c r="B766" s="248">
        <v>2.2988764239869602E-3</v>
      </c>
      <c r="C766" s="248">
        <v>5.1532151099572803E-3</v>
      </c>
      <c r="D766" s="248">
        <v>6.6665163609956196E-3</v>
      </c>
      <c r="E766" s="248">
        <v>4.2418271780830198E-3</v>
      </c>
      <c r="F766" s="248"/>
      <c r="G766" s="248">
        <v>1.92286596090725E-3</v>
      </c>
      <c r="H766" s="735">
        <v>1.6484458615592E-3</v>
      </c>
      <c r="I766" s="735">
        <v>1.6663867151303999E-3</v>
      </c>
      <c r="J766" s="735">
        <v>1.65726727171995E-3</v>
      </c>
      <c r="L766" s="84"/>
      <c r="M766" s="84"/>
      <c r="N766" s="84"/>
      <c r="O766" s="84"/>
      <c r="P766" s="84"/>
      <c r="Q766" s="84"/>
      <c r="R766" s="84"/>
      <c r="S766" s="84"/>
    </row>
    <row r="767" spans="1:19">
      <c r="A767" s="629" t="s">
        <v>536</v>
      </c>
      <c r="B767" s="248">
        <v>2.20377400918888E-3</v>
      </c>
      <c r="C767" s="248">
        <v>3.6351691180615802E-3</v>
      </c>
      <c r="D767" s="248">
        <v>4.9053011152209699E-3</v>
      </c>
      <c r="E767" s="248">
        <v>3.7839429043313401E-3</v>
      </c>
      <c r="F767" s="248"/>
      <c r="G767" s="248">
        <v>1.84019367040813E-3</v>
      </c>
      <c r="H767" s="735">
        <v>1.5125337491272599E-3</v>
      </c>
      <c r="I767" s="735">
        <v>1.5094195287240601E-3</v>
      </c>
      <c r="J767" s="735">
        <v>1.5171453397957099E-3</v>
      </c>
      <c r="L767" s="84"/>
      <c r="M767" s="84"/>
      <c r="N767" s="84"/>
      <c r="O767" s="84"/>
      <c r="P767" s="84"/>
      <c r="Q767" s="84"/>
      <c r="R767" s="84"/>
      <c r="S767" s="84"/>
    </row>
    <row r="768" spans="1:19">
      <c r="A768" s="629" t="s">
        <v>535</v>
      </c>
      <c r="B768" s="248">
        <v>2.34802375760239E-3</v>
      </c>
      <c r="C768" s="248">
        <v>2.96458454058606E-3</v>
      </c>
      <c r="D768" s="248">
        <v>6.0847158005741097E-3</v>
      </c>
      <c r="E768" s="248">
        <v>3.2839373184039501E-3</v>
      </c>
      <c r="F768" s="248"/>
      <c r="G768" s="248">
        <v>1.8444134216139801E-3</v>
      </c>
      <c r="H768" s="735">
        <v>2.1623906932368101E-3</v>
      </c>
      <c r="I768" s="735">
        <v>1.8991311465262201E-3</v>
      </c>
      <c r="J768" s="735">
        <v>2.1681458727214799E-3</v>
      </c>
      <c r="L768" s="84"/>
      <c r="M768" s="84"/>
      <c r="N768" s="84"/>
      <c r="O768" s="84"/>
      <c r="P768" s="84"/>
      <c r="Q768" s="84"/>
      <c r="R768" s="84"/>
      <c r="S768" s="84"/>
    </row>
    <row r="769" spans="1:19">
      <c r="A769" s="629" t="s">
        <v>534</v>
      </c>
      <c r="B769" s="248">
        <v>2.18055142333656E-3</v>
      </c>
      <c r="C769" s="248">
        <v>2.9115801639193902E-3</v>
      </c>
      <c r="D769" s="248">
        <v>4.14644472390251E-3</v>
      </c>
      <c r="E769" s="248">
        <v>3.38896069841061E-3</v>
      </c>
      <c r="F769" s="248"/>
      <c r="G769" s="248">
        <v>1.79479142477906E-3</v>
      </c>
      <c r="H769" s="735">
        <v>1.8998707728466299E-3</v>
      </c>
      <c r="I769" s="735">
        <v>1.7384077095497501E-3</v>
      </c>
      <c r="J769" s="735">
        <v>1.9021471288350499E-3</v>
      </c>
      <c r="L769" s="84"/>
      <c r="M769" s="84"/>
      <c r="N769" s="84"/>
      <c r="O769" s="84"/>
      <c r="P769" s="84"/>
      <c r="Q769" s="84"/>
      <c r="R769" s="84"/>
      <c r="S769" s="84"/>
    </row>
    <row r="770" spans="1:19">
      <c r="A770" s="629" t="s">
        <v>533</v>
      </c>
      <c r="B770" s="248">
        <v>2.05734655514403E-3</v>
      </c>
      <c r="C770" s="248">
        <v>2.7657420874749299E-3</v>
      </c>
      <c r="D770" s="248">
        <v>3.0612212853035601E-3</v>
      </c>
      <c r="E770" s="248">
        <v>3.10697033727094E-3</v>
      </c>
      <c r="F770" s="248"/>
      <c r="G770" s="248">
        <v>1.7847421929557601E-3</v>
      </c>
      <c r="H770" s="735">
        <v>1.7137158856001999E-3</v>
      </c>
      <c r="I770" s="735">
        <v>1.57330383811664E-3</v>
      </c>
      <c r="J770" s="735">
        <v>1.71502254045923E-3</v>
      </c>
      <c r="L770" s="84"/>
      <c r="M770" s="84"/>
      <c r="N770" s="84"/>
      <c r="O770" s="84"/>
      <c r="P770" s="84"/>
      <c r="Q770" s="84"/>
      <c r="R770" s="84"/>
      <c r="S770" s="84"/>
    </row>
    <row r="771" spans="1:19">
      <c r="A771" s="629" t="s">
        <v>532</v>
      </c>
      <c r="B771" s="248">
        <v>2.0335555622940501E-3</v>
      </c>
      <c r="C771" s="248">
        <v>2.6290524033663202E-3</v>
      </c>
      <c r="D771" s="248">
        <v>2.9782577825001899E-3</v>
      </c>
      <c r="E771" s="248">
        <v>2.8226743423985599E-3</v>
      </c>
      <c r="F771" s="248"/>
      <c r="G771" s="248">
        <v>1.83031235668297E-3</v>
      </c>
      <c r="H771" s="735">
        <v>1.69322350547851E-3</v>
      </c>
      <c r="I771" s="735">
        <v>1.4286534402729099E-3</v>
      </c>
      <c r="J771" s="735">
        <v>1.6906899030491699E-3</v>
      </c>
      <c r="L771" s="84"/>
      <c r="M771" s="84"/>
      <c r="N771" s="84"/>
      <c r="O771" s="84"/>
      <c r="P771" s="84"/>
      <c r="Q771" s="84"/>
      <c r="R771" s="84"/>
      <c r="S771" s="84"/>
    </row>
    <row r="772" spans="1:19">
      <c r="A772" s="629" t="s">
        <v>531</v>
      </c>
      <c r="B772" s="248">
        <v>1.9835416535950402E-3</v>
      </c>
      <c r="C772" s="248">
        <v>3.1476511180379301E-3</v>
      </c>
      <c r="D772" s="248">
        <v>2.6550038696336298E-3</v>
      </c>
      <c r="E772" s="248">
        <v>2.5329169429744499E-3</v>
      </c>
      <c r="F772" s="248"/>
      <c r="G772" s="248">
        <v>1.9628044658227101E-3</v>
      </c>
      <c r="H772" s="735">
        <v>1.5206356921592401E-3</v>
      </c>
      <c r="I772" s="735">
        <v>1.35826213677254E-3</v>
      </c>
      <c r="J772" s="735">
        <v>1.5138619755173E-3</v>
      </c>
      <c r="L772" s="84"/>
      <c r="M772" s="84"/>
      <c r="N772" s="84"/>
      <c r="O772" s="84"/>
      <c r="P772" s="84"/>
      <c r="Q772" s="84"/>
      <c r="R772" s="84"/>
      <c r="S772" s="84"/>
    </row>
    <row r="773" spans="1:19">
      <c r="A773" s="629" t="s">
        <v>530</v>
      </c>
      <c r="B773" s="248">
        <v>2.2739837136516198E-3</v>
      </c>
      <c r="C773" s="248">
        <v>2.7894578613382598E-3</v>
      </c>
      <c r="D773" s="248">
        <v>2.7667096948483902E-3</v>
      </c>
      <c r="E773" s="248">
        <v>2.5336364703621998E-3</v>
      </c>
      <c r="F773" s="248"/>
      <c r="G773" s="248">
        <v>1.94925333261389E-3</v>
      </c>
      <c r="H773" s="735">
        <v>1.3882753764500599E-3</v>
      </c>
      <c r="I773" s="735">
        <v>1.66676959488348E-3</v>
      </c>
      <c r="J773" s="735">
        <v>1.3770846007237899E-3</v>
      </c>
      <c r="L773" s="84"/>
      <c r="M773" s="84"/>
      <c r="N773" s="84"/>
      <c r="O773" s="84"/>
      <c r="P773" s="84"/>
      <c r="Q773" s="84"/>
      <c r="R773" s="84"/>
      <c r="S773" s="84"/>
    </row>
    <row r="774" spans="1:19">
      <c r="A774" s="629" t="s">
        <v>529</v>
      </c>
      <c r="B774" s="248">
        <v>2.1700999971239099E-3</v>
      </c>
      <c r="C774" s="248">
        <v>5.7895492633101902E-3</v>
      </c>
      <c r="D774" s="248">
        <v>4.5040604931195103E-3</v>
      </c>
      <c r="E774" s="248">
        <v>2.2977807056868199E-3</v>
      </c>
      <c r="F774" s="248"/>
      <c r="G774" s="248">
        <v>2.1219185717057001E-3</v>
      </c>
      <c r="H774" s="735">
        <v>2.0663250410568202E-3</v>
      </c>
      <c r="I774" s="735">
        <v>2.4048278700414499E-3</v>
      </c>
      <c r="J774" s="735">
        <v>2.05910749534243E-3</v>
      </c>
      <c r="L774" s="84"/>
      <c r="M774" s="84"/>
      <c r="N774" s="84"/>
      <c r="O774" s="84"/>
      <c r="P774" s="84"/>
      <c r="Q774" s="84"/>
      <c r="R774" s="84"/>
      <c r="S774" s="84"/>
    </row>
    <row r="775" spans="1:19">
      <c r="A775" s="629" t="s">
        <v>528</v>
      </c>
      <c r="B775" s="248">
        <v>2.0093176459143802E-3</v>
      </c>
      <c r="C775" s="248">
        <v>3.8073094942223302E-3</v>
      </c>
      <c r="D775" s="248">
        <v>3.25251600673781E-3</v>
      </c>
      <c r="E775" s="248">
        <v>2.1126773184141899E-3</v>
      </c>
      <c r="F775" s="248"/>
      <c r="G775" s="248">
        <v>2.0898213920353599E-3</v>
      </c>
      <c r="H775" s="735">
        <v>1.8161309935822601E-3</v>
      </c>
      <c r="I775" s="735">
        <v>2.2053325178776101E-3</v>
      </c>
      <c r="J775" s="735">
        <v>1.8077215493836299E-3</v>
      </c>
      <c r="L775" s="84"/>
      <c r="M775" s="84"/>
      <c r="N775" s="84"/>
      <c r="O775" s="84"/>
      <c r="P775" s="84"/>
      <c r="Q775" s="84"/>
      <c r="R775" s="84"/>
      <c r="S775" s="84"/>
    </row>
    <row r="776" spans="1:19">
      <c r="A776" s="629" t="s">
        <v>527</v>
      </c>
      <c r="B776" s="248">
        <v>1.89996627526892E-3</v>
      </c>
      <c r="C776" s="248">
        <v>3.2197153881041501E-3</v>
      </c>
      <c r="D776" s="248">
        <v>2.7546170939349102E-3</v>
      </c>
      <c r="E776" s="248">
        <v>2.0759717811573699E-3</v>
      </c>
      <c r="F776" s="248"/>
      <c r="G776" s="248">
        <v>2.44807015204327E-3</v>
      </c>
      <c r="H776" s="735">
        <v>1.63480523635578E-3</v>
      </c>
      <c r="I776" s="735">
        <v>1.9815313450567899E-3</v>
      </c>
      <c r="J776" s="735">
        <v>1.62454118910111E-3</v>
      </c>
      <c r="L776" s="84"/>
      <c r="M776" s="84"/>
      <c r="N776" s="84"/>
      <c r="O776" s="84"/>
      <c r="P776" s="84"/>
      <c r="Q776" s="84"/>
      <c r="R776" s="84"/>
      <c r="S776" s="84"/>
    </row>
    <row r="777" spans="1:19">
      <c r="A777" s="629" t="s">
        <v>526</v>
      </c>
      <c r="B777" s="248">
        <v>2.3442812026957301E-3</v>
      </c>
      <c r="C777" s="248">
        <v>3.1715081639997799E-3</v>
      </c>
      <c r="D777" s="248">
        <v>3.7589006627588898E-3</v>
      </c>
      <c r="E777" s="248">
        <v>1.9451603397784901E-3</v>
      </c>
      <c r="F777" s="248"/>
      <c r="G777" s="248">
        <v>2.5075324667871001E-3</v>
      </c>
      <c r="H777" s="735">
        <v>1.64226900847082E-3</v>
      </c>
      <c r="I777" s="735">
        <v>2.04734949263277E-3</v>
      </c>
      <c r="J777" s="735">
        <v>1.6311094679539199E-3</v>
      </c>
      <c r="L777" s="84"/>
      <c r="M777" s="84"/>
      <c r="N777" s="84"/>
      <c r="O777" s="84"/>
      <c r="P777" s="84"/>
      <c r="Q777" s="84"/>
      <c r="R777" s="84"/>
      <c r="S777" s="84"/>
    </row>
    <row r="778" spans="1:19">
      <c r="A778" s="629" t="s">
        <v>525</v>
      </c>
      <c r="B778" s="248">
        <v>2.19679338545698E-3</v>
      </c>
      <c r="C778" s="248">
        <v>3.1500343374537901E-3</v>
      </c>
      <c r="D778" s="248">
        <v>2.8299096400850399E-3</v>
      </c>
      <c r="E778" s="248">
        <v>1.8351844363034601E-3</v>
      </c>
      <c r="F778" s="248"/>
      <c r="G778" s="248">
        <v>2.4201835175245898E-3</v>
      </c>
      <c r="H778" s="735">
        <v>2.4096958415751098E-3</v>
      </c>
      <c r="I778" s="735">
        <v>2.1847084047806999E-3</v>
      </c>
      <c r="J778" s="735">
        <v>2.41171129990623E-3</v>
      </c>
      <c r="L778" s="84"/>
      <c r="M778" s="84"/>
      <c r="N778" s="84"/>
      <c r="O778" s="84"/>
      <c r="P778" s="84"/>
      <c r="Q778" s="84"/>
      <c r="R778" s="84"/>
      <c r="S778" s="84"/>
    </row>
    <row r="779" spans="1:19">
      <c r="A779" s="629" t="s">
        <v>524</v>
      </c>
      <c r="B779" s="248">
        <v>2.2044450426463701E-3</v>
      </c>
      <c r="C779" s="248">
        <v>2.8607592295241701E-3</v>
      </c>
      <c r="D779" s="248">
        <v>2.98031588749215E-3</v>
      </c>
      <c r="E779" s="248">
        <v>2.4907932299292898E-3</v>
      </c>
      <c r="F779" s="248"/>
      <c r="G779" s="248">
        <v>2.3231905551311599E-3</v>
      </c>
      <c r="H779" s="735">
        <v>2.1568453673757801E-3</v>
      </c>
      <c r="I779" s="735">
        <v>2.0723391505403301E-3</v>
      </c>
      <c r="J779" s="735">
        <v>2.1588643052833298E-3</v>
      </c>
      <c r="L779" s="84"/>
      <c r="M779" s="84"/>
      <c r="N779" s="84"/>
      <c r="O779" s="84"/>
      <c r="P779" s="84"/>
      <c r="Q779" s="84"/>
      <c r="R779" s="84"/>
      <c r="S779" s="84"/>
    </row>
    <row r="780" spans="1:19">
      <c r="A780" s="629" t="s">
        <v>523</v>
      </c>
      <c r="B780" s="248">
        <v>2.10389371214758E-3</v>
      </c>
      <c r="C780" s="248">
        <v>3.0149946003430001E-3</v>
      </c>
      <c r="D780" s="248">
        <v>2.80126659284493E-3</v>
      </c>
      <c r="E780" s="248">
        <v>3.3697734614378401E-3</v>
      </c>
      <c r="F780" s="248"/>
      <c r="G780" s="248">
        <v>2.1961350599880099E-3</v>
      </c>
      <c r="H780" s="735">
        <v>1.92917021431122E-3</v>
      </c>
      <c r="I780" s="735">
        <v>1.8826441404647799E-3</v>
      </c>
      <c r="J780" s="735">
        <v>1.92758117141844E-3</v>
      </c>
      <c r="L780" s="84"/>
      <c r="M780" s="84"/>
      <c r="N780" s="84"/>
      <c r="O780" s="84"/>
      <c r="P780" s="84"/>
      <c r="Q780" s="84"/>
      <c r="R780" s="84"/>
      <c r="S780" s="84"/>
    </row>
    <row r="781" spans="1:19">
      <c r="A781" s="629" t="s">
        <v>522</v>
      </c>
      <c r="B781" s="248">
        <v>2.19341282056592E-3</v>
      </c>
      <c r="C781" s="248">
        <v>3.5595636300605302E-3</v>
      </c>
      <c r="D781" s="248">
        <v>6.17161989940426E-3</v>
      </c>
      <c r="E781" s="248">
        <v>3.1875044129778402E-3</v>
      </c>
      <c r="F781" s="248"/>
      <c r="G781" s="248">
        <v>2.0603542076071601E-3</v>
      </c>
      <c r="H781" s="735">
        <v>3.0962728544029401E-3</v>
      </c>
      <c r="I781" s="735">
        <v>2.5719016615943298E-3</v>
      </c>
      <c r="J781" s="735">
        <v>3.1149856612289598E-3</v>
      </c>
      <c r="L781" s="84"/>
      <c r="M781" s="84"/>
      <c r="N781" s="84"/>
      <c r="O781" s="84"/>
      <c r="P781" s="84"/>
      <c r="Q781" s="84"/>
      <c r="R781" s="84"/>
      <c r="S781" s="84"/>
    </row>
    <row r="782" spans="1:19">
      <c r="A782" s="629" t="s">
        <v>521</v>
      </c>
      <c r="B782" s="248">
        <v>2.5978534707448301E-3</v>
      </c>
      <c r="C782" s="248">
        <v>3.6692702442880001E-3</v>
      </c>
      <c r="D782" s="248">
        <v>4.1261525728951403E-3</v>
      </c>
      <c r="E782" s="248">
        <v>2.8947807872088398E-3</v>
      </c>
      <c r="F782" s="248"/>
      <c r="G782" s="248">
        <v>1.91739268352785E-3</v>
      </c>
      <c r="H782" s="735">
        <v>3.2238198181711399E-3</v>
      </c>
      <c r="I782" s="735">
        <v>2.3846214463378599E-3</v>
      </c>
      <c r="J782" s="735">
        <v>3.2496315307705801E-3</v>
      </c>
      <c r="L782" s="84"/>
      <c r="M782" s="84"/>
      <c r="N782" s="84"/>
      <c r="O782" s="84"/>
      <c r="P782" s="84"/>
      <c r="Q782" s="84"/>
      <c r="R782" s="84"/>
      <c r="S782" s="84"/>
    </row>
    <row r="783" spans="1:19">
      <c r="A783" s="629" t="s">
        <v>520</v>
      </c>
      <c r="B783" s="248">
        <v>2.5118414501874098E-3</v>
      </c>
      <c r="C783" s="248">
        <v>3.16827379202704E-3</v>
      </c>
      <c r="D783" s="248">
        <v>4.8422366145583397E-3</v>
      </c>
      <c r="E783" s="248">
        <v>2.6993438334945701E-3</v>
      </c>
      <c r="F783" s="248"/>
      <c r="G783" s="248">
        <v>1.9894316468989101E-3</v>
      </c>
      <c r="H783" s="735">
        <v>2.8285480769225302E-3</v>
      </c>
      <c r="I783" s="735">
        <v>2.4378208499090202E-3</v>
      </c>
      <c r="J783" s="735">
        <v>2.8454506340111299E-3</v>
      </c>
      <c r="L783" s="84"/>
      <c r="M783" s="84"/>
      <c r="N783" s="84"/>
      <c r="O783" s="84"/>
      <c r="P783" s="84"/>
      <c r="Q783" s="84"/>
      <c r="R783" s="84"/>
      <c r="S783" s="84"/>
    </row>
    <row r="784" spans="1:19">
      <c r="A784" s="629" t="s">
        <v>519</v>
      </c>
      <c r="B784" s="248">
        <v>2.3465929623322202E-3</v>
      </c>
      <c r="C784" s="248">
        <v>2.8766117427346601E-3</v>
      </c>
      <c r="D784" s="248">
        <v>4.9439900828434202E-3</v>
      </c>
      <c r="E784" s="248">
        <v>2.7979680828225701E-3</v>
      </c>
      <c r="F784" s="248"/>
      <c r="G784" s="248">
        <v>2.0914287983550598E-3</v>
      </c>
      <c r="H784" s="735">
        <v>2.75096602427419E-3</v>
      </c>
      <c r="I784" s="735">
        <v>2.1845334061997598E-3</v>
      </c>
      <c r="J784" s="735">
        <v>2.7708427388502301E-3</v>
      </c>
      <c r="L784" s="84"/>
      <c r="M784" s="84"/>
      <c r="N784" s="84"/>
      <c r="O784" s="84"/>
      <c r="P784" s="84"/>
      <c r="Q784" s="84"/>
      <c r="R784" s="84"/>
      <c r="S784" s="84"/>
    </row>
    <row r="785" spans="1:19">
      <c r="A785" s="629" t="s">
        <v>518</v>
      </c>
      <c r="B785" s="248">
        <v>2.20177991982658E-3</v>
      </c>
      <c r="C785" s="248">
        <v>2.6728344047194999E-3</v>
      </c>
      <c r="D785" s="248">
        <v>3.48434789424213E-3</v>
      </c>
      <c r="E785" s="248">
        <v>2.61747339909195E-3</v>
      </c>
      <c r="F785" s="248"/>
      <c r="G785" s="248">
        <v>1.9425061175327E-3</v>
      </c>
      <c r="H785" s="735">
        <v>2.3967291677354902E-3</v>
      </c>
      <c r="I785" s="735">
        <v>1.9587696930897201E-3</v>
      </c>
      <c r="J785" s="735">
        <v>2.4142183035167101E-3</v>
      </c>
      <c r="L785" s="84"/>
      <c r="M785" s="84"/>
      <c r="N785" s="84"/>
      <c r="O785" s="84"/>
      <c r="P785" s="84"/>
      <c r="Q785" s="84"/>
      <c r="R785" s="84"/>
      <c r="S785" s="84"/>
    </row>
    <row r="786" spans="1:19">
      <c r="A786" s="629" t="s">
        <v>517</v>
      </c>
      <c r="B786" s="248">
        <v>2.46696197696738E-3</v>
      </c>
      <c r="C786" s="248">
        <v>2.9320740027238999E-3</v>
      </c>
      <c r="D786" s="248">
        <v>2.68490193220663E-3</v>
      </c>
      <c r="E786" s="248">
        <v>2.3739083470441001E-3</v>
      </c>
      <c r="F786" s="248"/>
      <c r="G786" s="248">
        <v>1.86412134160919E-3</v>
      </c>
      <c r="H786" s="735">
        <v>2.2031078140276202E-3</v>
      </c>
      <c r="I786" s="735">
        <v>1.9433871748041E-3</v>
      </c>
      <c r="J786" s="735">
        <v>2.2192118570819701E-3</v>
      </c>
      <c r="L786" s="84"/>
      <c r="M786" s="84"/>
      <c r="N786" s="84"/>
      <c r="O786" s="84"/>
      <c r="P786" s="84"/>
      <c r="Q786" s="84"/>
      <c r="R786" s="84"/>
      <c r="S786" s="84"/>
    </row>
    <row r="787" spans="1:19">
      <c r="A787" s="629" t="s">
        <v>516</v>
      </c>
      <c r="B787" s="248">
        <v>3.34204300476837E-3</v>
      </c>
      <c r="C787" s="248">
        <v>2.7929498133521099E-3</v>
      </c>
      <c r="D787" s="248">
        <v>2.9536572915760798E-3</v>
      </c>
      <c r="E787" s="248">
        <v>2.3085440463412698E-3</v>
      </c>
      <c r="F787" s="248"/>
      <c r="G787" s="248">
        <v>1.79363175269013E-3</v>
      </c>
      <c r="H787" s="735">
        <v>2.3742414980214999E-3</v>
      </c>
      <c r="I787" s="735">
        <v>1.8098628475600399E-3</v>
      </c>
      <c r="J787" s="735">
        <v>2.3855191585726598E-3</v>
      </c>
      <c r="L787" s="84"/>
      <c r="M787" s="84"/>
      <c r="N787" s="84"/>
      <c r="O787" s="84"/>
      <c r="P787" s="84"/>
      <c r="Q787" s="84"/>
      <c r="R787" s="84"/>
      <c r="S787" s="84"/>
    </row>
    <row r="788" spans="1:19">
      <c r="A788" s="629" t="s">
        <v>515</v>
      </c>
      <c r="B788" s="248">
        <v>3.1009644286628599E-3</v>
      </c>
      <c r="C788" s="248">
        <v>2.86613807933339E-3</v>
      </c>
      <c r="D788" s="248">
        <v>2.4115784182199302E-3</v>
      </c>
      <c r="E788" s="248">
        <v>2.1179234814803602E-3</v>
      </c>
      <c r="F788" s="248"/>
      <c r="G788" s="248">
        <v>1.89533065282456E-3</v>
      </c>
      <c r="H788" s="735">
        <v>2.0824953020798002E-3</v>
      </c>
      <c r="I788" s="735">
        <v>1.6401230930054699E-3</v>
      </c>
      <c r="J788" s="735">
        <v>2.08943277679887E-3</v>
      </c>
      <c r="L788" s="84"/>
      <c r="M788" s="84"/>
      <c r="N788" s="84"/>
      <c r="O788" s="84"/>
      <c r="P788" s="84"/>
      <c r="Q788" s="84"/>
      <c r="R788" s="84"/>
      <c r="S788" s="84"/>
    </row>
    <row r="789" spans="1:19">
      <c r="A789" s="629" t="s">
        <v>514</v>
      </c>
      <c r="B789" s="248">
        <v>2.9485023559837802E-3</v>
      </c>
      <c r="C789" s="248">
        <v>3.1961385169852201E-3</v>
      </c>
      <c r="D789" s="248">
        <v>3.1745996100761699E-3</v>
      </c>
      <c r="E789" s="248">
        <v>2.1350569190918801E-3</v>
      </c>
      <c r="F789" s="248"/>
      <c r="G789" s="248">
        <v>1.8693670163584301E-3</v>
      </c>
      <c r="H789" s="735">
        <v>1.84574262626678E-3</v>
      </c>
      <c r="I789" s="735">
        <v>1.55923383105925E-3</v>
      </c>
      <c r="J789" s="735">
        <v>1.8469348435268501E-3</v>
      </c>
      <c r="L789" s="84"/>
      <c r="M789" s="84"/>
      <c r="N789" s="84"/>
      <c r="O789" s="84"/>
      <c r="P789" s="84"/>
      <c r="Q789" s="84"/>
      <c r="R789" s="84"/>
      <c r="S789" s="84"/>
    </row>
    <row r="790" spans="1:19">
      <c r="A790" s="629" t="s">
        <v>513</v>
      </c>
      <c r="B790" s="248">
        <v>3.1104298670791499E-3</v>
      </c>
      <c r="C790" s="248">
        <v>2.87102906771432E-3</v>
      </c>
      <c r="D790" s="248">
        <v>2.5959547897860501E-3</v>
      </c>
      <c r="E790" s="248">
        <v>1.9826993341785499E-3</v>
      </c>
      <c r="F790" s="248"/>
      <c r="G790" s="248">
        <v>2.1313586435813599E-3</v>
      </c>
      <c r="H790" s="735">
        <v>1.75501048502568E-3</v>
      </c>
      <c r="I790" s="735">
        <v>1.47076097898922E-3</v>
      </c>
      <c r="J790" s="735">
        <v>1.75388211450709E-3</v>
      </c>
      <c r="L790" s="84"/>
      <c r="M790" s="84"/>
      <c r="N790" s="84"/>
      <c r="O790" s="84"/>
      <c r="P790" s="84"/>
      <c r="Q790" s="84"/>
      <c r="R790" s="84"/>
      <c r="S790" s="84"/>
    </row>
    <row r="791" spans="1:19">
      <c r="A791" s="629" t="s">
        <v>512</v>
      </c>
      <c r="B791" s="248">
        <v>2.861238177732E-3</v>
      </c>
      <c r="C791" s="248">
        <v>2.9725522457482701E-3</v>
      </c>
      <c r="D791" s="248">
        <v>3.05838226370644E-3</v>
      </c>
      <c r="E791" s="248">
        <v>2.8229679969753998E-3</v>
      </c>
      <c r="F791" s="248"/>
      <c r="G791" s="248">
        <v>1.9782906112729599E-3</v>
      </c>
      <c r="H791" s="735">
        <v>1.9899842284453102E-3</v>
      </c>
      <c r="I791" s="735">
        <v>1.3981633867988E-3</v>
      </c>
      <c r="J791" s="735">
        <v>2.00220086220281E-3</v>
      </c>
      <c r="L791" s="84"/>
      <c r="M791" s="84"/>
      <c r="N791" s="84"/>
      <c r="O791" s="84"/>
      <c r="P791" s="84"/>
      <c r="Q791" s="84"/>
      <c r="R791" s="84"/>
      <c r="S791" s="84"/>
    </row>
    <row r="792" spans="1:19">
      <c r="A792" s="629" t="s">
        <v>511</v>
      </c>
      <c r="B792" s="248">
        <v>2.6255376979353101E-3</v>
      </c>
      <c r="C792" s="248">
        <v>2.8639437486102201E-3</v>
      </c>
      <c r="D792" s="248">
        <v>3.9079235590650302E-3</v>
      </c>
      <c r="E792" s="248">
        <v>3.3220885753642501E-3</v>
      </c>
      <c r="F792" s="248"/>
      <c r="G792" s="248">
        <v>1.89792200347937E-3</v>
      </c>
      <c r="H792" s="735">
        <v>1.89635550420404E-3</v>
      </c>
      <c r="I792" s="735">
        <v>1.31801015106621E-3</v>
      </c>
      <c r="J792" s="735">
        <v>1.9113551602349299E-3</v>
      </c>
      <c r="L792" s="84"/>
      <c r="M792" s="84"/>
      <c r="N792" s="84"/>
      <c r="O792" s="84"/>
      <c r="P792" s="84"/>
      <c r="Q792" s="84"/>
      <c r="R792" s="84"/>
      <c r="S792" s="84"/>
    </row>
    <row r="793" spans="1:19">
      <c r="A793" s="629" t="s">
        <v>510</v>
      </c>
      <c r="B793" s="248">
        <v>3.45437549646011E-3</v>
      </c>
      <c r="C793" s="248">
        <v>2.70231912987328E-3</v>
      </c>
      <c r="D793" s="248">
        <v>3.4979917353669199E-3</v>
      </c>
      <c r="E793" s="248">
        <v>2.9429712256868802E-3</v>
      </c>
      <c r="F793" s="248"/>
      <c r="G793" s="248">
        <v>1.83698882509955E-3</v>
      </c>
      <c r="H793" s="735">
        <v>1.6919369996991E-3</v>
      </c>
      <c r="I793" s="735">
        <v>1.23008116890665E-3</v>
      </c>
      <c r="J793" s="735">
        <v>1.70158230450279E-3</v>
      </c>
      <c r="L793" s="84"/>
      <c r="M793" s="84"/>
      <c r="N793" s="84"/>
      <c r="O793" s="84"/>
      <c r="P793" s="84"/>
      <c r="Q793" s="84"/>
      <c r="R793" s="84"/>
      <c r="S793" s="84"/>
    </row>
    <row r="794" spans="1:19">
      <c r="A794" s="629" t="s">
        <v>509</v>
      </c>
      <c r="B794" s="248">
        <v>3.3585815497480802E-3</v>
      </c>
      <c r="C794" s="248">
        <v>3.22797899316918E-3</v>
      </c>
      <c r="D794" s="248">
        <v>3.9780576081726001E-3</v>
      </c>
      <c r="E794" s="248">
        <v>2.6440468255846802E-3</v>
      </c>
      <c r="F794" s="248"/>
      <c r="G794" s="248">
        <v>2.0736775911158298E-3</v>
      </c>
      <c r="H794" s="735">
        <v>1.6136702122925999E-3</v>
      </c>
      <c r="I794" s="735">
        <v>1.13803086382942E-3</v>
      </c>
      <c r="J794" s="735">
        <v>1.6188235441183601E-3</v>
      </c>
      <c r="L794" s="84"/>
      <c r="M794" s="84"/>
      <c r="N794" s="84"/>
      <c r="O794" s="84"/>
      <c r="P794" s="84"/>
      <c r="Q794" s="84"/>
      <c r="R794" s="84"/>
      <c r="S794" s="84"/>
    </row>
    <row r="795" spans="1:19">
      <c r="A795" s="629" t="s">
        <v>508</v>
      </c>
      <c r="B795" s="248">
        <v>3.3518208640041201E-3</v>
      </c>
      <c r="C795" s="248">
        <v>3.1276992999222301E-3</v>
      </c>
      <c r="D795" s="248">
        <v>3.7266262004696299E-3</v>
      </c>
      <c r="E795" s="248">
        <v>3.16657585276812E-3</v>
      </c>
      <c r="F795" s="248"/>
      <c r="G795" s="248">
        <v>1.9782268472155898E-3</v>
      </c>
      <c r="H795" s="735">
        <v>1.4447034444773799E-3</v>
      </c>
      <c r="I795" s="735">
        <v>1.05772164086573E-3</v>
      </c>
      <c r="J795" s="735">
        <v>1.4450264906869E-3</v>
      </c>
      <c r="L795" s="84"/>
      <c r="M795" s="84"/>
      <c r="N795" s="84"/>
      <c r="O795" s="84"/>
      <c r="P795" s="84"/>
      <c r="Q795" s="84"/>
      <c r="R795" s="84"/>
      <c r="S795" s="84"/>
    </row>
    <row r="796" spans="1:19">
      <c r="A796" s="629" t="s">
        <v>507</v>
      </c>
      <c r="B796" s="248">
        <v>3.1375935667814501E-3</v>
      </c>
      <c r="C796" s="248">
        <v>3.21782063254296E-3</v>
      </c>
      <c r="D796" s="248">
        <v>2.8159753469939302E-3</v>
      </c>
      <c r="E796" s="248">
        <v>3.26075732356598E-3</v>
      </c>
      <c r="F796" s="248"/>
      <c r="G796" s="248">
        <v>1.8525018051043E-3</v>
      </c>
      <c r="H796" s="735">
        <v>1.6425116529536401E-3</v>
      </c>
      <c r="I796" s="735">
        <v>1.01408983355497E-3</v>
      </c>
      <c r="J796" s="735">
        <v>1.6522954582294501E-3</v>
      </c>
      <c r="L796" s="84"/>
      <c r="M796" s="84"/>
      <c r="N796" s="84"/>
      <c r="O796" s="84"/>
      <c r="P796" s="84"/>
      <c r="Q796" s="84"/>
      <c r="R796" s="84"/>
      <c r="S796" s="84"/>
    </row>
    <row r="797" spans="1:19">
      <c r="A797" s="629" t="s">
        <v>506</v>
      </c>
      <c r="B797" s="248">
        <v>3.7620400851346601E-3</v>
      </c>
      <c r="C797" s="248">
        <v>2.8022185653053802E-3</v>
      </c>
      <c r="D797" s="248">
        <v>2.3666199768320102E-3</v>
      </c>
      <c r="E797" s="248">
        <v>3.3921533226051099E-3</v>
      </c>
      <c r="F797" s="248"/>
      <c r="G797" s="248">
        <v>1.79405487560806E-3</v>
      </c>
      <c r="H797" s="735">
        <v>2.8378781574474499E-3</v>
      </c>
      <c r="I797" s="735">
        <v>1.3827111254831599E-3</v>
      </c>
      <c r="J797" s="735">
        <v>2.8682535070828001E-3</v>
      </c>
      <c r="L797" s="84"/>
      <c r="M797" s="84"/>
      <c r="N797" s="84"/>
      <c r="O797" s="84"/>
      <c r="P797" s="84"/>
      <c r="Q797" s="84"/>
      <c r="R797" s="84"/>
      <c r="S797" s="84"/>
    </row>
    <row r="798" spans="1:19">
      <c r="A798" s="629" t="s">
        <v>505</v>
      </c>
      <c r="B798" s="248">
        <v>4.6799629160429899E-3</v>
      </c>
      <c r="C798" s="248">
        <v>4.0142620736445499E-3</v>
      </c>
      <c r="D798" s="248">
        <v>3.9627047279010598E-3</v>
      </c>
      <c r="E798" s="248">
        <v>3.4883960425906501E-3</v>
      </c>
      <c r="F798" s="248"/>
      <c r="G798" s="248">
        <v>2.4815102098052402E-3</v>
      </c>
      <c r="H798" s="735">
        <v>2.5956588199259798E-3</v>
      </c>
      <c r="I798" s="735">
        <v>1.6865541120443799E-3</v>
      </c>
      <c r="J798" s="735">
        <v>2.6221389020671801E-3</v>
      </c>
      <c r="L798" s="84"/>
      <c r="M798" s="84"/>
      <c r="N798" s="84"/>
      <c r="O798" s="84"/>
      <c r="P798" s="84"/>
      <c r="Q798" s="84"/>
      <c r="R798" s="84"/>
      <c r="S798" s="84"/>
    </row>
    <row r="799" spans="1:19">
      <c r="A799" s="629" t="s">
        <v>504</v>
      </c>
      <c r="B799" s="248">
        <v>4.2090654350801296E-3</v>
      </c>
      <c r="C799" s="248">
        <v>3.2064450479206501E-3</v>
      </c>
      <c r="D799" s="248">
        <v>3.3633615998735801E-3</v>
      </c>
      <c r="E799" s="248">
        <v>3.0619323429371E-3</v>
      </c>
      <c r="F799" s="248"/>
      <c r="G799" s="248">
        <v>2.3831614495055499E-3</v>
      </c>
      <c r="H799" s="735">
        <v>2.2512051881356698E-3</v>
      </c>
      <c r="I799" s="735">
        <v>1.67341717523921E-3</v>
      </c>
      <c r="J799" s="735">
        <v>2.27224387912189E-3</v>
      </c>
      <c r="L799" s="84"/>
      <c r="M799" s="84"/>
      <c r="N799" s="84"/>
      <c r="O799" s="84"/>
      <c r="P799" s="84"/>
      <c r="Q799" s="84"/>
      <c r="R799" s="84"/>
      <c r="S799" s="84"/>
    </row>
    <row r="800" spans="1:19">
      <c r="A800" s="629" t="s">
        <v>503</v>
      </c>
      <c r="B800" s="248">
        <v>3.88738911645667E-3</v>
      </c>
      <c r="C800" s="248">
        <v>2.8303406372357899E-3</v>
      </c>
      <c r="D800" s="248">
        <v>2.8477108944071601E-3</v>
      </c>
      <c r="E800" s="248">
        <v>2.9507327531781901E-3</v>
      </c>
      <c r="F800" s="248"/>
      <c r="G800" s="248">
        <v>2.5391789908878501E-3</v>
      </c>
      <c r="H800" s="735">
        <v>2.1118897519561701E-3</v>
      </c>
      <c r="I800" s="735">
        <v>1.57587000556922E-3</v>
      </c>
      <c r="J800" s="735">
        <v>2.12655565952543E-3</v>
      </c>
      <c r="L800" s="84"/>
      <c r="M800" s="84"/>
      <c r="N800" s="84"/>
      <c r="O800" s="84"/>
      <c r="P800" s="84"/>
      <c r="Q800" s="84"/>
      <c r="R800" s="84"/>
      <c r="S800" s="84"/>
    </row>
    <row r="801" spans="1:19">
      <c r="A801" s="629" t="s">
        <v>502</v>
      </c>
      <c r="B801" s="248">
        <v>3.5666136367448198E-3</v>
      </c>
      <c r="C801" s="248">
        <v>2.8026287628660699E-3</v>
      </c>
      <c r="D801" s="248">
        <v>3.1662625211869898E-3</v>
      </c>
      <c r="E801" s="248">
        <v>3.4356592873496798E-3</v>
      </c>
      <c r="F801" s="248"/>
      <c r="G801" s="248">
        <v>2.3586053198224799E-3</v>
      </c>
      <c r="H801" s="735">
        <v>1.88749642642555E-3</v>
      </c>
      <c r="I801" s="735">
        <v>1.7486651336117E-3</v>
      </c>
      <c r="J801" s="735">
        <v>1.8981071940054599E-3</v>
      </c>
      <c r="L801" s="84"/>
      <c r="M801" s="84"/>
      <c r="N801" s="84"/>
      <c r="O801" s="84"/>
      <c r="P801" s="84"/>
      <c r="Q801" s="84"/>
      <c r="R801" s="84"/>
      <c r="S801" s="84"/>
    </row>
    <row r="802" spans="1:19">
      <c r="A802" s="629" t="s">
        <v>501</v>
      </c>
      <c r="B802" s="248">
        <v>3.23187922744429E-3</v>
      </c>
      <c r="C802" s="248">
        <v>2.7170828295403999E-3</v>
      </c>
      <c r="D802" s="248">
        <v>2.6253545215562599E-3</v>
      </c>
      <c r="E802" s="248">
        <v>4.0212728037287001E-3</v>
      </c>
      <c r="F802" s="248"/>
      <c r="G802" s="248">
        <v>2.3586533998979798E-3</v>
      </c>
      <c r="H802" s="735">
        <v>1.6746877133572301E-3</v>
      </c>
      <c r="I802" s="735">
        <v>1.5922474589354101E-3</v>
      </c>
      <c r="J802" s="735">
        <v>1.68105765198936E-3</v>
      </c>
      <c r="L802" s="84"/>
      <c r="M802" s="84"/>
      <c r="N802" s="84"/>
      <c r="O802" s="84"/>
      <c r="P802" s="84"/>
      <c r="Q802" s="84"/>
      <c r="R802" s="84"/>
      <c r="S802" s="84"/>
    </row>
    <row r="803" spans="1:19">
      <c r="A803" s="629" t="s">
        <v>500</v>
      </c>
      <c r="B803" s="248">
        <v>3.0793954954393102E-3</v>
      </c>
      <c r="C803" s="248">
        <v>2.6083310365907302E-3</v>
      </c>
      <c r="D803" s="248">
        <v>2.40317963098981E-3</v>
      </c>
      <c r="E803" s="248">
        <v>3.4683961011612299E-3</v>
      </c>
      <c r="F803" s="248"/>
      <c r="G803" s="248">
        <v>2.2675567197481101E-3</v>
      </c>
      <c r="H803" s="735">
        <v>1.58483830540133E-3</v>
      </c>
      <c r="I803" s="735">
        <v>1.44354420259723E-3</v>
      </c>
      <c r="J803" s="735">
        <v>1.5857702350019699E-3</v>
      </c>
      <c r="L803" s="84"/>
      <c r="M803" s="84"/>
      <c r="N803" s="84"/>
      <c r="O803" s="84"/>
      <c r="P803" s="84"/>
      <c r="Q803" s="84"/>
      <c r="R803" s="84"/>
      <c r="S803" s="84"/>
    </row>
    <row r="804" spans="1:19">
      <c r="A804" s="629" t="s">
        <v>499</v>
      </c>
      <c r="B804" s="248">
        <v>2.89460639467491E-3</v>
      </c>
      <c r="C804" s="248">
        <v>5.30918621883124E-3</v>
      </c>
      <c r="D804" s="248">
        <v>2.939306947271E-3</v>
      </c>
      <c r="E804" s="248">
        <v>3.1896849214837898E-3</v>
      </c>
      <c r="F804" s="248"/>
      <c r="G804" s="248">
        <v>2.65322067771326E-3</v>
      </c>
      <c r="H804" s="735">
        <v>1.5313238483557401E-3</v>
      </c>
      <c r="I804" s="735">
        <v>1.83374256726189E-3</v>
      </c>
      <c r="J804" s="735">
        <v>1.5296006497458601E-3</v>
      </c>
      <c r="L804" s="84"/>
      <c r="M804" s="84"/>
      <c r="N804" s="84"/>
      <c r="O804" s="84"/>
      <c r="P804" s="84"/>
      <c r="Q804" s="84"/>
      <c r="R804" s="84"/>
      <c r="S804" s="84"/>
    </row>
    <row r="805" spans="1:19">
      <c r="A805" s="629" t="s">
        <v>498</v>
      </c>
      <c r="B805" s="248">
        <v>4.0962673436957002E-3</v>
      </c>
      <c r="C805" s="248">
        <v>3.64889845315084E-3</v>
      </c>
      <c r="D805" s="248">
        <v>2.42632764511493E-3</v>
      </c>
      <c r="E805" s="248">
        <v>2.8150146772244599E-3</v>
      </c>
      <c r="F805" s="248"/>
      <c r="G805" s="248">
        <v>2.60071347924694E-3</v>
      </c>
      <c r="H805" s="735">
        <v>1.5010997580573999E-3</v>
      </c>
      <c r="I805" s="735">
        <v>1.6839468526907101E-3</v>
      </c>
      <c r="J805" s="735">
        <v>1.49888620865842E-3</v>
      </c>
      <c r="L805" s="84"/>
      <c r="M805" s="84"/>
      <c r="N805" s="84"/>
      <c r="O805" s="84"/>
      <c r="P805" s="84"/>
      <c r="Q805" s="84"/>
      <c r="R805" s="84"/>
      <c r="S805" s="84"/>
    </row>
    <row r="806" spans="1:19">
      <c r="A806" s="629" t="s">
        <v>497</v>
      </c>
      <c r="B806" s="248">
        <v>3.7693516282470301E-3</v>
      </c>
      <c r="C806" s="248">
        <v>3.0052344447088499E-3</v>
      </c>
      <c r="D806" s="248">
        <v>2.15706021572467E-3</v>
      </c>
      <c r="E806" s="248">
        <v>2.52073231461543E-3</v>
      </c>
      <c r="F806" s="248"/>
      <c r="G806" s="248">
        <v>2.7972798054128902E-3</v>
      </c>
      <c r="H806" s="735">
        <v>1.35186954803188E-3</v>
      </c>
      <c r="I806" s="735">
        <v>1.5220056662893799E-3</v>
      </c>
      <c r="J806" s="735">
        <v>1.34578386167267E-3</v>
      </c>
      <c r="L806" s="84"/>
      <c r="M806" s="84"/>
      <c r="N806" s="84"/>
      <c r="O806" s="84"/>
      <c r="P806" s="84"/>
      <c r="Q806" s="84"/>
      <c r="R806" s="84"/>
      <c r="S806" s="84"/>
    </row>
    <row r="807" spans="1:19">
      <c r="A807" s="629" t="s">
        <v>496</v>
      </c>
      <c r="B807" s="248">
        <v>3.4259384997018701E-3</v>
      </c>
      <c r="C807" s="248">
        <v>2.8720126299903799E-3</v>
      </c>
      <c r="D807" s="248">
        <v>2.0306348309406998E-3</v>
      </c>
      <c r="E807" s="248">
        <v>2.82149136492726E-3</v>
      </c>
      <c r="F807" s="248"/>
      <c r="G807" s="248">
        <v>2.58855429021E-3</v>
      </c>
      <c r="H807" s="735">
        <v>1.2341862770790799E-3</v>
      </c>
      <c r="I807" s="735">
        <v>1.4183515012189301E-3</v>
      </c>
      <c r="J807" s="735">
        <v>1.2256802825933201E-3</v>
      </c>
      <c r="L807" s="84"/>
      <c r="M807" s="84"/>
      <c r="N807" s="84"/>
      <c r="O807" s="84"/>
      <c r="P807" s="84"/>
      <c r="Q807" s="84"/>
      <c r="R807" s="84"/>
      <c r="S807" s="84"/>
    </row>
    <row r="808" spans="1:19">
      <c r="A808" s="629" t="s">
        <v>495</v>
      </c>
      <c r="B808" s="248">
        <v>3.3030659806954602E-3</v>
      </c>
      <c r="C808" s="248">
        <v>2.90930438794845E-3</v>
      </c>
      <c r="D808" s="248">
        <v>2.1825105674864601E-3</v>
      </c>
      <c r="E808" s="248">
        <v>2.8554690562335901E-3</v>
      </c>
      <c r="F808" s="248"/>
      <c r="G808" s="248">
        <v>3.0802469577862002E-3</v>
      </c>
      <c r="H808" s="735">
        <v>1.2064142766908901E-3</v>
      </c>
      <c r="I808" s="735">
        <v>1.30254261389568E-3</v>
      </c>
      <c r="J808" s="735">
        <v>1.19337889110372E-3</v>
      </c>
      <c r="L808" s="84"/>
      <c r="M808" s="84"/>
      <c r="N808" s="84"/>
      <c r="O808" s="84"/>
      <c r="P808" s="84"/>
      <c r="Q808" s="84"/>
      <c r="R808" s="84"/>
      <c r="S808" s="84"/>
    </row>
    <row r="809" spans="1:19">
      <c r="A809" s="629" t="s">
        <v>494</v>
      </c>
      <c r="B809" s="248">
        <v>2.9851354652166099E-3</v>
      </c>
      <c r="C809" s="248">
        <v>3.9220403789938596E-3</v>
      </c>
      <c r="D809" s="248">
        <v>2.4586153647336898E-3</v>
      </c>
      <c r="E809" s="248">
        <v>2.5942120059194202E-3</v>
      </c>
      <c r="F809" s="248"/>
      <c r="G809" s="248">
        <v>2.8296270039114301E-3</v>
      </c>
      <c r="H809" s="735">
        <v>1.1108382748095801E-3</v>
      </c>
      <c r="I809" s="735">
        <v>1.2660418768054901E-3</v>
      </c>
      <c r="J809" s="735">
        <v>1.0950513794820301E-3</v>
      </c>
      <c r="L809" s="84"/>
      <c r="M809" s="84"/>
      <c r="N809" s="84"/>
      <c r="O809" s="84"/>
      <c r="P809" s="84"/>
      <c r="Q809" s="84"/>
      <c r="R809" s="84"/>
      <c r="S809" s="84"/>
    </row>
    <row r="810" spans="1:19">
      <c r="A810" s="629" t="s">
        <v>493</v>
      </c>
      <c r="B810" s="248">
        <v>2.7436778770754101E-3</v>
      </c>
      <c r="C810" s="248">
        <v>3.1752756647702401E-3</v>
      </c>
      <c r="D810" s="248">
        <v>2.9072934340843501E-3</v>
      </c>
      <c r="E810" s="248">
        <v>2.6420193286766001E-3</v>
      </c>
      <c r="F810" s="248"/>
      <c r="G810" s="248">
        <v>2.6656937637762699E-3</v>
      </c>
      <c r="H810" s="735">
        <v>1.0315784284626801E-3</v>
      </c>
      <c r="I810" s="735">
        <v>1.16217172547612E-3</v>
      </c>
      <c r="J810" s="735">
        <v>1.01343405017598E-3</v>
      </c>
      <c r="L810" s="84"/>
      <c r="M810" s="84"/>
      <c r="N810" s="84"/>
      <c r="O810" s="84"/>
      <c r="P810" s="84"/>
      <c r="Q810" s="84"/>
      <c r="R810" s="84"/>
      <c r="S810" s="84"/>
    </row>
    <row r="811" spans="1:19">
      <c r="A811" s="629" t="s">
        <v>492</v>
      </c>
      <c r="B811" s="248">
        <v>3.1108006676508898E-3</v>
      </c>
      <c r="C811" s="248">
        <v>3.1677215082762302E-3</v>
      </c>
      <c r="D811" s="248">
        <v>3.4363874419254801E-3</v>
      </c>
      <c r="E811" s="248">
        <v>2.9223924228361799E-3</v>
      </c>
      <c r="F811" s="248"/>
      <c r="G811" s="248">
        <v>2.4689651760379299E-3</v>
      </c>
      <c r="H811" s="735">
        <v>9.6898231281172201E-4</v>
      </c>
      <c r="I811" s="735">
        <v>1.5020114202591299E-3</v>
      </c>
      <c r="J811" s="735">
        <v>9.4777232262061202E-4</v>
      </c>
      <c r="L811" s="84"/>
      <c r="M811" s="84"/>
      <c r="N811" s="84"/>
      <c r="O811" s="84"/>
      <c r="P811" s="84"/>
      <c r="Q811" s="84"/>
      <c r="R811" s="84"/>
      <c r="S811" s="84"/>
    </row>
    <row r="812" spans="1:19">
      <c r="A812" s="629" t="s">
        <v>491</v>
      </c>
      <c r="B812" s="248">
        <v>2.87440861091389E-3</v>
      </c>
      <c r="C812" s="248">
        <v>2.81336732355271E-3</v>
      </c>
      <c r="D812" s="248">
        <v>2.8051430109493898E-3</v>
      </c>
      <c r="E812" s="248">
        <v>2.8604432259363701E-3</v>
      </c>
      <c r="F812" s="248"/>
      <c r="G812" s="248">
        <v>2.4984449761752199E-3</v>
      </c>
      <c r="H812" s="735">
        <v>9.34011232507908E-4</v>
      </c>
      <c r="I812" s="735">
        <v>1.3717960544971199E-3</v>
      </c>
      <c r="J812" s="735">
        <v>9.1206298879185097E-4</v>
      </c>
      <c r="L812" s="84"/>
      <c r="M812" s="84"/>
      <c r="N812" s="84"/>
      <c r="O812" s="84"/>
      <c r="P812" s="84"/>
      <c r="Q812" s="84"/>
      <c r="R812" s="84"/>
      <c r="S812" s="84"/>
    </row>
    <row r="813" spans="1:19">
      <c r="A813" s="629" t="s">
        <v>490</v>
      </c>
      <c r="B813" s="248">
        <v>3.1673547604909101E-3</v>
      </c>
      <c r="C813" s="248">
        <v>2.7853792101023901E-3</v>
      </c>
      <c r="D813" s="248">
        <v>2.41228031388987E-3</v>
      </c>
      <c r="E813" s="248">
        <v>2.6043343802824499E-3</v>
      </c>
      <c r="F813" s="248"/>
      <c r="G813" s="248">
        <v>2.3211147588274202E-3</v>
      </c>
      <c r="H813" s="735">
        <v>1.02841517141585E-3</v>
      </c>
      <c r="I813" s="735">
        <v>1.2630266824194001E-3</v>
      </c>
      <c r="J813" s="735">
        <v>1.0081100503051099E-3</v>
      </c>
      <c r="L813" s="84"/>
      <c r="M813" s="84"/>
      <c r="N813" s="84"/>
      <c r="O813" s="84"/>
      <c r="P813" s="84"/>
      <c r="Q813" s="84"/>
      <c r="R813" s="84"/>
      <c r="S813" s="84"/>
    </row>
    <row r="814" spans="1:19">
      <c r="A814" s="629" t="s">
        <v>489</v>
      </c>
      <c r="B814" s="248">
        <v>3.0048424122112701E-3</v>
      </c>
      <c r="C814" s="248">
        <v>2.6541048377762798E-3</v>
      </c>
      <c r="D814" s="248">
        <v>2.1375967309581901E-3</v>
      </c>
      <c r="E814" s="248">
        <v>3.0388041146509602E-3</v>
      </c>
      <c r="F814" s="248"/>
      <c r="G814" s="248">
        <v>2.2291734480184302E-3</v>
      </c>
      <c r="H814" s="735">
        <v>1.00870097134504E-3</v>
      </c>
      <c r="I814" s="735">
        <v>1.23620838957962E-3</v>
      </c>
      <c r="J814" s="735">
        <v>9.8380043114595396E-4</v>
      </c>
      <c r="L814" s="84"/>
      <c r="M814" s="84"/>
      <c r="N814" s="84"/>
      <c r="O814" s="84"/>
      <c r="P814" s="84"/>
      <c r="Q814" s="84"/>
      <c r="R814" s="84"/>
      <c r="S814" s="84"/>
    </row>
    <row r="815" spans="1:19">
      <c r="A815" s="629" t="s">
        <v>488</v>
      </c>
      <c r="B815" s="248">
        <v>2.7349326355230498E-3</v>
      </c>
      <c r="C815" s="248">
        <v>3.8107322547557801E-3</v>
      </c>
      <c r="D815" s="248">
        <v>2.6621644344242599E-3</v>
      </c>
      <c r="E815" s="248">
        <v>2.7069878564652899E-3</v>
      </c>
      <c r="F815" s="248"/>
      <c r="G815" s="248">
        <v>2.12014957229362E-3</v>
      </c>
      <c r="H815" s="735">
        <v>9.5181841018844701E-4</v>
      </c>
      <c r="I815" s="735">
        <v>1.2860009968922901E-3</v>
      </c>
      <c r="J815" s="735">
        <v>9.2504759192766804E-4</v>
      </c>
      <c r="L815" s="84"/>
      <c r="M815" s="84"/>
      <c r="N815" s="84"/>
      <c r="O815" s="84"/>
      <c r="P815" s="84"/>
      <c r="Q815" s="84"/>
      <c r="R815" s="84"/>
      <c r="S815" s="84"/>
    </row>
    <row r="816" spans="1:19">
      <c r="A816" s="629" t="s">
        <v>487</v>
      </c>
      <c r="B816" s="248">
        <v>2.6746425045268301E-3</v>
      </c>
      <c r="C816" s="248">
        <v>3.06978281754844E-3</v>
      </c>
      <c r="D816" s="248">
        <v>2.3145876674714101E-3</v>
      </c>
      <c r="E816" s="248">
        <v>3.03221112157519E-3</v>
      </c>
      <c r="F816" s="248"/>
      <c r="G816" s="248">
        <v>1.9797941861981199E-3</v>
      </c>
      <c r="H816" s="735">
        <v>9.2250948306389397E-4</v>
      </c>
      <c r="I816" s="735">
        <v>1.19667325797124E-3</v>
      </c>
      <c r="J816" s="735">
        <v>8.95782501222717E-4</v>
      </c>
      <c r="L816" s="84"/>
      <c r="M816" s="84"/>
      <c r="N816" s="84"/>
      <c r="O816" s="84"/>
      <c r="P816" s="84"/>
      <c r="Q816" s="84"/>
      <c r="R816" s="84"/>
      <c r="S816" s="84"/>
    </row>
    <row r="817" spans="1:19">
      <c r="A817" s="629" t="s">
        <v>486</v>
      </c>
      <c r="B817" s="248">
        <v>2.5049147153489498E-3</v>
      </c>
      <c r="C817" s="248">
        <v>2.7461520768330598E-3</v>
      </c>
      <c r="D817" s="248">
        <v>3.10295075252907E-3</v>
      </c>
      <c r="E817" s="248">
        <v>2.7002281638929299E-3</v>
      </c>
      <c r="F817" s="248"/>
      <c r="G817" s="248">
        <v>1.9225243130296099E-3</v>
      </c>
      <c r="H817" s="735">
        <v>9.9119373505645301E-4</v>
      </c>
      <c r="I817" s="735">
        <v>1.2732292153869399E-3</v>
      </c>
      <c r="J817" s="735">
        <v>9.6632184768752902E-4</v>
      </c>
      <c r="L817" s="84"/>
      <c r="M817" s="84"/>
      <c r="N817" s="84"/>
      <c r="O817" s="84"/>
      <c r="P817" s="84"/>
      <c r="Q817" s="84"/>
      <c r="R817" s="84"/>
      <c r="S817" s="84"/>
    </row>
    <row r="818" spans="1:19">
      <c r="A818" s="629" t="s">
        <v>485</v>
      </c>
      <c r="B818" s="248">
        <v>2.30148425901837E-3</v>
      </c>
      <c r="C818" s="248">
        <v>2.8569830038482299E-3</v>
      </c>
      <c r="D818" s="248">
        <v>2.5299526108475798E-3</v>
      </c>
      <c r="E818" s="248">
        <v>2.45454916530417E-3</v>
      </c>
      <c r="F818" s="248"/>
      <c r="G818" s="248">
        <v>1.7964837186307801E-3</v>
      </c>
      <c r="H818" s="735">
        <v>9.6385140232040404E-4</v>
      </c>
      <c r="I818" s="735">
        <v>1.1736813636058199E-3</v>
      </c>
      <c r="J818" s="735">
        <v>9.3896455018630703E-4</v>
      </c>
      <c r="L818" s="84"/>
      <c r="M818" s="84"/>
      <c r="N818" s="84"/>
      <c r="O818" s="84"/>
      <c r="P818" s="84"/>
      <c r="Q818" s="84"/>
      <c r="R818" s="84"/>
      <c r="S818" s="84"/>
    </row>
    <row r="819" spans="1:19">
      <c r="A819" s="629" t="s">
        <v>484</v>
      </c>
      <c r="B819" s="248">
        <v>2.1330920208633701E-3</v>
      </c>
      <c r="C819" s="248">
        <v>3.6280978898352899E-3</v>
      </c>
      <c r="D819" s="248">
        <v>2.1923733994234701E-3</v>
      </c>
      <c r="E819" s="248">
        <v>2.28358528343077E-3</v>
      </c>
      <c r="F819" s="248"/>
      <c r="G819" s="248">
        <v>1.7888922801319899E-3</v>
      </c>
      <c r="H819" s="735">
        <v>9.3048998556201704E-4</v>
      </c>
      <c r="I819" s="735">
        <v>1.08676489497849E-3</v>
      </c>
      <c r="J819" s="735">
        <v>9.0335697505151199E-4</v>
      </c>
      <c r="L819" s="84"/>
      <c r="M819" s="84"/>
      <c r="N819" s="84"/>
      <c r="O819" s="84"/>
      <c r="P819" s="84"/>
      <c r="Q819" s="84"/>
      <c r="R819" s="84"/>
      <c r="S819" s="84"/>
    </row>
    <row r="820" spans="1:19">
      <c r="A820" s="629" t="s">
        <v>483</v>
      </c>
      <c r="B820" s="248">
        <v>3.4589310561500201E-3</v>
      </c>
      <c r="C820" s="248">
        <v>4.0929814680927702E-3</v>
      </c>
      <c r="D820" s="248">
        <v>3.8523323832960702E-3</v>
      </c>
      <c r="E820" s="248">
        <v>2.3286887014481398E-3</v>
      </c>
      <c r="F820" s="248"/>
      <c r="G820" s="248">
        <v>1.68447586521367E-3</v>
      </c>
      <c r="H820" s="735">
        <v>9.2307447963233295E-4</v>
      </c>
      <c r="I820" s="735">
        <v>1.36785547603531E-3</v>
      </c>
      <c r="J820" s="735">
        <v>8.96103026726787E-4</v>
      </c>
      <c r="L820" s="84"/>
      <c r="M820" s="84"/>
      <c r="N820" s="84"/>
      <c r="O820" s="84"/>
      <c r="P820" s="84"/>
      <c r="Q820" s="84"/>
      <c r="R820" s="84"/>
      <c r="S820" s="84"/>
    </row>
    <row r="821" spans="1:19">
      <c r="A821" s="629" t="s">
        <v>482</v>
      </c>
      <c r="B821" s="248">
        <v>3.1201834014056898E-3</v>
      </c>
      <c r="C821" s="248">
        <v>3.1406661613502399E-3</v>
      </c>
      <c r="D821" s="248">
        <v>3.1194945762818001E-3</v>
      </c>
      <c r="E821" s="248">
        <v>2.2479015076748501E-3</v>
      </c>
      <c r="F821" s="248"/>
      <c r="G821" s="248">
        <v>1.57887508277823E-3</v>
      </c>
      <c r="H821" s="735">
        <v>8.78833152699341E-4</v>
      </c>
      <c r="I821" s="735">
        <v>1.26543746097144E-3</v>
      </c>
      <c r="J821" s="735">
        <v>8.5076594601501401E-4</v>
      </c>
      <c r="L821" s="84"/>
      <c r="M821" s="84"/>
      <c r="N821" s="84"/>
      <c r="O821" s="84"/>
      <c r="P821" s="84"/>
      <c r="Q821" s="84"/>
      <c r="R821" s="84"/>
      <c r="S821" s="84"/>
    </row>
    <row r="822" spans="1:19">
      <c r="A822" s="629" t="s">
        <v>481</v>
      </c>
      <c r="B822" s="248">
        <v>3.0472847668340701E-3</v>
      </c>
      <c r="C822" s="248">
        <v>2.7676589679954899E-3</v>
      </c>
      <c r="D822" s="248">
        <v>2.6883116514896401E-3</v>
      </c>
      <c r="E822" s="248">
        <v>2.4455783964221398E-3</v>
      </c>
      <c r="F822" s="248"/>
      <c r="G822" s="248">
        <v>1.5988396265987301E-3</v>
      </c>
      <c r="H822" s="735">
        <v>9.2398548076606704E-4</v>
      </c>
      <c r="I822" s="735">
        <v>1.15663558333659E-3</v>
      </c>
      <c r="J822" s="735">
        <v>8.9612402949942503E-4</v>
      </c>
      <c r="L822" s="84"/>
      <c r="M822" s="84"/>
      <c r="N822" s="84"/>
      <c r="O822" s="84"/>
      <c r="P822" s="84"/>
      <c r="Q822" s="84"/>
      <c r="R822" s="84"/>
      <c r="S822" s="84"/>
    </row>
    <row r="823" spans="1:19">
      <c r="A823" s="629" t="s">
        <v>480</v>
      </c>
      <c r="B823" s="248">
        <v>2.7706906241295598E-3</v>
      </c>
      <c r="C823" s="248">
        <v>2.8144945829831898E-3</v>
      </c>
      <c r="D823" s="248">
        <v>3.57895963258777E-3</v>
      </c>
      <c r="E823" s="248">
        <v>2.2553752062957001E-3</v>
      </c>
      <c r="F823" s="248"/>
      <c r="G823" s="248">
        <v>1.73078026243956E-3</v>
      </c>
      <c r="H823" s="735">
        <v>1.03494494579958E-3</v>
      </c>
      <c r="I823" s="735">
        <v>1.51144225202211E-3</v>
      </c>
      <c r="J823" s="735">
        <v>1.0145910737915499E-3</v>
      </c>
      <c r="L823" s="84"/>
      <c r="M823" s="84"/>
      <c r="N823" s="84"/>
      <c r="O823" s="84"/>
      <c r="P823" s="84"/>
      <c r="Q823" s="84"/>
      <c r="R823" s="84"/>
      <c r="S823" s="84"/>
    </row>
    <row r="824" spans="1:19">
      <c r="A824" s="629" t="s">
        <v>479</v>
      </c>
      <c r="B824" s="248">
        <v>3.6664993075358199E-3</v>
      </c>
      <c r="C824" s="248">
        <v>3.1935502253976301E-3</v>
      </c>
      <c r="D824" s="248">
        <v>2.7596972441677899E-3</v>
      </c>
      <c r="E824" s="248">
        <v>2.5998868523731001E-3</v>
      </c>
      <c r="F824" s="248"/>
      <c r="G824" s="248">
        <v>1.9694712596932699E-3</v>
      </c>
      <c r="H824" s="735">
        <v>1.3279884220406899E-3</v>
      </c>
      <c r="I824" s="735">
        <v>1.5664724042494501E-3</v>
      </c>
      <c r="J824" s="735">
        <v>1.30728876760558E-3</v>
      </c>
      <c r="L824" s="84"/>
      <c r="M824" s="84"/>
      <c r="N824" s="84"/>
      <c r="O824" s="84"/>
      <c r="P824" s="84"/>
      <c r="Q824" s="84"/>
      <c r="R824" s="84"/>
      <c r="S824" s="84"/>
    </row>
    <row r="825" spans="1:19">
      <c r="A825" s="629" t="s">
        <v>478</v>
      </c>
      <c r="B825" s="248">
        <v>3.6775274530116398E-3</v>
      </c>
      <c r="C825" s="248">
        <v>2.7890807733506602E-3</v>
      </c>
      <c r="D825" s="248">
        <v>3.1423323159456701E-3</v>
      </c>
      <c r="E825" s="248">
        <v>2.3487467921546098E-3</v>
      </c>
      <c r="F825" s="248"/>
      <c r="G825" s="248">
        <v>2.3320259285610702E-3</v>
      </c>
      <c r="H825" s="735">
        <v>1.2108349782199599E-3</v>
      </c>
      <c r="I825" s="735">
        <v>1.44443217538773E-3</v>
      </c>
      <c r="J825" s="735">
        <v>1.1890076311329499E-3</v>
      </c>
      <c r="L825" s="84"/>
      <c r="M825" s="84"/>
      <c r="N825" s="84"/>
      <c r="O825" s="84"/>
      <c r="P825" s="84"/>
      <c r="Q825" s="84"/>
      <c r="R825" s="84"/>
      <c r="S825" s="84"/>
    </row>
    <row r="826" spans="1:19">
      <c r="A826" s="629" t="s">
        <v>477</v>
      </c>
      <c r="B826" s="248">
        <v>3.4544176714404501E-3</v>
      </c>
      <c r="C826" s="248">
        <v>3.0234901451204302E-3</v>
      </c>
      <c r="D826" s="248">
        <v>2.9647086583435198E-3</v>
      </c>
      <c r="E826" s="248">
        <v>3.1794321111462301E-3</v>
      </c>
      <c r="F826" s="248"/>
      <c r="G826" s="248">
        <v>2.7355011538201402E-3</v>
      </c>
      <c r="H826" s="735">
        <v>1.1183741521706501E-3</v>
      </c>
      <c r="I826" s="735">
        <v>1.45150959361106E-3</v>
      </c>
      <c r="J826" s="735">
        <v>1.0954670726717401E-3</v>
      </c>
      <c r="L826" s="84"/>
      <c r="M826" s="84"/>
      <c r="N826" s="84"/>
      <c r="O826" s="84"/>
      <c r="P826" s="84"/>
      <c r="Q826" s="84"/>
      <c r="R826" s="84"/>
      <c r="S826" s="84"/>
    </row>
    <row r="827" spans="1:19">
      <c r="A827" s="629" t="s">
        <v>476</v>
      </c>
      <c r="B827" s="248">
        <v>3.1583923855707601E-3</v>
      </c>
      <c r="C827" s="248">
        <v>4.1181782398650897E-3</v>
      </c>
      <c r="D827" s="248">
        <v>3.2433762675234301E-3</v>
      </c>
      <c r="E827" s="248">
        <v>3.03295693345356E-3</v>
      </c>
      <c r="F827" s="248"/>
      <c r="G827" s="248">
        <v>2.5237315018292799E-3</v>
      </c>
      <c r="H827" s="735">
        <v>1.19012964373117E-3</v>
      </c>
      <c r="I827" s="735">
        <v>1.3241095404287299E-3</v>
      </c>
      <c r="J827" s="735">
        <v>1.16955655620595E-3</v>
      </c>
      <c r="L827" s="84"/>
      <c r="M827" s="84"/>
      <c r="N827" s="84"/>
      <c r="O827" s="84"/>
      <c r="P827" s="84"/>
      <c r="Q827" s="84"/>
      <c r="R827" s="84"/>
      <c r="S827" s="84"/>
    </row>
    <row r="828" spans="1:19">
      <c r="A828" s="629" t="s">
        <v>475</v>
      </c>
      <c r="B828" s="248">
        <v>3.0883645184566501E-3</v>
      </c>
      <c r="C828" s="248">
        <v>3.1531095931952601E-3</v>
      </c>
      <c r="D828" s="248">
        <v>2.5679378990642499E-3</v>
      </c>
      <c r="E828" s="248">
        <v>2.6903486001698799E-3</v>
      </c>
      <c r="F828" s="248"/>
      <c r="G828" s="248">
        <v>2.33781328055517E-3</v>
      </c>
      <c r="H828" s="735">
        <v>1.1679643592697501E-3</v>
      </c>
      <c r="I828" s="735">
        <v>1.2724108346580301E-3</v>
      </c>
      <c r="J828" s="735">
        <v>1.14454875788301E-3</v>
      </c>
      <c r="L828" s="84"/>
      <c r="M828" s="84"/>
      <c r="N828" s="84"/>
      <c r="O828" s="84"/>
      <c r="P828" s="84"/>
      <c r="Q828" s="84"/>
      <c r="R828" s="84"/>
      <c r="S828" s="84"/>
    </row>
    <row r="829" spans="1:19">
      <c r="A829" s="629" t="s">
        <v>474</v>
      </c>
      <c r="B829" s="248">
        <v>2.99346823273368E-3</v>
      </c>
      <c r="C829" s="248">
        <v>2.7844319152743801E-3</v>
      </c>
      <c r="D829" s="248">
        <v>2.36841705752596E-3</v>
      </c>
      <c r="E829" s="248">
        <v>2.4448832996174798E-3</v>
      </c>
      <c r="F829" s="248"/>
      <c r="G829" s="248">
        <v>2.2001838611036199E-3</v>
      </c>
      <c r="H829" s="735">
        <v>1.19952773193071E-3</v>
      </c>
      <c r="I829" s="735">
        <v>1.1774646585988801E-3</v>
      </c>
      <c r="J829" s="735">
        <v>1.1788320312717899E-3</v>
      </c>
      <c r="L829" s="84"/>
      <c r="M829" s="84"/>
      <c r="N829" s="84"/>
      <c r="O829" s="84"/>
      <c r="P829" s="84"/>
      <c r="Q829" s="84"/>
      <c r="R829" s="84"/>
      <c r="S829" s="84"/>
    </row>
    <row r="830" spans="1:19">
      <c r="A830" s="629" t="s">
        <v>473</v>
      </c>
      <c r="B830" s="248">
        <v>2.8183006306582801E-3</v>
      </c>
      <c r="C830" s="248">
        <v>3.19230150842444E-3</v>
      </c>
      <c r="D830" s="248">
        <v>3.3379804493945801E-3</v>
      </c>
      <c r="E830" s="248">
        <v>2.4176454740072501E-3</v>
      </c>
      <c r="F830" s="248"/>
      <c r="G830" s="248">
        <v>2.3343322266859701E-3</v>
      </c>
      <c r="H830" s="735">
        <v>1.2536887301884E-3</v>
      </c>
      <c r="I830" s="735">
        <v>1.2069667272171401E-3</v>
      </c>
      <c r="J830" s="735">
        <v>1.2375232670163701E-3</v>
      </c>
      <c r="L830" s="84"/>
      <c r="M830" s="84"/>
      <c r="N830" s="84"/>
      <c r="O830" s="84"/>
      <c r="P830" s="84"/>
      <c r="Q830" s="84"/>
      <c r="R830" s="84"/>
      <c r="S830" s="84"/>
    </row>
    <row r="831" spans="1:19">
      <c r="A831" s="629" t="s">
        <v>472</v>
      </c>
      <c r="B831" s="248">
        <v>3.4084253363236999E-3</v>
      </c>
      <c r="C831" s="248">
        <v>2.84373702722992E-3</v>
      </c>
      <c r="D831" s="248">
        <v>2.7747474128506501E-3</v>
      </c>
      <c r="E831" s="248">
        <v>2.6332798129723701E-3</v>
      </c>
      <c r="F831" s="248"/>
      <c r="G831" s="248">
        <v>2.2004525576409498E-3</v>
      </c>
      <c r="H831" s="735">
        <v>1.16867211833728E-3</v>
      </c>
      <c r="I831" s="735">
        <v>1.10562115792246E-3</v>
      </c>
      <c r="J831" s="735">
        <v>1.15029872000438E-3</v>
      </c>
      <c r="L831" s="84"/>
      <c r="M831" s="84"/>
      <c r="N831" s="84"/>
      <c r="O831" s="84"/>
      <c r="P831" s="84"/>
      <c r="Q831" s="84"/>
      <c r="R831" s="84"/>
      <c r="S831" s="84"/>
    </row>
    <row r="832" spans="1:19">
      <c r="A832" s="629" t="s">
        <v>471</v>
      </c>
      <c r="B832" s="248">
        <v>3.45825118877289E-3</v>
      </c>
      <c r="C832" s="248">
        <v>2.98562538704474E-3</v>
      </c>
      <c r="D832" s="248">
        <v>2.8811244173508402E-3</v>
      </c>
      <c r="E832" s="248">
        <v>2.70755849447366E-3</v>
      </c>
      <c r="F832" s="248"/>
      <c r="G832" s="248">
        <v>2.0466757634667902E-3</v>
      </c>
      <c r="H832" s="735">
        <v>1.3629504107972501E-3</v>
      </c>
      <c r="I832" s="735">
        <v>1.07797448729991E-3</v>
      </c>
      <c r="J832" s="735">
        <v>1.3518934646177499E-3</v>
      </c>
      <c r="L832" s="84"/>
      <c r="M832" s="84"/>
      <c r="N832" s="84"/>
      <c r="O832" s="84"/>
      <c r="P832" s="84"/>
      <c r="Q832" s="84"/>
      <c r="R832" s="84"/>
      <c r="S832" s="84"/>
    </row>
    <row r="833" spans="1:19">
      <c r="A833" s="629" t="s">
        <v>470</v>
      </c>
      <c r="B833" s="248">
        <v>3.2510775203197198E-3</v>
      </c>
      <c r="C833" s="248">
        <v>2.7172527967906199E-3</v>
      </c>
      <c r="D833" s="248">
        <v>2.3942744048299999E-3</v>
      </c>
      <c r="E833" s="248">
        <v>2.4615992758883101E-3</v>
      </c>
      <c r="F833" s="248"/>
      <c r="G833" s="248">
        <v>2.0659128041756098E-3</v>
      </c>
      <c r="H833" s="735">
        <v>1.2401068369097901E-3</v>
      </c>
      <c r="I833" s="735">
        <v>9.9462284843221892E-4</v>
      </c>
      <c r="J833" s="735">
        <v>1.22641545017616E-3</v>
      </c>
      <c r="L833" s="84"/>
      <c r="M833" s="84"/>
      <c r="N833" s="84"/>
      <c r="O833" s="84"/>
      <c r="P833" s="84"/>
      <c r="Q833" s="84"/>
      <c r="R833" s="84"/>
      <c r="S833" s="84"/>
    </row>
    <row r="834" spans="1:19">
      <c r="A834" s="629" t="s">
        <v>469</v>
      </c>
      <c r="B834" s="248">
        <v>3.2081971207356002E-3</v>
      </c>
      <c r="C834" s="248">
        <v>2.72434015712331E-3</v>
      </c>
      <c r="D834" s="248">
        <v>2.4138186349603702E-3</v>
      </c>
      <c r="E834" s="248">
        <v>2.3806498829729598E-3</v>
      </c>
      <c r="F834" s="248"/>
      <c r="G834" s="248">
        <v>1.9925199289834599E-3</v>
      </c>
      <c r="H834" s="735">
        <v>1.1674056777024001E-3</v>
      </c>
      <c r="I834" s="735">
        <v>1.4340295160290401E-3</v>
      </c>
      <c r="J834" s="735">
        <v>1.15301896100412E-3</v>
      </c>
      <c r="L834" s="84"/>
      <c r="M834" s="84"/>
      <c r="N834" s="84"/>
      <c r="O834" s="84"/>
      <c r="P834" s="84"/>
      <c r="Q834" s="84"/>
      <c r="R834" s="84"/>
      <c r="S834" s="84"/>
    </row>
    <row r="835" spans="1:19">
      <c r="A835" s="629" t="s">
        <v>468</v>
      </c>
      <c r="B835" s="248">
        <v>4.0982005293829704E-3</v>
      </c>
      <c r="C835" s="248">
        <v>2.7065335981682E-3</v>
      </c>
      <c r="D835" s="248">
        <v>2.4169603015904398E-3</v>
      </c>
      <c r="E835" s="248">
        <v>2.1973490409251499E-3</v>
      </c>
      <c r="F835" s="248"/>
      <c r="G835" s="248">
        <v>1.8556053614071199E-3</v>
      </c>
      <c r="H835" s="735">
        <v>1.18971205974827E-3</v>
      </c>
      <c r="I835" s="735">
        <v>1.3160714586950601E-3</v>
      </c>
      <c r="J835" s="735">
        <v>1.16960335977428E-3</v>
      </c>
      <c r="L835" s="84"/>
      <c r="M835" s="84"/>
      <c r="N835" s="84"/>
      <c r="O835" s="84"/>
      <c r="P835" s="84"/>
      <c r="Q835" s="84"/>
      <c r="R835" s="84"/>
      <c r="S835" s="84"/>
    </row>
    <row r="836" spans="1:19">
      <c r="A836" s="629" t="s">
        <v>467</v>
      </c>
      <c r="B836" s="248">
        <v>3.67135727815758E-3</v>
      </c>
      <c r="C836" s="248">
        <v>2.8420396631818399E-3</v>
      </c>
      <c r="D836" s="248">
        <v>2.33188700467275E-3</v>
      </c>
      <c r="E836" s="248">
        <v>2.0980183851827599E-3</v>
      </c>
      <c r="F836" s="248"/>
      <c r="G836" s="248">
        <v>1.73278546488344E-3</v>
      </c>
      <c r="H836" s="735">
        <v>1.1457440137628699E-3</v>
      </c>
      <c r="I836" s="735">
        <v>1.22484045315856E-3</v>
      </c>
      <c r="J836" s="735">
        <v>1.1249780562340901E-3</v>
      </c>
      <c r="L836" s="84"/>
      <c r="M836" s="84"/>
      <c r="N836" s="84"/>
      <c r="O836" s="84"/>
      <c r="P836" s="84"/>
      <c r="Q836" s="84"/>
      <c r="R836" s="84"/>
      <c r="S836" s="84"/>
    </row>
    <row r="837" spans="1:19">
      <c r="A837" s="629" t="s">
        <v>466</v>
      </c>
      <c r="B837" s="248">
        <v>3.3013030541333998E-3</v>
      </c>
      <c r="C837" s="248">
        <v>2.64931125163135E-3</v>
      </c>
      <c r="D837" s="248">
        <v>2.6604696604450701E-3</v>
      </c>
      <c r="E837" s="248">
        <v>1.9550309583820898E-3</v>
      </c>
      <c r="F837" s="248"/>
      <c r="G837" s="248">
        <v>1.7679980024013901E-3</v>
      </c>
      <c r="H837" s="735">
        <v>1.11082295263817E-3</v>
      </c>
      <c r="I837" s="735">
        <v>1.20393513055353E-3</v>
      </c>
      <c r="J837" s="735">
        <v>1.0866810873152899E-3</v>
      </c>
      <c r="L837" s="84"/>
      <c r="M837" s="84"/>
      <c r="N837" s="84"/>
      <c r="O837" s="84"/>
      <c r="P837" s="84"/>
      <c r="Q837" s="84"/>
      <c r="R837" s="84"/>
      <c r="S837" s="84"/>
    </row>
    <row r="838" spans="1:19">
      <c r="A838" s="629" t="s">
        <v>465</v>
      </c>
      <c r="B838" s="248">
        <v>3.0469558467965999E-3</v>
      </c>
      <c r="C838" s="248">
        <v>2.5737550586627002E-3</v>
      </c>
      <c r="D838" s="248">
        <v>3.5325679201745602E-3</v>
      </c>
      <c r="E838" s="248">
        <v>2.1716631080002501E-3</v>
      </c>
      <c r="F838" s="248"/>
      <c r="G838" s="248">
        <v>1.6579976673432801E-3</v>
      </c>
      <c r="H838" s="735">
        <v>1.14532327373897E-3</v>
      </c>
      <c r="I838" s="735">
        <v>1.1606319074165101E-3</v>
      </c>
      <c r="J838" s="735">
        <v>1.125836515214E-3</v>
      </c>
      <c r="L838" s="84"/>
      <c r="M838" s="84"/>
      <c r="N838" s="84"/>
      <c r="O838" s="84"/>
      <c r="P838" s="84"/>
      <c r="Q838" s="84"/>
      <c r="R838" s="84"/>
      <c r="S838" s="84"/>
    </row>
    <row r="839" spans="1:19">
      <c r="A839" s="629" t="s">
        <v>464</v>
      </c>
      <c r="B839" s="248">
        <v>2.9257518666791198E-3</v>
      </c>
      <c r="C839" s="248">
        <v>2.6520793796940001E-3</v>
      </c>
      <c r="D839" s="248">
        <v>2.8875345719221799E-3</v>
      </c>
      <c r="E839" s="248">
        <v>2.2743418361206701E-3</v>
      </c>
      <c r="F839" s="248"/>
      <c r="G839" s="248">
        <v>1.7824552954008499E-3</v>
      </c>
      <c r="H839" s="735">
        <v>1.0871581123488201E-3</v>
      </c>
      <c r="I839" s="735">
        <v>1.0664255527296899E-3</v>
      </c>
      <c r="J839" s="735">
        <v>1.0651225892409999E-3</v>
      </c>
      <c r="L839" s="84"/>
      <c r="M839" s="84"/>
      <c r="N839" s="84"/>
      <c r="O839" s="84"/>
      <c r="P839" s="84"/>
      <c r="Q839" s="84"/>
      <c r="R839" s="84"/>
      <c r="S839" s="84"/>
    </row>
    <row r="840" spans="1:19">
      <c r="A840" s="629" t="s">
        <v>463</v>
      </c>
      <c r="B840" s="248">
        <v>2.72139382589444E-3</v>
      </c>
      <c r="C840" s="248">
        <v>2.6287150749967399E-3</v>
      </c>
      <c r="D840" s="248">
        <v>2.7541833157085399E-3</v>
      </c>
      <c r="E840" s="248">
        <v>2.1121862901784601E-3</v>
      </c>
      <c r="F840" s="248"/>
      <c r="G840" s="248">
        <v>1.67789323076907E-3</v>
      </c>
      <c r="H840" s="735">
        <v>1.08907140248749E-3</v>
      </c>
      <c r="I840" s="735">
        <v>1.0158776143986299E-3</v>
      </c>
      <c r="J840" s="735">
        <v>1.0652802624817399E-3</v>
      </c>
      <c r="L840" s="84"/>
      <c r="M840" s="84"/>
      <c r="N840" s="84"/>
      <c r="O840" s="84"/>
      <c r="P840" s="84"/>
      <c r="Q840" s="84"/>
      <c r="R840" s="84"/>
      <c r="S840" s="84"/>
    </row>
    <row r="841" spans="1:19">
      <c r="A841" s="629" t="s">
        <v>462</v>
      </c>
      <c r="B841" s="248">
        <v>2.4879213567894302E-3</v>
      </c>
      <c r="C841" s="248">
        <v>2.5655597277373498E-3</v>
      </c>
      <c r="D841" s="248">
        <v>2.32786143146931E-3</v>
      </c>
      <c r="E841" s="248">
        <v>2.0387795780224399E-3</v>
      </c>
      <c r="F841" s="248"/>
      <c r="G841" s="248">
        <v>1.5881653809475501E-3</v>
      </c>
      <c r="H841" s="735">
        <v>1.0184123998632499E-3</v>
      </c>
      <c r="I841" s="735">
        <v>9.5478290414328297E-4</v>
      </c>
      <c r="J841" s="735">
        <v>9.9383511392247409E-4</v>
      </c>
      <c r="L841" s="84"/>
      <c r="M841" s="84"/>
      <c r="N841" s="84"/>
      <c r="O841" s="84"/>
      <c r="P841" s="84"/>
      <c r="Q841" s="84"/>
      <c r="R841" s="84"/>
      <c r="S841" s="84"/>
    </row>
    <row r="842" spans="1:19">
      <c r="A842" s="629" t="s">
        <v>461</v>
      </c>
      <c r="B842" s="248">
        <v>2.4156203408808E-3</v>
      </c>
      <c r="C842" s="248">
        <v>4.0523893619024602E-3</v>
      </c>
      <c r="D842" s="248">
        <v>3.2258986239376499E-3</v>
      </c>
      <c r="E842" s="248">
        <v>1.9138713017646501E-3</v>
      </c>
      <c r="F842" s="248"/>
      <c r="G842" s="248">
        <v>1.69650178181564E-3</v>
      </c>
      <c r="H842" s="735">
        <v>1.10222921756722E-3</v>
      </c>
      <c r="I842" s="735">
        <v>1.2230023901691699E-3</v>
      </c>
      <c r="J842" s="735">
        <v>1.07358692652611E-3</v>
      </c>
      <c r="L842" s="84"/>
      <c r="M842" s="84"/>
      <c r="N842" s="84"/>
      <c r="O842" s="84"/>
      <c r="P842" s="84"/>
      <c r="Q842" s="84"/>
      <c r="R842" s="84"/>
      <c r="S842" s="84"/>
    </row>
    <row r="843" spans="1:19">
      <c r="A843" s="629" t="s">
        <v>460</v>
      </c>
      <c r="B843" s="248">
        <v>2.6256479069228901E-3</v>
      </c>
      <c r="C843" s="248">
        <v>3.63085077217014E-3</v>
      </c>
      <c r="D843" s="248">
        <v>3.3851015157955102E-3</v>
      </c>
      <c r="E843" s="248">
        <v>1.9878951467393801E-3</v>
      </c>
      <c r="F843" s="248"/>
      <c r="G843" s="248">
        <v>1.6232841267768E-3</v>
      </c>
      <c r="H843" s="735">
        <v>1.04462905516799E-3</v>
      </c>
      <c r="I843" s="735">
        <v>1.1461339319291199E-3</v>
      </c>
      <c r="J843" s="735">
        <v>1.01538602202422E-3</v>
      </c>
      <c r="L843" s="84"/>
      <c r="M843" s="84"/>
      <c r="N843" s="84"/>
      <c r="O843" s="84"/>
      <c r="P843" s="84"/>
      <c r="Q843" s="84"/>
      <c r="R843" s="84"/>
      <c r="S843" s="84"/>
    </row>
    <row r="844" spans="1:19">
      <c r="A844" s="629" t="s">
        <v>459</v>
      </c>
      <c r="B844" s="248">
        <v>4.3638503868609398E-3</v>
      </c>
      <c r="C844" s="248">
        <v>5.2333782517813001E-3</v>
      </c>
      <c r="D844" s="248">
        <v>2.6444079028520701E-3</v>
      </c>
      <c r="E844" s="248">
        <v>2.0518042283140699E-3</v>
      </c>
      <c r="F844" s="248"/>
      <c r="G844" s="248">
        <v>1.6081273146516699E-3</v>
      </c>
      <c r="H844" s="735">
        <v>1.14293043708126E-3</v>
      </c>
      <c r="I844" s="735">
        <v>1.05598513193258E-3</v>
      </c>
      <c r="J844" s="735">
        <v>1.11195672708439E-3</v>
      </c>
      <c r="L844" s="84"/>
      <c r="M844" s="84"/>
      <c r="N844" s="84"/>
      <c r="O844" s="84"/>
      <c r="P844" s="84"/>
      <c r="Q844" s="84"/>
      <c r="R844" s="84"/>
      <c r="S844" s="84"/>
    </row>
    <row r="845" spans="1:19">
      <c r="A845" s="629" t="s">
        <v>458</v>
      </c>
      <c r="B845" s="248">
        <v>4.6774478361946703E-3</v>
      </c>
      <c r="C845" s="248">
        <v>4.9238049232236099E-3</v>
      </c>
      <c r="D845" s="248">
        <v>2.4927879246945599E-3</v>
      </c>
      <c r="E845" s="248">
        <v>1.9804316354884999E-3</v>
      </c>
      <c r="F845" s="248"/>
      <c r="G845" s="248">
        <v>1.52784058645813E-3</v>
      </c>
      <c r="H845" s="735">
        <v>1.0707213842047201E-3</v>
      </c>
      <c r="I845" s="735">
        <v>1.4028905962444301E-3</v>
      </c>
      <c r="J845" s="735">
        <v>1.03913485668389E-3</v>
      </c>
      <c r="L845" s="84"/>
      <c r="M845" s="84"/>
      <c r="N845" s="84"/>
      <c r="O845" s="84"/>
      <c r="P845" s="84"/>
      <c r="Q845" s="84"/>
      <c r="R845" s="84"/>
      <c r="S845" s="84"/>
    </row>
    <row r="846" spans="1:19">
      <c r="A846" s="629" t="s">
        <v>457</v>
      </c>
      <c r="B846" s="248">
        <v>5.03928574144387E-3</v>
      </c>
      <c r="C846" s="248">
        <v>5.9732883326741402E-3</v>
      </c>
      <c r="D846" s="248">
        <v>2.1706330458935701E-3</v>
      </c>
      <c r="E846" s="248">
        <v>1.8800527676722501E-3</v>
      </c>
      <c r="F846" s="248"/>
      <c r="G846" s="248">
        <v>1.6376465968099801E-3</v>
      </c>
      <c r="H846" s="735">
        <v>1.0843914190069501E-3</v>
      </c>
      <c r="I846" s="735">
        <v>1.2788438402654501E-3</v>
      </c>
      <c r="J846" s="735">
        <v>1.05475625361599E-3</v>
      </c>
      <c r="L846" s="84"/>
      <c r="M846" s="84"/>
      <c r="N846" s="84"/>
      <c r="O846" s="84"/>
      <c r="P846" s="84"/>
      <c r="Q846" s="84"/>
      <c r="R846" s="84"/>
      <c r="S846" s="84"/>
    </row>
    <row r="847" spans="1:19">
      <c r="A847" s="629" t="s">
        <v>456</v>
      </c>
      <c r="B847" s="248">
        <v>4.8474001659647202E-3</v>
      </c>
      <c r="C847" s="248">
        <v>4.3476701091321804E-3</v>
      </c>
      <c r="D847" s="248">
        <v>2.0961059853395101E-3</v>
      </c>
      <c r="E847" s="248">
        <v>1.8087698578065799E-3</v>
      </c>
      <c r="F847" s="248"/>
      <c r="G847" s="248">
        <v>1.9707681847764302E-3</v>
      </c>
      <c r="H847" s="735">
        <v>1.0096071411347799E-3</v>
      </c>
      <c r="I847" s="735">
        <v>1.41163418353442E-3</v>
      </c>
      <c r="J847" s="735">
        <v>9.79564615996614E-4</v>
      </c>
      <c r="L847" s="84"/>
      <c r="M847" s="84"/>
      <c r="N847" s="84"/>
      <c r="O847" s="84"/>
      <c r="P847" s="84"/>
      <c r="Q847" s="84"/>
      <c r="R847" s="84"/>
      <c r="S847" s="84"/>
    </row>
    <row r="848" spans="1:19">
      <c r="A848" s="629" t="s">
        <v>455</v>
      </c>
      <c r="B848" s="248">
        <v>4.3137360722741696E-3</v>
      </c>
      <c r="C848" s="248">
        <v>3.2611538116327902E-3</v>
      </c>
      <c r="D848" s="248">
        <v>2.10442549994856E-3</v>
      </c>
      <c r="E848" s="248">
        <v>1.9833685152428802E-3</v>
      </c>
      <c r="F848" s="248"/>
      <c r="G848" s="248">
        <v>2.6238748032377502E-3</v>
      </c>
      <c r="H848" s="735">
        <v>9.4809858870374805E-4</v>
      </c>
      <c r="I848" s="735">
        <v>1.37374355935766E-3</v>
      </c>
      <c r="J848" s="735">
        <v>9.1753943178445204E-4</v>
      </c>
      <c r="L848" s="84"/>
      <c r="M848" s="84"/>
      <c r="N848" s="84"/>
      <c r="O848" s="84"/>
      <c r="P848" s="84"/>
      <c r="Q848" s="84"/>
      <c r="R848" s="84"/>
      <c r="S848" s="84"/>
    </row>
    <row r="849" spans="1:19">
      <c r="A849" s="629" t="s">
        <v>454</v>
      </c>
      <c r="B849" s="248">
        <v>4.2304996226321398E-3</v>
      </c>
      <c r="C849" s="248">
        <v>3.01258886774537E-3</v>
      </c>
      <c r="D849" s="248">
        <v>2.3482962411795201E-3</v>
      </c>
      <c r="E849" s="248">
        <v>1.9655062737929099E-3</v>
      </c>
      <c r="F849" s="248"/>
      <c r="G849" s="248">
        <v>2.4772616937687201E-3</v>
      </c>
      <c r="H849" s="735">
        <v>9.0186943828420105E-4</v>
      </c>
      <c r="I849" s="735">
        <v>1.2515816973736301E-3</v>
      </c>
      <c r="J849" s="735">
        <v>8.7088856024133705E-4</v>
      </c>
      <c r="L849" s="84"/>
      <c r="M849" s="84"/>
      <c r="N849" s="84"/>
      <c r="O849" s="84"/>
      <c r="P849" s="84"/>
      <c r="Q849" s="84"/>
      <c r="R849" s="84"/>
      <c r="S849" s="84"/>
    </row>
    <row r="850" spans="1:19">
      <c r="A850" s="629" t="s">
        <v>453</v>
      </c>
      <c r="B850" s="248">
        <v>3.8808940601293002E-3</v>
      </c>
      <c r="C850" s="248">
        <v>3.1208518988779699E-3</v>
      </c>
      <c r="D850" s="248">
        <v>2.4155505204601002E-3</v>
      </c>
      <c r="E850" s="248">
        <v>2.09961461753234E-3</v>
      </c>
      <c r="F850" s="248"/>
      <c r="G850" s="248">
        <v>2.4028193660029602E-3</v>
      </c>
      <c r="H850" s="735">
        <v>8.9811334717764197E-4</v>
      </c>
      <c r="I850" s="735">
        <v>1.1576196200101399E-3</v>
      </c>
      <c r="J850" s="735">
        <v>8.66141940013614E-4</v>
      </c>
      <c r="L850" s="84"/>
      <c r="M850" s="84"/>
      <c r="N850" s="84"/>
      <c r="O850" s="84"/>
      <c r="P850" s="84"/>
      <c r="Q850" s="84"/>
      <c r="R850" s="84"/>
      <c r="S850" s="84"/>
    </row>
    <row r="851" spans="1:19">
      <c r="A851" s="629" t="s">
        <v>452</v>
      </c>
      <c r="B851" s="248">
        <v>1.01890655779427E-2</v>
      </c>
      <c r="C851" s="248">
        <v>3.2519267999889501E-3</v>
      </c>
      <c r="D851" s="248">
        <v>3.9597685543744697E-3</v>
      </c>
      <c r="E851" s="248">
        <v>1.9755354654886498E-3</v>
      </c>
      <c r="F851" s="248"/>
      <c r="G851" s="248">
        <v>2.2450687217833798E-3</v>
      </c>
      <c r="H851" s="735">
        <v>8.5841181154954101E-4</v>
      </c>
      <c r="I851" s="735">
        <v>1.18054760139976E-3</v>
      </c>
      <c r="J851" s="735">
        <v>8.2691636703919604E-4</v>
      </c>
      <c r="L851" s="84"/>
      <c r="M851" s="84"/>
      <c r="N851" s="84"/>
      <c r="O851" s="84"/>
      <c r="P851" s="84"/>
      <c r="Q851" s="84"/>
      <c r="R851" s="84"/>
      <c r="S851" s="84"/>
    </row>
    <row r="852" spans="1:19">
      <c r="A852" s="629" t="s">
        <v>451</v>
      </c>
      <c r="B852" s="248">
        <v>2.0204336248678401E-2</v>
      </c>
      <c r="C852" s="248">
        <v>3.3112716427504498E-3</v>
      </c>
      <c r="D852" s="248">
        <v>4.6296455715356096E-3</v>
      </c>
      <c r="E852" s="248">
        <v>1.86175345922264E-3</v>
      </c>
      <c r="F852" s="248"/>
      <c r="G852" s="248">
        <v>2.0806100031684101E-3</v>
      </c>
      <c r="H852" s="735">
        <v>1.1947954335623299E-3</v>
      </c>
      <c r="I852" s="735">
        <v>1.6290723573097201E-3</v>
      </c>
      <c r="J852" s="735">
        <v>1.16573915805761E-3</v>
      </c>
      <c r="L852" s="84"/>
      <c r="M852" s="84"/>
      <c r="N852" s="84"/>
      <c r="O852" s="84"/>
      <c r="P852" s="84"/>
      <c r="Q852" s="84"/>
      <c r="R852" s="84"/>
      <c r="S852" s="84"/>
    </row>
    <row r="853" spans="1:19">
      <c r="A853" s="629" t="s">
        <v>450</v>
      </c>
      <c r="B853" s="248">
        <v>1.7627840111195201E-2</v>
      </c>
      <c r="C853" s="248">
        <v>2.9101953788736499E-3</v>
      </c>
      <c r="D853" s="248">
        <v>3.4088394921994499E-3</v>
      </c>
      <c r="E853" s="248">
        <v>1.80106005530571E-3</v>
      </c>
      <c r="F853" s="248"/>
      <c r="G853" s="248">
        <v>2.02473480245905E-3</v>
      </c>
      <c r="H853" s="735">
        <v>1.1183188259142099E-3</v>
      </c>
      <c r="I853" s="735">
        <v>1.48986202601931E-3</v>
      </c>
      <c r="J853" s="735">
        <v>1.08921838294571E-3</v>
      </c>
      <c r="L853" s="84"/>
      <c r="M853" s="84"/>
      <c r="N853" s="84"/>
      <c r="O853" s="84"/>
      <c r="P853" s="84"/>
      <c r="Q853" s="84"/>
      <c r="R853" s="84"/>
      <c r="S853" s="84"/>
    </row>
    <row r="854" spans="1:19">
      <c r="A854" s="629" t="s">
        <v>449</v>
      </c>
      <c r="B854" s="248">
        <v>1.53750960103673E-2</v>
      </c>
      <c r="C854" s="248">
        <v>2.76703354431964E-3</v>
      </c>
      <c r="D854" s="248">
        <v>3.26630343251424E-3</v>
      </c>
      <c r="E854" s="248">
        <v>1.8861794149209099E-3</v>
      </c>
      <c r="F854" s="248"/>
      <c r="G854" s="248">
        <v>2.0574611368452101E-3</v>
      </c>
      <c r="H854" s="735">
        <v>1.3226469712976101E-3</v>
      </c>
      <c r="I854" s="735">
        <v>1.3522668026431401E-3</v>
      </c>
      <c r="J854" s="735">
        <v>1.29731518694831E-3</v>
      </c>
      <c r="L854" s="84"/>
      <c r="M854" s="84"/>
      <c r="N854" s="84"/>
      <c r="O854" s="84"/>
      <c r="P854" s="84"/>
      <c r="Q854" s="84"/>
      <c r="R854" s="84"/>
      <c r="S854" s="84"/>
    </row>
    <row r="855" spans="1:19">
      <c r="A855" s="629" t="s">
        <v>448</v>
      </c>
      <c r="B855" s="248">
        <v>1.34383829952541E-2</v>
      </c>
      <c r="C855" s="248">
        <v>2.75723632599799E-3</v>
      </c>
      <c r="D855" s="248">
        <v>3.9149880177891203E-3</v>
      </c>
      <c r="E855" s="248">
        <v>3.2196002863807099E-3</v>
      </c>
      <c r="F855" s="248"/>
      <c r="G855" s="248">
        <v>2.09373130196313E-3</v>
      </c>
      <c r="H855" s="735">
        <v>1.2452520712614001E-3</v>
      </c>
      <c r="I855" s="735">
        <v>1.4243847306423499E-3</v>
      </c>
      <c r="J855" s="735">
        <v>1.22060311566805E-3</v>
      </c>
      <c r="L855" s="84"/>
      <c r="M855" s="84"/>
      <c r="N855" s="84"/>
      <c r="O855" s="84"/>
      <c r="P855" s="84"/>
      <c r="Q855" s="84"/>
      <c r="R855" s="84"/>
      <c r="S855" s="84"/>
    </row>
    <row r="856" spans="1:19">
      <c r="A856" s="629" t="s">
        <v>447</v>
      </c>
      <c r="B856" s="248">
        <v>1.1724097388943099E-2</v>
      </c>
      <c r="C856" s="248">
        <v>3.43519269389265E-3</v>
      </c>
      <c r="D856" s="248">
        <v>2.98092182485481E-3</v>
      </c>
      <c r="E856" s="248">
        <v>2.9109238566657298E-3</v>
      </c>
      <c r="F856" s="248"/>
      <c r="G856" s="248">
        <v>1.96320255542145E-3</v>
      </c>
      <c r="H856" s="735">
        <v>1.72519266993168E-3</v>
      </c>
      <c r="I856" s="735">
        <v>1.3124456149909999E-3</v>
      </c>
      <c r="J856" s="735">
        <v>1.7022573393489101E-3</v>
      </c>
      <c r="L856" s="84"/>
      <c r="M856" s="84"/>
      <c r="N856" s="84"/>
      <c r="O856" s="84"/>
      <c r="P856" s="84"/>
      <c r="Q856" s="84"/>
      <c r="R856" s="84"/>
      <c r="S856" s="84"/>
    </row>
    <row r="857" spans="1:19">
      <c r="A857" s="629" t="s">
        <v>446</v>
      </c>
      <c r="B857" s="248">
        <v>1.06358796366309E-2</v>
      </c>
      <c r="C857" s="248">
        <v>2.9141661220362502E-3</v>
      </c>
      <c r="D857" s="248">
        <v>2.4955033139426801E-3</v>
      </c>
      <c r="E857" s="248">
        <v>2.9002541084729699E-3</v>
      </c>
      <c r="F857" s="248"/>
      <c r="G857" s="248">
        <v>1.8531059357654899E-3</v>
      </c>
      <c r="H857" s="735">
        <v>1.6571438498505799E-3</v>
      </c>
      <c r="I857" s="735">
        <v>1.21955334811951E-3</v>
      </c>
      <c r="J857" s="735">
        <v>1.63496241122645E-3</v>
      </c>
      <c r="L857" s="84"/>
      <c r="M857" s="84"/>
      <c r="N857" s="84"/>
      <c r="O857" s="84"/>
      <c r="P857" s="84"/>
      <c r="Q857" s="84"/>
      <c r="R857" s="84"/>
      <c r="S857" s="84"/>
    </row>
    <row r="858" spans="1:19">
      <c r="A858" s="629" t="s">
        <v>445</v>
      </c>
      <c r="B858" s="248">
        <v>9.9026292384231992E-3</v>
      </c>
      <c r="C858" s="248">
        <v>2.6973767786468098E-3</v>
      </c>
      <c r="D858" s="248">
        <v>2.2219888168945202E-3</v>
      </c>
      <c r="E858" s="248">
        <v>2.8259436471060901E-3</v>
      </c>
      <c r="F858" s="248"/>
      <c r="G858" s="248">
        <v>1.7429624150415901E-3</v>
      </c>
      <c r="H858" s="735">
        <v>1.82492508376737E-3</v>
      </c>
      <c r="I858" s="735">
        <v>1.11687539167432E-3</v>
      </c>
      <c r="J858" s="735">
        <v>1.8069849199088401E-3</v>
      </c>
      <c r="L858" s="84"/>
      <c r="M858" s="84"/>
      <c r="N858" s="84"/>
      <c r="O858" s="84"/>
      <c r="P858" s="84"/>
      <c r="Q858" s="84"/>
      <c r="R858" s="84"/>
      <c r="S858" s="84"/>
    </row>
    <row r="859" spans="1:19">
      <c r="A859" s="629" t="s">
        <v>444</v>
      </c>
      <c r="B859" s="248">
        <v>9.0421734799450895E-3</v>
      </c>
      <c r="C859" s="248">
        <v>3.10579389900864E-3</v>
      </c>
      <c r="D859" s="248">
        <v>2.1123844006934898E-3</v>
      </c>
      <c r="E859" s="248">
        <v>2.7161365052731199E-3</v>
      </c>
      <c r="F859" s="248"/>
      <c r="G859" s="248">
        <v>1.80629096947754E-3</v>
      </c>
      <c r="H859" s="735">
        <v>1.6186631694491201E-3</v>
      </c>
      <c r="I859" s="735">
        <v>1.06022170664583E-3</v>
      </c>
      <c r="J859" s="735">
        <v>1.6009764487054201E-3</v>
      </c>
      <c r="L859" s="84"/>
      <c r="M859" s="84"/>
      <c r="N859" s="84"/>
      <c r="O859" s="84"/>
      <c r="P859" s="84"/>
      <c r="Q859" s="84"/>
      <c r="R859" s="84"/>
      <c r="S859" s="84"/>
    </row>
    <row r="860" spans="1:19">
      <c r="A860" s="629" t="s">
        <v>443</v>
      </c>
      <c r="B860" s="248">
        <v>7.9340953995487799E-3</v>
      </c>
      <c r="C860" s="248">
        <v>2.7645317053441101E-3</v>
      </c>
      <c r="D860" s="248">
        <v>2.1596254934273902E-3</v>
      </c>
      <c r="E860" s="248">
        <v>2.4387903181738702E-3</v>
      </c>
      <c r="F860" s="248"/>
      <c r="G860" s="248">
        <v>2.4690659819797201E-3</v>
      </c>
      <c r="H860" s="735">
        <v>1.80746164691084E-3</v>
      </c>
      <c r="I860" s="735">
        <v>1.1351343724911201E-3</v>
      </c>
      <c r="J860" s="735">
        <v>1.7921019357975999E-3</v>
      </c>
      <c r="L860" s="84"/>
      <c r="M860" s="84"/>
      <c r="N860" s="84"/>
      <c r="O860" s="84"/>
      <c r="P860" s="84"/>
      <c r="Q860" s="84"/>
      <c r="R860" s="84"/>
      <c r="S860" s="84"/>
    </row>
    <row r="861" spans="1:19">
      <c r="A861" s="629" t="s">
        <v>442</v>
      </c>
      <c r="B861" s="248">
        <v>8.7690436980323496E-3</v>
      </c>
      <c r="C861" s="248">
        <v>2.61916845732985E-3</v>
      </c>
      <c r="D861" s="248">
        <v>2.03316771329831E-3</v>
      </c>
      <c r="E861" s="248">
        <v>2.2273406603262498E-3</v>
      </c>
      <c r="F861" s="248"/>
      <c r="G861" s="248">
        <v>2.5960437831152E-3</v>
      </c>
      <c r="H861" s="735">
        <v>1.90732117965855E-3</v>
      </c>
      <c r="I861" s="735">
        <v>1.1019603246155401E-3</v>
      </c>
      <c r="J861" s="735">
        <v>1.8959514311296601E-3</v>
      </c>
      <c r="L861" s="84"/>
      <c r="M861" s="84"/>
      <c r="N861" s="84"/>
      <c r="O861" s="84"/>
      <c r="P861" s="84"/>
      <c r="Q861" s="84"/>
      <c r="R861" s="84"/>
      <c r="S861" s="84"/>
    </row>
    <row r="862" spans="1:19">
      <c r="A862" s="629" t="s">
        <v>441</v>
      </c>
      <c r="B862" s="248">
        <v>7.6957268039509197E-3</v>
      </c>
      <c r="C862" s="248">
        <v>3.5264070202238999E-3</v>
      </c>
      <c r="D862" s="248">
        <v>2.0411799333068998E-3</v>
      </c>
      <c r="E862" s="248">
        <v>2.0558844934424302E-3</v>
      </c>
      <c r="F862" s="248"/>
      <c r="G862" s="248">
        <v>2.5202765031477202E-3</v>
      </c>
      <c r="H862" s="735">
        <v>2.0084755477087299E-3</v>
      </c>
      <c r="I862" s="735">
        <v>1.1387321593576401E-3</v>
      </c>
      <c r="J862" s="735">
        <v>2.0014940157487E-3</v>
      </c>
      <c r="L862" s="84"/>
      <c r="M862" s="84"/>
      <c r="N862" s="84"/>
      <c r="O862" s="84"/>
      <c r="P862" s="84"/>
      <c r="Q862" s="84"/>
      <c r="R862" s="84"/>
      <c r="S862" s="84"/>
    </row>
    <row r="863" spans="1:19">
      <c r="A863" s="629" t="s">
        <v>440</v>
      </c>
      <c r="B863" s="248">
        <v>6.7876988138167197E-3</v>
      </c>
      <c r="C863" s="248">
        <v>2.93013317535131E-3</v>
      </c>
      <c r="D863" s="248">
        <v>1.9897862439308598E-3</v>
      </c>
      <c r="E863" s="248">
        <v>2.4479085061686399E-3</v>
      </c>
      <c r="F863" s="248"/>
      <c r="G863" s="248">
        <v>2.3418150714431302E-3</v>
      </c>
      <c r="H863" s="735">
        <v>1.90678067230062E-3</v>
      </c>
      <c r="I863" s="735">
        <v>1.10414160472707E-3</v>
      </c>
      <c r="J863" s="735">
        <v>1.90322635638674E-3</v>
      </c>
      <c r="L863" s="84"/>
      <c r="M863" s="84"/>
      <c r="N863" s="84"/>
      <c r="O863" s="84"/>
      <c r="P863" s="84"/>
      <c r="Q863" s="84"/>
      <c r="R863" s="84"/>
      <c r="S863" s="84"/>
    </row>
    <row r="864" spans="1:19">
      <c r="A864" s="629" t="s">
        <v>439</v>
      </c>
      <c r="B864" s="248">
        <v>6.0193520989851703E-3</v>
      </c>
      <c r="C864" s="248">
        <v>2.68749003008718E-3</v>
      </c>
      <c r="D864" s="248">
        <v>2.09262736369995E-3</v>
      </c>
      <c r="E864" s="248">
        <v>2.2308664405761699E-3</v>
      </c>
      <c r="F864" s="248"/>
      <c r="G864" s="248">
        <v>2.66459525811889E-3</v>
      </c>
      <c r="H864" s="735">
        <v>2.2840521722152802E-3</v>
      </c>
      <c r="I864" s="735">
        <v>1.04039239749511E-3</v>
      </c>
      <c r="J864" s="735">
        <v>2.2937703663090899E-3</v>
      </c>
      <c r="L864" s="84"/>
      <c r="M864" s="84"/>
      <c r="N864" s="84"/>
      <c r="O864" s="84"/>
      <c r="P864" s="84"/>
      <c r="Q864" s="84"/>
      <c r="R864" s="84"/>
      <c r="S864" s="84"/>
    </row>
    <row r="865" spans="1:19">
      <c r="A865" s="629" t="s">
        <v>438</v>
      </c>
      <c r="B865" s="248">
        <v>6.9203118636184096E-3</v>
      </c>
      <c r="C865" s="248">
        <v>2.5907228415404898E-3</v>
      </c>
      <c r="D865" s="248">
        <v>2.4518006671447302E-3</v>
      </c>
      <c r="E865" s="248">
        <v>2.3260727291245899E-3</v>
      </c>
      <c r="F865" s="248"/>
      <c r="G865" s="248">
        <v>2.5565104754476098E-3</v>
      </c>
      <c r="H865" s="735">
        <v>2.58962222957286E-3</v>
      </c>
      <c r="I865" s="735">
        <v>1.03377974553034E-3</v>
      </c>
      <c r="J865" s="735">
        <v>2.6113679879438E-3</v>
      </c>
      <c r="L865" s="84"/>
      <c r="M865" s="84"/>
      <c r="N865" s="84"/>
      <c r="O865" s="84"/>
      <c r="P865" s="84"/>
      <c r="Q865" s="84"/>
      <c r="R865" s="84"/>
      <c r="S865" s="84"/>
    </row>
    <row r="866" spans="1:19">
      <c r="A866" s="629" t="s">
        <v>437</v>
      </c>
      <c r="B866" s="248">
        <v>7.3114062427431896E-3</v>
      </c>
      <c r="C866" s="248">
        <v>2.57630970683243E-3</v>
      </c>
      <c r="D866" s="248">
        <v>2.3517283518207301E-3</v>
      </c>
      <c r="E866" s="248">
        <v>2.1849016868593701E-3</v>
      </c>
      <c r="F866" s="248"/>
      <c r="G866" s="248">
        <v>2.3594620869618098E-3</v>
      </c>
      <c r="H866" s="735">
        <v>2.46608993740443E-3</v>
      </c>
      <c r="I866" s="735">
        <v>1.09013701271506E-3</v>
      </c>
      <c r="J866" s="735">
        <v>2.4925951115179301E-3</v>
      </c>
      <c r="L866" s="84"/>
      <c r="M866" s="84"/>
      <c r="N866" s="84"/>
      <c r="O866" s="84"/>
      <c r="P866" s="84"/>
      <c r="Q866" s="84"/>
      <c r="R866" s="84"/>
      <c r="S866" s="84"/>
    </row>
    <row r="867" spans="1:19">
      <c r="A867" s="629" t="s">
        <v>436</v>
      </c>
      <c r="B867" s="248">
        <v>6.4397408406001401E-3</v>
      </c>
      <c r="C867" s="248">
        <v>2.57078742461194E-3</v>
      </c>
      <c r="D867" s="248">
        <v>2.8324976763924501E-3</v>
      </c>
      <c r="E867" s="248">
        <v>2.2232288339025701E-3</v>
      </c>
      <c r="F867" s="248"/>
      <c r="G867" s="248">
        <v>2.2135712694468898E-3</v>
      </c>
      <c r="H867" s="735">
        <v>2.4250679742355602E-3</v>
      </c>
      <c r="I867" s="735">
        <v>1.0041544156047699E-3</v>
      </c>
      <c r="J867" s="735">
        <v>2.4461322388552799E-3</v>
      </c>
      <c r="L867" s="84"/>
      <c r="M867" s="84"/>
      <c r="N867" s="84"/>
      <c r="O867" s="84"/>
      <c r="P867" s="84"/>
      <c r="Q867" s="84"/>
      <c r="R867" s="84"/>
      <c r="S867" s="84"/>
    </row>
    <row r="868" spans="1:19">
      <c r="A868" s="629" t="s">
        <v>435</v>
      </c>
      <c r="B868" s="248">
        <v>5.8770840283783503E-3</v>
      </c>
      <c r="C868" s="248">
        <v>3.4664110434805499E-3</v>
      </c>
      <c r="D868" s="248">
        <v>3.51239349847516E-3</v>
      </c>
      <c r="E868" s="248">
        <v>4.1099757162532703E-3</v>
      </c>
      <c r="F868" s="248"/>
      <c r="G868" s="248">
        <v>2.1275625230349799E-3</v>
      </c>
      <c r="H868" s="735">
        <v>2.26319880437188E-3</v>
      </c>
      <c r="I868" s="735">
        <v>1.3574898036511601E-3</v>
      </c>
      <c r="J868" s="735">
        <v>2.2782209995905601E-3</v>
      </c>
      <c r="L868" s="84"/>
      <c r="M868" s="84"/>
      <c r="N868" s="84"/>
      <c r="O868" s="84"/>
      <c r="P868" s="84"/>
      <c r="Q868" s="84"/>
      <c r="R868" s="84"/>
      <c r="S868" s="84"/>
    </row>
    <row r="869" spans="1:19">
      <c r="A869" s="629" t="s">
        <v>434</v>
      </c>
      <c r="B869" s="248">
        <v>6.6864817662284602E-3</v>
      </c>
      <c r="C869" s="248">
        <v>7.7850485878199101E-3</v>
      </c>
      <c r="D869" s="248">
        <v>3.4790190351746799E-3</v>
      </c>
      <c r="E869" s="248">
        <v>4.6670825155850099E-3</v>
      </c>
      <c r="F869" s="248"/>
      <c r="G869" s="248">
        <v>2.7867747392747101E-3</v>
      </c>
      <c r="H869" s="735">
        <v>1.9809754289935601E-3</v>
      </c>
      <c r="I869" s="735">
        <v>1.7220731979290199E-3</v>
      </c>
      <c r="J869" s="735">
        <v>1.9920545184176101E-3</v>
      </c>
      <c r="L869" s="84"/>
      <c r="M869" s="84"/>
      <c r="N869" s="84"/>
      <c r="O869" s="84"/>
      <c r="P869" s="84"/>
      <c r="Q869" s="84"/>
      <c r="R869" s="84"/>
      <c r="S869" s="84"/>
    </row>
    <row r="870" spans="1:19">
      <c r="A870" s="629" t="s">
        <v>433</v>
      </c>
      <c r="B870" s="248">
        <v>6.5188883729893803E-3</v>
      </c>
      <c r="C870" s="248">
        <v>8.5842433648714092E-3</v>
      </c>
      <c r="D870" s="248">
        <v>3.0979719268854899E-3</v>
      </c>
      <c r="E870" s="248">
        <v>6.5036804589437497E-3</v>
      </c>
      <c r="F870" s="248"/>
      <c r="G870" s="248">
        <v>3.9049493493727998E-3</v>
      </c>
      <c r="H870" s="735">
        <v>1.7460098223458099E-3</v>
      </c>
      <c r="I870" s="735">
        <v>1.802468643872E-3</v>
      </c>
      <c r="J870" s="735">
        <v>1.75239841930245E-3</v>
      </c>
      <c r="L870" s="84"/>
      <c r="M870" s="84"/>
      <c r="N870" s="84"/>
      <c r="O870" s="84"/>
      <c r="P870" s="84"/>
      <c r="Q870" s="84"/>
      <c r="R870" s="84"/>
      <c r="S870" s="84"/>
    </row>
    <row r="871" spans="1:19">
      <c r="A871" s="629" t="s">
        <v>432</v>
      </c>
      <c r="B871" s="248">
        <v>5.75375831198199E-3</v>
      </c>
      <c r="C871" s="248">
        <v>4.9112948072194702E-3</v>
      </c>
      <c r="D871" s="248">
        <v>2.4844233168941402E-3</v>
      </c>
      <c r="E871" s="248">
        <v>5.6668971163064503E-3</v>
      </c>
      <c r="F871" s="248"/>
      <c r="G871" s="248">
        <v>3.5861797450319E-3</v>
      </c>
      <c r="H871" s="735">
        <v>2.0601616055836401E-3</v>
      </c>
      <c r="I871" s="735">
        <v>1.69434415550334E-3</v>
      </c>
      <c r="J871" s="735">
        <v>2.0578892864272498E-3</v>
      </c>
      <c r="L871" s="84"/>
      <c r="M871" s="84"/>
      <c r="N871" s="84"/>
      <c r="O871" s="84"/>
      <c r="P871" s="84"/>
      <c r="Q871" s="84"/>
      <c r="R871" s="84"/>
      <c r="S871" s="84"/>
    </row>
    <row r="872" spans="1:19">
      <c r="A872" s="629" t="s">
        <v>431</v>
      </c>
      <c r="B872" s="248">
        <v>5.1156403495911298E-3</v>
      </c>
      <c r="C872" s="248">
        <v>4.5048682108164498E-3</v>
      </c>
      <c r="D872" s="248">
        <v>4.5088911908201202E-3</v>
      </c>
      <c r="E872" s="248">
        <v>4.7928286301260597E-3</v>
      </c>
      <c r="F872" s="248"/>
      <c r="G872" s="248">
        <v>3.3044606723556498E-3</v>
      </c>
      <c r="H872" s="735">
        <v>2.0165539115812401E-3</v>
      </c>
      <c r="I872" s="735">
        <v>1.8637074165555501E-3</v>
      </c>
      <c r="J872" s="735">
        <v>2.0173669250383602E-3</v>
      </c>
      <c r="L872" s="84"/>
      <c r="M872" s="84"/>
      <c r="N872" s="84"/>
      <c r="O872" s="84"/>
      <c r="P872" s="84"/>
      <c r="Q872" s="84"/>
      <c r="R872" s="84"/>
      <c r="S872" s="84"/>
    </row>
    <row r="873" spans="1:19">
      <c r="A873" s="629" t="s">
        <v>430</v>
      </c>
      <c r="B873" s="248">
        <v>4.5979943988755699E-3</v>
      </c>
      <c r="C873" s="248">
        <v>3.8743660479626601E-3</v>
      </c>
      <c r="D873" s="248">
        <v>3.8324310355524198E-3</v>
      </c>
      <c r="E873" s="248">
        <v>4.2832886867040301E-3</v>
      </c>
      <c r="F873" s="248"/>
      <c r="G873" s="248">
        <v>3.07070781305064E-3</v>
      </c>
      <c r="H873" s="735">
        <v>1.77536239947994E-3</v>
      </c>
      <c r="I873" s="735">
        <v>1.7631195960707299E-3</v>
      </c>
      <c r="J873" s="735">
        <v>1.77341699133145E-3</v>
      </c>
      <c r="L873" s="84"/>
      <c r="M873" s="84"/>
      <c r="N873" s="84"/>
      <c r="O873" s="84"/>
      <c r="P873" s="84"/>
      <c r="Q873" s="84"/>
      <c r="R873" s="84"/>
      <c r="S873" s="84"/>
    </row>
    <row r="874" spans="1:19">
      <c r="A874" s="629" t="s">
        <v>429</v>
      </c>
      <c r="B874" s="248">
        <v>4.2509140712963201E-3</v>
      </c>
      <c r="C874" s="248">
        <v>3.8686637777795201E-3</v>
      </c>
      <c r="D874" s="248">
        <v>2.8756368552179199E-3</v>
      </c>
      <c r="E874" s="248">
        <v>3.6792574462690699E-3</v>
      </c>
      <c r="F874" s="248"/>
      <c r="G874" s="248">
        <v>2.82666112925508E-3</v>
      </c>
      <c r="H874" s="735">
        <v>1.6753380074975401E-3</v>
      </c>
      <c r="I874" s="735">
        <v>1.6105206402944299E-3</v>
      </c>
      <c r="J874" s="735">
        <v>1.6734917577878E-3</v>
      </c>
      <c r="L874" s="84"/>
      <c r="M874" s="84"/>
      <c r="N874" s="84"/>
      <c r="O874" s="84"/>
      <c r="P874" s="84"/>
      <c r="Q874" s="84"/>
      <c r="R874" s="84"/>
      <c r="S874" s="84"/>
    </row>
    <row r="875" spans="1:19">
      <c r="A875" s="629" t="s">
        <v>428</v>
      </c>
      <c r="B875" s="248">
        <v>3.8542666395948201E-3</v>
      </c>
      <c r="C875" s="248">
        <v>3.0702552611828302E-3</v>
      </c>
      <c r="D875" s="248">
        <v>2.7707199950760199E-3</v>
      </c>
      <c r="E875" s="248">
        <v>3.2020554321022E-3</v>
      </c>
      <c r="F875" s="248"/>
      <c r="G875" s="248">
        <v>2.6040060325920001E-3</v>
      </c>
      <c r="H875" s="735">
        <v>1.61438425019016E-3</v>
      </c>
      <c r="I875" s="735">
        <v>1.5453452145156199E-3</v>
      </c>
      <c r="J875" s="735">
        <v>1.61270555982064E-3</v>
      </c>
      <c r="L875" s="84"/>
      <c r="M875" s="84"/>
      <c r="N875" s="84"/>
      <c r="O875" s="84"/>
      <c r="P875" s="84"/>
      <c r="Q875" s="84"/>
      <c r="R875" s="84"/>
      <c r="S875" s="84"/>
    </row>
    <row r="876" spans="1:19">
      <c r="A876" s="629" t="s">
        <v>427</v>
      </c>
      <c r="B876" s="248">
        <v>3.7653238871736801E-3</v>
      </c>
      <c r="C876" s="248">
        <v>3.3226773903903299E-3</v>
      </c>
      <c r="D876" s="248">
        <v>3.0939586192196898E-3</v>
      </c>
      <c r="E876" s="248">
        <v>3.26941232202611E-3</v>
      </c>
      <c r="F876" s="248"/>
      <c r="G876" s="248">
        <v>2.6978279129835502E-3</v>
      </c>
      <c r="H876" s="735">
        <v>1.49936325143313E-3</v>
      </c>
      <c r="I876" s="735">
        <v>1.75625551548677E-3</v>
      </c>
      <c r="J876" s="735">
        <v>1.4953673109711801E-3</v>
      </c>
      <c r="L876" s="84"/>
      <c r="M876" s="84"/>
      <c r="N876" s="84"/>
      <c r="O876" s="84"/>
      <c r="P876" s="84"/>
      <c r="Q876" s="84"/>
      <c r="R876" s="84"/>
      <c r="S876" s="84"/>
    </row>
    <row r="877" spans="1:19">
      <c r="A877" s="629" t="s">
        <v>426</v>
      </c>
      <c r="B877" s="248">
        <v>3.5021853285725798E-3</v>
      </c>
      <c r="C877" s="248">
        <v>3.01300749582731E-3</v>
      </c>
      <c r="D877" s="248">
        <v>5.3282439680727199E-3</v>
      </c>
      <c r="E877" s="248">
        <v>3.6872127560698101E-3</v>
      </c>
      <c r="F877" s="248"/>
      <c r="G877" s="248">
        <v>2.6150954085225799E-3</v>
      </c>
      <c r="H877" s="735">
        <v>4.4448386586976004E-3</v>
      </c>
      <c r="I877" s="735">
        <v>1.59070490622673E-3</v>
      </c>
      <c r="J877" s="735">
        <v>4.4869135589670397E-3</v>
      </c>
      <c r="L877" s="84"/>
      <c r="M877" s="84"/>
      <c r="N877" s="84"/>
      <c r="O877" s="84"/>
      <c r="P877" s="84"/>
      <c r="Q877" s="84"/>
      <c r="R877" s="84"/>
      <c r="S877" s="84"/>
    </row>
    <row r="878" spans="1:19">
      <c r="A878" s="629" t="s">
        <v>425</v>
      </c>
      <c r="B878" s="248">
        <v>3.1589649611132001E-3</v>
      </c>
      <c r="C878" s="248">
        <v>3.4712289413675302E-3</v>
      </c>
      <c r="D878" s="248">
        <v>8.1714455738641101E-3</v>
      </c>
      <c r="E878" s="248">
        <v>5.1271577127356199E-3</v>
      </c>
      <c r="F878" s="248"/>
      <c r="G878" s="248">
        <v>2.4814510266878398E-3</v>
      </c>
      <c r="H878" s="735">
        <v>4.0474117834956398E-3</v>
      </c>
      <c r="I878" s="735">
        <v>2.0500730850941001E-3</v>
      </c>
      <c r="J878" s="735">
        <v>4.09491482169334E-3</v>
      </c>
      <c r="L878" s="84"/>
      <c r="M878" s="84"/>
      <c r="N878" s="84"/>
      <c r="O878" s="84"/>
      <c r="P878" s="84"/>
      <c r="Q878" s="84"/>
      <c r="R878" s="84"/>
      <c r="S878" s="84"/>
    </row>
    <row r="879" spans="1:19">
      <c r="A879" s="629" t="s">
        <v>424</v>
      </c>
      <c r="B879" s="248">
        <v>2.9412084711304002E-3</v>
      </c>
      <c r="C879" s="248">
        <v>3.8845400634308501E-3</v>
      </c>
      <c r="D879" s="248">
        <v>8.0731939333288007E-3</v>
      </c>
      <c r="E879" s="248">
        <v>4.3431995431542003E-3</v>
      </c>
      <c r="F879" s="248"/>
      <c r="G879" s="248">
        <v>3.3292631091950201E-3</v>
      </c>
      <c r="H879" s="735">
        <v>3.98996067837848E-3</v>
      </c>
      <c r="I879" s="735">
        <v>1.9106810501825801E-3</v>
      </c>
      <c r="J879" s="735">
        <v>4.0401815418500504E-3</v>
      </c>
      <c r="L879" s="84"/>
      <c r="M879" s="84"/>
      <c r="N879" s="84"/>
      <c r="O879" s="84"/>
      <c r="P879" s="84"/>
      <c r="Q879" s="84"/>
      <c r="R879" s="84"/>
      <c r="S879" s="84"/>
    </row>
    <row r="880" spans="1:19">
      <c r="A880" s="629" t="s">
        <v>423</v>
      </c>
      <c r="B880" s="248">
        <v>2.7635318737735701E-3</v>
      </c>
      <c r="C880" s="248">
        <v>3.05875268833353E-3</v>
      </c>
      <c r="D880" s="248">
        <v>5.4139030254986304E-3</v>
      </c>
      <c r="E880" s="248">
        <v>3.7257659304274098E-3</v>
      </c>
      <c r="F880" s="248"/>
      <c r="G880" s="248">
        <v>3.1362464598941701E-3</v>
      </c>
      <c r="H880" s="735">
        <v>3.6477798850794701E-3</v>
      </c>
      <c r="I880" s="735">
        <v>1.72144879372782E-3</v>
      </c>
      <c r="J880" s="735">
        <v>3.6985757125942201E-3</v>
      </c>
      <c r="L880" s="84"/>
      <c r="M880" s="84"/>
      <c r="N880" s="84"/>
      <c r="O880" s="84"/>
      <c r="P880" s="84"/>
      <c r="Q880" s="84"/>
      <c r="R880" s="84"/>
      <c r="S880" s="84"/>
    </row>
    <row r="881" spans="1:19">
      <c r="A881" s="629" t="s">
        <v>422</v>
      </c>
      <c r="B881" s="248">
        <v>2.7041406468621999E-3</v>
      </c>
      <c r="C881" s="248">
        <v>2.7782577176756799E-3</v>
      </c>
      <c r="D881" s="248">
        <v>3.9794686186833796E-3</v>
      </c>
      <c r="E881" s="248">
        <v>4.4243959008880502E-3</v>
      </c>
      <c r="F881" s="248"/>
      <c r="G881" s="248">
        <v>3.3885724936078602E-3</v>
      </c>
      <c r="H881" s="735">
        <v>3.34478999601636E-3</v>
      </c>
      <c r="I881" s="735">
        <v>1.60216073235897E-3</v>
      </c>
      <c r="J881" s="735">
        <v>3.39482428718639E-3</v>
      </c>
      <c r="L881" s="84"/>
      <c r="M881" s="84"/>
      <c r="N881" s="84"/>
      <c r="O881" s="84"/>
      <c r="P881" s="84"/>
      <c r="Q881" s="84"/>
      <c r="R881" s="84"/>
      <c r="S881" s="84"/>
    </row>
    <row r="882" spans="1:19">
      <c r="A882" s="629" t="s">
        <v>421</v>
      </c>
      <c r="B882" s="248">
        <v>3.2277345043861499E-3</v>
      </c>
      <c r="C882" s="248">
        <v>4.3610867969997996E-3</v>
      </c>
      <c r="D882" s="248">
        <v>6.9267990209062099E-3</v>
      </c>
      <c r="E882" s="248">
        <v>4.80230476883803E-3</v>
      </c>
      <c r="F882" s="248"/>
      <c r="G882" s="248">
        <v>4.6259961199686299E-3</v>
      </c>
      <c r="H882" s="735">
        <v>2.9641515316586398E-3</v>
      </c>
      <c r="I882" s="735">
        <v>1.7562093774037501E-3</v>
      </c>
      <c r="J882" s="735">
        <v>3.0068427689086499E-3</v>
      </c>
      <c r="L882" s="84"/>
      <c r="M882" s="84"/>
      <c r="N882" s="84"/>
      <c r="O882" s="84"/>
      <c r="P882" s="84"/>
      <c r="Q882" s="84"/>
      <c r="R882" s="84"/>
      <c r="S882" s="84"/>
    </row>
    <row r="883" spans="1:19">
      <c r="A883" s="629" t="s">
        <v>420</v>
      </c>
      <c r="B883" s="248">
        <v>6.9148599795943299E-3</v>
      </c>
      <c r="C883" s="248">
        <v>3.8548325330510398E-3</v>
      </c>
      <c r="D883" s="248">
        <v>5.4479575870073097E-3</v>
      </c>
      <c r="E883" s="248">
        <v>4.1931419626347497E-3</v>
      </c>
      <c r="F883" s="248"/>
      <c r="G883" s="248">
        <v>4.3157944068999698E-3</v>
      </c>
      <c r="H883" s="735">
        <v>2.8086273221949402E-3</v>
      </c>
      <c r="I883" s="735">
        <v>1.8019352079260899E-3</v>
      </c>
      <c r="J883" s="735">
        <v>2.8543159957497102E-3</v>
      </c>
      <c r="L883" s="84"/>
      <c r="M883" s="84"/>
      <c r="N883" s="84"/>
      <c r="O883" s="84"/>
      <c r="P883" s="84"/>
      <c r="Q883" s="84"/>
      <c r="R883" s="84"/>
      <c r="S883" s="84"/>
    </row>
    <row r="884" spans="1:19">
      <c r="A884" s="629" t="s">
        <v>419</v>
      </c>
      <c r="B884" s="248">
        <v>6.1280166771790403E-3</v>
      </c>
      <c r="C884" s="248">
        <v>3.1054720796937899E-3</v>
      </c>
      <c r="D884" s="248">
        <v>4.03345930259275E-3</v>
      </c>
      <c r="E884" s="248">
        <v>5.3094045486885696E-3</v>
      </c>
      <c r="F884" s="248"/>
      <c r="G884" s="248">
        <v>4.6159304463506802E-3</v>
      </c>
      <c r="H884" s="735">
        <v>2.51485498062159E-3</v>
      </c>
      <c r="I884" s="735">
        <v>1.6841547370817201E-3</v>
      </c>
      <c r="J884" s="735">
        <v>2.5567686238023202E-3</v>
      </c>
      <c r="L884" s="84"/>
      <c r="M884" s="84"/>
      <c r="N884" s="84"/>
      <c r="O884" s="84"/>
      <c r="P884" s="84"/>
      <c r="Q884" s="84"/>
      <c r="R884" s="84"/>
      <c r="S884" s="84"/>
    </row>
    <row r="885" spans="1:19">
      <c r="A885" s="629" t="s">
        <v>418</v>
      </c>
      <c r="B885" s="248">
        <v>5.5133821819434497E-3</v>
      </c>
      <c r="C885" s="248">
        <v>2.89408482637844E-3</v>
      </c>
      <c r="D885" s="248">
        <v>3.2579805639777202E-3</v>
      </c>
      <c r="E885" s="248">
        <v>4.6125160626564196E-3</v>
      </c>
      <c r="F885" s="248"/>
      <c r="G885" s="248">
        <v>4.4001003744094996E-3</v>
      </c>
      <c r="H885" s="735">
        <v>2.2741636982253799E-3</v>
      </c>
      <c r="I885" s="735">
        <v>2.2070752637648001E-3</v>
      </c>
      <c r="J885" s="735">
        <v>2.30798813624946E-3</v>
      </c>
      <c r="L885" s="84"/>
      <c r="M885" s="84"/>
      <c r="N885" s="84"/>
      <c r="O885" s="84"/>
      <c r="P885" s="84"/>
      <c r="Q885" s="84"/>
      <c r="R885" s="84"/>
      <c r="S885" s="84"/>
    </row>
    <row r="886" spans="1:19">
      <c r="A886" s="629" t="s">
        <v>417</v>
      </c>
      <c r="B886" s="248">
        <v>4.8871776764984401E-3</v>
      </c>
      <c r="C886" s="248">
        <v>2.7067336748657599E-3</v>
      </c>
      <c r="D886" s="248">
        <v>2.56714869260219E-3</v>
      </c>
      <c r="E886" s="248">
        <v>4.2707776337045601E-3</v>
      </c>
      <c r="F886" s="248"/>
      <c r="G886" s="248">
        <v>4.6871260676532699E-3</v>
      </c>
      <c r="H886" s="735">
        <v>2.1474173065585398E-3</v>
      </c>
      <c r="I886" s="735">
        <v>2.2609774307999599E-3</v>
      </c>
      <c r="J886" s="735">
        <v>2.1821888491973E-3</v>
      </c>
      <c r="L886" s="84"/>
      <c r="M886" s="84"/>
      <c r="N886" s="84"/>
      <c r="O886" s="84"/>
      <c r="P886" s="84"/>
      <c r="Q886" s="84"/>
      <c r="R886" s="84"/>
      <c r="S886" s="84"/>
    </row>
    <row r="887" spans="1:19">
      <c r="A887" s="629" t="s">
        <v>416</v>
      </c>
      <c r="B887" s="248">
        <v>4.4488038420968396E-3</v>
      </c>
      <c r="C887" s="248">
        <v>2.6116044329486301E-3</v>
      </c>
      <c r="D887" s="248">
        <v>4.6048084654437202E-3</v>
      </c>
      <c r="E887" s="248">
        <v>3.66814847705333E-3</v>
      </c>
      <c r="F887" s="248"/>
      <c r="G887" s="248">
        <v>4.6030151089509596E-3</v>
      </c>
      <c r="H887" s="735">
        <v>2.12872038463305E-3</v>
      </c>
      <c r="I887" s="735">
        <v>2.2241942065777199E-3</v>
      </c>
      <c r="J887" s="735">
        <v>2.1584250067879398E-3</v>
      </c>
      <c r="L887" s="84"/>
      <c r="M887" s="84"/>
      <c r="N887" s="84"/>
      <c r="O887" s="84"/>
      <c r="P887" s="84"/>
      <c r="Q887" s="84"/>
      <c r="R887" s="84"/>
      <c r="S887" s="84"/>
    </row>
    <row r="888" spans="1:19">
      <c r="A888" s="629" t="s">
        <v>415</v>
      </c>
      <c r="B888" s="248">
        <v>3.99414271130487E-3</v>
      </c>
      <c r="C888" s="248">
        <v>3.0215477783740699E-3</v>
      </c>
      <c r="D888" s="248">
        <v>3.2764137971419199E-3</v>
      </c>
      <c r="E888" s="248">
        <v>4.3126267986135997E-3</v>
      </c>
      <c r="F888" s="248"/>
      <c r="G888" s="248">
        <v>4.1966740086367303E-3</v>
      </c>
      <c r="H888" s="735">
        <v>2.1067337267434401E-3</v>
      </c>
      <c r="I888" s="735">
        <v>2.0408237609176698E-3</v>
      </c>
      <c r="J888" s="735">
        <v>2.13617317493651E-3</v>
      </c>
      <c r="L888" s="84"/>
      <c r="M888" s="84"/>
      <c r="N888" s="84"/>
      <c r="O888" s="84"/>
      <c r="P888" s="84"/>
      <c r="Q888" s="84"/>
      <c r="R888" s="84"/>
      <c r="S888" s="84"/>
    </row>
    <row r="889" spans="1:19">
      <c r="A889" s="629" t="s">
        <v>414</v>
      </c>
      <c r="B889" s="248">
        <v>3.5792384182628998E-3</v>
      </c>
      <c r="C889" s="248">
        <v>2.9486030445153898E-3</v>
      </c>
      <c r="D889" s="248">
        <v>5.5002105009583002E-3</v>
      </c>
      <c r="E889" s="248">
        <v>4.2010635146091102E-3</v>
      </c>
      <c r="F889" s="248"/>
      <c r="G889" s="248">
        <v>4.50173247517384E-3</v>
      </c>
      <c r="H889" s="735">
        <v>1.8864235198744099E-3</v>
      </c>
      <c r="I889" s="735">
        <v>1.8330442963217599E-3</v>
      </c>
      <c r="J889" s="735">
        <v>1.9098832260203401E-3</v>
      </c>
      <c r="L889" s="84"/>
      <c r="M889" s="84"/>
      <c r="N889" s="84"/>
      <c r="O889" s="84"/>
      <c r="P889" s="84"/>
      <c r="Q889" s="84"/>
      <c r="R889" s="84"/>
      <c r="S889" s="84"/>
    </row>
    <row r="890" spans="1:19">
      <c r="A890" s="629" t="s">
        <v>413</v>
      </c>
      <c r="B890" s="248">
        <v>3.4863206648542899E-3</v>
      </c>
      <c r="C890" s="248">
        <v>2.9086601694609201E-3</v>
      </c>
      <c r="D890" s="248">
        <v>5.8195884032389697E-3</v>
      </c>
      <c r="E890" s="248">
        <v>3.6626794185848801E-3</v>
      </c>
      <c r="F890" s="248"/>
      <c r="G890" s="248">
        <v>4.3922989117842698E-3</v>
      </c>
      <c r="H890" s="735">
        <v>1.86056793357136E-3</v>
      </c>
      <c r="I890" s="735">
        <v>2.0057833917391001E-3</v>
      </c>
      <c r="J890" s="735">
        <v>1.88445950563109E-3</v>
      </c>
      <c r="L890" s="84"/>
      <c r="M890" s="84"/>
      <c r="N890" s="84"/>
      <c r="O890" s="84"/>
      <c r="P890" s="84"/>
      <c r="Q890" s="84"/>
      <c r="R890" s="84"/>
      <c r="S890" s="84"/>
    </row>
    <row r="891" spans="1:19">
      <c r="A891" s="629" t="s">
        <v>412</v>
      </c>
      <c r="B891" s="248">
        <v>3.68221714314809E-3</v>
      </c>
      <c r="C891" s="248">
        <v>2.6831540177382801E-3</v>
      </c>
      <c r="D891" s="248">
        <v>5.6550826864909497E-3</v>
      </c>
      <c r="E891" s="248">
        <v>3.1857515382969302E-3</v>
      </c>
      <c r="F891" s="248"/>
      <c r="G891" s="248">
        <v>4.5038375090242404E-3</v>
      </c>
      <c r="H891" s="735">
        <v>2.0080339001195499E-3</v>
      </c>
      <c r="I891" s="735">
        <v>1.80584266726831E-3</v>
      </c>
      <c r="J891" s="735">
        <v>2.0181885832315101E-3</v>
      </c>
      <c r="L891" s="84"/>
      <c r="M891" s="84"/>
      <c r="N891" s="84"/>
      <c r="O891" s="84"/>
      <c r="P891" s="84"/>
      <c r="Q891" s="84"/>
      <c r="R891" s="84"/>
      <c r="S891" s="84"/>
    </row>
    <row r="892" spans="1:19">
      <c r="A892" s="629" t="s">
        <v>411</v>
      </c>
      <c r="B892" s="248">
        <v>3.3434959511670602E-3</v>
      </c>
      <c r="C892" s="248">
        <v>2.6932123740826602E-3</v>
      </c>
      <c r="D892" s="248">
        <v>6.7424346406260403E-3</v>
      </c>
      <c r="E892" s="248">
        <v>2.99772044376833E-3</v>
      </c>
      <c r="F892" s="248"/>
      <c r="G892" s="248">
        <v>4.1333848432904899E-3</v>
      </c>
      <c r="H892" s="735">
        <v>1.7777592717678199E-3</v>
      </c>
      <c r="I892" s="735">
        <v>2.4353973495800599E-3</v>
      </c>
      <c r="J892" s="735">
        <v>1.7836531892033E-3</v>
      </c>
      <c r="L892" s="84"/>
      <c r="M892" s="84"/>
      <c r="N892" s="84"/>
      <c r="O892" s="84"/>
      <c r="P892" s="84"/>
      <c r="Q892" s="84"/>
      <c r="R892" s="84"/>
      <c r="S892" s="84"/>
    </row>
    <row r="893" spans="1:19">
      <c r="A893" s="629" t="s">
        <v>410</v>
      </c>
      <c r="B893" s="248">
        <v>3.98896670420241E-3</v>
      </c>
      <c r="C893" s="248">
        <v>2.78803085061474E-3</v>
      </c>
      <c r="D893" s="248">
        <v>5.6421921377235703E-3</v>
      </c>
      <c r="E893" s="248">
        <v>4.97483470684659E-3</v>
      </c>
      <c r="F893" s="248"/>
      <c r="G893" s="248">
        <v>3.77782771595869E-3</v>
      </c>
      <c r="H893" s="735">
        <v>1.8790379211490399E-3</v>
      </c>
      <c r="I893" s="735">
        <v>2.1767803119844102E-3</v>
      </c>
      <c r="J893" s="735">
        <v>1.8808704760589301E-3</v>
      </c>
      <c r="L893" s="84"/>
      <c r="M893" s="84"/>
      <c r="N893" s="84"/>
      <c r="O893" s="84"/>
      <c r="P893" s="84"/>
      <c r="Q893" s="84"/>
      <c r="R893" s="84"/>
      <c r="S893" s="84"/>
    </row>
    <row r="894" spans="1:19">
      <c r="A894" s="629" t="s">
        <v>409</v>
      </c>
      <c r="B894" s="248">
        <v>6.15812796789178E-3</v>
      </c>
      <c r="C894" s="248">
        <v>3.0436596154204501E-3</v>
      </c>
      <c r="D894" s="248">
        <v>4.1679769249588997E-3</v>
      </c>
      <c r="E894" s="248">
        <v>4.7310768237304197E-3</v>
      </c>
      <c r="F894" s="248"/>
      <c r="G894" s="248">
        <v>5.22185361403882E-3</v>
      </c>
      <c r="H894" s="735">
        <v>2.1583802155657802E-3</v>
      </c>
      <c r="I894" s="735">
        <v>2.9891322144499702E-3</v>
      </c>
      <c r="J894" s="735">
        <v>2.1669257507131901E-3</v>
      </c>
      <c r="L894" s="84"/>
      <c r="M894" s="84"/>
      <c r="N894" s="84"/>
      <c r="O894" s="84"/>
      <c r="P894" s="84"/>
      <c r="Q894" s="84"/>
      <c r="R894" s="84"/>
      <c r="S894" s="84"/>
    </row>
    <row r="895" spans="1:19">
      <c r="A895" s="629" t="s">
        <v>408</v>
      </c>
      <c r="B895" s="248">
        <v>5.50205455289651E-3</v>
      </c>
      <c r="C895" s="248">
        <v>2.9219307997942101E-3</v>
      </c>
      <c r="D895" s="248">
        <v>3.4745227691491902E-2</v>
      </c>
      <c r="E895" s="248">
        <v>4.48370490672845E-3</v>
      </c>
      <c r="F895" s="248"/>
      <c r="G895" s="248">
        <v>4.9849938161011303E-3</v>
      </c>
      <c r="H895" s="735">
        <v>2.0140956706321102E-3</v>
      </c>
      <c r="I895" s="735">
        <v>3.1747432893483199E-3</v>
      </c>
      <c r="J895" s="735">
        <v>2.0257548647005198E-3</v>
      </c>
      <c r="L895" s="84"/>
      <c r="M895" s="84"/>
      <c r="N895" s="84"/>
      <c r="O895" s="84"/>
      <c r="P895" s="84"/>
      <c r="Q895" s="84"/>
      <c r="R895" s="84"/>
      <c r="S895" s="84"/>
    </row>
    <row r="896" spans="1:19">
      <c r="A896" s="629" t="s">
        <v>407</v>
      </c>
      <c r="B896" s="248">
        <v>5.2679424098710402E-3</v>
      </c>
      <c r="C896" s="248">
        <v>7.6813312553636898E-3</v>
      </c>
      <c r="D896" s="248">
        <v>4.3834133130690303E-2</v>
      </c>
      <c r="E896" s="248">
        <v>3.8483150217005898E-3</v>
      </c>
      <c r="F896" s="248"/>
      <c r="G896" s="248">
        <v>4.5435420976418697E-3</v>
      </c>
      <c r="H896" s="735">
        <v>2.7433521327560099E-3</v>
      </c>
      <c r="I896" s="735">
        <v>2.8790002060293698E-3</v>
      </c>
      <c r="J896" s="735">
        <v>2.7541238180449502E-3</v>
      </c>
      <c r="L896" s="84"/>
      <c r="M896" s="84"/>
      <c r="N896" s="84"/>
      <c r="O896" s="84"/>
      <c r="P896" s="84"/>
      <c r="Q896" s="84"/>
      <c r="R896" s="84"/>
      <c r="S896" s="84"/>
    </row>
    <row r="897" spans="1:19">
      <c r="A897" s="629" t="s">
        <v>406</v>
      </c>
      <c r="B897" s="248">
        <v>4.9042467184937204E-3</v>
      </c>
      <c r="C897" s="248">
        <v>5.9319725486371901E-3</v>
      </c>
      <c r="D897" s="248">
        <v>2.5325117418161101E-2</v>
      </c>
      <c r="E897" s="248">
        <v>5.5399264503379697E-3</v>
      </c>
      <c r="F897" s="248"/>
      <c r="G897" s="248">
        <v>4.2161598372698998E-3</v>
      </c>
      <c r="H897" s="735">
        <v>2.61606458811885E-3</v>
      </c>
      <c r="I897" s="735">
        <v>3.06261513911439E-3</v>
      </c>
      <c r="J897" s="735">
        <v>2.6372060835462602E-3</v>
      </c>
      <c r="L897" s="84"/>
      <c r="M897" s="84"/>
      <c r="N897" s="84"/>
      <c r="O897" s="84"/>
      <c r="P897" s="84"/>
      <c r="Q897" s="84"/>
      <c r="R897" s="84"/>
      <c r="S897" s="84"/>
    </row>
    <row r="898" spans="1:19">
      <c r="A898" s="629" t="s">
        <v>405</v>
      </c>
      <c r="B898" s="248">
        <v>6.8302157557960496E-3</v>
      </c>
      <c r="C898" s="248">
        <v>4.5359168575722598E-3</v>
      </c>
      <c r="D898" s="248">
        <v>1.48649429445966E-2</v>
      </c>
      <c r="E898" s="248">
        <v>4.74032881699985E-3</v>
      </c>
      <c r="F898" s="248"/>
      <c r="G898" s="248">
        <v>3.8531253909851902E-3</v>
      </c>
      <c r="H898" s="735">
        <v>2.4197481102428901E-3</v>
      </c>
      <c r="I898" s="735">
        <v>2.86838449845972E-3</v>
      </c>
      <c r="J898" s="735">
        <v>2.4412149602741299E-3</v>
      </c>
      <c r="L898" s="84"/>
      <c r="M898" s="84"/>
      <c r="N898" s="84"/>
      <c r="O898" s="84"/>
      <c r="P898" s="84"/>
      <c r="Q898" s="84"/>
      <c r="R898" s="84"/>
      <c r="S898" s="84"/>
    </row>
    <row r="899" spans="1:19">
      <c r="A899" s="629" t="s">
        <v>404</v>
      </c>
      <c r="B899" s="248">
        <v>6.4552348690402198E-3</v>
      </c>
      <c r="C899" s="248">
        <v>3.4158407610223101E-3</v>
      </c>
      <c r="D899" s="248">
        <v>8.6442606471782198E-3</v>
      </c>
      <c r="E899" s="248">
        <v>4.0660334172695402E-3</v>
      </c>
      <c r="F899" s="248"/>
      <c r="G899" s="248">
        <v>3.54209269843247E-3</v>
      </c>
      <c r="H899" s="735">
        <v>2.1252512990407599E-3</v>
      </c>
      <c r="I899" s="735">
        <v>3.0638566849968099E-3</v>
      </c>
      <c r="J899" s="735">
        <v>2.1402233989105202E-3</v>
      </c>
      <c r="L899" s="84"/>
      <c r="M899" s="84"/>
      <c r="N899" s="84"/>
      <c r="O899" s="84"/>
      <c r="P899" s="84"/>
      <c r="Q899" s="84"/>
      <c r="R899" s="84"/>
      <c r="S899" s="84"/>
    </row>
    <row r="900" spans="1:19">
      <c r="A900" s="629" t="s">
        <v>403</v>
      </c>
      <c r="B900" s="248">
        <v>8.2938301557238508E-3</v>
      </c>
      <c r="C900" s="248">
        <v>3.1960663134467399E-3</v>
      </c>
      <c r="D900" s="248">
        <v>6.0735866651997804E-3</v>
      </c>
      <c r="E900" s="248">
        <v>3.6629842339544702E-3</v>
      </c>
      <c r="F900" s="248"/>
      <c r="G900" s="248">
        <v>3.2846857322515201E-3</v>
      </c>
      <c r="H900" s="735">
        <v>1.96191610269066E-3</v>
      </c>
      <c r="I900" s="735">
        <v>3.06383936598729E-3</v>
      </c>
      <c r="J900" s="735">
        <v>1.97724230965213E-3</v>
      </c>
      <c r="L900" s="84"/>
      <c r="M900" s="84"/>
      <c r="N900" s="84"/>
      <c r="O900" s="84"/>
      <c r="P900" s="84"/>
      <c r="Q900" s="84"/>
      <c r="R900" s="84"/>
      <c r="S900" s="84"/>
    </row>
    <row r="901" spans="1:19">
      <c r="A901" s="629" t="s">
        <v>402</v>
      </c>
      <c r="B901" s="248">
        <v>7.2822282388997801E-3</v>
      </c>
      <c r="C901" s="248">
        <v>2.8188348172944601E-3</v>
      </c>
      <c r="D901" s="248">
        <v>2.08011648415658E-2</v>
      </c>
      <c r="E901" s="248">
        <v>3.2152401110427001E-3</v>
      </c>
      <c r="F901" s="248"/>
      <c r="G901" s="248">
        <v>3.6235624721671698E-3</v>
      </c>
      <c r="H901" s="735">
        <v>2.0708678966195899E-3</v>
      </c>
      <c r="I901" s="735">
        <v>4.4259604709564297E-3</v>
      </c>
      <c r="J901" s="735">
        <v>2.0755902142282302E-3</v>
      </c>
      <c r="L901" s="84"/>
      <c r="M901" s="84"/>
      <c r="N901" s="84"/>
      <c r="O901" s="84"/>
      <c r="P901" s="84"/>
      <c r="Q901" s="84"/>
      <c r="R901" s="84"/>
      <c r="S901" s="84"/>
    </row>
    <row r="902" spans="1:19">
      <c r="A902" s="629" t="s">
        <v>401</v>
      </c>
      <c r="B902" s="248">
        <v>6.4851471907452999E-3</v>
      </c>
      <c r="C902" s="248">
        <v>2.6941617084606001E-3</v>
      </c>
      <c r="D902" s="248">
        <v>1.1661092536261901E-2</v>
      </c>
      <c r="E902" s="248">
        <v>2.8823730609362102E-3</v>
      </c>
      <c r="F902" s="248"/>
      <c r="G902" s="248">
        <v>3.3275631950905301E-3</v>
      </c>
      <c r="H902" s="735">
        <v>2.3501701358164102E-3</v>
      </c>
      <c r="I902" s="735">
        <v>4.5652406244198604E-3</v>
      </c>
      <c r="J902" s="735">
        <v>2.3779280274743302E-3</v>
      </c>
      <c r="L902" s="84"/>
      <c r="M902" s="84"/>
      <c r="N902" s="84"/>
      <c r="O902" s="84"/>
      <c r="P902" s="84"/>
      <c r="Q902" s="84"/>
      <c r="R902" s="84"/>
      <c r="S902" s="84"/>
    </row>
    <row r="903" spans="1:19">
      <c r="A903" s="629" t="s">
        <v>400</v>
      </c>
      <c r="B903" s="248">
        <v>6.7795347896086001E-3</v>
      </c>
      <c r="C903" s="248">
        <v>2.76188214609347E-3</v>
      </c>
      <c r="D903" s="248">
        <v>7.0467150896292704E-3</v>
      </c>
      <c r="E903" s="248">
        <v>2.7148279088704099E-3</v>
      </c>
      <c r="F903" s="248"/>
      <c r="G903" s="248">
        <v>3.0525094817316E-3</v>
      </c>
      <c r="H903" s="735">
        <v>2.0857708234256998E-3</v>
      </c>
      <c r="I903" s="735">
        <v>4.2963685044783697E-3</v>
      </c>
      <c r="J903" s="735">
        <v>2.10912616155966E-3</v>
      </c>
      <c r="L903" s="84"/>
      <c r="M903" s="84"/>
      <c r="N903" s="84"/>
      <c r="O903" s="84"/>
      <c r="P903" s="84"/>
      <c r="Q903" s="84"/>
      <c r="R903" s="84"/>
      <c r="S903" s="84"/>
    </row>
    <row r="904" spans="1:19">
      <c r="A904" s="629" t="s">
        <v>399</v>
      </c>
      <c r="B904" s="248">
        <v>6.61840374674215E-3</v>
      </c>
      <c r="C904" s="248">
        <v>2.6195442585201698E-3</v>
      </c>
      <c r="D904" s="248">
        <v>4.6591932028348104E-3</v>
      </c>
      <c r="E904" s="248">
        <v>2.46619431228244E-3</v>
      </c>
      <c r="F904" s="248"/>
      <c r="G904" s="248">
        <v>2.9037279937233701E-3</v>
      </c>
      <c r="H904" s="735">
        <v>2.88895430778611E-3</v>
      </c>
      <c r="I904" s="735">
        <v>3.87473164339492E-3</v>
      </c>
      <c r="J904" s="735">
        <v>2.9407592410626601E-3</v>
      </c>
      <c r="L904" s="84"/>
      <c r="M904" s="84"/>
      <c r="N904" s="84"/>
      <c r="O904" s="84"/>
      <c r="P904" s="84"/>
      <c r="Q904" s="84"/>
      <c r="R904" s="84"/>
      <c r="S904" s="84"/>
    </row>
    <row r="905" spans="1:19">
      <c r="A905" s="629" t="s">
        <v>398</v>
      </c>
      <c r="B905" s="248">
        <v>6.0883083306235604E-3</v>
      </c>
      <c r="C905" s="248">
        <v>3.8001090591543401E-3</v>
      </c>
      <c r="D905" s="248">
        <v>1.54729492268777E-2</v>
      </c>
      <c r="E905" s="248">
        <v>3.3815993795225101E-3</v>
      </c>
      <c r="F905" s="248"/>
      <c r="G905" s="248">
        <v>2.78701281313194E-3</v>
      </c>
      <c r="H905" s="735">
        <v>2.50138061094654E-3</v>
      </c>
      <c r="I905" s="735">
        <v>4.2227433057500999E-3</v>
      </c>
      <c r="J905" s="735">
        <v>2.5459729377034401E-3</v>
      </c>
      <c r="L905" s="84"/>
      <c r="M905" s="84"/>
      <c r="N905" s="84"/>
      <c r="O905" s="84"/>
      <c r="P905" s="84"/>
      <c r="Q905" s="84"/>
      <c r="R905" s="84"/>
      <c r="S905" s="84"/>
    </row>
    <row r="906" spans="1:19">
      <c r="A906" s="629" t="s">
        <v>397</v>
      </c>
      <c r="B906" s="248">
        <v>5.4043521075857999E-3</v>
      </c>
      <c r="C906" s="248">
        <v>8.0313419200214002E-3</v>
      </c>
      <c r="D906" s="248">
        <v>1.4992761999982999E-2</v>
      </c>
      <c r="E906" s="248">
        <v>4.0133602635730199E-3</v>
      </c>
      <c r="F906" s="248"/>
      <c r="G906" s="248">
        <v>3.4857800516952101E-3</v>
      </c>
      <c r="H906" s="735">
        <v>2.24220589783913E-3</v>
      </c>
      <c r="I906" s="735">
        <v>5.0274200271388297E-3</v>
      </c>
      <c r="J906" s="735">
        <v>2.2762236832979698E-3</v>
      </c>
      <c r="L906" s="84"/>
      <c r="M906" s="84"/>
      <c r="N906" s="84"/>
      <c r="O906" s="84"/>
      <c r="P906" s="84"/>
      <c r="Q906" s="84"/>
      <c r="R906" s="84"/>
      <c r="S906" s="84"/>
    </row>
    <row r="907" spans="1:19">
      <c r="A907" s="629" t="s">
        <v>396</v>
      </c>
      <c r="B907" s="248">
        <v>5.0752832504553404E-3</v>
      </c>
      <c r="C907" s="248">
        <v>4.6942221201857403E-3</v>
      </c>
      <c r="D907" s="248">
        <v>9.4243118439521194E-3</v>
      </c>
      <c r="E907" s="248">
        <v>3.4682990622371701E-3</v>
      </c>
      <c r="F907" s="248"/>
      <c r="G907" s="248">
        <v>4.4450031080478999E-3</v>
      </c>
      <c r="H907" s="735">
        <v>3.3255741988995899E-3</v>
      </c>
      <c r="I907" s="735">
        <v>4.4849744104653996E-3</v>
      </c>
      <c r="J907" s="735">
        <v>3.4003964149240001E-3</v>
      </c>
      <c r="L907" s="84"/>
      <c r="M907" s="84"/>
      <c r="N907" s="84"/>
      <c r="O907" s="84"/>
      <c r="P907" s="84"/>
      <c r="Q907" s="84"/>
      <c r="R907" s="84"/>
      <c r="S907" s="84"/>
    </row>
    <row r="908" spans="1:19">
      <c r="A908" s="629" t="s">
        <v>395</v>
      </c>
      <c r="B908" s="248">
        <v>4.5130255883295799E-3</v>
      </c>
      <c r="C908" s="248">
        <v>4.5226646535113796E-3</v>
      </c>
      <c r="D908" s="248">
        <v>7.6679022179757398E-3</v>
      </c>
      <c r="E908" s="248">
        <v>3.12824232156405E-3</v>
      </c>
      <c r="F908" s="248"/>
      <c r="G908" s="248">
        <v>4.0844473657721302E-3</v>
      </c>
      <c r="H908" s="735">
        <v>3.6466575345133899E-3</v>
      </c>
      <c r="I908" s="735">
        <v>4.0045743441353204E-3</v>
      </c>
      <c r="J908" s="735">
        <v>3.7299442859262998E-3</v>
      </c>
      <c r="L908" s="84"/>
      <c r="M908" s="84"/>
      <c r="N908" s="84"/>
      <c r="O908" s="84"/>
      <c r="P908" s="84"/>
      <c r="Q908" s="84"/>
      <c r="R908" s="84"/>
      <c r="S908" s="84"/>
    </row>
    <row r="909" spans="1:19">
      <c r="A909" s="629" t="s">
        <v>394</v>
      </c>
      <c r="B909" s="248">
        <v>4.4260934415567797E-3</v>
      </c>
      <c r="C909" s="248">
        <v>3.6181713970196202E-3</v>
      </c>
      <c r="D909" s="248">
        <v>5.6196066460318999E-3</v>
      </c>
      <c r="E909" s="248">
        <v>3.3940043154366199E-3</v>
      </c>
      <c r="F909" s="248"/>
      <c r="G909" s="248">
        <v>3.7747589828106901E-3</v>
      </c>
      <c r="H909" s="735">
        <v>3.6132823744984399E-3</v>
      </c>
      <c r="I909" s="735">
        <v>3.7906470101679202E-3</v>
      </c>
      <c r="J909" s="735">
        <v>3.6848826281010499E-3</v>
      </c>
      <c r="L909" s="84"/>
      <c r="M909" s="84"/>
      <c r="N909" s="84"/>
      <c r="O909" s="84"/>
      <c r="P909" s="84"/>
      <c r="Q909" s="84"/>
      <c r="R909" s="84"/>
      <c r="S909" s="84"/>
    </row>
    <row r="910" spans="1:19">
      <c r="A910" s="629" t="s">
        <v>393</v>
      </c>
      <c r="B910" s="248">
        <v>3.9972237445103703E-3</v>
      </c>
      <c r="C910" s="248">
        <v>3.0282935274962802E-3</v>
      </c>
      <c r="D910" s="248">
        <v>4.4590991495278703E-3</v>
      </c>
      <c r="E910" s="248">
        <v>3.5198412911686301E-3</v>
      </c>
      <c r="F910" s="248"/>
      <c r="G910" s="248">
        <v>3.4684100042097201E-3</v>
      </c>
      <c r="H910" s="735">
        <v>3.0986695687691699E-3</v>
      </c>
      <c r="I910" s="735">
        <v>3.5930757934424799E-3</v>
      </c>
      <c r="J910" s="735">
        <v>3.16025857549115E-3</v>
      </c>
      <c r="L910" s="84"/>
      <c r="M910" s="84"/>
      <c r="N910" s="84"/>
      <c r="O910" s="84"/>
      <c r="P910" s="84"/>
      <c r="Q910" s="84"/>
      <c r="R910" s="84"/>
      <c r="S910" s="84"/>
    </row>
    <row r="911" spans="1:19">
      <c r="A911" s="629" t="s">
        <v>392</v>
      </c>
      <c r="B911" s="248">
        <v>3.7514200672279199E-3</v>
      </c>
      <c r="C911" s="248">
        <v>2.7498530800050699E-3</v>
      </c>
      <c r="D911" s="248">
        <v>9.4445737851385093E-3</v>
      </c>
      <c r="E911" s="248">
        <v>3.1974528880423401E-3</v>
      </c>
      <c r="F911" s="248"/>
      <c r="G911" s="248">
        <v>3.6269912936172902E-3</v>
      </c>
      <c r="H911" s="735">
        <v>2.8577855191127999E-3</v>
      </c>
      <c r="I911" s="735">
        <v>4.0787968486894104E-3</v>
      </c>
      <c r="J911" s="735">
        <v>2.9163065216287099E-3</v>
      </c>
      <c r="L911" s="84"/>
      <c r="M911" s="84"/>
      <c r="N911" s="84"/>
      <c r="O911" s="84"/>
      <c r="P911" s="84"/>
      <c r="Q911" s="84"/>
      <c r="R911" s="84"/>
      <c r="S911" s="84"/>
    </row>
    <row r="912" spans="1:19">
      <c r="A912" s="629" t="s">
        <v>391</v>
      </c>
      <c r="B912" s="248">
        <v>7.0012382561052402E-3</v>
      </c>
      <c r="C912" s="248">
        <v>3.1536810950766902E-3</v>
      </c>
      <c r="D912" s="248">
        <v>6.26431787979999E-3</v>
      </c>
      <c r="E912" s="248">
        <v>2.9321831592105702E-3</v>
      </c>
      <c r="F912" s="248"/>
      <c r="G912" s="248">
        <v>5.2464723736596998E-3</v>
      </c>
      <c r="H912" s="735">
        <v>2.5401166236184102E-3</v>
      </c>
      <c r="I912" s="735">
        <v>3.9650272432647298E-3</v>
      </c>
      <c r="J912" s="735">
        <v>2.5890468724259399E-3</v>
      </c>
      <c r="L912" s="84"/>
      <c r="M912" s="84"/>
      <c r="N912" s="84"/>
      <c r="O912" s="84"/>
      <c r="P912" s="84"/>
      <c r="Q912" s="84"/>
      <c r="R912" s="84"/>
      <c r="S912" s="84"/>
    </row>
    <row r="913" spans="1:19">
      <c r="A913" s="629" t="s">
        <v>390</v>
      </c>
      <c r="B913" s="248">
        <v>6.5799902042473898E-3</v>
      </c>
      <c r="C913" s="248">
        <v>2.9006781906667401E-3</v>
      </c>
      <c r="D913" s="248">
        <v>5.1009811854845297E-3</v>
      </c>
      <c r="E913" s="248">
        <v>2.7146649271657399E-3</v>
      </c>
      <c r="F913" s="248"/>
      <c r="G913" s="248">
        <v>5.3335885925248497E-3</v>
      </c>
      <c r="H913" s="735">
        <v>2.9391930263457798E-3</v>
      </c>
      <c r="I913" s="735">
        <v>3.6942480846755802E-3</v>
      </c>
      <c r="J913" s="735">
        <v>3.0005077084270799E-3</v>
      </c>
      <c r="L913" s="84"/>
      <c r="M913" s="84"/>
      <c r="N913" s="84"/>
      <c r="O913" s="84"/>
      <c r="P913" s="84"/>
      <c r="Q913" s="84"/>
      <c r="R913" s="84"/>
      <c r="S913" s="84"/>
    </row>
    <row r="914" spans="1:19">
      <c r="A914" s="629" t="s">
        <v>389</v>
      </c>
      <c r="B914" s="248">
        <v>5.8422160117965498E-3</v>
      </c>
      <c r="C914" s="248">
        <v>2.7435410546867299E-3</v>
      </c>
      <c r="D914" s="248">
        <v>5.9180662742720899E-3</v>
      </c>
      <c r="E914" s="248">
        <v>3.0880356852192202E-3</v>
      </c>
      <c r="F914" s="248"/>
      <c r="G914" s="248">
        <v>4.86005751979352E-3</v>
      </c>
      <c r="H914" s="735">
        <v>3.6841632353008E-3</v>
      </c>
      <c r="I914" s="735">
        <v>5.0155393126623199E-3</v>
      </c>
      <c r="J914" s="735">
        <v>3.7767802921977499E-3</v>
      </c>
      <c r="L914" s="84"/>
      <c r="M914" s="84"/>
      <c r="N914" s="84"/>
      <c r="O914" s="84"/>
      <c r="P914" s="84"/>
      <c r="Q914" s="84"/>
      <c r="R914" s="84"/>
      <c r="S914" s="84"/>
    </row>
    <row r="915" spans="1:19">
      <c r="A915" s="629" t="s">
        <v>388</v>
      </c>
      <c r="B915" s="248">
        <v>5.2125274681417899E-3</v>
      </c>
      <c r="C915" s="248">
        <v>2.6218338686269001E-3</v>
      </c>
      <c r="D915" s="248">
        <v>4.1049843382410097E-3</v>
      </c>
      <c r="E915" s="248">
        <v>2.8144143692777099E-3</v>
      </c>
      <c r="F915" s="248"/>
      <c r="G915" s="248">
        <v>4.7619413005012198E-3</v>
      </c>
      <c r="H915" s="735">
        <v>3.1466079387547198E-3</v>
      </c>
      <c r="I915" s="735">
        <v>4.45272227629141E-3</v>
      </c>
      <c r="J915" s="735">
        <v>3.2252678163881801E-3</v>
      </c>
      <c r="L915" s="84"/>
      <c r="M915" s="84"/>
      <c r="N915" s="84"/>
      <c r="O915" s="84"/>
      <c r="P915" s="84"/>
      <c r="Q915" s="84"/>
      <c r="R915" s="84"/>
      <c r="S915" s="84"/>
    </row>
    <row r="916" spans="1:19">
      <c r="A916" s="629" t="s">
        <v>387</v>
      </c>
      <c r="B916" s="248">
        <v>5.5116771798967698E-3</v>
      </c>
      <c r="C916" s="248">
        <v>2.8092296725706701E-3</v>
      </c>
      <c r="D916" s="248">
        <v>8.5663824155887205E-3</v>
      </c>
      <c r="E916" s="248">
        <v>2.5429889160574902E-3</v>
      </c>
      <c r="F916" s="248"/>
      <c r="G916" s="248">
        <v>4.4295309456757097E-3</v>
      </c>
      <c r="H916" s="735">
        <v>3.2208660533132199E-3</v>
      </c>
      <c r="I916" s="735">
        <v>4.4366014306535901E-3</v>
      </c>
      <c r="J916" s="735">
        <v>3.27923051172217E-3</v>
      </c>
      <c r="L916" s="84"/>
      <c r="M916" s="84"/>
      <c r="N916" s="84"/>
      <c r="O916" s="84"/>
      <c r="P916" s="84"/>
      <c r="Q916" s="84"/>
      <c r="R916" s="84"/>
      <c r="S916" s="84"/>
    </row>
    <row r="917" spans="1:19">
      <c r="A917" s="629" t="s">
        <v>386</v>
      </c>
      <c r="B917" s="248">
        <v>5.3497343865106699E-3</v>
      </c>
      <c r="C917" s="248">
        <v>2.6402123506815002E-3</v>
      </c>
      <c r="D917" s="248">
        <v>8.1895961986719196E-3</v>
      </c>
      <c r="E917" s="248">
        <v>2.45021516258281E-3</v>
      </c>
      <c r="F917" s="248"/>
      <c r="G917" s="248">
        <v>4.0587804992555801E-3</v>
      </c>
      <c r="H917" s="735">
        <v>2.7689651507479501E-3</v>
      </c>
      <c r="I917" s="735">
        <v>3.9388923880373499E-3</v>
      </c>
      <c r="J917" s="735">
        <v>2.8184988334723402E-3</v>
      </c>
      <c r="L917" s="84"/>
      <c r="M917" s="84"/>
      <c r="N917" s="84"/>
      <c r="O917" s="84"/>
      <c r="P917" s="84"/>
      <c r="Q917" s="84"/>
      <c r="R917" s="84"/>
      <c r="S917" s="84"/>
    </row>
    <row r="918" spans="1:19">
      <c r="A918" s="629" t="s">
        <v>385</v>
      </c>
      <c r="B918" s="248">
        <v>4.8050893913632996E-3</v>
      </c>
      <c r="C918" s="248">
        <v>2.9364880985349698E-3</v>
      </c>
      <c r="D918" s="248">
        <v>8.3420307134520894E-3</v>
      </c>
      <c r="E918" s="248">
        <v>2.3363274971164799E-3</v>
      </c>
      <c r="F918" s="248"/>
      <c r="G918" s="248">
        <v>3.8631095026676501E-3</v>
      </c>
      <c r="H918" s="735">
        <v>2.4949578824978499E-3</v>
      </c>
      <c r="I918" s="735">
        <v>3.9977262135721002E-3</v>
      </c>
      <c r="J918" s="735">
        <v>2.5370270743846198E-3</v>
      </c>
      <c r="L918" s="84"/>
      <c r="M918" s="84"/>
      <c r="N918" s="84"/>
      <c r="O918" s="84"/>
      <c r="P918" s="84"/>
      <c r="Q918" s="84"/>
      <c r="R918" s="84"/>
      <c r="S918" s="84"/>
    </row>
    <row r="919" spans="1:19">
      <c r="A919" s="629" t="s">
        <v>384</v>
      </c>
      <c r="B919" s="248">
        <v>4.5967969934619102E-3</v>
      </c>
      <c r="C919" s="248">
        <v>2.6934855833616899E-3</v>
      </c>
      <c r="D919" s="248">
        <v>5.2027596674547498E-3</v>
      </c>
      <c r="E919" s="248">
        <v>2.1397881201098601E-3</v>
      </c>
      <c r="F919" s="248"/>
      <c r="G919" s="248">
        <v>3.5376911524132599E-3</v>
      </c>
      <c r="H919" s="735">
        <v>2.2957475419919798E-3</v>
      </c>
      <c r="I919" s="735">
        <v>3.6771166208151101E-3</v>
      </c>
      <c r="J919" s="735">
        <v>2.33559589192508E-3</v>
      </c>
      <c r="L919" s="84"/>
      <c r="M919" s="84"/>
      <c r="N919" s="84"/>
      <c r="O919" s="84"/>
      <c r="P919" s="84"/>
      <c r="Q919" s="84"/>
      <c r="R919" s="84"/>
      <c r="S919" s="84"/>
    </row>
    <row r="920" spans="1:19">
      <c r="A920" s="629" t="s">
        <v>383</v>
      </c>
      <c r="B920" s="248">
        <v>4.2938861806024499E-3</v>
      </c>
      <c r="C920" s="248">
        <v>2.5968398366912602E-3</v>
      </c>
      <c r="D920" s="248">
        <v>6.0317932932128998E-3</v>
      </c>
      <c r="E920" s="248">
        <v>2.3717265773700001E-3</v>
      </c>
      <c r="F920" s="248"/>
      <c r="G920" s="248">
        <v>3.2569949806578401E-3</v>
      </c>
      <c r="H920" s="735">
        <v>2.0946252067834598E-3</v>
      </c>
      <c r="I920" s="735">
        <v>4.5668847251951498E-3</v>
      </c>
      <c r="J920" s="735">
        <v>2.1209917458850001E-3</v>
      </c>
      <c r="L920" s="84"/>
      <c r="M920" s="84"/>
      <c r="N920" s="84"/>
      <c r="O920" s="84"/>
      <c r="P920" s="84"/>
      <c r="Q920" s="84"/>
      <c r="R920" s="84"/>
      <c r="S920" s="84"/>
    </row>
    <row r="921" spans="1:19">
      <c r="A921" s="629" t="s">
        <v>382</v>
      </c>
      <c r="B921" s="248">
        <v>3.8373251482955802E-3</v>
      </c>
      <c r="C921" s="248">
        <v>3.0395852433649701E-3</v>
      </c>
      <c r="D921" s="248">
        <v>4.41863778334994E-3</v>
      </c>
      <c r="E921" s="248">
        <v>2.2002705188342402E-3</v>
      </c>
      <c r="F921" s="248"/>
      <c r="G921" s="248">
        <v>3.1467278806807299E-3</v>
      </c>
      <c r="H921" s="735">
        <v>2.5237970330559902E-3</v>
      </c>
      <c r="I921" s="735">
        <v>4.1341693509285198E-3</v>
      </c>
      <c r="J921" s="735">
        <v>2.5473998941765502E-3</v>
      </c>
      <c r="L921" s="84"/>
      <c r="M921" s="84"/>
      <c r="N921" s="84"/>
      <c r="O921" s="84"/>
      <c r="P921" s="84"/>
      <c r="Q921" s="84"/>
      <c r="R921" s="84"/>
      <c r="S921" s="84"/>
    </row>
    <row r="922" spans="1:19">
      <c r="A922" s="629" t="s">
        <v>381</v>
      </c>
      <c r="B922" s="248">
        <v>3.5648210348824998E-3</v>
      </c>
      <c r="C922" s="248">
        <v>3.4672538324213901E-3</v>
      </c>
      <c r="D922" s="248">
        <v>5.8057013976498296E-3</v>
      </c>
      <c r="E922" s="248">
        <v>2.0912042480237601E-3</v>
      </c>
      <c r="F922" s="248"/>
      <c r="G922" s="248">
        <v>2.8898882597612899E-3</v>
      </c>
      <c r="H922" s="735">
        <v>2.2444094602817898E-3</v>
      </c>
      <c r="I922" s="735">
        <v>4.7934663406203797E-3</v>
      </c>
      <c r="J922" s="735">
        <v>2.2640007947093499E-3</v>
      </c>
      <c r="L922" s="84"/>
      <c r="M922" s="84"/>
      <c r="N922" s="84"/>
      <c r="O922" s="84"/>
      <c r="P922" s="84"/>
      <c r="Q922" s="84"/>
      <c r="R922" s="84"/>
      <c r="S922" s="84"/>
    </row>
    <row r="923" spans="1:19">
      <c r="A923" s="629" t="s">
        <v>380</v>
      </c>
      <c r="B923" s="248">
        <v>3.2095821123409901E-3</v>
      </c>
      <c r="C923" s="248">
        <v>3.0130923175049102E-3</v>
      </c>
      <c r="D923" s="248">
        <v>7.8963021109344899E-3</v>
      </c>
      <c r="E923" s="248">
        <v>2.0215893383895298E-3</v>
      </c>
      <c r="F923" s="248"/>
      <c r="G923" s="248">
        <v>2.7975695466811298E-3</v>
      </c>
      <c r="H923" s="735">
        <v>2.8501974030870699E-3</v>
      </c>
      <c r="I923" s="735">
        <v>4.9999841112539304E-3</v>
      </c>
      <c r="J923" s="735">
        <v>2.88918783654827E-3</v>
      </c>
      <c r="L923" s="84"/>
      <c r="M923" s="84"/>
      <c r="N923" s="84"/>
      <c r="O923" s="84"/>
      <c r="P923" s="84"/>
      <c r="Q923" s="84"/>
      <c r="R923" s="84"/>
      <c r="S923" s="84"/>
    </row>
    <row r="924" spans="1:19">
      <c r="A924" s="629" t="s">
        <v>379</v>
      </c>
      <c r="B924" s="248">
        <v>4.0551965616857297E-3</v>
      </c>
      <c r="C924" s="248">
        <v>2.7164224990325302E-3</v>
      </c>
      <c r="D924" s="248">
        <v>7.8250388570576899E-3</v>
      </c>
      <c r="E924" s="248">
        <v>1.9402128102959601E-3</v>
      </c>
      <c r="F924" s="248"/>
      <c r="G924" s="248">
        <v>2.6978164583011102E-3</v>
      </c>
      <c r="H924" s="735">
        <v>3.5607966796013702E-3</v>
      </c>
      <c r="I924" s="735">
        <v>6.8879325185371397E-3</v>
      </c>
      <c r="J924" s="735">
        <v>3.5989276918295498E-3</v>
      </c>
      <c r="L924" s="84"/>
      <c r="M924" s="84"/>
      <c r="N924" s="84"/>
      <c r="O924" s="84"/>
      <c r="P924" s="84"/>
      <c r="Q924" s="84"/>
      <c r="R924" s="84"/>
      <c r="S924" s="84"/>
    </row>
    <row r="925" spans="1:19">
      <c r="A925" s="629" t="s">
        <v>378</v>
      </c>
      <c r="B925" s="248">
        <v>3.6405734434048998E-3</v>
      </c>
      <c r="C925" s="248">
        <v>2.73136475214191E-3</v>
      </c>
      <c r="D925" s="248">
        <v>4.9471899466925102E-3</v>
      </c>
      <c r="E925" s="248">
        <v>1.83805132548497E-3</v>
      </c>
      <c r="F925" s="248"/>
      <c r="G925" s="248">
        <v>2.7153529438957201E-3</v>
      </c>
      <c r="H925" s="735">
        <v>3.0539838518428199E-3</v>
      </c>
      <c r="I925" s="735">
        <v>6.0957663923913597E-3</v>
      </c>
      <c r="J925" s="735">
        <v>3.0874728285913301E-3</v>
      </c>
      <c r="L925" s="84"/>
      <c r="M925" s="84"/>
      <c r="N925" s="84"/>
      <c r="O925" s="84"/>
      <c r="P925" s="84"/>
      <c r="Q925" s="84"/>
      <c r="R925" s="84"/>
      <c r="S925" s="84"/>
    </row>
    <row r="926" spans="1:19">
      <c r="A926" s="629" t="s">
        <v>377</v>
      </c>
      <c r="B926" s="248">
        <v>3.2842805408059899E-3</v>
      </c>
      <c r="C926" s="248">
        <v>3.2034277947234299E-3</v>
      </c>
      <c r="D926" s="248">
        <v>1.03427225493916E-2</v>
      </c>
      <c r="E926" s="248">
        <v>1.9430617852698401E-3</v>
      </c>
      <c r="F926" s="248"/>
      <c r="G926" s="248">
        <v>2.5664960645611599E-3</v>
      </c>
      <c r="H926" s="735">
        <v>4.5782467001283297E-3</v>
      </c>
      <c r="I926" s="735">
        <v>7.5820634810188497E-3</v>
      </c>
      <c r="J926" s="735">
        <v>4.6374028820475397E-3</v>
      </c>
      <c r="L926" s="84"/>
      <c r="M926" s="84"/>
      <c r="N926" s="84"/>
      <c r="O926" s="84"/>
      <c r="P926" s="84"/>
      <c r="Q926" s="84"/>
      <c r="R926" s="84"/>
      <c r="S926" s="84"/>
    </row>
    <row r="927" spans="1:19">
      <c r="A927" s="629" t="s">
        <v>376</v>
      </c>
      <c r="B927" s="248">
        <v>2.9824879893725802E-3</v>
      </c>
      <c r="C927" s="248">
        <v>3.35767580337373E-3</v>
      </c>
      <c r="D927" s="248">
        <v>6.7051003224913803E-3</v>
      </c>
      <c r="E927" s="248">
        <v>1.90718321159278E-3</v>
      </c>
      <c r="F927" s="248"/>
      <c r="G927" s="248">
        <v>2.3723680080548399E-3</v>
      </c>
      <c r="H927" s="735">
        <v>4.5187606266182904E-3</v>
      </c>
      <c r="I927" s="735">
        <v>6.79449991674039E-3</v>
      </c>
      <c r="J927" s="735">
        <v>4.5805384151308302E-3</v>
      </c>
      <c r="L927" s="84"/>
      <c r="M927" s="84"/>
      <c r="N927" s="84"/>
      <c r="O927" s="84"/>
      <c r="P927" s="84"/>
      <c r="Q927" s="84"/>
      <c r="R927" s="84"/>
      <c r="S927" s="84"/>
    </row>
    <row r="928" spans="1:19">
      <c r="A928" s="629" t="s">
        <v>375</v>
      </c>
      <c r="B928" s="248">
        <v>2.7364064855204501E-3</v>
      </c>
      <c r="C928" s="248">
        <v>2.9028042348825298E-3</v>
      </c>
      <c r="D928" s="248">
        <v>1.4262443856567599E-2</v>
      </c>
      <c r="E928" s="248">
        <v>4.6934735618539697E-3</v>
      </c>
      <c r="F928" s="248"/>
      <c r="G928" s="248">
        <v>2.1981347318207499E-3</v>
      </c>
      <c r="H928" s="735">
        <v>4.0510087134570999E-3</v>
      </c>
      <c r="I928" s="735">
        <v>5.9852743654581703E-3</v>
      </c>
      <c r="J928" s="735">
        <v>4.1093359115988498E-3</v>
      </c>
      <c r="L928" s="84"/>
      <c r="M928" s="84"/>
      <c r="N928" s="84"/>
      <c r="O928" s="84"/>
      <c r="P928" s="84"/>
      <c r="Q928" s="84"/>
      <c r="R928" s="84"/>
      <c r="S928" s="84"/>
    </row>
    <row r="929" spans="1:19">
      <c r="A929" s="629" t="s">
        <v>374</v>
      </c>
      <c r="B929" s="248">
        <v>2.62295553989806E-3</v>
      </c>
      <c r="C929" s="248">
        <v>2.6759158608745202E-3</v>
      </c>
      <c r="D929" s="248">
        <v>8.3018364815596307E-3</v>
      </c>
      <c r="E929" s="248">
        <v>4.2521667589237398E-3</v>
      </c>
      <c r="F929" s="248"/>
      <c r="G929" s="248">
        <v>2.07567056998658E-3</v>
      </c>
      <c r="H929" s="735">
        <v>4.1950285672494201E-3</v>
      </c>
      <c r="I929" s="735">
        <v>5.3478733992637596E-3</v>
      </c>
      <c r="J929" s="735">
        <v>4.2486734356329903E-3</v>
      </c>
      <c r="L929" s="84"/>
      <c r="M929" s="84"/>
      <c r="N929" s="84"/>
      <c r="O929" s="84"/>
      <c r="P929" s="84"/>
      <c r="Q929" s="84"/>
      <c r="R929" s="84"/>
      <c r="S929" s="84"/>
    </row>
    <row r="930" spans="1:19">
      <c r="A930" s="629" t="s">
        <v>373</v>
      </c>
      <c r="B930" s="248">
        <v>2.6505723974267199E-3</v>
      </c>
      <c r="C930" s="248">
        <v>2.5857457167264598E-3</v>
      </c>
      <c r="D930" s="248">
        <v>9.1689723258412802E-3</v>
      </c>
      <c r="E930" s="248">
        <v>3.8191982996003499E-3</v>
      </c>
      <c r="F930" s="248"/>
      <c r="G930" s="248">
        <v>2.0133986010143698E-3</v>
      </c>
      <c r="H930" s="735">
        <v>3.8082859681586902E-3</v>
      </c>
      <c r="I930" s="735">
        <v>4.9168524242777199E-3</v>
      </c>
      <c r="J930" s="735">
        <v>3.8586155988385201E-3</v>
      </c>
      <c r="L930" s="84"/>
      <c r="M930" s="84"/>
      <c r="N930" s="84"/>
      <c r="O930" s="84"/>
      <c r="P930" s="84"/>
      <c r="Q930" s="84"/>
      <c r="R930" s="84"/>
      <c r="S930" s="84"/>
    </row>
    <row r="931" spans="1:19">
      <c r="A931" s="629" t="s">
        <v>372</v>
      </c>
      <c r="B931" s="248">
        <v>2.6439437728518699E-3</v>
      </c>
      <c r="C931" s="248">
        <v>2.54883349876865E-3</v>
      </c>
      <c r="D931" s="248">
        <v>6.7849585597261801E-3</v>
      </c>
      <c r="E931" s="248">
        <v>3.8770002992495598E-3</v>
      </c>
      <c r="F931" s="248"/>
      <c r="G931" s="248">
        <v>2.0436037981471202E-3</v>
      </c>
      <c r="H931" s="735">
        <v>3.36861889637692E-3</v>
      </c>
      <c r="I931" s="735">
        <v>4.7569874526424598E-3</v>
      </c>
      <c r="J931" s="735">
        <v>3.4155808966951002E-3</v>
      </c>
      <c r="L931" s="84"/>
      <c r="M931" s="84"/>
      <c r="N931" s="84"/>
      <c r="O931" s="84"/>
      <c r="P931" s="84"/>
      <c r="Q931" s="84"/>
      <c r="R931" s="84"/>
      <c r="S931" s="84"/>
    </row>
    <row r="932" spans="1:19">
      <c r="A932" s="629" t="s">
        <v>371</v>
      </c>
      <c r="B932" s="248">
        <v>2.42901433110807E-3</v>
      </c>
      <c r="C932" s="248">
        <v>2.6070595534075699E-3</v>
      </c>
      <c r="D932" s="248">
        <v>5.8283317355098396E-3</v>
      </c>
      <c r="E932" s="248">
        <v>3.3795393304935101E-3</v>
      </c>
      <c r="F932" s="248"/>
      <c r="G932" s="248">
        <v>1.97649700819792E-3</v>
      </c>
      <c r="H932" s="735">
        <v>2.8889587881102399E-3</v>
      </c>
      <c r="I932" s="735">
        <v>4.3529262439158303E-3</v>
      </c>
      <c r="J932" s="735">
        <v>2.9291569351946301E-3</v>
      </c>
      <c r="L932" s="84"/>
      <c r="M932" s="84"/>
      <c r="N932" s="84"/>
      <c r="O932" s="84"/>
      <c r="P932" s="84"/>
      <c r="Q932" s="84"/>
      <c r="R932" s="84"/>
      <c r="S932" s="84"/>
    </row>
    <row r="933" spans="1:19">
      <c r="A933" s="629" t="s">
        <v>370</v>
      </c>
      <c r="B933" s="248">
        <v>2.62762278992122E-3</v>
      </c>
      <c r="C933" s="248">
        <v>2.89586304433734E-3</v>
      </c>
      <c r="D933" s="248">
        <v>4.6087147211070698E-3</v>
      </c>
      <c r="E933" s="248">
        <v>3.0925833740471898E-3</v>
      </c>
      <c r="F933" s="248"/>
      <c r="G933" s="248">
        <v>1.9416382419977301E-3</v>
      </c>
      <c r="H933" s="735">
        <v>3.12310200953497E-3</v>
      </c>
      <c r="I933" s="735">
        <v>4.4754168462194802E-3</v>
      </c>
      <c r="J933" s="735">
        <v>3.1628401715772698E-3</v>
      </c>
      <c r="L933" s="84"/>
      <c r="M933" s="84"/>
      <c r="N933" s="84"/>
      <c r="O933" s="84"/>
      <c r="P933" s="84"/>
      <c r="Q933" s="84"/>
      <c r="R933" s="84"/>
      <c r="S933" s="84"/>
    </row>
    <row r="934" spans="1:19">
      <c r="A934" s="629" t="s">
        <v>369</v>
      </c>
      <c r="B934" s="248">
        <v>3.2331550074004901E-3</v>
      </c>
      <c r="C934" s="248">
        <v>2.7817936574181098E-3</v>
      </c>
      <c r="D934" s="248">
        <v>3.5714813156387799E-3</v>
      </c>
      <c r="E934" s="248">
        <v>3.3360162622572101E-3</v>
      </c>
      <c r="F934" s="248"/>
      <c r="G934" s="248">
        <v>2.3144479583460699E-3</v>
      </c>
      <c r="H934" s="735">
        <v>2.8851932057027698E-3</v>
      </c>
      <c r="I934" s="735">
        <v>4.8263098727172101E-3</v>
      </c>
      <c r="J934" s="735">
        <v>2.92397170982005E-3</v>
      </c>
      <c r="L934" s="84"/>
      <c r="M934" s="84"/>
      <c r="N934" s="84"/>
      <c r="O934" s="84"/>
      <c r="P934" s="84"/>
      <c r="Q934" s="84"/>
      <c r="R934" s="84"/>
      <c r="S934" s="84"/>
    </row>
    <row r="935" spans="1:19">
      <c r="A935" s="629" t="s">
        <v>368</v>
      </c>
      <c r="B935" s="248">
        <v>2.93212748421029E-3</v>
      </c>
      <c r="C935" s="248">
        <v>2.6273761703012799E-3</v>
      </c>
      <c r="D935" s="248">
        <v>3.2148736922199602E-3</v>
      </c>
      <c r="E935" s="248">
        <v>3.03878460639715E-3</v>
      </c>
      <c r="F935" s="248"/>
      <c r="G935" s="248">
        <v>2.2781768700734502E-3</v>
      </c>
      <c r="H935" s="735">
        <v>2.4889717015726398E-3</v>
      </c>
      <c r="I935" s="735">
        <v>4.2612793996954198E-3</v>
      </c>
      <c r="J935" s="735">
        <v>2.5209051602771899E-3</v>
      </c>
      <c r="L935" s="84"/>
      <c r="M935" s="84"/>
      <c r="N935" s="84"/>
      <c r="O935" s="84"/>
      <c r="P935" s="84"/>
      <c r="Q935" s="84"/>
      <c r="R935" s="84"/>
      <c r="S935" s="84"/>
    </row>
    <row r="936" spans="1:19">
      <c r="A936" s="629" t="s">
        <v>367</v>
      </c>
      <c r="B936" s="248">
        <v>2.7441474037094402E-3</v>
      </c>
      <c r="C936" s="248">
        <v>2.7224776704842199E-3</v>
      </c>
      <c r="D936" s="248">
        <v>2.7514571540280999E-3</v>
      </c>
      <c r="E936" s="248">
        <v>2.9778752254295301E-3</v>
      </c>
      <c r="F936" s="248"/>
      <c r="G936" s="248">
        <v>2.12492022062562E-3</v>
      </c>
      <c r="H936" s="735">
        <v>2.1683642054179399E-3</v>
      </c>
      <c r="I936" s="735">
        <v>4.4052141807079098E-3</v>
      </c>
      <c r="J936" s="735">
        <v>2.19314489512856E-3</v>
      </c>
      <c r="L936" s="84"/>
      <c r="M936" s="84"/>
      <c r="N936" s="84"/>
      <c r="O936" s="84"/>
      <c r="P936" s="84"/>
      <c r="Q936" s="84"/>
      <c r="R936" s="84"/>
      <c r="S936" s="84"/>
    </row>
    <row r="937" spans="1:19">
      <c r="A937" s="629" t="s">
        <v>366</v>
      </c>
      <c r="B937" s="248">
        <v>2.5031670471876901E-3</v>
      </c>
      <c r="C937" s="248">
        <v>2.7380186626008701E-3</v>
      </c>
      <c r="D937" s="248">
        <v>2.3112903542034501E-3</v>
      </c>
      <c r="E937" s="248">
        <v>2.65258560670357E-3</v>
      </c>
      <c r="F937" s="248"/>
      <c r="G937" s="248">
        <v>1.9730699021547299E-3</v>
      </c>
      <c r="H937" s="735">
        <v>1.90973818314596E-3</v>
      </c>
      <c r="I937" s="735">
        <v>3.8969399913613601E-3</v>
      </c>
      <c r="J937" s="735">
        <v>1.92768138749095E-3</v>
      </c>
      <c r="L937" s="84"/>
      <c r="M937" s="84"/>
      <c r="N937" s="84"/>
      <c r="O937" s="84"/>
      <c r="P937" s="84"/>
      <c r="Q937" s="84"/>
      <c r="R937" s="84"/>
      <c r="S937" s="84"/>
    </row>
    <row r="938" spans="1:19">
      <c r="A938" s="629" t="s">
        <v>365</v>
      </c>
      <c r="B938" s="248">
        <v>2.3710855369276601E-3</v>
      </c>
      <c r="C938" s="248">
        <v>2.61107743936411E-3</v>
      </c>
      <c r="D938" s="248">
        <v>2.31808646871379E-3</v>
      </c>
      <c r="E938" s="248">
        <v>2.3995795475276402E-3</v>
      </c>
      <c r="F938" s="248"/>
      <c r="G938" s="248">
        <v>1.84143260890664E-3</v>
      </c>
      <c r="H938" s="735">
        <v>1.74532131947946E-3</v>
      </c>
      <c r="I938" s="735">
        <v>3.57740878212328E-3</v>
      </c>
      <c r="J938" s="735">
        <v>1.75641904384033E-3</v>
      </c>
      <c r="L938" s="84"/>
      <c r="M938" s="84"/>
      <c r="N938" s="84"/>
      <c r="O938" s="84"/>
      <c r="P938" s="84"/>
      <c r="Q938" s="84"/>
      <c r="R938" s="84"/>
      <c r="S938" s="84"/>
    </row>
    <row r="939" spans="1:19">
      <c r="A939" s="629" t="s">
        <v>364</v>
      </c>
      <c r="B939" s="248">
        <v>2.2018892266950198E-3</v>
      </c>
      <c r="C939" s="248">
        <v>2.9167659256554902E-3</v>
      </c>
      <c r="D939" s="248">
        <v>2.68408995851746E-3</v>
      </c>
      <c r="E939" s="248">
        <v>2.1911074375161898E-3</v>
      </c>
      <c r="F939" s="248"/>
      <c r="G939" s="248">
        <v>1.8993041905573001E-3</v>
      </c>
      <c r="H939" s="735">
        <v>1.8424512130888E-3</v>
      </c>
      <c r="I939" s="735">
        <v>3.1723572316635202E-3</v>
      </c>
      <c r="J939" s="735">
        <v>1.8489199280145199E-3</v>
      </c>
      <c r="L939" s="84"/>
      <c r="M939" s="84"/>
      <c r="N939" s="84"/>
      <c r="O939" s="84"/>
      <c r="P939" s="84"/>
      <c r="Q939" s="84"/>
      <c r="R939" s="84"/>
      <c r="S939" s="84"/>
    </row>
    <row r="940" spans="1:19">
      <c r="A940" s="629" t="s">
        <v>363</v>
      </c>
      <c r="B940" s="248">
        <v>2.0459103702805798E-3</v>
      </c>
      <c r="C940" s="248">
        <v>2.6827823870233598E-3</v>
      </c>
      <c r="D940" s="248">
        <v>2.2757557997252101E-3</v>
      </c>
      <c r="E940" s="248">
        <v>2.2710493330319798E-3</v>
      </c>
      <c r="F940" s="248"/>
      <c r="G940" s="248">
        <v>1.8338926039222099E-3</v>
      </c>
      <c r="H940" s="735">
        <v>1.63225773206245E-3</v>
      </c>
      <c r="I940" s="735">
        <v>2.8313350017211501E-3</v>
      </c>
      <c r="J940" s="735">
        <v>1.6345295555703599E-3</v>
      </c>
      <c r="L940" s="84"/>
      <c r="M940" s="84"/>
      <c r="N940" s="84"/>
      <c r="O940" s="84"/>
      <c r="P940" s="84"/>
      <c r="Q940" s="84"/>
      <c r="R940" s="84"/>
      <c r="S940" s="84"/>
    </row>
    <row r="941" spans="1:19">
      <c r="A941" s="629" t="s">
        <v>362</v>
      </c>
      <c r="B941" s="248">
        <v>1.9588429999473E-3</v>
      </c>
      <c r="C941" s="248">
        <v>2.5868332781689499E-3</v>
      </c>
      <c r="D941" s="248">
        <v>2.9393822145359601E-3</v>
      </c>
      <c r="E941" s="248">
        <v>2.0883666904879701E-3</v>
      </c>
      <c r="F941" s="248"/>
      <c r="G941" s="248">
        <v>1.74474977074673E-3</v>
      </c>
      <c r="H941" s="735">
        <v>1.6973434295935201E-3</v>
      </c>
      <c r="I941" s="735">
        <v>2.8832379076487199E-3</v>
      </c>
      <c r="J941" s="735">
        <v>1.70307251152502E-3</v>
      </c>
      <c r="L941" s="84"/>
      <c r="M941" s="84"/>
      <c r="N941" s="84"/>
      <c r="O941" s="84"/>
      <c r="P941" s="84"/>
      <c r="Q941" s="84"/>
      <c r="R941" s="84"/>
      <c r="S941" s="84"/>
    </row>
    <row r="942" spans="1:19">
      <c r="A942" s="629" t="s">
        <v>361</v>
      </c>
      <c r="B942" s="248">
        <v>2.0342971038407901E-3</v>
      </c>
      <c r="C942" s="248">
        <v>2.56174772077144E-3</v>
      </c>
      <c r="D942" s="248">
        <v>2.92222463766499E-3</v>
      </c>
      <c r="E942" s="248">
        <v>1.9475045774861701E-3</v>
      </c>
      <c r="F942" s="248"/>
      <c r="G942" s="248">
        <v>1.7549720373851599E-3</v>
      </c>
      <c r="H942" s="735">
        <v>1.5235157480329099E-3</v>
      </c>
      <c r="I942" s="735">
        <v>2.5828222866563001E-3</v>
      </c>
      <c r="J942" s="735">
        <v>1.5247931146680799E-3</v>
      </c>
      <c r="L942" s="84"/>
      <c r="M942" s="84"/>
      <c r="N942" s="84"/>
      <c r="O942" s="84"/>
      <c r="P942" s="84"/>
      <c r="Q942" s="84"/>
      <c r="R942" s="84"/>
      <c r="S942" s="84"/>
    </row>
    <row r="943" spans="1:19">
      <c r="A943" s="629" t="s">
        <v>360</v>
      </c>
      <c r="B943" s="248">
        <v>2.00282467730557E-3</v>
      </c>
      <c r="C943" s="248">
        <v>2.5394533993214801E-3</v>
      </c>
      <c r="D943" s="248">
        <v>2.6533342052632099E-3</v>
      </c>
      <c r="E943" s="248">
        <v>1.9547406761204998E-3</v>
      </c>
      <c r="F943" s="248"/>
      <c r="G943" s="248">
        <v>1.75983620046773E-3</v>
      </c>
      <c r="H943" s="735">
        <v>1.3739760617047601E-3</v>
      </c>
      <c r="I943" s="735">
        <v>2.3139806066102301E-3</v>
      </c>
      <c r="J943" s="735">
        <v>1.3704032677233E-3</v>
      </c>
      <c r="L943" s="84"/>
      <c r="M943" s="84"/>
      <c r="N943" s="84"/>
      <c r="O943" s="84"/>
      <c r="P943" s="84"/>
      <c r="Q943" s="84"/>
      <c r="R943" s="84"/>
      <c r="S943" s="84"/>
    </row>
    <row r="944" spans="1:19">
      <c r="A944" s="629" t="s">
        <v>359</v>
      </c>
      <c r="B944" s="248">
        <v>2.0167697029106202E-3</v>
      </c>
      <c r="C944" s="248">
        <v>2.7220838351988299E-3</v>
      </c>
      <c r="D944" s="248">
        <v>2.51603480186092E-3</v>
      </c>
      <c r="E944" s="248">
        <v>1.94857141722227E-3</v>
      </c>
      <c r="F944" s="248"/>
      <c r="G944" s="248">
        <v>1.6705400799166101E-3</v>
      </c>
      <c r="H944" s="735">
        <v>1.32001690156045E-3</v>
      </c>
      <c r="I944" s="735">
        <v>2.07116365895533E-3</v>
      </c>
      <c r="J944" s="735">
        <v>1.31231342846426E-3</v>
      </c>
      <c r="L944" s="84"/>
      <c r="M944" s="84"/>
      <c r="N944" s="84"/>
      <c r="O944" s="84"/>
      <c r="P944" s="84"/>
      <c r="Q944" s="84"/>
      <c r="R944" s="84"/>
      <c r="S944" s="84"/>
    </row>
    <row r="945" spans="1:19">
      <c r="A945" s="629" t="s">
        <v>358</v>
      </c>
      <c r="B945" s="248">
        <v>2.08361150870226E-3</v>
      </c>
      <c r="C945" s="248">
        <v>2.6026036973291699E-3</v>
      </c>
      <c r="D945" s="248">
        <v>2.92087913517842E-3</v>
      </c>
      <c r="E945" s="248">
        <v>2.2166004007899902E-3</v>
      </c>
      <c r="F945" s="248"/>
      <c r="G945" s="248">
        <v>2.4188930184719701E-3</v>
      </c>
      <c r="H945" s="735">
        <v>1.27589433547416E-3</v>
      </c>
      <c r="I945" s="735">
        <v>2.0731977201303101E-3</v>
      </c>
      <c r="J945" s="735">
        <v>1.2692925749855199E-3</v>
      </c>
      <c r="L945" s="84"/>
      <c r="M945" s="84"/>
      <c r="N945" s="84"/>
      <c r="O945" s="84"/>
      <c r="P945" s="84"/>
      <c r="Q945" s="84"/>
      <c r="R945" s="84"/>
      <c r="S945" s="84"/>
    </row>
    <row r="946" spans="1:19">
      <c r="A946" s="629" t="s">
        <v>357</v>
      </c>
      <c r="B946" s="248">
        <v>1.94420982456021E-3</v>
      </c>
      <c r="C946" s="248">
        <v>2.6501393095038602E-3</v>
      </c>
      <c r="D946" s="248">
        <v>2.3931521749188502E-3</v>
      </c>
      <c r="E946" s="248">
        <v>2.0818833753685302E-3</v>
      </c>
      <c r="F946" s="248"/>
      <c r="G946" s="248">
        <v>2.2700889222674698E-3</v>
      </c>
      <c r="H946" s="735">
        <v>1.1710432693200501E-3</v>
      </c>
      <c r="I946" s="735">
        <v>1.8609000327635199E-3</v>
      </c>
      <c r="J946" s="735">
        <v>1.1597753943575399E-3</v>
      </c>
      <c r="L946" s="84"/>
      <c r="M946" s="84"/>
      <c r="N946" s="84"/>
      <c r="O946" s="84"/>
      <c r="P946" s="84"/>
      <c r="Q946" s="84"/>
      <c r="R946" s="84"/>
      <c r="S946" s="84"/>
    </row>
    <row r="947" spans="1:19">
      <c r="A947" s="629" t="s">
        <v>356</v>
      </c>
      <c r="B947" s="248">
        <v>1.8711703540522299E-3</v>
      </c>
      <c r="C947" s="248">
        <v>3.2730740163267802E-3</v>
      </c>
      <c r="D947" s="248">
        <v>2.1602414779331898E-3</v>
      </c>
      <c r="E947" s="248">
        <v>2.13587264844344E-3</v>
      </c>
      <c r="F947" s="248"/>
      <c r="G947" s="248">
        <v>2.1155071235734301E-3</v>
      </c>
      <c r="H947" s="735">
        <v>1.0963369101680801E-3</v>
      </c>
      <c r="I947" s="735">
        <v>1.68144409452434E-3</v>
      </c>
      <c r="J947" s="735">
        <v>1.0825207977455901E-3</v>
      </c>
      <c r="L947" s="84"/>
      <c r="M947" s="84"/>
      <c r="N947" s="84"/>
      <c r="O947" s="84"/>
      <c r="P947" s="84"/>
      <c r="Q947" s="84"/>
      <c r="R947" s="84"/>
      <c r="S947" s="84"/>
    </row>
    <row r="948" spans="1:19">
      <c r="A948" s="629" t="s">
        <v>355</v>
      </c>
      <c r="B948" s="248">
        <v>1.81747708858691E-3</v>
      </c>
      <c r="C948" s="248">
        <v>3.0656735309058901E-3</v>
      </c>
      <c r="D948" s="248">
        <v>2.02565187121935E-3</v>
      </c>
      <c r="E948" s="248">
        <v>2.1210030799442199E-3</v>
      </c>
      <c r="F948" s="248"/>
      <c r="G948" s="248">
        <v>2.0207479878341498E-3</v>
      </c>
      <c r="H948" s="735">
        <v>1.23594520497546E-3</v>
      </c>
      <c r="I948" s="735">
        <v>1.5290149903869499E-3</v>
      </c>
      <c r="J948" s="735">
        <v>1.22439619116449E-3</v>
      </c>
      <c r="L948" s="84"/>
      <c r="M948" s="84"/>
      <c r="N948" s="84"/>
      <c r="O948" s="84"/>
      <c r="P948" s="84"/>
      <c r="Q948" s="84"/>
      <c r="R948" s="84"/>
      <c r="S948" s="84"/>
    </row>
    <row r="949" spans="1:19">
      <c r="A949" s="629" t="s">
        <v>354</v>
      </c>
      <c r="B949" s="248">
        <v>1.71234551253132E-3</v>
      </c>
      <c r="C949" s="248">
        <v>2.7452819474072299E-3</v>
      </c>
      <c r="D949" s="248">
        <v>1.92920041394074E-3</v>
      </c>
      <c r="E949" s="248">
        <v>2.1852759207584998E-3</v>
      </c>
      <c r="F949" s="248"/>
      <c r="G949" s="248">
        <v>2.2924112048717401E-3</v>
      </c>
      <c r="H949" s="735">
        <v>1.1362487661476001E-3</v>
      </c>
      <c r="I949" s="735">
        <v>1.49550137219383E-3</v>
      </c>
      <c r="J949" s="735">
        <v>1.1216195049291E-3</v>
      </c>
      <c r="L949" s="84"/>
      <c r="M949" s="84"/>
      <c r="N949" s="84"/>
      <c r="O949" s="84"/>
      <c r="P949" s="84"/>
      <c r="Q949" s="84"/>
      <c r="R949" s="84"/>
      <c r="S949" s="84"/>
    </row>
    <row r="950" spans="1:19">
      <c r="A950" s="629" t="s">
        <v>353</v>
      </c>
      <c r="B950" s="248">
        <v>1.62914330595187E-3</v>
      </c>
      <c r="C950" s="248">
        <v>2.6402885391601798E-3</v>
      </c>
      <c r="D950" s="248">
        <v>1.8855120716421701E-3</v>
      </c>
      <c r="E950" s="248">
        <v>2.08039513653258E-3</v>
      </c>
      <c r="F950" s="248"/>
      <c r="G950" s="248">
        <v>2.1546215008297598E-3</v>
      </c>
      <c r="H950" s="735">
        <v>1.0533667966211599E-3</v>
      </c>
      <c r="I950" s="735">
        <v>1.3575154925159201E-3</v>
      </c>
      <c r="J950" s="735">
        <v>1.0358690916792499E-3</v>
      </c>
      <c r="L950" s="84"/>
      <c r="M950" s="84"/>
      <c r="N950" s="84"/>
      <c r="O950" s="84"/>
      <c r="P950" s="84"/>
      <c r="Q950" s="84"/>
      <c r="R950" s="84"/>
      <c r="S950" s="84"/>
    </row>
    <row r="951" spans="1:19">
      <c r="A951" s="629" t="s">
        <v>352</v>
      </c>
      <c r="B951" s="248">
        <v>1.5733768842723099E-3</v>
      </c>
      <c r="C951" s="248">
        <v>2.6289807031267399E-3</v>
      </c>
      <c r="D951" s="248">
        <v>2.0965965313598299E-3</v>
      </c>
      <c r="E951" s="248">
        <v>1.93898381798948E-3</v>
      </c>
      <c r="F951" s="248"/>
      <c r="G951" s="248">
        <v>2.0610528119446902E-3</v>
      </c>
      <c r="H951" s="735">
        <v>9.9275668448837594E-4</v>
      </c>
      <c r="I951" s="735">
        <v>1.4306194446327401E-3</v>
      </c>
      <c r="J951" s="735">
        <v>9.7200723658246498E-4</v>
      </c>
      <c r="L951" s="84"/>
      <c r="M951" s="84"/>
      <c r="N951" s="84"/>
      <c r="O951" s="84"/>
      <c r="P951" s="84"/>
      <c r="Q951" s="84"/>
      <c r="R951" s="84"/>
      <c r="S951" s="84"/>
    </row>
    <row r="952" spans="1:19">
      <c r="A952" s="629" t="s">
        <v>351</v>
      </c>
      <c r="B952" s="248">
        <v>1.75329170801494E-3</v>
      </c>
      <c r="C952" s="248">
        <v>3.07655572096237E-3</v>
      </c>
      <c r="D952" s="248">
        <v>1.9996099557721102E-3</v>
      </c>
      <c r="E952" s="248">
        <v>2.2894232843936402E-3</v>
      </c>
      <c r="F952" s="248"/>
      <c r="G952" s="248">
        <v>2.27869707508106E-3</v>
      </c>
      <c r="H952" s="735">
        <v>1.07921600237858E-3</v>
      </c>
      <c r="I952" s="735">
        <v>1.42174542512531E-3</v>
      </c>
      <c r="J952" s="735">
        <v>1.05672704485683E-3</v>
      </c>
      <c r="L952" s="84"/>
      <c r="M952" s="84"/>
      <c r="N952" s="84"/>
      <c r="O952" s="84"/>
      <c r="P952" s="84"/>
      <c r="Q952" s="84"/>
      <c r="R952" s="84"/>
      <c r="S952" s="84"/>
    </row>
    <row r="953" spans="1:19">
      <c r="A953" s="629" t="s">
        <v>350</v>
      </c>
      <c r="B953" s="248">
        <v>1.6526823772495701E-3</v>
      </c>
      <c r="C953" s="248">
        <v>2.75125635761509E-3</v>
      </c>
      <c r="D953" s="248">
        <v>2.4480112392962499E-3</v>
      </c>
      <c r="E953" s="248">
        <v>2.1184583375419498E-3</v>
      </c>
      <c r="F953" s="248"/>
      <c r="G953" s="248">
        <v>2.1871759716937901E-3</v>
      </c>
      <c r="H953" s="735">
        <v>1.0959535729659501E-3</v>
      </c>
      <c r="I953" s="735">
        <v>1.33332671978737E-3</v>
      </c>
      <c r="J953" s="735">
        <v>1.0737726627057899E-3</v>
      </c>
      <c r="L953" s="84"/>
      <c r="M953" s="84"/>
      <c r="N953" s="84"/>
      <c r="O953" s="84"/>
      <c r="P953" s="84"/>
      <c r="Q953" s="84"/>
      <c r="R953" s="84"/>
      <c r="S953" s="84"/>
    </row>
    <row r="954" spans="1:19">
      <c r="A954" s="629" t="s">
        <v>349</v>
      </c>
      <c r="B954" s="248">
        <v>1.56595056583781E-3</v>
      </c>
      <c r="C954" s="248">
        <v>2.6142517992648602E-3</v>
      </c>
      <c r="D954" s="248">
        <v>2.1765628926783799E-3</v>
      </c>
      <c r="E954" s="248">
        <v>1.9774029119711701E-3</v>
      </c>
      <c r="F954" s="248"/>
      <c r="G954" s="248">
        <v>2.1341220611984899E-3</v>
      </c>
      <c r="H954" s="735">
        <v>1.15127988677434E-3</v>
      </c>
      <c r="I954" s="735">
        <v>1.24075316489151E-3</v>
      </c>
      <c r="J954" s="735">
        <v>1.1295310832676901E-3</v>
      </c>
      <c r="L954" s="84"/>
      <c r="M954" s="84"/>
      <c r="N954" s="84"/>
      <c r="O954" s="84"/>
      <c r="P954" s="84"/>
      <c r="Q954" s="84"/>
      <c r="R954" s="84"/>
      <c r="S954" s="84"/>
    </row>
    <row r="955" spans="1:19">
      <c r="A955" s="629" t="s">
        <v>348</v>
      </c>
      <c r="B955" s="248">
        <v>1.48877140824419E-3</v>
      </c>
      <c r="C955" s="248">
        <v>2.5623372745577702E-3</v>
      </c>
      <c r="D955" s="248">
        <v>2.10170187314018E-3</v>
      </c>
      <c r="E955" s="248">
        <v>2.4058153995284901E-3</v>
      </c>
      <c r="F955" s="248"/>
      <c r="G955" s="248">
        <v>2.06639351105624E-3</v>
      </c>
      <c r="H955" s="735">
        <v>1.08974840446973E-3</v>
      </c>
      <c r="I955" s="735">
        <v>1.15359852530312E-3</v>
      </c>
      <c r="J955" s="735">
        <v>1.0652078232761401E-3</v>
      </c>
      <c r="L955" s="84"/>
      <c r="M955" s="84"/>
      <c r="N955" s="84"/>
      <c r="O955" s="84"/>
      <c r="P955" s="84"/>
      <c r="Q955" s="84"/>
      <c r="R955" s="84"/>
      <c r="S955" s="84"/>
    </row>
    <row r="956" spans="1:19">
      <c r="A956" s="629" t="s">
        <v>347</v>
      </c>
      <c r="B956" s="248">
        <v>1.5037624109860801E-3</v>
      </c>
      <c r="C956" s="248">
        <v>2.64029088829604E-3</v>
      </c>
      <c r="D956" s="248">
        <v>1.9681892829761E-3</v>
      </c>
      <c r="E956" s="248">
        <v>2.2215768511164198E-3</v>
      </c>
      <c r="F956" s="248"/>
      <c r="G956" s="248">
        <v>2.3145756485886499E-3</v>
      </c>
      <c r="H956" s="735">
        <v>1.0962048683508399E-3</v>
      </c>
      <c r="I956" s="735">
        <v>1.06093957464973E-3</v>
      </c>
      <c r="J956" s="735">
        <v>1.07204335919822E-3</v>
      </c>
      <c r="L956" s="84"/>
      <c r="M956" s="84"/>
      <c r="N956" s="84"/>
      <c r="O956" s="84"/>
      <c r="P956" s="84"/>
      <c r="Q956" s="84"/>
      <c r="R956" s="84"/>
      <c r="S956" s="84"/>
    </row>
    <row r="957" spans="1:19">
      <c r="A957" s="629" t="s">
        <v>346</v>
      </c>
      <c r="B957" s="248">
        <v>1.54877702087266E-3</v>
      </c>
      <c r="C957" s="248">
        <v>2.6094221847218898E-3</v>
      </c>
      <c r="D957" s="248">
        <v>2.1008301411641101E-3</v>
      </c>
      <c r="E957" s="248">
        <v>2.0840471440873101E-3</v>
      </c>
      <c r="F957" s="248"/>
      <c r="G957" s="248">
        <v>2.59082872356308E-3</v>
      </c>
      <c r="H957" s="735">
        <v>1.10902078859821E-3</v>
      </c>
      <c r="I957" s="735">
        <v>1.04974574511099E-3</v>
      </c>
      <c r="J957" s="735">
        <v>1.0859091388626099E-3</v>
      </c>
      <c r="L957" s="84"/>
      <c r="M957" s="84"/>
      <c r="N957" s="84"/>
      <c r="O957" s="84"/>
      <c r="P957" s="84"/>
      <c r="Q957" s="84"/>
      <c r="R957" s="84"/>
      <c r="S957" s="84"/>
    </row>
    <row r="958" spans="1:19">
      <c r="A958" s="629" t="s">
        <v>345</v>
      </c>
      <c r="B958" s="248">
        <v>2.1320321948670199E-3</v>
      </c>
      <c r="C958" s="248">
        <v>2.76129652902324E-3</v>
      </c>
      <c r="D958" s="248">
        <v>2.3017643284418202E-3</v>
      </c>
      <c r="E958" s="248">
        <v>1.9608459168883501E-3</v>
      </c>
      <c r="F958" s="248"/>
      <c r="G958" s="248">
        <v>3.0916351697310401E-3</v>
      </c>
      <c r="H958" s="735">
        <v>1.10724468346984E-3</v>
      </c>
      <c r="I958" s="735">
        <v>9.7165199512332101E-4</v>
      </c>
      <c r="J958" s="735">
        <v>1.0844974564929099E-3</v>
      </c>
      <c r="L958" s="84"/>
      <c r="M958" s="84"/>
      <c r="N958" s="84"/>
      <c r="O958" s="84"/>
      <c r="P958" s="84"/>
      <c r="Q958" s="84"/>
      <c r="R958" s="84"/>
      <c r="S958" s="84"/>
    </row>
    <row r="959" spans="1:19">
      <c r="A959" s="629" t="s">
        <v>344</v>
      </c>
      <c r="B959" s="248">
        <v>1.9856010729938801E-3</v>
      </c>
      <c r="C959" s="248">
        <v>3.6220312394019999E-3</v>
      </c>
      <c r="D959" s="248">
        <v>2.2172037223977801E-3</v>
      </c>
      <c r="E959" s="248">
        <v>2.1513091321361398E-3</v>
      </c>
      <c r="F959" s="248"/>
      <c r="G959" s="248">
        <v>3.2684555443547002E-3</v>
      </c>
      <c r="H959" s="735">
        <v>1.0321854585719E-3</v>
      </c>
      <c r="I959" s="735">
        <v>1.1870370629784601E-3</v>
      </c>
      <c r="J959" s="735">
        <v>1.0083074154668601E-3</v>
      </c>
      <c r="L959" s="84"/>
      <c r="M959" s="84"/>
      <c r="N959" s="84"/>
      <c r="O959" s="84"/>
      <c r="P959" s="84"/>
      <c r="Q959" s="84"/>
      <c r="R959" s="84"/>
      <c r="S959" s="84"/>
    </row>
    <row r="960" spans="1:19">
      <c r="A960" s="629" t="s">
        <v>343</v>
      </c>
      <c r="B960" s="248">
        <v>1.85221419864877E-3</v>
      </c>
      <c r="C960" s="248">
        <v>3.1742278873371E-3</v>
      </c>
      <c r="D960" s="248">
        <v>2.0923205023642001E-3</v>
      </c>
      <c r="E960" s="248">
        <v>2.0092149608101299E-3</v>
      </c>
      <c r="F960" s="248"/>
      <c r="G960" s="248">
        <v>3.0477972657562999E-3</v>
      </c>
      <c r="H960" s="735">
        <v>1.0888929719502E-3</v>
      </c>
      <c r="I960" s="735">
        <v>1.1189724093521099E-3</v>
      </c>
      <c r="J960" s="735">
        <v>1.06181138149571E-3</v>
      </c>
      <c r="L960" s="84"/>
      <c r="M960" s="84"/>
      <c r="N960" s="84"/>
      <c r="O960" s="84"/>
      <c r="P960" s="84"/>
      <c r="Q960" s="84"/>
      <c r="R960" s="84"/>
      <c r="S960" s="84"/>
    </row>
    <row r="961" spans="1:19">
      <c r="A961" s="629" t="s">
        <v>342</v>
      </c>
      <c r="B961" s="248">
        <v>1.7656319622726001E-3</v>
      </c>
      <c r="C961" s="248">
        <v>2.8406212901980099E-3</v>
      </c>
      <c r="D961" s="248">
        <v>2.0116469312813001E-3</v>
      </c>
      <c r="E961" s="248">
        <v>2.2412384232440101E-3</v>
      </c>
      <c r="F961" s="248"/>
      <c r="G961" s="248">
        <v>2.83189440603707E-3</v>
      </c>
      <c r="H961" s="735">
        <v>1.0482840382595999E-3</v>
      </c>
      <c r="I961" s="735">
        <v>1.0289692463061699E-3</v>
      </c>
      <c r="J961" s="735">
        <v>1.0203181583471701E-3</v>
      </c>
      <c r="L961" s="84"/>
      <c r="M961" s="84"/>
      <c r="N961" s="84"/>
      <c r="O961" s="84"/>
      <c r="P961" s="84"/>
      <c r="Q961" s="84"/>
      <c r="R961" s="84"/>
      <c r="S961" s="84"/>
    </row>
    <row r="962" spans="1:19">
      <c r="A962" s="629" t="s">
        <v>341</v>
      </c>
      <c r="B962" s="248">
        <v>1.9472485790049401E-3</v>
      </c>
      <c r="C962" s="248">
        <v>2.7703475857821899E-3</v>
      </c>
      <c r="D962" s="248">
        <v>1.9214488344898701E-3</v>
      </c>
      <c r="E962" s="248">
        <v>2.06815630777781E-3</v>
      </c>
      <c r="F962" s="248"/>
      <c r="G962" s="248">
        <v>2.6156826176701601E-3</v>
      </c>
      <c r="H962" s="735">
        <v>9.7990611166195009E-4</v>
      </c>
      <c r="I962" s="735">
        <v>1.0750995987491799E-3</v>
      </c>
      <c r="J962" s="735">
        <v>9.5120689215068396E-4</v>
      </c>
      <c r="L962" s="84"/>
      <c r="M962" s="84"/>
      <c r="N962" s="84"/>
      <c r="O962" s="84"/>
      <c r="P962" s="84"/>
      <c r="Q962" s="84"/>
      <c r="R962" s="84"/>
      <c r="S962" s="84"/>
    </row>
    <row r="963" spans="1:19">
      <c r="A963" s="629" t="s">
        <v>340</v>
      </c>
      <c r="B963" s="248">
        <v>2.4323240517314902E-3</v>
      </c>
      <c r="C963" s="248">
        <v>3.7249586722345402E-3</v>
      </c>
      <c r="D963" s="248">
        <v>2.02188387005935E-3</v>
      </c>
      <c r="E963" s="248">
        <v>2.5019118126468499E-3</v>
      </c>
      <c r="F963" s="248"/>
      <c r="G963" s="248">
        <v>3.1157112352781899E-3</v>
      </c>
      <c r="H963" s="735">
        <v>9.9617753649517793E-4</v>
      </c>
      <c r="I963" s="735">
        <v>1.49010927562529E-3</v>
      </c>
      <c r="J963" s="735">
        <v>9.6890117007274602E-4</v>
      </c>
      <c r="L963" s="84"/>
      <c r="M963" s="84"/>
      <c r="N963" s="84"/>
      <c r="O963" s="84"/>
      <c r="P963" s="84"/>
      <c r="Q963" s="84"/>
      <c r="R963" s="84"/>
      <c r="S963" s="84"/>
    </row>
    <row r="964" spans="1:19">
      <c r="A964" s="629" t="s">
        <v>339</v>
      </c>
      <c r="B964" s="248">
        <v>2.2516100840328499E-3</v>
      </c>
      <c r="C964" s="248">
        <v>3.1541372752931398E-3</v>
      </c>
      <c r="D964" s="248">
        <v>5.02753415680471E-3</v>
      </c>
      <c r="E964" s="248">
        <v>2.2962938441774198E-3</v>
      </c>
      <c r="F964" s="248"/>
      <c r="G964" s="248">
        <v>2.8636482199930701E-3</v>
      </c>
      <c r="H964" s="735">
        <v>1.0609949833730501E-3</v>
      </c>
      <c r="I964" s="735">
        <v>1.36561433415703E-3</v>
      </c>
      <c r="J964" s="735">
        <v>1.03240499704438E-3</v>
      </c>
      <c r="L964" s="84"/>
      <c r="M964" s="84"/>
      <c r="N964" s="84"/>
      <c r="O964" s="84"/>
      <c r="P964" s="84"/>
      <c r="Q964" s="84"/>
      <c r="R964" s="84"/>
      <c r="S964" s="84"/>
    </row>
    <row r="965" spans="1:19">
      <c r="A965" s="629" t="s">
        <v>338</v>
      </c>
      <c r="B965" s="248">
        <v>2.1403476447005099E-3</v>
      </c>
      <c r="C965" s="248">
        <v>2.8330796960881598E-3</v>
      </c>
      <c r="D965" s="248">
        <v>4.0092675954935299E-3</v>
      </c>
      <c r="E965" s="248">
        <v>2.1277066223506702E-3</v>
      </c>
      <c r="F965" s="248"/>
      <c r="G965" s="248">
        <v>2.6735969045801498E-3</v>
      </c>
      <c r="H965" s="735">
        <v>9.9622803957923707E-4</v>
      </c>
      <c r="I965" s="735">
        <v>1.24569111612533E-3</v>
      </c>
      <c r="J965" s="735">
        <v>9.67605968390456E-4</v>
      </c>
      <c r="L965" s="84"/>
      <c r="M965" s="84"/>
      <c r="N965" s="84"/>
      <c r="O965" s="84"/>
      <c r="P965" s="84"/>
      <c r="Q965" s="84"/>
      <c r="R965" s="84"/>
      <c r="S965" s="84"/>
    </row>
    <row r="966" spans="1:19">
      <c r="A966" s="629" t="s">
        <v>337</v>
      </c>
      <c r="B966" s="248">
        <v>1.9850868132207399E-3</v>
      </c>
      <c r="C966" s="248">
        <v>3.8696492617705798E-3</v>
      </c>
      <c r="D966" s="248">
        <v>3.0065972346302199E-3</v>
      </c>
      <c r="E966" s="248">
        <v>2.2169224733091099E-3</v>
      </c>
      <c r="F966" s="248"/>
      <c r="G966" s="248">
        <v>3.61681783303292E-3</v>
      </c>
      <c r="H966" s="735">
        <v>9.8622430840516291E-4</v>
      </c>
      <c r="I966" s="735">
        <v>1.1809314914534299E-3</v>
      </c>
      <c r="J966" s="735">
        <v>9.5732857161179904E-4</v>
      </c>
      <c r="L966" s="84"/>
      <c r="M966" s="84"/>
      <c r="N966" s="84"/>
      <c r="O966" s="84"/>
      <c r="P966" s="84"/>
      <c r="Q966" s="84"/>
      <c r="R966" s="84"/>
      <c r="S966" s="84"/>
    </row>
    <row r="967" spans="1:19">
      <c r="A967" s="629" t="s">
        <v>336</v>
      </c>
      <c r="B967" s="248">
        <v>1.85696536590209E-3</v>
      </c>
      <c r="C967" s="248">
        <v>3.15629421489252E-3</v>
      </c>
      <c r="D967" s="248">
        <v>2.44953933696306E-3</v>
      </c>
      <c r="E967" s="248">
        <v>2.2941585526693301E-3</v>
      </c>
      <c r="F967" s="248"/>
      <c r="G967" s="248">
        <v>3.3742787560037601E-3</v>
      </c>
      <c r="H967" s="735">
        <v>9.3067318885504101E-4</v>
      </c>
      <c r="I967" s="735">
        <v>1.0837747225768001E-3</v>
      </c>
      <c r="J967" s="735">
        <v>9.0172508141981797E-4</v>
      </c>
      <c r="L967" s="84"/>
      <c r="M967" s="84"/>
      <c r="N967" s="84"/>
      <c r="O967" s="84"/>
      <c r="P967" s="84"/>
      <c r="Q967" s="84"/>
      <c r="R967" s="84"/>
      <c r="S967" s="84"/>
    </row>
    <row r="968" spans="1:19">
      <c r="A968" s="629" t="s">
        <v>335</v>
      </c>
      <c r="B968" s="248">
        <v>1.75114768540248E-3</v>
      </c>
      <c r="C968" s="248">
        <v>2.7745092369343498E-3</v>
      </c>
      <c r="D968" s="248">
        <v>2.29950839828844E-3</v>
      </c>
      <c r="E968" s="248">
        <v>2.21198677105473E-3</v>
      </c>
      <c r="F968" s="248"/>
      <c r="G968" s="248">
        <v>3.1533434482345999E-3</v>
      </c>
      <c r="H968" s="735">
        <v>8.8718055112627396E-4</v>
      </c>
      <c r="I968" s="735">
        <v>1.3000289171205999E-3</v>
      </c>
      <c r="J968" s="735">
        <v>8.5697016513423699E-4</v>
      </c>
      <c r="L968" s="84"/>
      <c r="M968" s="84"/>
      <c r="N968" s="84"/>
      <c r="O968" s="84"/>
      <c r="P968" s="84"/>
      <c r="Q968" s="84"/>
      <c r="R968" s="84"/>
      <c r="S968" s="84"/>
    </row>
    <row r="969" spans="1:19">
      <c r="A969" s="629" t="s">
        <v>334</v>
      </c>
      <c r="B969" s="248">
        <v>1.64817843165161E-3</v>
      </c>
      <c r="C969" s="248">
        <v>2.8389061840027501E-3</v>
      </c>
      <c r="D969" s="248">
        <v>2.9112720298169101E-3</v>
      </c>
      <c r="E969" s="248">
        <v>2.1144591109691102E-3</v>
      </c>
      <c r="F969" s="248"/>
      <c r="G969" s="248">
        <v>2.92004449934307E-3</v>
      </c>
      <c r="H969" s="735">
        <v>8.5328244356875802E-4</v>
      </c>
      <c r="I969" s="735">
        <v>1.1973685669473301E-3</v>
      </c>
      <c r="J969" s="735">
        <v>8.2134865437163897E-4</v>
      </c>
      <c r="L969" s="84"/>
      <c r="M969" s="84"/>
      <c r="N969" s="84"/>
      <c r="O969" s="84"/>
      <c r="P969" s="84"/>
      <c r="Q969" s="84"/>
      <c r="R969" s="84"/>
      <c r="S969" s="84"/>
    </row>
    <row r="970" spans="1:19">
      <c r="A970" s="629" t="s">
        <v>333</v>
      </c>
      <c r="B970" s="248">
        <v>1.5816387060266E-3</v>
      </c>
      <c r="C970" s="248">
        <v>2.65115693318798E-3</v>
      </c>
      <c r="D970" s="248">
        <v>2.5852373898855299E-3</v>
      </c>
      <c r="E970" s="248">
        <v>1.96553312748952E-3</v>
      </c>
      <c r="F970" s="248"/>
      <c r="G970" s="248">
        <v>2.7266696128115699E-3</v>
      </c>
      <c r="H970" s="735">
        <v>9.9058334733203093E-4</v>
      </c>
      <c r="I970" s="735">
        <v>1.1026518099827201E-3</v>
      </c>
      <c r="J970" s="735">
        <v>9.5900137457895804E-4</v>
      </c>
      <c r="L970" s="84"/>
      <c r="M970" s="84"/>
      <c r="N970" s="84"/>
      <c r="O970" s="84"/>
      <c r="P970" s="84"/>
      <c r="Q970" s="84"/>
      <c r="R970" s="84"/>
      <c r="S970" s="84"/>
    </row>
    <row r="971" spans="1:19">
      <c r="A971" s="629" t="s">
        <v>332</v>
      </c>
      <c r="B971" s="248">
        <v>1.6069791095177301E-3</v>
      </c>
      <c r="C971" s="248">
        <v>2.9118405558776401E-3</v>
      </c>
      <c r="D971" s="248">
        <v>2.22230786648888E-3</v>
      </c>
      <c r="E971" s="248">
        <v>2.21268458108721E-3</v>
      </c>
      <c r="F971" s="248"/>
      <c r="G971" s="248">
        <v>2.5699303559285399E-3</v>
      </c>
      <c r="H971" s="735">
        <v>9.37001804981155E-4</v>
      </c>
      <c r="I971" s="735">
        <v>1.04626200793222E-3</v>
      </c>
      <c r="J971" s="735">
        <v>9.0560774928194596E-4</v>
      </c>
      <c r="L971" s="84"/>
      <c r="M971" s="84"/>
      <c r="N971" s="84"/>
      <c r="O971" s="84"/>
      <c r="P971" s="84"/>
      <c r="Q971" s="84"/>
      <c r="R971" s="84"/>
      <c r="S971" s="84"/>
    </row>
    <row r="972" spans="1:19">
      <c r="A972" s="629" t="s">
        <v>331</v>
      </c>
      <c r="B972" s="248">
        <v>1.57704696769714E-3</v>
      </c>
      <c r="C972" s="248">
        <v>3.3752915007247601E-3</v>
      </c>
      <c r="D972" s="248">
        <v>2.7495600414735098E-3</v>
      </c>
      <c r="E972" s="248">
        <v>2.1319962357622302E-3</v>
      </c>
      <c r="F972" s="248"/>
      <c r="G972" s="248">
        <v>2.52192507269215E-3</v>
      </c>
      <c r="H972" s="735">
        <v>8.8839981113398095E-4</v>
      </c>
      <c r="I972" s="735">
        <v>1.1756998878472899E-3</v>
      </c>
      <c r="J972" s="735">
        <v>8.5668170913742899E-4</v>
      </c>
      <c r="L972" s="84"/>
      <c r="M972" s="84"/>
      <c r="N972" s="84"/>
      <c r="O972" s="84"/>
      <c r="P972" s="84"/>
      <c r="Q972" s="84"/>
      <c r="R972" s="84"/>
      <c r="S972" s="84"/>
    </row>
    <row r="973" spans="1:19">
      <c r="A973" s="629" t="s">
        <v>330</v>
      </c>
      <c r="B973" s="248">
        <v>1.50005472789087E-3</v>
      </c>
      <c r="C973" s="248">
        <v>2.9211671592368599E-3</v>
      </c>
      <c r="D973" s="248">
        <v>4.2808350523764497E-3</v>
      </c>
      <c r="E973" s="248">
        <v>1.9788921102744501E-3</v>
      </c>
      <c r="F973" s="248"/>
      <c r="G973" s="248">
        <v>2.3922844481587598E-3</v>
      </c>
      <c r="H973" s="735">
        <v>8.8501029114701902E-4</v>
      </c>
      <c r="I973" s="735">
        <v>1.1220722106608E-3</v>
      </c>
      <c r="J973" s="735">
        <v>8.52744289068663E-4</v>
      </c>
      <c r="L973" s="84"/>
      <c r="M973" s="84"/>
      <c r="N973" s="84"/>
      <c r="O973" s="84"/>
      <c r="P973" s="84"/>
      <c r="Q973" s="84"/>
      <c r="R973" s="84"/>
      <c r="S973" s="84"/>
    </row>
    <row r="974" spans="1:19">
      <c r="A974" s="629" t="s">
        <v>329</v>
      </c>
      <c r="B974" s="248">
        <v>1.4582451120478299E-3</v>
      </c>
      <c r="C974" s="248">
        <v>2.70275654833482E-3</v>
      </c>
      <c r="D974" s="248">
        <v>3.2267230995958198E-3</v>
      </c>
      <c r="E974" s="248">
        <v>1.9082583320876899E-3</v>
      </c>
      <c r="F974" s="248"/>
      <c r="G974" s="248">
        <v>2.2233588943931198E-3</v>
      </c>
      <c r="H974" s="735">
        <v>8.9353648042066202E-4</v>
      </c>
      <c r="I974" s="735">
        <v>1.0938653268943799E-3</v>
      </c>
      <c r="J974" s="735">
        <v>8.5956020650045702E-4</v>
      </c>
      <c r="L974" s="84"/>
      <c r="M974" s="84"/>
      <c r="N974" s="84"/>
      <c r="O974" s="84"/>
      <c r="P974" s="84"/>
      <c r="Q974" s="84"/>
      <c r="R974" s="84"/>
      <c r="S974" s="84"/>
    </row>
    <row r="975" spans="1:19">
      <c r="A975" s="629" t="s">
        <v>328</v>
      </c>
      <c r="B975" s="248">
        <v>1.88418420810636E-3</v>
      </c>
      <c r="C975" s="248">
        <v>2.9781170183461199E-3</v>
      </c>
      <c r="D975" s="248">
        <v>4.4277238661397803E-3</v>
      </c>
      <c r="E975" s="248">
        <v>2.1796467559151399E-3</v>
      </c>
      <c r="F975" s="248"/>
      <c r="G975" s="248">
        <v>3.0935119582387702E-3</v>
      </c>
      <c r="H975" s="735">
        <v>9.3842684478126601E-4</v>
      </c>
      <c r="I975" s="735">
        <v>1.2692458715450499E-3</v>
      </c>
      <c r="J975" s="735">
        <v>9.0498191646530297E-4</v>
      </c>
      <c r="L975" s="84"/>
      <c r="M975" s="84"/>
      <c r="N975" s="84"/>
      <c r="O975" s="84"/>
      <c r="P975" s="84"/>
      <c r="Q975" s="84"/>
      <c r="R975" s="84"/>
      <c r="S975" s="84"/>
    </row>
    <row r="976" spans="1:19">
      <c r="A976" s="629" t="s">
        <v>327</v>
      </c>
      <c r="B976" s="248">
        <v>2.2477620709931601E-3</v>
      </c>
      <c r="C976" s="248">
        <v>2.7361490072652902E-3</v>
      </c>
      <c r="D976" s="248">
        <v>4.1036135039001697E-3</v>
      </c>
      <c r="E976" s="248">
        <v>2.0294659197226399E-3</v>
      </c>
      <c r="F976" s="248"/>
      <c r="G976" s="248">
        <v>2.8788187067389699E-3</v>
      </c>
      <c r="H976" s="735">
        <v>9.08885136224272E-4</v>
      </c>
      <c r="I976" s="735">
        <v>1.1829432723852501E-3</v>
      </c>
      <c r="J976" s="735">
        <v>8.7499117744150603E-4</v>
      </c>
      <c r="L976" s="84"/>
      <c r="M976" s="84"/>
      <c r="N976" s="84"/>
      <c r="O976" s="84"/>
      <c r="P976" s="84"/>
      <c r="Q976" s="84"/>
      <c r="R976" s="84"/>
      <c r="S976" s="84"/>
    </row>
    <row r="977" spans="1:19">
      <c r="A977" s="629" t="s">
        <v>326</v>
      </c>
      <c r="B977" s="248">
        <v>2.2011744460317998E-3</v>
      </c>
      <c r="C977" s="248">
        <v>3.4830194120613E-3</v>
      </c>
      <c r="D977" s="248">
        <v>3.3072174353860799E-3</v>
      </c>
      <c r="E977" s="248">
        <v>1.96068092060807E-3</v>
      </c>
      <c r="F977" s="248"/>
      <c r="G977" s="248">
        <v>2.7910033236942001E-3</v>
      </c>
      <c r="H977" s="735">
        <v>8.7268137018197702E-4</v>
      </c>
      <c r="I977" s="735">
        <v>1.08751857734454E-3</v>
      </c>
      <c r="J977" s="735">
        <v>8.3787951212319002E-4</v>
      </c>
      <c r="L977" s="84"/>
      <c r="M977" s="84"/>
      <c r="N977" s="84"/>
      <c r="O977" s="84"/>
      <c r="P977" s="84"/>
      <c r="Q977" s="84"/>
      <c r="R977" s="84"/>
      <c r="S977" s="84"/>
    </row>
    <row r="978" spans="1:19">
      <c r="A978" s="629" t="s">
        <v>325</v>
      </c>
      <c r="B978" s="248">
        <v>2.1298596605052698E-3</v>
      </c>
      <c r="C978" s="248">
        <v>3.50211607243081E-3</v>
      </c>
      <c r="D978" s="248">
        <v>2.62645173858644E-3</v>
      </c>
      <c r="E978" s="248">
        <v>2.0426413662392199E-3</v>
      </c>
      <c r="F978" s="248"/>
      <c r="G978" s="248">
        <v>3.1730971771254E-3</v>
      </c>
      <c r="H978" s="735">
        <v>8.4398385545748997E-4</v>
      </c>
      <c r="I978" s="735">
        <v>1.0079017614019799E-3</v>
      </c>
      <c r="J978" s="735">
        <v>8.0946452624742799E-4</v>
      </c>
      <c r="L978" s="84"/>
      <c r="M978" s="84"/>
      <c r="N978" s="84"/>
      <c r="O978" s="84"/>
      <c r="P978" s="84"/>
      <c r="Q978" s="84"/>
      <c r="R978" s="84"/>
      <c r="S978" s="84"/>
    </row>
    <row r="979" spans="1:19">
      <c r="A979" s="629" t="s">
        <v>324</v>
      </c>
      <c r="B979" s="248">
        <v>1.9819655268987599E-3</v>
      </c>
      <c r="C979" s="248">
        <v>3.4230685941967001E-3</v>
      </c>
      <c r="D979" s="248">
        <v>2.2538766491902902E-3</v>
      </c>
      <c r="E979" s="248">
        <v>2.7227427262173001E-3</v>
      </c>
      <c r="F979" s="248"/>
      <c r="G979" s="248">
        <v>3.1292463935080599E-3</v>
      </c>
      <c r="H979" s="735">
        <v>8.9991923475746596E-4</v>
      </c>
      <c r="I979" s="735">
        <v>1.1392402529326101E-3</v>
      </c>
      <c r="J979" s="735">
        <v>8.6956896001170504E-4</v>
      </c>
      <c r="L979" s="84"/>
      <c r="M979" s="84"/>
      <c r="N979" s="84"/>
      <c r="O979" s="84"/>
      <c r="P979" s="84"/>
      <c r="Q979" s="84"/>
      <c r="R979" s="84"/>
      <c r="S979" s="84"/>
    </row>
    <row r="980" spans="1:19">
      <c r="A980" s="629" t="s">
        <v>323</v>
      </c>
      <c r="B980" s="248">
        <v>1.86732678981688E-3</v>
      </c>
      <c r="C980" s="248">
        <v>2.89855693502919E-3</v>
      </c>
      <c r="D980" s="248">
        <v>2.2056750563909299E-3</v>
      </c>
      <c r="E980" s="248">
        <v>2.5133149022511202E-3</v>
      </c>
      <c r="F980" s="248"/>
      <c r="G980" s="248">
        <v>2.87421895451982E-3</v>
      </c>
      <c r="H980" s="735">
        <v>8.60441699284969E-4</v>
      </c>
      <c r="I980" s="735">
        <v>1.1765414599875599E-3</v>
      </c>
      <c r="J980" s="735">
        <v>8.2916927971591204E-4</v>
      </c>
      <c r="L980" s="84"/>
      <c r="M980" s="84"/>
      <c r="N980" s="84"/>
      <c r="O980" s="84"/>
      <c r="P980" s="84"/>
      <c r="Q980" s="84"/>
      <c r="R980" s="84"/>
      <c r="S980" s="84"/>
    </row>
    <row r="981" spans="1:19">
      <c r="A981" s="629" t="s">
        <v>322</v>
      </c>
      <c r="B981" s="248">
        <v>1.75148512187022E-3</v>
      </c>
      <c r="C981" s="248">
        <v>3.5238261676600502E-3</v>
      </c>
      <c r="D981" s="248">
        <v>2.0528303141261598E-3</v>
      </c>
      <c r="E981" s="248">
        <v>3.84081969967496E-3</v>
      </c>
      <c r="F981" s="248"/>
      <c r="G981" s="248">
        <v>2.6455348567932099E-3</v>
      </c>
      <c r="H981" s="735">
        <v>1.0084394880583E-3</v>
      </c>
      <c r="I981" s="735">
        <v>1.2262715486975101E-3</v>
      </c>
      <c r="J981" s="735">
        <v>9.7775373187274496E-4</v>
      </c>
      <c r="L981" s="84"/>
      <c r="M981" s="84"/>
      <c r="N981" s="84"/>
      <c r="O981" s="84"/>
      <c r="P981" s="84"/>
      <c r="Q981" s="84"/>
      <c r="R981" s="84"/>
      <c r="S981" s="84"/>
    </row>
    <row r="982" spans="1:19">
      <c r="A982" s="629" t="s">
        <v>321</v>
      </c>
      <c r="B982" s="248">
        <v>1.70367879775465E-3</v>
      </c>
      <c r="C982" s="248">
        <v>2.9327058987037402E-3</v>
      </c>
      <c r="D982" s="248">
        <v>5.5422866127627602E-3</v>
      </c>
      <c r="E982" s="248">
        <v>3.42884004012651E-3</v>
      </c>
      <c r="F982" s="248"/>
      <c r="G982" s="248">
        <v>2.4577849010689601E-3</v>
      </c>
      <c r="H982" s="735">
        <v>1.04709707226023E-3</v>
      </c>
      <c r="I982" s="735">
        <v>1.12272722264572E-3</v>
      </c>
      <c r="J982" s="735">
        <v>1.01613253231871E-3</v>
      </c>
      <c r="L982" s="84"/>
      <c r="M982" s="84"/>
      <c r="N982" s="84"/>
      <c r="O982" s="84"/>
      <c r="P982" s="84"/>
      <c r="Q982" s="84"/>
      <c r="R982" s="84"/>
      <c r="S982" s="84"/>
    </row>
    <row r="983" spans="1:19">
      <c r="A983" s="629" t="s">
        <v>320</v>
      </c>
      <c r="B983" s="248">
        <v>2.2624082479741898E-3</v>
      </c>
      <c r="C983" s="248">
        <v>3.8142404908177302E-3</v>
      </c>
      <c r="D983" s="248">
        <v>5.7332382932634603E-3</v>
      </c>
      <c r="E983" s="248">
        <v>3.8340312353081999E-3</v>
      </c>
      <c r="F983" s="248"/>
      <c r="G983" s="248">
        <v>2.3478608352328098E-3</v>
      </c>
      <c r="H983" s="735">
        <v>1.05265977985888E-3</v>
      </c>
      <c r="I983" s="735">
        <v>1.3887123993012299E-3</v>
      </c>
      <c r="J983" s="735">
        <v>1.0126485036307501E-3</v>
      </c>
      <c r="L983" s="84"/>
      <c r="M983" s="84"/>
      <c r="N983" s="84"/>
      <c r="O983" s="84"/>
      <c r="P983" s="84"/>
      <c r="Q983" s="84"/>
      <c r="R983" s="84"/>
      <c r="S983" s="84"/>
    </row>
    <row r="984" spans="1:19">
      <c r="A984" s="629" t="s">
        <v>319</v>
      </c>
      <c r="B984" s="248">
        <v>2.6813242007826701E-3</v>
      </c>
      <c r="C984" s="248">
        <v>4.8585102375238998E-3</v>
      </c>
      <c r="D984" s="248">
        <v>5.9006951176204699E-3</v>
      </c>
      <c r="E984" s="248">
        <v>4.5667388818781303E-3</v>
      </c>
      <c r="F984" s="248"/>
      <c r="G984" s="248">
        <v>2.77792709262365E-3</v>
      </c>
      <c r="H984" s="735">
        <v>1.1799731420316501E-3</v>
      </c>
      <c r="I984" s="735">
        <v>1.4627821210631701E-3</v>
      </c>
      <c r="J984" s="735">
        <v>1.14256928059522E-3</v>
      </c>
      <c r="L984" s="84"/>
      <c r="M984" s="84"/>
      <c r="N984" s="84"/>
      <c r="O984" s="84"/>
      <c r="P984" s="84"/>
      <c r="Q984" s="84"/>
      <c r="R984" s="84"/>
      <c r="S984" s="84"/>
    </row>
    <row r="985" spans="1:19">
      <c r="A985" s="629" t="s">
        <v>318</v>
      </c>
      <c r="B985" s="248">
        <v>2.4496420629443001E-3</v>
      </c>
      <c r="C985" s="248">
        <v>3.60666433975843E-3</v>
      </c>
      <c r="D985" s="248">
        <v>4.0894591838153199E-3</v>
      </c>
      <c r="E985" s="248">
        <v>5.2322655258263996E-3</v>
      </c>
      <c r="F985" s="248"/>
      <c r="G985" s="248">
        <v>3.4644576339733901E-3</v>
      </c>
      <c r="H985" s="735">
        <v>1.09458886080709E-3</v>
      </c>
      <c r="I985" s="735">
        <v>1.3483217016237699E-3</v>
      </c>
      <c r="J985" s="735">
        <v>1.05827944689178E-3</v>
      </c>
      <c r="L985" s="84"/>
      <c r="M985" s="84"/>
      <c r="N985" s="84"/>
      <c r="O985" s="84"/>
      <c r="P985" s="84"/>
      <c r="Q985" s="84"/>
      <c r="R985" s="84"/>
      <c r="S985" s="84"/>
    </row>
    <row r="986" spans="1:19">
      <c r="A986" s="629" t="s">
        <v>317</v>
      </c>
      <c r="B986" s="248">
        <v>2.2498217725689198E-3</v>
      </c>
      <c r="C986" s="248">
        <v>2.9664627434994499E-3</v>
      </c>
      <c r="D986" s="248">
        <v>3.0245563512777702E-3</v>
      </c>
      <c r="E986" s="248">
        <v>4.5153999456583101E-3</v>
      </c>
      <c r="F986" s="248"/>
      <c r="G986" s="248">
        <v>3.1788938308787399E-3</v>
      </c>
      <c r="H986" s="735">
        <v>1.1386418520830399E-3</v>
      </c>
      <c r="I986" s="735">
        <v>1.3145320957349601E-3</v>
      </c>
      <c r="J986" s="735">
        <v>1.09916932256498E-3</v>
      </c>
      <c r="L986" s="84"/>
      <c r="M986" s="84"/>
      <c r="N986" s="84"/>
      <c r="O986" s="84"/>
      <c r="P986" s="84"/>
      <c r="Q986" s="84"/>
      <c r="R986" s="84"/>
      <c r="S986" s="84"/>
    </row>
    <row r="987" spans="1:19">
      <c r="A987" s="629" t="s">
        <v>316</v>
      </c>
      <c r="B987" s="248">
        <v>2.11428109081056E-3</v>
      </c>
      <c r="C987" s="248">
        <v>2.7648733896392902E-3</v>
      </c>
      <c r="D987" s="248">
        <v>4.3012906948568302E-3</v>
      </c>
      <c r="E987" s="248">
        <v>4.1800509721670997E-3</v>
      </c>
      <c r="F987" s="248"/>
      <c r="G987" s="248">
        <v>3.3889448259787499E-3</v>
      </c>
      <c r="H987" s="735">
        <v>1.06247799560302E-3</v>
      </c>
      <c r="I987" s="735">
        <v>1.6068689868628701E-3</v>
      </c>
      <c r="J987" s="735">
        <v>1.02472068645307E-3</v>
      </c>
      <c r="L987" s="84"/>
      <c r="M987" s="84"/>
      <c r="N987" s="84"/>
      <c r="O987" s="84"/>
      <c r="P987" s="84"/>
      <c r="Q987" s="84"/>
      <c r="R987" s="84"/>
      <c r="S987" s="84"/>
    </row>
    <row r="988" spans="1:19">
      <c r="A988" s="629" t="s">
        <v>315</v>
      </c>
      <c r="B988" s="248">
        <v>2.3744250224949498E-3</v>
      </c>
      <c r="C988" s="248">
        <v>2.6650732837041201E-3</v>
      </c>
      <c r="D988" s="248">
        <v>6.6894235039345598E-3</v>
      </c>
      <c r="E988" s="248">
        <v>3.61641599910111E-3</v>
      </c>
      <c r="F988" s="248"/>
      <c r="G988" s="248">
        <v>3.1375312203251399E-3</v>
      </c>
      <c r="H988" s="735">
        <v>1.3040803124755901E-3</v>
      </c>
      <c r="I988" s="735">
        <v>1.4559819675407199E-3</v>
      </c>
      <c r="J988" s="735">
        <v>1.2755790800812899E-3</v>
      </c>
      <c r="L988" s="84"/>
      <c r="M988" s="84"/>
      <c r="N988" s="84"/>
      <c r="O988" s="84"/>
      <c r="P988" s="84"/>
      <c r="Q988" s="84"/>
      <c r="R988" s="84"/>
      <c r="S988" s="84"/>
    </row>
    <row r="989" spans="1:19">
      <c r="A989" s="629" t="s">
        <v>314</v>
      </c>
      <c r="B989" s="248">
        <v>2.57509488125191E-3</v>
      </c>
      <c r="C989" s="248">
        <v>2.60148506132379E-3</v>
      </c>
      <c r="D989" s="248">
        <v>4.3884962822377102E-3</v>
      </c>
      <c r="E989" s="248">
        <v>3.1510373710549899E-3</v>
      </c>
      <c r="F989" s="248"/>
      <c r="G989" s="248">
        <v>2.8810585766512599E-3</v>
      </c>
      <c r="H989" s="735">
        <v>1.2176403136005499E-3</v>
      </c>
      <c r="I989" s="735">
        <v>1.3249623081301801E-3</v>
      </c>
      <c r="J989" s="735">
        <v>1.1917991504386001E-3</v>
      </c>
      <c r="L989" s="84"/>
      <c r="M989" s="84"/>
      <c r="N989" s="84"/>
      <c r="O989" s="84"/>
      <c r="P989" s="84"/>
      <c r="Q989" s="84"/>
      <c r="R989" s="84"/>
      <c r="S989" s="84"/>
    </row>
    <row r="990" spans="1:19">
      <c r="A990" s="629" t="s">
        <v>313</v>
      </c>
      <c r="B990" s="248">
        <v>2.3811489971912801E-3</v>
      </c>
      <c r="C990" s="248">
        <v>3.7273594699899402E-3</v>
      </c>
      <c r="D990" s="248">
        <v>3.1731592181888299E-3</v>
      </c>
      <c r="E990" s="248">
        <v>2.8787741755394499E-3</v>
      </c>
      <c r="F990" s="248"/>
      <c r="G990" s="248">
        <v>2.6904782176459001E-3</v>
      </c>
      <c r="H990" s="735">
        <v>1.7174652174246699E-3</v>
      </c>
      <c r="I990" s="735">
        <v>1.81612563039575E-3</v>
      </c>
      <c r="J990" s="735">
        <v>1.7015588262056099E-3</v>
      </c>
      <c r="L990" s="84"/>
      <c r="M990" s="84"/>
      <c r="N990" s="84"/>
      <c r="O990" s="84"/>
      <c r="P990" s="84"/>
      <c r="Q990" s="84"/>
      <c r="R990" s="84"/>
      <c r="S990" s="84"/>
    </row>
    <row r="991" spans="1:19">
      <c r="A991" s="629" t="s">
        <v>312</v>
      </c>
      <c r="B991" s="248">
        <v>3.0769307453392199E-3</v>
      </c>
      <c r="C991" s="248">
        <v>3.17886989891711E-3</v>
      </c>
      <c r="D991" s="248">
        <v>5.8690755397479196E-3</v>
      </c>
      <c r="E991" s="248">
        <v>4.3362568650673703E-3</v>
      </c>
      <c r="F991" s="248"/>
      <c r="G991" s="248">
        <v>2.4823881451240702E-3</v>
      </c>
      <c r="H991" s="735">
        <v>1.7805790091419301E-3</v>
      </c>
      <c r="I991" s="735">
        <v>1.9971749792610299E-3</v>
      </c>
      <c r="J991" s="735">
        <v>1.7761004249567101E-3</v>
      </c>
      <c r="L991" s="84"/>
      <c r="M991" s="84"/>
      <c r="N991" s="84"/>
      <c r="O991" s="84"/>
      <c r="P991" s="84"/>
      <c r="Q991" s="84"/>
      <c r="R991" s="84"/>
      <c r="S991" s="84"/>
    </row>
    <row r="992" spans="1:19">
      <c r="A992" s="629" t="s">
        <v>311</v>
      </c>
      <c r="B992" s="248">
        <v>2.8813729122981399E-3</v>
      </c>
      <c r="C992" s="248">
        <v>2.8074833066174501E-3</v>
      </c>
      <c r="D992" s="248">
        <v>3.9309268321662399E-3</v>
      </c>
      <c r="E992" s="248">
        <v>3.7806049164939002E-3</v>
      </c>
      <c r="F992" s="248"/>
      <c r="G992" s="248">
        <v>2.5139539607464201E-3</v>
      </c>
      <c r="H992" s="735">
        <v>1.60498629136976E-3</v>
      </c>
      <c r="I992" s="735">
        <v>1.8029696872817499E-3</v>
      </c>
      <c r="J992" s="735">
        <v>1.59981154420009E-3</v>
      </c>
      <c r="L992" s="84"/>
      <c r="M992" s="84"/>
      <c r="N992" s="84"/>
      <c r="O992" s="84"/>
      <c r="P992" s="84"/>
      <c r="Q992" s="84"/>
      <c r="R992" s="84"/>
      <c r="S992" s="84"/>
    </row>
    <row r="993" spans="1:19">
      <c r="A993" s="629" t="s">
        <v>310</v>
      </c>
      <c r="B993" s="248">
        <v>3.2077539393047601E-3</v>
      </c>
      <c r="C993" s="248">
        <v>2.6932912233865501E-3</v>
      </c>
      <c r="D993" s="248">
        <v>3.6040593146577501E-3</v>
      </c>
      <c r="E993" s="248">
        <v>3.4069151709965602E-3</v>
      </c>
      <c r="F993" s="248"/>
      <c r="G993" s="248">
        <v>2.6143681298102898E-3</v>
      </c>
      <c r="H993" s="735">
        <v>1.64877328486967E-3</v>
      </c>
      <c r="I993" s="735">
        <v>1.86466546318477E-3</v>
      </c>
      <c r="J993" s="735">
        <v>1.6359051275595001E-3</v>
      </c>
      <c r="L993" s="84"/>
      <c r="M993" s="84"/>
      <c r="N993" s="84"/>
      <c r="O993" s="84"/>
      <c r="P993" s="84"/>
      <c r="Q993" s="84"/>
      <c r="R993" s="84"/>
      <c r="S993" s="84"/>
    </row>
    <row r="994" spans="1:19">
      <c r="A994" s="629" t="s">
        <v>309</v>
      </c>
      <c r="B994" s="248">
        <v>2.9117843469339201E-3</v>
      </c>
      <c r="C994" s="248">
        <v>2.8793360876265901E-3</v>
      </c>
      <c r="D994" s="248">
        <v>2.7516582026854801E-3</v>
      </c>
      <c r="E994" s="248">
        <v>2.9891761662330998E-3</v>
      </c>
      <c r="F994" s="248"/>
      <c r="G994" s="248">
        <v>2.6626734545345302E-3</v>
      </c>
      <c r="H994" s="735">
        <v>1.47539958015487E-3</v>
      </c>
      <c r="I994" s="735">
        <v>1.7406044284251499E-3</v>
      </c>
      <c r="J994" s="735">
        <v>1.46054359607546E-3</v>
      </c>
      <c r="L994" s="84"/>
      <c r="M994" s="84"/>
      <c r="N994" s="84"/>
      <c r="O994" s="84"/>
      <c r="P994" s="84"/>
      <c r="Q994" s="84"/>
      <c r="R994" s="84"/>
      <c r="S994" s="84"/>
    </row>
    <row r="995" spans="1:19">
      <c r="A995" s="629" t="s">
        <v>308</v>
      </c>
      <c r="B995" s="248">
        <v>2.6490028349694201E-3</v>
      </c>
      <c r="C995" s="248">
        <v>2.7652770460486098E-3</v>
      </c>
      <c r="D995" s="248">
        <v>2.38883849711948E-3</v>
      </c>
      <c r="E995" s="248">
        <v>2.6585739225914399E-3</v>
      </c>
      <c r="F995" s="248"/>
      <c r="G995" s="248">
        <v>2.4686581152406901E-3</v>
      </c>
      <c r="H995" s="735">
        <v>2.4549176188896301E-3</v>
      </c>
      <c r="I995" s="735">
        <v>1.6005993750145199E-3</v>
      </c>
      <c r="J995" s="735">
        <v>2.46224445291617E-3</v>
      </c>
      <c r="L995" s="84"/>
      <c r="M995" s="84"/>
      <c r="N995" s="84"/>
      <c r="O995" s="84"/>
      <c r="P995" s="84"/>
      <c r="Q995" s="84"/>
      <c r="R995" s="84"/>
      <c r="S995" s="84"/>
    </row>
    <row r="996" spans="1:19">
      <c r="A996" s="629" t="s">
        <v>307</v>
      </c>
      <c r="B996" s="248">
        <v>2.6761193962346699E-3</v>
      </c>
      <c r="C996" s="248">
        <v>2.8754129290470901E-3</v>
      </c>
      <c r="D996" s="248">
        <v>2.6618609453164899E-3</v>
      </c>
      <c r="E996" s="248">
        <v>2.4510006462659202E-3</v>
      </c>
      <c r="F996" s="248"/>
      <c r="G996" s="248">
        <v>2.4667416032071198E-3</v>
      </c>
      <c r="H996" s="735">
        <v>2.18671591976568E-3</v>
      </c>
      <c r="I996" s="735">
        <v>1.9590096884405002E-3</v>
      </c>
      <c r="J996" s="735">
        <v>2.19292560903706E-3</v>
      </c>
      <c r="L996" s="84"/>
      <c r="M996" s="84"/>
      <c r="N996" s="84"/>
      <c r="O996" s="84"/>
      <c r="P996" s="84"/>
      <c r="Q996" s="84"/>
      <c r="R996" s="84"/>
      <c r="S996" s="84"/>
    </row>
    <row r="997" spans="1:19">
      <c r="A997" s="629" t="s">
        <v>306</v>
      </c>
      <c r="B997" s="248">
        <v>2.63536704221337E-3</v>
      </c>
      <c r="C997" s="248">
        <v>3.2418868338533499E-3</v>
      </c>
      <c r="D997" s="248">
        <v>2.8314086900211801E-3</v>
      </c>
      <c r="E997" s="248">
        <v>2.8301267561270898E-3</v>
      </c>
      <c r="F997" s="248"/>
      <c r="G997" s="248">
        <v>2.5502565785786098E-3</v>
      </c>
      <c r="H997" s="735">
        <v>1.9173467282760401E-3</v>
      </c>
      <c r="I997" s="735">
        <v>1.82789965319426E-3</v>
      </c>
      <c r="J997" s="735">
        <v>1.9198319395086301E-3</v>
      </c>
      <c r="L997" s="84"/>
      <c r="M997" s="84"/>
      <c r="N997" s="84"/>
      <c r="O997" s="84"/>
      <c r="P997" s="84"/>
      <c r="Q997" s="84"/>
      <c r="R997" s="84"/>
      <c r="S997" s="84"/>
    </row>
    <row r="998" spans="1:19">
      <c r="A998" s="629" t="s">
        <v>305</v>
      </c>
      <c r="B998" s="248">
        <v>2.60192746296298E-3</v>
      </c>
      <c r="C998" s="248">
        <v>2.8332024325457401E-3</v>
      </c>
      <c r="D998" s="248">
        <v>6.5311101045732196E-3</v>
      </c>
      <c r="E998" s="248">
        <v>2.95894121065844E-3</v>
      </c>
      <c r="F998" s="248"/>
      <c r="G998" s="248">
        <v>2.9803653299838302E-3</v>
      </c>
      <c r="H998" s="735">
        <v>2.9695121076316298E-3</v>
      </c>
      <c r="I998" s="735">
        <v>3.2744948484684398E-3</v>
      </c>
      <c r="J998" s="735">
        <v>2.9936985907624298E-3</v>
      </c>
      <c r="L998" s="84"/>
      <c r="M998" s="84"/>
      <c r="N998" s="84"/>
      <c r="O998" s="84"/>
      <c r="P998" s="84"/>
      <c r="Q998" s="84"/>
      <c r="R998" s="84"/>
      <c r="S998" s="84"/>
    </row>
    <row r="999" spans="1:19">
      <c r="A999" s="629" t="s">
        <v>304</v>
      </c>
      <c r="B999" s="248">
        <v>3.36607299256556E-3</v>
      </c>
      <c r="C999" s="248">
        <v>2.8149176354367502E-3</v>
      </c>
      <c r="D999" s="248">
        <v>8.8246990935161498E-3</v>
      </c>
      <c r="E999" s="248">
        <v>2.68995881685584E-3</v>
      </c>
      <c r="F999" s="248"/>
      <c r="G999" s="248">
        <v>3.2380676606286402E-3</v>
      </c>
      <c r="H999" s="735">
        <v>6.8192425432079904E-3</v>
      </c>
      <c r="I999" s="735">
        <v>4.65414469219086E-3</v>
      </c>
      <c r="J999" s="735">
        <v>6.93353852674926E-3</v>
      </c>
      <c r="L999" s="84"/>
      <c r="M999" s="84"/>
      <c r="N999" s="84"/>
      <c r="O999" s="84"/>
      <c r="P999" s="84"/>
      <c r="Q999" s="84"/>
      <c r="R999" s="84"/>
      <c r="S999" s="84"/>
    </row>
    <row r="1000" spans="1:19">
      <c r="A1000" s="629" t="s">
        <v>303</v>
      </c>
      <c r="B1000" s="248">
        <v>3.1286272930315601E-3</v>
      </c>
      <c r="C1000" s="248">
        <v>3.67024923171263E-3</v>
      </c>
      <c r="D1000" s="248">
        <v>7.7030884094911496E-3</v>
      </c>
      <c r="E1000" s="248">
        <v>2.5009195379411802E-3</v>
      </c>
      <c r="F1000" s="248"/>
      <c r="G1000" s="248">
        <v>2.9712606559089802E-3</v>
      </c>
      <c r="H1000" s="735">
        <v>6.9317079632416198E-3</v>
      </c>
      <c r="I1000" s="735">
        <v>4.13370646649696E-3</v>
      </c>
      <c r="J1000" s="735">
        <v>7.04629976230026E-3</v>
      </c>
      <c r="L1000" s="84"/>
      <c r="M1000" s="84"/>
      <c r="N1000" s="84"/>
      <c r="O1000" s="84"/>
      <c r="P1000" s="84"/>
      <c r="Q1000" s="84"/>
      <c r="R1000" s="84"/>
      <c r="S1000" s="84"/>
    </row>
    <row r="1001" spans="1:19">
      <c r="A1001" s="629" t="s">
        <v>302</v>
      </c>
      <c r="B1001" s="248">
        <v>3.2008154021734301E-3</v>
      </c>
      <c r="C1001" s="248">
        <v>3.0959952431286598E-3</v>
      </c>
      <c r="D1001" s="248">
        <v>8.2440188763173907E-3</v>
      </c>
      <c r="E1001" s="248">
        <v>4.0953731096188299E-3</v>
      </c>
      <c r="F1001" s="248"/>
      <c r="G1001" s="248">
        <v>3.8725852917208601E-3</v>
      </c>
      <c r="H1001" s="735">
        <v>5.8391890319907198E-3</v>
      </c>
      <c r="I1001" s="735">
        <v>3.7449133901752301E-3</v>
      </c>
      <c r="J1001" s="735">
        <v>5.9429748965250098E-3</v>
      </c>
      <c r="L1001" s="84"/>
      <c r="M1001" s="84"/>
      <c r="N1001" s="84"/>
      <c r="O1001" s="84"/>
      <c r="P1001" s="84"/>
      <c r="Q1001" s="84"/>
      <c r="R1001" s="84"/>
      <c r="S1001" s="84"/>
    </row>
    <row r="1002" spans="1:19">
      <c r="A1002" s="629" t="s">
        <v>301</v>
      </c>
      <c r="B1002" s="248">
        <v>2.9670839921778699E-3</v>
      </c>
      <c r="C1002" s="248">
        <v>2.7698534718378102E-3</v>
      </c>
      <c r="D1002" s="248">
        <v>8.9838806636628708E-3</v>
      </c>
      <c r="E1002" s="248">
        <v>3.6265639191651201E-3</v>
      </c>
      <c r="F1002" s="248"/>
      <c r="G1002" s="248">
        <v>3.6708468232784799E-3</v>
      </c>
      <c r="H1002" s="735">
        <v>6.3439131543373203E-3</v>
      </c>
      <c r="I1002" s="735">
        <v>3.3444171972519502E-3</v>
      </c>
      <c r="J1002" s="735">
        <v>6.4683526621287296E-3</v>
      </c>
      <c r="L1002" s="84"/>
      <c r="M1002" s="84"/>
      <c r="N1002" s="84"/>
      <c r="O1002" s="84"/>
      <c r="P1002" s="84"/>
      <c r="Q1002" s="84"/>
      <c r="R1002" s="84"/>
      <c r="S1002" s="84"/>
    </row>
    <row r="1003" spans="1:19">
      <c r="A1003" s="629" t="s">
        <v>300</v>
      </c>
      <c r="B1003" s="248">
        <v>3.87436099899066E-3</v>
      </c>
      <c r="C1003" s="248">
        <v>6.5440083298118701E-3</v>
      </c>
      <c r="D1003" s="248">
        <v>9.4152483373408594E-3</v>
      </c>
      <c r="E1003" s="248">
        <v>3.5258522760094699E-3</v>
      </c>
      <c r="F1003" s="248"/>
      <c r="G1003" s="248">
        <v>5.0752629926710396E-3</v>
      </c>
      <c r="H1003" s="735">
        <v>7.5006436619060399E-3</v>
      </c>
      <c r="I1003" s="735">
        <v>4.9598290655116098E-3</v>
      </c>
      <c r="J1003" s="735">
        <v>7.6372297831522598E-3</v>
      </c>
      <c r="L1003" s="84"/>
      <c r="M1003" s="84"/>
      <c r="N1003" s="84"/>
      <c r="O1003" s="84"/>
      <c r="P1003" s="84"/>
      <c r="Q1003" s="84"/>
      <c r="R1003" s="84"/>
      <c r="S1003" s="84"/>
    </row>
    <row r="1004" spans="1:19">
      <c r="A1004" s="629" t="s">
        <v>299</v>
      </c>
      <c r="B1004" s="248">
        <v>3.7019951560966599E-3</v>
      </c>
      <c r="C1004" s="248">
        <v>4.4477300555055502E-3</v>
      </c>
      <c r="D1004" s="248">
        <v>9.7973167222138707E-3</v>
      </c>
      <c r="E1004" s="248">
        <v>3.40522213077706E-3</v>
      </c>
      <c r="F1004" s="248"/>
      <c r="G1004" s="248">
        <v>4.6382983933462704E-3</v>
      </c>
      <c r="H1004" s="735">
        <v>6.7684172394152503E-3</v>
      </c>
      <c r="I1004" s="735">
        <v>4.39410443455545E-3</v>
      </c>
      <c r="J1004" s="735">
        <v>6.9155604485728597E-3</v>
      </c>
      <c r="L1004" s="84"/>
      <c r="M1004" s="84"/>
      <c r="N1004" s="84"/>
      <c r="O1004" s="84"/>
      <c r="P1004" s="84"/>
      <c r="Q1004" s="84"/>
      <c r="R1004" s="84"/>
      <c r="S1004" s="84"/>
    </row>
    <row r="1005" spans="1:19">
      <c r="A1005" s="629" t="s">
        <v>298</v>
      </c>
      <c r="B1005" s="248">
        <v>3.66821323241243E-3</v>
      </c>
      <c r="C1005" s="248">
        <v>3.6945848783789398E-3</v>
      </c>
      <c r="D1005" s="248">
        <v>1.20841586720981E-2</v>
      </c>
      <c r="E1005" s="248">
        <v>3.3815209460569102E-3</v>
      </c>
      <c r="F1005" s="248"/>
      <c r="G1005" s="248">
        <v>5.5401901933110698E-3</v>
      </c>
      <c r="H1005" s="735">
        <v>6.3569464885977001E-3</v>
      </c>
      <c r="I1005" s="735">
        <v>3.8858117262518801E-3</v>
      </c>
      <c r="J1005" s="735">
        <v>6.4991853247087098E-3</v>
      </c>
      <c r="L1005" s="84"/>
      <c r="M1005" s="84"/>
      <c r="N1005" s="84"/>
      <c r="O1005" s="84"/>
      <c r="P1005" s="84"/>
      <c r="Q1005" s="84"/>
      <c r="R1005" s="84"/>
      <c r="S1005" s="84"/>
    </row>
    <row r="1006" spans="1:19">
      <c r="A1006" s="629" t="s">
        <v>297</v>
      </c>
      <c r="B1006" s="248">
        <v>3.3733290389605201E-3</v>
      </c>
      <c r="C1006" s="248">
        <v>2.9841952394380001E-3</v>
      </c>
      <c r="D1006" s="248">
        <v>7.7047065052227703E-3</v>
      </c>
      <c r="E1006" s="248">
        <v>3.0689983315088502E-3</v>
      </c>
      <c r="F1006" s="248"/>
      <c r="G1006" s="248">
        <v>6.2351679430388803E-3</v>
      </c>
      <c r="H1006" s="735">
        <v>5.4845659565107398E-3</v>
      </c>
      <c r="I1006" s="735">
        <v>3.5030476159151301E-3</v>
      </c>
      <c r="J1006" s="735">
        <v>5.6158110264962402E-3</v>
      </c>
      <c r="L1006" s="84"/>
      <c r="M1006" s="84"/>
      <c r="N1006" s="84"/>
      <c r="O1006" s="84"/>
      <c r="P1006" s="84"/>
      <c r="Q1006" s="84"/>
      <c r="R1006" s="84"/>
      <c r="S1006" s="84"/>
    </row>
    <row r="1007" spans="1:19">
      <c r="A1007" s="629" t="s">
        <v>296</v>
      </c>
      <c r="B1007" s="248">
        <v>3.14960094115384E-3</v>
      </c>
      <c r="C1007" s="248">
        <v>5.4619866307617001E-3</v>
      </c>
      <c r="D1007" s="248">
        <v>7.0897849584810602E-3</v>
      </c>
      <c r="E1007" s="248">
        <v>2.8762936633854302E-3</v>
      </c>
      <c r="F1007" s="248"/>
      <c r="G1007" s="248">
        <v>6.1085821357113402E-3</v>
      </c>
      <c r="H1007" s="735">
        <v>4.6699593227370103E-3</v>
      </c>
      <c r="I1007" s="735">
        <v>3.3225306266349199E-3</v>
      </c>
      <c r="J1007" s="735">
        <v>4.7842947198600003E-3</v>
      </c>
      <c r="L1007" s="84"/>
      <c r="M1007" s="84"/>
      <c r="N1007" s="84"/>
      <c r="O1007" s="84"/>
      <c r="P1007" s="84"/>
      <c r="Q1007" s="84"/>
      <c r="R1007" s="84"/>
      <c r="S1007" s="84"/>
    </row>
    <row r="1008" spans="1:19">
      <c r="A1008" s="629" t="s">
        <v>295</v>
      </c>
      <c r="B1008" s="248">
        <v>3.4151186574969601E-3</v>
      </c>
      <c r="C1008" s="248">
        <v>3.835407975499E-3</v>
      </c>
      <c r="D1008" s="248">
        <v>9.1330872348803598E-3</v>
      </c>
      <c r="E1008" s="248">
        <v>2.5733028842239701E-3</v>
      </c>
      <c r="F1008" s="248"/>
      <c r="G1008" s="248">
        <v>5.5493923166211202E-3</v>
      </c>
      <c r="H1008" s="735">
        <v>4.3895609588908702E-3</v>
      </c>
      <c r="I1008" s="735">
        <v>3.0516902578854401E-3</v>
      </c>
      <c r="J1008" s="735">
        <v>4.4989786546537503E-3</v>
      </c>
      <c r="L1008" s="84"/>
      <c r="M1008" s="84"/>
      <c r="N1008" s="84"/>
      <c r="O1008" s="84"/>
      <c r="P1008" s="84"/>
      <c r="Q1008" s="84"/>
      <c r="R1008" s="84"/>
      <c r="S1008" s="84"/>
    </row>
    <row r="1009" spans="1:19">
      <c r="A1009" s="629" t="s">
        <v>294</v>
      </c>
      <c r="B1009" s="248">
        <v>3.0821571787573998E-3</v>
      </c>
      <c r="C1009" s="248">
        <v>3.8172868467579702E-3</v>
      </c>
      <c r="D1009" s="248">
        <v>5.6748062812421096E-3</v>
      </c>
      <c r="E1009" s="248">
        <v>2.8378321710699002E-3</v>
      </c>
      <c r="F1009" s="248"/>
      <c r="G1009" s="248">
        <v>5.1898340367401196E-3</v>
      </c>
      <c r="H1009" s="735">
        <v>3.77233110206533E-3</v>
      </c>
      <c r="I1009" s="735">
        <v>2.7156381706256801E-3</v>
      </c>
      <c r="J1009" s="735">
        <v>3.86942993243911E-3</v>
      </c>
      <c r="L1009" s="84"/>
      <c r="M1009" s="84"/>
      <c r="N1009" s="84"/>
      <c r="O1009" s="84"/>
      <c r="P1009" s="84"/>
      <c r="Q1009" s="84"/>
      <c r="R1009" s="84"/>
      <c r="S1009" s="84"/>
    </row>
    <row r="1010" spans="1:19">
      <c r="A1010" s="629" t="s">
        <v>293</v>
      </c>
      <c r="B1010" s="248">
        <v>2.8540929701895701E-3</v>
      </c>
      <c r="C1010" s="248">
        <v>3.0820465598620501E-3</v>
      </c>
      <c r="D1010" s="248">
        <v>4.4624863108917601E-3</v>
      </c>
      <c r="E1010" s="248">
        <v>2.57492575716055E-3</v>
      </c>
      <c r="F1010" s="248"/>
      <c r="G1010" s="248">
        <v>4.7305454187243903E-3</v>
      </c>
      <c r="H1010" s="735">
        <v>3.2829589381900498E-3</v>
      </c>
      <c r="I1010" s="735">
        <v>2.4242835343253398E-3</v>
      </c>
      <c r="J1010" s="735">
        <v>3.3672599984842701E-3</v>
      </c>
      <c r="L1010" s="84"/>
      <c r="M1010" s="84"/>
      <c r="N1010" s="84"/>
      <c r="O1010" s="84"/>
      <c r="P1010" s="84"/>
      <c r="Q1010" s="84"/>
      <c r="R1010" s="84"/>
      <c r="S1010" s="84"/>
    </row>
    <row r="1011" spans="1:19">
      <c r="A1011" s="629" t="s">
        <v>292</v>
      </c>
      <c r="B1011" s="248">
        <v>2.6450394162604801E-3</v>
      </c>
      <c r="C1011" s="248">
        <v>3.1004439796530501E-3</v>
      </c>
      <c r="D1011" s="248">
        <v>4.4339247308864699E-3</v>
      </c>
      <c r="E1011" s="248">
        <v>2.3327271804448402E-3</v>
      </c>
      <c r="F1011" s="248"/>
      <c r="G1011" s="248">
        <v>4.5760820722099502E-3</v>
      </c>
      <c r="H1011" s="735">
        <v>2.9491175452911701E-3</v>
      </c>
      <c r="I1011" s="735">
        <v>2.3121032391999201E-3</v>
      </c>
      <c r="J1011" s="735">
        <v>3.0225946034772399E-3</v>
      </c>
      <c r="L1011" s="84"/>
      <c r="M1011" s="84"/>
      <c r="N1011" s="84"/>
      <c r="O1011" s="84"/>
      <c r="P1011" s="84"/>
      <c r="Q1011" s="84"/>
      <c r="R1011" s="84"/>
      <c r="S1011" s="84"/>
    </row>
    <row r="1012" spans="1:19">
      <c r="A1012" s="629" t="s">
        <v>291</v>
      </c>
      <c r="B1012" s="248">
        <v>2.4377621996946601E-3</v>
      </c>
      <c r="C1012" s="248">
        <v>2.7695025591212099E-3</v>
      </c>
      <c r="D1012" s="248">
        <v>6.3126488290882101E-3</v>
      </c>
      <c r="E1012" s="248">
        <v>2.1798299156184199E-3</v>
      </c>
      <c r="F1012" s="248"/>
      <c r="G1012" s="248">
        <v>4.1853144957081099E-3</v>
      </c>
      <c r="H1012" s="735">
        <v>2.8353667047179999E-3</v>
      </c>
      <c r="I1012" s="735">
        <v>2.2193625392904199E-3</v>
      </c>
      <c r="J1012" s="735">
        <v>2.89939678631582E-3</v>
      </c>
      <c r="L1012" s="84"/>
      <c r="M1012" s="84"/>
      <c r="N1012" s="84"/>
      <c r="O1012" s="84"/>
      <c r="P1012" s="84"/>
      <c r="Q1012" s="84"/>
      <c r="R1012" s="84"/>
      <c r="S1012" s="84"/>
    </row>
    <row r="1013" spans="1:19">
      <c r="A1013" s="629" t="s">
        <v>290</v>
      </c>
      <c r="B1013" s="248">
        <v>2.6672922771923502E-3</v>
      </c>
      <c r="C1013" s="248">
        <v>3.4567152626896599E-3</v>
      </c>
      <c r="D1013" s="248">
        <v>5.8573116970515003E-3</v>
      </c>
      <c r="E1013" s="248">
        <v>2.2530620225238501E-3</v>
      </c>
      <c r="F1013" s="248"/>
      <c r="G1013" s="248">
        <v>4.4880972710620998E-3</v>
      </c>
      <c r="H1013" s="735">
        <v>2.45479168423252E-3</v>
      </c>
      <c r="I1013" s="735">
        <v>2.2321366598562998E-3</v>
      </c>
      <c r="J1013" s="735">
        <v>2.5070119915735398E-3</v>
      </c>
      <c r="L1013" s="84"/>
      <c r="M1013" s="84"/>
      <c r="N1013" s="84"/>
      <c r="O1013" s="84"/>
      <c r="P1013" s="84"/>
      <c r="Q1013" s="84"/>
      <c r="R1013" s="84"/>
      <c r="S1013" s="84"/>
    </row>
    <row r="1014" spans="1:19">
      <c r="A1014" s="629" t="s">
        <v>289</v>
      </c>
      <c r="B1014" s="248">
        <v>2.94353340499403E-3</v>
      </c>
      <c r="C1014" s="248">
        <v>3.1627492251184602E-3</v>
      </c>
      <c r="D1014" s="248">
        <v>5.4482231997511196E-3</v>
      </c>
      <c r="E1014" s="248">
        <v>2.2240123834585302E-3</v>
      </c>
      <c r="F1014" s="248"/>
      <c r="G1014" s="248">
        <v>4.3554252018193603E-3</v>
      </c>
      <c r="H1014" s="735">
        <v>2.4251214388469901E-3</v>
      </c>
      <c r="I1014" s="735">
        <v>2.3330431681508998E-3</v>
      </c>
      <c r="J1014" s="735">
        <v>2.47291312546076E-3</v>
      </c>
      <c r="L1014" s="84"/>
      <c r="M1014" s="84"/>
      <c r="N1014" s="84"/>
      <c r="O1014" s="84"/>
      <c r="P1014" s="84"/>
      <c r="Q1014" s="84"/>
      <c r="R1014" s="84"/>
      <c r="S1014" s="84"/>
    </row>
    <row r="1015" spans="1:19">
      <c r="A1015" s="629" t="s">
        <v>288</v>
      </c>
      <c r="B1015" s="248">
        <v>2.6760284548817E-3</v>
      </c>
      <c r="C1015" s="248">
        <v>2.8065089692524301E-3</v>
      </c>
      <c r="D1015" s="248">
        <v>4.4323126203694501E-3</v>
      </c>
      <c r="E1015" s="248">
        <v>2.0586532673516102E-3</v>
      </c>
      <c r="F1015" s="248"/>
      <c r="G1015" s="248">
        <v>3.9819380891304799E-3</v>
      </c>
      <c r="H1015" s="735">
        <v>2.16451982361403E-3</v>
      </c>
      <c r="I1015" s="735">
        <v>2.1459533936291899E-3</v>
      </c>
      <c r="J1015" s="735">
        <v>2.2002461340590502E-3</v>
      </c>
      <c r="L1015" s="84"/>
      <c r="M1015" s="84"/>
      <c r="N1015" s="84"/>
      <c r="O1015" s="84"/>
      <c r="P1015" s="84"/>
      <c r="Q1015" s="84"/>
      <c r="R1015" s="84"/>
      <c r="S1015" s="84"/>
    </row>
    <row r="1016" spans="1:19">
      <c r="A1016" s="629" t="s">
        <v>287</v>
      </c>
      <c r="B1016" s="248">
        <v>2.5394348783136598E-3</v>
      </c>
      <c r="C1016" s="248">
        <v>2.8398710106933502E-3</v>
      </c>
      <c r="D1016" s="248">
        <v>3.8452752190069198E-3</v>
      </c>
      <c r="E1016" s="248">
        <v>2.25902722862615E-3</v>
      </c>
      <c r="F1016" s="248"/>
      <c r="G1016" s="248">
        <v>3.7400507270761402E-3</v>
      </c>
      <c r="H1016" s="735">
        <v>2.21865374170742E-3</v>
      </c>
      <c r="I1016" s="735">
        <v>1.9666525212671399E-3</v>
      </c>
      <c r="J1016" s="735">
        <v>2.2519473073461102E-3</v>
      </c>
      <c r="L1016" s="84"/>
      <c r="M1016" s="84"/>
      <c r="N1016" s="84"/>
      <c r="O1016" s="84"/>
      <c r="P1016" s="84"/>
      <c r="Q1016" s="84"/>
      <c r="R1016" s="84"/>
      <c r="S1016" s="84"/>
    </row>
    <row r="1017" spans="1:19">
      <c r="A1017" s="629" t="s">
        <v>286</v>
      </c>
      <c r="B1017" s="248">
        <v>2.3954490273181599E-3</v>
      </c>
      <c r="C1017" s="248">
        <v>2.6546049933978298E-3</v>
      </c>
      <c r="D1017" s="248">
        <v>3.39719816684013E-3</v>
      </c>
      <c r="E1017" s="248">
        <v>2.1221555459992698E-3</v>
      </c>
      <c r="F1017" s="248"/>
      <c r="G1017" s="248">
        <v>3.4229129042363201E-3</v>
      </c>
      <c r="H1017" s="735">
        <v>1.94481663770961E-3</v>
      </c>
      <c r="I1017" s="735">
        <v>1.81194969245388E-3</v>
      </c>
      <c r="J1017" s="735">
        <v>1.9702171013385398E-3</v>
      </c>
      <c r="L1017" s="84"/>
      <c r="M1017" s="84"/>
      <c r="N1017" s="84"/>
      <c r="O1017" s="84"/>
      <c r="P1017" s="84"/>
      <c r="Q1017" s="84"/>
      <c r="R1017" s="84"/>
      <c r="S1017" s="84"/>
    </row>
    <row r="1018" spans="1:19">
      <c r="A1018" s="629" t="s">
        <v>285</v>
      </c>
      <c r="B1018" s="248">
        <v>2.8722020498960902E-3</v>
      </c>
      <c r="C1018" s="248">
        <v>3.6289035767018501E-3</v>
      </c>
      <c r="D1018" s="248">
        <v>5.31361681583142E-3</v>
      </c>
      <c r="E1018" s="248">
        <v>2.7372705009620999E-3</v>
      </c>
      <c r="F1018" s="248"/>
      <c r="G1018" s="248">
        <v>3.2580100169658198E-3</v>
      </c>
      <c r="H1018" s="735">
        <v>2.7560122891368399E-3</v>
      </c>
      <c r="I1018" s="735">
        <v>2.0866218635144699E-3</v>
      </c>
      <c r="J1018" s="735">
        <v>2.7938429510776402E-3</v>
      </c>
      <c r="L1018" s="84"/>
      <c r="M1018" s="84"/>
      <c r="N1018" s="84"/>
      <c r="O1018" s="84"/>
      <c r="P1018" s="84"/>
      <c r="Q1018" s="84"/>
      <c r="R1018" s="84"/>
      <c r="S1018" s="84"/>
    </row>
    <row r="1019" spans="1:19">
      <c r="A1019" s="629" t="s">
        <v>284</v>
      </c>
      <c r="B1019" s="248">
        <v>2.6310232487407898E-3</v>
      </c>
      <c r="C1019" s="248">
        <v>2.9756803895479899E-3</v>
      </c>
      <c r="D1019" s="248">
        <v>4.1486178487763698E-3</v>
      </c>
      <c r="E1019" s="248">
        <v>2.4905597133682198E-3</v>
      </c>
      <c r="F1019" s="248"/>
      <c r="G1019" s="248">
        <v>2.9929971475009102E-3</v>
      </c>
      <c r="H1019" s="735">
        <v>2.92484320913911E-3</v>
      </c>
      <c r="I1019" s="735">
        <v>1.8938680442515299E-3</v>
      </c>
      <c r="J1019" s="735">
        <v>2.9565799607075499E-3</v>
      </c>
      <c r="L1019" s="84"/>
      <c r="M1019" s="84"/>
      <c r="N1019" s="84"/>
      <c r="O1019" s="84"/>
      <c r="P1019" s="84"/>
      <c r="Q1019" s="84"/>
      <c r="R1019" s="84"/>
      <c r="S1019" s="84"/>
    </row>
    <row r="1020" spans="1:19">
      <c r="A1020" s="629" t="s">
        <v>283</v>
      </c>
      <c r="B1020" s="248">
        <v>2.8200414204386901E-3</v>
      </c>
      <c r="C1020" s="248">
        <v>3.2698333078005301E-3</v>
      </c>
      <c r="D1020" s="248">
        <v>1.0444169310763401E-2</v>
      </c>
      <c r="E1020" s="248">
        <v>3.2819295862422299E-3</v>
      </c>
      <c r="F1020" s="248"/>
      <c r="G1020" s="248">
        <v>2.97625983464416E-3</v>
      </c>
      <c r="H1020" s="735">
        <v>2.97011413040055E-3</v>
      </c>
      <c r="I1020" s="735">
        <v>2.2338107605384999E-3</v>
      </c>
      <c r="J1020" s="735">
        <v>3.0021583859871702E-3</v>
      </c>
      <c r="L1020" s="84"/>
      <c r="M1020" s="84"/>
      <c r="N1020" s="84"/>
      <c r="O1020" s="84"/>
      <c r="P1020" s="84"/>
      <c r="Q1020" s="84"/>
      <c r="R1020" s="84"/>
      <c r="S1020" s="84"/>
    </row>
    <row r="1021" spans="1:19">
      <c r="A1021" s="629" t="s">
        <v>282</v>
      </c>
      <c r="B1021" s="248">
        <v>2.61886202422314E-3</v>
      </c>
      <c r="C1021" s="248">
        <v>2.8564688779789699E-3</v>
      </c>
      <c r="D1021" s="248">
        <v>6.8445787643655201E-3</v>
      </c>
      <c r="E1021" s="248">
        <v>3.1886812510273301E-3</v>
      </c>
      <c r="F1021" s="248"/>
      <c r="G1021" s="248">
        <v>3.0022702816317999E-3</v>
      </c>
      <c r="H1021" s="735">
        <v>2.9887615870239602E-3</v>
      </c>
      <c r="I1021" s="735">
        <v>2.0034831880390599E-3</v>
      </c>
      <c r="J1021" s="735">
        <v>3.0165332491201798E-3</v>
      </c>
      <c r="L1021" s="84"/>
      <c r="M1021" s="84"/>
      <c r="N1021" s="84"/>
      <c r="O1021" s="84"/>
      <c r="P1021" s="84"/>
      <c r="Q1021" s="84"/>
      <c r="R1021" s="84"/>
      <c r="S1021" s="84"/>
    </row>
    <row r="1022" spans="1:19">
      <c r="A1022" s="629" t="s">
        <v>281</v>
      </c>
      <c r="B1022" s="248">
        <v>2.4598353797469501E-3</v>
      </c>
      <c r="C1022" s="248">
        <v>3.3011792334854701E-3</v>
      </c>
      <c r="D1022" s="248">
        <v>4.4376147411046198E-3</v>
      </c>
      <c r="E1022" s="248">
        <v>2.9791483961578201E-3</v>
      </c>
      <c r="F1022" s="248"/>
      <c r="G1022" s="248">
        <v>2.9117819877624799E-3</v>
      </c>
      <c r="H1022" s="735">
        <v>3.3565031934367899E-3</v>
      </c>
      <c r="I1022" s="735">
        <v>1.85380715955232E-3</v>
      </c>
      <c r="J1022" s="735">
        <v>3.3839642042167999E-3</v>
      </c>
      <c r="L1022" s="84"/>
      <c r="M1022" s="84"/>
      <c r="N1022" s="84"/>
      <c r="O1022" s="84"/>
      <c r="P1022" s="84"/>
      <c r="Q1022" s="84"/>
      <c r="R1022" s="84"/>
      <c r="S1022" s="84"/>
    </row>
    <row r="1023" spans="1:19">
      <c r="A1023" s="629" t="s">
        <v>280</v>
      </c>
      <c r="B1023" s="248">
        <v>2.2584850765328302E-3</v>
      </c>
      <c r="C1023" s="248">
        <v>2.94114215454842E-3</v>
      </c>
      <c r="D1023" s="248">
        <v>3.17922678883491E-3</v>
      </c>
      <c r="E1023" s="248">
        <v>2.8518768861928901E-3</v>
      </c>
      <c r="F1023" s="248"/>
      <c r="G1023" s="248">
        <v>2.6985645813529602E-3</v>
      </c>
      <c r="H1023" s="735">
        <v>2.9578180968725001E-3</v>
      </c>
      <c r="I1023" s="735">
        <v>1.67317318711206E-3</v>
      </c>
      <c r="J1023" s="735">
        <v>2.9817293481217899E-3</v>
      </c>
      <c r="L1023" s="84"/>
      <c r="M1023" s="84"/>
      <c r="N1023" s="84"/>
      <c r="O1023" s="84"/>
      <c r="P1023" s="84"/>
      <c r="Q1023" s="84"/>
      <c r="R1023" s="84"/>
      <c r="S1023" s="84"/>
    </row>
    <row r="1024" spans="1:19">
      <c r="A1024" s="629" t="s">
        <v>279</v>
      </c>
      <c r="B1024" s="248">
        <v>2.14573733947355E-3</v>
      </c>
      <c r="C1024" s="248">
        <v>3.3528725348735901E-3</v>
      </c>
      <c r="D1024" s="248">
        <v>3.0557412153741602E-3</v>
      </c>
      <c r="E1024" s="248">
        <v>2.5812392953033902E-3</v>
      </c>
      <c r="F1024" s="248"/>
      <c r="G1024" s="248">
        <v>2.4870866740684598E-3</v>
      </c>
      <c r="H1024" s="735">
        <v>2.5679516318500798E-3</v>
      </c>
      <c r="I1024" s="735">
        <v>1.67853204562459E-3</v>
      </c>
      <c r="J1024" s="735">
        <v>2.5880458084158102E-3</v>
      </c>
      <c r="L1024" s="84"/>
      <c r="M1024" s="84"/>
      <c r="N1024" s="84"/>
      <c r="O1024" s="84"/>
      <c r="P1024" s="84"/>
      <c r="Q1024" s="84"/>
      <c r="R1024" s="84"/>
      <c r="S1024" s="84"/>
    </row>
    <row r="1025" spans="1:19">
      <c r="A1025" s="629" t="s">
        <v>278</v>
      </c>
      <c r="B1025" s="248">
        <v>2.07768758908068E-3</v>
      </c>
      <c r="C1025" s="248">
        <v>2.8507802013604398E-3</v>
      </c>
      <c r="D1025" s="248">
        <v>3.23271109592971E-3</v>
      </c>
      <c r="E1025" s="248">
        <v>2.70887002303245E-3</v>
      </c>
      <c r="F1025" s="248"/>
      <c r="G1025" s="248">
        <v>2.4456506020671502E-3</v>
      </c>
      <c r="H1025" s="735">
        <v>2.63351331424531E-3</v>
      </c>
      <c r="I1025" s="735">
        <v>1.57851567611128E-3</v>
      </c>
      <c r="J1025" s="735">
        <v>2.6507739021156E-3</v>
      </c>
      <c r="L1025" s="84"/>
      <c r="M1025" s="84"/>
      <c r="N1025" s="84"/>
      <c r="O1025" s="84"/>
      <c r="P1025" s="84"/>
      <c r="Q1025" s="84"/>
      <c r="R1025" s="84"/>
      <c r="S1025" s="84"/>
    </row>
    <row r="1026" spans="1:19">
      <c r="A1026" s="629" t="s">
        <v>277</v>
      </c>
      <c r="B1026" s="248">
        <v>2.0673143878205502E-3</v>
      </c>
      <c r="C1026" s="248">
        <v>2.9405753358152302E-3</v>
      </c>
      <c r="D1026" s="248">
        <v>3.9355419327252701E-3</v>
      </c>
      <c r="E1026" s="248">
        <v>2.6242960188352701E-3</v>
      </c>
      <c r="F1026" s="248"/>
      <c r="G1026" s="248">
        <v>2.37009344100912E-3</v>
      </c>
      <c r="H1026" s="735">
        <v>2.3011362177796498E-3</v>
      </c>
      <c r="I1026" s="735">
        <v>1.4351061892325699E-3</v>
      </c>
      <c r="J1026" s="735">
        <v>2.3152649749337401E-3</v>
      </c>
      <c r="L1026" s="84"/>
      <c r="M1026" s="84"/>
      <c r="N1026" s="84"/>
      <c r="O1026" s="84"/>
      <c r="P1026" s="84"/>
      <c r="Q1026" s="84"/>
      <c r="R1026" s="84"/>
      <c r="S1026" s="84"/>
    </row>
    <row r="1027" spans="1:19">
      <c r="A1027" s="629" t="s">
        <v>276</v>
      </c>
      <c r="B1027" s="248">
        <v>2.0810109149876801E-3</v>
      </c>
      <c r="C1027" s="248">
        <v>2.72517661689093E-3</v>
      </c>
      <c r="D1027" s="248">
        <v>3.0844460945896502E-3</v>
      </c>
      <c r="E1027" s="248">
        <v>2.6416699222128002E-3</v>
      </c>
      <c r="F1027" s="248"/>
      <c r="G1027" s="248">
        <v>2.2211594567083499E-3</v>
      </c>
      <c r="H1027" s="735">
        <v>2.08150060248203E-3</v>
      </c>
      <c r="I1027" s="735">
        <v>1.306500748605E-3</v>
      </c>
      <c r="J1027" s="735">
        <v>2.0924939204490199E-3</v>
      </c>
      <c r="L1027" s="84"/>
      <c r="M1027" s="84"/>
      <c r="N1027" s="84"/>
      <c r="O1027" s="84"/>
      <c r="P1027" s="84"/>
      <c r="Q1027" s="84"/>
      <c r="R1027" s="84"/>
      <c r="S1027" s="84"/>
    </row>
    <row r="1028" spans="1:19">
      <c r="A1028" s="629" t="s">
        <v>275</v>
      </c>
      <c r="B1028" s="248">
        <v>1.93215350238206E-3</v>
      </c>
      <c r="C1028" s="248">
        <v>2.7506298973728298E-3</v>
      </c>
      <c r="D1028" s="248">
        <v>2.4859742806244999E-3</v>
      </c>
      <c r="E1028" s="248">
        <v>2.4636698753118E-3</v>
      </c>
      <c r="F1028" s="248"/>
      <c r="G1028" s="248">
        <v>2.0814070800570898E-3</v>
      </c>
      <c r="H1028" s="735">
        <v>1.8404772228702601E-3</v>
      </c>
      <c r="I1028" s="735">
        <v>1.19521053912467E-3</v>
      </c>
      <c r="J1028" s="735">
        <v>1.8474861710211399E-3</v>
      </c>
      <c r="L1028" s="84"/>
      <c r="M1028" s="84"/>
      <c r="N1028" s="84"/>
      <c r="O1028" s="84"/>
      <c r="P1028" s="84"/>
      <c r="Q1028" s="84"/>
      <c r="R1028" s="84"/>
      <c r="S1028" s="84"/>
    </row>
    <row r="1029" spans="1:19">
      <c r="A1029" s="629" t="s">
        <v>274</v>
      </c>
      <c r="B1029" s="248">
        <v>1.82791645627149E-3</v>
      </c>
      <c r="C1029" s="248">
        <v>2.6345745671250598E-3</v>
      </c>
      <c r="D1029" s="248">
        <v>2.3099572159687599E-3</v>
      </c>
      <c r="E1029" s="248">
        <v>2.2426156364507501E-3</v>
      </c>
      <c r="F1029" s="248"/>
      <c r="G1029" s="248">
        <v>1.93321723398023E-3</v>
      </c>
      <c r="H1029" s="735">
        <v>1.6848139675075501E-3</v>
      </c>
      <c r="I1029" s="735">
        <v>1.23039999530482E-3</v>
      </c>
      <c r="J1029" s="735">
        <v>1.6872355732297801E-3</v>
      </c>
      <c r="L1029" s="84"/>
      <c r="M1029" s="84"/>
      <c r="N1029" s="84"/>
      <c r="O1029" s="84"/>
      <c r="P1029" s="84"/>
      <c r="Q1029" s="84"/>
      <c r="R1029" s="84"/>
      <c r="S1029" s="84"/>
    </row>
    <row r="1030" spans="1:19">
      <c r="A1030" s="629" t="s">
        <v>273</v>
      </c>
      <c r="B1030" s="248">
        <v>1.8946097828026001E-3</v>
      </c>
      <c r="C1030" s="248">
        <v>2.9813872501481399E-3</v>
      </c>
      <c r="D1030" s="248">
        <v>2.5813290475539402E-3</v>
      </c>
      <c r="E1030" s="248">
        <v>2.1758575060308902E-3</v>
      </c>
      <c r="F1030" s="248"/>
      <c r="G1030" s="248">
        <v>1.8591564401054801E-3</v>
      </c>
      <c r="H1030" s="735">
        <v>1.55385742670677E-3</v>
      </c>
      <c r="I1030" s="735">
        <v>1.1454722424896701E-3</v>
      </c>
      <c r="J1030" s="735">
        <v>1.55426927978609E-3</v>
      </c>
      <c r="L1030" s="84"/>
      <c r="M1030" s="84"/>
      <c r="N1030" s="84"/>
      <c r="O1030" s="84"/>
      <c r="P1030" s="84"/>
      <c r="Q1030" s="84"/>
      <c r="R1030" s="84"/>
      <c r="S1030" s="84"/>
    </row>
    <row r="1031" spans="1:19">
      <c r="A1031" s="629" t="s">
        <v>272</v>
      </c>
      <c r="B1031" s="248">
        <v>1.7830940545727101E-3</v>
      </c>
      <c r="C1031" s="248">
        <v>2.95192061350092E-3</v>
      </c>
      <c r="D1031" s="248">
        <v>2.2376387589819E-3</v>
      </c>
      <c r="E1031" s="248">
        <v>2.02014435642172E-3</v>
      </c>
      <c r="F1031" s="248"/>
      <c r="G1031" s="248">
        <v>1.74625251858458E-3</v>
      </c>
      <c r="H1031" s="735">
        <v>1.4748170308867699E-3</v>
      </c>
      <c r="I1031" s="735">
        <v>1.0578661792776799E-3</v>
      </c>
      <c r="J1031" s="735">
        <v>1.47473838929307E-3</v>
      </c>
      <c r="L1031" s="84"/>
      <c r="M1031" s="84"/>
      <c r="N1031" s="84"/>
      <c r="O1031" s="84"/>
      <c r="P1031" s="84"/>
      <c r="Q1031" s="84"/>
      <c r="R1031" s="84"/>
      <c r="S1031" s="84"/>
    </row>
    <row r="1032" spans="1:19">
      <c r="A1032" s="629" t="s">
        <v>271</v>
      </c>
      <c r="B1032" s="248">
        <v>1.67605050961775E-3</v>
      </c>
      <c r="C1032" s="248">
        <v>2.9159389107663801E-3</v>
      </c>
      <c r="D1032" s="248">
        <v>2.0384404361982302E-3</v>
      </c>
      <c r="E1032" s="248">
        <v>1.8990927052592501E-3</v>
      </c>
      <c r="F1032" s="248"/>
      <c r="G1032" s="248">
        <v>1.6711430352046601E-3</v>
      </c>
      <c r="H1032" s="735">
        <v>1.4332525960118699E-3</v>
      </c>
      <c r="I1032" s="735">
        <v>9.9529373784492899E-4</v>
      </c>
      <c r="J1032" s="735">
        <v>1.43291438803249E-3</v>
      </c>
      <c r="L1032" s="84"/>
      <c r="M1032" s="84"/>
      <c r="N1032" s="84"/>
      <c r="O1032" s="84"/>
      <c r="P1032" s="84"/>
      <c r="Q1032" s="84"/>
      <c r="R1032" s="84"/>
      <c r="S1032" s="84"/>
    </row>
    <row r="1033" spans="1:19">
      <c r="A1033" s="629" t="s">
        <v>270</v>
      </c>
      <c r="B1033" s="248">
        <v>1.5880629189899101E-3</v>
      </c>
      <c r="C1033" s="248">
        <v>3.77664603298038E-3</v>
      </c>
      <c r="D1033" s="248">
        <v>3.0219445510936299E-3</v>
      </c>
      <c r="E1033" s="248">
        <v>1.8030782334521401E-3</v>
      </c>
      <c r="F1033" s="248"/>
      <c r="G1033" s="248">
        <v>1.9194309241215E-3</v>
      </c>
      <c r="H1033" s="735">
        <v>1.7933045018212401E-3</v>
      </c>
      <c r="I1033" s="735">
        <v>9.45120920269158E-4</v>
      </c>
      <c r="J1033" s="735">
        <v>1.7976291856319901E-3</v>
      </c>
      <c r="L1033" s="84"/>
      <c r="M1033" s="84"/>
      <c r="N1033" s="84"/>
      <c r="O1033" s="84"/>
      <c r="P1033" s="84"/>
      <c r="Q1033" s="84"/>
      <c r="R1033" s="84"/>
      <c r="S1033" s="84"/>
    </row>
    <row r="1034" spans="1:19">
      <c r="A1034" s="629" t="s">
        <v>269</v>
      </c>
      <c r="B1034" s="248">
        <v>1.65986155308679E-3</v>
      </c>
      <c r="C1034" s="248">
        <v>5.1603332123714802E-3</v>
      </c>
      <c r="D1034" s="248">
        <v>2.4500675292682501E-3</v>
      </c>
      <c r="E1034" s="248">
        <v>1.8297607849644001E-3</v>
      </c>
      <c r="F1034" s="248"/>
      <c r="G1034" s="248">
        <v>1.8179989569218099E-3</v>
      </c>
      <c r="H1034" s="735">
        <v>2.3888913430664101E-3</v>
      </c>
      <c r="I1034" s="735">
        <v>8.7818474837596098E-4</v>
      </c>
      <c r="J1034" s="735">
        <v>2.4101087484465801E-3</v>
      </c>
      <c r="L1034" s="84"/>
      <c r="M1034" s="84"/>
      <c r="N1034" s="84"/>
      <c r="O1034" s="84"/>
      <c r="P1034" s="84"/>
      <c r="Q1034" s="84"/>
      <c r="R1034" s="84"/>
      <c r="S1034" s="84"/>
    </row>
    <row r="1035" spans="1:19">
      <c r="A1035" s="629" t="s">
        <v>268</v>
      </c>
      <c r="B1035" s="248">
        <v>1.8424895379238501E-3</v>
      </c>
      <c r="C1035" s="248">
        <v>5.3695425456223699E-3</v>
      </c>
      <c r="D1035" s="248">
        <v>2.68320125699329E-3</v>
      </c>
      <c r="E1035" s="248">
        <v>2.2536133120745401E-3</v>
      </c>
      <c r="F1035" s="248"/>
      <c r="G1035" s="248">
        <v>1.7891398629382E-3</v>
      </c>
      <c r="H1035" s="735">
        <v>3.37520662945029E-3</v>
      </c>
      <c r="I1035" s="735">
        <v>9.4068225989024201E-4</v>
      </c>
      <c r="J1035" s="735">
        <v>3.4022208872190201E-3</v>
      </c>
      <c r="L1035" s="84"/>
      <c r="M1035" s="84"/>
      <c r="N1035" s="84"/>
      <c r="O1035" s="84"/>
      <c r="P1035" s="84"/>
      <c r="Q1035" s="84"/>
      <c r="R1035" s="84"/>
      <c r="S1035" s="84"/>
    </row>
    <row r="1036" spans="1:19">
      <c r="A1036" s="629" t="s">
        <v>267</v>
      </c>
      <c r="B1036" s="248">
        <v>1.7268308233053401E-3</v>
      </c>
      <c r="C1036" s="248">
        <v>3.65463111179266E-3</v>
      </c>
      <c r="D1036" s="248">
        <v>2.6333536289490302E-3</v>
      </c>
      <c r="E1036" s="248">
        <v>2.0749803501563901E-3</v>
      </c>
      <c r="F1036" s="248"/>
      <c r="G1036" s="248">
        <v>1.6719445222781501E-3</v>
      </c>
      <c r="H1036" s="735">
        <v>2.9202183911930602E-3</v>
      </c>
      <c r="I1036" s="735">
        <v>8.7440676891130202E-4</v>
      </c>
      <c r="J1036" s="735">
        <v>2.9439257348200902E-3</v>
      </c>
      <c r="L1036" s="84"/>
      <c r="M1036" s="84"/>
      <c r="N1036" s="84"/>
      <c r="O1036" s="84"/>
      <c r="P1036" s="84"/>
      <c r="Q1036" s="84"/>
      <c r="R1036" s="84"/>
      <c r="S1036" s="84"/>
    </row>
    <row r="1037" spans="1:19">
      <c r="A1037" s="629" t="s">
        <v>266</v>
      </c>
      <c r="B1037" s="248">
        <v>1.7294841366788001E-3</v>
      </c>
      <c r="C1037" s="248">
        <v>3.2779924903438501E-3</v>
      </c>
      <c r="D1037" s="248">
        <v>2.6532385853254201E-3</v>
      </c>
      <c r="E1037" s="248">
        <v>1.9546526565662999E-3</v>
      </c>
      <c r="F1037" s="248"/>
      <c r="G1037" s="248">
        <v>1.58607216556676E-3</v>
      </c>
      <c r="H1037" s="735">
        <v>2.5179336444105102E-3</v>
      </c>
      <c r="I1037" s="735">
        <v>9.0502577384103796E-4</v>
      </c>
      <c r="J1037" s="735">
        <v>2.5375074577330399E-3</v>
      </c>
      <c r="L1037" s="84"/>
      <c r="M1037" s="84"/>
      <c r="N1037" s="84"/>
      <c r="O1037" s="84"/>
      <c r="P1037" s="84"/>
      <c r="Q1037" s="84"/>
      <c r="R1037" s="84"/>
      <c r="S1037" s="84"/>
    </row>
    <row r="1038" spans="1:19">
      <c r="A1038" s="629" t="s">
        <v>265</v>
      </c>
      <c r="B1038" s="248">
        <v>1.74982258226223E-3</v>
      </c>
      <c r="C1038" s="248">
        <v>3.1553631769149801E-3</v>
      </c>
      <c r="D1038" s="248">
        <v>3.0972278620180001E-3</v>
      </c>
      <c r="E1038" s="248">
        <v>1.8409155291218399E-3</v>
      </c>
      <c r="F1038" s="248"/>
      <c r="G1038" s="248">
        <v>1.55151479675569E-3</v>
      </c>
      <c r="H1038" s="735">
        <v>2.3468577023083E-3</v>
      </c>
      <c r="I1038" s="735">
        <v>9.9951842480803989E-4</v>
      </c>
      <c r="J1038" s="735">
        <v>2.3600648727739502E-3</v>
      </c>
      <c r="L1038" s="84"/>
      <c r="M1038" s="84"/>
      <c r="N1038" s="84"/>
      <c r="O1038" s="84"/>
      <c r="P1038" s="84"/>
      <c r="Q1038" s="84"/>
      <c r="R1038" s="84"/>
      <c r="S1038" s="84"/>
    </row>
    <row r="1039" spans="1:19">
      <c r="A1039" s="629" t="s">
        <v>264</v>
      </c>
      <c r="B1039" s="248">
        <v>1.8757377498809799E-3</v>
      </c>
      <c r="C1039" s="248">
        <v>2.9729016451177401E-3</v>
      </c>
      <c r="D1039" s="248">
        <v>3.7740484578953301E-3</v>
      </c>
      <c r="E1039" s="248">
        <v>1.9695672805926201E-3</v>
      </c>
      <c r="F1039" s="248"/>
      <c r="G1039" s="248">
        <v>1.4852394339271201E-3</v>
      </c>
      <c r="H1039" s="735">
        <v>2.1975122312603299E-3</v>
      </c>
      <c r="I1039" s="735">
        <v>9.2502081032982205E-4</v>
      </c>
      <c r="J1039" s="735">
        <v>2.2038441081934299E-3</v>
      </c>
      <c r="L1039" s="84"/>
      <c r="M1039" s="84"/>
      <c r="N1039" s="84"/>
      <c r="O1039" s="84"/>
      <c r="P1039" s="84"/>
      <c r="Q1039" s="84"/>
      <c r="R1039" s="84"/>
      <c r="S1039" s="84"/>
    </row>
    <row r="1040" spans="1:19">
      <c r="A1040" s="629" t="s">
        <v>263</v>
      </c>
      <c r="B1040" s="248">
        <v>1.78632717743839E-3</v>
      </c>
      <c r="C1040" s="248">
        <v>3.1584718250480901E-3</v>
      </c>
      <c r="D1040" s="248">
        <v>2.86373539574783E-3</v>
      </c>
      <c r="E1040" s="248">
        <v>1.8725830716411101E-3</v>
      </c>
      <c r="F1040" s="248"/>
      <c r="G1040" s="248">
        <v>1.5805251976643299E-3</v>
      </c>
      <c r="H1040" s="735">
        <v>1.99884482664221E-3</v>
      </c>
      <c r="I1040" s="735">
        <v>8.6767573095047196E-4</v>
      </c>
      <c r="J1040" s="735">
        <v>2.0001653577146998E-3</v>
      </c>
      <c r="L1040" s="84"/>
      <c r="M1040" s="84"/>
      <c r="N1040" s="84"/>
      <c r="O1040" s="84"/>
      <c r="P1040" s="84"/>
      <c r="Q1040" s="84"/>
      <c r="R1040" s="84"/>
      <c r="S1040" s="84"/>
    </row>
    <row r="1041" spans="1:19">
      <c r="A1041" s="629" t="s">
        <v>262</v>
      </c>
      <c r="B1041" s="248">
        <v>1.7654548224871299E-3</v>
      </c>
      <c r="C1041" s="248">
        <v>3.1067798297423101E-3</v>
      </c>
      <c r="D1041" s="248">
        <v>2.4603658618657198E-3</v>
      </c>
      <c r="E1041" s="248">
        <v>1.78997657350903E-3</v>
      </c>
      <c r="F1041" s="248"/>
      <c r="G1041" s="248">
        <v>1.48597150092178E-3</v>
      </c>
      <c r="H1041" s="735">
        <v>1.7897673896190801E-3</v>
      </c>
      <c r="I1041" s="735">
        <v>8.3816604100112101E-4</v>
      </c>
      <c r="J1041" s="735">
        <v>1.78920108806628E-3</v>
      </c>
      <c r="L1041" s="84"/>
      <c r="M1041" s="84"/>
      <c r="N1041" s="84"/>
      <c r="O1041" s="84"/>
      <c r="P1041" s="84"/>
      <c r="Q1041" s="84"/>
      <c r="R1041" s="84"/>
      <c r="S1041" s="84"/>
    </row>
    <row r="1042" spans="1:19">
      <c r="A1042" s="629" t="s">
        <v>261</v>
      </c>
      <c r="B1042" s="248">
        <v>1.7080544566834899E-3</v>
      </c>
      <c r="C1042" s="248">
        <v>3.0694519403857098E-3</v>
      </c>
      <c r="D1042" s="248">
        <v>2.2162179110129399E-3</v>
      </c>
      <c r="E1042" s="248">
        <v>1.7202407665220399E-3</v>
      </c>
      <c r="F1042" s="248"/>
      <c r="G1042" s="248">
        <v>1.52114908644616E-3</v>
      </c>
      <c r="H1042" s="735">
        <v>2.1902840694601601E-3</v>
      </c>
      <c r="I1042" s="735">
        <v>7.8476268989156103E-4</v>
      </c>
      <c r="J1042" s="735">
        <v>2.1997482581968802E-3</v>
      </c>
      <c r="L1042" s="84"/>
      <c r="M1042" s="84"/>
      <c r="N1042" s="84"/>
      <c r="O1042" s="84"/>
      <c r="P1042" s="84"/>
      <c r="Q1042" s="84"/>
      <c r="R1042" s="84"/>
      <c r="S1042" s="84"/>
    </row>
    <row r="1043" spans="1:19">
      <c r="A1043" s="629" t="s">
        <v>260</v>
      </c>
      <c r="B1043" s="248">
        <v>1.8956974608852601E-3</v>
      </c>
      <c r="C1043" s="248">
        <v>3.0789840717617002E-3</v>
      </c>
      <c r="D1043" s="248">
        <v>2.1283832952293598E-3</v>
      </c>
      <c r="E1043" s="248">
        <v>1.7179595551540499E-3</v>
      </c>
      <c r="F1043" s="248"/>
      <c r="G1043" s="248">
        <v>1.6891353006919399E-3</v>
      </c>
      <c r="H1043" s="735">
        <v>2.0573772105258398E-3</v>
      </c>
      <c r="I1043" s="735">
        <v>8.8006895314429203E-4</v>
      </c>
      <c r="J1043" s="735">
        <v>2.0601060861425301E-3</v>
      </c>
      <c r="L1043" s="84"/>
      <c r="M1043" s="84"/>
      <c r="N1043" s="84"/>
      <c r="O1043" s="84"/>
      <c r="P1043" s="84"/>
      <c r="Q1043" s="84"/>
      <c r="R1043" s="84"/>
      <c r="S1043" s="84"/>
    </row>
    <row r="1044" spans="1:19">
      <c r="A1044" s="629" t="s">
        <v>259</v>
      </c>
      <c r="B1044" s="248">
        <v>1.79885452885239E-3</v>
      </c>
      <c r="C1044" s="248">
        <v>3.1629643406866901E-3</v>
      </c>
      <c r="D1044" s="248">
        <v>2.52546416529576E-3</v>
      </c>
      <c r="E1044" s="248">
        <v>1.7477786995935599E-3</v>
      </c>
      <c r="F1044" s="248"/>
      <c r="G1044" s="248">
        <v>1.7806111341894301E-3</v>
      </c>
      <c r="H1044" s="735">
        <v>1.81285886473742E-3</v>
      </c>
      <c r="I1044" s="735">
        <v>8.8162534078117197E-4</v>
      </c>
      <c r="J1044" s="735">
        <v>1.8123750859049899E-3</v>
      </c>
      <c r="L1044" s="84"/>
      <c r="M1044" s="84"/>
      <c r="N1044" s="84"/>
      <c r="O1044" s="84"/>
      <c r="P1044" s="84"/>
      <c r="Q1044" s="84"/>
      <c r="R1044" s="84"/>
      <c r="S1044" s="84"/>
    </row>
    <row r="1045" spans="1:19">
      <c r="A1045" s="629" t="s">
        <v>258</v>
      </c>
      <c r="B1045" s="248">
        <v>1.73734667180265E-3</v>
      </c>
      <c r="C1045" s="248">
        <v>3.0029242570335001E-3</v>
      </c>
      <c r="D1045" s="248">
        <v>3.1389721071552398E-3</v>
      </c>
      <c r="E1045" s="248">
        <v>1.6800952212019499E-3</v>
      </c>
      <c r="F1045" s="248"/>
      <c r="G1045" s="248">
        <v>1.6687005975653999E-3</v>
      </c>
      <c r="H1045" s="735">
        <v>1.6377861462681001E-3</v>
      </c>
      <c r="I1045" s="735">
        <v>1.08434488497844E-3</v>
      </c>
      <c r="J1045" s="735">
        <v>1.63246925366806E-3</v>
      </c>
      <c r="L1045" s="84"/>
      <c r="M1045" s="84"/>
      <c r="N1045" s="84"/>
      <c r="O1045" s="84"/>
      <c r="P1045" s="84"/>
      <c r="Q1045" s="84"/>
      <c r="R1045" s="84"/>
      <c r="S1045" s="84"/>
    </row>
    <row r="1046" spans="1:19">
      <c r="A1046" s="629" t="s">
        <v>257</v>
      </c>
      <c r="B1046" s="248">
        <v>1.6723224588021501E-3</v>
      </c>
      <c r="C1046" s="248">
        <v>2.9033420949895498E-3</v>
      </c>
      <c r="D1046" s="248">
        <v>3.12407890782783E-3</v>
      </c>
      <c r="E1046" s="248">
        <v>1.6240677337343E-3</v>
      </c>
      <c r="F1046" s="248"/>
      <c r="G1046" s="248">
        <v>1.61851767727607E-3</v>
      </c>
      <c r="H1046" s="735">
        <v>1.51151623048E-3</v>
      </c>
      <c r="I1046" s="735">
        <v>1.00437386183026E-3</v>
      </c>
      <c r="J1046" s="735">
        <v>1.5004952123015599E-3</v>
      </c>
      <c r="L1046" s="84"/>
      <c r="M1046" s="84"/>
      <c r="N1046" s="84"/>
      <c r="O1046" s="84"/>
      <c r="P1046" s="84"/>
      <c r="Q1046" s="84"/>
      <c r="R1046" s="84"/>
      <c r="S1046" s="84"/>
    </row>
    <row r="1047" spans="1:19">
      <c r="A1047" s="629" t="s">
        <v>256</v>
      </c>
      <c r="B1047" s="248">
        <v>1.58038984932649E-3</v>
      </c>
      <c r="C1047" s="248">
        <v>2.9538050362275699E-3</v>
      </c>
      <c r="D1047" s="248">
        <v>2.5041251977685102E-3</v>
      </c>
      <c r="E1047" s="248">
        <v>1.8919179589962901E-3</v>
      </c>
      <c r="F1047" s="248"/>
      <c r="G1047" s="248">
        <v>1.6354216973068899E-3</v>
      </c>
      <c r="H1047" s="735">
        <v>1.44336392128779E-3</v>
      </c>
      <c r="I1047" s="735">
        <v>9.4562906561249398E-4</v>
      </c>
      <c r="J1047" s="735">
        <v>1.4332933900368099E-3</v>
      </c>
      <c r="L1047" s="84"/>
      <c r="M1047" s="84"/>
      <c r="N1047" s="84"/>
      <c r="O1047" s="84"/>
      <c r="P1047" s="84"/>
      <c r="Q1047" s="84"/>
      <c r="R1047" s="84"/>
      <c r="S1047" s="84"/>
    </row>
    <row r="1048" spans="1:19">
      <c r="A1048" s="629" t="s">
        <v>255</v>
      </c>
      <c r="B1048" s="248">
        <v>1.5529244831641799E-3</v>
      </c>
      <c r="C1048" s="248">
        <v>4.6810179746586402E-3</v>
      </c>
      <c r="D1048" s="248">
        <v>3.2117821844772701E-3</v>
      </c>
      <c r="E1048" s="248">
        <v>2.2665501042095E-3</v>
      </c>
      <c r="F1048" s="248"/>
      <c r="G1048" s="248">
        <v>1.5957130805717601E-3</v>
      </c>
      <c r="H1048" s="735">
        <v>1.3043096995421801E-3</v>
      </c>
      <c r="I1048" s="735">
        <v>1.1582041649488501E-3</v>
      </c>
      <c r="J1048" s="735">
        <v>1.29177041786809E-3</v>
      </c>
      <c r="L1048" s="84"/>
      <c r="M1048" s="84"/>
      <c r="N1048" s="84"/>
      <c r="O1048" s="84"/>
      <c r="P1048" s="84"/>
      <c r="Q1048" s="84"/>
      <c r="R1048" s="84"/>
      <c r="S1048" s="84"/>
    </row>
    <row r="1049" spans="1:19">
      <c r="A1049" s="629" t="s">
        <v>254</v>
      </c>
      <c r="B1049" s="248">
        <v>1.47805402455879E-3</v>
      </c>
      <c r="C1049" s="248">
        <v>3.5157567600649399E-3</v>
      </c>
      <c r="D1049" s="248">
        <v>2.7607330950910501E-3</v>
      </c>
      <c r="E1049" s="248">
        <v>2.08558737966939E-3</v>
      </c>
      <c r="F1049" s="248"/>
      <c r="G1049" s="248">
        <v>1.68533089211226E-3</v>
      </c>
      <c r="H1049" s="735">
        <v>1.19135632799526E-3</v>
      </c>
      <c r="I1049" s="735">
        <v>1.0647740598441801E-3</v>
      </c>
      <c r="J1049" s="735">
        <v>1.1757632920254E-3</v>
      </c>
      <c r="L1049" s="84"/>
      <c r="M1049" s="84"/>
      <c r="N1049" s="84"/>
      <c r="O1049" s="84"/>
      <c r="P1049" s="84"/>
      <c r="Q1049" s="84"/>
      <c r="R1049" s="84"/>
      <c r="S1049" s="84"/>
    </row>
    <row r="1050" spans="1:19">
      <c r="A1050" s="629" t="s">
        <v>253</v>
      </c>
      <c r="B1050" s="248">
        <v>1.76228383936393E-3</v>
      </c>
      <c r="C1050" s="248">
        <v>3.50036462972713E-3</v>
      </c>
      <c r="D1050" s="248">
        <v>5.1496855707166399E-3</v>
      </c>
      <c r="E1050" s="248">
        <v>2.07375155840181E-3</v>
      </c>
      <c r="F1050" s="248"/>
      <c r="G1050" s="248">
        <v>1.6635959867403801E-3</v>
      </c>
      <c r="H1050" s="735">
        <v>1.3726897563114801E-3</v>
      </c>
      <c r="I1050" s="735">
        <v>1.07856093240796E-3</v>
      </c>
      <c r="J1050" s="735">
        <v>1.3518454258909999E-3</v>
      </c>
      <c r="L1050" s="84"/>
      <c r="M1050" s="84"/>
      <c r="N1050" s="84"/>
      <c r="O1050" s="84"/>
      <c r="P1050" s="84"/>
      <c r="Q1050" s="84"/>
      <c r="R1050" s="84"/>
      <c r="S1050" s="84"/>
    </row>
    <row r="1051" spans="1:19">
      <c r="A1051" s="629" t="s">
        <v>252</v>
      </c>
      <c r="B1051" s="248">
        <v>1.72144904375045E-3</v>
      </c>
      <c r="C1051" s="248">
        <v>3.44749926231009E-3</v>
      </c>
      <c r="D1051" s="248">
        <v>3.6619223880112301E-3</v>
      </c>
      <c r="E1051" s="248">
        <v>1.9337582037309601E-3</v>
      </c>
      <c r="F1051" s="248"/>
      <c r="G1051" s="248">
        <v>1.5862296870629399E-3</v>
      </c>
      <c r="H1051" s="735">
        <v>1.2529518930530399E-3</v>
      </c>
      <c r="I1051" s="735">
        <v>1.0827012959836199E-3</v>
      </c>
      <c r="J1051" s="735">
        <v>1.23031043271584E-3</v>
      </c>
      <c r="L1051" s="84"/>
      <c r="M1051" s="84"/>
      <c r="N1051" s="84"/>
      <c r="O1051" s="84"/>
      <c r="P1051" s="84"/>
      <c r="Q1051" s="84"/>
      <c r="R1051" s="84"/>
      <c r="S1051" s="84"/>
    </row>
    <row r="1052" spans="1:19">
      <c r="A1052" s="629" t="s">
        <v>251</v>
      </c>
      <c r="B1052" s="248">
        <v>2.9237811373910901E-3</v>
      </c>
      <c r="C1052" s="248">
        <v>2.8949403858003898E-3</v>
      </c>
      <c r="D1052" s="248">
        <v>3.77612718972185E-3</v>
      </c>
      <c r="E1052" s="248">
        <v>2.05091198011821E-3</v>
      </c>
      <c r="F1052" s="248"/>
      <c r="G1052" s="248">
        <v>1.76945370945883E-3</v>
      </c>
      <c r="H1052" s="735">
        <v>1.27777749590128E-3</v>
      </c>
      <c r="I1052" s="735">
        <v>1.2543955410976E-3</v>
      </c>
      <c r="J1052" s="735">
        <v>1.25094832138937E-3</v>
      </c>
      <c r="L1052" s="84"/>
      <c r="M1052" s="84"/>
      <c r="N1052" s="84"/>
      <c r="O1052" s="84"/>
      <c r="P1052" s="84"/>
      <c r="Q1052" s="84"/>
      <c r="R1052" s="84"/>
      <c r="S1052" s="84"/>
    </row>
    <row r="1053" spans="1:19">
      <c r="A1053" s="629" t="s">
        <v>250</v>
      </c>
      <c r="B1053" s="248">
        <v>2.7513065526052799E-3</v>
      </c>
      <c r="C1053" s="248">
        <v>3.0845529587170701E-3</v>
      </c>
      <c r="D1053" s="248">
        <v>3.6844716643463999E-3</v>
      </c>
      <c r="E1053" s="248">
        <v>1.9624173158099899E-3</v>
      </c>
      <c r="F1053" s="248"/>
      <c r="G1053" s="248">
        <v>2.4151688036510299E-3</v>
      </c>
      <c r="H1053" s="735">
        <v>1.1895387665183401E-3</v>
      </c>
      <c r="I1053" s="735">
        <v>1.4578015105370899E-3</v>
      </c>
      <c r="J1053" s="735">
        <v>1.16282485145743E-3</v>
      </c>
      <c r="L1053" s="84"/>
      <c r="M1053" s="84"/>
      <c r="N1053" s="84"/>
      <c r="O1053" s="84"/>
      <c r="P1053" s="84"/>
      <c r="Q1053" s="84"/>
      <c r="R1053" s="84"/>
      <c r="S1053" s="84"/>
    </row>
    <row r="1054" spans="1:19">
      <c r="A1054" s="629" t="s">
        <v>249</v>
      </c>
      <c r="B1054" s="248">
        <v>2.75707712445783E-3</v>
      </c>
      <c r="C1054" s="248">
        <v>3.2355048467596699E-3</v>
      </c>
      <c r="D1054" s="248">
        <v>4.4851017734032798E-3</v>
      </c>
      <c r="E1054" s="248">
        <v>2.0884745473311399E-3</v>
      </c>
      <c r="F1054" s="248"/>
      <c r="G1054" s="248">
        <v>2.2397471498590798E-3</v>
      </c>
      <c r="H1054" s="735">
        <v>1.13546393007332E-3</v>
      </c>
      <c r="I1054" s="735">
        <v>2.3009610638143499E-3</v>
      </c>
      <c r="J1054" s="735">
        <v>1.10668252269859E-3</v>
      </c>
      <c r="L1054" s="84"/>
      <c r="M1054" s="84"/>
      <c r="N1054" s="84"/>
      <c r="O1054" s="84"/>
      <c r="P1054" s="84"/>
      <c r="Q1054" s="84"/>
      <c r="R1054" s="84"/>
      <c r="S1054" s="84"/>
    </row>
    <row r="1055" spans="1:19">
      <c r="A1055" s="629" t="s">
        <v>248</v>
      </c>
      <c r="B1055" s="248">
        <v>2.64826310937057E-3</v>
      </c>
      <c r="C1055" s="248">
        <v>4.3918122707805301E-3</v>
      </c>
      <c r="D1055" s="248">
        <v>3.2321829395194298E-3</v>
      </c>
      <c r="E1055" s="248">
        <v>1.95012897493385E-3</v>
      </c>
      <c r="F1055" s="248"/>
      <c r="G1055" s="248">
        <v>2.1652585431922002E-3</v>
      </c>
      <c r="H1055" s="735">
        <v>1.0997996374073199E-3</v>
      </c>
      <c r="I1055" s="735">
        <v>2.0612534705111698E-3</v>
      </c>
      <c r="J1055" s="735">
        <v>1.07512820152016E-3</v>
      </c>
      <c r="L1055" s="84"/>
      <c r="M1055" s="84"/>
      <c r="N1055" s="84"/>
      <c r="O1055" s="84"/>
      <c r="P1055" s="84"/>
      <c r="Q1055" s="84"/>
      <c r="R1055" s="84"/>
      <c r="S1055" s="84"/>
    </row>
    <row r="1056" spans="1:19">
      <c r="A1056" s="629" t="s">
        <v>247</v>
      </c>
      <c r="B1056" s="248">
        <v>2.9030994499555699E-3</v>
      </c>
      <c r="C1056" s="248">
        <v>4.1900160613712201E-3</v>
      </c>
      <c r="D1056" s="248">
        <v>4.5121515261208498E-3</v>
      </c>
      <c r="E1056" s="248">
        <v>1.9810669679557E-3</v>
      </c>
      <c r="F1056" s="248"/>
      <c r="G1056" s="248">
        <v>2.0090334853437898E-3</v>
      </c>
      <c r="H1056" s="735">
        <v>1.2807062180213199E-3</v>
      </c>
      <c r="I1056" s="735">
        <v>1.95692851921198E-3</v>
      </c>
      <c r="J1056" s="735">
        <v>1.2558458905759301E-3</v>
      </c>
      <c r="L1056" s="84"/>
      <c r="M1056" s="84"/>
      <c r="N1056" s="84"/>
      <c r="O1056" s="84"/>
      <c r="P1056" s="84"/>
      <c r="Q1056" s="84"/>
      <c r="R1056" s="84"/>
      <c r="S1056" s="84"/>
    </row>
    <row r="1057" spans="1:19">
      <c r="A1057" s="629" t="s">
        <v>246</v>
      </c>
      <c r="B1057" s="248">
        <v>3.4618929522720102E-3</v>
      </c>
      <c r="C1057" s="248">
        <v>3.70854449668785E-3</v>
      </c>
      <c r="D1057" s="248">
        <v>4.21683798386075E-3</v>
      </c>
      <c r="E1057" s="248">
        <v>2.4963975830180501E-3</v>
      </c>
      <c r="F1057" s="248"/>
      <c r="G1057" s="248">
        <v>1.9626377814043298E-3</v>
      </c>
      <c r="H1057" s="735">
        <v>1.3371821009558499E-3</v>
      </c>
      <c r="I1057" s="735">
        <v>2.10789497153069E-3</v>
      </c>
      <c r="J1057" s="735">
        <v>1.3189231323972701E-3</v>
      </c>
      <c r="L1057" s="84"/>
      <c r="M1057" s="84"/>
      <c r="N1057" s="84"/>
      <c r="O1057" s="84"/>
      <c r="P1057" s="84"/>
      <c r="Q1057" s="84"/>
      <c r="R1057" s="84"/>
      <c r="S1057" s="84"/>
    </row>
    <row r="1058" spans="1:19">
      <c r="A1058" s="629" t="s">
        <v>245</v>
      </c>
      <c r="B1058" s="248">
        <v>3.3275789837262002E-3</v>
      </c>
      <c r="C1058" s="248">
        <v>3.0897681052908898E-3</v>
      </c>
      <c r="D1058" s="248">
        <v>3.8953930734459299E-3</v>
      </c>
      <c r="E1058" s="248">
        <v>2.2986202480046402E-3</v>
      </c>
      <c r="F1058" s="248"/>
      <c r="G1058" s="248">
        <v>1.84870323051383E-3</v>
      </c>
      <c r="H1058" s="735">
        <v>1.2947165205560399E-3</v>
      </c>
      <c r="I1058" s="735">
        <v>1.89247996051563E-3</v>
      </c>
      <c r="J1058" s="735">
        <v>1.2729893811618501E-3</v>
      </c>
      <c r="L1058" s="84"/>
      <c r="M1058" s="84"/>
      <c r="N1058" s="84"/>
      <c r="O1058" s="84"/>
      <c r="P1058" s="84"/>
      <c r="Q1058" s="84"/>
      <c r="R1058" s="84"/>
      <c r="S1058" s="84"/>
    </row>
    <row r="1059" spans="1:19">
      <c r="A1059" s="629" t="s">
        <v>244</v>
      </c>
      <c r="B1059" s="248">
        <v>3.0921184337591402E-3</v>
      </c>
      <c r="C1059" s="248">
        <v>3.0203786762437201E-3</v>
      </c>
      <c r="D1059" s="248">
        <v>3.0682584063460002E-3</v>
      </c>
      <c r="E1059" s="248">
        <v>2.2999190383218202E-3</v>
      </c>
      <c r="F1059" s="248"/>
      <c r="G1059" s="248">
        <v>1.8863069606347199E-3</v>
      </c>
      <c r="H1059" s="735">
        <v>1.38193718432342E-3</v>
      </c>
      <c r="I1059" s="735">
        <v>1.80601886741465E-3</v>
      </c>
      <c r="J1059" s="735">
        <v>1.3578309800579599E-3</v>
      </c>
      <c r="L1059" s="84"/>
      <c r="M1059" s="84"/>
      <c r="N1059" s="84"/>
      <c r="O1059" s="84"/>
      <c r="P1059" s="84"/>
      <c r="Q1059" s="84"/>
      <c r="R1059" s="84"/>
      <c r="S1059" s="84"/>
    </row>
    <row r="1060" spans="1:19">
      <c r="A1060" s="629" t="s">
        <v>243</v>
      </c>
      <c r="B1060" s="248">
        <v>2.8033859831783198E-3</v>
      </c>
      <c r="C1060" s="248">
        <v>2.7789699470666899E-3</v>
      </c>
      <c r="D1060" s="248">
        <v>2.4702513652802402E-3</v>
      </c>
      <c r="E1060" s="248">
        <v>2.2001442772927099E-3</v>
      </c>
      <c r="F1060" s="248"/>
      <c r="G1060" s="248">
        <v>1.81658469859029E-3</v>
      </c>
      <c r="H1060" s="735">
        <v>1.32624977256391E-3</v>
      </c>
      <c r="I1060" s="735">
        <v>1.7041053381274701E-3</v>
      </c>
      <c r="J1060" s="735">
        <v>1.29892005205618E-3</v>
      </c>
      <c r="L1060" s="84"/>
      <c r="M1060" s="84"/>
      <c r="N1060" s="84"/>
      <c r="O1060" s="84"/>
      <c r="P1060" s="84"/>
      <c r="Q1060" s="84"/>
      <c r="R1060" s="84"/>
      <c r="S1060" s="84"/>
    </row>
    <row r="1061" spans="1:19">
      <c r="A1061" s="629" t="s">
        <v>242</v>
      </c>
      <c r="B1061" s="248">
        <v>2.56986465427871E-3</v>
      </c>
      <c r="C1061" s="248">
        <v>2.6568234448881198E-3</v>
      </c>
      <c r="D1061" s="248">
        <v>2.57069623844287E-3</v>
      </c>
      <c r="E1061" s="248">
        <v>2.0325679540523799E-3</v>
      </c>
      <c r="F1061" s="248"/>
      <c r="G1061" s="248">
        <v>1.70080910723864E-3</v>
      </c>
      <c r="H1061" s="735">
        <v>1.2509542308747001E-3</v>
      </c>
      <c r="I1061" s="735">
        <v>1.53913766805804E-3</v>
      </c>
      <c r="J1061" s="735">
        <v>1.2231389679098299E-3</v>
      </c>
      <c r="L1061" s="84"/>
      <c r="M1061" s="84"/>
      <c r="N1061" s="84"/>
      <c r="O1061" s="84"/>
      <c r="P1061" s="84"/>
      <c r="Q1061" s="84"/>
      <c r="R1061" s="84"/>
      <c r="S1061" s="84"/>
    </row>
    <row r="1062" spans="1:19">
      <c r="A1062" s="629" t="s">
        <v>241</v>
      </c>
      <c r="B1062" s="248">
        <v>2.5904163372151498E-3</v>
      </c>
      <c r="C1062" s="248">
        <v>2.6890393632459102E-3</v>
      </c>
      <c r="D1062" s="248">
        <v>2.7577194968519E-3</v>
      </c>
      <c r="E1062" s="248">
        <v>1.9772732626361701E-3</v>
      </c>
      <c r="F1062" s="248">
        <v>1.57518215332308E-3</v>
      </c>
      <c r="G1062" s="248">
        <v>1.59213306605711E-3</v>
      </c>
      <c r="H1062" s="735">
        <v>1.37238484669016E-3</v>
      </c>
      <c r="I1062" s="735">
        <v>1.44679556675484E-3</v>
      </c>
      <c r="J1062" s="735">
        <v>1.3480880825498E-3</v>
      </c>
      <c r="L1062" s="84"/>
      <c r="M1062" s="84"/>
      <c r="N1062" s="84"/>
      <c r="O1062" s="84"/>
      <c r="P1062" s="84"/>
      <c r="Q1062" s="84"/>
      <c r="R1062" s="84"/>
      <c r="S1062" s="84"/>
    </row>
    <row r="1063" spans="1:19">
      <c r="A1063" s="629" t="s">
        <v>240</v>
      </c>
      <c r="B1063" s="248">
        <v>2.55568288712393E-3</v>
      </c>
      <c r="C1063" s="248">
        <v>2.6879405295272001E-3</v>
      </c>
      <c r="D1063" s="248">
        <v>2.3898122054919601E-3</v>
      </c>
      <c r="E1063" s="248">
        <v>1.94056681460368E-3</v>
      </c>
      <c r="F1063" s="248">
        <v>1.6113271115196E-3</v>
      </c>
      <c r="G1063" s="248">
        <v>1.4961478525270799E-3</v>
      </c>
      <c r="H1063" s="735">
        <v>1.44332896609715E-3</v>
      </c>
      <c r="I1063" s="735">
        <v>1.39618239267E-3</v>
      </c>
      <c r="J1063" s="735">
        <v>1.4155129392650399E-3</v>
      </c>
      <c r="L1063" s="84"/>
      <c r="M1063" s="84"/>
      <c r="N1063" s="84"/>
      <c r="O1063" s="84"/>
      <c r="P1063" s="84"/>
      <c r="Q1063" s="84"/>
      <c r="R1063" s="84"/>
      <c r="S1063" s="84"/>
    </row>
    <row r="1064" spans="1:19">
      <c r="A1064" s="629" t="s">
        <v>239</v>
      </c>
      <c r="B1064" s="248">
        <v>2.3660950371558499E-3</v>
      </c>
      <c r="C1064" s="248">
        <v>5.0896459338692903E-3</v>
      </c>
      <c r="D1064" s="248">
        <v>2.1995003511464601E-3</v>
      </c>
      <c r="E1064" s="248">
        <v>1.8817313187665199E-3</v>
      </c>
      <c r="F1064" s="248">
        <v>1.8264690180425499E-3</v>
      </c>
      <c r="G1064" s="248">
        <v>1.5149490396864601E-3</v>
      </c>
      <c r="H1064" s="735">
        <v>1.3043955881273501E-3</v>
      </c>
      <c r="I1064" s="735">
        <v>1.35380115542334E-3</v>
      </c>
      <c r="J1064" s="735">
        <v>1.2770645308571599E-3</v>
      </c>
      <c r="L1064" s="84"/>
      <c r="M1064" s="84"/>
      <c r="N1064" s="84"/>
      <c r="O1064" s="84"/>
      <c r="P1064" s="84"/>
      <c r="Q1064" s="84"/>
      <c r="R1064" s="84"/>
      <c r="S1064" s="84"/>
    </row>
    <row r="1065" spans="1:19">
      <c r="A1065" s="629" t="s">
        <v>238</v>
      </c>
      <c r="B1065" s="248">
        <v>2.7538546313125101E-3</v>
      </c>
      <c r="C1065" s="248">
        <v>3.5817981668861201E-3</v>
      </c>
      <c r="D1065" s="248">
        <v>2.22638832898176E-3</v>
      </c>
      <c r="E1065" s="248">
        <v>1.79619426989845E-3</v>
      </c>
      <c r="F1065" s="248">
        <v>1.8431426825934101E-3</v>
      </c>
      <c r="G1065" s="248">
        <v>1.4246683246199299E-3</v>
      </c>
      <c r="H1065" s="735">
        <v>1.1901371135766201E-3</v>
      </c>
      <c r="I1065" s="735">
        <v>1.37980192919098E-3</v>
      </c>
      <c r="J1065" s="735">
        <v>1.16281140966884E-3</v>
      </c>
      <c r="L1065" s="84"/>
      <c r="M1065" s="84"/>
      <c r="N1065" s="84"/>
      <c r="O1065" s="84"/>
      <c r="P1065" s="84"/>
      <c r="Q1065" s="84"/>
      <c r="R1065" s="84"/>
      <c r="S1065" s="84"/>
    </row>
    <row r="1066" spans="1:19">
      <c r="A1066" s="629" t="s">
        <v>237</v>
      </c>
      <c r="B1066" s="248">
        <v>2.5533106568642501E-3</v>
      </c>
      <c r="C1066" s="248">
        <v>4.9371054604755603E-3</v>
      </c>
      <c r="D1066" s="248">
        <v>2.2339022626162099E-3</v>
      </c>
      <c r="E1066" s="248">
        <v>1.75076801839231E-3</v>
      </c>
      <c r="F1066" s="248">
        <v>1.83876814369091E-3</v>
      </c>
      <c r="G1066" s="248">
        <v>1.37971607862619E-3</v>
      </c>
      <c r="H1066" s="735">
        <v>1.1341463807338201E-3</v>
      </c>
      <c r="I1066" s="735">
        <v>1.28431748591233E-3</v>
      </c>
      <c r="J1066" s="735">
        <v>1.10613117154706E-3</v>
      </c>
      <c r="L1066" s="84"/>
      <c r="M1066" s="84"/>
      <c r="N1066" s="84"/>
      <c r="O1066" s="84"/>
      <c r="P1066" s="84"/>
      <c r="Q1066" s="84"/>
      <c r="R1066" s="84"/>
      <c r="S1066" s="84"/>
    </row>
    <row r="1067" spans="1:19">
      <c r="A1067" s="629" t="s">
        <v>236</v>
      </c>
      <c r="B1067" s="248">
        <v>2.6803521816822998E-3</v>
      </c>
      <c r="C1067" s="248">
        <v>3.71922799848871E-3</v>
      </c>
      <c r="D1067" s="248">
        <v>2.8363966301747602E-3</v>
      </c>
      <c r="E1067" s="248">
        <v>1.84284102251863E-3</v>
      </c>
      <c r="F1067" s="248">
        <v>1.86949712707875E-3</v>
      </c>
      <c r="G1067" s="248">
        <v>1.5010713674913599E-3</v>
      </c>
      <c r="H1067" s="735">
        <v>1.0784881422699799E-3</v>
      </c>
      <c r="I1067" s="735">
        <v>1.33892122725851E-3</v>
      </c>
      <c r="J1067" s="735">
        <v>1.0482910815850801E-3</v>
      </c>
      <c r="L1067" s="84"/>
      <c r="M1067" s="84"/>
      <c r="N1067" s="84"/>
      <c r="O1067" s="84"/>
      <c r="P1067" s="84"/>
      <c r="Q1067" s="84"/>
      <c r="R1067" s="84"/>
      <c r="S1067" s="84"/>
    </row>
    <row r="1068" spans="1:19">
      <c r="A1068" s="629" t="s">
        <v>235</v>
      </c>
      <c r="B1068" s="248">
        <v>3.55874773927204E-3</v>
      </c>
      <c r="C1068" s="248">
        <v>5.9794944598265502E-3</v>
      </c>
      <c r="D1068" s="248">
        <v>2.9135554019778902E-3</v>
      </c>
      <c r="E1068" s="248">
        <v>2.5234814647493802E-3</v>
      </c>
      <c r="F1068" s="248">
        <v>2.0413466182088E-3</v>
      </c>
      <c r="G1068" s="248">
        <v>1.53815252247176E-3</v>
      </c>
      <c r="H1068" s="735">
        <v>1.05566471889077E-3</v>
      </c>
      <c r="I1068" s="735">
        <v>1.8026462115103899E-3</v>
      </c>
      <c r="J1068" s="735">
        <v>1.0277476847105E-3</v>
      </c>
      <c r="L1068" s="84"/>
      <c r="M1068" s="84"/>
      <c r="N1068" s="84"/>
      <c r="O1068" s="84"/>
      <c r="P1068" s="84"/>
      <c r="Q1068" s="84"/>
      <c r="R1068" s="84"/>
      <c r="S1068" s="84"/>
    </row>
    <row r="1069" spans="1:19">
      <c r="A1069" s="629" t="s">
        <v>234</v>
      </c>
      <c r="B1069" s="248">
        <v>3.39809020202976E-3</v>
      </c>
      <c r="C1069" s="248">
        <v>3.8927664883859799E-3</v>
      </c>
      <c r="D1069" s="248">
        <v>3.1698953392180502E-3</v>
      </c>
      <c r="E1069" s="248">
        <v>2.5428573709259301E-3</v>
      </c>
      <c r="F1069" s="248">
        <v>2.0820257305326799E-3</v>
      </c>
      <c r="G1069" s="248">
        <v>1.6686669773428101E-3</v>
      </c>
      <c r="H1069" s="735">
        <v>1.1380155521471199E-3</v>
      </c>
      <c r="I1069" s="735">
        <v>1.8267848987766099E-3</v>
      </c>
      <c r="J1069" s="735">
        <v>1.1082116443265201E-3</v>
      </c>
      <c r="L1069" s="84"/>
      <c r="M1069" s="84"/>
      <c r="N1069" s="84"/>
      <c r="O1069" s="84"/>
      <c r="P1069" s="84"/>
      <c r="Q1069" s="84"/>
      <c r="R1069" s="84"/>
      <c r="S1069" s="84"/>
    </row>
    <row r="1070" spans="1:19">
      <c r="A1070" s="629" t="s">
        <v>233</v>
      </c>
      <c r="B1070" s="248">
        <v>3.5216108173701001E-3</v>
      </c>
      <c r="C1070" s="248">
        <v>3.3281618430906299E-3</v>
      </c>
      <c r="D1070" s="248">
        <v>2.7913296273172801E-3</v>
      </c>
      <c r="E1070" s="248">
        <v>3.0294582446234899E-3</v>
      </c>
      <c r="F1070" s="248">
        <v>2.7568149510798501E-3</v>
      </c>
      <c r="G1070" s="248">
        <v>1.86704585119526E-3</v>
      </c>
      <c r="H1070" s="735">
        <v>1.1044852168170501E-3</v>
      </c>
      <c r="I1070" s="735">
        <v>1.7127326581628901E-3</v>
      </c>
      <c r="J1070" s="735">
        <v>1.07897499323757E-3</v>
      </c>
      <c r="L1070" s="84"/>
      <c r="M1070" s="84"/>
      <c r="N1070" s="84"/>
      <c r="O1070" s="84"/>
      <c r="P1070" s="84"/>
      <c r="Q1070" s="84"/>
      <c r="R1070" s="84"/>
      <c r="S1070" s="84"/>
    </row>
    <row r="1071" spans="1:19">
      <c r="A1071" s="629" t="s">
        <v>232</v>
      </c>
      <c r="B1071" s="248">
        <v>4.2154317820027399E-3</v>
      </c>
      <c r="C1071" s="248">
        <v>7.6268865083699696E-3</v>
      </c>
      <c r="D1071" s="248">
        <v>2.5911768235871301E-3</v>
      </c>
      <c r="E1071" s="248">
        <v>4.3142653195121904E-3</v>
      </c>
      <c r="F1071" s="248">
        <v>3.5152939690961298E-3</v>
      </c>
      <c r="G1071" s="248">
        <v>2.5075008217820501E-3</v>
      </c>
      <c r="H1071" s="735">
        <v>1.0705579727832699E-3</v>
      </c>
      <c r="I1071" s="735">
        <v>2.1389602777039602E-3</v>
      </c>
      <c r="J1071" s="735">
        <v>1.0430889696337101E-3</v>
      </c>
      <c r="L1071" s="84"/>
      <c r="M1071" s="84"/>
      <c r="N1071" s="84"/>
      <c r="O1071" s="84"/>
      <c r="P1071" s="84"/>
      <c r="Q1071" s="84"/>
      <c r="R1071" s="84"/>
      <c r="S1071" s="84"/>
    </row>
    <row r="1072" spans="1:19">
      <c r="A1072" s="629" t="s">
        <v>231</v>
      </c>
      <c r="B1072" s="248">
        <v>3.7775545260209302E-3</v>
      </c>
      <c r="C1072" s="248">
        <v>4.7063092269534496E-3</v>
      </c>
      <c r="D1072" s="248">
        <v>2.2536471700611298E-3</v>
      </c>
      <c r="E1072" s="248">
        <v>3.73548235899364E-3</v>
      </c>
      <c r="F1072" s="248">
        <v>3.30291956623737E-3</v>
      </c>
      <c r="G1072" s="248">
        <v>2.3182982864405799E-3</v>
      </c>
      <c r="H1072" s="735">
        <v>1.05725544541613E-3</v>
      </c>
      <c r="I1072" s="735">
        <v>1.92124236892328E-3</v>
      </c>
      <c r="J1072" s="735">
        <v>1.0267542963433699E-3</v>
      </c>
      <c r="L1072" s="84"/>
      <c r="M1072" s="84"/>
      <c r="N1072" s="84"/>
      <c r="O1072" s="84"/>
      <c r="P1072" s="84"/>
      <c r="Q1072" s="84"/>
      <c r="R1072" s="84"/>
      <c r="S1072" s="84"/>
    </row>
    <row r="1073" spans="1:19">
      <c r="A1073" s="629" t="s">
        <v>230</v>
      </c>
      <c r="B1073" s="248">
        <v>3.4692288801443298E-3</v>
      </c>
      <c r="C1073" s="248">
        <v>3.9825043513183802E-3</v>
      </c>
      <c r="D1073" s="248">
        <v>2.0794988515217298E-3</v>
      </c>
      <c r="E1073" s="248">
        <v>3.7659453377459498E-3</v>
      </c>
      <c r="F1073" s="248">
        <v>3.3021465688247201E-3</v>
      </c>
      <c r="G1073" s="248">
        <v>2.4157635418656201E-3</v>
      </c>
      <c r="H1073" s="735">
        <v>9.9525692564552391E-4</v>
      </c>
      <c r="I1073" s="735">
        <v>1.8174923991139901E-3</v>
      </c>
      <c r="J1073" s="735">
        <v>9.65919605235927E-4</v>
      </c>
      <c r="L1073" s="84"/>
      <c r="M1073" s="84"/>
      <c r="N1073" s="84"/>
      <c r="O1073" s="84"/>
      <c r="P1073" s="84"/>
      <c r="Q1073" s="84"/>
      <c r="R1073" s="84"/>
      <c r="S1073" s="84"/>
    </row>
    <row r="1074" spans="1:19">
      <c r="A1074" s="629" t="s">
        <v>229</v>
      </c>
      <c r="B1074" s="248">
        <v>3.1400910692521099E-3</v>
      </c>
      <c r="C1074" s="248">
        <v>3.3385986914362502E-3</v>
      </c>
      <c r="D1074" s="248">
        <v>2.0448642629251001E-3</v>
      </c>
      <c r="E1074" s="248">
        <v>3.26572549965184E-3</v>
      </c>
      <c r="F1074" s="248">
        <v>3.39219735720326E-3</v>
      </c>
      <c r="G1074" s="248">
        <v>2.23681505202939E-3</v>
      </c>
      <c r="H1074" s="735">
        <v>1.0964058295952199E-3</v>
      </c>
      <c r="I1074" s="735">
        <v>1.67103632483069E-3</v>
      </c>
      <c r="J1074" s="735">
        <v>1.0732638952822E-3</v>
      </c>
      <c r="L1074" s="84"/>
      <c r="M1074" s="84"/>
      <c r="N1074" s="84"/>
      <c r="O1074" s="84"/>
      <c r="P1074" s="84"/>
      <c r="Q1074" s="84"/>
      <c r="R1074" s="84"/>
      <c r="S1074" s="84"/>
    </row>
    <row r="1075" spans="1:19">
      <c r="A1075" s="629" t="s">
        <v>1360</v>
      </c>
      <c r="B1075" s="248">
        <v>3.34439339447096E-3</v>
      </c>
      <c r="C1075" s="248">
        <v>3.0275314219702998E-3</v>
      </c>
      <c r="D1075" s="248">
        <v>1.9480577902825601E-3</v>
      </c>
      <c r="E1075" s="248">
        <v>3.3112918162944201E-3</v>
      </c>
      <c r="F1075" s="248">
        <v>3.5214354916988399E-3</v>
      </c>
      <c r="G1075" s="248">
        <v>2.2305571802373101E-3</v>
      </c>
      <c r="H1075" s="735">
        <v>1.3807498343601701E-3</v>
      </c>
      <c r="I1075" s="735">
        <v>2.0207791219251001E-3</v>
      </c>
      <c r="J1075" s="735">
        <v>1.34621710970078E-3</v>
      </c>
      <c r="L1075" s="84"/>
      <c r="M1075" s="84"/>
      <c r="N1075" s="84"/>
      <c r="O1075" s="84"/>
      <c r="P1075" s="84"/>
      <c r="Q1075" s="84"/>
      <c r="R1075" s="84"/>
      <c r="S1075" s="84"/>
    </row>
    <row r="1076" spans="1:19">
      <c r="A1076" s="629" t="s">
        <v>1391</v>
      </c>
      <c r="B1076" s="248">
        <v>3.1316474660194101E-3</v>
      </c>
      <c r="C1076" s="248">
        <v>2.7387233069527499E-3</v>
      </c>
      <c r="D1076" s="248">
        <v>2.1092646835520301E-3</v>
      </c>
      <c r="E1076" s="248">
        <v>2.9148466398949799E-3</v>
      </c>
      <c r="F1076" s="248">
        <v>3.3530280814706298E-3</v>
      </c>
      <c r="G1076" s="248">
        <v>2.0700166485684598E-3</v>
      </c>
      <c r="H1076" s="735">
        <v>1.31675249684786E-3</v>
      </c>
      <c r="I1076" s="735">
        <v>1.8283569068413201E-3</v>
      </c>
      <c r="J1076" s="735">
        <v>1.28688133506843E-3</v>
      </c>
      <c r="L1076" s="84"/>
      <c r="M1076" s="84"/>
      <c r="N1076" s="84"/>
      <c r="O1076" s="84"/>
      <c r="P1076" s="84"/>
      <c r="Q1076" s="84"/>
      <c r="R1076" s="84"/>
      <c r="S1076" s="84"/>
    </row>
    <row r="1077" spans="1:19">
      <c r="A1077" s="629" t="s">
        <v>1392</v>
      </c>
      <c r="B1077" s="248">
        <v>2.9451652572164001E-3</v>
      </c>
      <c r="C1077" s="248">
        <v>2.7500200319662302E-3</v>
      </c>
      <c r="D1077" s="248">
        <v>2.0440082633131199E-3</v>
      </c>
      <c r="E1077" s="248">
        <v>2.6583551347790701E-3</v>
      </c>
      <c r="F1077" s="248">
        <v>3.2971383216522099E-3</v>
      </c>
      <c r="G1077" s="248">
        <v>1.9322557619681699E-3</v>
      </c>
      <c r="H1077" s="735">
        <v>1.2019936028389001E-3</v>
      </c>
      <c r="I1077" s="735">
        <v>1.68539416827427E-3</v>
      </c>
      <c r="J1077" s="735">
        <v>1.17217328205418E-3</v>
      </c>
      <c r="L1077" s="84"/>
      <c r="M1077" s="84"/>
      <c r="N1077" s="84"/>
      <c r="O1077" s="84"/>
      <c r="P1077" s="84"/>
      <c r="Q1077" s="84"/>
      <c r="R1077" s="84"/>
      <c r="S1077" s="84"/>
    </row>
    <row r="1078" spans="1:19">
      <c r="A1078" s="629" t="s">
        <v>1427</v>
      </c>
      <c r="B1078" s="248">
        <v>2.6762105690068898E-3</v>
      </c>
      <c r="C1078" s="248">
        <v>2.72152647989337E-3</v>
      </c>
      <c r="D1078" s="248">
        <v>4.6403102106355098E-3</v>
      </c>
      <c r="E1078" s="248">
        <v>2.6873984468321899E-3</v>
      </c>
      <c r="F1078" s="248">
        <v>3.3112823616271701E-3</v>
      </c>
      <c r="G1078" s="248">
        <v>1.86621000656522E-3</v>
      </c>
      <c r="H1078" s="735">
        <v>1.1127430327694499E-3</v>
      </c>
      <c r="I1078" s="735">
        <v>1.52273880443809E-3</v>
      </c>
      <c r="J1078" s="735">
        <v>1.0816337821507099E-3</v>
      </c>
      <c r="L1078" s="84"/>
      <c r="M1078" s="84"/>
      <c r="N1078" s="84"/>
      <c r="O1078" s="84"/>
      <c r="P1078" s="84"/>
      <c r="Q1078" s="84"/>
      <c r="R1078" s="84"/>
      <c r="S1078" s="84"/>
    </row>
    <row r="1079" spans="1:19">
      <c r="A1079" s="629" t="s">
        <v>1428</v>
      </c>
      <c r="B1079" s="248">
        <v>2.80355391352528E-3</v>
      </c>
      <c r="C1079" s="248">
        <v>4.1565147239145603E-3</v>
      </c>
      <c r="D1079" s="248">
        <v>0.137495740220898</v>
      </c>
      <c r="E1079" s="248">
        <v>2.90167645212601E-3</v>
      </c>
      <c r="F1079" s="248">
        <v>3.3453678069203701E-3</v>
      </c>
      <c r="G1079" s="248">
        <v>1.7881338118656399E-3</v>
      </c>
      <c r="H1079" s="735">
        <v>1.1149050385942899E-3</v>
      </c>
      <c r="I1079" s="735">
        <v>1.8490427076532001E-3</v>
      </c>
      <c r="J1079" s="735">
        <v>1.0901103932643901E-3</v>
      </c>
      <c r="L1079" s="84"/>
      <c r="M1079" s="84"/>
      <c r="N1079" s="84"/>
      <c r="O1079" s="84"/>
      <c r="P1079" s="84"/>
      <c r="Q1079" s="84"/>
      <c r="R1079" s="84"/>
      <c r="S1079" s="84"/>
    </row>
    <row r="1080" spans="1:19">
      <c r="A1080" s="629" t="s">
        <v>1429</v>
      </c>
      <c r="B1080" s="248">
        <v>3.05378304701586E-3</v>
      </c>
      <c r="C1080" s="248">
        <v>3.4756508922237899E-3</v>
      </c>
      <c r="D1080" s="248">
        <v>7.8193866463745806E-2</v>
      </c>
      <c r="E1080" s="248">
        <v>2.7008599341091502E-3</v>
      </c>
      <c r="F1080" s="248">
        <v>3.3082023856040202E-3</v>
      </c>
      <c r="G1080" s="248">
        <v>1.78784479914731E-3</v>
      </c>
      <c r="H1080" s="735">
        <v>1.0644695226394701E-3</v>
      </c>
      <c r="I1080" s="735">
        <v>1.8517465260448501E-3</v>
      </c>
      <c r="J1080" s="735">
        <v>1.03655649343243E-3</v>
      </c>
      <c r="L1080" s="84"/>
      <c r="M1080" s="84"/>
      <c r="N1080" s="84"/>
      <c r="O1080" s="84"/>
      <c r="P1080" s="84"/>
      <c r="Q1080" s="84"/>
      <c r="R1080" s="84"/>
      <c r="S1080" s="84"/>
    </row>
    <row r="1081" spans="1:19">
      <c r="A1081" s="629" t="s">
        <v>1430</v>
      </c>
      <c r="B1081" s="248">
        <v>2.78265003303548E-3</v>
      </c>
      <c r="C1081" s="248">
        <v>3.1135371872545799E-3</v>
      </c>
      <c r="D1081" s="248">
        <v>4.5198395902901901E-2</v>
      </c>
      <c r="E1081" s="248">
        <v>2.4384497377076902E-3</v>
      </c>
      <c r="F1081" s="248">
        <v>3.3345891882584498E-3</v>
      </c>
      <c r="G1081" s="248">
        <v>1.7312332034107899E-3</v>
      </c>
      <c r="H1081" s="735">
        <v>1.55730118991577E-3</v>
      </c>
      <c r="I1081" s="735">
        <v>1.8959078004132299E-3</v>
      </c>
      <c r="J1081" s="735">
        <v>1.5495984515219801E-3</v>
      </c>
      <c r="L1081" s="84"/>
      <c r="M1081" s="84"/>
      <c r="N1081" s="84"/>
      <c r="O1081" s="84"/>
      <c r="P1081" s="84"/>
      <c r="Q1081" s="84"/>
      <c r="R1081" s="84"/>
      <c r="S1081" s="84"/>
    </row>
    <row r="1082" spans="1:19">
      <c r="A1082" s="629" t="s">
        <v>1431</v>
      </c>
      <c r="B1082" s="248">
        <v>2.83075374336356E-3</v>
      </c>
      <c r="C1082" s="248">
        <v>3.5936051842452802E-3</v>
      </c>
      <c r="D1082" s="248">
        <v>2.5751844882588502E-2</v>
      </c>
      <c r="E1082" s="248">
        <v>2.3855243637521599E-3</v>
      </c>
      <c r="F1082" s="248">
        <v>3.2794194256245798E-3</v>
      </c>
      <c r="G1082" s="248">
        <v>1.73476394382055E-3</v>
      </c>
      <c r="H1082" s="735">
        <v>1.5279843588552899E-3</v>
      </c>
      <c r="I1082" s="735">
        <v>1.7605204590384099E-3</v>
      </c>
      <c r="J1082" s="735">
        <v>1.52604229705072E-3</v>
      </c>
      <c r="L1082" s="84"/>
      <c r="M1082" s="84"/>
      <c r="N1082" s="84"/>
      <c r="O1082" s="84"/>
      <c r="P1082" s="84"/>
      <c r="Q1082" s="84"/>
      <c r="R1082" s="84"/>
      <c r="S1082" s="84"/>
    </row>
    <row r="1083" spans="1:19">
      <c r="A1083" s="629" t="s">
        <v>1432</v>
      </c>
      <c r="B1083" s="248">
        <v>3.1467550513733398E-3</v>
      </c>
      <c r="C1083" s="248">
        <v>3.3890788675470301E-3</v>
      </c>
      <c r="D1083" s="248">
        <v>1.4329711400300401E-2</v>
      </c>
      <c r="E1083" s="248">
        <v>2.44767170277083E-3</v>
      </c>
      <c r="F1083" s="248">
        <v>3.42570892601822E-3</v>
      </c>
      <c r="G1083" s="248">
        <v>2.0912655748355699E-3</v>
      </c>
      <c r="H1083" s="735">
        <v>2.1598742496213002E-3</v>
      </c>
      <c r="I1083" s="735">
        <v>1.5904435304253399E-3</v>
      </c>
      <c r="J1083" s="735">
        <v>2.14979061157561E-3</v>
      </c>
      <c r="L1083" s="84"/>
      <c r="M1083" s="84"/>
      <c r="N1083" s="84"/>
      <c r="O1083" s="84"/>
      <c r="P1083" s="84"/>
      <c r="Q1083" s="84"/>
      <c r="R1083" s="84"/>
      <c r="S1083" s="84"/>
    </row>
    <row r="1084" spans="1:19">
      <c r="A1084" s="629" t="s">
        <v>1433</v>
      </c>
      <c r="B1084" s="248">
        <v>2.86863461186013E-3</v>
      </c>
      <c r="C1084" s="248">
        <v>3.6727384721893601E-3</v>
      </c>
      <c r="D1084" s="248">
        <v>8.3573309161936501E-3</v>
      </c>
      <c r="E1084" s="248">
        <v>2.2580003469962499E-3</v>
      </c>
      <c r="F1084" s="248">
        <v>3.22476695642807E-3</v>
      </c>
      <c r="G1084" s="248">
        <v>1.9475584363986801E-3</v>
      </c>
      <c r="H1084" s="735">
        <v>1.8974195250422801E-3</v>
      </c>
      <c r="I1084" s="735">
        <v>1.5205860251830601E-3</v>
      </c>
      <c r="J1084" s="735">
        <v>1.8877107693929501E-3</v>
      </c>
      <c r="L1084" s="84"/>
      <c r="M1084" s="84"/>
      <c r="N1084" s="84"/>
      <c r="O1084" s="84"/>
      <c r="P1084" s="84"/>
      <c r="Q1084" s="84"/>
      <c r="R1084" s="84"/>
      <c r="S1084" s="84"/>
    </row>
    <row r="1085" spans="1:19">
      <c r="A1085" s="629" t="s">
        <v>1434</v>
      </c>
      <c r="B1085" s="248">
        <v>2.6111670372067301E-3</v>
      </c>
      <c r="C1085" s="248">
        <v>4.9336855408480202E-3</v>
      </c>
      <c r="D1085" s="248">
        <v>5.2286308214031102E-3</v>
      </c>
      <c r="E1085" s="248">
        <v>2.2010693273841202E-3</v>
      </c>
      <c r="F1085" s="248">
        <v>3.0637321705678702E-3</v>
      </c>
      <c r="G1085" s="248">
        <v>1.8602046983732801E-3</v>
      </c>
      <c r="H1085" s="735">
        <v>1.75137377658696E-3</v>
      </c>
      <c r="I1085" s="735">
        <v>1.4054129377947899E-3</v>
      </c>
      <c r="J1085" s="735">
        <v>1.7445774704241399E-3</v>
      </c>
      <c r="L1085" s="84"/>
      <c r="M1085" s="84"/>
      <c r="N1085" s="84"/>
      <c r="O1085" s="84"/>
      <c r="P1085" s="84"/>
      <c r="Q1085" s="84"/>
      <c r="R1085" s="84"/>
      <c r="S1085" s="84"/>
    </row>
    <row r="1086" spans="1:19">
      <c r="A1086" s="629" t="s">
        <v>1450</v>
      </c>
      <c r="B1086" s="248">
        <v>3.2230818469467602E-3</v>
      </c>
      <c r="C1086" s="248">
        <v>4.15254089572156E-3</v>
      </c>
      <c r="D1086" s="248">
        <v>5.2852964220583302E-3</v>
      </c>
      <c r="E1086" s="248">
        <v>2.1471331215113299E-3</v>
      </c>
      <c r="F1086" s="248">
        <v>3.9705663892428897E-3</v>
      </c>
      <c r="G1086" s="248">
        <v>2.23153495627023E-3</v>
      </c>
      <c r="H1086" s="735">
        <v>1.9823492255639399E-3</v>
      </c>
      <c r="I1086" s="735">
        <v>1.48240391169383E-3</v>
      </c>
      <c r="J1086" s="735">
        <v>1.9889718288764401E-3</v>
      </c>
      <c r="L1086" s="84"/>
      <c r="M1086" s="84"/>
      <c r="N1086" s="84"/>
      <c r="O1086" s="84"/>
      <c r="P1086" s="84"/>
      <c r="Q1086" s="84"/>
      <c r="R1086" s="84"/>
      <c r="S1086" s="84"/>
    </row>
    <row r="1087" spans="1:19">
      <c r="A1087" s="629" t="s">
        <v>1451</v>
      </c>
      <c r="B1087" s="248">
        <v>2.9153747447880698E-3</v>
      </c>
      <c r="C1087" s="248">
        <v>3.3339446734025899E-3</v>
      </c>
      <c r="D1087" s="248">
        <v>3.8041331885585602E-3</v>
      </c>
      <c r="E1087" s="248">
        <v>2.2394133287563702E-3</v>
      </c>
      <c r="F1087" s="248">
        <v>3.7156033553764601E-3</v>
      </c>
      <c r="G1087" s="248">
        <v>2.10800085769591E-3</v>
      </c>
      <c r="H1087" s="735">
        <v>1.7586085213191201E-3</v>
      </c>
      <c r="I1087" s="735">
        <v>1.3660084343335101E-3</v>
      </c>
      <c r="J1087" s="735">
        <v>1.76312981813958E-3</v>
      </c>
      <c r="L1087" s="84"/>
      <c r="M1087" s="84"/>
      <c r="N1087" s="84"/>
      <c r="O1087" s="84"/>
      <c r="P1087" s="84"/>
      <c r="Q1087" s="84"/>
      <c r="R1087" s="84"/>
      <c r="S1087" s="84"/>
    </row>
    <row r="1088" spans="1:19">
      <c r="A1088" s="629" t="s">
        <v>1452</v>
      </c>
      <c r="B1088" s="248">
        <v>3.03973700787808E-3</v>
      </c>
      <c r="C1088" s="248">
        <v>3.3937142702235301E-3</v>
      </c>
      <c r="D1088" s="248">
        <v>5.7370849675085003E-3</v>
      </c>
      <c r="E1088" s="248">
        <v>2.7450932659334199E-3</v>
      </c>
      <c r="F1088" s="248">
        <v>3.5989868949518498E-3</v>
      </c>
      <c r="G1088" s="248">
        <v>2.0918248993022298E-3</v>
      </c>
      <c r="H1088" s="735">
        <v>2.0426186090900999E-3</v>
      </c>
      <c r="I1088" s="735">
        <v>1.8631865601773799E-3</v>
      </c>
      <c r="J1088" s="735">
        <v>2.0361565083502702E-3</v>
      </c>
      <c r="L1088" s="84"/>
      <c r="M1088" s="84"/>
      <c r="N1088" s="84"/>
      <c r="O1088" s="84"/>
      <c r="P1088" s="84"/>
      <c r="Q1088" s="84"/>
      <c r="R1088" s="84"/>
      <c r="S1088" s="84"/>
    </row>
    <row r="1089" spans="1:19">
      <c r="A1089" s="629" t="s">
        <v>1453</v>
      </c>
      <c r="B1089" s="248">
        <v>2.8601840928684698E-3</v>
      </c>
      <c r="C1089" s="248">
        <v>3.05626109973139E-3</v>
      </c>
      <c r="D1089" s="248">
        <v>4.2938610210524102E-3</v>
      </c>
      <c r="E1089" s="248">
        <v>2.6593014475484E-3</v>
      </c>
      <c r="F1089" s="248">
        <v>3.6275474487694301E-3</v>
      </c>
      <c r="G1089" s="248">
        <v>2.27955175121988E-3</v>
      </c>
      <c r="H1089" s="735">
        <v>1.7988065072383501E-3</v>
      </c>
      <c r="I1089" s="735">
        <v>1.77712253722461E-3</v>
      </c>
      <c r="J1089" s="735">
        <v>1.7918892211609299E-3</v>
      </c>
      <c r="L1089" s="84"/>
      <c r="M1089" s="84"/>
      <c r="N1089" s="84"/>
      <c r="O1089" s="84"/>
      <c r="P1089" s="84"/>
      <c r="Q1089" s="84"/>
      <c r="R1089" s="84"/>
      <c r="S1089" s="84"/>
    </row>
    <row r="1090" spans="1:19">
      <c r="A1090" s="629" t="s">
        <v>1454</v>
      </c>
      <c r="B1090" s="248">
        <v>2.60341865299202E-3</v>
      </c>
      <c r="C1090" s="248">
        <v>2.8526630833176402E-3</v>
      </c>
      <c r="D1090" s="248">
        <v>3.7986645877822901E-3</v>
      </c>
      <c r="E1090" s="248">
        <v>2.8279873829401901E-3</v>
      </c>
      <c r="F1090" s="248">
        <v>3.3963791977203901E-3</v>
      </c>
      <c r="G1090" s="248">
        <v>2.1205272591642201E-3</v>
      </c>
      <c r="H1090" s="735">
        <v>1.61066776366346E-3</v>
      </c>
      <c r="I1090" s="735">
        <v>1.61164696008459E-3</v>
      </c>
      <c r="J1090" s="735">
        <v>1.60072192259362E-3</v>
      </c>
      <c r="L1090" s="84"/>
      <c r="M1090" s="84"/>
      <c r="N1090" s="84"/>
      <c r="O1090" s="84"/>
      <c r="P1090" s="84"/>
      <c r="Q1090" s="84"/>
      <c r="R1090" s="84"/>
      <c r="S1090" s="84"/>
    </row>
    <row r="1091" spans="1:19">
      <c r="A1091" s="629" t="s">
        <v>1455</v>
      </c>
      <c r="B1091" s="248">
        <v>3.57863362986975E-3</v>
      </c>
      <c r="C1091" s="248">
        <v>4.6482756465139503E-3</v>
      </c>
      <c r="D1091" s="248">
        <v>6.7286303121739796E-3</v>
      </c>
      <c r="E1091" s="248">
        <v>6.30006093830508E-3</v>
      </c>
      <c r="F1091" s="248">
        <v>4.3996013362087097E-3</v>
      </c>
      <c r="G1091" s="248">
        <v>3.2909359370833801E-3</v>
      </c>
      <c r="H1091" s="735">
        <v>1.4439741536091701E-3</v>
      </c>
      <c r="I1091" s="735">
        <v>2.02067704770104E-3</v>
      </c>
      <c r="J1091" s="735">
        <v>1.43263013859317E-3</v>
      </c>
      <c r="L1091" s="84"/>
      <c r="M1091" s="84"/>
      <c r="N1091" s="84"/>
      <c r="O1091" s="84"/>
      <c r="P1091" s="84"/>
      <c r="Q1091" s="84"/>
      <c r="R1091" s="84"/>
      <c r="S1091" s="84"/>
    </row>
    <row r="1092" spans="1:19">
      <c r="A1092" s="629" t="s">
        <v>1456</v>
      </c>
      <c r="B1092" s="248">
        <v>3.30379804555553E-3</v>
      </c>
      <c r="C1092" s="248">
        <v>3.8066321322096199E-3</v>
      </c>
      <c r="D1092" s="248">
        <v>4.7421065620785203E-3</v>
      </c>
      <c r="E1092" s="248">
        <v>5.2606760293719204E-3</v>
      </c>
      <c r="F1092" s="248">
        <v>4.2007792578060499E-3</v>
      </c>
      <c r="G1092" s="248">
        <v>3.0772586933446198E-3</v>
      </c>
      <c r="H1092" s="735">
        <v>1.4307618161561199E-3</v>
      </c>
      <c r="I1092" s="735">
        <v>1.8362650515571901E-3</v>
      </c>
      <c r="J1092" s="735">
        <v>1.4118515931054901E-3</v>
      </c>
      <c r="L1092" s="84"/>
      <c r="M1092" s="84"/>
      <c r="N1092" s="84"/>
      <c r="O1092" s="84"/>
      <c r="P1092" s="84"/>
      <c r="Q1092" s="84"/>
      <c r="R1092" s="84"/>
      <c r="S1092" s="84"/>
    </row>
    <row r="1093" spans="1:19">
      <c r="A1093" s="629" t="s">
        <v>1457</v>
      </c>
      <c r="B1093" s="248">
        <v>3.64544475763405E-3</v>
      </c>
      <c r="C1093" s="248">
        <v>5.4969294916736499E-3</v>
      </c>
      <c r="D1093" s="248">
        <v>5.1370395119400497E-3</v>
      </c>
      <c r="E1093" s="248">
        <v>5.4354729803452904E-3</v>
      </c>
      <c r="F1093" s="248">
        <v>4.2623784396159103E-3</v>
      </c>
      <c r="G1093" s="248">
        <v>3.3219155706338799E-3</v>
      </c>
      <c r="H1093" s="735">
        <v>1.2966646080115E-3</v>
      </c>
      <c r="I1093" s="735">
        <v>2.0529488262003202E-3</v>
      </c>
      <c r="J1093" s="735">
        <v>1.2775881189035E-3</v>
      </c>
      <c r="L1093" s="84"/>
      <c r="M1093" s="84"/>
      <c r="N1093" s="84"/>
      <c r="O1093" s="84"/>
      <c r="P1093" s="84"/>
      <c r="Q1093" s="84"/>
      <c r="R1093" s="84"/>
      <c r="S1093" s="84"/>
    </row>
    <row r="1094" spans="1:19">
      <c r="A1094" s="629" t="s">
        <v>1458</v>
      </c>
      <c r="B1094" s="248">
        <v>3.27901628642108E-3</v>
      </c>
      <c r="C1094" s="248">
        <v>3.8737691911110701E-3</v>
      </c>
      <c r="D1094" s="248">
        <v>3.5412841554443202E-3</v>
      </c>
      <c r="E1094" s="248">
        <v>4.5809226823560704E-3</v>
      </c>
      <c r="F1094" s="248">
        <v>3.9520375700365998E-3</v>
      </c>
      <c r="G1094" s="248">
        <v>3.0599748946721198E-3</v>
      </c>
      <c r="H1094" s="735">
        <v>1.18736989787141E-3</v>
      </c>
      <c r="I1094" s="735">
        <v>1.84368836052468E-3</v>
      </c>
      <c r="J1094" s="735">
        <v>1.1682358212636199E-3</v>
      </c>
      <c r="L1094" s="84"/>
      <c r="M1094" s="84"/>
      <c r="N1094" s="84"/>
      <c r="O1094" s="84"/>
      <c r="P1094" s="84"/>
      <c r="Q1094" s="84"/>
      <c r="R1094" s="84"/>
      <c r="S1094" s="84"/>
    </row>
    <row r="1095" spans="1:19">
      <c r="A1095" s="629" t="s">
        <v>1459</v>
      </c>
      <c r="B1095" s="248">
        <v>2.9739442476324398E-3</v>
      </c>
      <c r="C1095" s="248">
        <v>3.17273051844171E-3</v>
      </c>
      <c r="D1095" s="248">
        <v>3.08520795584121E-3</v>
      </c>
      <c r="E1095" s="248">
        <v>3.9687803201782597E-3</v>
      </c>
      <c r="F1095" s="248">
        <v>3.7233101521418699E-3</v>
      </c>
      <c r="G1095" s="248">
        <v>2.8465233439657501E-3</v>
      </c>
      <c r="H1095" s="735">
        <v>1.1656345064633099E-3</v>
      </c>
      <c r="I1095" s="735">
        <v>1.6615426095589901E-3</v>
      </c>
      <c r="J1095" s="735">
        <v>1.15085335937129E-3</v>
      </c>
      <c r="L1095" s="84"/>
      <c r="M1095" s="84"/>
      <c r="N1095" s="84"/>
      <c r="O1095" s="84"/>
      <c r="P1095" s="84"/>
      <c r="Q1095" s="84"/>
      <c r="R1095" s="84"/>
      <c r="S1095" s="84"/>
    </row>
    <row r="1096" spans="1:19">
      <c r="A1096" s="629" t="s">
        <v>2198</v>
      </c>
      <c r="B1096" s="248">
        <v>2.9226251241058899E-3</v>
      </c>
      <c r="C1096" s="248">
        <v>2.7873494049696899E-3</v>
      </c>
      <c r="D1096" s="248">
        <v>3.7548030356967799E-3</v>
      </c>
      <c r="E1096" s="248">
        <v>3.56125185598877E-3</v>
      </c>
      <c r="F1096" s="248">
        <v>3.5462830761486801E-3</v>
      </c>
      <c r="G1096" s="248">
        <v>2.6709052071683401E-3</v>
      </c>
      <c r="H1096" s="735">
        <v>1.20659142103439E-3</v>
      </c>
      <c r="I1096" s="735">
        <v>1.8868844963094401E-3</v>
      </c>
      <c r="J1096" s="735">
        <v>1.1827076419816901E-3</v>
      </c>
      <c r="L1096" s="84"/>
      <c r="M1096" s="84"/>
      <c r="N1096" s="84"/>
      <c r="O1096" s="84"/>
      <c r="P1096" s="84"/>
      <c r="Q1096" s="84"/>
      <c r="R1096" s="84"/>
      <c r="S1096" s="84"/>
    </row>
    <row r="1097" spans="1:19">
      <c r="A1097" s="629" t="s">
        <v>2209</v>
      </c>
      <c r="B1097" s="248">
        <v>2.7743652994087899E-3</v>
      </c>
      <c r="C1097" s="248">
        <v>2.8203041129933998E-3</v>
      </c>
      <c r="D1097" s="248">
        <v>2.8294342428428799E-3</v>
      </c>
      <c r="E1097" s="248">
        <v>3.2656282985740501E-3</v>
      </c>
      <c r="F1097" s="248">
        <v>3.54088348977464E-3</v>
      </c>
      <c r="G1097" s="248">
        <v>2.4633506202366802E-3</v>
      </c>
      <c r="H1097" s="735">
        <v>1.1349421320339501E-3</v>
      </c>
      <c r="I1097" s="735">
        <v>1.89703187008513E-3</v>
      </c>
      <c r="J1097" s="735">
        <v>1.1079316780797999E-3</v>
      </c>
      <c r="L1097" s="84"/>
      <c r="M1097" s="84"/>
      <c r="N1097" s="84"/>
      <c r="O1097" s="84"/>
      <c r="P1097" s="84"/>
      <c r="Q1097" s="84"/>
      <c r="R1097" s="84"/>
      <c r="S1097" s="84"/>
    </row>
    <row r="1098" spans="1:19">
      <c r="A1098" s="629" t="s">
        <v>2220</v>
      </c>
      <c r="B1098" s="248">
        <v>2.5651241393586199E-3</v>
      </c>
      <c r="C1098" s="248">
        <v>3.2656467512073599E-3</v>
      </c>
      <c r="D1098" s="248">
        <v>2.35591757777056E-3</v>
      </c>
      <c r="E1098" s="248">
        <v>2.8971523118499899E-3</v>
      </c>
      <c r="F1098" s="248">
        <v>3.3198121062508099E-3</v>
      </c>
      <c r="G1098" s="248">
        <v>2.2763136303031498E-3</v>
      </c>
      <c r="H1098" s="735">
        <v>1.0733200952282901E-3</v>
      </c>
      <c r="I1098" s="735">
        <v>1.7114642740697901E-3</v>
      </c>
      <c r="J1098" s="735">
        <v>1.0446278151808801E-3</v>
      </c>
      <c r="L1098" s="84"/>
      <c r="M1098" s="84"/>
      <c r="N1098" s="84"/>
      <c r="O1098" s="84"/>
      <c r="P1098" s="84"/>
      <c r="Q1098" s="84"/>
      <c r="R1098" s="84"/>
      <c r="S1098" s="84"/>
    </row>
    <row r="1099" spans="1:19">
      <c r="A1099" s="629" t="s">
        <v>2221</v>
      </c>
      <c r="B1099" s="248">
        <v>2.4170059537219498E-3</v>
      </c>
      <c r="C1099" s="248">
        <v>3.0983126372291199E-3</v>
      </c>
      <c r="D1099" s="248">
        <v>3.90283558335724E-3</v>
      </c>
      <c r="E1099" s="248">
        <v>2.6054210702087899E-3</v>
      </c>
      <c r="F1099" s="248">
        <v>3.13037371468282E-3</v>
      </c>
      <c r="G1099" s="248">
        <v>2.11667282366687E-3</v>
      </c>
      <c r="H1099" s="735">
        <v>1.1538254083009499E-3</v>
      </c>
      <c r="I1099" s="735">
        <v>1.7787591812482601E-3</v>
      </c>
      <c r="J1099" s="735">
        <v>1.1198677980419299E-3</v>
      </c>
      <c r="L1099" s="84"/>
      <c r="M1099" s="84"/>
      <c r="N1099" s="84"/>
      <c r="O1099" s="84"/>
      <c r="P1099" s="84"/>
      <c r="Q1099" s="84"/>
      <c r="R1099" s="84"/>
      <c r="S1099" s="84"/>
    </row>
    <row r="1100" spans="1:19">
      <c r="A1100" s="629" t="s">
        <v>2258</v>
      </c>
      <c r="B1100" s="248">
        <v>2.2215545428895199E-3</v>
      </c>
      <c r="C1100" s="248">
        <v>2.7513905588378899E-3</v>
      </c>
      <c r="D1100" s="248">
        <v>2.93932390190077E-3</v>
      </c>
      <c r="E1100" s="248">
        <v>2.41592037739363E-3</v>
      </c>
      <c r="F1100" s="248">
        <v>2.9878403992293101E-3</v>
      </c>
      <c r="G1100" s="248">
        <v>2.0387128488271798E-3</v>
      </c>
      <c r="H1100" s="735">
        <v>1.06918051627238E-3</v>
      </c>
      <c r="I1100" s="735">
        <v>1.66409421481963E-3</v>
      </c>
      <c r="J1100" s="735">
        <v>1.03669079524282E-3</v>
      </c>
      <c r="L1100" s="84"/>
      <c r="M1100" s="84"/>
      <c r="N1100" s="84"/>
      <c r="O1100" s="84"/>
      <c r="P1100" s="84"/>
      <c r="Q1100" s="84"/>
      <c r="R1100" s="84"/>
      <c r="S1100" s="84"/>
    </row>
    <row r="1101" spans="1:19">
      <c r="A1101" s="629" t="s">
        <v>2261</v>
      </c>
      <c r="B1101" s="248">
        <v>2.0887121511981902E-3</v>
      </c>
      <c r="C1101" s="248">
        <v>2.63977551435329E-3</v>
      </c>
      <c r="D1101" s="248">
        <v>2.56980658684828E-3</v>
      </c>
      <c r="E1101" s="248">
        <v>2.2166438337788302E-3</v>
      </c>
      <c r="F1101" s="248">
        <v>2.8382828287574898E-3</v>
      </c>
      <c r="G1101" s="248">
        <v>1.9072673746577001E-3</v>
      </c>
      <c r="H1101" s="735">
        <v>9.9998600298171992E-4</v>
      </c>
      <c r="I1101" s="735">
        <v>1.5045077502807301E-3</v>
      </c>
      <c r="J1101" s="735">
        <v>9.6694034962685005E-4</v>
      </c>
      <c r="L1101" s="84"/>
      <c r="M1101" s="84"/>
      <c r="N1101" s="84"/>
      <c r="O1101" s="84"/>
      <c r="P1101" s="84"/>
      <c r="Q1101" s="84"/>
      <c r="R1101" s="84"/>
      <c r="S1101" s="84"/>
    </row>
    <row r="1102" spans="1:19">
      <c r="A1102" s="629" t="s">
        <v>2262</v>
      </c>
      <c r="B1102" s="248">
        <v>2.0122020228402798E-3</v>
      </c>
      <c r="C1102" s="248">
        <v>2.77082900237869E-3</v>
      </c>
      <c r="D1102" s="248">
        <v>3.9112919616064497E-3</v>
      </c>
      <c r="E1102" s="248">
        <v>2.1053403455858701E-3</v>
      </c>
      <c r="F1102" s="248">
        <v>2.7392249932222598E-3</v>
      </c>
      <c r="G1102" s="248">
        <v>1.85837499249983E-3</v>
      </c>
      <c r="H1102" s="735">
        <v>9.4969844265465199E-4</v>
      </c>
      <c r="I1102" s="735">
        <v>1.5080795708665099E-3</v>
      </c>
      <c r="J1102" s="735">
        <v>9.1600704467078198E-4</v>
      </c>
      <c r="L1102" s="84"/>
      <c r="M1102" s="84"/>
      <c r="N1102" s="84"/>
      <c r="O1102" s="84"/>
      <c r="P1102" s="84"/>
      <c r="Q1102" s="84"/>
      <c r="R1102" s="84"/>
      <c r="S1102" s="84"/>
    </row>
    <row r="1103" spans="1:19">
      <c r="A1103" s="629" t="s">
        <v>2263</v>
      </c>
      <c r="B1103" s="248">
        <v>1.8852796086628099E-3</v>
      </c>
      <c r="C1103" s="248">
        <v>3.26755788270094E-3</v>
      </c>
      <c r="D1103" s="248">
        <v>3.2686274218432102E-3</v>
      </c>
      <c r="E1103" s="248">
        <v>2.0554122453853001E-3</v>
      </c>
      <c r="F1103" s="248">
        <v>2.6603904155307599E-3</v>
      </c>
      <c r="G1103" s="248">
        <v>1.74638943858697E-3</v>
      </c>
      <c r="H1103" s="735">
        <v>8.9883666606156601E-4</v>
      </c>
      <c r="I1103" s="735">
        <v>1.48225507114786E-3</v>
      </c>
      <c r="J1103" s="735">
        <v>8.6510386971028099E-4</v>
      </c>
      <c r="L1103" s="84"/>
      <c r="M1103" s="84"/>
      <c r="N1103" s="84"/>
      <c r="O1103" s="84"/>
      <c r="P1103" s="84"/>
      <c r="Q1103" s="84"/>
      <c r="R1103" s="84"/>
      <c r="S1103" s="84"/>
    </row>
    <row r="1104" spans="1:19">
      <c r="A1104" s="629" t="s">
        <v>2286</v>
      </c>
      <c r="B1104" s="248">
        <v>1.9240725718666599E-3</v>
      </c>
      <c r="C1104" s="248">
        <v>3.4178555842010998E-3</v>
      </c>
      <c r="D1104" s="248">
        <v>2.8720526851115299E-3</v>
      </c>
      <c r="E1104" s="248">
        <v>2.3189515364632702E-3</v>
      </c>
      <c r="F1104" s="248">
        <v>2.6292143644586902E-3</v>
      </c>
      <c r="G1104" s="248">
        <v>1.76218332288399E-3</v>
      </c>
      <c r="H1104" s="735">
        <v>8.8879689439439E-4</v>
      </c>
      <c r="I1104" s="735">
        <v>1.38350563122071E-3</v>
      </c>
      <c r="J1104" s="735">
        <v>8.5306217101848098E-4</v>
      </c>
      <c r="L1104" s="84"/>
      <c r="M1104" s="84"/>
      <c r="N1104" s="84"/>
      <c r="O1104" s="84"/>
      <c r="P1104" s="84"/>
      <c r="Q1104" s="84"/>
      <c r="R1104" s="84"/>
      <c r="S1104" s="84"/>
    </row>
    <row r="1105" spans="1:19">
      <c r="A1105" s="629" t="s">
        <v>2292</v>
      </c>
      <c r="B1105" s="248">
        <v>1.81552906962112E-3</v>
      </c>
      <c r="C1105" s="248">
        <v>3.0236755169621098E-3</v>
      </c>
      <c r="D1105" s="248">
        <v>2.6072655951958298E-3</v>
      </c>
      <c r="E1105" s="248">
        <v>2.3772329248009801E-3</v>
      </c>
      <c r="F1105" s="248">
        <v>2.5880076788196401E-3</v>
      </c>
      <c r="G1105" s="248">
        <v>1.88219077166236E-3</v>
      </c>
      <c r="H1105" s="735">
        <v>8.4904731503286505E-4</v>
      </c>
      <c r="I1105" s="735">
        <v>1.3377543123951701E-3</v>
      </c>
      <c r="J1105" s="735">
        <v>8.1387710292975702E-4</v>
      </c>
      <c r="L1105" s="84"/>
      <c r="M1105" s="84"/>
      <c r="N1105" s="84"/>
      <c r="O1105" s="84"/>
      <c r="P1105" s="84"/>
      <c r="Q1105" s="84"/>
      <c r="R1105" s="84"/>
      <c r="S1105" s="84"/>
    </row>
    <row r="1106" spans="1:19">
      <c r="A1106" s="629" t="s">
        <v>2293</v>
      </c>
      <c r="B1106" s="248">
        <v>2.0004194536931302E-3</v>
      </c>
      <c r="C1106" s="248">
        <v>3.0108520354431901E-3</v>
      </c>
      <c r="D1106" s="248">
        <v>3.1441150713155401E-3</v>
      </c>
      <c r="E1106" s="248">
        <v>2.3156190633424199E-3</v>
      </c>
      <c r="F1106" s="248">
        <v>2.5664138454657001E-3</v>
      </c>
      <c r="G1106" s="248">
        <v>1.79600694115175E-3</v>
      </c>
      <c r="H1106" s="735">
        <v>8.4976221397658905E-4</v>
      </c>
      <c r="I1106" s="735">
        <v>1.3335718915909601E-3</v>
      </c>
      <c r="J1106" s="735">
        <v>8.1188101960708199E-4</v>
      </c>
      <c r="L1106" s="84"/>
      <c r="M1106" s="84"/>
      <c r="N1106" s="84"/>
      <c r="O1106" s="84"/>
      <c r="P1106" s="84"/>
      <c r="Q1106" s="84"/>
      <c r="R1106" s="84"/>
      <c r="S1106" s="84"/>
    </row>
    <row r="1107" spans="1:19">
      <c r="A1107" s="629" t="s">
        <v>2294</v>
      </c>
      <c r="B1107" s="248">
        <v>1.9806505808966099E-3</v>
      </c>
      <c r="C1107" s="248">
        <v>3.17541654618599E-3</v>
      </c>
      <c r="D1107" s="248">
        <v>2.8695451035225701E-3</v>
      </c>
      <c r="E1107" s="248">
        <v>2.2498927145629898E-3</v>
      </c>
      <c r="F1107" s="248">
        <v>2.5637176412937998E-3</v>
      </c>
      <c r="G1107" s="248">
        <v>1.9503838174114E-3</v>
      </c>
      <c r="H1107" s="735">
        <v>8.6117270151989697E-4</v>
      </c>
      <c r="I1107" s="735">
        <v>1.3382301798936999E-3</v>
      </c>
      <c r="J1107" s="735">
        <v>8.2218506383536095E-4</v>
      </c>
      <c r="L1107" s="84"/>
      <c r="M1107" s="84"/>
      <c r="N1107" s="84"/>
      <c r="O1107" s="84"/>
      <c r="P1107" s="84"/>
      <c r="Q1107" s="84"/>
      <c r="R1107" s="84"/>
      <c r="S1107" s="84"/>
    </row>
    <row r="1108" spans="1:19">
      <c r="A1108" s="629" t="s">
        <v>2295</v>
      </c>
      <c r="B1108" s="248">
        <v>2.17874000838358E-3</v>
      </c>
      <c r="C1108" s="248">
        <v>2.7868170532749999E-3</v>
      </c>
      <c r="D1108" s="248">
        <v>2.8996485113961402E-3</v>
      </c>
      <c r="E1108" s="248">
        <v>2.2387857039969602E-3</v>
      </c>
      <c r="F1108" s="248">
        <v>2.5122824526913499E-3</v>
      </c>
      <c r="G1108" s="248">
        <v>1.95130015045416E-3</v>
      </c>
      <c r="H1108" s="735">
        <v>9.1385065078015005E-4</v>
      </c>
      <c r="I1108" s="735">
        <v>1.2730755808384401E-3</v>
      </c>
      <c r="J1108" s="735">
        <v>8.7302113622624001E-4</v>
      </c>
      <c r="L1108" s="84"/>
      <c r="M1108" s="84"/>
      <c r="N1108" s="84"/>
      <c r="O1108" s="84"/>
      <c r="P1108" s="84"/>
      <c r="Q1108" s="84"/>
      <c r="R1108" s="84"/>
      <c r="S1108" s="84"/>
    </row>
    <row r="1109" spans="1:19">
      <c r="A1109" s="629" t="s">
        <v>2319</v>
      </c>
      <c r="B1109" s="248">
        <v>2.6148848112666E-3</v>
      </c>
      <c r="C1109" s="248">
        <v>4.8298542303832001E-3</v>
      </c>
      <c r="D1109" s="248">
        <v>4.1528983500197904E-3</v>
      </c>
      <c r="E1109" s="248">
        <v>4.5808933104723804E-3</v>
      </c>
      <c r="F1109" s="248">
        <v>3.0132501627731798E-3</v>
      </c>
      <c r="G1109" s="248">
        <v>2.4749327845514099E-3</v>
      </c>
      <c r="H1109" s="735">
        <v>8.7437383604258305E-4</v>
      </c>
      <c r="I1109" s="735">
        <v>1.6373523345223301E-3</v>
      </c>
      <c r="J1109" s="735">
        <v>8.3399194102702298E-4</v>
      </c>
      <c r="L1109" s="84"/>
      <c r="M1109" s="84"/>
      <c r="N1109" s="84"/>
      <c r="O1109" s="84"/>
      <c r="P1109" s="84"/>
      <c r="Q1109" s="84"/>
      <c r="R1109" s="84"/>
      <c r="S1109" s="84"/>
    </row>
    <row r="1110" spans="1:19">
      <c r="A1110" s="629" t="s">
        <v>2320</v>
      </c>
      <c r="B1110" s="248">
        <v>2.5830480037672401E-3</v>
      </c>
      <c r="C1110" s="248">
        <v>3.9231670893792496E-3</v>
      </c>
      <c r="D1110" s="248">
        <v>3.7053965599156101E-3</v>
      </c>
      <c r="E1110" s="248">
        <v>4.1030792629042001E-3</v>
      </c>
      <c r="F1110" s="248">
        <v>3.0240728421258001E-3</v>
      </c>
      <c r="G1110" s="248">
        <v>3.6487739383535898E-3</v>
      </c>
      <c r="H1110" s="735">
        <v>1.1925808965178399E-3</v>
      </c>
      <c r="I1110" s="735">
        <v>1.6229252922088E-3</v>
      </c>
      <c r="J1110" s="735">
        <v>1.1558273941438999E-3</v>
      </c>
      <c r="L1110" s="84"/>
      <c r="M1110" s="84"/>
      <c r="N1110" s="84"/>
      <c r="O1110" s="84"/>
      <c r="P1110" s="84"/>
      <c r="Q1110" s="84"/>
      <c r="R1110" s="84"/>
      <c r="S1110" s="84"/>
    </row>
    <row r="1111" spans="1:19">
      <c r="A1111" s="629" t="s">
        <v>2321</v>
      </c>
      <c r="B1111" s="248">
        <v>2.4648479353034099E-3</v>
      </c>
      <c r="C1111" s="248">
        <v>3.2526540828988499E-3</v>
      </c>
      <c r="D1111" s="248">
        <v>4.0374678766327997E-3</v>
      </c>
      <c r="E1111" s="248">
        <v>4.7415630185655396E-3</v>
      </c>
      <c r="F1111" s="248">
        <v>3.80454409043354E-3</v>
      </c>
      <c r="G1111" s="248">
        <v>3.35823934986282E-3</v>
      </c>
      <c r="H1111" s="735">
        <v>1.33676716646397E-3</v>
      </c>
      <c r="I1111" s="735">
        <v>1.67727484249099E-3</v>
      </c>
      <c r="J1111" s="735">
        <v>1.3079428285799801E-3</v>
      </c>
      <c r="L1111" s="84"/>
      <c r="M1111" s="84"/>
      <c r="N1111" s="84"/>
      <c r="O1111" s="84"/>
      <c r="P1111" s="84"/>
      <c r="Q1111" s="84"/>
      <c r="R1111" s="84"/>
      <c r="S1111" s="84"/>
    </row>
    <row r="1112" spans="1:19">
      <c r="A1112" s="629" t="s">
        <v>2325</v>
      </c>
      <c r="B1112" s="248">
        <v>2.4161938606519998E-3</v>
      </c>
      <c r="C1112" s="248">
        <v>3.36189530630096E-3</v>
      </c>
      <c r="D1112" s="248">
        <v>3.2385400115385599E-3</v>
      </c>
      <c r="E1112" s="248">
        <v>5.1734269581830703E-3</v>
      </c>
      <c r="F1112" s="248">
        <v>3.5929383759769101E-3</v>
      </c>
      <c r="G1112" s="248">
        <v>3.5319486540487202E-3</v>
      </c>
      <c r="H1112" s="735">
        <v>1.34946410555926E-3</v>
      </c>
      <c r="I1112" s="735">
        <v>1.62378623635976E-3</v>
      </c>
      <c r="J1112" s="735">
        <v>1.32563404509638E-3</v>
      </c>
      <c r="L1112" s="84"/>
      <c r="M1112" s="84"/>
      <c r="N1112" s="84"/>
      <c r="O1112" s="84"/>
      <c r="P1112" s="84"/>
      <c r="Q1112" s="84"/>
      <c r="R1112" s="84"/>
      <c r="S1112" s="84"/>
    </row>
    <row r="1113" spans="1:19">
      <c r="A1113" s="629" t="s">
        <v>2326</v>
      </c>
      <c r="B1113" s="248">
        <v>2.2775904590039702E-3</v>
      </c>
      <c r="C1113" s="248">
        <v>2.9540433316729898E-3</v>
      </c>
      <c r="D1113" s="248">
        <v>2.7386051914723101E-3</v>
      </c>
      <c r="E1113" s="248">
        <v>4.8383838282052699E-3</v>
      </c>
      <c r="F1113" s="248">
        <v>3.5044449734579E-3</v>
      </c>
      <c r="G1113" s="248">
        <v>3.2410033687767098E-3</v>
      </c>
      <c r="H1113" s="735">
        <v>1.22817144402912E-3</v>
      </c>
      <c r="I1113" s="735">
        <v>1.49338663030302E-3</v>
      </c>
      <c r="J1113" s="735">
        <v>1.2041023887125999E-3</v>
      </c>
      <c r="L1113" s="84"/>
      <c r="M1113" s="84"/>
      <c r="N1113" s="84"/>
      <c r="O1113" s="84"/>
      <c r="P1113" s="84"/>
      <c r="Q1113" s="84"/>
      <c r="R1113" s="84"/>
      <c r="S1113" s="84"/>
    </row>
    <row r="1114" spans="1:19">
      <c r="A1114" s="629" t="s">
        <v>2771</v>
      </c>
      <c r="B1114" s="248">
        <v>2.1639035679252199E-3</v>
      </c>
      <c r="C1114" s="248">
        <v>3.6127363831194902E-3</v>
      </c>
      <c r="D1114" s="248">
        <v>2.6600552927394899E-3</v>
      </c>
      <c r="E1114" s="248">
        <v>4.2537892919561797E-3</v>
      </c>
      <c r="F1114" s="248">
        <v>3.6706083531453E-3</v>
      </c>
      <c r="G1114" s="248">
        <v>3.0047703458032102E-3</v>
      </c>
      <c r="H1114" s="735">
        <v>1.16896337964566E-3</v>
      </c>
      <c r="I1114" s="735">
        <v>1.3872618599447401E-3</v>
      </c>
      <c r="J1114" s="735">
        <v>1.1428647863021299E-3</v>
      </c>
      <c r="L1114" s="84"/>
      <c r="M1114" s="84"/>
      <c r="N1114" s="84"/>
      <c r="O1114" s="84"/>
      <c r="P1114" s="84"/>
      <c r="Q1114" s="84"/>
      <c r="R1114" s="84"/>
      <c r="S1114" s="84"/>
    </row>
    <row r="1115" spans="1:19">
      <c r="A1115" s="629" t="s">
        <v>2772</v>
      </c>
      <c r="B1115" s="248">
        <v>2.00459833167525E-3</v>
      </c>
      <c r="C1115" s="248">
        <v>2.9554486726248602E-3</v>
      </c>
      <c r="D1115" s="248">
        <v>2.6579462791460201E-3</v>
      </c>
      <c r="E1115" s="248">
        <v>4.0692070717688296E-3</v>
      </c>
      <c r="F1115" s="248">
        <v>3.45973001285906E-3</v>
      </c>
      <c r="G1115" s="248">
        <v>2.7648890809452899E-3</v>
      </c>
      <c r="H1115" s="735">
        <v>1.07882494064576E-3</v>
      </c>
      <c r="I1115" s="735">
        <v>1.3131164878677601E-3</v>
      </c>
      <c r="J1115" s="735">
        <v>1.05213933556309E-3</v>
      </c>
      <c r="L1115" s="84"/>
      <c r="M1115" s="84"/>
      <c r="N1115" s="84"/>
      <c r="O1115" s="84"/>
      <c r="P1115" s="84"/>
      <c r="Q1115" s="84"/>
      <c r="R1115" s="84"/>
      <c r="S1115" s="84"/>
    </row>
    <row r="1116" spans="1:19">
      <c r="A1116" s="629" t="s">
        <v>2773</v>
      </c>
      <c r="B1116" s="248">
        <v>1.8816174806954699E-3</v>
      </c>
      <c r="C1116" s="248">
        <v>2.8267676762295099E-3</v>
      </c>
      <c r="D1116" s="248">
        <v>2.2565932415963201E-3</v>
      </c>
      <c r="E1116" s="248">
        <v>3.5535962474088599E-3</v>
      </c>
      <c r="F1116" s="248">
        <v>3.27070627109901E-3</v>
      </c>
      <c r="G1116" s="248">
        <v>2.5530930430096598E-3</v>
      </c>
      <c r="H1116" s="735">
        <v>1.13334138776586E-3</v>
      </c>
      <c r="I1116" s="735">
        <v>1.21643826042342E-3</v>
      </c>
      <c r="J1116" s="735">
        <v>1.1046151893613001E-3</v>
      </c>
      <c r="L1116" s="84"/>
      <c r="M1116" s="84"/>
      <c r="N1116" s="84"/>
      <c r="O1116" s="84"/>
      <c r="P1116" s="84"/>
      <c r="Q1116" s="84"/>
      <c r="R1116" s="84"/>
      <c r="S1116" s="84"/>
    </row>
    <row r="1117" spans="1:19">
      <c r="A1117" s="629" t="s">
        <v>2774</v>
      </c>
      <c r="B1117" s="248">
        <v>1.7611169448869301E-3</v>
      </c>
      <c r="C1117" s="248">
        <v>2.75457977539755E-3</v>
      </c>
      <c r="D1117" s="248">
        <v>2.3483434955093902E-3</v>
      </c>
      <c r="E1117" s="248">
        <v>3.1147615747767901E-3</v>
      </c>
      <c r="F1117" s="248">
        <v>3.0941465466852499E-3</v>
      </c>
      <c r="G1117" s="248">
        <v>2.4812896277458698E-3</v>
      </c>
      <c r="H1117" s="735">
        <v>1.1420448933214E-3</v>
      </c>
      <c r="I1117" s="735">
        <v>1.11758489298123E-3</v>
      </c>
      <c r="J1117" s="735">
        <v>1.11197580659381E-3</v>
      </c>
      <c r="L1117" s="84"/>
      <c r="M1117" s="84"/>
      <c r="N1117" s="84"/>
      <c r="O1117" s="84"/>
      <c r="P1117" s="84"/>
      <c r="Q1117" s="84"/>
      <c r="R1117" s="84"/>
      <c r="S1117" s="84"/>
    </row>
    <row r="1118" spans="1:19">
      <c r="A1118" s="629" t="s">
        <v>2775</v>
      </c>
      <c r="B1118" s="248">
        <v>1.6716876061984201E-3</v>
      </c>
      <c r="C1118" s="248">
        <v>2.6336720548907999E-3</v>
      </c>
      <c r="D1118" s="248">
        <v>4.4845232463326702E-3</v>
      </c>
      <c r="E1118" s="248">
        <v>2.8237745083091702E-3</v>
      </c>
      <c r="F1118" s="248">
        <v>3.02887589603859E-3</v>
      </c>
      <c r="G1118" s="248">
        <v>2.3022350858645799E-3</v>
      </c>
      <c r="H1118" s="735">
        <v>1.0566943058912799E-3</v>
      </c>
      <c r="I1118" s="735">
        <v>1.0412595316205699E-3</v>
      </c>
      <c r="J1118" s="735">
        <v>1.02670996382538E-3</v>
      </c>
      <c r="L1118" s="84"/>
      <c r="M1118" s="84"/>
      <c r="N1118" s="84"/>
      <c r="O1118" s="84"/>
      <c r="P1118" s="84"/>
      <c r="Q1118" s="84"/>
      <c r="R1118" s="84"/>
      <c r="S1118" s="84"/>
    </row>
    <row r="1119" spans="1:19">
      <c r="A1119" s="629" t="s">
        <v>2776</v>
      </c>
      <c r="B1119" s="248">
        <v>1.60484677584827E-3</v>
      </c>
      <c r="C1119" s="248">
        <v>2.7678634651306798E-3</v>
      </c>
      <c r="D1119" s="248">
        <v>3.3229429896892999E-3</v>
      </c>
      <c r="E1119" s="248">
        <v>2.6472223692716101E-3</v>
      </c>
      <c r="F1119" s="248">
        <v>3.1053448518933899E-3</v>
      </c>
      <c r="G1119" s="248">
        <v>2.16321761265753E-3</v>
      </c>
      <c r="H1119" s="735">
        <v>1.7135333711578099E-3</v>
      </c>
      <c r="I1119" s="735">
        <v>9.8281958612573606E-4</v>
      </c>
      <c r="J1119" s="735">
        <v>1.6593655294741101E-3</v>
      </c>
      <c r="L1119" s="84"/>
      <c r="M1119" s="84"/>
      <c r="N1119" s="84"/>
      <c r="O1119" s="84"/>
      <c r="P1119" s="84"/>
      <c r="Q1119" s="84"/>
      <c r="R1119" s="84"/>
      <c r="S1119" s="84"/>
    </row>
    <row r="1120" spans="1:19">
      <c r="A1120" s="629" t="s">
        <v>2777</v>
      </c>
      <c r="B1120" s="248">
        <v>1.59751834098825E-3</v>
      </c>
      <c r="C1120" s="248">
        <v>3.6085497286963402E-3</v>
      </c>
      <c r="D1120" s="248">
        <v>3.0499142508050199E-3</v>
      </c>
      <c r="E1120" s="248">
        <v>2.4204145958910501E-3</v>
      </c>
      <c r="F1120" s="248">
        <v>3.34551571541282E-3</v>
      </c>
      <c r="G1120" s="248">
        <v>2.65000986148641E-3</v>
      </c>
      <c r="H1120" s="735">
        <v>1.5461484550836099E-3</v>
      </c>
      <c r="I1120" s="735">
        <v>1.00850739786067E-3</v>
      </c>
      <c r="J1120" s="735">
        <v>1.4980751756517401E-3</v>
      </c>
      <c r="L1120" s="84"/>
      <c r="M1120" s="84"/>
      <c r="N1120" s="84"/>
      <c r="O1120" s="84"/>
      <c r="P1120" s="84"/>
      <c r="Q1120" s="84"/>
      <c r="R1120" s="84"/>
      <c r="S1120" s="84"/>
    </row>
    <row r="1121" spans="1:19">
      <c r="A1121" s="629" t="s">
        <v>2778</v>
      </c>
      <c r="B1121" s="248">
        <v>1.65788234972907E-3</v>
      </c>
      <c r="C1121" s="248">
        <v>3.8245714663668099E-3</v>
      </c>
      <c r="D1121" s="248">
        <v>3.1745351570095798E-3</v>
      </c>
      <c r="E1121" s="248">
        <v>3.3168824390356799E-3</v>
      </c>
      <c r="F1121" s="248">
        <v>3.6410353099295E-3</v>
      </c>
      <c r="G1121" s="248">
        <v>2.7725938407083101E-3</v>
      </c>
      <c r="H1121" s="735">
        <v>2.6353151388622E-3</v>
      </c>
      <c r="I1121" s="735">
        <v>1.15302106630947E-3</v>
      </c>
      <c r="J1121" s="735">
        <v>2.6097229280395398E-3</v>
      </c>
      <c r="L1121" s="84"/>
      <c r="M1121" s="84"/>
      <c r="N1121" s="84"/>
      <c r="O1121" s="84"/>
      <c r="P1121" s="84"/>
      <c r="Q1121" s="84"/>
      <c r="R1121" s="84"/>
      <c r="S1121" s="84"/>
    </row>
    <row r="1122" spans="1:19">
      <c r="A1122" s="629" t="s">
        <v>2779</v>
      </c>
      <c r="B1122" s="248">
        <v>1.79251129707657E-3</v>
      </c>
      <c r="C1122" s="248">
        <v>3.6086478433236002E-3</v>
      </c>
      <c r="D1122" s="248">
        <v>4.2478815493950601E-3</v>
      </c>
      <c r="E1122" s="248">
        <v>3.0704338194094002E-3</v>
      </c>
      <c r="F1122" s="248">
        <v>3.4310795760716301E-3</v>
      </c>
      <c r="G1122" s="248">
        <v>2.9702325339989598E-3</v>
      </c>
      <c r="H1122" s="735">
        <v>2.9142908382021001E-3</v>
      </c>
      <c r="I1122" s="735">
        <v>1.25763568828748E-3</v>
      </c>
      <c r="J1122" s="735">
        <v>2.9029179210020399E-3</v>
      </c>
      <c r="L1122" s="84"/>
      <c r="M1122" s="84"/>
      <c r="N1122" s="84"/>
      <c r="O1122" s="84"/>
      <c r="P1122" s="84"/>
      <c r="Q1122" s="84"/>
      <c r="R1122" s="84"/>
      <c r="S1122" s="84"/>
    </row>
    <row r="1123" spans="1:19">
      <c r="A1123" s="629" t="s">
        <v>2780</v>
      </c>
      <c r="B1123" s="248">
        <v>1.69770953310611E-3</v>
      </c>
      <c r="C1123" s="248">
        <v>2.9816574173332699E-3</v>
      </c>
      <c r="D1123" s="248">
        <v>3.11014104912564E-3</v>
      </c>
      <c r="E1123" s="248">
        <v>2.7629048622975598E-3</v>
      </c>
      <c r="F1123" s="248">
        <v>3.3853968954244001E-3</v>
      </c>
      <c r="G1123" s="248">
        <v>2.7338553254894998E-3</v>
      </c>
      <c r="H1123" s="735">
        <v>2.57021332745506E-3</v>
      </c>
      <c r="I1123" s="735">
        <v>1.2864368223330399E-3</v>
      </c>
      <c r="J1123" s="735">
        <v>2.5616111185488401E-3</v>
      </c>
      <c r="L1123" s="84"/>
      <c r="M1123" s="84"/>
      <c r="N1123" s="84"/>
      <c r="O1123" s="84"/>
      <c r="P1123" s="84"/>
      <c r="Q1123" s="84"/>
      <c r="R1123" s="84"/>
      <c r="S1123" s="84"/>
    </row>
    <row r="1124" spans="1:19">
      <c r="A1124" s="629" t="s">
        <v>2781</v>
      </c>
      <c r="B1124" s="248">
        <v>1.72930917581329E-3</v>
      </c>
      <c r="C1124" s="248">
        <v>2.8524176984979798E-3</v>
      </c>
      <c r="D1124" s="248">
        <v>3.6168079064027902E-3</v>
      </c>
      <c r="E1124" s="248">
        <v>2.5055045370006401E-3</v>
      </c>
      <c r="F1124" s="248">
        <v>3.2044111857293502E-3</v>
      </c>
      <c r="G1124" s="248">
        <v>2.67062936749757E-3</v>
      </c>
      <c r="H1124" s="735">
        <v>2.2412424794063602E-3</v>
      </c>
      <c r="I1124" s="735">
        <v>1.23327972719571E-3</v>
      </c>
      <c r="J1124" s="735">
        <v>2.2332351397379101E-3</v>
      </c>
      <c r="L1124" s="84"/>
      <c r="M1124" s="84"/>
      <c r="N1124" s="84"/>
      <c r="O1124" s="84"/>
      <c r="P1124" s="84"/>
      <c r="Q1124" s="84"/>
      <c r="R1124" s="84"/>
      <c r="S1124" s="84"/>
    </row>
    <row r="1125" spans="1:19">
      <c r="A1125" s="629" t="s">
        <v>2928</v>
      </c>
      <c r="B1125" s="248">
        <v>1.64403150277536E-3</v>
      </c>
      <c r="C1125" s="248">
        <v>2.6547451524226999E-3</v>
      </c>
      <c r="D1125" s="248">
        <v>3.0411952985184899E-3</v>
      </c>
      <c r="E1125" s="248">
        <v>2.32448365588244E-3</v>
      </c>
      <c r="F1125" s="248">
        <v>3.05229111440097E-3</v>
      </c>
      <c r="G1125" s="248">
        <v>2.4935344830055001E-3</v>
      </c>
      <c r="H1125" s="735">
        <v>2.0879187632173901E-3</v>
      </c>
      <c r="I1125" s="735">
        <v>1.13026607962497E-3</v>
      </c>
      <c r="J1125" s="735">
        <v>2.08066902238259E-3</v>
      </c>
      <c r="L1125" s="84"/>
      <c r="M1125" s="84"/>
      <c r="N1125" s="84"/>
      <c r="O1125" s="84"/>
      <c r="P1125" s="84"/>
      <c r="Q1125" s="84"/>
      <c r="R1125" s="84"/>
      <c r="S1125" s="84"/>
    </row>
    <row r="1126" spans="1:19">
      <c r="A1126" s="629" t="s">
        <v>2929</v>
      </c>
      <c r="B1126" s="248">
        <v>1.55986022063671E-3</v>
      </c>
      <c r="C1126" s="248">
        <v>3.3735090657330499E-3</v>
      </c>
      <c r="D1126" s="248">
        <v>2.4565741456283401E-3</v>
      </c>
      <c r="E1126" s="248">
        <v>2.19642210365138E-3</v>
      </c>
      <c r="F1126" s="248">
        <v>2.9162769021956999E-3</v>
      </c>
      <c r="G1126" s="248">
        <v>2.3242595481066798E-3</v>
      </c>
      <c r="H1126" s="735">
        <v>2.5141242491901901E-3</v>
      </c>
      <c r="I1126" s="735">
        <v>1.05642426239459E-3</v>
      </c>
      <c r="J1126" s="735">
        <v>2.5161116792269101E-3</v>
      </c>
      <c r="L1126" s="84"/>
      <c r="M1126" s="84"/>
      <c r="N1126" s="84"/>
      <c r="O1126" s="84"/>
      <c r="P1126" s="84"/>
      <c r="Q1126" s="84"/>
      <c r="R1126" s="84"/>
      <c r="S1126" s="84"/>
    </row>
    <row r="1127" spans="1:19">
      <c r="A1127" s="629" t="s">
        <v>2930</v>
      </c>
      <c r="B1127" s="248">
        <v>1.5863884906341E-3</v>
      </c>
      <c r="C1127" s="248">
        <v>3.3201895951411901E-3</v>
      </c>
      <c r="D1127" s="248">
        <v>2.4652721796508299E-3</v>
      </c>
      <c r="E1127" s="248">
        <v>2.0324848293996199E-3</v>
      </c>
      <c r="F1127" s="248">
        <v>2.8044434801921402E-3</v>
      </c>
      <c r="G1127" s="248">
        <v>2.1610719869346101E-3</v>
      </c>
      <c r="H1127" s="735">
        <v>2.6694739927851799E-3</v>
      </c>
      <c r="I1127" s="735">
        <v>1.05435847237605E-3</v>
      </c>
      <c r="J1127" s="735">
        <v>2.66917384271573E-3</v>
      </c>
      <c r="L1127" s="84"/>
      <c r="M1127" s="84"/>
      <c r="N1127" s="84"/>
      <c r="O1127" s="84"/>
      <c r="P1127" s="84"/>
      <c r="Q1127" s="84"/>
      <c r="R1127" s="84"/>
      <c r="S1127" s="84"/>
    </row>
    <row r="1128" spans="1:19">
      <c r="A1128" s="629" t="s">
        <v>2931</v>
      </c>
      <c r="B1128" s="248">
        <v>1.58298579512253E-3</v>
      </c>
      <c r="C1128" s="248">
        <v>2.8483290711085198E-3</v>
      </c>
      <c r="D1128" s="248">
        <v>2.54479712038577E-3</v>
      </c>
      <c r="E1128" s="248">
        <v>2.0070035605419399E-3</v>
      </c>
      <c r="F1128" s="248">
        <v>2.6749698939761198E-3</v>
      </c>
      <c r="G1128" s="248">
        <v>2.0509957537925799E-3</v>
      </c>
      <c r="H1128" s="735">
        <v>2.3139188205080902E-3</v>
      </c>
      <c r="I1128" s="735">
        <v>9.7837785845350305E-4</v>
      </c>
      <c r="J1128" s="735">
        <v>2.3132444715358198E-3</v>
      </c>
      <c r="L1128" s="84"/>
      <c r="M1128" s="84"/>
      <c r="N1128" s="84"/>
      <c r="O1128" s="84"/>
      <c r="P1128" s="84"/>
      <c r="Q1128" s="84"/>
      <c r="R1128" s="84"/>
      <c r="S1128" s="84"/>
    </row>
    <row r="1129" spans="1:19">
      <c r="A1129" s="629" t="s">
        <v>2932</v>
      </c>
      <c r="B1129" s="248">
        <v>1.5142377744768801E-3</v>
      </c>
      <c r="C1129" s="248">
        <v>4.4495095071514501E-3</v>
      </c>
      <c r="D1129" s="248">
        <v>2.22361182316485E-3</v>
      </c>
      <c r="E1129" s="248">
        <v>1.8845316891763599E-3</v>
      </c>
      <c r="F1129" s="248">
        <v>2.56158023901293E-3</v>
      </c>
      <c r="G1129" s="248">
        <v>1.9716744912303399E-3</v>
      </c>
      <c r="H1129" s="735">
        <v>2.0997890617064701E-3</v>
      </c>
      <c r="I1129" s="735">
        <v>1.1412378346119501E-3</v>
      </c>
      <c r="J1129" s="735">
        <v>2.099278965458E-3</v>
      </c>
      <c r="L1129" s="84"/>
      <c r="M1129" s="84"/>
      <c r="N1129" s="84"/>
      <c r="O1129" s="84"/>
      <c r="P1129" s="84"/>
      <c r="Q1129" s="84"/>
      <c r="R1129" s="84"/>
      <c r="S1129" s="84"/>
    </row>
    <row r="1130" spans="1:19">
      <c r="A1130" s="629" t="s">
        <v>2933</v>
      </c>
      <c r="B1130" s="248">
        <v>1.5265865260883601E-3</v>
      </c>
      <c r="C1130" s="248">
        <v>3.3334200626505598E-3</v>
      </c>
      <c r="D1130" s="248">
        <v>2.0599390816273002E-3</v>
      </c>
      <c r="E1130" s="248">
        <v>1.7866585456207699E-3</v>
      </c>
      <c r="F1130" s="248">
        <v>2.5861774695381898E-3</v>
      </c>
      <c r="G1130" s="248">
        <v>1.92668188286375E-3</v>
      </c>
      <c r="H1130" s="735">
        <v>1.8587389747083099E-3</v>
      </c>
      <c r="I1130" s="735">
        <v>1.2037857785826701E-3</v>
      </c>
      <c r="J1130" s="735">
        <v>1.85529365734351E-3</v>
      </c>
      <c r="L1130" s="84"/>
      <c r="M1130" s="84"/>
      <c r="N1130" s="84"/>
      <c r="O1130" s="84"/>
      <c r="P1130" s="84"/>
      <c r="Q1130" s="84"/>
      <c r="R1130" s="84"/>
      <c r="S1130" s="84"/>
    </row>
    <row r="1131" spans="1:19">
      <c r="A1131" s="629" t="s">
        <v>2984</v>
      </c>
      <c r="B1131" s="248">
        <v>1.48610076488583E-3</v>
      </c>
      <c r="C1131" s="248">
        <v>3.2750472272049199E-3</v>
      </c>
      <c r="D1131" s="248">
        <v>3.15549963125056E-3</v>
      </c>
      <c r="E1131" s="248">
        <v>1.78623906252431E-3</v>
      </c>
      <c r="F1131" s="248">
        <v>2.64089189827407E-3</v>
      </c>
      <c r="G1131" s="248">
        <v>1.9449364349616101E-3</v>
      </c>
      <c r="H1131" s="735">
        <v>1.6726283773311999E-3</v>
      </c>
      <c r="I1131" s="735">
        <v>1.11918057711292E-3</v>
      </c>
      <c r="J1131" s="735">
        <v>1.66585278669762E-3</v>
      </c>
      <c r="L1131" s="84"/>
      <c r="M1131" s="84"/>
      <c r="N1131" s="84"/>
      <c r="O1131" s="84"/>
      <c r="P1131" s="84"/>
      <c r="Q1131" s="84"/>
      <c r="R1131" s="84"/>
      <c r="S1131" s="84"/>
    </row>
    <row r="1132" spans="1:19">
      <c r="A1132" s="629" t="s">
        <v>2985</v>
      </c>
      <c r="B1132" s="248">
        <v>1.6662754882383101E-3</v>
      </c>
      <c r="C1132" s="248">
        <v>3.0555485894821202E-3</v>
      </c>
      <c r="D1132" s="248">
        <v>3.7834293763561299E-3</v>
      </c>
      <c r="E1132" s="248">
        <v>1.72680839414709E-3</v>
      </c>
      <c r="F1132" s="248">
        <v>2.71486643316816E-3</v>
      </c>
      <c r="G1132" s="248">
        <v>2.4550977009507101E-3</v>
      </c>
      <c r="H1132" s="735">
        <v>1.6067573462180201E-3</v>
      </c>
      <c r="I1132" s="735">
        <v>1.0867314592967899E-3</v>
      </c>
      <c r="J1132" s="735">
        <v>1.5958867459946E-3</v>
      </c>
      <c r="L1132" s="84"/>
      <c r="M1132" s="84"/>
      <c r="N1132" s="84"/>
      <c r="O1132" s="84"/>
      <c r="P1132" s="84"/>
      <c r="Q1132" s="84"/>
      <c r="R1132" s="84"/>
      <c r="S1132" s="84"/>
    </row>
    <row r="1133" spans="1:19">
      <c r="A1133" s="629" t="s">
        <v>2986</v>
      </c>
      <c r="B1133" s="248">
        <v>1.74188723544918E-3</v>
      </c>
      <c r="C1133" s="248">
        <v>3.2092004886000499E-3</v>
      </c>
      <c r="D1133" s="248">
        <v>3.61462332302257E-3</v>
      </c>
      <c r="E1133" s="248">
        <v>2.2275920007344199E-3</v>
      </c>
      <c r="F1133" s="248">
        <v>2.7396104878606099E-3</v>
      </c>
      <c r="G1133" s="248">
        <v>2.8754900843581698E-3</v>
      </c>
      <c r="H1133" s="735">
        <v>1.51042536137111E-3</v>
      </c>
      <c r="I1133" s="735">
        <v>1.09636417992718E-3</v>
      </c>
      <c r="J1133" s="735">
        <v>1.49753486371188E-3</v>
      </c>
      <c r="L1133" s="84"/>
      <c r="M1133" s="84"/>
      <c r="N1133" s="84"/>
      <c r="O1133" s="84"/>
      <c r="P1133" s="84"/>
      <c r="Q1133" s="84"/>
      <c r="R1133" s="84"/>
      <c r="S1133" s="84"/>
    </row>
    <row r="1134" spans="1:19">
      <c r="A1134" s="629" t="s">
        <v>2987</v>
      </c>
      <c r="B1134" s="248">
        <v>1.8072827743313999E-3</v>
      </c>
      <c r="C1134" s="248">
        <v>4.2516901423884298E-3</v>
      </c>
      <c r="D1134" s="248">
        <v>3.5333555852612099E-3</v>
      </c>
      <c r="E1134" s="248">
        <v>2.05573428509369E-3</v>
      </c>
      <c r="F1134" s="248">
        <v>2.6181730894956198E-3</v>
      </c>
      <c r="G1134" s="248">
        <v>2.65098846525119E-3</v>
      </c>
      <c r="H1134" s="735">
        <v>1.3658259013971199E-3</v>
      </c>
      <c r="I1134" s="735">
        <v>1.42562315555375E-3</v>
      </c>
      <c r="J1134" s="735">
        <v>1.3507968552433499E-3</v>
      </c>
      <c r="L1134" s="84"/>
      <c r="M1134" s="84"/>
      <c r="N1134" s="84"/>
      <c r="O1134" s="84"/>
      <c r="P1134" s="84"/>
      <c r="Q1134" s="84"/>
      <c r="R1134" s="84"/>
      <c r="S1134" s="84"/>
    </row>
    <row r="1135" spans="1:19">
      <c r="A1135" s="629" t="s">
        <v>2988</v>
      </c>
      <c r="B1135" s="248">
        <v>3.13966080345151E-3</v>
      </c>
      <c r="C1135" s="248">
        <v>8.5117665127789205E-3</v>
      </c>
      <c r="D1135" s="248">
        <v>4.6540595264449999E-3</v>
      </c>
      <c r="E1135" s="248">
        <v>3.3679007609180201E-3</v>
      </c>
      <c r="F1135" s="248">
        <v>3.9847833261176099E-3</v>
      </c>
      <c r="G1135" s="248">
        <v>3.67599557860925E-3</v>
      </c>
      <c r="H1135" s="735">
        <v>2.2507871775160801E-3</v>
      </c>
      <c r="I1135" s="735">
        <v>2.4463992685530098E-3</v>
      </c>
      <c r="J1135" s="735">
        <v>2.2581978598592701E-3</v>
      </c>
      <c r="L1135" s="84"/>
      <c r="M1135" s="84"/>
      <c r="N1135" s="84"/>
      <c r="O1135" s="84"/>
      <c r="P1135" s="84"/>
      <c r="Q1135" s="84"/>
      <c r="R1135" s="84"/>
      <c r="S1135" s="84"/>
    </row>
    <row r="1136" spans="1:19">
      <c r="A1136" s="629" t="s">
        <v>2989</v>
      </c>
      <c r="B1136" s="248">
        <v>3.0732914873716302E-3</v>
      </c>
      <c r="C1136" s="248">
        <v>5.3900229964264201E-3</v>
      </c>
      <c r="D1136" s="248">
        <v>5.5322955320681296E-3</v>
      </c>
      <c r="E1136" s="248">
        <v>3.5127591278070699E-3</v>
      </c>
      <c r="F1136" s="248">
        <v>3.7079066845613902E-3</v>
      </c>
      <c r="G1136" s="248">
        <v>3.3658840625381001E-3</v>
      </c>
      <c r="H1136" s="735">
        <v>4.2286396055819103E-3</v>
      </c>
      <c r="I1136" s="735">
        <v>3.3995617173455698E-3</v>
      </c>
      <c r="J1136" s="735">
        <v>4.2752951910208399E-3</v>
      </c>
      <c r="L1136" s="84"/>
      <c r="M1136" s="84"/>
      <c r="N1136" s="84"/>
      <c r="O1136" s="84"/>
      <c r="P1136" s="84"/>
      <c r="Q1136" s="84"/>
      <c r="R1136" s="84"/>
      <c r="S1136" s="84"/>
    </row>
    <row r="1137" spans="1:19">
      <c r="A1137" s="629" t="s">
        <v>3045</v>
      </c>
      <c r="B1137" s="248">
        <v>2.82667358160579E-3</v>
      </c>
      <c r="C1137" s="248">
        <v>3.7209473970957899E-3</v>
      </c>
      <c r="D1137" s="248">
        <v>3.77032073356046E-3</v>
      </c>
      <c r="E1137" s="248">
        <v>3.4518581021075901E-3</v>
      </c>
      <c r="F1137" s="248">
        <v>3.7535016283221801E-3</v>
      </c>
      <c r="G1137" s="248">
        <v>3.1429046834958599E-3</v>
      </c>
      <c r="H1137" s="735">
        <v>5.2985867337478898E-3</v>
      </c>
      <c r="I1137" s="735">
        <v>3.0817084172245599E-3</v>
      </c>
      <c r="J1137" s="735">
        <v>5.3659154396784202E-3</v>
      </c>
      <c r="L1137" s="84"/>
      <c r="M1137" s="84"/>
      <c r="N1137" s="84"/>
      <c r="O1137" s="84"/>
      <c r="P1137" s="84"/>
      <c r="Q1137" s="84"/>
      <c r="R1137" s="84"/>
      <c r="S1137" s="84"/>
    </row>
    <row r="1138" spans="1:19">
      <c r="A1138" s="629" t="s">
        <v>3046</v>
      </c>
      <c r="B1138" s="248">
        <v>2.5781826335662698E-3</v>
      </c>
      <c r="C1138" s="248">
        <v>3.2014401744170301E-3</v>
      </c>
      <c r="D1138" s="248">
        <v>3.8673153797882998E-3</v>
      </c>
      <c r="E1138" s="248">
        <v>3.07372733665515E-3</v>
      </c>
      <c r="F1138" s="248">
        <v>3.6823263814302399E-3</v>
      </c>
      <c r="G1138" s="248">
        <v>2.8876899053867301E-3</v>
      </c>
      <c r="H1138" s="735">
        <v>4.5929427057140497E-3</v>
      </c>
      <c r="I1138" s="735">
        <v>2.8810945306735301E-3</v>
      </c>
      <c r="J1138" s="735">
        <v>4.6602578329523296E-3</v>
      </c>
      <c r="L1138" s="84"/>
      <c r="M1138" s="84"/>
      <c r="N1138" s="84"/>
      <c r="O1138" s="84"/>
      <c r="P1138" s="84"/>
      <c r="Q1138" s="84"/>
      <c r="R1138" s="84"/>
      <c r="S1138" s="84"/>
    </row>
    <row r="1139" spans="1:19">
      <c r="A1139" s="629" t="s">
        <v>3047</v>
      </c>
      <c r="B1139" s="248">
        <v>2.5076175974901899E-3</v>
      </c>
      <c r="C1139" s="248">
        <v>3.8338224790355801E-3</v>
      </c>
      <c r="D1139" s="248">
        <v>3.7327199172525602E-3</v>
      </c>
      <c r="E1139" s="248">
        <v>4.9816541873435802E-3</v>
      </c>
      <c r="F1139" s="248">
        <v>4.1762145257041297E-3</v>
      </c>
      <c r="G1139" s="248">
        <v>3.4944669451230899E-3</v>
      </c>
      <c r="H1139" s="735">
        <v>3.8952861148229198E-3</v>
      </c>
      <c r="I1139" s="735">
        <v>2.8723713180931801E-3</v>
      </c>
      <c r="J1139" s="735">
        <v>3.9561466564460102E-3</v>
      </c>
      <c r="L1139" s="84"/>
      <c r="M1139" s="84"/>
      <c r="N1139" s="84"/>
      <c r="O1139" s="84"/>
      <c r="P1139" s="84"/>
      <c r="Q1139" s="84"/>
      <c r="R1139" s="84"/>
      <c r="S1139" s="84"/>
    </row>
    <row r="1140" spans="1:19">
      <c r="A1140" s="629" t="s">
        <v>3050</v>
      </c>
      <c r="B1140" s="248">
        <v>2.64226354974366E-3</v>
      </c>
      <c r="C1140" s="248">
        <v>3.7696790471577301E-3</v>
      </c>
      <c r="D1140" s="248">
        <v>5.0202659120028199E-3</v>
      </c>
      <c r="E1140" s="248">
        <v>4.43084371145731E-3</v>
      </c>
      <c r="F1140" s="248">
        <v>3.9580981322672199E-3</v>
      </c>
      <c r="G1140" s="248">
        <v>3.61391632522764E-3</v>
      </c>
      <c r="H1140" s="735">
        <v>3.5653218645593501E-3</v>
      </c>
      <c r="I1140" s="735">
        <v>3.1106031497424701E-3</v>
      </c>
      <c r="J1140" s="735">
        <v>3.6266541926032701E-3</v>
      </c>
      <c r="L1140" s="84"/>
      <c r="M1140" s="84"/>
      <c r="N1140" s="84"/>
      <c r="O1140" s="84"/>
      <c r="P1140" s="84"/>
      <c r="Q1140" s="84"/>
      <c r="R1140" s="84"/>
      <c r="S1140" s="84"/>
    </row>
    <row r="1141" spans="1:19">
      <c r="A1141" s="629" t="s">
        <v>3927</v>
      </c>
      <c r="B1141" s="248">
        <v>2.7803046379901298E-3</v>
      </c>
      <c r="C1141" s="248">
        <v>3.3364995822091001E-3</v>
      </c>
      <c r="D1141" s="248">
        <v>6.8070389537521897E-3</v>
      </c>
      <c r="E1141" s="248">
        <v>4.1214072495701403E-3</v>
      </c>
      <c r="F1141" s="248">
        <v>3.7447205342743899E-3</v>
      </c>
      <c r="G1141" s="248">
        <v>3.65211506317396E-3</v>
      </c>
      <c r="H1141" s="735">
        <v>3.5201785720660101E-3</v>
      </c>
      <c r="I1141" s="735">
        <v>2.8860642314597201E-3</v>
      </c>
      <c r="J1141" s="735">
        <v>3.5780377859690599E-3</v>
      </c>
      <c r="L1141" s="84"/>
      <c r="M1141" s="84"/>
      <c r="N1141" s="84"/>
      <c r="O1141" s="84"/>
      <c r="P1141" s="84"/>
      <c r="Q1141" s="84"/>
      <c r="R1141" s="84"/>
      <c r="S1141" s="84"/>
    </row>
    <row r="1142" spans="1:19">
      <c r="A1142" s="629" t="s">
        <v>3967</v>
      </c>
      <c r="B1142" s="248">
        <v>2.7777538578388E-3</v>
      </c>
      <c r="C1142" s="248">
        <v>5.0072093883023602E-3</v>
      </c>
      <c r="D1142" s="248">
        <v>4.4625971392235897E-3</v>
      </c>
      <c r="E1142" s="248">
        <v>5.26766589578771E-3</v>
      </c>
      <c r="F1142" s="248">
        <v>4.0291119634134204E-3</v>
      </c>
      <c r="G1142" s="248">
        <v>3.9324346034446999E-3</v>
      </c>
      <c r="H1142" s="735">
        <v>3.3213592580634299E-3</v>
      </c>
      <c r="I1142" s="735">
        <v>2.5716999921440399E-3</v>
      </c>
      <c r="J1142" s="735">
        <v>3.38719080448751E-3</v>
      </c>
      <c r="L1142" s="84"/>
      <c r="M1142" s="84"/>
      <c r="N1142" s="84"/>
      <c r="O1142" s="84"/>
      <c r="P1142" s="84"/>
      <c r="Q1142" s="84"/>
      <c r="R1142" s="84"/>
      <c r="S1142" s="84"/>
    </row>
    <row r="1143" spans="1:19">
      <c r="A1143" s="629" t="s">
        <v>3968</v>
      </c>
      <c r="B1143" s="248">
        <v>2.7708386530115601E-3</v>
      </c>
      <c r="C1143" s="248">
        <v>4.5177451458468703E-3</v>
      </c>
      <c r="D1143" s="248">
        <v>4.0134760668938596E-3</v>
      </c>
      <c r="E1143" s="248">
        <v>4.4925263295564804E-3</v>
      </c>
      <c r="F1143" s="248">
        <v>3.7607628874355699E-3</v>
      </c>
      <c r="G1143" s="248">
        <v>3.8201044213312398E-3</v>
      </c>
      <c r="H1143" s="735">
        <v>3.03263498319654E-3</v>
      </c>
      <c r="I1143" s="735">
        <v>2.5040266111451799E-3</v>
      </c>
      <c r="J1143" s="735">
        <v>3.09236347777619E-3</v>
      </c>
      <c r="L1143" s="84"/>
      <c r="M1143" s="84"/>
      <c r="N1143" s="84"/>
      <c r="O1143" s="84"/>
      <c r="P1143" s="84"/>
      <c r="Q1143" s="84"/>
      <c r="R1143" s="84"/>
      <c r="S1143" s="84"/>
    </row>
    <row r="1144" spans="1:19">
      <c r="A1144" s="629" t="s">
        <v>3969</v>
      </c>
      <c r="B1144" s="248">
        <v>2.7391350325460702E-3</v>
      </c>
      <c r="C1144" s="248">
        <v>6.5089118065541404E-3</v>
      </c>
      <c r="D1144" s="248">
        <v>3.78361138413531E-3</v>
      </c>
      <c r="E1144" s="248">
        <v>4.4524777279269399E-3</v>
      </c>
      <c r="F1144" s="248">
        <v>5.1178689229729804E-3</v>
      </c>
      <c r="G1144" s="248">
        <v>5.2641506334160804E-3</v>
      </c>
      <c r="H1144" s="735">
        <v>3.8916392641135302E-3</v>
      </c>
      <c r="I1144" s="735">
        <v>2.2366184518983301E-3</v>
      </c>
      <c r="J1144" s="735">
        <v>3.9582147120998798E-3</v>
      </c>
      <c r="L1144" s="84"/>
      <c r="M1144" s="84"/>
      <c r="N1144" s="84"/>
      <c r="O1144" s="84"/>
      <c r="P1144" s="84"/>
      <c r="Q1144" s="84"/>
      <c r="R1144" s="84"/>
      <c r="S1144" s="84"/>
    </row>
    <row r="1145" spans="1:19">
      <c r="A1145" s="629" t="s">
        <v>3970</v>
      </c>
      <c r="B1145" s="248">
        <v>2.5137353625045902E-3</v>
      </c>
      <c r="C1145" s="248">
        <v>5.19925984508694E-3</v>
      </c>
      <c r="D1145" s="248">
        <v>3.9237472614520796E-3</v>
      </c>
      <c r="E1145" s="248">
        <v>4.0904523286616401E-3</v>
      </c>
      <c r="F1145" s="248">
        <v>4.8861812805232104E-3</v>
      </c>
      <c r="G1145" s="248">
        <v>4.7926487646221903E-3</v>
      </c>
      <c r="H1145" s="735">
        <v>3.3998747287264002E-3</v>
      </c>
      <c r="I1145" s="735">
        <v>2.0035099006702399E-3</v>
      </c>
      <c r="J1145" s="735">
        <v>3.4608948119840498E-3</v>
      </c>
      <c r="L1145" s="84"/>
      <c r="M1145" s="84"/>
      <c r="N1145" s="84"/>
      <c r="O1145" s="84"/>
      <c r="P1145" s="84"/>
      <c r="Q1145" s="84"/>
      <c r="R1145" s="84"/>
      <c r="S1145" s="84"/>
    </row>
    <row r="1146" spans="1:19">
      <c r="A1146" s="629" t="s">
        <v>3971</v>
      </c>
      <c r="B1146" s="248">
        <v>2.8705859645445698E-3</v>
      </c>
      <c r="C1146" s="248">
        <v>3.73900699469704E-3</v>
      </c>
      <c r="D1146" s="248">
        <v>3.4267626897847101E-3</v>
      </c>
      <c r="E1146" s="248">
        <v>3.5650027209160702E-3</v>
      </c>
      <c r="F1146" s="248">
        <v>4.8312203935725303E-3</v>
      </c>
      <c r="G1146" s="248">
        <v>4.6052035000154097E-3</v>
      </c>
      <c r="H1146" s="735">
        <v>2.9728637936967798E-3</v>
      </c>
      <c r="I1146" s="735">
        <v>1.8230639132560101E-3</v>
      </c>
      <c r="J1146" s="735">
        <v>3.0254768702586898E-3</v>
      </c>
      <c r="L1146" s="84"/>
      <c r="M1146" s="84"/>
      <c r="N1146" s="84"/>
      <c r="O1146" s="84"/>
      <c r="P1146" s="84"/>
      <c r="Q1146" s="84"/>
      <c r="R1146" s="84"/>
      <c r="S1146" s="84"/>
    </row>
    <row r="1147" spans="1:19">
      <c r="A1147" s="629" t="s">
        <v>4009</v>
      </c>
      <c r="B1147" s="248">
        <v>2.8689848562388699E-3</v>
      </c>
      <c r="C1147" s="248">
        <v>5.7881624307235102E-3</v>
      </c>
      <c r="D1147" s="248">
        <v>2.77725363270836E-3</v>
      </c>
      <c r="E1147" s="248">
        <v>3.1611298350452E-3</v>
      </c>
      <c r="F1147" s="248">
        <v>5.1499364085821403E-3</v>
      </c>
      <c r="G1147" s="248">
        <v>4.8042593444815396E-3</v>
      </c>
      <c r="H1147" s="735">
        <v>2.59997487944177E-3</v>
      </c>
      <c r="I1147" s="735">
        <v>2.1154836904148599E-3</v>
      </c>
      <c r="J1147" s="735">
        <v>2.64308989129549E-3</v>
      </c>
      <c r="L1147" s="84"/>
      <c r="M1147" s="84"/>
      <c r="N1147" s="84"/>
      <c r="O1147" s="84"/>
      <c r="P1147" s="84"/>
      <c r="Q1147" s="84"/>
      <c r="R1147" s="84"/>
      <c r="S1147" s="84"/>
    </row>
    <row r="1148" spans="1:19">
      <c r="A1148" s="629" t="s">
        <v>4010</v>
      </c>
      <c r="B1148" s="248">
        <v>5.2464733088897E-3</v>
      </c>
      <c r="C1148" s="248">
        <v>3.8243755568977801E-3</v>
      </c>
      <c r="D1148" s="248">
        <v>6.6157368238900296E-3</v>
      </c>
      <c r="E1148" s="248">
        <v>4.5019136174534796E-3</v>
      </c>
      <c r="F1148" s="248">
        <v>6.0806033656516899E-3</v>
      </c>
      <c r="G1148" s="248">
        <v>5.6515398576725204E-3</v>
      </c>
      <c r="H1148" s="735">
        <v>2.4056986031693699E-3</v>
      </c>
      <c r="I1148" s="735">
        <v>2.949918764182E-3</v>
      </c>
      <c r="J1148" s="735">
        <v>2.4422977922815398E-3</v>
      </c>
      <c r="L1148" s="84"/>
      <c r="M1148" s="84"/>
      <c r="N1148" s="84"/>
      <c r="O1148" s="84"/>
      <c r="P1148" s="84"/>
      <c r="Q1148" s="84"/>
      <c r="R1148" s="84"/>
      <c r="S1148" s="84"/>
    </row>
    <row r="1149" spans="1:19">
      <c r="A1149" s="629" t="s">
        <v>4011</v>
      </c>
      <c r="B1149" s="248">
        <v>4.7777904248141601E-3</v>
      </c>
      <c r="C1149" s="248">
        <v>3.4213508459678501E-3</v>
      </c>
      <c r="D1149" s="248">
        <v>6.54820336823093E-3</v>
      </c>
      <c r="E1149" s="248">
        <v>3.8446858353664601E-3</v>
      </c>
      <c r="F1149" s="248">
        <v>5.58721316562756E-3</v>
      </c>
      <c r="G1149" s="248">
        <v>5.1522159569242403E-3</v>
      </c>
      <c r="H1149" s="735">
        <v>2.3490258374721301E-3</v>
      </c>
      <c r="I1149" s="735">
        <v>2.76108111718649E-3</v>
      </c>
      <c r="J1149" s="735">
        <v>2.3829759056209899E-3</v>
      </c>
      <c r="L1149" s="84"/>
      <c r="M1149" s="84"/>
      <c r="N1149" s="84"/>
      <c r="O1149" s="84"/>
      <c r="P1149" s="84"/>
      <c r="Q1149" s="84"/>
      <c r="R1149" s="84"/>
      <c r="S1149" s="84"/>
    </row>
    <row r="1150" spans="1:19">
      <c r="A1150" s="629" t="s">
        <v>4012</v>
      </c>
      <c r="B1150" s="248">
        <v>4.5030528111175902E-3</v>
      </c>
      <c r="C1150" s="248">
        <v>2.8953948475513602E-3</v>
      </c>
      <c r="D1150" s="248">
        <v>4.5252375755806401E-3</v>
      </c>
      <c r="E1150" s="248">
        <v>3.4160300373768399E-3</v>
      </c>
      <c r="F1150" s="248">
        <v>5.7520889384778699E-3</v>
      </c>
      <c r="G1150" s="248">
        <v>4.9819143635533103E-3</v>
      </c>
      <c r="H1150" s="735">
        <v>2.04893573397008E-3</v>
      </c>
      <c r="I1150" s="735">
        <v>2.5619627887628299E-3</v>
      </c>
      <c r="J1150" s="735">
        <v>2.0752900203541398E-3</v>
      </c>
      <c r="L1150" s="84"/>
      <c r="M1150" s="84"/>
      <c r="N1150" s="84"/>
      <c r="O1150" s="84"/>
      <c r="P1150" s="84"/>
      <c r="Q1150" s="84"/>
      <c r="R1150" s="84"/>
      <c r="S1150" s="84"/>
    </row>
    <row r="1151" spans="1:19">
      <c r="A1151" s="629" t="s">
        <v>4013</v>
      </c>
      <c r="B1151" s="248">
        <v>4.2050489610347703E-3</v>
      </c>
      <c r="C1151" s="248">
        <v>3.8590954846132001E-3</v>
      </c>
      <c r="D1151" s="248">
        <v>3.9061862434579099E-3</v>
      </c>
      <c r="E1151" s="248">
        <v>3.01258315519867E-3</v>
      </c>
      <c r="F1151" s="248">
        <v>5.2959323401688798E-3</v>
      </c>
      <c r="G1151" s="248">
        <v>4.5484367275780398E-3</v>
      </c>
      <c r="H1151" s="735">
        <v>1.8324592604741399E-3</v>
      </c>
      <c r="I1151" s="735">
        <v>2.37225774263122E-3</v>
      </c>
      <c r="J1151" s="735">
        <v>1.8519007883665999E-3</v>
      </c>
      <c r="L1151" s="84"/>
      <c r="M1151" s="84"/>
      <c r="N1151" s="84"/>
      <c r="O1151" s="84"/>
      <c r="P1151" s="84"/>
      <c r="Q1151" s="84"/>
      <c r="R1151" s="84"/>
      <c r="S1151" s="84"/>
    </row>
    <row r="1152" spans="1:19">
      <c r="A1152" s="629" t="s">
        <v>4058</v>
      </c>
      <c r="B1152" s="248">
        <v>3.7830210427935002E-3</v>
      </c>
      <c r="C1152" s="248">
        <v>3.3374493818697599E-3</v>
      </c>
      <c r="D1152" s="248">
        <v>2.9815131855669302E-3</v>
      </c>
      <c r="E1152" s="248">
        <v>2.6723720808858702E-3</v>
      </c>
      <c r="F1152" s="248">
        <v>4.8981979010592801E-3</v>
      </c>
      <c r="G1152" s="248">
        <v>4.2029177872718402E-3</v>
      </c>
      <c r="H1152" s="735">
        <v>1.65985126446173E-3</v>
      </c>
      <c r="I1152" s="735">
        <v>2.2353094732810298E-3</v>
      </c>
      <c r="J1152" s="735">
        <v>1.6730875255937801E-3</v>
      </c>
      <c r="L1152" s="84"/>
      <c r="M1152" s="84"/>
      <c r="N1152" s="84"/>
      <c r="O1152" s="84"/>
      <c r="P1152" s="84"/>
      <c r="Q1152" s="84"/>
      <c r="R1152" s="84"/>
      <c r="S1152" s="84"/>
    </row>
    <row r="1153" spans="1:19">
      <c r="A1153" s="629" t="s">
        <v>4091</v>
      </c>
      <c r="B1153" s="248">
        <v>3.4194839758376898E-3</v>
      </c>
      <c r="C1153" s="248">
        <v>3.1800812752946E-3</v>
      </c>
      <c r="D1153" s="248">
        <v>2.4504365668910101E-3</v>
      </c>
      <c r="E1153" s="248">
        <v>2.4616384347932001E-3</v>
      </c>
      <c r="F1153" s="248">
        <v>4.6118161859793104E-3</v>
      </c>
      <c r="G1153" s="248">
        <v>4.2428435271694397E-3</v>
      </c>
      <c r="H1153" s="735">
        <v>1.55613063869699E-3</v>
      </c>
      <c r="I1153" s="735">
        <v>2.12578580580202E-3</v>
      </c>
      <c r="J1153" s="735">
        <v>1.5633075958617099E-3</v>
      </c>
      <c r="L1153" s="84"/>
      <c r="M1153" s="84"/>
      <c r="N1153" s="84"/>
      <c r="O1153" s="84"/>
      <c r="P1153" s="84"/>
      <c r="Q1153" s="84"/>
      <c r="R1153" s="84"/>
      <c r="S1153" s="84"/>
    </row>
    <row r="1154" spans="1:19">
      <c r="A1154" s="629" t="s">
        <v>4092</v>
      </c>
      <c r="B1154" s="248">
        <v>4.2103680299811104E-3</v>
      </c>
      <c r="C1154" s="248">
        <v>3.7389117465238E-3</v>
      </c>
      <c r="D1154" s="248">
        <v>2.2920137033391299E-3</v>
      </c>
      <c r="E1154" s="248">
        <v>3.76663734321482E-3</v>
      </c>
      <c r="F1154" s="248">
        <v>5.7070718485077903E-3</v>
      </c>
      <c r="G1154" s="248">
        <v>4.4567148795414801E-3</v>
      </c>
      <c r="H1154" s="735">
        <v>1.7589388205149401E-3</v>
      </c>
      <c r="I1154" s="735">
        <v>2.39519324099803E-3</v>
      </c>
      <c r="J1154" s="735">
        <v>1.76947275729174E-3</v>
      </c>
      <c r="L1154" s="84"/>
      <c r="M1154" s="84"/>
      <c r="N1154" s="84"/>
      <c r="O1154" s="84"/>
      <c r="P1154" s="84"/>
      <c r="Q1154" s="84"/>
      <c r="R1154" s="84"/>
      <c r="S1154" s="84"/>
    </row>
    <row r="1155" spans="1:19">
      <c r="A1155" s="629" t="s">
        <v>4121</v>
      </c>
      <c r="B1155" s="248">
        <v>3.8804523062939099E-3</v>
      </c>
      <c r="C1155" s="248">
        <v>4.2836518134863801E-3</v>
      </c>
      <c r="D1155" s="248">
        <v>2.2609099459936499E-3</v>
      </c>
      <c r="E1155" s="248">
        <v>3.2981381355648301E-3</v>
      </c>
      <c r="F1155" s="248">
        <v>5.3530759794195703E-3</v>
      </c>
      <c r="G1155" s="248">
        <v>4.1035177284996201E-3</v>
      </c>
      <c r="H1155" s="735">
        <v>2.0848801782472099E-3</v>
      </c>
      <c r="I1155" s="735">
        <v>2.3234770692831599E-3</v>
      </c>
      <c r="J1155" s="735">
        <v>2.0932494666535302E-3</v>
      </c>
      <c r="L1155" s="84"/>
      <c r="M1155" s="84"/>
      <c r="N1155" s="84"/>
      <c r="O1155" s="84"/>
      <c r="P1155" s="84"/>
      <c r="Q1155" s="84"/>
      <c r="R1155" s="84"/>
      <c r="S1155" s="84"/>
    </row>
    <row r="1156" spans="1:19">
      <c r="A1156" s="629" t="s">
        <v>4344</v>
      </c>
      <c r="B1156" s="248">
        <v>3.5338979699938498E-3</v>
      </c>
      <c r="C1156" s="248">
        <v>3.5320684425203899E-3</v>
      </c>
      <c r="D1156" s="248">
        <v>2.0850985294219998E-3</v>
      </c>
      <c r="E1156" s="248">
        <v>3.2096252546508401E-3</v>
      </c>
      <c r="F1156" s="248">
        <v>5.0831446064774398E-3</v>
      </c>
      <c r="G1156" s="248">
        <v>4.0041535760605403E-3</v>
      </c>
      <c r="H1156" s="735">
        <v>1.8607075945253401E-3</v>
      </c>
      <c r="I1156" s="735">
        <v>2.1332227534002898E-3</v>
      </c>
      <c r="J1156" s="735">
        <v>1.86496808310318E-3</v>
      </c>
      <c r="L1156" s="84"/>
      <c r="M1156" s="84"/>
      <c r="N1156" s="84"/>
      <c r="O1156" s="84"/>
      <c r="P1156" s="84"/>
      <c r="Q1156" s="84"/>
      <c r="R1156" s="84"/>
      <c r="S1156" s="84"/>
    </row>
    <row r="1157" spans="1:19">
      <c r="A1157" s="629" t="s">
        <v>4345</v>
      </c>
      <c r="B1157" s="248">
        <v>5.5147679333089703E-3</v>
      </c>
      <c r="C1157" s="248">
        <v>5.9134349809828804E-3</v>
      </c>
      <c r="D1157" s="248">
        <v>7.1545718860995203E-3</v>
      </c>
      <c r="E1157" s="248">
        <v>4.7590553604143502E-3</v>
      </c>
      <c r="F1157" s="733">
        <v>7.2320336565690497E-3</v>
      </c>
      <c r="G1157" s="248">
        <v>4.5310045706368398E-3</v>
      </c>
      <c r="H1157" s="735">
        <v>1.83161258753109E-3</v>
      </c>
      <c r="I1157" s="735">
        <v>2.79297169417349E-3</v>
      </c>
      <c r="J1157" s="735">
        <v>1.8332504829858801E-3</v>
      </c>
      <c r="L1157" s="84"/>
      <c r="M1157" s="84"/>
      <c r="N1157" s="84"/>
      <c r="O1157" s="84"/>
      <c r="P1157" s="84"/>
      <c r="Q1157" s="84"/>
      <c r="R1157" s="84"/>
      <c r="S1157" s="84"/>
    </row>
    <row r="1158" spans="1:19">
      <c r="A1158" s="629" t="s">
        <v>4346</v>
      </c>
      <c r="B1158" s="248">
        <v>4.8969518964601397E-3</v>
      </c>
      <c r="C1158" s="248">
        <v>4.1243447260229903E-3</v>
      </c>
      <c r="D1158" s="248">
        <v>5.4130548468156597E-3</v>
      </c>
      <c r="E1158" s="248">
        <v>4.1471538089737098E-3</v>
      </c>
      <c r="F1158" s="248">
        <v>6.5840146011587903E-3</v>
      </c>
      <c r="G1158" s="248">
        <v>4.1339408352664602E-3</v>
      </c>
      <c r="H1158" s="735">
        <v>2.0792482290931799E-3</v>
      </c>
      <c r="I1158" s="735">
        <v>2.65851425078904E-3</v>
      </c>
      <c r="J1158" s="735">
        <v>2.08503885705667E-3</v>
      </c>
      <c r="L1158" s="84"/>
      <c r="M1158" s="84"/>
      <c r="N1158" s="84"/>
      <c r="O1158" s="84"/>
      <c r="P1158" s="84"/>
      <c r="Q1158" s="84"/>
      <c r="R1158" s="84"/>
      <c r="S1158" s="84"/>
    </row>
    <row r="1159" spans="1:19">
      <c r="A1159" s="629" t="s">
        <v>4347</v>
      </c>
      <c r="B1159" s="248">
        <v>4.3881779076335899E-3</v>
      </c>
      <c r="C1159" s="248">
        <v>4.3503463951411903E-3</v>
      </c>
      <c r="D1159" s="248">
        <v>3.6998821979153601E-3</v>
      </c>
      <c r="E1159" s="248">
        <v>4.5806293212865799E-3</v>
      </c>
      <c r="F1159" s="248">
        <v>6.1905411978893697E-3</v>
      </c>
      <c r="G1159" s="248">
        <v>3.7896981851003701E-3</v>
      </c>
      <c r="H1159" s="735">
        <v>1.9951513189556801E-3</v>
      </c>
      <c r="I1159" s="735">
        <v>2.5537344367857402E-3</v>
      </c>
      <c r="J1159" s="735">
        <v>2.0013937020897702E-3</v>
      </c>
      <c r="L1159" s="84"/>
      <c r="M1159" s="84"/>
      <c r="N1159" s="84"/>
      <c r="O1159" s="84"/>
      <c r="P1159" s="84"/>
      <c r="Q1159" s="84"/>
      <c r="R1159" s="84"/>
      <c r="S1159" s="84"/>
    </row>
    <row r="1160" spans="1:19">
      <c r="A1160" s="629" t="s">
        <v>4348</v>
      </c>
      <c r="B1160" s="248">
        <v>4.5167473110409497E-3</v>
      </c>
      <c r="C1160" s="248">
        <v>3.7514044785531102E-3</v>
      </c>
      <c r="D1160" s="248">
        <v>5.8261337413327702E-3</v>
      </c>
      <c r="E1160" s="248">
        <v>3.9322324270909701E-3</v>
      </c>
      <c r="F1160" s="248">
        <v>5.7618120690465296E-3</v>
      </c>
      <c r="G1160" s="248">
        <v>3.9845104713670202E-3</v>
      </c>
      <c r="H1160" s="735">
        <v>2.0268947326370201E-3</v>
      </c>
      <c r="I1160" s="735">
        <v>3.2753066417136999E-3</v>
      </c>
      <c r="J1160" s="735">
        <v>2.0298352358943798E-3</v>
      </c>
      <c r="L1160" s="84"/>
      <c r="M1160" s="84"/>
      <c r="N1160" s="84"/>
      <c r="O1160" s="84"/>
      <c r="P1160" s="84"/>
      <c r="Q1160" s="84"/>
      <c r="R1160" s="84"/>
      <c r="S1160" s="84"/>
    </row>
    <row r="1161" spans="1:19">
      <c r="A1161" s="629" t="s">
        <v>4349</v>
      </c>
      <c r="B1161" s="248">
        <v>4.4440346421789302E-3</v>
      </c>
      <c r="C1161" s="248">
        <v>4.0516908377560903E-3</v>
      </c>
      <c r="D1161" s="248">
        <v>6.3146362483957399E-3</v>
      </c>
      <c r="E1161" s="248">
        <v>4.0743838862665801E-3</v>
      </c>
      <c r="F1161" s="248">
        <v>5.6027737979453002E-3</v>
      </c>
      <c r="G1161" s="248">
        <v>3.64689396920659E-3</v>
      </c>
      <c r="H1161" s="735">
        <v>2.2766368636197099E-3</v>
      </c>
      <c r="I1161" s="735">
        <v>3.1893885617907901E-3</v>
      </c>
      <c r="J1161" s="735">
        <v>2.28563089133741E-3</v>
      </c>
      <c r="L1161" s="84"/>
      <c r="M1161" s="84"/>
      <c r="N1161" s="84"/>
      <c r="O1161" s="84"/>
      <c r="P1161" s="84"/>
      <c r="Q1161" s="84"/>
      <c r="R1161" s="84"/>
      <c r="S1161" s="84"/>
    </row>
    <row r="1162" spans="1:19">
      <c r="A1162" s="629" t="s">
        <v>4350</v>
      </c>
      <c r="B1162" s="248">
        <v>4.0039166602559902E-3</v>
      </c>
      <c r="C1162" s="248">
        <v>3.73046918280465E-3</v>
      </c>
      <c r="D1162" s="248">
        <v>5.9343616391898104E-3</v>
      </c>
      <c r="E1162" s="248">
        <v>5.4851890298680001E-3</v>
      </c>
      <c r="F1162" s="248">
        <v>5.14695305681753E-3</v>
      </c>
      <c r="G1162" s="248">
        <v>3.80677643970355E-3</v>
      </c>
      <c r="H1162" s="735">
        <v>1.9892155646619898E-3</v>
      </c>
      <c r="I1162" s="735">
        <v>2.9600974763078899E-3</v>
      </c>
      <c r="J1162" s="735">
        <v>1.9948655823345501E-3</v>
      </c>
      <c r="L1162" s="84"/>
      <c r="M1162" s="84"/>
      <c r="N1162" s="84"/>
      <c r="O1162" s="84"/>
      <c r="P1162" s="84"/>
      <c r="Q1162" s="84"/>
      <c r="R1162" s="84"/>
      <c r="S1162" s="84"/>
    </row>
    <row r="1163" spans="1:19">
      <c r="A1163" s="629" t="s">
        <v>4351</v>
      </c>
      <c r="B1163" s="248">
        <v>3.8240764730942001E-3</v>
      </c>
      <c r="C1163" s="248">
        <v>3.2365560441141501E-3</v>
      </c>
      <c r="D1163" s="248">
        <v>5.62749393076061E-3</v>
      </c>
      <c r="E1163" s="248">
        <v>4.7515710782696603E-3</v>
      </c>
      <c r="F1163" s="248">
        <v>5.3279415838482303E-3</v>
      </c>
      <c r="G1163" s="248">
        <v>3.6980933843886801E-3</v>
      </c>
      <c r="H1163" s="735">
        <v>2.66035896159964E-3</v>
      </c>
      <c r="I1163" s="735">
        <v>2.9993757998136501E-3</v>
      </c>
      <c r="J1163" s="735">
        <v>2.68002373746303E-3</v>
      </c>
      <c r="L1163" s="84"/>
      <c r="M1163" s="84"/>
      <c r="N1163" s="84"/>
      <c r="O1163" s="84"/>
      <c r="P1163" s="84"/>
      <c r="Q1163" s="84"/>
      <c r="R1163" s="84"/>
      <c r="S1163" s="84"/>
    </row>
    <row r="1164" spans="1:19">
      <c r="A1164" s="629" t="s">
        <v>4352</v>
      </c>
      <c r="B1164" s="248">
        <v>3.9613525235185102E-3</v>
      </c>
      <c r="C1164" s="248">
        <v>2.9723618352155202E-3</v>
      </c>
      <c r="D1164" s="248">
        <v>4.1357130060784199E-3</v>
      </c>
      <c r="E1164" s="248">
        <v>4.0540512446443104E-3</v>
      </c>
      <c r="F1164" s="248">
        <v>4.9359950039436504E-3</v>
      </c>
      <c r="G1164" s="248">
        <v>3.38718497893756E-3</v>
      </c>
      <c r="H1164" s="735">
        <v>3.1701911177796E-3</v>
      </c>
      <c r="I1164" s="735">
        <v>2.90037598128073E-3</v>
      </c>
      <c r="J1164" s="735">
        <v>3.1958011892622398E-3</v>
      </c>
      <c r="L1164" s="84"/>
      <c r="M1164" s="84"/>
      <c r="N1164" s="84"/>
      <c r="O1164" s="84"/>
      <c r="P1164" s="84"/>
      <c r="Q1164" s="84"/>
      <c r="R1164" s="84"/>
      <c r="S1164" s="84"/>
    </row>
    <row r="1165" spans="1:19">
      <c r="A1165" s="629" t="s">
        <v>4353</v>
      </c>
      <c r="B1165" s="248">
        <v>4.08342094019103E-3</v>
      </c>
      <c r="C1165" s="248">
        <v>3.3209026504693699E-3</v>
      </c>
      <c r="D1165" s="248">
        <v>3.4484542828913502E-3</v>
      </c>
      <c r="E1165" s="248">
        <v>5.3184617353398099E-3</v>
      </c>
      <c r="F1165" s="248">
        <v>5.1924225414610196E-3</v>
      </c>
      <c r="G1165" s="248">
        <v>3.66639735290398E-3</v>
      </c>
      <c r="H1165" s="735">
        <v>3.0911897641926599E-3</v>
      </c>
      <c r="I1165" s="735">
        <v>2.58319604381434E-3</v>
      </c>
      <c r="J1165" s="735">
        <v>3.1162907084225102E-3</v>
      </c>
      <c r="L1165" s="84"/>
      <c r="M1165" s="84"/>
      <c r="N1165" s="84"/>
      <c r="O1165" s="84"/>
      <c r="P1165" s="84"/>
      <c r="Q1165" s="84"/>
      <c r="R1165" s="84"/>
      <c r="S1165" s="84"/>
    </row>
    <row r="1166" spans="1:19">
      <c r="A1166" s="629" t="s">
        <v>4556</v>
      </c>
      <c r="B1166" s="248">
        <v>4.99061724615404E-3</v>
      </c>
      <c r="C1166" s="248">
        <v>6.2155659058959097E-3</v>
      </c>
      <c r="D1166" s="248">
        <v>1.05904822778873E-2</v>
      </c>
      <c r="E1166" s="248">
        <v>5.7167468593684002E-3</v>
      </c>
      <c r="F1166" s="248">
        <v>5.9373590881565503E-3</v>
      </c>
      <c r="G1166" s="248">
        <v>4.39776168216356E-3</v>
      </c>
      <c r="H1166" s="735">
        <v>4.0843863516413E-3</v>
      </c>
      <c r="I1166" s="735">
        <v>3.8926540309324898E-3</v>
      </c>
      <c r="J1166" s="735">
        <v>4.1235438585910502E-3</v>
      </c>
      <c r="L1166" s="84"/>
      <c r="M1166" s="84"/>
      <c r="N1166" s="84"/>
      <c r="O1166" s="84"/>
      <c r="P1166" s="84"/>
      <c r="Q1166" s="84"/>
      <c r="R1166" s="84"/>
      <c r="S1166" s="84"/>
    </row>
    <row r="1167" spans="1:19">
      <c r="A1167" s="629" t="s">
        <v>4557</v>
      </c>
      <c r="B1167" s="248">
        <v>4.5392917611544103E-3</v>
      </c>
      <c r="C1167" s="248">
        <v>8.0562298259941306E-3</v>
      </c>
      <c r="D1167" s="248">
        <v>6.46533959515569E-3</v>
      </c>
      <c r="E1167" s="248">
        <v>6.2406122194119803E-3</v>
      </c>
      <c r="F1167" s="248">
        <v>5.9020344916543904E-3</v>
      </c>
      <c r="G1167" s="248">
        <v>5.21238575745949E-3</v>
      </c>
      <c r="H1167" s="735">
        <v>4.1724718657665198E-3</v>
      </c>
      <c r="I1167" s="735">
        <v>3.4509898658304301E-3</v>
      </c>
      <c r="J1167" s="735">
        <v>4.2232815652090997E-3</v>
      </c>
      <c r="L1167" s="84"/>
      <c r="M1167" s="84"/>
      <c r="N1167" s="84"/>
      <c r="O1167" s="84"/>
      <c r="P1167" s="84"/>
      <c r="Q1167" s="84"/>
      <c r="R1167" s="84"/>
      <c r="S1167" s="84"/>
    </row>
    <row r="1168" spans="1:19">
      <c r="A1168" s="629" t="s">
        <v>4558</v>
      </c>
      <c r="B1168" s="248">
        <v>5.5674698899313502E-3</v>
      </c>
      <c r="C1168" s="248">
        <v>6.6201482413446502E-3</v>
      </c>
      <c r="D1168" s="248">
        <v>6.3570725045669898E-3</v>
      </c>
      <c r="E1168" s="248">
        <v>5.3204378313175902E-3</v>
      </c>
      <c r="F1168" s="248">
        <v>6.3138681967106003E-3</v>
      </c>
      <c r="G1168" s="248">
        <v>5.01182904834229E-3</v>
      </c>
      <c r="H1168" s="735">
        <v>3.7529121141123799E-3</v>
      </c>
      <c r="I1168" s="735">
        <v>3.4473051514052398E-3</v>
      </c>
      <c r="J1168" s="735">
        <v>3.80572407601746E-3</v>
      </c>
      <c r="L1168" s="84"/>
      <c r="M1168" s="84"/>
      <c r="N1168" s="84"/>
      <c r="O1168" s="84"/>
      <c r="P1168" s="84"/>
      <c r="Q1168" s="84"/>
      <c r="R1168" s="84"/>
      <c r="S1168" s="84"/>
    </row>
    <row r="1169" spans="1:19">
      <c r="B1169" s="248"/>
      <c r="C1169" s="248"/>
      <c r="D1169" s="248"/>
      <c r="E1169" s="248"/>
      <c r="F1169" s="248"/>
      <c r="G1169" s="248"/>
      <c r="H1169" s="735"/>
      <c r="I1169" s="735"/>
      <c r="J1169" s="735"/>
      <c r="L1169" s="84"/>
      <c r="M1169" s="84"/>
      <c r="N1169" s="84"/>
      <c r="O1169" s="84"/>
      <c r="P1169" s="84"/>
      <c r="Q1169" s="84"/>
      <c r="R1169" s="84"/>
      <c r="S1169" s="84"/>
    </row>
    <row r="1171" spans="1:19">
      <c r="A1171" s="629" t="s">
        <v>1435</v>
      </c>
      <c r="B1171" s="248">
        <f t="shared" ref="B1171:J1171" si="0">AVERAGE(B5:B1168)</f>
        <v>3.4214079671306117E-3</v>
      </c>
      <c r="C1171" s="248">
        <f t="shared" si="0"/>
        <v>3.8969337988025553E-3</v>
      </c>
      <c r="D1171" s="248">
        <f t="shared" si="0"/>
        <v>4.8549820240255722E-3</v>
      </c>
      <c r="E1171" s="248">
        <f t="shared" si="0"/>
        <v>3.3196893354845531E-3</v>
      </c>
      <c r="F1171" s="248">
        <f t="shared" si="0"/>
        <v>3.7201554010693025E-3</v>
      </c>
      <c r="G1171" s="248">
        <f t="shared" si="0"/>
        <v>7.0575935178436092E-3</v>
      </c>
      <c r="H1171" s="248">
        <f t="shared" si="0"/>
        <v>2.8147181437054828E-3</v>
      </c>
      <c r="I1171" s="248">
        <f t="shared" si="0"/>
        <v>2.9751723660280641E-3</v>
      </c>
      <c r="J1171" s="248">
        <f t="shared" si="0"/>
        <v>2.8636529261192611E-3</v>
      </c>
      <c r="L1171" s="630"/>
    </row>
    <row r="1173" spans="1:19">
      <c r="A1173" s="629" t="s">
        <v>1436</v>
      </c>
      <c r="B1173" s="248">
        <f t="shared" ref="B1173:J1173" si="1">B1168</f>
        <v>5.5674698899313502E-3</v>
      </c>
      <c r="C1173" s="248">
        <f t="shared" si="1"/>
        <v>6.6201482413446502E-3</v>
      </c>
      <c r="D1173" s="248">
        <f t="shared" si="1"/>
        <v>6.3570725045669898E-3</v>
      </c>
      <c r="E1173" s="248">
        <f t="shared" si="1"/>
        <v>5.3204378313175902E-3</v>
      </c>
      <c r="F1173" s="248">
        <f t="shared" si="1"/>
        <v>6.3138681967106003E-3</v>
      </c>
      <c r="G1173" s="248">
        <f t="shared" si="1"/>
        <v>5.01182904834229E-3</v>
      </c>
      <c r="H1173" s="248">
        <f t="shared" si="1"/>
        <v>3.7529121141123799E-3</v>
      </c>
      <c r="I1173" s="248">
        <f t="shared" si="1"/>
        <v>3.4473051514052398E-3</v>
      </c>
      <c r="J1173" s="248">
        <f t="shared" si="1"/>
        <v>3.80572407601746E-3</v>
      </c>
      <c r="L1173" s="630"/>
    </row>
    <row r="1174" spans="1:19" ht="15.6" thickBot="1">
      <c r="H1174" s="630"/>
      <c r="I1174" s="630"/>
      <c r="J1174" s="630"/>
    </row>
    <row r="1175" spans="1:19" ht="15.6" thickBot="1">
      <c r="A1175" s="631" t="s">
        <v>196</v>
      </c>
      <c r="B1175" s="632">
        <v>2.2554940000000001</v>
      </c>
      <c r="C1175" s="632">
        <v>2.1388259999999999</v>
      </c>
      <c r="D1175" s="632">
        <v>0.83002699999999996</v>
      </c>
      <c r="E1175" s="632">
        <v>1.484569</v>
      </c>
      <c r="F1175" s="632">
        <v>3.291407</v>
      </c>
      <c r="G1175" s="632">
        <v>0.94654400000000005</v>
      </c>
      <c r="H1175" s="632">
        <v>3.0661700000000001</v>
      </c>
      <c r="I1175" s="632">
        <v>1.519771</v>
      </c>
      <c r="J1175" s="736">
        <v>2.720758</v>
      </c>
    </row>
    <row r="1176" spans="1:19">
      <c r="H1176" s="248"/>
      <c r="I1176" s="248"/>
      <c r="J1176" s="248"/>
    </row>
    <row r="1177" spans="1:19">
      <c r="A1177" s="629" t="s">
        <v>1437</v>
      </c>
      <c r="B1177" s="218"/>
      <c r="C1177" s="218"/>
      <c r="D1177" s="218"/>
      <c r="E1177" s="218"/>
      <c r="F1177" s="218"/>
      <c r="G1177" s="218"/>
      <c r="H1177" s="248">
        <f>(1+(H1175*H1171))^12-1</f>
        <v>0.1086249941850308</v>
      </c>
      <c r="I1177" s="248">
        <f>(1+(I1175*I1171))^12-1</f>
        <v>5.5628863564424424E-2</v>
      </c>
      <c r="J1177" s="248">
        <f>(1+(J1175*J1171))^12-1</f>
        <v>9.7608073355892389E-2</v>
      </c>
    </row>
    <row r="1179" spans="1:19">
      <c r="A1179" s="629" t="s">
        <v>1438</v>
      </c>
      <c r="B1179" s="218"/>
      <c r="C1179" s="218"/>
      <c r="D1179" s="218"/>
      <c r="E1179" s="218"/>
      <c r="F1179" s="218"/>
      <c r="G1179" s="218"/>
      <c r="H1179" s="248">
        <f>(1+(H1175*H1173))^12-1</f>
        <v>0.14716807925997766</v>
      </c>
      <c r="I1179" s="248">
        <f>(1+(I1175*I1173))^12-1</f>
        <v>6.471297502367257E-2</v>
      </c>
      <c r="J1179" s="248">
        <f>(1+(J1175*J1173))^12-1</f>
        <v>0.13157964080511197</v>
      </c>
    </row>
    <row r="1181" spans="1:19">
      <c r="A1181" s="629" t="s">
        <v>1439</v>
      </c>
      <c r="B1181" s="630"/>
      <c r="C1181" s="630"/>
      <c r="D1181" s="630"/>
      <c r="E1181" s="630"/>
      <c r="F1181" s="630"/>
      <c r="G1181" s="630"/>
      <c r="H1181" s="630">
        <f>AVERAGE(H1177:H1179)</f>
        <v>0.12789653672250423</v>
      </c>
      <c r="I1181" s="630">
        <f>AVERAGE(I1177:I1179)</f>
        <v>6.0170919294048497E-2</v>
      </c>
      <c r="J1181" s="630">
        <f>AVERAGE(J1177:J1179)</f>
        <v>0.11459385708050218</v>
      </c>
    </row>
    <row r="1187" spans="2:7">
      <c r="B1187" s="630"/>
      <c r="C1187" s="630"/>
      <c r="D1187" s="630"/>
      <c r="E1187" s="630"/>
      <c r="F1187" s="630"/>
      <c r="G1187" s="630"/>
    </row>
    <row r="1188" spans="2:7">
      <c r="B1188" s="630"/>
      <c r="C1188" s="630"/>
      <c r="D1188" s="630"/>
      <c r="E1188" s="630"/>
      <c r="F1188" s="630"/>
      <c r="G1188" s="630"/>
    </row>
  </sheetData>
  <phoneticPr fontId="73" type="noConversion"/>
  <pageMargins left="0.7" right="0.7" top="0.75" bottom="0.75" header="0.3" footer="0.3"/>
  <pageSetup scale="5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HO102"/>
  <sheetViews>
    <sheetView view="pageBreakPreview" topLeftCell="Q1" zoomScale="70" zoomScaleNormal="70" zoomScaleSheetLayoutView="70" workbookViewId="0"/>
  </sheetViews>
  <sheetFormatPr defaultColWidth="9" defaultRowHeight="20.399999999999999"/>
  <cols>
    <col min="1" max="1" width="36.33203125" style="196" customWidth="1"/>
    <col min="2" max="2" width="15.33203125" style="196" bestFit="1" customWidth="1"/>
    <col min="3" max="3" width="12.33203125" style="196" customWidth="1"/>
    <col min="4" max="4" width="1.33203125" style="196" customWidth="1"/>
    <col min="5" max="5" width="12.33203125" style="196" customWidth="1"/>
    <col min="6" max="6" width="2.5546875" style="196" customWidth="1"/>
    <col min="7" max="7" width="12.33203125" style="196" customWidth="1"/>
    <col min="8" max="8" width="3" style="196" customWidth="1"/>
    <col min="9" max="9" width="12.33203125" style="196" customWidth="1"/>
    <col min="10" max="10" width="10.5546875" style="196" bestFit="1" customWidth="1"/>
    <col min="11" max="11" width="12.33203125" style="196" customWidth="1"/>
    <col min="12" max="12" width="2" style="196" customWidth="1"/>
    <col min="13" max="14" width="12.33203125" style="196" customWidth="1"/>
    <col min="15" max="16" width="9" style="196"/>
    <col min="17" max="17" width="53.33203125" style="765" customWidth="1"/>
    <col min="18" max="18" width="2.6640625" style="765" customWidth="1"/>
    <col min="19" max="19" width="17.5546875" style="765" bestFit="1" customWidth="1"/>
    <col min="20" max="20" width="4.109375" style="765" customWidth="1"/>
    <col min="21" max="21" width="17.6640625" style="765" customWidth="1"/>
    <col min="22" max="22" width="4.33203125" style="765" customWidth="1"/>
    <col min="23" max="23" width="17.109375" style="765" customWidth="1"/>
    <col min="24" max="24" width="4.44140625" style="765" customWidth="1"/>
    <col min="25" max="25" width="17.44140625" style="765" customWidth="1"/>
    <col min="26" max="26" width="3.6640625" style="765" customWidth="1"/>
    <col min="27" max="27" width="17.109375" style="765" customWidth="1"/>
    <col min="28" max="28" width="4.5546875" style="765" customWidth="1"/>
    <col min="29" max="29" width="12.6640625" style="765" customWidth="1"/>
    <col min="30" max="30" width="4.33203125" style="765" customWidth="1"/>
    <col min="31" max="31" width="9" style="196"/>
    <col min="32" max="32" width="8.5546875" style="196" customWidth="1"/>
    <col min="33" max="33" width="6.109375" style="196" customWidth="1"/>
    <col min="34" max="34" width="12.5546875" style="196" customWidth="1"/>
    <col min="35" max="35" width="2.5546875" style="196" customWidth="1"/>
    <col min="36" max="36" width="12.5546875" style="196" customWidth="1"/>
    <col min="37" max="37" width="2.5546875" style="196" customWidth="1"/>
    <col min="38" max="38" width="12.5546875" style="196" customWidth="1"/>
    <col min="39" max="39" width="2.5546875" style="196" customWidth="1"/>
    <col min="40" max="40" width="12.5546875" style="196" customWidth="1"/>
    <col min="41" max="41" width="2.5546875" style="196" customWidth="1"/>
    <col min="42" max="42" width="12.5546875" style="196" customWidth="1"/>
    <col min="43" max="43" width="2.5546875" style="196" customWidth="1"/>
    <col min="44" max="44" width="9.33203125" style="196" customWidth="1"/>
    <col min="45" max="16384" width="9" style="196"/>
  </cols>
  <sheetData>
    <row r="1" spans="1:30">
      <c r="C1" s="1005" t="str">
        <f>Input!G28</f>
        <v>Peoples Gas System</v>
      </c>
      <c r="D1" s="1005"/>
      <c r="E1" s="1006"/>
      <c r="F1" s="1006"/>
      <c r="G1" s="1006"/>
      <c r="H1" s="1006"/>
      <c r="I1" s="1006"/>
      <c r="J1" s="1006"/>
      <c r="K1" s="1006"/>
      <c r="L1" s="1006"/>
      <c r="M1" s="1006"/>
      <c r="Q1" s="1007" t="str">
        <f>C1</f>
        <v>Peoples Gas System</v>
      </c>
      <c r="R1" s="1008"/>
      <c r="S1" s="1008"/>
      <c r="T1" s="1008"/>
      <c r="U1" s="1008"/>
      <c r="V1" s="1008"/>
      <c r="W1" s="1008"/>
      <c r="X1" s="1008"/>
      <c r="Y1" s="1008"/>
      <c r="Z1" s="1008"/>
      <c r="AA1" s="1008"/>
      <c r="AB1" s="1008"/>
      <c r="AC1" s="1008"/>
      <c r="AD1" s="1008"/>
    </row>
    <row r="2" spans="1:30">
      <c r="C2" s="198" t="s">
        <v>4404</v>
      </c>
      <c r="D2" s="198"/>
      <c r="E2" s="198"/>
      <c r="F2" s="198"/>
      <c r="G2" s="198"/>
      <c r="H2" s="198"/>
      <c r="I2" s="198"/>
      <c r="J2" s="198"/>
      <c r="K2" s="198"/>
      <c r="L2" s="198"/>
      <c r="Q2" s="1009" t="str">
        <f>C2</f>
        <v>Capitalization and Financial Statistics (1)</v>
      </c>
      <c r="R2" s="1008"/>
      <c r="S2" s="1008"/>
      <c r="T2" s="1008"/>
      <c r="U2" s="1008"/>
      <c r="V2" s="1008"/>
      <c r="W2" s="1008"/>
      <c r="X2" s="1008"/>
      <c r="Y2" s="1008"/>
      <c r="Z2" s="1008"/>
      <c r="AA2" s="1008"/>
      <c r="AB2" s="1008"/>
      <c r="AC2" s="1008"/>
      <c r="AD2" s="1008"/>
    </row>
    <row r="3" spans="1:30">
      <c r="C3" s="197" t="s">
        <v>4356</v>
      </c>
      <c r="D3" s="197"/>
      <c r="E3" s="198"/>
      <c r="F3" s="198"/>
      <c r="G3" s="198"/>
      <c r="H3" s="198"/>
      <c r="I3" s="198"/>
      <c r="J3" s="198"/>
      <c r="K3" s="198"/>
      <c r="L3" s="198"/>
      <c r="Q3" s="1007" t="str">
        <f>C3</f>
        <v>2017 - 2021, Inclusive</v>
      </c>
      <c r="R3" s="1008"/>
      <c r="S3" s="1008"/>
      <c r="T3" s="1008"/>
      <c r="U3" s="1008"/>
      <c r="V3" s="1008"/>
      <c r="W3" s="1008"/>
      <c r="X3" s="1008"/>
      <c r="Y3" s="1008"/>
      <c r="Z3" s="1008"/>
      <c r="AA3" s="1008"/>
      <c r="AB3" s="1008"/>
      <c r="AC3" s="1008"/>
      <c r="AD3" s="1008"/>
    </row>
    <row r="4" spans="1:30">
      <c r="Q4" s="763"/>
      <c r="R4" s="763"/>
      <c r="S4" s="764"/>
      <c r="T4" s="764"/>
      <c r="U4" s="763"/>
      <c r="V4" s="763"/>
      <c r="W4" s="763"/>
      <c r="X4" s="763"/>
      <c r="Y4" s="763"/>
      <c r="Z4" s="763"/>
      <c r="AA4" s="763"/>
      <c r="AB4" s="763"/>
      <c r="AC4" s="763"/>
    </row>
    <row r="5" spans="1:30">
      <c r="C5" s="377">
        <v>2021</v>
      </c>
      <c r="D5" s="377"/>
      <c r="E5" s="377">
        <f>C5-1</f>
        <v>2020</v>
      </c>
      <c r="F5" s="377"/>
      <c r="G5" s="377">
        <f t="shared" ref="G5:M5" si="0">E5-1</f>
        <v>2019</v>
      </c>
      <c r="H5" s="377"/>
      <c r="I5" s="377">
        <f t="shared" si="0"/>
        <v>2018</v>
      </c>
      <c r="J5" s="377"/>
      <c r="K5" s="377">
        <f t="shared" si="0"/>
        <v>2017</v>
      </c>
      <c r="L5" s="377"/>
      <c r="M5" s="377">
        <f t="shared" si="0"/>
        <v>2016</v>
      </c>
      <c r="N5" s="377"/>
      <c r="S5" s="764"/>
      <c r="T5" s="764"/>
      <c r="U5" s="763"/>
      <c r="V5" s="763"/>
      <c r="W5" s="763"/>
      <c r="X5" s="763"/>
      <c r="Y5" s="763"/>
      <c r="Z5" s="763"/>
      <c r="AA5" s="763"/>
    </row>
    <row r="6" spans="1:30">
      <c r="A6" s="196" t="s">
        <v>1</v>
      </c>
    </row>
    <row r="7" spans="1:30">
      <c r="A7" s="196" t="s">
        <v>2</v>
      </c>
      <c r="B7" s="196" t="s">
        <v>65</v>
      </c>
      <c r="C7" s="378"/>
      <c r="D7" s="378"/>
      <c r="E7" s="378"/>
      <c r="F7" s="378"/>
      <c r="G7" s="378"/>
      <c r="H7" s="378"/>
      <c r="I7" s="378"/>
      <c r="J7" s="378"/>
      <c r="K7" s="378"/>
      <c r="L7" s="378"/>
      <c r="M7" s="378"/>
      <c r="N7" s="378"/>
      <c r="S7" s="766">
        <f>C5</f>
        <v>2021</v>
      </c>
      <c r="T7" s="766"/>
      <c r="U7" s="766">
        <f>E5</f>
        <v>2020</v>
      </c>
      <c r="V7" s="766"/>
      <c r="W7" s="766">
        <f>G5</f>
        <v>2019</v>
      </c>
      <c r="X7" s="766"/>
      <c r="Y7" s="766">
        <f>I5</f>
        <v>2018</v>
      </c>
      <c r="Z7" s="766"/>
      <c r="AA7" s="766">
        <f>K5</f>
        <v>2017</v>
      </c>
      <c r="AB7" s="766"/>
    </row>
    <row r="8" spans="1:30">
      <c r="A8" s="196" t="s">
        <v>3</v>
      </c>
      <c r="B8" s="196" t="s">
        <v>66</v>
      </c>
      <c r="C8" s="378"/>
      <c r="D8" s="378"/>
      <c r="E8" s="378"/>
      <c r="F8" s="378"/>
      <c r="G8" s="378"/>
      <c r="H8" s="378"/>
      <c r="I8" s="378"/>
      <c r="J8" s="378"/>
      <c r="K8" s="378"/>
      <c r="L8" s="378"/>
      <c r="M8" s="378"/>
      <c r="N8" s="378"/>
      <c r="S8" s="763" t="s">
        <v>4406</v>
      </c>
      <c r="T8" s="763"/>
      <c r="U8" s="763"/>
      <c r="V8" s="763"/>
      <c r="W8" s="763"/>
      <c r="X8" s="763"/>
      <c r="Y8" s="763"/>
      <c r="Z8" s="763"/>
      <c r="AA8" s="763"/>
      <c r="AB8" s="763" t="s">
        <v>5</v>
      </c>
      <c r="AC8" s="763" t="s">
        <v>5</v>
      </c>
    </row>
    <row r="9" spans="1:30">
      <c r="C9" s="378"/>
      <c r="D9" s="378"/>
      <c r="E9" s="378"/>
      <c r="F9" s="378"/>
      <c r="G9" s="378"/>
      <c r="H9" s="378"/>
      <c r="I9" s="378"/>
      <c r="J9" s="378"/>
      <c r="K9" s="378"/>
      <c r="L9" s="378"/>
      <c r="M9" s="378"/>
      <c r="N9" s="378"/>
      <c r="Q9" s="767" t="s">
        <v>4405</v>
      </c>
      <c r="R9" s="767"/>
    </row>
    <row r="10" spans="1:30">
      <c r="A10" s="196" t="s">
        <v>8</v>
      </c>
      <c r="B10" s="196" t="s">
        <v>58</v>
      </c>
      <c r="C10" s="378"/>
      <c r="D10" s="378"/>
      <c r="E10" s="378"/>
      <c r="F10" s="378"/>
      <c r="G10" s="378"/>
      <c r="H10" s="378"/>
      <c r="I10" s="378"/>
      <c r="J10" s="378"/>
      <c r="K10" s="378"/>
      <c r="L10" s="378"/>
      <c r="M10" s="378"/>
      <c r="N10" s="378"/>
    </row>
    <row r="11" spans="1:30">
      <c r="A11" s="196" t="s">
        <v>10</v>
      </c>
      <c r="B11" s="196" t="s">
        <v>60</v>
      </c>
      <c r="C11" s="378"/>
      <c r="D11" s="378"/>
      <c r="E11" s="378"/>
      <c r="F11" s="378"/>
      <c r="G11" s="378"/>
      <c r="H11" s="378"/>
      <c r="I11" s="378"/>
      <c r="J11" s="378"/>
      <c r="K11" s="378"/>
      <c r="L11" s="378"/>
      <c r="M11" s="378"/>
      <c r="N11" s="378"/>
      <c r="Q11" s="767" t="s">
        <v>4407</v>
      </c>
      <c r="R11" s="767"/>
    </row>
    <row r="12" spans="1:30">
      <c r="A12" s="196" t="s">
        <v>49</v>
      </c>
      <c r="B12" s="196" t="s">
        <v>58</v>
      </c>
      <c r="C12" s="379"/>
      <c r="D12" s="379"/>
      <c r="E12" s="379"/>
      <c r="F12" s="379"/>
      <c r="G12" s="379"/>
      <c r="H12" s="379"/>
      <c r="I12" s="379"/>
      <c r="J12" s="379"/>
      <c r="K12" s="379"/>
      <c r="L12" s="379"/>
      <c r="M12" s="379"/>
      <c r="N12" s="379"/>
      <c r="Q12" s="765" t="s">
        <v>4408</v>
      </c>
      <c r="S12" s="768">
        <f>ROUND(AVERAGE('3. ATO:3. SR'!Q17),3)</f>
        <v>7455.2169999999996</v>
      </c>
      <c r="T12" s="768"/>
      <c r="U12" s="768">
        <f>ROUND(AVERAGE('3. ATO:3. SR'!S17),3)</f>
        <v>6855.835</v>
      </c>
      <c r="V12" s="768"/>
      <c r="W12" s="768">
        <f>ROUND(AVERAGE('3. ATO:3. SR'!U17),3)</f>
        <v>6012.4009999999998</v>
      </c>
      <c r="X12" s="768"/>
      <c r="Y12" s="768">
        <f>ROUND(AVERAGE('3. ATO:3. SR'!W17),3)</f>
        <v>5411.3450000000003</v>
      </c>
      <c r="Z12" s="768"/>
      <c r="AA12" s="768">
        <f>ROUND(AVERAGE('3. ATO:3. SR'!Y17),3)</f>
        <v>5040.6400000000003</v>
      </c>
    </row>
    <row r="13" spans="1:30">
      <c r="C13" s="378"/>
      <c r="D13" s="378"/>
      <c r="E13" s="378"/>
      <c r="F13" s="378"/>
      <c r="G13" s="378"/>
      <c r="H13" s="378"/>
      <c r="I13" s="378"/>
      <c r="J13" s="378"/>
      <c r="K13" s="378"/>
      <c r="L13" s="378"/>
      <c r="M13" s="378"/>
      <c r="N13" s="378"/>
      <c r="Q13" s="765" t="s">
        <v>4409</v>
      </c>
      <c r="S13" s="768">
        <f>ROUND(AVERAGE('3. ATO:3. SR'!Q18),3)</f>
        <v>415.46699999999998</v>
      </c>
      <c r="T13" s="768"/>
      <c r="U13" s="768">
        <f>ROUND(AVERAGE('3. ATO:3. SR'!S18),3)</f>
        <v>333.18299999999999</v>
      </c>
      <c r="V13" s="768"/>
      <c r="W13" s="768">
        <f>ROUND(AVERAGE('3. ATO:3. SR'!U18),3)</f>
        <v>612.06100000000004</v>
      </c>
      <c r="X13" s="768"/>
      <c r="Y13" s="768">
        <f>ROUND(AVERAGE('3. ATO:3. SR'!W18),3)</f>
        <v>629.27499999999998</v>
      </c>
      <c r="Z13" s="768"/>
      <c r="AA13" s="768">
        <f>ROUND(AVERAGE('3. ATO:3. SR'!Y18),3)</f>
        <v>468.02699999999999</v>
      </c>
    </row>
    <row r="14" spans="1:30" ht="21" thickBot="1">
      <c r="A14" s="196" t="s">
        <v>15</v>
      </c>
      <c r="B14" s="196" t="s">
        <v>67</v>
      </c>
      <c r="C14" s="378"/>
      <c r="D14" s="378"/>
      <c r="E14" s="378"/>
      <c r="F14" s="378"/>
      <c r="G14" s="378"/>
      <c r="H14" s="378"/>
      <c r="I14" s="378"/>
      <c r="J14" s="378"/>
      <c r="K14" s="378"/>
      <c r="L14" s="378"/>
      <c r="M14" s="378"/>
      <c r="N14" s="378"/>
      <c r="Q14" s="765" t="s">
        <v>4410</v>
      </c>
      <c r="S14" s="769">
        <f>SUM(S12:S13)</f>
        <v>7870.6839999999993</v>
      </c>
      <c r="T14" s="768"/>
      <c r="U14" s="769">
        <f>SUM(U12:U13)</f>
        <v>7189.018</v>
      </c>
      <c r="V14" s="768"/>
      <c r="W14" s="769">
        <f>SUM(W12:W13)</f>
        <v>6624.4619999999995</v>
      </c>
      <c r="X14" s="768"/>
      <c r="Y14" s="769">
        <f>SUM(Y12:Y13)</f>
        <v>6040.62</v>
      </c>
      <c r="Z14" s="768"/>
      <c r="AA14" s="769">
        <f>SUM(AA12:AA13)</f>
        <v>5508.6670000000004</v>
      </c>
    </row>
    <row r="15" spans="1:30" ht="21" thickTop="1">
      <c r="C15" s="379"/>
      <c r="D15" s="379"/>
      <c r="E15" s="379"/>
      <c r="F15" s="379"/>
      <c r="G15" s="379"/>
      <c r="H15" s="379"/>
      <c r="I15" s="379"/>
      <c r="J15" s="379"/>
      <c r="K15" s="379"/>
      <c r="L15" s="379"/>
      <c r="M15" s="379"/>
      <c r="N15" s="379"/>
    </row>
    <row r="16" spans="1:30">
      <c r="A16" s="196" t="s">
        <v>17</v>
      </c>
      <c r="B16" s="196" t="s">
        <v>61</v>
      </c>
      <c r="C16" s="378"/>
      <c r="D16" s="378"/>
      <c r="E16" s="378"/>
      <c r="F16" s="378"/>
      <c r="G16" s="378"/>
      <c r="H16" s="378"/>
      <c r="I16" s="378"/>
      <c r="J16" s="378"/>
      <c r="K16" s="378"/>
      <c r="L16" s="378"/>
      <c r="M16" s="378"/>
      <c r="N16" s="378"/>
      <c r="Q16" s="767" t="s">
        <v>4411</v>
      </c>
      <c r="R16" s="767"/>
      <c r="Y16" s="770"/>
      <c r="AA16" s="770"/>
    </row>
    <row r="17" spans="1:47">
      <c r="A17" s="196" t="s">
        <v>19</v>
      </c>
      <c r="B17" s="196" t="s">
        <v>143</v>
      </c>
      <c r="C17" s="378"/>
      <c r="D17" s="378"/>
      <c r="E17" s="378"/>
      <c r="F17" s="378"/>
      <c r="G17" s="378"/>
      <c r="H17" s="378"/>
      <c r="I17" s="378"/>
      <c r="J17" s="378"/>
      <c r="K17" s="378"/>
      <c r="L17" s="378"/>
      <c r="M17" s="378"/>
      <c r="N17" s="378"/>
      <c r="Q17" s="765" t="s">
        <v>4412</v>
      </c>
      <c r="S17" s="770">
        <f>ROUND(AVERAGE('3. ATO:3. SR'!Q22),3)</f>
        <v>2.95</v>
      </c>
      <c r="T17" s="771" t="s">
        <v>18</v>
      </c>
      <c r="U17" s="770">
        <f>ROUND(AVERAGE('3. ATO:3. SR'!S22),3)</f>
        <v>3.2879999999999998</v>
      </c>
      <c r="V17" s="771" t="s">
        <v>18</v>
      </c>
      <c r="W17" s="770">
        <f>ROUND(AVERAGE('3. ATO:3. SR'!U22),3)</f>
        <v>3.625</v>
      </c>
      <c r="X17" s="771" t="s">
        <v>18</v>
      </c>
      <c r="Y17" s="770">
        <f>ROUND(AVERAGE('3. ATO:3. SR'!W22),3)</f>
        <v>3.5680000000000001</v>
      </c>
      <c r="Z17" s="771" t="s">
        <v>18</v>
      </c>
      <c r="AA17" s="770">
        <f>ROUND(AVERAGE('3. ATO:3. SR'!Y22),3)</f>
        <v>3.7650000000000001</v>
      </c>
      <c r="AB17" s="771" t="s">
        <v>18</v>
      </c>
      <c r="AC17" s="772"/>
    </row>
    <row r="18" spans="1:47">
      <c r="A18" s="196" t="s">
        <v>21</v>
      </c>
      <c r="B18" s="196" t="s">
        <v>143</v>
      </c>
      <c r="C18" s="378"/>
      <c r="D18" s="378"/>
      <c r="E18" s="378"/>
      <c r="F18" s="378"/>
      <c r="G18" s="378"/>
      <c r="H18" s="378"/>
      <c r="I18" s="378"/>
      <c r="J18" s="378"/>
      <c r="K18" s="378"/>
      <c r="L18" s="378"/>
      <c r="M18" s="378"/>
      <c r="N18" s="378"/>
      <c r="Q18" s="765" t="s">
        <v>3</v>
      </c>
      <c r="S18" s="770">
        <f>ROUND(AVERAGE('3. ATO:3. SR'!Q23),3)</f>
        <v>5.33</v>
      </c>
      <c r="T18" s="771"/>
      <c r="U18" s="770">
        <f>ROUND(AVERAGE('3. ATO:3. SR'!S23),3)</f>
        <v>6.19</v>
      </c>
      <c r="V18" s="773"/>
      <c r="W18" s="770"/>
      <c r="X18" s="773"/>
      <c r="Y18" s="770"/>
      <c r="Z18" s="773"/>
      <c r="AA18" s="770"/>
      <c r="AB18" s="771"/>
    </row>
    <row r="19" spans="1:47">
      <c r="C19" s="378"/>
      <c r="D19" s="378"/>
      <c r="E19" s="378"/>
      <c r="F19" s="378"/>
      <c r="G19" s="378"/>
      <c r="H19" s="378"/>
      <c r="I19" s="378"/>
      <c r="J19" s="378"/>
      <c r="K19" s="378"/>
      <c r="L19" s="378"/>
      <c r="M19" s="378"/>
      <c r="N19" s="378"/>
      <c r="S19" s="770"/>
      <c r="U19" s="770"/>
      <c r="W19" s="770"/>
      <c r="Y19" s="770"/>
      <c r="AA19" s="770"/>
      <c r="AC19" s="1010" t="s">
        <v>4421</v>
      </c>
      <c r="AD19" s="1010"/>
    </row>
    <row r="20" spans="1:47">
      <c r="C20" s="379"/>
      <c r="D20" s="379"/>
      <c r="E20" s="379"/>
      <c r="F20" s="379"/>
      <c r="G20" s="379"/>
      <c r="H20" s="379"/>
      <c r="I20" s="379"/>
      <c r="J20" s="379"/>
      <c r="K20" s="379"/>
      <c r="L20" s="379"/>
      <c r="M20" s="379"/>
      <c r="N20" s="379"/>
      <c r="Q20" s="767" t="s">
        <v>4413</v>
      </c>
      <c r="R20" s="767"/>
      <c r="S20" s="770"/>
      <c r="U20" s="770"/>
      <c r="W20" s="770"/>
      <c r="Y20" s="770"/>
      <c r="AA20" s="770"/>
      <c r="AC20" s="1010" t="s">
        <v>80</v>
      </c>
      <c r="AD20" s="1010"/>
    </row>
    <row r="21" spans="1:47">
      <c r="A21" s="196" t="s">
        <v>26</v>
      </c>
      <c r="B21" s="196" t="s">
        <v>143</v>
      </c>
      <c r="C21" s="378"/>
      <c r="D21" s="378"/>
      <c r="E21" s="378"/>
      <c r="F21" s="378"/>
      <c r="G21" s="378"/>
      <c r="H21" s="378"/>
      <c r="I21" s="378"/>
      <c r="J21" s="378"/>
      <c r="K21" s="378"/>
      <c r="L21" s="378"/>
      <c r="M21" s="378"/>
      <c r="N21" s="378"/>
      <c r="Q21" s="765" t="s">
        <v>4414</v>
      </c>
      <c r="S21" s="770"/>
      <c r="U21" s="770"/>
      <c r="W21" s="770"/>
      <c r="Y21" s="770"/>
      <c r="AA21" s="770"/>
    </row>
    <row r="22" spans="1:47">
      <c r="C22" s="378"/>
      <c r="D22" s="378"/>
      <c r="E22" s="378"/>
      <c r="F22" s="378"/>
      <c r="G22" s="378"/>
      <c r="H22" s="378"/>
      <c r="I22" s="378"/>
      <c r="J22" s="378"/>
      <c r="K22" s="378"/>
      <c r="L22" s="378"/>
      <c r="M22" s="378"/>
      <c r="N22" s="378"/>
      <c r="Q22" s="765" t="s">
        <v>4415</v>
      </c>
      <c r="S22" s="770">
        <f>ROUND(AVERAGE('3. ATO:3. SR'!Q27),3)</f>
        <v>50.182000000000002</v>
      </c>
      <c r="T22" s="771" t="s">
        <v>18</v>
      </c>
      <c r="U22" s="770">
        <f>ROUND(AVERAGE('3. ATO:3. SR'!S27),3)</f>
        <v>50.033000000000001</v>
      </c>
      <c r="V22" s="771" t="s">
        <v>18</v>
      </c>
      <c r="W22" s="770">
        <f>ROUND(AVERAGE('3. ATO:3. SR'!U27),3)</f>
        <v>46.417000000000002</v>
      </c>
      <c r="X22" s="771" t="s">
        <v>18</v>
      </c>
      <c r="Y22" s="770">
        <f>ROUND(AVERAGE('3. ATO:3. SR'!W27),3)</f>
        <v>46.027999999999999</v>
      </c>
      <c r="Z22" s="771" t="s">
        <v>18</v>
      </c>
      <c r="AA22" s="770">
        <f>ROUND(AVERAGE('3. ATO:3. SR'!Y27),3)</f>
        <v>49.527000000000001</v>
      </c>
      <c r="AB22" s="771" t="s">
        <v>18</v>
      </c>
      <c r="AC22" s="770">
        <f>ROUND(AVERAGE(S22:AA22),2)</f>
        <v>48.44</v>
      </c>
      <c r="AD22" s="774" t="s">
        <v>18</v>
      </c>
    </row>
    <row r="23" spans="1:47">
      <c r="A23" s="196" t="s">
        <v>37</v>
      </c>
      <c r="B23" s="196" t="s">
        <v>37</v>
      </c>
      <c r="C23" s="379"/>
      <c r="D23" s="379"/>
      <c r="E23" s="379"/>
      <c r="F23" s="379"/>
      <c r="G23" s="379"/>
      <c r="H23" s="379"/>
      <c r="I23" s="379"/>
      <c r="J23" s="379"/>
      <c r="K23" s="379"/>
      <c r="L23" s="379"/>
      <c r="M23" s="379"/>
      <c r="N23" s="379"/>
      <c r="Q23" s="765" t="s">
        <v>4416</v>
      </c>
      <c r="S23" s="770">
        <f>ROUND(AVERAGE('3. ATO:3. SR'!Q28),3)</f>
        <v>2.3050000000000002</v>
      </c>
      <c r="T23" s="774"/>
      <c r="U23" s="770">
        <f>ROUND(AVERAGE('3. ATO:3. SR'!S28),3)</f>
        <v>1.7829999999999999</v>
      </c>
      <c r="V23" s="774"/>
      <c r="W23" s="770">
        <f>ROUND(AVERAGE('3. ATO:3. SR'!U28),3)</f>
        <v>1.923</v>
      </c>
      <c r="X23" s="774"/>
      <c r="Y23" s="770">
        <f>ROUND(AVERAGE('3. ATO:3. SR'!W28),3)</f>
        <v>1.137</v>
      </c>
      <c r="Z23" s="774"/>
      <c r="AA23" s="770">
        <f>ROUND(AVERAGE('3. ATO:3. SR'!Y28),3)</f>
        <v>0</v>
      </c>
      <c r="AB23" s="774"/>
      <c r="AC23" s="770">
        <f>ROUND(AVERAGE(S23:AA23),2)-0</f>
        <v>1.43</v>
      </c>
      <c r="AD23" s="774"/>
    </row>
    <row r="24" spans="1:47">
      <c r="Q24" s="765" t="s">
        <v>4417</v>
      </c>
      <c r="S24" s="775">
        <f>ROUND(AVERAGE('3. ATO:3. SR'!Q29),3)</f>
        <v>47.512999999999998</v>
      </c>
      <c r="T24" s="774"/>
      <c r="U24" s="775">
        <f>ROUND(AVERAGE('3. ATO:3. SR'!S29),3)</f>
        <v>48.183</v>
      </c>
      <c r="V24" s="774"/>
      <c r="W24" s="775">
        <f>ROUND(AVERAGE('3. ATO:3. SR'!U29),3)</f>
        <v>51.658000000000001</v>
      </c>
      <c r="X24" s="774"/>
      <c r="Y24" s="775">
        <f>ROUND(AVERAGE('3. ATO:3. SR'!W29),3)</f>
        <v>52.835000000000001</v>
      </c>
      <c r="Z24" s="774"/>
      <c r="AA24" s="775">
        <f>ROUND(AVERAGE('3. ATO:3. SR'!Y29),3)</f>
        <v>50.472999999999999</v>
      </c>
      <c r="AB24" s="774"/>
      <c r="AC24" s="775">
        <f>ROUND(AVERAGE(S24:AA24),2)</f>
        <v>50.13</v>
      </c>
      <c r="AD24" s="774"/>
    </row>
    <row r="25" spans="1:47" ht="21" thickBot="1">
      <c r="A25" s="196" t="s">
        <v>42</v>
      </c>
      <c r="B25" s="196" t="s">
        <v>62</v>
      </c>
      <c r="C25" s="379"/>
      <c r="D25" s="379"/>
      <c r="E25" s="379"/>
      <c r="F25" s="379"/>
      <c r="G25" s="379"/>
      <c r="H25" s="379"/>
      <c r="I25" s="379"/>
      <c r="J25" s="379"/>
      <c r="K25" s="379"/>
      <c r="L25" s="379"/>
      <c r="M25" s="379"/>
      <c r="N25" s="379"/>
      <c r="Q25" s="765" t="s">
        <v>4418</v>
      </c>
      <c r="S25" s="776">
        <f>ROUND(SUM(S22:S24),4)</f>
        <v>100</v>
      </c>
      <c r="T25" s="774" t="s">
        <v>18</v>
      </c>
      <c r="U25" s="776">
        <f>ROUND(SUM(U22:U24),2)</f>
        <v>100</v>
      </c>
      <c r="V25" s="774" t="s">
        <v>18</v>
      </c>
      <c r="W25" s="776">
        <f>ROUND(SUM(W22:W24),2)</f>
        <v>100</v>
      </c>
      <c r="X25" s="774" t="s">
        <v>18</v>
      </c>
      <c r="Y25" s="776">
        <f>ROUND(SUM(Y22:Y24),2)</f>
        <v>100</v>
      </c>
      <c r="Z25" s="774" t="s">
        <v>18</v>
      </c>
      <c r="AA25" s="776">
        <f>ROUND(SUM(AA22:AA24),2)</f>
        <v>100</v>
      </c>
      <c r="AB25" s="774" t="s">
        <v>18</v>
      </c>
      <c r="AC25" s="776">
        <f>ROUND(SUM(AC22:AC24),2)</f>
        <v>100</v>
      </c>
      <c r="AD25" s="774" t="s">
        <v>18</v>
      </c>
    </row>
    <row r="26" spans="1:47" ht="21" thickTop="1">
      <c r="C26" s="379"/>
      <c r="D26" s="379"/>
      <c r="E26" s="379"/>
      <c r="F26" s="379"/>
      <c r="G26" s="379"/>
      <c r="H26" s="379"/>
      <c r="I26" s="379"/>
      <c r="J26" s="379"/>
      <c r="K26" s="379"/>
      <c r="L26" s="379"/>
      <c r="M26" s="379"/>
      <c r="N26" s="379"/>
      <c r="S26" s="770"/>
      <c r="T26" s="774"/>
      <c r="U26" s="770"/>
      <c r="V26" s="774"/>
      <c r="W26" s="770"/>
      <c r="X26" s="774"/>
      <c r="Y26" s="770"/>
      <c r="Z26" s="774"/>
      <c r="AA26" s="770"/>
      <c r="AB26" s="774"/>
      <c r="AC26" s="770"/>
      <c r="AD26" s="774"/>
      <c r="AT26" s="382"/>
      <c r="AU26" s="382"/>
    </row>
    <row r="27" spans="1:47">
      <c r="A27" s="196" t="s">
        <v>43</v>
      </c>
      <c r="B27" s="196" t="s">
        <v>63</v>
      </c>
      <c r="C27" s="379"/>
      <c r="D27" s="379"/>
      <c r="E27" s="379"/>
      <c r="F27" s="379"/>
      <c r="G27" s="379"/>
      <c r="H27" s="379"/>
      <c r="I27" s="379"/>
      <c r="J27" s="379"/>
      <c r="K27" s="379"/>
      <c r="L27" s="379"/>
      <c r="M27" s="379"/>
      <c r="N27" s="379"/>
      <c r="Q27" s="765" t="s">
        <v>4419</v>
      </c>
      <c r="S27" s="770"/>
      <c r="T27" s="774"/>
      <c r="U27" s="770"/>
      <c r="V27" s="774"/>
      <c r="W27" s="770"/>
      <c r="X27" s="774"/>
      <c r="Y27" s="770"/>
      <c r="Z27" s="774"/>
      <c r="AA27" s="770"/>
      <c r="AB27" s="774"/>
      <c r="AC27" s="770"/>
      <c r="AD27" s="774"/>
      <c r="AT27" s="382"/>
      <c r="AU27" s="382"/>
    </row>
    <row r="28" spans="1:47">
      <c r="A28" s="383"/>
      <c r="B28" s="383"/>
      <c r="C28" s="378"/>
      <c r="D28" s="378"/>
      <c r="E28" s="378"/>
      <c r="F28" s="378"/>
      <c r="G28" s="378"/>
      <c r="H28" s="378"/>
      <c r="I28" s="378"/>
      <c r="J28" s="378"/>
      <c r="K28" s="378"/>
      <c r="L28" s="378"/>
      <c r="M28" s="378"/>
      <c r="N28" s="378"/>
      <c r="Q28" s="765" t="s">
        <v>4420</v>
      </c>
      <c r="S28" s="770">
        <f>ROUND(AVERAGE('3. ATO:3. SR'!Q33),3)</f>
        <v>54.262999999999998</v>
      </c>
      <c r="T28" s="771" t="s">
        <v>18</v>
      </c>
      <c r="U28" s="770">
        <f>ROUND(AVERAGE('3. ATO:3. SR'!S33),3)</f>
        <v>53.512999999999998</v>
      </c>
      <c r="V28" s="771" t="s">
        <v>18</v>
      </c>
      <c r="W28" s="770">
        <f>ROUND(AVERAGE('3. ATO:3. SR'!U33),3)</f>
        <v>51.06</v>
      </c>
      <c r="X28" s="771" t="s">
        <v>18</v>
      </c>
      <c r="Y28" s="770">
        <f>ROUND(AVERAGE('3. ATO:3. SR'!W33),3)</f>
        <v>51.143000000000001</v>
      </c>
      <c r="Z28" s="771" t="s">
        <v>18</v>
      </c>
      <c r="AA28" s="770">
        <f>ROUND(AVERAGE('3. ATO:3. SR'!Y33),3)</f>
        <v>53.667999999999999</v>
      </c>
      <c r="AB28" s="774" t="s">
        <v>18</v>
      </c>
      <c r="AC28" s="770">
        <f>ROUND(AVERAGE(S28:AA28),2)</f>
        <v>52.73</v>
      </c>
      <c r="AD28" s="774" t="s">
        <v>18</v>
      </c>
    </row>
    <row r="29" spans="1:47">
      <c r="A29" s="196" t="s">
        <v>46</v>
      </c>
      <c r="B29" s="196" t="s">
        <v>70</v>
      </c>
      <c r="C29" s="378"/>
      <c r="D29" s="378"/>
      <c r="E29" s="378"/>
      <c r="F29" s="378"/>
      <c r="G29" s="378"/>
      <c r="H29" s="378"/>
      <c r="I29" s="378"/>
      <c r="J29" s="378"/>
      <c r="K29" s="378"/>
      <c r="L29" s="378"/>
      <c r="M29" s="378"/>
      <c r="N29" s="378"/>
      <c r="Q29" s="765" t="s">
        <v>4416</v>
      </c>
      <c r="S29" s="770">
        <f>ROUND(AVERAGE('3. ATO:3. SR'!Q34),3)</f>
        <v>2.177</v>
      </c>
      <c r="T29" s="774"/>
      <c r="U29" s="770">
        <f>ROUND(AVERAGE('3. ATO:3. SR'!S34),3)</f>
        <v>1.66</v>
      </c>
      <c r="V29" s="774"/>
      <c r="W29" s="770">
        <f>ROUND(AVERAGE('3. ATO:3. SR'!U34),3)</f>
        <v>1.6830000000000001</v>
      </c>
      <c r="X29" s="774"/>
      <c r="Y29" s="770">
        <f>ROUND(AVERAGE('3. ATO:3. SR'!W34),3)</f>
        <v>0.98499999999999999</v>
      </c>
      <c r="Z29" s="774"/>
      <c r="AA29" s="770">
        <f>ROUND(AVERAGE('3. ATO:3. SR'!Y34),3)</f>
        <v>0</v>
      </c>
      <c r="AB29" s="774"/>
      <c r="AC29" s="770">
        <f>ROUND(AVERAGE(S29:AA29),2)</f>
        <v>1.3</v>
      </c>
      <c r="AD29" s="774"/>
    </row>
    <row r="30" spans="1:47">
      <c r="C30" s="379"/>
      <c r="D30" s="379"/>
      <c r="E30" s="379"/>
      <c r="F30" s="379"/>
      <c r="G30" s="379"/>
      <c r="H30" s="379"/>
      <c r="I30" s="379"/>
      <c r="J30" s="379"/>
      <c r="K30" s="379"/>
      <c r="L30" s="379"/>
      <c r="M30" s="379"/>
      <c r="N30" s="379"/>
      <c r="Q30" s="765" t="s">
        <v>4417</v>
      </c>
      <c r="S30" s="775">
        <f>ROUND(AVERAGE('3. ATO:3. SR'!Q35),3)</f>
        <v>43.56</v>
      </c>
      <c r="T30" s="774"/>
      <c r="U30" s="775">
        <f>ROUND(AVERAGE('3. ATO:3. SR'!S35),3)</f>
        <v>44.826999999999998</v>
      </c>
      <c r="V30" s="774"/>
      <c r="W30" s="775">
        <f>ROUND(AVERAGE('3. ATO:3. SR'!U35),3)</f>
        <v>47.255000000000003</v>
      </c>
      <c r="X30" s="774"/>
      <c r="Y30" s="775">
        <f>ROUND(AVERAGE('3. ATO:3. SR'!W35),3)</f>
        <v>47.872</v>
      </c>
      <c r="Z30" s="774"/>
      <c r="AA30" s="775">
        <f>ROUND(AVERAGE('3. ATO:3. SR'!Y35),3)</f>
        <v>46.332000000000001</v>
      </c>
      <c r="AB30" s="774"/>
      <c r="AC30" s="775">
        <f>ROUND(AVERAGE(S30:AA30),2)</f>
        <v>45.97</v>
      </c>
      <c r="AD30" s="774"/>
    </row>
    <row r="31" spans="1:47" ht="21" thickBot="1">
      <c r="A31" s="196" t="s">
        <v>45</v>
      </c>
      <c r="B31" s="196" t="s">
        <v>68</v>
      </c>
      <c r="C31" s="378"/>
      <c r="D31" s="378"/>
      <c r="E31" s="378"/>
      <c r="F31" s="378"/>
      <c r="G31" s="378"/>
      <c r="H31" s="378"/>
      <c r="I31" s="378"/>
      <c r="J31" s="378"/>
      <c r="K31" s="378"/>
      <c r="L31" s="378"/>
      <c r="M31" s="378"/>
      <c r="N31" s="378"/>
      <c r="Q31" s="765" t="s">
        <v>4418</v>
      </c>
      <c r="S31" s="776">
        <f>ROUND(SUM(S28:S30),2)</f>
        <v>100</v>
      </c>
      <c r="T31" s="774" t="s">
        <v>18</v>
      </c>
      <c r="U31" s="776">
        <f>ROUND(SUM(U28:U30),2)</f>
        <v>100</v>
      </c>
      <c r="V31" s="774" t="s">
        <v>18</v>
      </c>
      <c r="W31" s="776">
        <f>ROUND(SUM(W28:W30),2)</f>
        <v>100</v>
      </c>
      <c r="X31" s="774" t="s">
        <v>18</v>
      </c>
      <c r="Y31" s="776">
        <f>ROUND(SUM(Y28:Y30),2)</f>
        <v>100</v>
      </c>
      <c r="Z31" s="774" t="s">
        <v>18</v>
      </c>
      <c r="AA31" s="776">
        <f>ROUND(SUM(AA28:AA30),2)</f>
        <v>100</v>
      </c>
      <c r="AB31" s="774" t="s">
        <v>18</v>
      </c>
      <c r="AC31" s="776">
        <f>ROUND(SUM(AC28:AC30),2)</f>
        <v>100</v>
      </c>
      <c r="AD31" s="774" t="s">
        <v>18</v>
      </c>
    </row>
    <row r="32" spans="1:47" ht="21" thickTop="1">
      <c r="C32" s="378"/>
      <c r="D32" s="378"/>
      <c r="E32" s="378"/>
      <c r="F32" s="378"/>
      <c r="G32" s="378"/>
      <c r="H32" s="378"/>
      <c r="I32" s="378"/>
      <c r="J32" s="378"/>
      <c r="K32" s="378"/>
      <c r="L32" s="378"/>
      <c r="M32" s="378"/>
      <c r="N32" s="378"/>
      <c r="S32" s="770"/>
      <c r="U32" s="770"/>
      <c r="W32" s="770"/>
      <c r="Y32" s="770"/>
      <c r="AA32" s="770"/>
      <c r="AC32" s="770"/>
      <c r="AQ32" s="382"/>
      <c r="AR32" s="382"/>
      <c r="AS32" s="382"/>
      <c r="AT32" s="382"/>
      <c r="AU32" s="382"/>
    </row>
    <row r="33" spans="1:43">
      <c r="A33" s="196" t="s">
        <v>47</v>
      </c>
      <c r="B33" s="196" t="s">
        <v>64</v>
      </c>
      <c r="C33" s="379"/>
      <c r="D33" s="379"/>
      <c r="E33" s="379"/>
      <c r="F33" s="379"/>
      <c r="G33" s="379"/>
      <c r="H33" s="379"/>
      <c r="I33" s="379"/>
      <c r="J33" s="379"/>
      <c r="K33" s="379"/>
      <c r="L33" s="379"/>
      <c r="M33" s="379"/>
      <c r="N33" s="379"/>
      <c r="U33" s="770"/>
      <c r="AQ33" s="381"/>
    </row>
    <row r="34" spans="1:43">
      <c r="C34" s="378"/>
      <c r="D34" s="378"/>
      <c r="E34" s="378"/>
      <c r="F34" s="378"/>
      <c r="G34" s="378"/>
      <c r="H34" s="378"/>
      <c r="I34" s="378"/>
      <c r="J34" s="378"/>
      <c r="K34" s="378"/>
      <c r="L34" s="378"/>
      <c r="M34" s="378"/>
      <c r="N34" s="378"/>
    </row>
    <row r="35" spans="1:43">
      <c r="A35" s="196" t="s">
        <v>55</v>
      </c>
      <c r="B35" s="196" t="s">
        <v>69</v>
      </c>
      <c r="C35" s="379"/>
      <c r="D35" s="379"/>
      <c r="E35" s="379"/>
      <c r="F35" s="379"/>
      <c r="G35" s="379"/>
      <c r="H35" s="379"/>
      <c r="I35" s="379"/>
      <c r="J35" s="379"/>
      <c r="K35" s="379"/>
      <c r="L35" s="379"/>
      <c r="M35" s="379"/>
      <c r="N35" s="379"/>
      <c r="Q35" s="767" t="s">
        <v>4422</v>
      </c>
      <c r="R35" s="767"/>
    </row>
    <row r="36" spans="1:43">
      <c r="A36" s="196" t="s">
        <v>72</v>
      </c>
      <c r="B36" s="196" t="s">
        <v>71</v>
      </c>
      <c r="C36" s="379"/>
      <c r="D36" s="379"/>
      <c r="E36" s="379"/>
      <c r="F36" s="379"/>
      <c r="G36" s="379"/>
      <c r="H36" s="379"/>
      <c r="I36" s="379"/>
      <c r="J36" s="379"/>
      <c r="K36" s="379"/>
      <c r="L36" s="379"/>
      <c r="M36" s="379"/>
      <c r="N36" s="379"/>
      <c r="Q36" s="767"/>
      <c r="R36" s="767"/>
    </row>
    <row r="37" spans="1:43">
      <c r="A37" s="196" t="s">
        <v>4096</v>
      </c>
      <c r="B37" s="196" t="s">
        <v>4097</v>
      </c>
      <c r="C37" s="378"/>
      <c r="D37" s="378"/>
      <c r="E37" s="378"/>
      <c r="F37" s="378"/>
      <c r="G37" s="378"/>
      <c r="H37" s="378"/>
      <c r="I37" s="378"/>
      <c r="J37" s="378"/>
      <c r="K37" s="378"/>
      <c r="L37" s="378"/>
      <c r="M37" s="378"/>
      <c r="N37" s="378"/>
      <c r="Q37" s="767" t="s">
        <v>4423</v>
      </c>
    </row>
    <row r="38" spans="1:43">
      <c r="A38" s="196" t="s">
        <v>4098</v>
      </c>
      <c r="B38" s="196" t="s">
        <v>4099</v>
      </c>
      <c r="C38" s="379"/>
      <c r="D38" s="379"/>
      <c r="E38" s="379"/>
      <c r="F38" s="379"/>
      <c r="G38" s="379"/>
      <c r="H38" s="379"/>
      <c r="I38" s="379"/>
      <c r="J38" s="379"/>
      <c r="K38" s="379"/>
      <c r="L38" s="379"/>
      <c r="M38" s="379"/>
      <c r="N38" s="379"/>
      <c r="Q38" s="765" t="s">
        <v>4424</v>
      </c>
      <c r="S38" s="770">
        <f>ROUND(AVERAGE('3. ATO:3. SR'!Q43),3)</f>
        <v>5.2450000000000001</v>
      </c>
      <c r="T38" s="771" t="s">
        <v>18</v>
      </c>
      <c r="U38" s="770">
        <f>ROUND(AVERAGE('3. ATO:3. SR'!S43),3)</f>
        <v>3.448</v>
      </c>
      <c r="V38" s="771" t="s">
        <v>18</v>
      </c>
      <c r="W38" s="770">
        <f>ROUND(AVERAGE('3. ATO:3. SR'!U43),3)</f>
        <v>3.84</v>
      </c>
      <c r="X38" s="771" t="s">
        <v>18</v>
      </c>
      <c r="Y38" s="770">
        <f>ROUND(AVERAGE('3. ATO:3. SR'!W43),3)</f>
        <v>4.3150000000000004</v>
      </c>
      <c r="Z38" s="771" t="s">
        <v>18</v>
      </c>
      <c r="AA38" s="770">
        <f>ROUND(AVERAGE('3. ATO:3. SR'!Y43),3)</f>
        <v>2.742</v>
      </c>
      <c r="AB38" s="771" t="s">
        <v>18</v>
      </c>
      <c r="AC38" s="770">
        <f>ROUND(AVERAGE(S38:AA38),2)</f>
        <v>3.92</v>
      </c>
      <c r="AD38" s="771" t="s">
        <v>18</v>
      </c>
    </row>
    <row r="39" spans="1:43">
      <c r="C39" s="378"/>
      <c r="D39" s="378"/>
      <c r="E39" s="378"/>
      <c r="F39" s="378"/>
      <c r="G39" s="378"/>
      <c r="H39" s="378"/>
      <c r="I39" s="378"/>
      <c r="J39" s="378"/>
      <c r="K39" s="378"/>
      <c r="L39" s="378"/>
      <c r="M39" s="378"/>
      <c r="N39" s="378"/>
      <c r="Q39" s="765" t="s">
        <v>4425</v>
      </c>
      <c r="S39" s="770">
        <f>ROUND(AVERAGE('3. ATO:3. SR'!Q44),3)</f>
        <v>176.322</v>
      </c>
      <c r="T39" s="771"/>
      <c r="U39" s="770">
        <f>ROUND(AVERAGE('3. ATO:3. SR'!S44),3)</f>
        <v>191.59700000000001</v>
      </c>
      <c r="V39" s="771"/>
      <c r="W39" s="770">
        <f>ROUND(AVERAGE('3. ATO:3. SR'!U44),3)</f>
        <v>224.792</v>
      </c>
      <c r="X39" s="771"/>
      <c r="Y39" s="770">
        <f>ROUND(AVERAGE('3. ATO:3. SR'!W44),3)</f>
        <v>213.84800000000001</v>
      </c>
      <c r="Z39" s="771"/>
      <c r="AA39" s="770">
        <f>ROUND(AVERAGE('3. ATO:3. SR'!Y44),3)</f>
        <v>213.577</v>
      </c>
      <c r="AC39" s="770">
        <f>ROUND(AVERAGE(S39:AA39),2)</f>
        <v>204.03</v>
      </c>
    </row>
    <row r="40" spans="1:43">
      <c r="C40" s="384"/>
      <c r="D40" s="384"/>
      <c r="E40" s="384"/>
      <c r="F40" s="384"/>
      <c r="G40" s="384"/>
      <c r="H40" s="384"/>
      <c r="I40" s="384"/>
      <c r="J40" s="384"/>
      <c r="K40" s="384"/>
      <c r="L40" s="384"/>
      <c r="M40" s="384"/>
      <c r="N40" s="384"/>
      <c r="Q40" s="765" t="s">
        <v>4426</v>
      </c>
      <c r="S40" s="770">
        <f>ROUND(AVERAGE('3. ATO:3. SR'!Q45),3)</f>
        <v>3.4369999999999998</v>
      </c>
      <c r="T40" s="771"/>
      <c r="U40" s="770">
        <f>ROUND(AVERAGE('3. ATO:3. SR'!S45),3)</f>
        <v>3.1019999999999999</v>
      </c>
      <c r="V40" s="771"/>
      <c r="W40" s="770">
        <f>ROUND(AVERAGE('3. ATO:3. SR'!U45),3)</f>
        <v>2.6080000000000001</v>
      </c>
      <c r="X40" s="771"/>
      <c r="Y40" s="770">
        <f>ROUND(AVERAGE('3. ATO:3. SR'!W45),3)</f>
        <v>2.7749999999999999</v>
      </c>
      <c r="Z40" s="771"/>
      <c r="AA40" s="770">
        <f>ROUND(AVERAGE('3. ATO:3. SR'!Y45),3)</f>
        <v>2.7130000000000001</v>
      </c>
      <c r="AC40" s="770">
        <f>ROUND(AVERAGE(S40:AA40),2)</f>
        <v>2.93</v>
      </c>
    </row>
    <row r="41" spans="1:43">
      <c r="A41" s="196" t="s">
        <v>59</v>
      </c>
      <c r="C41" s="378"/>
      <c r="D41" s="378"/>
      <c r="E41" s="378"/>
      <c r="F41" s="378"/>
      <c r="G41" s="378"/>
      <c r="H41" s="378"/>
      <c r="I41" s="378"/>
      <c r="J41" s="378"/>
      <c r="K41" s="378"/>
      <c r="L41" s="378"/>
      <c r="M41" s="378"/>
      <c r="N41" s="378"/>
      <c r="Q41" s="765" t="s">
        <v>4427</v>
      </c>
      <c r="R41" s="767"/>
      <c r="S41" s="770">
        <f>ROUND(AVERAGE('3. ATO:3. SR'!Q46),3)</f>
        <v>60.268000000000001</v>
      </c>
      <c r="T41" s="771"/>
      <c r="U41" s="770">
        <f>ROUND(AVERAGE('3. ATO:3. SR'!S46),3)</f>
        <v>83.215999999999994</v>
      </c>
      <c r="V41" s="771"/>
      <c r="W41" s="770">
        <f>ROUND(AVERAGE('3. ATO:3. SR'!U46),3)</f>
        <v>69.247</v>
      </c>
      <c r="X41" s="771"/>
      <c r="Y41" s="770">
        <f>ROUND(AVERAGE('3. ATO:3. SR'!W46),3)</f>
        <v>54</v>
      </c>
      <c r="Z41" s="771"/>
      <c r="AA41" s="770">
        <f>ROUND(AVERAGE('3. ATO:3. SR'!Y46),3)</f>
        <v>51.637</v>
      </c>
      <c r="AC41" s="770">
        <f>ROUND(AVERAGE(S41:AA41),2)</f>
        <v>63.67</v>
      </c>
    </row>
    <row r="42" spans="1:43">
      <c r="C42" s="379"/>
      <c r="D42" s="379"/>
      <c r="E42" s="379"/>
      <c r="F42" s="379"/>
      <c r="G42" s="379"/>
      <c r="H42" s="379"/>
      <c r="I42" s="379"/>
      <c r="J42" s="379"/>
      <c r="K42" s="379"/>
      <c r="L42" s="379"/>
      <c r="M42" s="379"/>
      <c r="N42" s="379"/>
      <c r="S42" s="770"/>
      <c r="U42" s="770"/>
      <c r="W42" s="770"/>
      <c r="Y42" s="770"/>
      <c r="AA42" s="770"/>
      <c r="AC42" s="770"/>
    </row>
    <row r="43" spans="1:43">
      <c r="A43" s="196" t="s">
        <v>7</v>
      </c>
      <c r="B43" s="196" t="s">
        <v>50</v>
      </c>
      <c r="C43" s="378"/>
      <c r="D43" s="378"/>
      <c r="E43" s="378"/>
      <c r="F43" s="378"/>
      <c r="G43" s="378"/>
      <c r="H43" s="378"/>
      <c r="I43" s="378"/>
      <c r="J43" s="378"/>
      <c r="K43" s="378"/>
      <c r="L43" s="378"/>
      <c r="M43" s="378"/>
      <c r="N43" s="378"/>
      <c r="Q43" s="767" t="s">
        <v>4428</v>
      </c>
      <c r="R43" s="767"/>
      <c r="S43" s="770">
        <f>ROUND(AVERAGE('3. ATO:3. SR'!Q48),3)</f>
        <v>9.8480000000000008</v>
      </c>
      <c r="T43" s="765" t="s">
        <v>18</v>
      </c>
      <c r="U43" s="770">
        <f>ROUND(AVERAGE('3. ATO:3. SR'!S48),3)</f>
        <v>6.7530000000000001</v>
      </c>
      <c r="V43" s="765" t="s">
        <v>18</v>
      </c>
      <c r="W43" s="770">
        <f>ROUND(AVERAGE('3. ATO:3. SR'!U48),3)</f>
        <v>8.68</v>
      </c>
      <c r="X43" s="765" t="s">
        <v>18</v>
      </c>
      <c r="Y43" s="770">
        <f>ROUND(AVERAGE('3. ATO:3. SR'!W48),3)</f>
        <v>9.5519999999999996</v>
      </c>
      <c r="Z43" s="765" t="s">
        <v>18</v>
      </c>
      <c r="AA43" s="770">
        <f>ROUND(AVERAGE('3. ATO:3. SR'!Y48),3)</f>
        <v>5.8179999999999996</v>
      </c>
      <c r="AB43" s="765" t="s">
        <v>18</v>
      </c>
      <c r="AC43" s="770">
        <f>ROUND(AVERAGE(S43:AA43),2)</f>
        <v>8.1300000000000008</v>
      </c>
      <c r="AD43" s="765" t="s">
        <v>18</v>
      </c>
    </row>
    <row r="44" spans="1:43">
      <c r="C44" s="378"/>
      <c r="D44" s="378"/>
      <c r="E44" s="378"/>
      <c r="F44" s="378"/>
      <c r="G44" s="378"/>
      <c r="H44" s="378"/>
      <c r="I44" s="378"/>
      <c r="J44" s="378"/>
      <c r="K44" s="378"/>
      <c r="L44" s="378"/>
      <c r="M44" s="378"/>
      <c r="N44" s="378"/>
      <c r="S44" s="770"/>
      <c r="U44" s="770"/>
      <c r="W44" s="770"/>
      <c r="Y44" s="770"/>
      <c r="AA44" s="770"/>
      <c r="AC44" s="770"/>
    </row>
    <row r="45" spans="1:43">
      <c r="A45" s="196" t="s">
        <v>13</v>
      </c>
      <c r="B45" s="196" t="s">
        <v>50</v>
      </c>
      <c r="C45" s="379"/>
      <c r="D45" s="379"/>
      <c r="E45" s="379"/>
      <c r="F45" s="379"/>
      <c r="G45" s="379"/>
      <c r="H45" s="379"/>
      <c r="I45" s="379"/>
      <c r="J45" s="379"/>
      <c r="K45" s="379"/>
      <c r="L45" s="379"/>
      <c r="M45" s="379"/>
      <c r="N45" s="379"/>
      <c r="Q45" s="767" t="s">
        <v>4429</v>
      </c>
      <c r="S45" s="770">
        <f>ROUND(AVERAGE('3. ATO:3. SR'!Q50),3)</f>
        <v>5.0949999999999998</v>
      </c>
      <c r="T45" s="771" t="s">
        <v>44</v>
      </c>
      <c r="U45" s="770">
        <f>ROUND(AVERAGE('3. ATO:3. SR'!S50),3)</f>
        <v>6.0279999999999996</v>
      </c>
      <c r="V45" s="771" t="s">
        <v>44</v>
      </c>
      <c r="W45" s="770">
        <f>ROUND(AVERAGE('3. ATO:3. SR'!U50),3)</f>
        <v>4.9630000000000001</v>
      </c>
      <c r="X45" s="771" t="s">
        <v>44</v>
      </c>
      <c r="Y45" s="770">
        <f>ROUND(AVERAGE('3. ATO:3. SR'!W50),3)</f>
        <v>5.0129999999999999</v>
      </c>
      <c r="Z45" s="771" t="s">
        <v>44</v>
      </c>
      <c r="AA45" s="770">
        <f>ROUND(AVERAGE('3. ATO:3. SR'!Y50),3)</f>
        <v>7.6529999999999996</v>
      </c>
      <c r="AB45" s="771" t="s">
        <v>44</v>
      </c>
      <c r="AC45" s="770">
        <f>ROUND(AVERAGE(S45:AA45),2)</f>
        <v>5.75</v>
      </c>
      <c r="AD45" s="771" t="s">
        <v>44</v>
      </c>
    </row>
    <row r="46" spans="1:43">
      <c r="C46" s="378"/>
      <c r="D46" s="378"/>
      <c r="E46" s="378"/>
      <c r="F46" s="378"/>
      <c r="G46" s="378"/>
      <c r="H46" s="378"/>
      <c r="I46" s="378"/>
      <c r="J46" s="378"/>
      <c r="K46" s="378"/>
      <c r="L46" s="378"/>
      <c r="M46" s="378"/>
      <c r="N46" s="378"/>
      <c r="Q46" s="767"/>
      <c r="S46" s="770"/>
      <c r="U46" s="770"/>
      <c r="W46" s="770"/>
      <c r="Y46" s="770"/>
      <c r="AA46" s="770"/>
      <c r="AC46" s="770"/>
    </row>
    <row r="47" spans="1:43">
      <c r="A47" s="196" t="s">
        <v>23</v>
      </c>
      <c r="B47" s="196" t="s">
        <v>50</v>
      </c>
      <c r="C47" s="378"/>
      <c r="D47" s="378"/>
      <c r="E47" s="378"/>
      <c r="F47" s="378"/>
      <c r="G47" s="378"/>
      <c r="H47" s="378"/>
      <c r="I47" s="378"/>
      <c r="J47" s="378"/>
      <c r="K47" s="378"/>
      <c r="L47" s="378"/>
      <c r="M47" s="378"/>
      <c r="N47" s="378"/>
      <c r="Q47" s="767" t="s">
        <v>4430</v>
      </c>
      <c r="S47" s="770">
        <f>ROUND(AVERAGE('3. ATO:3. SR'!Q52),3)</f>
        <v>11.696999999999999</v>
      </c>
      <c r="T47" s="765" t="s">
        <v>18</v>
      </c>
      <c r="U47" s="770">
        <f>ROUND(AVERAGE('3. ATO:3. SR'!S52),3)</f>
        <v>12.46</v>
      </c>
      <c r="V47" s="765" t="s">
        <v>18</v>
      </c>
      <c r="W47" s="770">
        <f>ROUND(AVERAGE('3. ATO:3. SR'!U52),3)</f>
        <v>14.988</v>
      </c>
      <c r="X47" s="765" t="s">
        <v>18</v>
      </c>
      <c r="Y47" s="770">
        <f>ROUND(AVERAGE('3. ATO:3. SR'!W52),3)</f>
        <v>24.21</v>
      </c>
      <c r="Z47" s="765" t="s">
        <v>18</v>
      </c>
      <c r="AA47" s="770">
        <f>ROUND(AVERAGE('3. ATO:3. SR'!Y52),3)</f>
        <v>16.353000000000002</v>
      </c>
      <c r="AB47" s="765" t="s">
        <v>18</v>
      </c>
      <c r="AC47" s="770">
        <f>ROUND(AVERAGE(S47:AA47),2)</f>
        <v>15.94</v>
      </c>
      <c r="AD47" s="765" t="s">
        <v>18</v>
      </c>
    </row>
    <row r="48" spans="1:43">
      <c r="C48" s="378"/>
      <c r="D48" s="378"/>
      <c r="E48" s="378"/>
      <c r="F48" s="378"/>
      <c r="G48" s="378"/>
      <c r="H48" s="378"/>
      <c r="I48" s="378"/>
      <c r="J48" s="378"/>
      <c r="K48" s="378"/>
      <c r="L48" s="378"/>
      <c r="M48" s="378"/>
      <c r="N48" s="378"/>
      <c r="S48" s="770"/>
      <c r="U48" s="770"/>
      <c r="W48" s="770"/>
      <c r="Y48" s="770"/>
      <c r="AA48" s="770"/>
      <c r="AC48" s="770"/>
    </row>
    <row r="49" spans="1:30">
      <c r="A49" s="196" t="s">
        <v>53</v>
      </c>
      <c r="C49" s="378"/>
      <c r="D49" s="378"/>
      <c r="E49" s="378"/>
      <c r="F49" s="378"/>
      <c r="G49" s="378"/>
      <c r="H49" s="378"/>
      <c r="I49" s="378"/>
      <c r="J49" s="378"/>
      <c r="K49" s="378"/>
      <c r="L49" s="378"/>
      <c r="M49" s="378"/>
      <c r="N49" s="378"/>
      <c r="Q49" s="777" t="s">
        <v>4431</v>
      </c>
      <c r="S49" s="770">
        <f>ROUND(AVERAGE('3. ATO:3. SR'!Q54),3)</f>
        <v>54.262999999999998</v>
      </c>
      <c r="T49" s="771" t="s">
        <v>18</v>
      </c>
      <c r="U49" s="770">
        <f>ROUND(AVERAGE('3. ATO:3. SR'!S54),3)</f>
        <v>53.512999999999998</v>
      </c>
      <c r="V49" s="771" t="s">
        <v>18</v>
      </c>
      <c r="W49" s="770">
        <f>ROUND(AVERAGE('3. ATO:3. SR'!U54),3)</f>
        <v>51.06</v>
      </c>
      <c r="X49" s="771" t="s">
        <v>18</v>
      </c>
      <c r="Y49" s="770">
        <f>ROUND(AVERAGE('3. ATO:3. SR'!W54),3)</f>
        <v>51.143000000000001</v>
      </c>
      <c r="Z49" s="771" t="s">
        <v>18</v>
      </c>
      <c r="AA49" s="770">
        <f>ROUND(AVERAGE('3. ATO:3. SR'!Y54),3)</f>
        <v>53.667999999999999</v>
      </c>
      <c r="AB49" s="771" t="s">
        <v>18</v>
      </c>
      <c r="AC49" s="770">
        <f>ROUND(AVERAGE(S49:AA49),2)</f>
        <v>52.73</v>
      </c>
      <c r="AD49" s="771" t="s">
        <v>18</v>
      </c>
    </row>
    <row r="50" spans="1:30">
      <c r="C50" s="378"/>
      <c r="D50" s="378"/>
      <c r="E50" s="378"/>
      <c r="F50" s="378"/>
      <c r="G50" s="378"/>
      <c r="H50" s="378"/>
      <c r="I50" s="378"/>
      <c r="J50" s="378"/>
      <c r="K50" s="378"/>
      <c r="L50" s="378"/>
      <c r="M50" s="378"/>
      <c r="N50" s="378"/>
      <c r="Q50" s="777"/>
      <c r="S50" s="770"/>
      <c r="T50" s="771"/>
      <c r="U50" s="770"/>
      <c r="V50" s="771"/>
      <c r="W50" s="774"/>
      <c r="X50" s="771"/>
      <c r="Y50" s="774"/>
      <c r="Z50" s="771"/>
      <c r="AA50" s="774"/>
      <c r="AB50" s="771"/>
      <c r="AC50" s="774"/>
      <c r="AD50" s="771"/>
    </row>
    <row r="51" spans="1:30">
      <c r="C51" s="379"/>
      <c r="D51" s="379"/>
      <c r="E51" s="379"/>
      <c r="F51" s="379"/>
      <c r="G51" s="379"/>
      <c r="H51" s="379"/>
      <c r="I51" s="379"/>
      <c r="J51" s="379"/>
      <c r="K51" s="379"/>
      <c r="L51" s="379"/>
      <c r="M51" s="379"/>
      <c r="N51" s="379"/>
      <c r="Q51" s="778"/>
    </row>
    <row r="52" spans="1:30">
      <c r="A52" s="196" t="s">
        <v>31</v>
      </c>
      <c r="B52" s="196" t="s">
        <v>50</v>
      </c>
      <c r="C52" s="378"/>
      <c r="D52" s="378"/>
      <c r="E52" s="378"/>
      <c r="F52" s="378"/>
      <c r="G52" s="378"/>
      <c r="H52" s="378"/>
      <c r="I52" s="378"/>
      <c r="J52" s="378"/>
      <c r="K52" s="378"/>
      <c r="L52" s="378"/>
      <c r="M52" s="378"/>
      <c r="N52" s="378"/>
      <c r="Q52" s="779" t="s">
        <v>94</v>
      </c>
      <c r="R52" s="780"/>
      <c r="S52" s="780"/>
      <c r="T52" s="780"/>
      <c r="U52" s="780"/>
      <c r="V52" s="780"/>
      <c r="W52" s="780"/>
      <c r="X52" s="780"/>
      <c r="Y52" s="780"/>
      <c r="Z52" s="780"/>
      <c r="AA52" s="780"/>
      <c r="AB52" s="780"/>
      <c r="AC52" s="780"/>
    </row>
    <row r="53" spans="1:30" ht="66.75" customHeight="1">
      <c r="C53" s="379"/>
      <c r="D53" s="379"/>
      <c r="E53" s="379"/>
      <c r="F53" s="379"/>
      <c r="G53" s="379"/>
      <c r="H53" s="379"/>
      <c r="I53" s="379"/>
      <c r="J53" s="379"/>
      <c r="K53" s="379"/>
      <c r="L53" s="379"/>
      <c r="M53" s="379"/>
      <c r="N53" s="379"/>
      <c r="Q53" s="781" t="s">
        <v>95</v>
      </c>
      <c r="R53" s="1003" t="s">
        <v>4402</v>
      </c>
      <c r="S53" s="1003"/>
      <c r="T53" s="1003"/>
      <c r="U53" s="1003"/>
      <c r="V53" s="1003"/>
      <c r="W53" s="1003"/>
      <c r="X53" s="1003"/>
      <c r="Y53" s="1003"/>
      <c r="Z53" s="1003"/>
      <c r="AA53" s="1003"/>
      <c r="AB53" s="1003"/>
      <c r="AC53" s="1003"/>
      <c r="AD53" s="1003"/>
    </row>
    <row r="54" spans="1:30" ht="49.5" customHeight="1">
      <c r="A54" s="196" t="s">
        <v>51</v>
      </c>
      <c r="B54" s="196" t="s">
        <v>50</v>
      </c>
      <c r="C54" s="378"/>
      <c r="D54" s="378"/>
      <c r="E54" s="378"/>
      <c r="F54" s="378"/>
      <c r="G54" s="378"/>
      <c r="H54" s="378"/>
      <c r="I54" s="378"/>
      <c r="J54" s="378"/>
      <c r="K54" s="378"/>
      <c r="L54" s="378"/>
      <c r="M54" s="378"/>
      <c r="N54" s="378"/>
      <c r="Q54" s="781" t="s">
        <v>96</v>
      </c>
      <c r="R54" s="1003" t="s">
        <v>4403</v>
      </c>
      <c r="S54" s="1003"/>
      <c r="T54" s="1003"/>
      <c r="U54" s="1003"/>
      <c r="V54" s="1003"/>
      <c r="W54" s="1003"/>
      <c r="X54" s="1003"/>
      <c r="Y54" s="1003"/>
      <c r="Z54" s="1003"/>
      <c r="AA54" s="1003"/>
      <c r="AB54" s="1003"/>
      <c r="AC54" s="1003"/>
      <c r="AD54" s="1003"/>
    </row>
    <row r="55" spans="1:30" ht="44.25" customHeight="1">
      <c r="C55" s="379"/>
      <c r="D55" s="379"/>
      <c r="E55" s="379"/>
      <c r="F55" s="379"/>
      <c r="G55" s="379"/>
      <c r="H55" s="379"/>
      <c r="I55" s="379"/>
      <c r="J55" s="379"/>
      <c r="K55" s="379"/>
      <c r="L55" s="379"/>
      <c r="M55" s="379"/>
      <c r="N55" s="379"/>
      <c r="Q55" s="781" t="s">
        <v>97</v>
      </c>
      <c r="R55" s="1003" t="s">
        <v>4100</v>
      </c>
      <c r="S55" s="1003"/>
      <c r="T55" s="1003"/>
      <c r="U55" s="1003"/>
      <c r="V55" s="1003"/>
      <c r="W55" s="1003"/>
      <c r="X55" s="1003"/>
      <c r="Y55" s="1003"/>
      <c r="Z55" s="1003"/>
      <c r="AA55" s="1003"/>
      <c r="AB55" s="1003"/>
      <c r="AC55" s="1003"/>
      <c r="AD55" s="1004"/>
    </row>
    <row r="56" spans="1:30" ht="49.5" customHeight="1">
      <c r="A56" s="212"/>
      <c r="C56" s="385"/>
      <c r="D56" s="385"/>
      <c r="E56" s="385"/>
      <c r="F56" s="385"/>
      <c r="G56" s="385"/>
      <c r="H56" s="385"/>
      <c r="I56" s="385"/>
      <c r="J56" s="385"/>
      <c r="K56" s="385"/>
      <c r="L56" s="385"/>
      <c r="Q56" s="781" t="s">
        <v>98</v>
      </c>
      <c r="R56" s="1004" t="s">
        <v>4101</v>
      </c>
      <c r="S56" s="1004"/>
      <c r="T56" s="1004"/>
      <c r="U56" s="1004"/>
      <c r="V56" s="1004"/>
      <c r="W56" s="1004"/>
      <c r="X56" s="1004"/>
      <c r="Y56" s="1004"/>
      <c r="Z56" s="1004"/>
      <c r="AA56" s="1004"/>
      <c r="AB56" s="1004"/>
      <c r="AC56" s="1004"/>
      <c r="AD56" s="1004"/>
    </row>
    <row r="57" spans="1:30" ht="21.75" customHeight="1">
      <c r="C57" s="385"/>
      <c r="D57" s="385"/>
      <c r="E57" s="385"/>
      <c r="F57" s="385"/>
      <c r="G57" s="385"/>
      <c r="H57" s="385"/>
      <c r="I57" s="385"/>
      <c r="J57" s="385"/>
      <c r="K57" s="385"/>
      <c r="L57" s="385"/>
      <c r="M57" s="385"/>
      <c r="N57" s="385"/>
      <c r="U57" s="771"/>
      <c r="W57" s="771"/>
      <c r="Y57" s="771"/>
      <c r="AA57" s="771"/>
      <c r="AC57" s="771"/>
    </row>
    <row r="58" spans="1:30">
      <c r="C58" s="378"/>
      <c r="D58" s="378"/>
      <c r="E58" s="378"/>
      <c r="F58" s="378"/>
      <c r="G58" s="378"/>
      <c r="H58" s="378"/>
      <c r="I58" s="378"/>
      <c r="J58" s="378"/>
      <c r="K58" s="378"/>
      <c r="L58" s="378"/>
      <c r="M58" s="378"/>
      <c r="N58" s="378"/>
      <c r="Q58" s="782" t="s">
        <v>146</v>
      </c>
      <c r="R58" s="765" t="s">
        <v>4230</v>
      </c>
    </row>
    <row r="59" spans="1:30">
      <c r="C59" s="378"/>
      <c r="D59" s="378"/>
      <c r="E59" s="378"/>
      <c r="F59" s="378"/>
      <c r="G59" s="378"/>
      <c r="H59" s="378"/>
      <c r="I59" s="378"/>
      <c r="J59" s="378"/>
      <c r="K59" s="378"/>
      <c r="L59" s="378"/>
      <c r="M59" s="378"/>
      <c r="N59" s="378"/>
      <c r="S59" s="771"/>
    </row>
    <row r="60" spans="1:30">
      <c r="C60" s="378"/>
      <c r="D60" s="378"/>
      <c r="E60" s="378"/>
      <c r="F60" s="378"/>
      <c r="G60" s="378"/>
      <c r="H60" s="378"/>
      <c r="I60" s="378"/>
      <c r="J60" s="378"/>
      <c r="K60" s="378"/>
      <c r="L60" s="378"/>
      <c r="M60" s="378"/>
      <c r="N60" s="378"/>
    </row>
    <row r="61" spans="1:30">
      <c r="C61" s="378"/>
      <c r="D61" s="378"/>
      <c r="E61" s="378"/>
      <c r="F61" s="378"/>
      <c r="G61" s="378"/>
      <c r="H61" s="378"/>
      <c r="I61" s="378"/>
      <c r="J61" s="378"/>
      <c r="K61" s="378"/>
      <c r="L61" s="378"/>
      <c r="M61" s="378"/>
      <c r="N61" s="378"/>
    </row>
    <row r="62" spans="1:30">
      <c r="C62" s="379"/>
      <c r="D62" s="379"/>
      <c r="E62" s="379"/>
      <c r="F62" s="379"/>
      <c r="G62" s="379"/>
      <c r="H62" s="379"/>
      <c r="I62" s="379"/>
      <c r="J62" s="379"/>
      <c r="K62" s="379"/>
      <c r="L62" s="379"/>
      <c r="M62" s="379"/>
      <c r="N62" s="379"/>
    </row>
    <row r="63" spans="1:30">
      <c r="C63" s="378"/>
      <c r="D63" s="378"/>
      <c r="E63" s="378"/>
      <c r="F63" s="378"/>
      <c r="G63" s="378"/>
      <c r="H63" s="378"/>
      <c r="I63" s="378"/>
      <c r="J63" s="378"/>
      <c r="K63" s="378"/>
      <c r="L63" s="378"/>
      <c r="M63" s="378"/>
      <c r="N63" s="378"/>
    </row>
    <row r="64" spans="1:30">
      <c r="C64" s="379"/>
      <c r="D64" s="379"/>
      <c r="E64" s="379"/>
      <c r="F64" s="379"/>
      <c r="G64" s="379"/>
      <c r="H64" s="379"/>
      <c r="I64" s="379"/>
      <c r="J64" s="379"/>
      <c r="K64" s="379"/>
      <c r="L64" s="379"/>
      <c r="M64" s="379"/>
      <c r="N64" s="379"/>
    </row>
    <row r="65" spans="3:223">
      <c r="C65" s="378"/>
      <c r="D65" s="378"/>
      <c r="E65" s="378"/>
      <c r="F65" s="378"/>
      <c r="G65" s="378"/>
      <c r="H65" s="378"/>
      <c r="I65" s="378"/>
      <c r="J65" s="378"/>
      <c r="K65" s="378"/>
      <c r="L65" s="378"/>
      <c r="M65" s="378"/>
      <c r="N65" s="378"/>
    </row>
    <row r="66" spans="3:223">
      <c r="C66" s="378"/>
      <c r="D66" s="378"/>
      <c r="E66" s="378"/>
      <c r="F66" s="378"/>
      <c r="G66" s="378"/>
      <c r="H66" s="378"/>
      <c r="I66" s="378"/>
      <c r="J66" s="378"/>
      <c r="K66" s="378"/>
      <c r="L66" s="378"/>
      <c r="M66" s="378"/>
      <c r="N66" s="378"/>
    </row>
    <row r="67" spans="3:223">
      <c r="C67" s="378"/>
      <c r="D67" s="378"/>
      <c r="E67" s="378"/>
      <c r="F67" s="378"/>
      <c r="G67" s="378"/>
      <c r="H67" s="378"/>
      <c r="I67" s="378"/>
      <c r="J67" s="378"/>
      <c r="K67" s="378"/>
      <c r="L67" s="378"/>
      <c r="M67" s="378"/>
      <c r="N67" s="378"/>
    </row>
    <row r="68" spans="3:223">
      <c r="C68" s="378"/>
      <c r="D68" s="378"/>
      <c r="E68" s="378"/>
      <c r="F68" s="378"/>
      <c r="G68" s="378"/>
      <c r="H68" s="378"/>
      <c r="I68" s="378"/>
      <c r="J68" s="378"/>
      <c r="K68" s="378"/>
      <c r="L68" s="378"/>
      <c r="M68" s="378"/>
      <c r="N68" s="378"/>
    </row>
    <row r="69" spans="3:223">
      <c r="C69" s="378"/>
      <c r="D69" s="378"/>
      <c r="E69" s="378"/>
      <c r="F69" s="378"/>
      <c r="G69" s="378"/>
      <c r="H69" s="378"/>
      <c r="I69" s="378"/>
      <c r="J69" s="378"/>
      <c r="K69" s="378"/>
      <c r="L69" s="378"/>
      <c r="M69" s="378"/>
      <c r="N69" s="378"/>
    </row>
    <row r="70" spans="3:223">
      <c r="C70" s="378"/>
      <c r="D70" s="378"/>
      <c r="E70" s="378"/>
      <c r="F70" s="378"/>
      <c r="G70" s="378"/>
      <c r="H70" s="378"/>
      <c r="I70" s="378"/>
      <c r="J70" s="378"/>
      <c r="K70" s="378"/>
      <c r="L70" s="378"/>
      <c r="M70" s="378"/>
      <c r="N70" s="378"/>
      <c r="HK70" s="385"/>
      <c r="HL70" s="385"/>
      <c r="HO70" s="196" t="s">
        <v>48</v>
      </c>
    </row>
    <row r="71" spans="3:223">
      <c r="C71" s="378"/>
      <c r="D71" s="378"/>
      <c r="E71" s="378"/>
      <c r="F71" s="378"/>
      <c r="G71" s="378"/>
      <c r="H71" s="378"/>
      <c r="I71" s="378"/>
      <c r="J71" s="378"/>
      <c r="K71" s="378"/>
      <c r="L71" s="378"/>
      <c r="M71" s="378"/>
      <c r="N71" s="378"/>
    </row>
    <row r="72" spans="3:223">
      <c r="C72" s="378"/>
      <c r="D72" s="378"/>
      <c r="E72" s="378"/>
      <c r="F72" s="378"/>
      <c r="G72" s="378"/>
      <c r="H72" s="378"/>
      <c r="I72" s="378"/>
      <c r="J72" s="378"/>
      <c r="K72" s="378"/>
      <c r="L72" s="378"/>
      <c r="M72" s="378"/>
      <c r="N72" s="378"/>
      <c r="S72" s="774"/>
      <c r="T72" s="771"/>
      <c r="U72" s="774"/>
      <c r="V72" s="771"/>
      <c r="W72" s="774"/>
      <c r="X72" s="771"/>
      <c r="Y72" s="774"/>
      <c r="Z72" s="771"/>
      <c r="AA72" s="774"/>
      <c r="AB72" s="771"/>
      <c r="AC72" s="774"/>
      <c r="AD72" s="771"/>
    </row>
    <row r="73" spans="3:223">
      <c r="C73" s="378"/>
      <c r="D73" s="378"/>
      <c r="E73" s="378"/>
      <c r="F73" s="378"/>
      <c r="G73" s="378"/>
      <c r="H73" s="378"/>
      <c r="I73" s="378"/>
      <c r="J73" s="378"/>
      <c r="K73" s="378"/>
      <c r="L73" s="378"/>
      <c r="M73" s="378"/>
      <c r="N73" s="378"/>
      <c r="S73" s="774"/>
      <c r="T73" s="771"/>
      <c r="U73" s="774"/>
      <c r="V73" s="771"/>
      <c r="W73" s="774"/>
      <c r="X73" s="771"/>
      <c r="Y73" s="774"/>
      <c r="Z73" s="771"/>
      <c r="AA73" s="774"/>
      <c r="AB73" s="771"/>
      <c r="AC73" s="774"/>
      <c r="AD73" s="771"/>
    </row>
    <row r="74" spans="3:223">
      <c r="C74" s="378"/>
      <c r="D74" s="378"/>
      <c r="E74" s="378"/>
      <c r="F74" s="378"/>
      <c r="G74" s="378"/>
      <c r="H74" s="378"/>
      <c r="I74" s="378"/>
      <c r="J74" s="378"/>
      <c r="K74" s="378"/>
      <c r="L74" s="378"/>
      <c r="M74" s="378"/>
      <c r="N74" s="378"/>
    </row>
    <row r="75" spans="3:223">
      <c r="C75" s="378"/>
      <c r="D75" s="378"/>
      <c r="E75" s="378"/>
      <c r="F75" s="378"/>
      <c r="G75" s="378"/>
      <c r="H75" s="378"/>
      <c r="I75" s="378"/>
      <c r="J75" s="378"/>
      <c r="K75" s="378"/>
      <c r="L75" s="378"/>
      <c r="M75" s="378"/>
      <c r="N75" s="378"/>
    </row>
    <row r="76" spans="3:223">
      <c r="C76" s="379"/>
      <c r="D76" s="379"/>
      <c r="E76" s="379"/>
      <c r="F76" s="379"/>
      <c r="G76" s="379"/>
      <c r="H76" s="379"/>
      <c r="I76" s="379"/>
      <c r="J76" s="379"/>
      <c r="K76" s="379"/>
      <c r="L76" s="379"/>
      <c r="M76" s="379"/>
      <c r="N76" s="379"/>
    </row>
    <row r="77" spans="3:223">
      <c r="C77" s="379"/>
      <c r="D77" s="379"/>
      <c r="E77" s="379"/>
      <c r="F77" s="379"/>
      <c r="G77" s="379"/>
      <c r="H77" s="379"/>
      <c r="I77" s="379"/>
      <c r="J77" s="379"/>
      <c r="K77" s="379"/>
      <c r="L77" s="379"/>
      <c r="M77" s="379"/>
      <c r="N77" s="379"/>
    </row>
    <row r="78" spans="3:223">
      <c r="C78" s="379"/>
      <c r="D78" s="379"/>
      <c r="E78" s="379"/>
      <c r="F78" s="379"/>
      <c r="G78" s="379"/>
      <c r="H78" s="379"/>
      <c r="I78" s="379"/>
      <c r="J78" s="379"/>
      <c r="K78" s="379"/>
      <c r="L78" s="379"/>
      <c r="M78" s="379"/>
      <c r="N78" s="379"/>
    </row>
    <row r="79" spans="3:223">
      <c r="C79" s="378"/>
      <c r="D79" s="378"/>
      <c r="E79" s="378"/>
      <c r="F79" s="378"/>
      <c r="G79" s="378"/>
      <c r="H79" s="378"/>
      <c r="I79" s="378"/>
      <c r="J79" s="378"/>
      <c r="K79" s="378"/>
      <c r="L79" s="378"/>
      <c r="M79" s="378"/>
      <c r="N79" s="378"/>
    </row>
    <row r="80" spans="3:223">
      <c r="C80" s="378"/>
      <c r="D80" s="378"/>
      <c r="E80" s="378"/>
      <c r="F80" s="378"/>
      <c r="G80" s="378"/>
      <c r="H80" s="378"/>
      <c r="I80" s="378"/>
      <c r="J80" s="378"/>
      <c r="K80" s="378"/>
      <c r="L80" s="378"/>
      <c r="M80" s="378"/>
      <c r="N80" s="378"/>
    </row>
    <row r="81" spans="3:14">
      <c r="C81" s="379"/>
      <c r="D81" s="379"/>
      <c r="E81" s="379"/>
      <c r="F81" s="379"/>
      <c r="G81" s="379"/>
      <c r="H81" s="379"/>
      <c r="I81" s="379"/>
      <c r="J81" s="379"/>
      <c r="K81" s="379"/>
      <c r="L81" s="379"/>
      <c r="M81" s="379"/>
      <c r="N81" s="379"/>
    </row>
    <row r="82" spans="3:14">
      <c r="C82" s="378"/>
      <c r="D82" s="378"/>
      <c r="E82" s="378"/>
      <c r="F82" s="378"/>
      <c r="G82" s="378"/>
      <c r="H82" s="378"/>
      <c r="I82" s="378"/>
      <c r="J82" s="378"/>
      <c r="K82" s="378"/>
      <c r="L82" s="378"/>
      <c r="M82" s="378"/>
      <c r="N82" s="378"/>
    </row>
    <row r="86" spans="3:14">
      <c r="C86" s="378"/>
      <c r="D86" s="378"/>
    </row>
    <row r="87" spans="3:14">
      <c r="C87" s="378"/>
      <c r="D87" s="378"/>
    </row>
    <row r="88" spans="3:14">
      <c r="C88" s="378"/>
      <c r="D88" s="378"/>
    </row>
    <row r="89" spans="3:14">
      <c r="C89" s="378"/>
      <c r="D89" s="378"/>
    </row>
    <row r="90" spans="3:14">
      <c r="C90" s="378"/>
      <c r="D90" s="378"/>
      <c r="E90" s="378"/>
      <c r="F90" s="378"/>
    </row>
    <row r="91" spans="3:14">
      <c r="C91" s="378"/>
      <c r="D91" s="378"/>
    </row>
    <row r="92" spans="3:14">
      <c r="C92" s="378"/>
      <c r="D92" s="378"/>
    </row>
    <row r="93" spans="3:14">
      <c r="C93" s="378"/>
      <c r="D93" s="378"/>
    </row>
    <row r="94" spans="3:14">
      <c r="C94" s="378"/>
      <c r="D94" s="378"/>
      <c r="E94" s="378"/>
      <c r="F94" s="378"/>
    </row>
    <row r="95" spans="3:14">
      <c r="G95" s="378"/>
      <c r="H95" s="378"/>
    </row>
    <row r="96" spans="3:14">
      <c r="C96" s="378"/>
      <c r="D96" s="378"/>
    </row>
    <row r="102" spans="3:8">
      <c r="C102" s="378"/>
      <c r="D102" s="378"/>
      <c r="E102" s="378"/>
      <c r="F102" s="378"/>
      <c r="G102" s="380"/>
      <c r="H102" s="380"/>
    </row>
  </sheetData>
  <mergeCells count="10">
    <mergeCell ref="R53:AD53"/>
    <mergeCell ref="R54:AD54"/>
    <mergeCell ref="R55:AD55"/>
    <mergeCell ref="R56:AD56"/>
    <mergeCell ref="C1:M1"/>
    <mergeCell ref="Q1:AD1"/>
    <mergeCell ref="Q2:AD2"/>
    <mergeCell ref="Q3:AD3"/>
    <mergeCell ref="AC19:AD19"/>
    <mergeCell ref="AC20:AD20"/>
  </mergeCells>
  <printOptions horizontalCentered="1"/>
  <pageMargins left="0.7" right="0.7" top="0.75" bottom="0.75" header="0.3" footer="0.3"/>
  <pageSetup scale="51" orientation="portrait" horizontalDpi="4294967293"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5"/>
  <sheetViews>
    <sheetView workbookViewId="0"/>
  </sheetViews>
  <sheetFormatPr defaultColWidth="9" defaultRowHeight="13.8"/>
  <cols>
    <col min="1" max="1" width="9.5546875" style="983" customWidth="1"/>
    <col min="2" max="16384" width="9" style="983"/>
  </cols>
  <sheetData>
    <row r="1" spans="1:12">
      <c r="B1" s="983" t="s">
        <v>1477</v>
      </c>
      <c r="C1" s="983" t="s">
        <v>1476</v>
      </c>
      <c r="D1" s="983" t="s">
        <v>1475</v>
      </c>
      <c r="E1" s="983" t="s">
        <v>1474</v>
      </c>
      <c r="F1" s="983" t="s">
        <v>1473</v>
      </c>
      <c r="G1" s="983" t="s">
        <v>1472</v>
      </c>
      <c r="H1" s="983" t="s">
        <v>1471</v>
      </c>
      <c r="I1" s="983" t="s">
        <v>1470</v>
      </c>
      <c r="J1" s="983" t="s">
        <v>1469</v>
      </c>
      <c r="K1" s="983" t="s">
        <v>4618</v>
      </c>
      <c r="L1" s="983" t="s">
        <v>1468</v>
      </c>
    </row>
    <row r="2" spans="1:12">
      <c r="A2" s="983">
        <v>9498</v>
      </c>
      <c r="B2" s="983">
        <v>0</v>
      </c>
      <c r="D2" s="983">
        <v>3.0999999999999999E-3</v>
      </c>
    </row>
    <row r="3" spans="1:12">
      <c r="A3" s="983">
        <v>9529</v>
      </c>
      <c r="B3" s="983">
        <v>-3.85E-2</v>
      </c>
      <c r="D3" s="983">
        <v>2.8E-3</v>
      </c>
      <c r="I3" s="983">
        <v>-4.1299999999999996E-2</v>
      </c>
    </row>
    <row r="4" spans="1:12">
      <c r="A4" s="983">
        <v>9557</v>
      </c>
      <c r="B4" s="983">
        <v>-5.7500000000000002E-2</v>
      </c>
      <c r="D4" s="983">
        <v>3.2000000000000002E-3</v>
      </c>
      <c r="I4" s="983">
        <v>-6.0700000000000004E-2</v>
      </c>
    </row>
    <row r="5" spans="1:12">
      <c r="A5" s="983">
        <v>9588</v>
      </c>
      <c r="B5" s="983">
        <v>2.53E-2</v>
      </c>
      <c r="D5" s="983">
        <v>3.0000000000000001E-3</v>
      </c>
      <c r="I5" s="983">
        <v>2.23E-2</v>
      </c>
    </row>
    <row r="6" spans="1:12">
      <c r="A6" s="983">
        <v>9618</v>
      </c>
      <c r="B6" s="983">
        <v>1.7899999999999999E-2</v>
      </c>
      <c r="D6" s="983">
        <v>2.8E-3</v>
      </c>
      <c r="I6" s="983">
        <v>1.5099999999999999E-2</v>
      </c>
    </row>
    <row r="7" spans="1:12">
      <c r="A7" s="983">
        <v>9649</v>
      </c>
      <c r="B7" s="983">
        <v>4.5699999999999998E-2</v>
      </c>
      <c r="D7" s="983">
        <v>3.3E-3</v>
      </c>
      <c r="I7" s="983">
        <v>4.24E-2</v>
      </c>
    </row>
    <row r="8" spans="1:12">
      <c r="A8" s="983">
        <v>9679</v>
      </c>
      <c r="B8" s="983">
        <v>4.7899999999999998E-2</v>
      </c>
      <c r="D8" s="983">
        <v>3.0999999999999999E-3</v>
      </c>
      <c r="I8" s="983">
        <v>4.48E-2</v>
      </c>
    </row>
    <row r="9" spans="1:12">
      <c r="A9" s="983">
        <v>9710</v>
      </c>
      <c r="B9" s="983">
        <v>2.4799999999999999E-2</v>
      </c>
      <c r="D9" s="983">
        <v>3.0999999999999999E-3</v>
      </c>
      <c r="I9" s="983">
        <v>2.1700000000000001E-2</v>
      </c>
    </row>
    <row r="10" spans="1:12">
      <c r="A10" s="983">
        <v>9741</v>
      </c>
      <c r="B10" s="983">
        <v>2.52E-2</v>
      </c>
      <c r="D10" s="983">
        <v>3.0000000000000001E-3</v>
      </c>
      <c r="I10" s="983">
        <v>2.2200000000000001E-2</v>
      </c>
    </row>
    <row r="11" spans="1:12">
      <c r="A11" s="983">
        <v>9771</v>
      </c>
      <c r="B11" s="983">
        <v>-2.8400000000000002E-2</v>
      </c>
      <c r="D11" s="983">
        <v>3.0000000000000001E-3</v>
      </c>
      <c r="I11" s="983">
        <v>-3.1400000000000004E-2</v>
      </c>
    </row>
    <row r="12" spans="1:12">
      <c r="A12" s="983">
        <v>9802</v>
      </c>
      <c r="B12" s="983">
        <v>3.4700000000000002E-2</v>
      </c>
      <c r="D12" s="983">
        <v>3.0999999999999999E-3</v>
      </c>
      <c r="I12" s="983">
        <v>3.1600000000000003E-2</v>
      </c>
    </row>
    <row r="13" spans="1:12">
      <c r="A13" s="983">
        <v>9832</v>
      </c>
      <c r="B13" s="983">
        <v>1.9599999999999999E-2</v>
      </c>
      <c r="D13" s="983">
        <v>3.0000000000000001E-3</v>
      </c>
      <c r="I13" s="983">
        <v>1.66E-2</v>
      </c>
    </row>
    <row r="14" spans="1:12">
      <c r="A14" s="983">
        <v>9863</v>
      </c>
      <c r="B14" s="983">
        <v>-1.9300000000000001E-2</v>
      </c>
      <c r="D14" s="983">
        <v>3.0000000000000001E-3</v>
      </c>
      <c r="I14" s="983">
        <v>-2.23E-2</v>
      </c>
    </row>
    <row r="15" spans="1:12">
      <c r="A15" s="983">
        <v>9894</v>
      </c>
      <c r="B15" s="983">
        <v>5.3699999999999998E-2</v>
      </c>
      <c r="D15" s="983">
        <v>2.7000000000000001E-3</v>
      </c>
      <c r="I15" s="983">
        <v>5.0999999999999997E-2</v>
      </c>
    </row>
    <row r="16" spans="1:12">
      <c r="A16" s="983">
        <v>9922</v>
      </c>
      <c r="B16" s="983">
        <v>8.6999999999999994E-3</v>
      </c>
      <c r="D16" s="983">
        <v>2.8999999999999998E-3</v>
      </c>
      <c r="I16" s="983">
        <v>5.7999999999999996E-3</v>
      </c>
    </row>
    <row r="17" spans="1:12">
      <c r="A17" s="983">
        <v>9953</v>
      </c>
      <c r="B17" s="983">
        <v>2.01E-2</v>
      </c>
      <c r="D17" s="983">
        <v>2.7000000000000001E-3</v>
      </c>
      <c r="I17" s="983">
        <v>1.7399999999999999E-2</v>
      </c>
    </row>
    <row r="18" spans="1:12">
      <c r="A18" s="983">
        <v>9983</v>
      </c>
      <c r="B18" s="983">
        <v>6.0699999999999997E-2</v>
      </c>
      <c r="D18" s="983">
        <v>2.7999999999999995E-3</v>
      </c>
      <c r="I18" s="983">
        <v>5.79E-2</v>
      </c>
    </row>
    <row r="19" spans="1:12">
      <c r="A19" s="983">
        <v>10014</v>
      </c>
      <c r="B19" s="983">
        <v>-6.7000000000000002E-3</v>
      </c>
      <c r="D19" s="983">
        <v>2.7000000000000001E-3</v>
      </c>
      <c r="I19" s="983">
        <v>-9.4000000000000004E-3</v>
      </c>
    </row>
    <row r="20" spans="1:12">
      <c r="A20" s="983">
        <v>10044</v>
      </c>
      <c r="B20" s="983">
        <v>6.7000000000000004E-2</v>
      </c>
      <c r="D20" s="983">
        <v>2.7000000000000001E-3</v>
      </c>
      <c r="I20" s="983">
        <v>6.430000000000001E-2</v>
      </c>
    </row>
    <row r="21" spans="1:12">
      <c r="A21" s="983">
        <v>10075</v>
      </c>
      <c r="B21" s="983">
        <v>5.1499999999999997E-2</v>
      </c>
      <c r="D21" s="983">
        <v>2.8999999999999998E-3</v>
      </c>
      <c r="I21" s="983">
        <v>4.8599999999999997E-2</v>
      </c>
    </row>
    <row r="22" spans="1:12">
      <c r="A22" s="983">
        <v>10106</v>
      </c>
      <c r="B22" s="983">
        <v>4.4999999999999998E-2</v>
      </c>
      <c r="D22" s="983">
        <v>2.7000000000000001E-3</v>
      </c>
      <c r="I22" s="983">
        <v>4.2299999999999997E-2</v>
      </c>
    </row>
    <row r="23" spans="1:12">
      <c r="A23" s="983">
        <v>10136</v>
      </c>
      <c r="B23" s="983">
        <v>-5.0200000000000002E-2</v>
      </c>
      <c r="D23" s="983">
        <v>2.7999999999999995E-3</v>
      </c>
      <c r="I23" s="983">
        <v>-5.2999999999999999E-2</v>
      </c>
    </row>
    <row r="24" spans="1:12">
      <c r="A24" s="983">
        <v>10167</v>
      </c>
      <c r="B24" s="983">
        <v>7.2099999999999997E-2</v>
      </c>
      <c r="D24" s="983">
        <v>2.7000000000000001E-3</v>
      </c>
      <c r="I24" s="983">
        <v>6.9400000000000003E-2</v>
      </c>
    </row>
    <row r="25" spans="1:12">
      <c r="A25" s="983">
        <v>10197</v>
      </c>
      <c r="B25" s="983">
        <v>2.7900000000000001E-2</v>
      </c>
      <c r="D25" s="983">
        <v>2.7000000000000001E-3</v>
      </c>
      <c r="I25" s="983">
        <v>2.52E-2</v>
      </c>
    </row>
    <row r="26" spans="1:12">
      <c r="A26" s="983">
        <v>10228</v>
      </c>
      <c r="B26" s="983">
        <v>-4.0000000000000001E-3</v>
      </c>
      <c r="C26" s="983">
        <v>3.7499999999999999E-2</v>
      </c>
      <c r="D26" s="983">
        <v>2.7000000000000001E-3</v>
      </c>
      <c r="E26" s="983">
        <v>3.7166666666666663E-3</v>
      </c>
      <c r="F26" s="983">
        <v>3.8416666666666673E-3</v>
      </c>
      <c r="G26" s="983">
        <v>3.7791666666666668E-3</v>
      </c>
      <c r="H26" s="983">
        <v>4.0416666666666665E-3</v>
      </c>
      <c r="I26" s="983">
        <v>-6.7000000000000002E-3</v>
      </c>
      <c r="J26" s="983">
        <v>-7.7791666666666669E-3</v>
      </c>
      <c r="K26" s="983">
        <v>-8.0416666666666657E-3</v>
      </c>
      <c r="L26" s="983">
        <v>3.3458333333333333E-2</v>
      </c>
    </row>
    <row r="27" spans="1:12">
      <c r="A27" s="983">
        <v>10259</v>
      </c>
      <c r="B27" s="983">
        <v>-1.2500000000000001E-2</v>
      </c>
      <c r="C27" s="983">
        <v>-8.0000000000000002E-3</v>
      </c>
      <c r="D27" s="983">
        <v>2.5000000000000001E-3</v>
      </c>
      <c r="E27" s="983">
        <v>3.7166666666666663E-3</v>
      </c>
      <c r="F27" s="983">
        <v>3.8416666666666673E-3</v>
      </c>
      <c r="G27" s="983">
        <v>3.7791666666666668E-3</v>
      </c>
      <c r="H27" s="983">
        <v>4.0416666666666665E-3</v>
      </c>
      <c r="I27" s="983">
        <v>-1.5000000000000001E-2</v>
      </c>
      <c r="J27" s="983">
        <v>-1.6279166666666667E-2</v>
      </c>
      <c r="K27" s="983">
        <v>-1.6541666666666666E-2</v>
      </c>
      <c r="L27" s="983">
        <v>-1.2041666666666666E-2</v>
      </c>
    </row>
    <row r="28" spans="1:12">
      <c r="A28" s="983">
        <v>10288</v>
      </c>
      <c r="B28" s="983">
        <v>0.1101</v>
      </c>
      <c r="C28" s="983">
        <v>7.2299999999999989E-2</v>
      </c>
      <c r="D28" s="983">
        <v>2.7000000000000001E-3</v>
      </c>
      <c r="E28" s="983">
        <v>3.7166666666666663E-3</v>
      </c>
      <c r="F28" s="983">
        <v>3.8250000000000003E-3</v>
      </c>
      <c r="G28" s="983">
        <v>3.7708333333333331E-3</v>
      </c>
      <c r="H28" s="983">
        <v>4.0166666666666666E-3</v>
      </c>
      <c r="I28" s="983">
        <v>0.10740000000000001</v>
      </c>
      <c r="J28" s="983">
        <v>0.10632916666666667</v>
      </c>
      <c r="K28" s="983">
        <v>0.10608333333333334</v>
      </c>
      <c r="L28" s="983">
        <v>6.8283333333333321E-2</v>
      </c>
    </row>
    <row r="29" spans="1:12">
      <c r="A29" s="983">
        <v>10319</v>
      </c>
      <c r="B29" s="983">
        <v>3.4500000000000003E-2</v>
      </c>
      <c r="C29" s="983">
        <v>9.8600000000000007E-2</v>
      </c>
      <c r="D29" s="983">
        <v>2.5999999999999999E-3</v>
      </c>
      <c r="E29" s="983">
        <v>3.7166666666666663E-3</v>
      </c>
      <c r="F29" s="983">
        <v>3.8333333333333331E-3</v>
      </c>
      <c r="G29" s="983">
        <v>3.7749999999999993E-3</v>
      </c>
      <c r="H29" s="983">
        <v>4.0166666666666666E-3</v>
      </c>
      <c r="I29" s="983">
        <v>3.1900000000000005E-2</v>
      </c>
      <c r="J29" s="983">
        <v>3.0725000000000002E-2</v>
      </c>
      <c r="K29" s="983">
        <v>3.0483333333333335E-2</v>
      </c>
      <c r="L29" s="983">
        <v>9.4583333333333339E-2</v>
      </c>
    </row>
    <row r="30" spans="1:12">
      <c r="A30" s="983">
        <v>10349</v>
      </c>
      <c r="B30" s="983">
        <v>1.9699999999999999E-2</v>
      </c>
      <c r="C30" s="983">
        <v>2.0799999999999999E-2</v>
      </c>
      <c r="D30" s="983">
        <v>2.7000000000000001E-3</v>
      </c>
      <c r="E30" s="983">
        <v>3.741666666666667E-3</v>
      </c>
      <c r="F30" s="983">
        <v>3.8666666666666667E-3</v>
      </c>
      <c r="G30" s="983">
        <v>3.8041666666666666E-3</v>
      </c>
      <c r="H30" s="983">
        <v>4.0583333333333331E-3</v>
      </c>
      <c r="I30" s="983">
        <v>1.6999999999999998E-2</v>
      </c>
      <c r="J30" s="983">
        <v>1.5895833333333331E-2</v>
      </c>
      <c r="K30" s="983">
        <v>1.5641666666666665E-2</v>
      </c>
      <c r="L30" s="983">
        <v>1.6741666666666665E-2</v>
      </c>
    </row>
    <row r="31" spans="1:12">
      <c r="A31" s="983">
        <v>10380</v>
      </c>
      <c r="B31" s="983">
        <v>-3.85E-2</v>
      </c>
      <c r="C31" s="983">
        <v>-4.0099999999999997E-2</v>
      </c>
      <c r="D31" s="983">
        <v>2.7000000000000001E-3</v>
      </c>
      <c r="E31" s="983">
        <v>3.8083333333333337E-3</v>
      </c>
      <c r="F31" s="983">
        <v>3.9583333333333328E-3</v>
      </c>
      <c r="G31" s="983">
        <v>3.8833333333333333E-3</v>
      </c>
      <c r="H31" s="983">
        <v>4.1583333333333333E-3</v>
      </c>
      <c r="I31" s="983">
        <v>-4.1200000000000001E-2</v>
      </c>
      <c r="J31" s="983">
        <v>-4.2383333333333335E-2</v>
      </c>
      <c r="K31" s="983">
        <v>-4.2658333333333333E-2</v>
      </c>
      <c r="L31" s="983">
        <v>-4.425833333333333E-2</v>
      </c>
    </row>
    <row r="32" spans="1:12">
      <c r="A32" s="983">
        <v>10410</v>
      </c>
      <c r="B32" s="983">
        <v>1.41E-2</v>
      </c>
      <c r="C32" s="983">
        <v>-7.6000000000000009E-3</v>
      </c>
      <c r="D32" s="983">
        <v>2.7000000000000001E-3</v>
      </c>
      <c r="E32" s="983">
        <v>3.8416666666666673E-3</v>
      </c>
      <c r="F32" s="983">
        <v>3.9916666666666668E-3</v>
      </c>
      <c r="G32" s="983">
        <v>3.9166666666666673E-3</v>
      </c>
      <c r="H32" s="983">
        <v>4.1999999999999997E-3</v>
      </c>
      <c r="I32" s="983">
        <v>1.14E-2</v>
      </c>
      <c r="J32" s="983">
        <v>1.0183333333333332E-2</v>
      </c>
      <c r="K32" s="983">
        <v>9.8999999999999991E-3</v>
      </c>
      <c r="L32" s="983">
        <v>-1.1800000000000001E-2</v>
      </c>
    </row>
    <row r="33" spans="1:12">
      <c r="A33" s="983">
        <v>10441</v>
      </c>
      <c r="B33" s="983">
        <v>8.0299999999999996E-2</v>
      </c>
      <c r="C33" s="983">
        <v>6.8199999999999997E-2</v>
      </c>
      <c r="D33" s="983">
        <v>2.8999999999999998E-3</v>
      </c>
      <c r="E33" s="983">
        <v>3.8666666666666667E-3</v>
      </c>
      <c r="F33" s="983">
        <v>4.0166666666666666E-3</v>
      </c>
      <c r="G33" s="983">
        <v>3.9416666666666662E-3</v>
      </c>
      <c r="H33" s="983">
        <v>4.2333333333333337E-3</v>
      </c>
      <c r="I33" s="983">
        <v>7.7399999999999997E-2</v>
      </c>
      <c r="J33" s="983">
        <v>7.6358333333333334E-2</v>
      </c>
      <c r="K33" s="983">
        <v>7.6066666666666657E-2</v>
      </c>
      <c r="L33" s="983">
        <v>6.3966666666666658E-2</v>
      </c>
    </row>
    <row r="34" spans="1:12">
      <c r="A34" s="983">
        <v>10472</v>
      </c>
      <c r="B34" s="983">
        <v>2.5899999999999999E-2</v>
      </c>
      <c r="C34" s="983">
        <v>2.87E-2</v>
      </c>
      <c r="D34" s="983">
        <v>2.7000000000000001E-3</v>
      </c>
      <c r="E34" s="983">
        <v>3.8416666666666673E-3</v>
      </c>
      <c r="F34" s="983">
        <v>3.9916666666666668E-3</v>
      </c>
      <c r="G34" s="983">
        <v>3.9166666666666673E-3</v>
      </c>
      <c r="H34" s="983">
        <v>4.208333333333333E-3</v>
      </c>
      <c r="I34" s="983">
        <v>2.3199999999999998E-2</v>
      </c>
      <c r="J34" s="983">
        <v>2.1983333333333334E-2</v>
      </c>
      <c r="K34" s="983">
        <v>2.1691666666666665E-2</v>
      </c>
      <c r="L34" s="983">
        <v>2.4491666666666669E-2</v>
      </c>
    </row>
    <row r="35" spans="1:12">
      <c r="A35" s="983">
        <v>10502</v>
      </c>
      <c r="B35" s="983">
        <v>1.6799999999999999E-2</v>
      </c>
      <c r="C35" s="983">
        <v>-9.1999999999999998E-3</v>
      </c>
      <c r="D35" s="983">
        <v>3.0000000000000001E-3</v>
      </c>
      <c r="E35" s="983">
        <v>3.8416666666666673E-3</v>
      </c>
      <c r="F35" s="983">
        <v>3.9833333333333335E-3</v>
      </c>
      <c r="G35" s="983">
        <v>3.9125000000000002E-3</v>
      </c>
      <c r="H35" s="983">
        <v>4.1583333333333333E-3</v>
      </c>
      <c r="I35" s="983">
        <v>1.38E-2</v>
      </c>
      <c r="J35" s="983">
        <v>1.28875E-2</v>
      </c>
      <c r="K35" s="983">
        <v>1.2641666666666666E-2</v>
      </c>
      <c r="L35" s="983">
        <v>-1.3358333333333333E-2</v>
      </c>
    </row>
    <row r="36" spans="1:12">
      <c r="A36" s="983">
        <v>10533</v>
      </c>
      <c r="B36" s="983">
        <v>0.12920000000000001</v>
      </c>
      <c r="C36" s="983">
        <v>0.2147</v>
      </c>
      <c r="D36" s="983">
        <v>2.7000000000000001E-3</v>
      </c>
      <c r="E36" s="983">
        <v>3.8166666666666666E-3</v>
      </c>
      <c r="F36" s="983">
        <v>3.933333333333333E-3</v>
      </c>
      <c r="G36" s="983">
        <v>3.8749999999999995E-3</v>
      </c>
      <c r="H36" s="983">
        <v>4.15E-3</v>
      </c>
      <c r="I36" s="983">
        <v>0.1265</v>
      </c>
      <c r="J36" s="983">
        <v>0.12532500000000002</v>
      </c>
      <c r="K36" s="983">
        <v>0.12505000000000002</v>
      </c>
      <c r="L36" s="983">
        <v>0.21055000000000001</v>
      </c>
    </row>
    <row r="37" spans="1:12">
      <c r="A37" s="983">
        <v>10563</v>
      </c>
      <c r="B37" s="983">
        <v>4.8999999999999998E-3</v>
      </c>
      <c r="C37" s="983">
        <v>0.01</v>
      </c>
      <c r="D37" s="983">
        <v>2.8999999999999998E-3</v>
      </c>
      <c r="E37" s="983">
        <v>3.8416666666666673E-3</v>
      </c>
      <c r="F37" s="983">
        <v>3.9749999999999994E-3</v>
      </c>
      <c r="G37" s="983">
        <v>3.908333333333334E-3</v>
      </c>
      <c r="H37" s="983">
        <v>4.208333333333333E-3</v>
      </c>
      <c r="I37" s="983">
        <v>2E-3</v>
      </c>
      <c r="J37" s="983">
        <v>9.9166666666666587E-4</v>
      </c>
      <c r="K37" s="983">
        <v>6.9166666666666682E-4</v>
      </c>
      <c r="L37" s="983">
        <v>5.7916666666666672E-3</v>
      </c>
    </row>
    <row r="38" spans="1:12">
      <c r="A38" s="983">
        <v>10594</v>
      </c>
      <c r="B38" s="983">
        <v>5.8299999999999998E-2</v>
      </c>
      <c r="C38" s="983">
        <v>0.13250000000000001</v>
      </c>
      <c r="D38" s="983">
        <v>2.8999999999999998E-3</v>
      </c>
      <c r="E38" s="983">
        <v>3.8500000000000001E-3</v>
      </c>
      <c r="F38" s="983">
        <v>3.9916666666666668E-3</v>
      </c>
      <c r="G38" s="983">
        <v>3.9208333333333335E-3</v>
      </c>
      <c r="H38" s="983">
        <v>4.208333333333333E-3</v>
      </c>
      <c r="I38" s="983">
        <v>5.5399999999999998E-2</v>
      </c>
      <c r="J38" s="983">
        <v>5.4379166666666666E-2</v>
      </c>
      <c r="K38" s="983">
        <v>5.4091666666666663E-2</v>
      </c>
      <c r="L38" s="983">
        <v>0.12829166666666666</v>
      </c>
    </row>
    <row r="39" spans="1:12">
      <c r="A39" s="983">
        <v>10625</v>
      </c>
      <c r="B39" s="983">
        <v>-1.9E-3</v>
      </c>
      <c r="C39" s="983">
        <v>-2.3199999999999998E-2</v>
      </c>
      <c r="D39" s="983">
        <v>2.7000000000000001E-3</v>
      </c>
      <c r="E39" s="983">
        <v>3.8833333333333337E-3</v>
      </c>
      <c r="F39" s="983">
        <v>4.0500000000000006E-3</v>
      </c>
      <c r="G39" s="983">
        <v>3.966666666666667E-3</v>
      </c>
      <c r="H39" s="983">
        <v>4.2500000000000003E-3</v>
      </c>
      <c r="I39" s="983">
        <v>-4.5999999999999999E-3</v>
      </c>
      <c r="J39" s="983">
        <v>-5.8666666666666667E-3</v>
      </c>
      <c r="K39" s="983">
        <v>-6.1500000000000001E-3</v>
      </c>
      <c r="L39" s="983">
        <v>-2.7449999999999999E-2</v>
      </c>
    </row>
    <row r="40" spans="1:12">
      <c r="A40" s="983">
        <v>10653</v>
      </c>
      <c r="B40" s="983">
        <v>-1.1999999999999999E-3</v>
      </c>
      <c r="C40" s="983">
        <v>-1.1000000000000001E-2</v>
      </c>
      <c r="D40" s="983">
        <v>2.7999999999999995E-3</v>
      </c>
      <c r="E40" s="983">
        <v>3.9166666666666664E-3</v>
      </c>
      <c r="F40" s="983">
        <v>4.0999999999999995E-3</v>
      </c>
      <c r="G40" s="983">
        <v>4.0083333333333334E-3</v>
      </c>
      <c r="H40" s="983">
        <v>4.2833333333333326E-3</v>
      </c>
      <c r="I40" s="983">
        <v>-3.9999999999999992E-3</v>
      </c>
      <c r="J40" s="983">
        <v>-5.208333333333333E-3</v>
      </c>
      <c r="K40" s="983">
        <v>-5.4833333333333322E-3</v>
      </c>
      <c r="L40" s="983">
        <v>-1.5283333333333333E-2</v>
      </c>
    </row>
    <row r="41" spans="1:12">
      <c r="A41" s="983">
        <v>10684</v>
      </c>
      <c r="B41" s="983">
        <v>1.7600000000000001E-2</v>
      </c>
      <c r="C41" s="983">
        <v>3.4700000000000002E-2</v>
      </c>
      <c r="D41" s="983">
        <v>3.3999999999999998E-3</v>
      </c>
      <c r="E41" s="983">
        <v>3.908333333333334E-3</v>
      </c>
      <c r="F41" s="983">
        <v>4.0916666666666671E-3</v>
      </c>
      <c r="G41" s="983">
        <v>4.0000000000000001E-3</v>
      </c>
      <c r="H41" s="983">
        <v>4.2833333333333326E-3</v>
      </c>
      <c r="I41" s="983">
        <v>1.4200000000000001E-2</v>
      </c>
      <c r="J41" s="983">
        <v>1.3600000000000001E-2</v>
      </c>
      <c r="K41" s="983">
        <v>1.3316666666666668E-2</v>
      </c>
      <c r="L41" s="983">
        <v>3.0416666666666668E-2</v>
      </c>
    </row>
    <row r="42" spans="1:12">
      <c r="A42" s="983">
        <v>10714</v>
      </c>
      <c r="B42" s="983">
        <v>-3.6200000000000003E-2</v>
      </c>
      <c r="C42" s="983">
        <v>4.7E-2</v>
      </c>
      <c r="D42" s="983">
        <v>3.0000000000000001E-3</v>
      </c>
      <c r="E42" s="983">
        <v>3.9166666666666664E-3</v>
      </c>
      <c r="F42" s="983">
        <v>4.0916666666666671E-3</v>
      </c>
      <c r="G42" s="983">
        <v>4.0041666666666663E-3</v>
      </c>
      <c r="H42" s="983">
        <v>4.2833333333333326E-3</v>
      </c>
      <c r="I42" s="983">
        <v>-3.9200000000000006E-2</v>
      </c>
      <c r="J42" s="983">
        <v>-4.0204166666666666E-2</v>
      </c>
      <c r="K42" s="983">
        <v>-4.0483333333333336E-2</v>
      </c>
      <c r="L42" s="983">
        <v>4.2716666666666667E-2</v>
      </c>
    </row>
    <row r="43" spans="1:12">
      <c r="A43" s="983">
        <v>10745</v>
      </c>
      <c r="B43" s="983">
        <v>0.114</v>
      </c>
      <c r="C43" s="983">
        <v>0.21780000000000002</v>
      </c>
      <c r="D43" s="983">
        <v>2.8999999999999998E-3</v>
      </c>
      <c r="E43" s="983">
        <v>3.9749999999999994E-3</v>
      </c>
      <c r="F43" s="983">
        <v>4.15E-3</v>
      </c>
      <c r="G43" s="983">
        <v>4.0625000000000001E-3</v>
      </c>
      <c r="H43" s="983">
        <v>4.3583333333333339E-3</v>
      </c>
      <c r="I43" s="983">
        <v>0.1111</v>
      </c>
      <c r="J43" s="983">
        <v>0.10993750000000001</v>
      </c>
      <c r="K43" s="983">
        <v>0.10964166666666667</v>
      </c>
      <c r="L43" s="983">
        <v>0.2134416666666667</v>
      </c>
    </row>
    <row r="44" spans="1:12">
      <c r="A44" s="983">
        <v>10775</v>
      </c>
      <c r="B44" s="983">
        <v>4.7100000000000003E-2</v>
      </c>
      <c r="C44" s="983">
        <v>9.0499999999999983E-2</v>
      </c>
      <c r="D44" s="983">
        <v>3.2000000000000002E-3</v>
      </c>
      <c r="E44" s="983">
        <v>3.9749999999999994E-3</v>
      </c>
      <c r="F44" s="983">
        <v>4.1416666666666659E-3</v>
      </c>
      <c r="G44" s="983">
        <v>4.0583333333333331E-3</v>
      </c>
      <c r="H44" s="983">
        <v>4.3666666666666671E-3</v>
      </c>
      <c r="I44" s="983">
        <v>4.3900000000000002E-2</v>
      </c>
      <c r="J44" s="983">
        <v>4.3041666666666673E-2</v>
      </c>
      <c r="K44" s="983">
        <v>4.2733333333333338E-2</v>
      </c>
      <c r="L44" s="983">
        <v>8.6133333333333312E-2</v>
      </c>
    </row>
    <row r="45" spans="1:12">
      <c r="A45" s="983">
        <v>10806</v>
      </c>
      <c r="B45" s="983">
        <v>0.1028</v>
      </c>
      <c r="C45" s="983">
        <v>0.1033</v>
      </c>
      <c r="D45" s="983">
        <v>3.0000000000000001E-3</v>
      </c>
      <c r="E45" s="983">
        <v>3.9916666666666668E-3</v>
      </c>
      <c r="F45" s="983">
        <v>4.1583333333333333E-3</v>
      </c>
      <c r="G45" s="983">
        <v>4.0749999999999996E-3</v>
      </c>
      <c r="H45" s="983">
        <v>4.4166666666666668E-3</v>
      </c>
      <c r="I45" s="983">
        <v>9.98E-2</v>
      </c>
      <c r="J45" s="983">
        <v>9.8725000000000007E-2</v>
      </c>
      <c r="K45" s="983">
        <v>9.8383333333333337E-2</v>
      </c>
      <c r="L45" s="983">
        <v>9.8883333333333337E-2</v>
      </c>
    </row>
    <row r="46" spans="1:12">
      <c r="A46" s="983">
        <v>10837</v>
      </c>
      <c r="B46" s="983">
        <v>-4.7600000000000003E-2</v>
      </c>
      <c r="C46" s="983">
        <v>3.9999999999999996E-4</v>
      </c>
      <c r="D46" s="983">
        <v>3.2000000000000002E-3</v>
      </c>
      <c r="E46" s="983">
        <v>4.0000000000000001E-3</v>
      </c>
      <c r="F46" s="983">
        <v>4.1749999999999999E-3</v>
      </c>
      <c r="G46" s="983">
        <v>4.0874999999999991E-3</v>
      </c>
      <c r="H46" s="983">
        <v>4.4833333333333331E-3</v>
      </c>
      <c r="I46" s="983">
        <v>-5.0800000000000005E-2</v>
      </c>
      <c r="J46" s="983">
        <v>-5.1687500000000004E-2</v>
      </c>
      <c r="K46" s="983">
        <v>-5.2083333333333336E-2</v>
      </c>
      <c r="L46" s="983">
        <v>-4.0833333333333329E-3</v>
      </c>
    </row>
    <row r="47" spans="1:12">
      <c r="A47" s="983">
        <v>10867</v>
      </c>
      <c r="B47" s="983">
        <v>-0.1973</v>
      </c>
      <c r="C47" s="983">
        <v>-0.30220000000000002</v>
      </c>
      <c r="D47" s="983">
        <v>3.0999999999999999E-3</v>
      </c>
      <c r="E47" s="983">
        <v>3.9749999999999994E-3</v>
      </c>
      <c r="F47" s="983">
        <v>4.1749999999999999E-3</v>
      </c>
      <c r="G47" s="983">
        <v>4.0749999999999996E-3</v>
      </c>
      <c r="H47" s="983">
        <v>4.45E-3</v>
      </c>
      <c r="I47" s="983">
        <v>-0.20039999999999999</v>
      </c>
      <c r="J47" s="983">
        <v>-0.201375</v>
      </c>
      <c r="K47" s="983">
        <v>-0.20175000000000001</v>
      </c>
      <c r="L47" s="983">
        <v>-0.30665000000000003</v>
      </c>
    </row>
    <row r="48" spans="1:12">
      <c r="A48" s="983">
        <v>10898</v>
      </c>
      <c r="B48" s="983">
        <v>-0.1246</v>
      </c>
      <c r="C48" s="983">
        <v>-0.1424</v>
      </c>
      <c r="D48" s="983">
        <v>2.5999999999999999E-3</v>
      </c>
      <c r="E48" s="983">
        <v>3.966666666666667E-3</v>
      </c>
      <c r="F48" s="983">
        <v>4.1166666666666669E-3</v>
      </c>
      <c r="G48" s="983">
        <v>4.0416666666666665E-3</v>
      </c>
      <c r="H48" s="983">
        <v>4.4083333333333335E-3</v>
      </c>
      <c r="I48" s="983">
        <v>-0.12720000000000001</v>
      </c>
      <c r="J48" s="983">
        <v>-0.12864166666666668</v>
      </c>
      <c r="K48" s="983">
        <v>-0.12900833333333334</v>
      </c>
      <c r="L48" s="983">
        <v>-0.14680833333333332</v>
      </c>
    </row>
    <row r="49" spans="1:12">
      <c r="A49" s="983">
        <v>10928</v>
      </c>
      <c r="B49" s="983">
        <v>2.8199999999999999E-2</v>
      </c>
      <c r="C49" s="983">
        <v>6.7999999999999991E-2</v>
      </c>
      <c r="D49" s="983">
        <v>3.0999999999999999E-3</v>
      </c>
      <c r="E49" s="983">
        <v>3.8916666666666665E-3</v>
      </c>
      <c r="F49" s="983">
        <v>4.0333333333333332E-3</v>
      </c>
      <c r="G49" s="983">
        <v>3.9624999999999999E-3</v>
      </c>
      <c r="H49" s="983">
        <v>4.3583333333333339E-3</v>
      </c>
      <c r="I49" s="983">
        <v>2.5100000000000001E-2</v>
      </c>
      <c r="J49" s="983">
        <v>2.4237499999999999E-2</v>
      </c>
      <c r="K49" s="983">
        <v>2.3841666666666664E-2</v>
      </c>
      <c r="L49" s="983">
        <v>6.3641666666666652E-2</v>
      </c>
    </row>
    <row r="50" spans="1:12">
      <c r="A50" s="983">
        <v>10959</v>
      </c>
      <c r="B50" s="983">
        <v>6.3899999999999998E-2</v>
      </c>
      <c r="C50" s="983">
        <v>7.3999999999999996E-2</v>
      </c>
      <c r="D50" s="983">
        <v>2.8999999999999998E-3</v>
      </c>
      <c r="E50" s="983">
        <v>3.8833333333333337E-3</v>
      </c>
      <c r="F50" s="983">
        <v>4.0500000000000006E-3</v>
      </c>
      <c r="G50" s="983">
        <v>3.966666666666667E-3</v>
      </c>
      <c r="H50" s="983">
        <v>4.3833333333333328E-3</v>
      </c>
      <c r="I50" s="983">
        <v>6.0999999999999999E-2</v>
      </c>
      <c r="J50" s="983">
        <v>5.9933333333333332E-2</v>
      </c>
      <c r="K50" s="983">
        <v>5.9516666666666662E-2</v>
      </c>
      <c r="L50" s="983">
        <v>6.961666666666666E-2</v>
      </c>
    </row>
    <row r="51" spans="1:12">
      <c r="A51" s="983">
        <v>10990</v>
      </c>
      <c r="B51" s="983">
        <v>2.5899999999999999E-2</v>
      </c>
      <c r="C51" s="983">
        <v>8.8499999999999995E-2</v>
      </c>
      <c r="D51" s="983">
        <v>2.5999999999999999E-3</v>
      </c>
      <c r="E51" s="983">
        <v>3.908333333333334E-3</v>
      </c>
      <c r="F51" s="983">
        <v>4.0749999999999996E-3</v>
      </c>
      <c r="G51" s="983">
        <v>3.9916666666666668E-3</v>
      </c>
      <c r="H51" s="983">
        <v>4.4083333333333335E-3</v>
      </c>
      <c r="I51" s="983">
        <v>2.3300000000000001E-2</v>
      </c>
      <c r="J51" s="983">
        <v>2.1908333333333332E-2</v>
      </c>
      <c r="K51" s="983">
        <v>2.1491666666666666E-2</v>
      </c>
      <c r="L51" s="983">
        <v>8.4091666666666662E-2</v>
      </c>
    </row>
    <row r="52" spans="1:12">
      <c r="A52" s="983">
        <v>11018</v>
      </c>
      <c r="B52" s="983">
        <v>8.1199999999999994E-2</v>
      </c>
      <c r="C52" s="983">
        <v>8.9099999999999999E-2</v>
      </c>
      <c r="D52" s="983">
        <v>2.8999999999999998E-3</v>
      </c>
      <c r="E52" s="983">
        <v>3.8500000000000001E-3</v>
      </c>
      <c r="F52" s="983">
        <v>4.0000000000000001E-3</v>
      </c>
      <c r="G52" s="983">
        <v>3.9249999999999997E-3</v>
      </c>
      <c r="H52" s="983">
        <v>4.3166666666666666E-3</v>
      </c>
      <c r="I52" s="983">
        <v>7.8299999999999995E-2</v>
      </c>
      <c r="J52" s="983">
        <v>7.7274999999999996E-2</v>
      </c>
      <c r="K52" s="983">
        <v>7.6883333333333331E-2</v>
      </c>
      <c r="L52" s="983">
        <v>8.4783333333333336E-2</v>
      </c>
    </row>
    <row r="53" spans="1:12">
      <c r="A53" s="983">
        <v>11049</v>
      </c>
      <c r="B53" s="983">
        <v>-8.0000000000000002E-3</v>
      </c>
      <c r="C53" s="983">
        <v>3.4099999999999998E-2</v>
      </c>
      <c r="D53" s="983">
        <v>2.7000000000000001E-3</v>
      </c>
      <c r="E53" s="983">
        <v>3.8333333333333331E-3</v>
      </c>
      <c r="F53" s="983">
        <v>3.9833333333333335E-3</v>
      </c>
      <c r="G53" s="983">
        <v>3.908333333333334E-3</v>
      </c>
      <c r="H53" s="983">
        <v>4.2916666666666667E-3</v>
      </c>
      <c r="I53" s="983">
        <v>-1.0700000000000001E-2</v>
      </c>
      <c r="J53" s="983">
        <v>-1.1908333333333333E-2</v>
      </c>
      <c r="K53" s="983">
        <v>-1.2291666666666666E-2</v>
      </c>
      <c r="L53" s="983">
        <v>2.9808333333333333E-2</v>
      </c>
    </row>
    <row r="54" spans="1:12">
      <c r="A54" s="983">
        <v>11079</v>
      </c>
      <c r="B54" s="983">
        <v>-9.5999999999999992E-3</v>
      </c>
      <c r="C54" s="983">
        <v>-2.3600000000000003E-2</v>
      </c>
      <c r="D54" s="983">
        <v>2.7000000000000001E-3</v>
      </c>
      <c r="E54" s="983">
        <v>3.8333333333333331E-3</v>
      </c>
      <c r="F54" s="983">
        <v>3.9749999999999994E-3</v>
      </c>
      <c r="G54" s="983">
        <v>3.9041666666666665E-3</v>
      </c>
      <c r="H54" s="983">
        <v>4.1999999999999997E-3</v>
      </c>
      <c r="I54" s="983">
        <v>-1.2299999999999998E-2</v>
      </c>
      <c r="J54" s="983">
        <v>-1.3504166666666666E-2</v>
      </c>
      <c r="K54" s="983">
        <v>-1.38E-2</v>
      </c>
      <c r="L54" s="983">
        <v>-2.7800000000000002E-2</v>
      </c>
    </row>
    <row r="55" spans="1:12">
      <c r="A55" s="983">
        <v>11110</v>
      </c>
      <c r="B55" s="983">
        <v>-0.16250000000000001</v>
      </c>
      <c r="C55" s="983">
        <v>-0.19030000000000002</v>
      </c>
      <c r="D55" s="983">
        <v>2.8999999999999998E-3</v>
      </c>
      <c r="E55" s="983">
        <v>3.8083333333333337E-3</v>
      </c>
      <c r="F55" s="983">
        <v>3.966666666666667E-3</v>
      </c>
      <c r="G55" s="983">
        <v>3.8875000000000003E-3</v>
      </c>
      <c r="H55" s="983">
        <v>4.1749999999999999E-3</v>
      </c>
      <c r="I55" s="983">
        <v>-0.16539999999999999</v>
      </c>
      <c r="J55" s="983">
        <v>-0.16638749999999999</v>
      </c>
      <c r="K55" s="983">
        <v>-0.16667500000000002</v>
      </c>
      <c r="L55" s="983">
        <v>-0.19447500000000004</v>
      </c>
    </row>
    <row r="56" spans="1:12">
      <c r="A56" s="983">
        <v>11140</v>
      </c>
      <c r="B56" s="983">
        <v>3.8600000000000002E-2</v>
      </c>
      <c r="C56" s="983">
        <v>1.7599999999999998E-2</v>
      </c>
      <c r="D56" s="983">
        <v>2.7999999999999995E-3</v>
      </c>
      <c r="E56" s="983">
        <v>3.7666666666666664E-3</v>
      </c>
      <c r="F56" s="983">
        <v>3.9500000000000004E-3</v>
      </c>
      <c r="G56" s="983">
        <v>3.8583333333333334E-3</v>
      </c>
      <c r="H56" s="983">
        <v>4.1583333333333333E-3</v>
      </c>
      <c r="I56" s="983">
        <v>3.5800000000000005E-2</v>
      </c>
      <c r="J56" s="983">
        <v>3.4741666666666671E-2</v>
      </c>
      <c r="K56" s="983">
        <v>3.4441666666666669E-2</v>
      </c>
      <c r="L56" s="983">
        <v>1.3441666666666664E-2</v>
      </c>
    </row>
    <row r="57" spans="1:12">
      <c r="A57" s="983">
        <v>11171</v>
      </c>
      <c r="B57" s="983">
        <v>1.41E-2</v>
      </c>
      <c r="C57" s="983">
        <v>7.6000000000000009E-3</v>
      </c>
      <c r="D57" s="983">
        <v>2.5999999999999999E-3</v>
      </c>
      <c r="E57" s="983">
        <v>3.725E-3</v>
      </c>
      <c r="F57" s="983">
        <v>3.8999999999999994E-3</v>
      </c>
      <c r="G57" s="983">
        <v>3.8124999999999999E-3</v>
      </c>
      <c r="H57" s="983">
        <v>4.1250000000000002E-3</v>
      </c>
      <c r="I57" s="983">
        <v>1.15E-2</v>
      </c>
      <c r="J57" s="983">
        <v>1.02875E-2</v>
      </c>
      <c r="K57" s="983">
        <v>9.9749999999999995E-3</v>
      </c>
      <c r="L57" s="983">
        <v>3.4750000000000007E-3</v>
      </c>
    </row>
    <row r="58" spans="1:12">
      <c r="A58" s="983">
        <v>11202</v>
      </c>
      <c r="B58" s="983">
        <v>-0.12820000000000001</v>
      </c>
      <c r="C58" s="983">
        <v>-0.1108</v>
      </c>
      <c r="D58" s="983">
        <v>2.8999999999999998E-3</v>
      </c>
      <c r="E58" s="983">
        <v>3.6833333333333336E-3</v>
      </c>
      <c r="F58" s="983">
        <v>3.875E-3</v>
      </c>
      <c r="G58" s="983">
        <v>3.7791666666666668E-3</v>
      </c>
      <c r="H58" s="983">
        <v>4.0500000000000006E-3</v>
      </c>
      <c r="I58" s="983">
        <v>-0.13109999999999999</v>
      </c>
      <c r="J58" s="983">
        <v>-0.13197916666666668</v>
      </c>
      <c r="K58" s="983">
        <v>-0.13225000000000001</v>
      </c>
      <c r="L58" s="983">
        <v>-0.11484999999999999</v>
      </c>
    </row>
    <row r="59" spans="1:12">
      <c r="A59" s="983">
        <v>11232</v>
      </c>
      <c r="B59" s="983">
        <v>-8.5500000000000007E-2</v>
      </c>
      <c r="C59" s="983">
        <v>-8.1799999999999998E-2</v>
      </c>
      <c r="D59" s="983">
        <v>2.7000000000000001E-3</v>
      </c>
      <c r="E59" s="983">
        <v>3.6833333333333336E-3</v>
      </c>
      <c r="F59" s="983">
        <v>3.8916666666666665E-3</v>
      </c>
      <c r="G59" s="983">
        <v>3.7875000000000005E-3</v>
      </c>
      <c r="H59" s="983">
        <v>4.0666666666666663E-3</v>
      </c>
      <c r="I59" s="983">
        <v>-8.8200000000000001E-2</v>
      </c>
      <c r="J59" s="983">
        <v>-8.9287500000000006E-2</v>
      </c>
      <c r="K59" s="983">
        <v>-8.9566666666666669E-2</v>
      </c>
      <c r="L59" s="983">
        <v>-8.5866666666666661E-2</v>
      </c>
    </row>
    <row r="60" spans="1:12">
      <c r="A60" s="983">
        <v>11263</v>
      </c>
      <c r="B60" s="983">
        <v>-8.8999999999999999E-3</v>
      </c>
      <c r="C60" s="983">
        <v>-7.3000000000000009E-2</v>
      </c>
      <c r="D60" s="983">
        <v>2.5999999999999999E-3</v>
      </c>
      <c r="E60" s="983">
        <v>3.725E-3</v>
      </c>
      <c r="F60" s="983">
        <v>3.9583333333333328E-3</v>
      </c>
      <c r="G60" s="983">
        <v>3.8416666666666664E-3</v>
      </c>
      <c r="H60" s="983">
        <v>4.1333333333333335E-3</v>
      </c>
      <c r="I60" s="983">
        <v>-1.15E-2</v>
      </c>
      <c r="J60" s="983">
        <v>-1.2741666666666667E-2</v>
      </c>
      <c r="K60" s="983">
        <v>-1.3033333333333334E-2</v>
      </c>
      <c r="L60" s="983">
        <v>-7.7133333333333345E-2</v>
      </c>
    </row>
    <row r="61" spans="1:12">
      <c r="A61" s="983">
        <v>11293</v>
      </c>
      <c r="B61" s="983">
        <v>-7.0599999999999996E-2</v>
      </c>
      <c r="C61" s="983">
        <v>-3.39E-2</v>
      </c>
      <c r="D61" s="983">
        <v>2.7999999999999995E-3</v>
      </c>
      <c r="E61" s="983">
        <v>3.7666666666666664E-3</v>
      </c>
      <c r="F61" s="983">
        <v>4.0416666666666665E-3</v>
      </c>
      <c r="G61" s="983">
        <v>3.9041666666666665E-3</v>
      </c>
      <c r="H61" s="983">
        <v>4.2583333333333336E-3</v>
      </c>
      <c r="I61" s="983">
        <v>-7.3399999999999993E-2</v>
      </c>
      <c r="J61" s="983">
        <v>-7.4504166666666663E-2</v>
      </c>
      <c r="K61" s="983">
        <v>-7.4858333333333332E-2</v>
      </c>
      <c r="L61" s="983">
        <v>-3.8158333333333336E-2</v>
      </c>
    </row>
    <row r="62" spans="1:12">
      <c r="A62" s="983">
        <v>11324</v>
      </c>
      <c r="B62" s="983">
        <v>5.0200000000000002E-2</v>
      </c>
      <c r="C62" s="983">
        <v>5.4000000000000006E-2</v>
      </c>
      <c r="D62" s="983">
        <v>2.7999999999999995E-3</v>
      </c>
      <c r="E62" s="983">
        <v>3.6833333333333336E-3</v>
      </c>
      <c r="F62" s="983">
        <v>3.9166666666666664E-3</v>
      </c>
      <c r="G62" s="983">
        <v>3.8E-3</v>
      </c>
      <c r="H62" s="983">
        <v>4.1749999999999999E-3</v>
      </c>
      <c r="I62" s="983">
        <v>4.7400000000000005E-2</v>
      </c>
      <c r="J62" s="983">
        <v>4.6400000000000004E-2</v>
      </c>
      <c r="K62" s="983">
        <v>4.6025000000000003E-2</v>
      </c>
      <c r="L62" s="983">
        <v>4.9825000000000008E-2</v>
      </c>
    </row>
    <row r="63" spans="1:12">
      <c r="A63" s="983">
        <v>11355</v>
      </c>
      <c r="B63" s="983">
        <v>0.1193</v>
      </c>
      <c r="C63" s="983">
        <v>0.15240000000000001</v>
      </c>
      <c r="D63" s="983">
        <v>2.5999999999999999E-3</v>
      </c>
      <c r="E63" s="983">
        <v>3.6916666666666664E-3</v>
      </c>
      <c r="F63" s="983">
        <v>3.9166666666666664E-3</v>
      </c>
      <c r="G63" s="983">
        <v>3.8041666666666662E-3</v>
      </c>
      <c r="H63" s="983">
        <v>4.1749999999999999E-3</v>
      </c>
      <c r="I63" s="983">
        <v>0.1167</v>
      </c>
      <c r="J63" s="983">
        <v>0.11549583333333334</v>
      </c>
      <c r="K63" s="983">
        <v>0.11512500000000001</v>
      </c>
      <c r="L63" s="983">
        <v>0.148225</v>
      </c>
    </row>
    <row r="64" spans="1:12">
      <c r="A64" s="983">
        <v>11383</v>
      </c>
      <c r="B64" s="983">
        <v>-6.7500000000000004E-2</v>
      </c>
      <c r="C64" s="983">
        <v>-2.3900000000000001E-2</v>
      </c>
      <c r="D64" s="983">
        <v>2.8999999999999998E-3</v>
      </c>
      <c r="E64" s="983">
        <v>3.6583333333333329E-3</v>
      </c>
      <c r="F64" s="983">
        <v>3.8916666666666665E-3</v>
      </c>
      <c r="G64" s="983">
        <v>3.7749999999999993E-3</v>
      </c>
      <c r="H64" s="983">
        <v>4.15E-3</v>
      </c>
      <c r="I64" s="983">
        <v>-7.0400000000000004E-2</v>
      </c>
      <c r="J64" s="983">
        <v>-7.1275000000000005E-2</v>
      </c>
      <c r="K64" s="983">
        <v>-7.1650000000000005E-2</v>
      </c>
      <c r="L64" s="983">
        <v>-2.8050000000000002E-2</v>
      </c>
    </row>
    <row r="65" spans="1:12">
      <c r="A65" s="983">
        <v>11414</v>
      </c>
      <c r="B65" s="983">
        <v>-9.35E-2</v>
      </c>
      <c r="C65" s="983">
        <v>-0.10540000000000001</v>
      </c>
      <c r="D65" s="983">
        <v>2.7000000000000001E-3</v>
      </c>
      <c r="E65" s="983">
        <v>3.666666666666667E-3</v>
      </c>
      <c r="F65" s="983">
        <v>3.966666666666667E-3</v>
      </c>
      <c r="G65" s="983">
        <v>3.816666666666667E-3</v>
      </c>
      <c r="H65" s="983">
        <v>4.0500000000000006E-3</v>
      </c>
      <c r="I65" s="983">
        <v>-9.6199999999999994E-2</v>
      </c>
      <c r="J65" s="983">
        <v>-9.7316666666666662E-2</v>
      </c>
      <c r="K65" s="983">
        <v>-9.7549999999999998E-2</v>
      </c>
      <c r="L65" s="983">
        <v>-0.10945000000000001</v>
      </c>
    </row>
    <row r="66" spans="1:12">
      <c r="A66" s="983">
        <v>11444</v>
      </c>
      <c r="B66" s="983">
        <v>-0.12790000000000001</v>
      </c>
      <c r="C66" s="983">
        <v>-0.10289999999999999</v>
      </c>
      <c r="D66" s="983">
        <v>2.5999999999999999E-3</v>
      </c>
      <c r="E66" s="983">
        <v>3.6416666666666667E-3</v>
      </c>
      <c r="F66" s="983">
        <v>3.966666666666667E-3</v>
      </c>
      <c r="G66" s="983">
        <v>3.8041666666666666E-3</v>
      </c>
      <c r="H66" s="983">
        <v>4.0333333333333332E-3</v>
      </c>
      <c r="I66" s="983">
        <v>-0.1305</v>
      </c>
      <c r="J66" s="983">
        <v>-0.13170416666666668</v>
      </c>
      <c r="K66" s="983">
        <v>-0.13193333333333335</v>
      </c>
      <c r="L66" s="983">
        <v>-0.10693333333333332</v>
      </c>
    </row>
    <row r="67" spans="1:12">
      <c r="A67" s="983">
        <v>11475</v>
      </c>
      <c r="B67" s="983">
        <v>0.1421</v>
      </c>
      <c r="C67" s="983">
        <v>0.13730000000000001</v>
      </c>
      <c r="D67" s="983">
        <v>2.7999999999999995E-3</v>
      </c>
      <c r="E67" s="983">
        <v>3.6333333333333335E-3</v>
      </c>
      <c r="F67" s="983">
        <v>4.0083333333333334E-3</v>
      </c>
      <c r="G67" s="983">
        <v>3.8208333333333332E-3</v>
      </c>
      <c r="H67" s="983">
        <v>4.0583333333333331E-3</v>
      </c>
      <c r="I67" s="983">
        <v>0.13930000000000001</v>
      </c>
      <c r="J67" s="983">
        <v>0.13827916666666668</v>
      </c>
      <c r="K67" s="983">
        <v>0.13804166666666667</v>
      </c>
      <c r="L67" s="983">
        <v>0.13324166666666667</v>
      </c>
    </row>
    <row r="68" spans="1:12">
      <c r="A68" s="983">
        <v>11505</v>
      </c>
      <c r="B68" s="983">
        <v>-7.22E-2</v>
      </c>
      <c r="C68" s="983">
        <v>-6.2199999999999991E-2</v>
      </c>
      <c r="D68" s="983">
        <v>2.7000000000000001E-3</v>
      </c>
      <c r="E68" s="983">
        <v>3.6333333333333335E-3</v>
      </c>
      <c r="F68" s="983">
        <v>4.0083333333333334E-3</v>
      </c>
      <c r="G68" s="983">
        <v>3.8208333333333332E-3</v>
      </c>
      <c r="H68" s="983">
        <v>4.0249999999999999E-3</v>
      </c>
      <c r="I68" s="983">
        <v>-7.4899999999999994E-2</v>
      </c>
      <c r="J68" s="983">
        <v>-7.6020833333333329E-2</v>
      </c>
      <c r="K68" s="983">
        <v>-7.6225000000000001E-2</v>
      </c>
      <c r="L68" s="983">
        <v>-6.6224999999999992E-2</v>
      </c>
    </row>
    <row r="69" spans="1:12">
      <c r="A69" s="983">
        <v>11536</v>
      </c>
      <c r="B69" s="983">
        <v>1.8200000000000001E-2</v>
      </c>
      <c r="C69" s="983">
        <v>2.5599999999999998E-2</v>
      </c>
      <c r="D69" s="983">
        <v>2.7000000000000001E-3</v>
      </c>
      <c r="E69" s="983">
        <v>3.666666666666667E-3</v>
      </c>
      <c r="F69" s="983">
        <v>4.0416666666666665E-3</v>
      </c>
      <c r="G69" s="983">
        <v>3.8541666666666663E-3</v>
      </c>
      <c r="H69" s="983">
        <v>4.0083333333333334E-3</v>
      </c>
      <c r="I69" s="983">
        <v>1.55E-2</v>
      </c>
      <c r="J69" s="983">
        <v>1.4345833333333335E-2</v>
      </c>
      <c r="K69" s="983">
        <v>1.4191666666666668E-2</v>
      </c>
      <c r="L69" s="983">
        <v>2.1591666666666665E-2</v>
      </c>
    </row>
    <row r="70" spans="1:12">
      <c r="A70" s="983">
        <v>11567</v>
      </c>
      <c r="B70" s="983">
        <v>-0.29730000000000001</v>
      </c>
      <c r="C70" s="983">
        <v>-0.31490000000000001</v>
      </c>
      <c r="D70" s="983">
        <v>2.7000000000000001E-3</v>
      </c>
      <c r="E70" s="983">
        <v>3.7916666666666667E-3</v>
      </c>
      <c r="F70" s="983">
        <v>4.2333333333333337E-3</v>
      </c>
      <c r="G70" s="983">
        <v>4.0124999999999996E-3</v>
      </c>
      <c r="H70" s="983">
        <v>4.208333333333333E-3</v>
      </c>
      <c r="I70" s="983">
        <v>-0.3</v>
      </c>
      <c r="J70" s="983">
        <v>-0.30131249999999998</v>
      </c>
      <c r="K70" s="983">
        <v>-0.30150833333333332</v>
      </c>
      <c r="L70" s="983">
        <v>-0.31910833333333333</v>
      </c>
    </row>
    <row r="71" spans="1:12">
      <c r="A71" s="983">
        <v>11597</v>
      </c>
      <c r="B71" s="983">
        <v>8.9599999999999999E-2</v>
      </c>
      <c r="C71" s="983">
        <v>9.9000000000000005E-2</v>
      </c>
      <c r="D71" s="983">
        <v>2.8999999999999998E-3</v>
      </c>
      <c r="E71" s="983">
        <v>4.1583333333333333E-3</v>
      </c>
      <c r="F71" s="983">
        <v>4.6416666666666663E-3</v>
      </c>
      <c r="G71" s="983">
        <v>4.4000000000000003E-3</v>
      </c>
      <c r="H71" s="983">
        <v>4.6166666666666665E-3</v>
      </c>
      <c r="I71" s="983">
        <v>8.6699999999999999E-2</v>
      </c>
      <c r="J71" s="983">
        <v>8.5199999999999998E-2</v>
      </c>
      <c r="K71" s="983">
        <v>8.4983333333333327E-2</v>
      </c>
      <c r="L71" s="983">
        <v>9.4383333333333333E-2</v>
      </c>
    </row>
    <row r="72" spans="1:12">
      <c r="A72" s="983">
        <v>11628</v>
      </c>
      <c r="B72" s="983">
        <v>-7.9799999999999996E-2</v>
      </c>
      <c r="C72" s="983">
        <v>-6.1400000000000003E-2</v>
      </c>
      <c r="D72" s="983">
        <v>3.0999999999999999E-3</v>
      </c>
      <c r="E72" s="983">
        <v>4.1166666666666669E-3</v>
      </c>
      <c r="F72" s="983">
        <v>4.6750000000000003E-3</v>
      </c>
      <c r="G72" s="983">
        <v>4.3958333333333332E-3</v>
      </c>
      <c r="H72" s="983">
        <v>4.5916666666666666E-3</v>
      </c>
      <c r="I72" s="983">
        <v>-8.2900000000000001E-2</v>
      </c>
      <c r="J72" s="983">
        <v>-8.4195833333333331E-2</v>
      </c>
      <c r="K72" s="983">
        <v>-8.4391666666666657E-2</v>
      </c>
      <c r="L72" s="983">
        <v>-6.5991666666666671E-2</v>
      </c>
    </row>
    <row r="73" spans="1:12">
      <c r="A73" s="983">
        <v>11658</v>
      </c>
      <c r="B73" s="983">
        <v>-0.14000000000000001</v>
      </c>
      <c r="C73" s="983">
        <v>-0.1283</v>
      </c>
      <c r="D73" s="983">
        <v>3.2000000000000002E-3</v>
      </c>
      <c r="E73" s="983">
        <v>4.4333333333333334E-3</v>
      </c>
      <c r="F73" s="983">
        <v>5.2166666666666663E-3</v>
      </c>
      <c r="G73" s="983">
        <v>4.8249999999999994E-3</v>
      </c>
      <c r="H73" s="983">
        <v>5.1999999999999998E-3</v>
      </c>
      <c r="I73" s="983">
        <v>-0.14320000000000002</v>
      </c>
      <c r="J73" s="983">
        <v>-0.14482500000000001</v>
      </c>
      <c r="K73" s="983">
        <v>-0.14520000000000002</v>
      </c>
      <c r="L73" s="983">
        <v>-0.13350000000000001</v>
      </c>
    </row>
    <row r="74" spans="1:12">
      <c r="A74" s="983">
        <v>11689</v>
      </c>
      <c r="B74" s="983">
        <v>-2.7099999999999999E-2</v>
      </c>
      <c r="C74" s="983">
        <v>-1.9999999999999997E-2</v>
      </c>
      <c r="D74" s="983">
        <v>3.2000000000000002E-3</v>
      </c>
      <c r="E74" s="983">
        <v>4.3333333333333331E-3</v>
      </c>
      <c r="F74" s="983">
        <v>5.0666666666666672E-3</v>
      </c>
      <c r="G74" s="983">
        <v>4.7000000000000002E-3</v>
      </c>
      <c r="H74" s="983">
        <v>5.1416666666666668E-3</v>
      </c>
      <c r="I74" s="983">
        <v>-3.0300000000000001E-2</v>
      </c>
      <c r="J74" s="983">
        <v>-3.1800000000000002E-2</v>
      </c>
      <c r="K74" s="983">
        <v>-3.2241666666666668E-2</v>
      </c>
      <c r="L74" s="983">
        <v>-2.5141666666666663E-2</v>
      </c>
    </row>
    <row r="75" spans="1:12">
      <c r="A75" s="983">
        <v>11720</v>
      </c>
      <c r="B75" s="983">
        <v>5.7000000000000002E-2</v>
      </c>
      <c r="C75" s="983">
        <v>7.9899999999999999E-2</v>
      </c>
      <c r="D75" s="983">
        <v>3.2000000000000002E-3</v>
      </c>
      <c r="E75" s="983">
        <v>4.3583333333333339E-3</v>
      </c>
      <c r="F75" s="983">
        <v>5.1083333333333336E-3</v>
      </c>
      <c r="G75" s="983">
        <v>4.7333333333333342E-3</v>
      </c>
      <c r="H75" s="983">
        <v>5.3416666666666664E-3</v>
      </c>
      <c r="I75" s="983">
        <v>5.3800000000000001E-2</v>
      </c>
      <c r="J75" s="983">
        <v>5.226666666666667E-2</v>
      </c>
      <c r="K75" s="983">
        <v>5.1658333333333334E-2</v>
      </c>
      <c r="L75" s="983">
        <v>7.4558333333333338E-2</v>
      </c>
    </row>
    <row r="76" spans="1:12">
      <c r="A76" s="983">
        <v>11749</v>
      </c>
      <c r="B76" s="983">
        <v>-0.1158</v>
      </c>
      <c r="C76" s="983">
        <v>-0.10580000000000001</v>
      </c>
      <c r="D76" s="983">
        <v>3.0999999999999999E-3</v>
      </c>
      <c r="E76" s="983">
        <v>4.15E-3</v>
      </c>
      <c r="F76" s="983">
        <v>4.875E-3</v>
      </c>
      <c r="G76" s="983">
        <v>4.5125E-3</v>
      </c>
      <c r="H76" s="983">
        <v>5.0499999999999998E-3</v>
      </c>
      <c r="I76" s="983">
        <v>-0.11890000000000001</v>
      </c>
      <c r="J76" s="983">
        <v>-0.1203125</v>
      </c>
      <c r="K76" s="983">
        <v>-0.12085</v>
      </c>
      <c r="L76" s="983">
        <v>-0.11085</v>
      </c>
    </row>
    <row r="77" spans="1:12">
      <c r="A77" s="983">
        <v>11780</v>
      </c>
      <c r="B77" s="983">
        <v>-0.19969999999999999</v>
      </c>
      <c r="C77" s="983">
        <v>-0.1535</v>
      </c>
      <c r="D77" s="983">
        <v>3.0000000000000001E-3</v>
      </c>
      <c r="E77" s="983">
        <v>4.3083333333333333E-3</v>
      </c>
      <c r="F77" s="983">
        <v>5.0916666666666662E-3</v>
      </c>
      <c r="G77" s="983">
        <v>4.6999999999999993E-3</v>
      </c>
      <c r="H77" s="983">
        <v>5.6916666666666669E-3</v>
      </c>
      <c r="I77" s="983">
        <v>-0.20269999999999999</v>
      </c>
      <c r="J77" s="983">
        <v>-0.2044</v>
      </c>
      <c r="K77" s="983">
        <v>-0.20539166666666667</v>
      </c>
      <c r="L77" s="983">
        <v>-0.15919166666666668</v>
      </c>
    </row>
    <row r="78" spans="1:12">
      <c r="A78" s="983">
        <v>11810</v>
      </c>
      <c r="B78" s="983">
        <v>-0.21959999999999999</v>
      </c>
      <c r="C78" s="983">
        <v>-0.28059999999999996</v>
      </c>
      <c r="D78" s="983">
        <v>2.7999999999999995E-3</v>
      </c>
      <c r="E78" s="983">
        <v>4.4666666666666674E-3</v>
      </c>
      <c r="F78" s="983">
        <v>5.3166666666666666E-3</v>
      </c>
      <c r="G78" s="983">
        <v>4.8916666666666666E-3</v>
      </c>
      <c r="H78" s="983">
        <v>6.1333333333333344E-3</v>
      </c>
      <c r="I78" s="983">
        <v>-0.22239999999999999</v>
      </c>
      <c r="J78" s="983">
        <v>-0.22449166666666664</v>
      </c>
      <c r="K78" s="983">
        <v>-0.22573333333333331</v>
      </c>
      <c r="L78" s="983">
        <v>-0.28673333333333328</v>
      </c>
    </row>
    <row r="79" spans="1:12">
      <c r="A79" s="983">
        <v>11841</v>
      </c>
      <c r="B79" s="983">
        <v>-2.2000000000000001E-3</v>
      </c>
      <c r="C79" s="983">
        <v>8.9999999999999993E-3</v>
      </c>
      <c r="D79" s="983">
        <v>2.7999999999999995E-3</v>
      </c>
      <c r="E79" s="983">
        <v>4.5083333333333338E-3</v>
      </c>
      <c r="F79" s="983">
        <v>5.4999999999999997E-3</v>
      </c>
      <c r="G79" s="983">
        <v>5.0041666666666663E-3</v>
      </c>
      <c r="H79" s="983">
        <v>6.3083333333333333E-3</v>
      </c>
      <c r="I79" s="983">
        <v>-4.9999999999999992E-3</v>
      </c>
      <c r="J79" s="983">
        <v>-7.204166666666666E-3</v>
      </c>
      <c r="K79" s="983">
        <v>-8.508333333333333E-3</v>
      </c>
      <c r="L79" s="983">
        <v>2.691666666666666E-3</v>
      </c>
    </row>
    <row r="80" spans="1:12">
      <c r="A80" s="983">
        <v>11871</v>
      </c>
      <c r="B80" s="983">
        <v>0.38150000000000001</v>
      </c>
      <c r="C80" s="983">
        <v>0.33179999999999998</v>
      </c>
      <c r="D80" s="983">
        <v>2.7999999999999995E-3</v>
      </c>
      <c r="E80" s="983">
        <v>4.3833333333333328E-3</v>
      </c>
      <c r="F80" s="983">
        <v>5.4250000000000001E-3</v>
      </c>
      <c r="G80" s="983">
        <v>4.904166666666666E-3</v>
      </c>
      <c r="H80" s="983">
        <v>6.0666666666666673E-3</v>
      </c>
      <c r="I80" s="983">
        <v>0.37869999999999998</v>
      </c>
      <c r="J80" s="983">
        <v>0.37659583333333335</v>
      </c>
      <c r="K80" s="983">
        <v>0.37543333333333334</v>
      </c>
      <c r="L80" s="983">
        <v>0.32573333333333332</v>
      </c>
    </row>
    <row r="81" spans="1:12">
      <c r="A81" s="983">
        <v>11902</v>
      </c>
      <c r="B81" s="983">
        <v>0.38690000000000002</v>
      </c>
      <c r="C81" s="983">
        <v>0.40300000000000002</v>
      </c>
      <c r="D81" s="983">
        <v>2.7999999999999995E-3</v>
      </c>
      <c r="E81" s="983">
        <v>4.0916666666666671E-3</v>
      </c>
      <c r="F81" s="983">
        <v>4.8583333333333334E-3</v>
      </c>
      <c r="G81" s="983">
        <v>4.4749999999999998E-3</v>
      </c>
      <c r="H81" s="983">
        <v>5.2916666666666667E-3</v>
      </c>
      <c r="I81" s="983">
        <v>0.3841</v>
      </c>
      <c r="J81" s="983">
        <v>0.38242500000000001</v>
      </c>
      <c r="K81" s="983">
        <v>0.38160833333333333</v>
      </c>
      <c r="L81" s="983">
        <v>0.39770833333333333</v>
      </c>
    </row>
    <row r="82" spans="1:12">
      <c r="A82" s="983">
        <v>11933</v>
      </c>
      <c r="B82" s="983">
        <v>-3.4599999999999999E-2</v>
      </c>
      <c r="C82" s="983">
        <v>-2.7000000000000003E-2</v>
      </c>
      <c r="D82" s="983">
        <v>2.5999999999999999E-3</v>
      </c>
      <c r="E82" s="983">
        <v>3.9166666666666664E-3</v>
      </c>
      <c r="F82" s="983">
        <v>4.6166666666666665E-3</v>
      </c>
      <c r="G82" s="983">
        <v>4.266666666666666E-3</v>
      </c>
      <c r="H82" s="983">
        <v>4.9249999999999997E-3</v>
      </c>
      <c r="I82" s="983">
        <v>-3.7199999999999997E-2</v>
      </c>
      <c r="J82" s="983">
        <v>-3.8866666666666667E-2</v>
      </c>
      <c r="K82" s="983">
        <v>-3.9524999999999998E-2</v>
      </c>
      <c r="L82" s="983">
        <v>-3.1925000000000002E-2</v>
      </c>
    </row>
    <row r="83" spans="1:12">
      <c r="A83" s="983">
        <v>11963</v>
      </c>
      <c r="B83" s="983">
        <v>-0.13489999999999999</v>
      </c>
      <c r="C83" s="983">
        <v>-0.1047</v>
      </c>
      <c r="D83" s="983">
        <v>2.7000000000000001E-3</v>
      </c>
      <c r="E83" s="983">
        <v>3.8666666666666667E-3</v>
      </c>
      <c r="F83" s="983">
        <v>4.5916666666666666E-3</v>
      </c>
      <c r="G83" s="983">
        <v>4.2291666666666667E-3</v>
      </c>
      <c r="H83" s="983">
        <v>4.8416666666666669E-3</v>
      </c>
      <c r="I83" s="983">
        <v>-0.1376</v>
      </c>
      <c r="J83" s="983">
        <v>-0.13912916666666666</v>
      </c>
      <c r="K83" s="983">
        <v>-0.13974166666666665</v>
      </c>
      <c r="L83" s="983">
        <v>-0.10954166666666666</v>
      </c>
    </row>
    <row r="84" spans="1:12">
      <c r="A84" s="983">
        <v>11994</v>
      </c>
      <c r="B84" s="983">
        <v>-4.1700000000000001E-2</v>
      </c>
      <c r="C84" s="983">
        <v>-3.5400000000000001E-2</v>
      </c>
      <c r="D84" s="983">
        <v>2.5999999999999999E-3</v>
      </c>
      <c r="E84" s="983">
        <v>3.858333333333333E-3</v>
      </c>
      <c r="F84" s="983">
        <v>4.6416666666666663E-3</v>
      </c>
      <c r="G84" s="983">
        <v>4.2500000000000003E-3</v>
      </c>
      <c r="H84" s="983">
        <v>4.8999999999999998E-3</v>
      </c>
      <c r="I84" s="983">
        <v>-4.4299999999999999E-2</v>
      </c>
      <c r="J84" s="983">
        <v>-4.5950000000000005E-2</v>
      </c>
      <c r="K84" s="983">
        <v>-4.6600000000000003E-2</v>
      </c>
      <c r="L84" s="983">
        <v>-4.0300000000000002E-2</v>
      </c>
    </row>
    <row r="85" spans="1:12">
      <c r="A85" s="983">
        <v>12024</v>
      </c>
      <c r="B85" s="983">
        <v>5.6500000000000002E-2</v>
      </c>
      <c r="C85" s="983">
        <v>8.929999999999999E-2</v>
      </c>
      <c r="D85" s="983">
        <v>2.7000000000000001E-3</v>
      </c>
      <c r="E85" s="983">
        <v>3.8250000000000003E-3</v>
      </c>
      <c r="F85" s="983">
        <v>4.6666666666666662E-3</v>
      </c>
      <c r="G85" s="983">
        <v>4.2458333333333332E-3</v>
      </c>
      <c r="H85" s="983">
        <v>4.8750000000000009E-3</v>
      </c>
      <c r="I85" s="983">
        <v>5.3800000000000001E-2</v>
      </c>
      <c r="J85" s="983">
        <v>5.2254166666666671E-2</v>
      </c>
      <c r="K85" s="983">
        <v>5.1625000000000004E-2</v>
      </c>
      <c r="L85" s="983">
        <v>8.4424999999999986E-2</v>
      </c>
    </row>
    <row r="86" spans="1:12">
      <c r="A86" s="983">
        <v>12055</v>
      </c>
      <c r="B86" s="983">
        <v>8.6999999999999994E-3</v>
      </c>
      <c r="C86" s="983">
        <v>-3.1099999999999996E-2</v>
      </c>
      <c r="D86" s="983">
        <v>2.7000000000000001E-3</v>
      </c>
      <c r="E86" s="983">
        <v>3.7000000000000006E-3</v>
      </c>
      <c r="F86" s="983">
        <v>4.4166666666666668E-3</v>
      </c>
      <c r="G86" s="983">
        <v>4.0583333333333339E-3</v>
      </c>
      <c r="H86" s="983">
        <v>4.4916666666666664E-3</v>
      </c>
      <c r="I86" s="983">
        <v>5.9999999999999993E-3</v>
      </c>
      <c r="J86" s="983">
        <v>4.6416666666666655E-3</v>
      </c>
      <c r="K86" s="983">
        <v>4.208333333333333E-3</v>
      </c>
      <c r="L86" s="983">
        <v>-3.559166666666666E-2</v>
      </c>
    </row>
    <row r="87" spans="1:12">
      <c r="A87" s="983">
        <v>12086</v>
      </c>
      <c r="B87" s="983">
        <v>-0.1772</v>
      </c>
      <c r="C87" s="983">
        <v>-0.19839999999999999</v>
      </c>
      <c r="D87" s="983">
        <v>2.3E-3</v>
      </c>
      <c r="E87" s="983">
        <v>3.7333333333333333E-3</v>
      </c>
      <c r="F87" s="983">
        <v>4.4583333333333332E-3</v>
      </c>
      <c r="G87" s="983">
        <v>4.0958333333333333E-3</v>
      </c>
      <c r="H87" s="983">
        <v>4.8083333333333337E-3</v>
      </c>
      <c r="I87" s="983">
        <v>-0.17949999999999999</v>
      </c>
      <c r="J87" s="983">
        <v>-0.18129583333333332</v>
      </c>
      <c r="K87" s="983">
        <v>-0.18200833333333333</v>
      </c>
      <c r="L87" s="983">
        <v>-0.20320833333333332</v>
      </c>
    </row>
    <row r="88" spans="1:12">
      <c r="A88" s="983">
        <v>12114</v>
      </c>
      <c r="B88" s="983">
        <v>3.5299999999999998E-2</v>
      </c>
      <c r="C88" s="983">
        <v>-0.10800000000000001</v>
      </c>
      <c r="D88" s="983">
        <v>2.7000000000000001E-3</v>
      </c>
      <c r="E88" s="983">
        <v>3.8999999999999994E-3</v>
      </c>
      <c r="F88" s="983">
        <v>4.6750000000000003E-3</v>
      </c>
      <c r="G88" s="983">
        <v>4.2874999999999996E-3</v>
      </c>
      <c r="H88" s="983">
        <v>5.2833333333333335E-3</v>
      </c>
      <c r="I88" s="983">
        <v>3.2599999999999997E-2</v>
      </c>
      <c r="J88" s="983">
        <v>3.1012499999999998E-2</v>
      </c>
      <c r="K88" s="983">
        <v>3.0016666666666664E-2</v>
      </c>
      <c r="L88" s="983">
        <v>-0.11328333333333335</v>
      </c>
    </row>
    <row r="89" spans="1:12">
      <c r="A89" s="983">
        <v>12145</v>
      </c>
      <c r="B89" s="983">
        <v>0.42559999999999998</v>
      </c>
      <c r="C89" s="983">
        <v>0.26349999999999996</v>
      </c>
      <c r="D89" s="983">
        <v>2.5000000000000001E-3</v>
      </c>
      <c r="E89" s="983">
        <v>3.9833333333333335E-3</v>
      </c>
      <c r="F89" s="983">
        <v>4.841666666666666E-3</v>
      </c>
      <c r="G89" s="983">
        <v>4.4125000000000006E-3</v>
      </c>
      <c r="H89" s="983">
        <v>5.7416666666666675E-3</v>
      </c>
      <c r="I89" s="983">
        <v>0.42309999999999998</v>
      </c>
      <c r="J89" s="983">
        <v>0.42118749999999999</v>
      </c>
      <c r="K89" s="983">
        <v>0.41985833333333333</v>
      </c>
      <c r="L89" s="983">
        <v>0.25775833333333331</v>
      </c>
    </row>
    <row r="90" spans="1:12">
      <c r="A90" s="983">
        <v>12175</v>
      </c>
      <c r="B90" s="983">
        <v>0.16830000000000001</v>
      </c>
      <c r="C90" s="983">
        <v>0.17319999999999999</v>
      </c>
      <c r="D90" s="983">
        <v>2.7999999999999995E-3</v>
      </c>
      <c r="E90" s="983">
        <v>3.858333333333333E-3</v>
      </c>
      <c r="F90" s="983">
        <v>4.5000000000000005E-3</v>
      </c>
      <c r="G90" s="983">
        <v>4.179166666666667E-3</v>
      </c>
      <c r="H90" s="983">
        <v>5.416666666666666E-3</v>
      </c>
      <c r="I90" s="983">
        <v>0.16550000000000001</v>
      </c>
      <c r="J90" s="983">
        <v>0.16412083333333333</v>
      </c>
      <c r="K90" s="983">
        <v>0.16288333333333335</v>
      </c>
      <c r="L90" s="983">
        <v>0.16778333333333334</v>
      </c>
    </row>
    <row r="91" spans="1:12">
      <c r="A91" s="983">
        <v>12206</v>
      </c>
      <c r="B91" s="983">
        <v>0.1338</v>
      </c>
      <c r="C91" s="983">
        <v>0.14259999999999998</v>
      </c>
      <c r="D91" s="983">
        <v>2.5000000000000001E-3</v>
      </c>
      <c r="E91" s="983">
        <v>3.7166666666666663E-3</v>
      </c>
      <c r="F91" s="983">
        <v>4.2416666666666662E-3</v>
      </c>
      <c r="G91" s="983">
        <v>3.9791666666666664E-3</v>
      </c>
      <c r="H91" s="983">
        <v>5.0916666666666662E-3</v>
      </c>
      <c r="I91" s="983">
        <v>0.1313</v>
      </c>
      <c r="J91" s="983">
        <v>0.12982083333333333</v>
      </c>
      <c r="K91" s="983">
        <v>0.12870833333333334</v>
      </c>
      <c r="L91" s="983">
        <v>0.13750833333333332</v>
      </c>
    </row>
    <row r="92" spans="1:12">
      <c r="A92" s="983">
        <v>12236</v>
      </c>
      <c r="B92" s="983">
        <v>-8.6199999999999999E-2</v>
      </c>
      <c r="C92" s="983">
        <v>-0.12039999999999999</v>
      </c>
      <c r="D92" s="983">
        <v>2.5999999999999999E-3</v>
      </c>
      <c r="E92" s="983">
        <v>3.6333333333333335E-3</v>
      </c>
      <c r="F92" s="983">
        <v>4.0249999999999999E-3</v>
      </c>
      <c r="G92" s="983">
        <v>3.8291666666666669E-3</v>
      </c>
      <c r="H92" s="983">
        <v>4.9249999999999997E-3</v>
      </c>
      <c r="I92" s="983">
        <v>-8.8800000000000004E-2</v>
      </c>
      <c r="J92" s="983">
        <v>-9.002916666666666E-2</v>
      </c>
      <c r="K92" s="983">
        <v>-9.1124999999999998E-2</v>
      </c>
      <c r="L92" s="983">
        <v>-0.12532499999999999</v>
      </c>
    </row>
    <row r="93" spans="1:12">
      <c r="A93" s="983">
        <v>12267</v>
      </c>
      <c r="B93" s="983">
        <v>0.1206</v>
      </c>
      <c r="C93" s="983">
        <v>-5.5999999999999991E-3</v>
      </c>
      <c r="D93" s="983">
        <v>2.5999999999999999E-3</v>
      </c>
      <c r="E93" s="983">
        <v>3.5833333333333333E-3</v>
      </c>
      <c r="F93" s="983">
        <v>3.9749999999999994E-3</v>
      </c>
      <c r="G93" s="983">
        <v>3.7791666666666668E-3</v>
      </c>
      <c r="H93" s="983">
        <v>4.9833333333333335E-3</v>
      </c>
      <c r="I93" s="983">
        <v>0.11799999999999999</v>
      </c>
      <c r="J93" s="983">
        <v>0.11682083333333333</v>
      </c>
      <c r="K93" s="983">
        <v>0.11561666666666666</v>
      </c>
      <c r="L93" s="983">
        <v>-1.0583333333333333E-2</v>
      </c>
    </row>
    <row r="94" spans="1:12">
      <c r="A94" s="983">
        <v>12298</v>
      </c>
      <c r="B94" s="983">
        <v>-0.1118</v>
      </c>
      <c r="C94" s="983">
        <v>-0.1759</v>
      </c>
      <c r="D94" s="983">
        <v>2.5000000000000001E-3</v>
      </c>
      <c r="E94" s="983">
        <v>3.6333333333333335E-3</v>
      </c>
      <c r="F94" s="983">
        <v>4.1333333333333335E-3</v>
      </c>
      <c r="G94" s="983">
        <v>3.8833333333333333E-3</v>
      </c>
      <c r="H94" s="983">
        <v>5.3E-3</v>
      </c>
      <c r="I94" s="983">
        <v>-0.1143</v>
      </c>
      <c r="J94" s="983">
        <v>-0.11568333333333333</v>
      </c>
      <c r="K94" s="983">
        <v>-0.1171</v>
      </c>
      <c r="L94" s="983">
        <v>-0.1812</v>
      </c>
    </row>
    <row r="95" spans="1:12">
      <c r="A95" s="983">
        <v>12328</v>
      </c>
      <c r="B95" s="983">
        <v>-8.5500000000000007E-2</v>
      </c>
      <c r="C95" s="983">
        <v>-7.1200000000000013E-2</v>
      </c>
      <c r="D95" s="983">
        <v>2.5999999999999999E-3</v>
      </c>
      <c r="E95" s="983">
        <v>3.6166666666666665E-3</v>
      </c>
      <c r="F95" s="983">
        <v>4.1416666666666659E-3</v>
      </c>
      <c r="G95" s="983">
        <v>3.8791666666666662E-3</v>
      </c>
      <c r="H95" s="983">
        <v>5.3E-3</v>
      </c>
      <c r="I95" s="983">
        <v>-8.8100000000000012E-2</v>
      </c>
      <c r="J95" s="983">
        <v>-8.9379166666666676E-2</v>
      </c>
      <c r="K95" s="983">
        <v>-9.0800000000000006E-2</v>
      </c>
      <c r="L95" s="983">
        <v>-7.6500000000000012E-2</v>
      </c>
    </row>
    <row r="96" spans="1:12">
      <c r="A96" s="983">
        <v>12359</v>
      </c>
      <c r="B96" s="983">
        <v>0.11269999999999999</v>
      </c>
      <c r="C96" s="983">
        <v>-1.7999999999999999E-2</v>
      </c>
      <c r="D96" s="983">
        <v>2.5000000000000001E-3</v>
      </c>
      <c r="E96" s="983">
        <v>3.7833333333333334E-3</v>
      </c>
      <c r="F96" s="983">
        <v>4.4583333333333332E-3</v>
      </c>
      <c r="G96" s="983">
        <v>4.120833333333334E-3</v>
      </c>
      <c r="H96" s="983">
        <v>5.8833333333333342E-3</v>
      </c>
      <c r="I96" s="983">
        <v>0.11019999999999999</v>
      </c>
      <c r="J96" s="983">
        <v>0.10857916666666666</v>
      </c>
      <c r="K96" s="983">
        <v>0.10681666666666666</v>
      </c>
      <c r="L96" s="983">
        <v>-2.3883333333333333E-2</v>
      </c>
    </row>
    <row r="97" spans="1:12">
      <c r="A97" s="983">
        <v>12389</v>
      </c>
      <c r="B97" s="983">
        <v>2.53E-2</v>
      </c>
      <c r="C97" s="983">
        <v>1.26E-2</v>
      </c>
      <c r="D97" s="983">
        <v>2.7999999999999995E-3</v>
      </c>
      <c r="E97" s="983">
        <v>3.7499999999999999E-3</v>
      </c>
      <c r="F97" s="983">
        <v>4.3916666666666661E-3</v>
      </c>
      <c r="G97" s="983">
        <v>4.0708333333333334E-3</v>
      </c>
      <c r="H97" s="983">
        <v>6.0166666666666667E-3</v>
      </c>
      <c r="I97" s="983">
        <v>2.2499999999999999E-2</v>
      </c>
      <c r="J97" s="983">
        <v>2.1229166666666667E-2</v>
      </c>
      <c r="K97" s="983">
        <v>1.9283333333333333E-2</v>
      </c>
      <c r="L97" s="983">
        <v>6.5833333333333334E-3</v>
      </c>
    </row>
    <row r="98" spans="1:12">
      <c r="A98" s="983">
        <v>12420</v>
      </c>
      <c r="B98" s="983">
        <v>0.1069</v>
      </c>
      <c r="C98" s="983">
        <v>0.17460000000000001</v>
      </c>
      <c r="D98" s="983">
        <v>2.8999999999999998E-3</v>
      </c>
      <c r="E98" s="983">
        <v>3.6249999999999998E-3</v>
      </c>
      <c r="F98" s="983">
        <v>4.1666666666666666E-3</v>
      </c>
      <c r="G98" s="983">
        <v>3.8958333333333332E-3</v>
      </c>
      <c r="H98" s="983">
        <v>5.4666666666666674E-3</v>
      </c>
      <c r="I98" s="983">
        <v>0.104</v>
      </c>
      <c r="J98" s="983">
        <v>0.10300416666666666</v>
      </c>
      <c r="K98" s="983">
        <v>0.10143333333333333</v>
      </c>
      <c r="L98" s="983">
        <v>0.16913333333333333</v>
      </c>
    </row>
    <row r="99" spans="1:12">
      <c r="A99" s="983">
        <v>12451</v>
      </c>
      <c r="B99" s="983">
        <v>-3.2199999999999999E-2</v>
      </c>
      <c r="C99" s="983">
        <v>-2.4199999999999999E-2</v>
      </c>
      <c r="D99" s="983">
        <v>2.3999999999999998E-3</v>
      </c>
      <c r="E99" s="983">
        <v>3.5000000000000005E-3</v>
      </c>
      <c r="F99" s="983">
        <v>3.9166666666666664E-3</v>
      </c>
      <c r="G99" s="983">
        <v>3.7083333333333334E-3</v>
      </c>
      <c r="H99" s="983">
        <v>4.816666666666667E-3</v>
      </c>
      <c r="I99" s="983">
        <v>-3.4599999999999999E-2</v>
      </c>
      <c r="J99" s="983">
        <v>-3.5908333333333334E-2</v>
      </c>
      <c r="K99" s="983">
        <v>-3.701666666666667E-2</v>
      </c>
      <c r="L99" s="983">
        <v>-2.9016666666666666E-2</v>
      </c>
    </row>
    <row r="100" spans="1:12">
      <c r="A100" s="983">
        <v>12479</v>
      </c>
      <c r="B100" s="983">
        <v>0</v>
      </c>
      <c r="C100" s="983">
        <v>-1.1099999999999999E-2</v>
      </c>
      <c r="D100" s="983">
        <v>2.7000000000000001E-3</v>
      </c>
      <c r="E100" s="983">
        <v>3.4416666666666667E-3</v>
      </c>
      <c r="F100" s="983">
        <v>3.7916666666666667E-3</v>
      </c>
      <c r="G100" s="983">
        <v>3.6166666666666669E-3</v>
      </c>
      <c r="H100" s="983">
        <v>4.7166666666666668E-3</v>
      </c>
      <c r="I100" s="983">
        <v>-2.7000000000000001E-3</v>
      </c>
      <c r="J100" s="983">
        <v>-3.6166666666666669E-3</v>
      </c>
      <c r="K100" s="983">
        <v>-4.7166666666666668E-3</v>
      </c>
      <c r="L100" s="983">
        <v>-1.5816666666666666E-2</v>
      </c>
    </row>
    <row r="101" spans="1:12">
      <c r="A101" s="983">
        <v>12510</v>
      </c>
      <c r="B101" s="983">
        <v>-2.5100000000000001E-2</v>
      </c>
      <c r="C101" s="983">
        <v>-3.5099999999999999E-2</v>
      </c>
      <c r="D101" s="983">
        <v>2.5000000000000001E-3</v>
      </c>
      <c r="E101" s="983">
        <v>3.3916666666666665E-3</v>
      </c>
      <c r="F101" s="983">
        <v>3.6916666666666664E-3</v>
      </c>
      <c r="G101" s="983">
        <v>3.5416666666666665E-3</v>
      </c>
      <c r="H101" s="983">
        <v>4.5333333333333337E-3</v>
      </c>
      <c r="I101" s="983">
        <v>-2.76E-2</v>
      </c>
      <c r="J101" s="983">
        <v>-2.8641666666666666E-2</v>
      </c>
      <c r="K101" s="983">
        <v>-2.9633333333333334E-2</v>
      </c>
      <c r="L101" s="983">
        <v>-3.9633333333333333E-2</v>
      </c>
    </row>
    <row r="102" spans="1:12">
      <c r="A102" s="983">
        <v>12540</v>
      </c>
      <c r="B102" s="983">
        <v>-7.3599999999999999E-2</v>
      </c>
      <c r="C102" s="983">
        <v>-7.6499999999999999E-2</v>
      </c>
      <c r="D102" s="983">
        <v>2.5000000000000001E-3</v>
      </c>
      <c r="E102" s="983">
        <v>3.3416666666666668E-3</v>
      </c>
      <c r="F102" s="983">
        <v>3.6416666666666667E-3</v>
      </c>
      <c r="G102" s="983">
        <v>3.4916666666666668E-3</v>
      </c>
      <c r="H102" s="983">
        <v>4.4916666666666664E-3</v>
      </c>
      <c r="I102" s="983">
        <v>-7.6100000000000001E-2</v>
      </c>
      <c r="J102" s="983">
        <v>-7.7091666666666669E-2</v>
      </c>
      <c r="K102" s="983">
        <v>-7.809166666666667E-2</v>
      </c>
      <c r="L102" s="983">
        <v>-8.099166666666667E-2</v>
      </c>
    </row>
    <row r="103" spans="1:12">
      <c r="A103" s="983">
        <v>12571</v>
      </c>
      <c r="B103" s="983">
        <v>2.29E-2</v>
      </c>
      <c r="C103" s="983">
        <v>4.7800000000000002E-2</v>
      </c>
      <c r="D103" s="983">
        <v>2.3999999999999998E-3</v>
      </c>
      <c r="E103" s="983">
        <v>3.2750000000000001E-3</v>
      </c>
      <c r="F103" s="983">
        <v>3.5833333333333333E-3</v>
      </c>
      <c r="G103" s="983">
        <v>3.4291666666666663E-3</v>
      </c>
      <c r="H103" s="983">
        <v>4.5000000000000005E-3</v>
      </c>
      <c r="I103" s="983">
        <v>2.0500000000000001E-2</v>
      </c>
      <c r="J103" s="983">
        <v>1.9470833333333333E-2</v>
      </c>
      <c r="K103" s="983">
        <v>1.84E-2</v>
      </c>
      <c r="L103" s="983">
        <v>4.3300000000000005E-2</v>
      </c>
    </row>
    <row r="104" spans="1:12">
      <c r="A104" s="983">
        <v>12601</v>
      </c>
      <c r="B104" s="983">
        <v>-0.1132</v>
      </c>
      <c r="C104" s="983">
        <v>-0.1603</v>
      </c>
      <c r="D104" s="983">
        <v>2.3999999999999998E-3</v>
      </c>
      <c r="E104" s="983">
        <v>3.2416666666666666E-3</v>
      </c>
      <c r="F104" s="983">
        <v>3.5666666666666668E-3</v>
      </c>
      <c r="G104" s="983">
        <v>3.4041666666666669E-3</v>
      </c>
      <c r="H104" s="983">
        <v>4.4083333333333335E-3</v>
      </c>
      <c r="I104" s="983">
        <v>-0.11559999999999999</v>
      </c>
      <c r="J104" s="983">
        <v>-0.11660416666666666</v>
      </c>
      <c r="K104" s="983">
        <v>-0.11760833333333333</v>
      </c>
      <c r="L104" s="983">
        <v>-0.16470833333333335</v>
      </c>
    </row>
    <row r="105" spans="1:12">
      <c r="A105" s="983">
        <v>12632</v>
      </c>
      <c r="B105" s="983">
        <v>6.1100000000000002E-2</v>
      </c>
      <c r="C105" s="983">
        <v>2.69E-2</v>
      </c>
      <c r="D105" s="983">
        <v>2.3999999999999998E-3</v>
      </c>
      <c r="E105" s="983">
        <v>3.2750000000000001E-3</v>
      </c>
      <c r="F105" s="983">
        <v>3.6166666666666665E-3</v>
      </c>
      <c r="G105" s="983">
        <v>3.4458333333333337E-3</v>
      </c>
      <c r="H105" s="983">
        <v>4.5249999999999995E-3</v>
      </c>
      <c r="I105" s="983">
        <v>5.8700000000000002E-2</v>
      </c>
      <c r="J105" s="983">
        <v>5.7654166666666666E-2</v>
      </c>
      <c r="K105" s="983">
        <v>5.6575E-2</v>
      </c>
      <c r="L105" s="983">
        <v>2.2374999999999999E-2</v>
      </c>
    </row>
    <row r="106" spans="1:12">
      <c r="A106" s="983">
        <v>12663</v>
      </c>
      <c r="B106" s="983">
        <v>-3.3E-3</v>
      </c>
      <c r="C106" s="983">
        <v>9.4999999999999998E-3</v>
      </c>
      <c r="D106" s="983">
        <v>2.3E-3</v>
      </c>
      <c r="E106" s="983">
        <v>3.3E-3</v>
      </c>
      <c r="F106" s="983">
        <v>3.6833333333333336E-3</v>
      </c>
      <c r="G106" s="983">
        <v>3.4916666666666668E-3</v>
      </c>
      <c r="H106" s="983">
        <v>4.6333333333333339E-3</v>
      </c>
      <c r="I106" s="983">
        <v>-5.5999999999999999E-3</v>
      </c>
      <c r="J106" s="983">
        <v>-6.7916666666666663E-3</v>
      </c>
      <c r="K106" s="983">
        <v>-7.9333333333333339E-3</v>
      </c>
      <c r="L106" s="983">
        <v>4.8666666666666658E-3</v>
      </c>
    </row>
    <row r="107" spans="1:12">
      <c r="A107" s="983">
        <v>12693</v>
      </c>
      <c r="B107" s="983">
        <v>-2.86E-2</v>
      </c>
      <c r="C107" s="983">
        <v>-6.6599999999999993E-2</v>
      </c>
      <c r="D107" s="983">
        <v>2.7000000000000001E-3</v>
      </c>
      <c r="E107" s="983">
        <v>3.2500000000000003E-3</v>
      </c>
      <c r="F107" s="983">
        <v>3.6333333333333335E-3</v>
      </c>
      <c r="G107" s="983">
        <v>3.4416666666666667E-3</v>
      </c>
      <c r="H107" s="983">
        <v>4.5000000000000005E-3</v>
      </c>
      <c r="I107" s="983">
        <v>-3.1300000000000001E-2</v>
      </c>
      <c r="J107" s="983">
        <v>-3.204166666666667E-2</v>
      </c>
      <c r="K107" s="983">
        <v>-3.3100000000000004E-2</v>
      </c>
      <c r="L107" s="983">
        <v>-7.1099999999999997E-2</v>
      </c>
    </row>
    <row r="108" spans="1:12">
      <c r="A108" s="983">
        <v>12724</v>
      </c>
      <c r="B108" s="983">
        <v>9.4200000000000006E-2</v>
      </c>
      <c r="C108" s="983">
        <v>-4.8000000000000004E-3</v>
      </c>
      <c r="D108" s="983">
        <v>2.5000000000000001E-3</v>
      </c>
      <c r="E108" s="983">
        <v>3.2166666666666667E-3</v>
      </c>
      <c r="F108" s="983">
        <v>3.5666666666666668E-3</v>
      </c>
      <c r="G108" s="983">
        <v>3.3916666666666665E-3</v>
      </c>
      <c r="H108" s="983">
        <v>4.4833333333333331E-3</v>
      </c>
      <c r="I108" s="983">
        <v>9.1700000000000004E-2</v>
      </c>
      <c r="J108" s="983">
        <v>9.0808333333333338E-2</v>
      </c>
      <c r="K108" s="983">
        <v>8.9716666666666667E-2</v>
      </c>
      <c r="L108" s="983">
        <v>-9.2833333333333344E-3</v>
      </c>
    </row>
    <row r="109" spans="1:12">
      <c r="A109" s="983">
        <v>12754</v>
      </c>
      <c r="B109" s="983">
        <v>-1E-3</v>
      </c>
      <c r="C109" s="983">
        <v>-7.010000000000001E-2</v>
      </c>
      <c r="D109" s="983">
        <v>2.5000000000000001E-3</v>
      </c>
      <c r="E109" s="983">
        <v>3.1749999999999999E-3</v>
      </c>
      <c r="F109" s="983">
        <v>3.5583333333333326E-3</v>
      </c>
      <c r="G109" s="983">
        <v>3.3666666666666667E-3</v>
      </c>
      <c r="H109" s="983">
        <v>4.4666666666666674E-3</v>
      </c>
      <c r="I109" s="983">
        <v>-3.5000000000000001E-3</v>
      </c>
      <c r="J109" s="983">
        <v>-4.3666666666666663E-3</v>
      </c>
      <c r="K109" s="983">
        <v>-5.4666666666666674E-3</v>
      </c>
      <c r="L109" s="983">
        <v>-7.456666666666667E-2</v>
      </c>
    </row>
    <row r="110" spans="1:12">
      <c r="A110" s="983">
        <v>12785</v>
      </c>
      <c r="B110" s="983">
        <v>-4.1099999999999998E-2</v>
      </c>
      <c r="C110" s="983">
        <v>-2.3099999999999999E-2</v>
      </c>
      <c r="D110" s="983">
        <v>2.5000000000000001E-3</v>
      </c>
      <c r="E110" s="983">
        <v>3.1416666666666663E-3</v>
      </c>
      <c r="F110" s="983">
        <v>3.5083333333333334E-3</v>
      </c>
      <c r="G110" s="983">
        <v>3.3250000000000003E-3</v>
      </c>
      <c r="H110" s="983">
        <v>4.3166666666666666E-3</v>
      </c>
      <c r="I110" s="983">
        <v>-4.36E-2</v>
      </c>
      <c r="J110" s="983">
        <v>-4.4424999999999999E-2</v>
      </c>
      <c r="K110" s="983">
        <v>-4.5416666666666661E-2</v>
      </c>
      <c r="L110" s="983">
        <v>-2.7416666666666666E-2</v>
      </c>
    </row>
    <row r="111" spans="1:12">
      <c r="A111" s="983">
        <v>12816</v>
      </c>
      <c r="B111" s="983">
        <v>-3.4099999999999998E-2</v>
      </c>
      <c r="C111" s="983">
        <v>-0.11360000000000001</v>
      </c>
      <c r="D111" s="983">
        <v>2.0999999999999999E-3</v>
      </c>
      <c r="E111" s="983">
        <v>3.075E-3</v>
      </c>
      <c r="F111" s="983">
        <v>3.4416666666666667E-3</v>
      </c>
      <c r="G111" s="983">
        <v>3.2583333333333331E-3</v>
      </c>
      <c r="H111" s="983">
        <v>4.1333333333333335E-3</v>
      </c>
      <c r="I111" s="983">
        <v>-3.6199999999999996E-2</v>
      </c>
      <c r="J111" s="983">
        <v>-3.7358333333333334E-2</v>
      </c>
      <c r="K111" s="983">
        <v>-3.8233333333333334E-2</v>
      </c>
      <c r="L111" s="983">
        <v>-0.11773333333333334</v>
      </c>
    </row>
    <row r="112" spans="1:12">
      <c r="A112" s="983">
        <v>12844</v>
      </c>
      <c r="B112" s="983">
        <v>-2.86E-2</v>
      </c>
      <c r="C112" s="983">
        <v>0.1043</v>
      </c>
      <c r="D112" s="983">
        <v>2.2000000000000001E-3</v>
      </c>
      <c r="E112" s="983">
        <v>3.0583333333333335E-3</v>
      </c>
      <c r="F112" s="983">
        <v>3.4250000000000001E-3</v>
      </c>
      <c r="G112" s="983">
        <v>3.241666666666667E-3</v>
      </c>
      <c r="H112" s="983">
        <v>4.0666666666666663E-3</v>
      </c>
      <c r="I112" s="983">
        <v>-3.0800000000000001E-2</v>
      </c>
      <c r="J112" s="983">
        <v>-3.1841666666666671E-2</v>
      </c>
      <c r="K112" s="983">
        <v>-3.2666666666666663E-2</v>
      </c>
      <c r="L112" s="983">
        <v>0.10023333333333334</v>
      </c>
    </row>
    <row r="113" spans="1:12">
      <c r="A113" s="983">
        <v>12875</v>
      </c>
      <c r="B113" s="983">
        <v>9.8000000000000004E-2</v>
      </c>
      <c r="C113" s="983">
        <v>0.11779999999999999</v>
      </c>
      <c r="D113" s="983">
        <v>2.3E-3</v>
      </c>
      <c r="E113" s="983">
        <v>3.0499999999999998E-3</v>
      </c>
      <c r="F113" s="983">
        <v>3.4000000000000002E-3</v>
      </c>
      <c r="G113" s="983">
        <v>3.225E-3</v>
      </c>
      <c r="H113" s="983">
        <v>3.9916666666666668E-3</v>
      </c>
      <c r="I113" s="983">
        <v>9.5700000000000007E-2</v>
      </c>
      <c r="J113" s="983">
        <v>9.4774999999999998E-2</v>
      </c>
      <c r="K113" s="983">
        <v>9.4008333333333333E-2</v>
      </c>
      <c r="L113" s="983">
        <v>0.11380833333333332</v>
      </c>
    </row>
    <row r="114" spans="1:12">
      <c r="A114" s="983">
        <v>12905</v>
      </c>
      <c r="B114" s="983">
        <v>4.0899999999999999E-2</v>
      </c>
      <c r="C114" s="983">
        <v>0.1106</v>
      </c>
      <c r="D114" s="983">
        <v>2.3E-3</v>
      </c>
      <c r="E114" s="983">
        <v>3.0416666666666665E-3</v>
      </c>
      <c r="F114" s="983">
        <v>3.3583333333333338E-3</v>
      </c>
      <c r="G114" s="983">
        <v>3.2000000000000002E-3</v>
      </c>
      <c r="H114" s="983">
        <v>3.8416666666666673E-3</v>
      </c>
      <c r="I114" s="983">
        <v>3.8599999999999995E-2</v>
      </c>
      <c r="J114" s="983">
        <v>3.7699999999999997E-2</v>
      </c>
      <c r="K114" s="983">
        <v>3.7058333333333332E-2</v>
      </c>
      <c r="L114" s="983">
        <v>0.10675833333333333</v>
      </c>
    </row>
    <row r="115" spans="1:12">
      <c r="A115" s="983">
        <v>12936</v>
      </c>
      <c r="B115" s="983">
        <v>6.9900000000000004E-2</v>
      </c>
      <c r="C115" s="983">
        <v>0.1036</v>
      </c>
      <c r="D115" s="983">
        <v>2.2000000000000001E-3</v>
      </c>
      <c r="E115" s="983">
        <v>3.0083333333333333E-3</v>
      </c>
      <c r="F115" s="983">
        <v>3.3250000000000003E-3</v>
      </c>
      <c r="G115" s="983">
        <v>3.1666666666666666E-3</v>
      </c>
      <c r="H115" s="983">
        <v>3.7750000000000001E-3</v>
      </c>
      <c r="I115" s="983">
        <v>6.770000000000001E-2</v>
      </c>
      <c r="J115" s="983">
        <v>6.6733333333333339E-2</v>
      </c>
      <c r="K115" s="983">
        <v>6.6125000000000003E-2</v>
      </c>
      <c r="L115" s="983">
        <v>9.9824999999999997E-2</v>
      </c>
    </row>
    <row r="116" spans="1:12">
      <c r="A116" s="983">
        <v>12966</v>
      </c>
      <c r="B116" s="983">
        <v>8.5000000000000006E-2</v>
      </c>
      <c r="C116" s="983">
        <v>8.6999999999999994E-2</v>
      </c>
      <c r="D116" s="983">
        <v>2.3999999999999998E-3</v>
      </c>
      <c r="E116" s="983">
        <v>2.9666666666666669E-3</v>
      </c>
      <c r="F116" s="983">
        <v>3.2416666666666666E-3</v>
      </c>
      <c r="G116" s="983">
        <v>3.1041666666666665E-3</v>
      </c>
      <c r="H116" s="983">
        <v>3.6833333333333336E-3</v>
      </c>
      <c r="I116" s="983">
        <v>8.2600000000000007E-2</v>
      </c>
      <c r="J116" s="983">
        <v>8.1895833333333334E-2</v>
      </c>
      <c r="K116" s="983">
        <v>8.1316666666666676E-2</v>
      </c>
      <c r="L116" s="983">
        <v>8.3316666666666664E-2</v>
      </c>
    </row>
    <row r="117" spans="1:12">
      <c r="A117" s="983">
        <v>12997</v>
      </c>
      <c r="B117" s="983">
        <v>2.8000000000000001E-2</v>
      </c>
      <c r="C117" s="983">
        <v>5.6299999999999996E-2</v>
      </c>
      <c r="D117" s="983">
        <v>2.3E-3</v>
      </c>
      <c r="E117" s="983">
        <v>3.0000000000000001E-3</v>
      </c>
      <c r="F117" s="983">
        <v>3.225E-3</v>
      </c>
      <c r="G117" s="983">
        <v>3.1125000000000002E-3</v>
      </c>
      <c r="H117" s="983">
        <v>3.7000000000000006E-3</v>
      </c>
      <c r="I117" s="983">
        <v>2.5700000000000001E-2</v>
      </c>
      <c r="J117" s="983">
        <v>2.48875E-2</v>
      </c>
      <c r="K117" s="983">
        <v>2.4299999999999999E-2</v>
      </c>
      <c r="L117" s="983">
        <v>5.2599999999999994E-2</v>
      </c>
    </row>
    <row r="118" spans="1:12">
      <c r="A118" s="983">
        <v>13028</v>
      </c>
      <c r="B118" s="983">
        <v>2.5600000000000001E-2</v>
      </c>
      <c r="C118" s="983">
        <v>-1.2199999999999999E-2</v>
      </c>
      <c r="D118" s="983">
        <v>2.3E-3</v>
      </c>
      <c r="E118" s="983">
        <v>2.9916666666666663E-3</v>
      </c>
      <c r="F118" s="983">
        <v>3.2083333333333334E-3</v>
      </c>
      <c r="G118" s="983">
        <v>3.0999999999999999E-3</v>
      </c>
      <c r="H118" s="983">
        <v>3.6916666666666664E-3</v>
      </c>
      <c r="I118" s="983">
        <v>2.3300000000000001E-2</v>
      </c>
      <c r="J118" s="983">
        <v>2.2500000000000003E-2</v>
      </c>
      <c r="K118" s="983">
        <v>2.1908333333333335E-2</v>
      </c>
      <c r="L118" s="983">
        <v>-1.5891666666666665E-2</v>
      </c>
    </row>
    <row r="119" spans="1:12">
      <c r="A119" s="983">
        <v>13058</v>
      </c>
      <c r="B119" s="983">
        <v>7.7700000000000005E-2</v>
      </c>
      <c r="C119" s="983">
        <v>0.12240000000000001</v>
      </c>
      <c r="D119" s="983">
        <v>2.3E-3</v>
      </c>
      <c r="E119" s="983">
        <v>2.9333333333333334E-3</v>
      </c>
      <c r="F119" s="983">
        <v>3.1833333333333332E-3</v>
      </c>
      <c r="G119" s="983">
        <v>3.058333333333333E-3</v>
      </c>
      <c r="H119" s="983">
        <v>3.666666666666667E-3</v>
      </c>
      <c r="I119" s="983">
        <v>7.5400000000000009E-2</v>
      </c>
      <c r="J119" s="983">
        <v>7.4641666666666676E-2</v>
      </c>
      <c r="K119" s="983">
        <v>7.403333333333334E-2</v>
      </c>
      <c r="L119" s="983">
        <v>0.11873333333333334</v>
      </c>
    </row>
    <row r="120" spans="1:12">
      <c r="A120" s="983">
        <v>13089</v>
      </c>
      <c r="B120" s="983">
        <v>4.7399999999999998E-2</v>
      </c>
      <c r="C120" s="983">
        <v>1.0800000000000001E-2</v>
      </c>
      <c r="D120" s="983">
        <v>2.3999999999999998E-3</v>
      </c>
      <c r="E120" s="983">
        <v>2.891666666666667E-3</v>
      </c>
      <c r="F120" s="983">
        <v>3.1083333333333336E-3</v>
      </c>
      <c r="G120" s="983">
        <v>3.0000000000000005E-3</v>
      </c>
      <c r="H120" s="983">
        <v>3.6249999999999998E-3</v>
      </c>
      <c r="I120" s="983">
        <v>4.4999999999999998E-2</v>
      </c>
      <c r="J120" s="983">
        <v>4.4399999999999995E-2</v>
      </c>
      <c r="K120" s="983">
        <v>4.3774999999999994E-2</v>
      </c>
      <c r="L120" s="983">
        <v>7.1750000000000008E-3</v>
      </c>
    </row>
    <row r="121" spans="1:12">
      <c r="A121" s="983">
        <v>13119</v>
      </c>
      <c r="B121" s="983">
        <v>3.9399999999999998E-2</v>
      </c>
      <c r="C121" s="983">
        <v>4.7900000000000012E-2</v>
      </c>
      <c r="D121" s="983">
        <v>2.3999999999999998E-3</v>
      </c>
      <c r="E121" s="983">
        <v>2.8666666666666667E-3</v>
      </c>
      <c r="F121" s="983">
        <v>3.0416666666666665E-3</v>
      </c>
      <c r="G121" s="983">
        <v>2.9541666666666666E-3</v>
      </c>
      <c r="H121" s="983">
        <v>3.5750000000000001E-3</v>
      </c>
      <c r="I121" s="983">
        <v>3.6999999999999998E-2</v>
      </c>
      <c r="J121" s="983">
        <v>3.644583333333333E-2</v>
      </c>
      <c r="K121" s="983">
        <v>3.5824999999999996E-2</v>
      </c>
      <c r="L121" s="983">
        <v>4.432500000000001E-2</v>
      </c>
    </row>
    <row r="122" spans="1:12">
      <c r="A122" s="983">
        <v>13150</v>
      </c>
      <c r="B122" s="983">
        <v>6.7000000000000004E-2</v>
      </c>
      <c r="C122" s="983">
        <v>0.11030000000000001</v>
      </c>
      <c r="D122" s="983">
        <v>2.3999999999999998E-3</v>
      </c>
      <c r="E122" s="983">
        <v>2.8083333333333333E-3</v>
      </c>
      <c r="F122" s="983">
        <v>2.9749999999999998E-3</v>
      </c>
      <c r="G122" s="983">
        <v>2.891666666666667E-3</v>
      </c>
      <c r="H122" s="983">
        <v>3.5083333333333334E-3</v>
      </c>
      <c r="I122" s="983">
        <v>6.4600000000000005E-2</v>
      </c>
      <c r="J122" s="983">
        <v>6.4108333333333337E-2</v>
      </c>
      <c r="K122" s="983">
        <v>6.3491666666666668E-2</v>
      </c>
      <c r="L122" s="983">
        <v>0.10679166666666667</v>
      </c>
    </row>
    <row r="123" spans="1:12">
      <c r="A123" s="983">
        <v>13181</v>
      </c>
      <c r="B123" s="983">
        <v>2.24E-2</v>
      </c>
      <c r="C123" s="983">
        <v>-3.4200000000000001E-2</v>
      </c>
      <c r="D123" s="983">
        <v>2.3E-3</v>
      </c>
      <c r="E123" s="983">
        <v>2.7666666666666668E-3</v>
      </c>
      <c r="F123" s="983">
        <v>2.9583333333333332E-3</v>
      </c>
      <c r="G123" s="983">
        <v>2.8625E-3</v>
      </c>
      <c r="H123" s="983">
        <v>3.4749999999999998E-3</v>
      </c>
      <c r="I123" s="983">
        <v>2.01E-2</v>
      </c>
      <c r="J123" s="983">
        <v>1.9537499999999999E-2</v>
      </c>
      <c r="K123" s="983">
        <v>1.8925000000000001E-2</v>
      </c>
      <c r="L123" s="983">
        <v>-3.7675E-2</v>
      </c>
    </row>
    <row r="124" spans="1:12">
      <c r="A124" s="983">
        <v>13210</v>
      </c>
      <c r="B124" s="983">
        <v>2.6800000000000001E-2</v>
      </c>
      <c r="C124" s="983">
        <v>3.3E-3</v>
      </c>
      <c r="D124" s="983">
        <v>2.3999999999999998E-3</v>
      </c>
      <c r="E124" s="983">
        <v>2.7416666666666666E-3</v>
      </c>
      <c r="F124" s="983">
        <v>2.9583333333333332E-3</v>
      </c>
      <c r="G124" s="983">
        <v>2.8500000000000001E-3</v>
      </c>
      <c r="H124" s="983">
        <v>3.4749999999999998E-3</v>
      </c>
      <c r="I124" s="983">
        <v>2.4400000000000002E-2</v>
      </c>
      <c r="J124" s="983">
        <v>2.3949999999999999E-2</v>
      </c>
      <c r="K124" s="983">
        <v>2.3325000000000002E-2</v>
      </c>
      <c r="L124" s="983">
        <v>-1.7499999999999981E-4</v>
      </c>
    </row>
    <row r="125" spans="1:12">
      <c r="A125" s="983">
        <v>13241</v>
      </c>
      <c r="B125" s="983">
        <v>-7.51E-2</v>
      </c>
      <c r="C125" s="983">
        <v>-8.14E-2</v>
      </c>
      <c r="D125" s="983">
        <v>2.2000000000000001E-3</v>
      </c>
      <c r="E125" s="983">
        <v>2.7416666666666666E-3</v>
      </c>
      <c r="F125" s="983">
        <v>2.9749999999999998E-3</v>
      </c>
      <c r="G125" s="983">
        <v>2.8583333333333334E-3</v>
      </c>
      <c r="H125" s="983">
        <v>3.4749999999999998E-3</v>
      </c>
      <c r="I125" s="983">
        <v>-7.7299999999999994E-2</v>
      </c>
      <c r="J125" s="983">
        <v>-7.7958333333333338E-2</v>
      </c>
      <c r="K125" s="983">
        <v>-7.8575000000000006E-2</v>
      </c>
      <c r="L125" s="983">
        <v>-8.4875000000000006E-2</v>
      </c>
    </row>
    <row r="126" spans="1:12">
      <c r="A126" s="983">
        <v>13271</v>
      </c>
      <c r="B126" s="983">
        <v>5.45E-2</v>
      </c>
      <c r="C126" s="983">
        <v>7.6100000000000001E-2</v>
      </c>
      <c r="D126" s="983">
        <v>2.2000000000000001E-3</v>
      </c>
      <c r="E126" s="983">
        <v>2.725E-3</v>
      </c>
      <c r="F126" s="983">
        <v>2.9416666666666662E-3</v>
      </c>
      <c r="G126" s="983">
        <v>2.8333333333333331E-3</v>
      </c>
      <c r="H126" s="983">
        <v>3.4499999999999999E-3</v>
      </c>
      <c r="I126" s="983">
        <v>5.2299999999999999E-2</v>
      </c>
      <c r="J126" s="983">
        <v>5.1666666666666666E-2</v>
      </c>
      <c r="K126" s="983">
        <v>5.1049999999999998E-2</v>
      </c>
      <c r="L126" s="983">
        <v>7.2650000000000006E-2</v>
      </c>
    </row>
    <row r="127" spans="1:12">
      <c r="A127" s="983">
        <v>13302</v>
      </c>
      <c r="B127" s="983">
        <v>3.3300000000000003E-2</v>
      </c>
      <c r="C127" s="983">
        <v>3.5000000000000003E-2</v>
      </c>
      <c r="D127" s="983">
        <v>2.3999999999999998E-3</v>
      </c>
      <c r="E127" s="983">
        <v>2.7000000000000001E-3</v>
      </c>
      <c r="F127" s="983">
        <v>2.9249999999999996E-3</v>
      </c>
      <c r="G127" s="983">
        <v>2.8124999999999999E-3</v>
      </c>
      <c r="H127" s="983">
        <v>3.4333333333333334E-3</v>
      </c>
      <c r="I127" s="983">
        <v>3.0900000000000004E-2</v>
      </c>
      <c r="J127" s="983">
        <v>3.0487500000000004E-2</v>
      </c>
      <c r="K127" s="983">
        <v>2.986666666666667E-2</v>
      </c>
      <c r="L127" s="983">
        <v>3.1566666666666673E-2</v>
      </c>
    </row>
    <row r="128" spans="1:12">
      <c r="A128" s="983">
        <v>13332</v>
      </c>
      <c r="B128" s="983">
        <v>7.0099999999999996E-2</v>
      </c>
      <c r="C128" s="983">
        <v>0.1009</v>
      </c>
      <c r="D128" s="983">
        <v>2.3E-3</v>
      </c>
      <c r="E128" s="983">
        <v>2.6916666666666669E-3</v>
      </c>
      <c r="F128" s="983">
        <v>2.8999999999999998E-3</v>
      </c>
      <c r="G128" s="983">
        <v>2.7958333333333329E-3</v>
      </c>
      <c r="H128" s="983">
        <v>3.3916666666666665E-3</v>
      </c>
      <c r="I128" s="983">
        <v>6.7799999999999999E-2</v>
      </c>
      <c r="J128" s="983">
        <v>6.7304166666666665E-2</v>
      </c>
      <c r="K128" s="983">
        <v>6.6708333333333328E-2</v>
      </c>
      <c r="L128" s="983">
        <v>9.7508333333333336E-2</v>
      </c>
    </row>
    <row r="129" spans="1:12">
      <c r="A129" s="983">
        <v>13363</v>
      </c>
      <c r="B129" s="983">
        <v>1.5100000000000001E-2</v>
      </c>
      <c r="C129" s="983">
        <v>-1.8E-3</v>
      </c>
      <c r="D129" s="983">
        <v>2.3E-3</v>
      </c>
      <c r="E129" s="983">
        <v>2.6750000000000003E-3</v>
      </c>
      <c r="F129" s="983">
        <v>2.8666666666666667E-3</v>
      </c>
      <c r="G129" s="983">
        <v>2.7708333333333335E-3</v>
      </c>
      <c r="H129" s="983">
        <v>3.3833333333333332E-3</v>
      </c>
      <c r="I129" s="983">
        <v>1.2800000000000001E-2</v>
      </c>
      <c r="J129" s="983">
        <v>1.2329166666666667E-2</v>
      </c>
      <c r="K129" s="983">
        <v>1.1716666666666667E-2</v>
      </c>
      <c r="L129" s="983">
        <v>-5.1833333333333332E-3</v>
      </c>
    </row>
    <row r="130" spans="1:12">
      <c r="A130" s="983">
        <v>13394</v>
      </c>
      <c r="B130" s="983">
        <v>3.0999999999999999E-3</v>
      </c>
      <c r="C130" s="983">
        <v>-2.2499999999999999E-2</v>
      </c>
      <c r="D130" s="983">
        <v>2.0999999999999999E-3</v>
      </c>
      <c r="E130" s="983">
        <v>2.65E-3</v>
      </c>
      <c r="F130" s="983">
        <v>2.8416666666666668E-3</v>
      </c>
      <c r="G130" s="983">
        <v>2.7458333333333336E-3</v>
      </c>
      <c r="H130" s="983">
        <v>3.3749999999999995E-3</v>
      </c>
      <c r="I130" s="983">
        <v>1E-3</v>
      </c>
      <c r="J130" s="983">
        <v>3.5416666666666626E-4</v>
      </c>
      <c r="K130" s="983">
        <v>-2.7499999999999964E-4</v>
      </c>
      <c r="L130" s="983">
        <v>-2.5874999999999999E-2</v>
      </c>
    </row>
    <row r="131" spans="1:12">
      <c r="A131" s="983">
        <v>13424</v>
      </c>
      <c r="B131" s="983">
        <v>7.7499999999999999E-2</v>
      </c>
      <c r="C131" s="983">
        <v>5.6600000000000004E-2</v>
      </c>
      <c r="D131" s="983">
        <v>2.3E-3</v>
      </c>
      <c r="E131" s="983">
        <v>2.65E-3</v>
      </c>
      <c r="F131" s="983">
        <v>2.8083333333333333E-3</v>
      </c>
      <c r="G131" s="983">
        <v>2.7291666666666671E-3</v>
      </c>
      <c r="H131" s="983">
        <v>3.3666666666666667E-3</v>
      </c>
      <c r="I131" s="983">
        <v>7.5200000000000003E-2</v>
      </c>
      <c r="J131" s="983">
        <v>7.4770833333333328E-2</v>
      </c>
      <c r="K131" s="983">
        <v>7.4133333333333329E-2</v>
      </c>
      <c r="L131" s="983">
        <v>5.3233333333333341E-2</v>
      </c>
    </row>
    <row r="132" spans="1:12">
      <c r="A132" s="983">
        <v>13455</v>
      </c>
      <c r="B132" s="983">
        <v>1.34E-2</v>
      </c>
      <c r="C132" s="983">
        <v>-1.6900000000000002E-2</v>
      </c>
      <c r="D132" s="983">
        <v>2.2000000000000001E-3</v>
      </c>
      <c r="E132" s="983">
        <v>2.6250000000000002E-3</v>
      </c>
      <c r="F132" s="983">
        <v>2.7583333333333331E-3</v>
      </c>
      <c r="G132" s="983">
        <v>2.6916666666666669E-3</v>
      </c>
      <c r="H132" s="983">
        <v>3.2916666666666667E-3</v>
      </c>
      <c r="I132" s="983">
        <v>1.12E-2</v>
      </c>
      <c r="J132" s="983">
        <v>1.0708333333333334E-2</v>
      </c>
      <c r="K132" s="983">
        <v>1.0108333333333334E-2</v>
      </c>
      <c r="L132" s="983">
        <v>-2.019166666666667E-2</v>
      </c>
    </row>
    <row r="133" spans="1:12">
      <c r="A133" s="983">
        <v>13485</v>
      </c>
      <c r="B133" s="983">
        <v>-2.8999999999999998E-3</v>
      </c>
      <c r="C133" s="983">
        <v>-1.7399999999999999E-2</v>
      </c>
      <c r="D133" s="983">
        <v>2.2000000000000001E-3</v>
      </c>
      <c r="E133" s="983">
        <v>2.5833333333333337E-3</v>
      </c>
      <c r="F133" s="983">
        <v>2.7333333333333333E-3</v>
      </c>
      <c r="G133" s="983">
        <v>2.6583333333333337E-3</v>
      </c>
      <c r="H133" s="983">
        <v>3.1916666666666664E-3</v>
      </c>
      <c r="I133" s="983">
        <v>-5.1000000000000004E-3</v>
      </c>
      <c r="J133" s="983">
        <v>-5.5583333333333335E-3</v>
      </c>
      <c r="K133" s="983">
        <v>-6.0916666666666662E-3</v>
      </c>
      <c r="L133" s="983">
        <v>-2.0591666666666664E-2</v>
      </c>
    </row>
    <row r="134" spans="1:12">
      <c r="A134" s="983">
        <v>13516</v>
      </c>
      <c r="B134" s="983">
        <v>3.9E-2</v>
      </c>
      <c r="C134" s="983">
        <v>1.9500000000000003E-2</v>
      </c>
      <c r="D134" s="983">
        <v>2.0999999999999999E-3</v>
      </c>
      <c r="E134" s="983">
        <v>2.5833333333333337E-3</v>
      </c>
      <c r="F134" s="983">
        <v>2.7499999999999998E-3</v>
      </c>
      <c r="G134" s="983">
        <v>2.6666666666666666E-3</v>
      </c>
      <c r="H134" s="983">
        <v>3.1833333333333336E-3</v>
      </c>
      <c r="I134" s="983">
        <v>3.6900000000000002E-2</v>
      </c>
      <c r="J134" s="983">
        <v>3.6333333333333336E-2</v>
      </c>
      <c r="K134" s="983">
        <v>3.5816666666666663E-2</v>
      </c>
      <c r="L134" s="983">
        <v>1.631666666666667E-2</v>
      </c>
    </row>
    <row r="135" spans="1:12">
      <c r="A135" s="983">
        <v>13547</v>
      </c>
      <c r="B135" s="983">
        <v>1.9099999999999999E-2</v>
      </c>
      <c r="C135" s="983">
        <v>-3.5299999999999998E-2</v>
      </c>
      <c r="D135" s="983">
        <v>2E-3</v>
      </c>
      <c r="E135" s="983">
        <v>2.6833333333333336E-3</v>
      </c>
      <c r="F135" s="983">
        <v>2.8333333333333331E-3</v>
      </c>
      <c r="G135" s="983">
        <v>2.7583333333333336E-3</v>
      </c>
      <c r="H135" s="983">
        <v>3.2416666666666666E-3</v>
      </c>
      <c r="I135" s="983">
        <v>1.7099999999999997E-2</v>
      </c>
      <c r="J135" s="983">
        <v>1.6341666666666664E-2</v>
      </c>
      <c r="K135" s="983">
        <v>1.5858333333333332E-2</v>
      </c>
      <c r="L135" s="983">
        <v>-3.8541666666666662E-2</v>
      </c>
    </row>
    <row r="136" spans="1:12">
      <c r="A136" s="983">
        <v>13575</v>
      </c>
      <c r="B136" s="983">
        <v>-7.7000000000000002E-3</v>
      </c>
      <c r="C136" s="983">
        <v>-5.7300000000000004E-2</v>
      </c>
      <c r="D136" s="983">
        <v>2.2000000000000001E-3</v>
      </c>
      <c r="E136" s="983">
        <v>2.7666666666666668E-3</v>
      </c>
      <c r="F136" s="983">
        <v>2.9166666666666668E-3</v>
      </c>
      <c r="G136" s="983">
        <v>2.8416666666666668E-3</v>
      </c>
      <c r="H136" s="983">
        <v>3.3333333333333331E-3</v>
      </c>
      <c r="I136" s="983">
        <v>-9.9000000000000008E-3</v>
      </c>
      <c r="J136" s="983">
        <v>-1.0541666666666668E-2</v>
      </c>
      <c r="K136" s="983">
        <v>-1.1033333333333332E-2</v>
      </c>
      <c r="L136" s="983">
        <v>-6.0633333333333338E-2</v>
      </c>
    </row>
    <row r="137" spans="1:12">
      <c r="A137" s="983">
        <v>13606</v>
      </c>
      <c r="B137" s="983">
        <v>-8.09E-2</v>
      </c>
      <c r="C137" s="983">
        <v>-7.3599999999999999E-2</v>
      </c>
      <c r="D137" s="983">
        <v>2.3E-3</v>
      </c>
      <c r="E137" s="983">
        <v>2.8499999999999997E-3</v>
      </c>
      <c r="F137" s="983">
        <v>2.9749999999999998E-3</v>
      </c>
      <c r="G137" s="983">
        <v>2.9125000000000002E-3</v>
      </c>
      <c r="H137" s="983">
        <v>3.3916666666666665E-3</v>
      </c>
      <c r="I137" s="983">
        <v>-8.3199999999999996E-2</v>
      </c>
      <c r="J137" s="983">
        <v>-8.3812499999999998E-2</v>
      </c>
      <c r="K137" s="983">
        <v>-8.4291666666666668E-2</v>
      </c>
      <c r="L137" s="983">
        <v>-7.6991666666666667E-2</v>
      </c>
    </row>
    <row r="138" spans="1:12">
      <c r="A138" s="983">
        <v>13636</v>
      </c>
      <c r="B138" s="983">
        <v>-2.3999999999999998E-3</v>
      </c>
      <c r="C138" s="983">
        <v>-5.16E-2</v>
      </c>
      <c r="D138" s="983">
        <v>2.2000000000000001E-3</v>
      </c>
      <c r="E138" s="983">
        <v>2.7750000000000001E-3</v>
      </c>
      <c r="F138" s="983">
        <v>2.8999999999999998E-3</v>
      </c>
      <c r="G138" s="983">
        <v>2.8375000000000002E-3</v>
      </c>
      <c r="H138" s="983">
        <v>3.3333333333333331E-3</v>
      </c>
      <c r="I138" s="983">
        <v>-4.5999999999999999E-3</v>
      </c>
      <c r="J138" s="983">
        <v>-5.2375E-3</v>
      </c>
      <c r="K138" s="983">
        <v>-5.7333333333333333E-3</v>
      </c>
      <c r="L138" s="983">
        <v>-5.4933333333333334E-2</v>
      </c>
    </row>
    <row r="139" spans="1:12">
      <c r="A139" s="983">
        <v>13667</v>
      </c>
      <c r="B139" s="983">
        <v>-5.04E-2</v>
      </c>
      <c r="C139" s="983">
        <v>-4.6699999999999998E-2</v>
      </c>
      <c r="D139" s="983">
        <v>2.5000000000000001E-3</v>
      </c>
      <c r="E139" s="983">
        <v>2.7333333333333333E-3</v>
      </c>
      <c r="F139" s="983">
        <v>2.8583333333333334E-3</v>
      </c>
      <c r="G139" s="983">
        <v>2.7958333333333329E-3</v>
      </c>
      <c r="H139" s="983">
        <v>3.3250000000000003E-3</v>
      </c>
      <c r="I139" s="983">
        <v>-5.2900000000000003E-2</v>
      </c>
      <c r="J139" s="983">
        <v>-5.3195833333333331E-2</v>
      </c>
      <c r="K139" s="983">
        <v>-5.3725000000000002E-2</v>
      </c>
      <c r="L139" s="983">
        <v>-5.0025E-2</v>
      </c>
    </row>
    <row r="140" spans="1:12">
      <c r="A140" s="983">
        <v>13697</v>
      </c>
      <c r="B140" s="983">
        <v>0.1045</v>
      </c>
      <c r="C140" s="983">
        <v>0.1671</v>
      </c>
      <c r="D140" s="983">
        <v>2.3999999999999998E-3</v>
      </c>
      <c r="E140" s="983">
        <v>2.708333333333333E-3</v>
      </c>
      <c r="F140" s="983">
        <v>2.8416666666666668E-3</v>
      </c>
      <c r="G140" s="983">
        <v>2.7749999999999997E-3</v>
      </c>
      <c r="H140" s="983">
        <v>3.283333333333333E-3</v>
      </c>
      <c r="I140" s="983">
        <v>0.1021</v>
      </c>
      <c r="J140" s="983">
        <v>0.101725</v>
      </c>
      <c r="K140" s="983">
        <v>0.10121666666666666</v>
      </c>
      <c r="L140" s="983">
        <v>0.16381666666666667</v>
      </c>
    </row>
    <row r="141" spans="1:12">
      <c r="A141" s="983">
        <v>13728</v>
      </c>
      <c r="B141" s="983">
        <v>-4.8300000000000003E-2</v>
      </c>
      <c r="C141" s="983">
        <v>-9.0300000000000005E-2</v>
      </c>
      <c r="D141" s="983">
        <v>2.3E-3</v>
      </c>
      <c r="E141" s="983">
        <v>2.7000000000000001E-3</v>
      </c>
      <c r="F141" s="983">
        <v>2.8416666666666668E-3</v>
      </c>
      <c r="G141" s="983">
        <v>2.7708333333333335E-3</v>
      </c>
      <c r="H141" s="983">
        <v>3.2416666666666666E-3</v>
      </c>
      <c r="I141" s="983">
        <v>-5.0600000000000006E-2</v>
      </c>
      <c r="J141" s="983">
        <v>-5.1070833333333336E-2</v>
      </c>
      <c r="K141" s="983">
        <v>-5.1541666666666666E-2</v>
      </c>
      <c r="L141" s="983">
        <v>-9.3541666666666676E-2</v>
      </c>
    </row>
    <row r="142" spans="1:12">
      <c r="A142" s="983">
        <v>13759</v>
      </c>
      <c r="B142" s="983">
        <v>-0.14030000000000001</v>
      </c>
      <c r="C142" s="983">
        <v>-0.1174</v>
      </c>
      <c r="D142" s="983">
        <v>2.3E-3</v>
      </c>
      <c r="E142" s="983">
        <v>2.7333333333333333E-3</v>
      </c>
      <c r="F142" s="983">
        <v>2.8833333333333332E-3</v>
      </c>
      <c r="G142" s="983">
        <v>2.8083333333333333E-3</v>
      </c>
      <c r="H142" s="983">
        <v>3.3E-3</v>
      </c>
      <c r="I142" s="983">
        <v>-0.1426</v>
      </c>
      <c r="J142" s="983">
        <v>-0.14310833333333334</v>
      </c>
      <c r="K142" s="983">
        <v>-0.14360000000000001</v>
      </c>
      <c r="L142" s="983">
        <v>-0.1207</v>
      </c>
    </row>
    <row r="143" spans="1:12">
      <c r="A143" s="983">
        <v>13789</v>
      </c>
      <c r="B143" s="983">
        <v>-9.8100000000000007E-2</v>
      </c>
      <c r="C143" s="983">
        <v>-5.16E-2</v>
      </c>
      <c r="D143" s="983">
        <v>2.3E-3</v>
      </c>
      <c r="E143" s="983">
        <v>2.725E-3</v>
      </c>
      <c r="F143" s="983">
        <v>2.9416666666666662E-3</v>
      </c>
      <c r="G143" s="983">
        <v>2.8333333333333331E-3</v>
      </c>
      <c r="H143" s="983">
        <v>3.4083333333333331E-3</v>
      </c>
      <c r="I143" s="983">
        <v>-0.1004</v>
      </c>
      <c r="J143" s="983">
        <v>-0.10093333333333333</v>
      </c>
      <c r="K143" s="983">
        <v>-0.10150833333333334</v>
      </c>
      <c r="L143" s="983">
        <v>-5.5008333333333333E-2</v>
      </c>
    </row>
    <row r="144" spans="1:12">
      <c r="A144" s="983">
        <v>13820</v>
      </c>
      <c r="B144" s="983">
        <v>-8.6599999999999996E-2</v>
      </c>
      <c r="C144" s="983">
        <v>8.0000000000000002E-3</v>
      </c>
      <c r="D144" s="983">
        <v>2.3999999999999998E-3</v>
      </c>
      <c r="E144" s="983">
        <v>2.7000000000000001E-3</v>
      </c>
      <c r="F144" s="983">
        <v>2.9499999999999999E-3</v>
      </c>
      <c r="G144" s="983">
        <v>2.8249999999999998E-3</v>
      </c>
      <c r="H144" s="983">
        <v>3.4000000000000002E-3</v>
      </c>
      <c r="I144" s="983">
        <v>-8.8999999999999996E-2</v>
      </c>
      <c r="J144" s="983">
        <v>-8.9424999999999991E-2</v>
      </c>
      <c r="K144" s="983">
        <v>-0.09</v>
      </c>
      <c r="L144" s="983">
        <v>4.5999999999999999E-3</v>
      </c>
    </row>
    <row r="145" spans="1:12">
      <c r="A145" s="983">
        <v>13850</v>
      </c>
      <c r="B145" s="983">
        <v>-4.5900000000000003E-2</v>
      </c>
      <c r="C145" s="983">
        <v>-9.5100000000000004E-2</v>
      </c>
      <c r="D145" s="983">
        <v>2.3E-3</v>
      </c>
      <c r="E145" s="983">
        <v>2.6750000000000003E-3</v>
      </c>
      <c r="F145" s="983">
        <v>2.9166666666666668E-3</v>
      </c>
      <c r="G145" s="983">
        <v>2.7958333333333333E-3</v>
      </c>
      <c r="H145" s="983">
        <v>3.3583333333333338E-3</v>
      </c>
      <c r="I145" s="983">
        <v>-4.8200000000000007E-2</v>
      </c>
      <c r="J145" s="983">
        <v>-4.8695833333333334E-2</v>
      </c>
      <c r="K145" s="983">
        <v>-4.9258333333333335E-2</v>
      </c>
      <c r="L145" s="983">
        <v>-9.8458333333333342E-2</v>
      </c>
    </row>
    <row r="146" spans="1:12">
      <c r="A146" s="983">
        <v>13881</v>
      </c>
      <c r="B146" s="983">
        <v>1.52E-2</v>
      </c>
      <c r="C146" s="983">
        <v>-3.6799999999999999E-2</v>
      </c>
      <c r="D146" s="983">
        <v>2.3E-3</v>
      </c>
      <c r="E146" s="983">
        <v>2.6416666666666667E-3</v>
      </c>
      <c r="F146" s="983">
        <v>2.9166666666666668E-3</v>
      </c>
      <c r="G146" s="983">
        <v>2.7791666666666672E-3</v>
      </c>
      <c r="H146" s="983">
        <v>3.3416666666666668E-3</v>
      </c>
      <c r="I146" s="983">
        <v>1.29E-2</v>
      </c>
      <c r="J146" s="983">
        <v>1.2420833333333332E-2</v>
      </c>
      <c r="K146" s="983">
        <v>1.1858333333333334E-2</v>
      </c>
      <c r="L146" s="983">
        <v>-4.0141666666666666E-2</v>
      </c>
    </row>
    <row r="147" spans="1:12">
      <c r="A147" s="983">
        <v>13912</v>
      </c>
      <c r="B147" s="983">
        <v>6.7400000000000002E-2</v>
      </c>
      <c r="C147" s="983">
        <v>3.4099999999999998E-2</v>
      </c>
      <c r="D147" s="983">
        <v>2.0999999999999999E-3</v>
      </c>
      <c r="E147" s="983">
        <v>2.6666666666666666E-3</v>
      </c>
      <c r="F147" s="983">
        <v>2.9249999999999996E-3</v>
      </c>
      <c r="G147" s="983">
        <v>2.7958333333333329E-3</v>
      </c>
      <c r="H147" s="983">
        <v>3.3583333333333338E-3</v>
      </c>
      <c r="I147" s="983">
        <v>6.5299999999999997E-2</v>
      </c>
      <c r="J147" s="983">
        <v>6.4604166666666671E-2</v>
      </c>
      <c r="K147" s="983">
        <v>6.4041666666666663E-2</v>
      </c>
      <c r="L147" s="983">
        <v>3.0741666666666664E-2</v>
      </c>
    </row>
    <row r="148" spans="1:12">
      <c r="A148" s="983">
        <v>13940</v>
      </c>
      <c r="B148" s="983">
        <v>-0.2487</v>
      </c>
      <c r="C148" s="983">
        <v>-0.19839999999999999</v>
      </c>
      <c r="D148" s="983">
        <v>2.3E-3</v>
      </c>
      <c r="E148" s="983">
        <v>2.6833333333333336E-3</v>
      </c>
      <c r="F148" s="983">
        <v>2.9666666666666669E-3</v>
      </c>
      <c r="G148" s="983">
        <v>2.8250000000000003E-3</v>
      </c>
      <c r="H148" s="983">
        <v>3.3250000000000003E-3</v>
      </c>
      <c r="I148" s="983">
        <v>-0.251</v>
      </c>
      <c r="J148" s="983">
        <v>-0.251525</v>
      </c>
      <c r="K148" s="983">
        <v>-0.252025</v>
      </c>
      <c r="L148" s="983">
        <v>-0.20172499999999999</v>
      </c>
    </row>
    <row r="149" spans="1:12">
      <c r="A149" s="983">
        <v>13971</v>
      </c>
      <c r="B149" s="983">
        <v>0.1447</v>
      </c>
      <c r="C149" s="983">
        <v>0.15379999999999999</v>
      </c>
      <c r="D149" s="983">
        <v>2.2000000000000001E-3</v>
      </c>
      <c r="E149" s="983">
        <v>2.7499999999999998E-3</v>
      </c>
      <c r="F149" s="983">
        <v>3.1083333333333336E-3</v>
      </c>
      <c r="G149" s="983">
        <v>2.9291666666666667E-3</v>
      </c>
      <c r="H149" s="983">
        <v>3.4000000000000002E-3</v>
      </c>
      <c r="I149" s="983">
        <v>0.14249999999999999</v>
      </c>
      <c r="J149" s="983">
        <v>0.14177083333333332</v>
      </c>
      <c r="K149" s="983">
        <v>0.14129999999999998</v>
      </c>
      <c r="L149" s="983">
        <v>0.15039999999999998</v>
      </c>
    </row>
    <row r="150" spans="1:12">
      <c r="A150" s="983">
        <v>14001</v>
      </c>
      <c r="B150" s="983">
        <v>-3.3000000000000002E-2</v>
      </c>
      <c r="C150" s="983">
        <v>1.8100000000000002E-2</v>
      </c>
      <c r="D150" s="983">
        <v>2.2000000000000001E-3</v>
      </c>
      <c r="E150" s="983">
        <v>2.6833333333333336E-3</v>
      </c>
      <c r="F150" s="983">
        <v>2.9666666666666669E-3</v>
      </c>
      <c r="G150" s="983">
        <v>2.8250000000000003E-3</v>
      </c>
      <c r="H150" s="983">
        <v>3.2916666666666667E-3</v>
      </c>
      <c r="I150" s="983">
        <v>-3.5200000000000002E-2</v>
      </c>
      <c r="J150" s="983">
        <v>-3.5825000000000003E-2</v>
      </c>
      <c r="K150" s="983">
        <v>-3.6291666666666667E-2</v>
      </c>
      <c r="L150" s="983">
        <v>1.4808333333333335E-2</v>
      </c>
    </row>
    <row r="151" spans="1:12">
      <c r="A151" s="983">
        <v>14032</v>
      </c>
      <c r="B151" s="983">
        <v>0.25030000000000002</v>
      </c>
      <c r="C151" s="983">
        <v>0.16219999999999998</v>
      </c>
      <c r="D151" s="983">
        <v>2.0999999999999999E-3</v>
      </c>
      <c r="E151" s="983">
        <v>2.7166666666666667E-3</v>
      </c>
      <c r="F151" s="983">
        <v>3.0666666666666672E-3</v>
      </c>
      <c r="G151" s="983">
        <v>2.891666666666667E-3</v>
      </c>
      <c r="H151" s="983">
        <v>3.2916666666666667E-3</v>
      </c>
      <c r="I151" s="983">
        <v>0.24820000000000003</v>
      </c>
      <c r="J151" s="983">
        <v>0.24740833333333337</v>
      </c>
      <c r="K151" s="983">
        <v>0.24700833333333336</v>
      </c>
      <c r="L151" s="983">
        <v>0.15890833333333332</v>
      </c>
    </row>
    <row r="152" spans="1:12">
      <c r="A152" s="983">
        <v>14062</v>
      </c>
      <c r="B152" s="983">
        <v>7.4399999999999994E-2</v>
      </c>
      <c r="C152" s="983">
        <v>1.4800000000000001E-2</v>
      </c>
      <c r="D152" s="983">
        <v>2.0999999999999999E-3</v>
      </c>
      <c r="E152" s="983">
        <v>2.6833333333333336E-3</v>
      </c>
      <c r="F152" s="983">
        <v>3.0166666666666671E-3</v>
      </c>
      <c r="G152" s="983">
        <v>2.8500000000000001E-3</v>
      </c>
      <c r="H152" s="983">
        <v>3.2166666666666667E-3</v>
      </c>
      <c r="I152" s="983">
        <v>7.2299999999999989E-2</v>
      </c>
      <c r="J152" s="983">
        <v>7.1549999999999989E-2</v>
      </c>
      <c r="K152" s="983">
        <v>7.1183333333333321E-2</v>
      </c>
      <c r="L152" s="983">
        <v>1.1583333333333334E-2</v>
      </c>
    </row>
    <row r="153" spans="1:12">
      <c r="A153" s="983">
        <v>14093</v>
      </c>
      <c r="B153" s="983">
        <v>-2.2599999999999999E-2</v>
      </c>
      <c r="C153" s="983">
        <v>-5.57E-2</v>
      </c>
      <c r="D153" s="983">
        <v>2.2000000000000001E-3</v>
      </c>
      <c r="E153" s="983">
        <v>2.65E-3</v>
      </c>
      <c r="F153" s="983">
        <v>2.9749999999999998E-3</v>
      </c>
      <c r="G153" s="983">
        <v>2.8124999999999999E-3</v>
      </c>
      <c r="H153" s="983">
        <v>3.2000000000000002E-3</v>
      </c>
      <c r="I153" s="983">
        <v>-2.4799999999999999E-2</v>
      </c>
      <c r="J153" s="983">
        <v>-2.5412499999999998E-2</v>
      </c>
      <c r="K153" s="983">
        <v>-2.58E-2</v>
      </c>
      <c r="L153" s="983">
        <v>-5.8900000000000001E-2</v>
      </c>
    </row>
    <row r="154" spans="1:12">
      <c r="A154" s="983">
        <v>14124</v>
      </c>
      <c r="B154" s="983">
        <v>1.66E-2</v>
      </c>
      <c r="C154" s="983">
        <v>1.9099999999999999E-2</v>
      </c>
      <c r="D154" s="983">
        <v>2.0999999999999999E-3</v>
      </c>
      <c r="E154" s="983">
        <v>2.6750000000000003E-3</v>
      </c>
      <c r="F154" s="983">
        <v>3.0000000000000001E-3</v>
      </c>
      <c r="G154" s="983">
        <v>2.8375000000000002E-3</v>
      </c>
      <c r="H154" s="983">
        <v>3.2333333333333329E-3</v>
      </c>
      <c r="I154" s="983">
        <v>1.4500000000000001E-2</v>
      </c>
      <c r="J154" s="983">
        <v>1.37625E-2</v>
      </c>
      <c r="K154" s="983">
        <v>1.3366666666666667E-2</v>
      </c>
      <c r="L154" s="983">
        <v>1.5866666666666668E-2</v>
      </c>
    </row>
    <row r="155" spans="1:12">
      <c r="A155" s="983">
        <v>14154</v>
      </c>
      <c r="B155" s="983">
        <v>7.7600000000000002E-2</v>
      </c>
      <c r="C155" s="983">
        <v>0.18009999999999998</v>
      </c>
      <c r="D155" s="983">
        <v>2.2000000000000001E-3</v>
      </c>
      <c r="E155" s="983">
        <v>2.6250000000000002E-3</v>
      </c>
      <c r="F155" s="983">
        <v>2.9416666666666662E-3</v>
      </c>
      <c r="G155" s="983">
        <v>2.7833333333333334E-3</v>
      </c>
      <c r="H155" s="983">
        <v>3.1583333333333337E-3</v>
      </c>
      <c r="I155" s="983">
        <v>7.5400000000000009E-2</v>
      </c>
      <c r="J155" s="983">
        <v>7.481666666666667E-2</v>
      </c>
      <c r="K155" s="983">
        <v>7.444166666666667E-2</v>
      </c>
      <c r="L155" s="983">
        <v>0.17694166666666664</v>
      </c>
    </row>
    <row r="156" spans="1:12">
      <c r="A156" s="983">
        <v>14185</v>
      </c>
      <c r="B156" s="983">
        <v>-2.7300000000000001E-2</v>
      </c>
      <c r="C156" s="983">
        <v>-6.2000000000000013E-2</v>
      </c>
      <c r="D156" s="983">
        <v>2.0999999999999999E-3</v>
      </c>
      <c r="E156" s="983">
        <v>2.5833333333333337E-3</v>
      </c>
      <c r="F156" s="983">
        <v>2.8833333333333332E-3</v>
      </c>
      <c r="G156" s="983">
        <v>2.7333333333333333E-3</v>
      </c>
      <c r="H156" s="983">
        <v>3.1083333333333336E-3</v>
      </c>
      <c r="I156" s="983">
        <v>-2.9400000000000003E-2</v>
      </c>
      <c r="J156" s="983">
        <v>-3.0033333333333335E-2</v>
      </c>
      <c r="K156" s="983">
        <v>-3.0408333333333336E-2</v>
      </c>
      <c r="L156" s="983">
        <v>-6.5108333333333351E-2</v>
      </c>
    </row>
    <row r="157" spans="1:12">
      <c r="A157" s="983">
        <v>14215</v>
      </c>
      <c r="B157" s="983">
        <v>4.0099999999999997E-2</v>
      </c>
      <c r="C157" s="983">
        <v>3.9099999999999996E-2</v>
      </c>
      <c r="D157" s="983">
        <v>2.2000000000000001E-3</v>
      </c>
      <c r="E157" s="983">
        <v>2.5666666666666667E-3</v>
      </c>
      <c r="F157" s="983">
        <v>2.8499999999999997E-3</v>
      </c>
      <c r="G157" s="983">
        <v>2.708333333333333E-3</v>
      </c>
      <c r="H157" s="983">
        <v>3.1166666666666669E-3</v>
      </c>
      <c r="I157" s="983">
        <v>3.7899999999999996E-2</v>
      </c>
      <c r="J157" s="983">
        <v>3.7391666666666663E-2</v>
      </c>
      <c r="K157" s="983">
        <v>3.6983333333333326E-2</v>
      </c>
      <c r="L157" s="983">
        <v>3.5983333333333326E-2</v>
      </c>
    </row>
    <row r="158" spans="1:12">
      <c r="A158" s="983">
        <v>14246</v>
      </c>
      <c r="B158" s="983">
        <v>-6.7400000000000002E-2</v>
      </c>
      <c r="C158" s="983">
        <v>1.6500000000000001E-2</v>
      </c>
      <c r="D158" s="983">
        <v>2.0999999999999999E-3</v>
      </c>
      <c r="E158" s="983">
        <v>2.5083333333333329E-3</v>
      </c>
      <c r="F158" s="983">
        <v>2.7666666666666668E-3</v>
      </c>
      <c r="G158" s="983">
        <v>2.6374999999999997E-3</v>
      </c>
      <c r="H158" s="983">
        <v>3.0666666666666672E-3</v>
      </c>
      <c r="I158" s="983">
        <v>-6.9500000000000006E-2</v>
      </c>
      <c r="J158" s="983">
        <v>-7.0037500000000003E-2</v>
      </c>
      <c r="K158" s="983">
        <v>-7.0466666666666664E-2</v>
      </c>
      <c r="L158" s="983">
        <v>1.3433333333333334E-2</v>
      </c>
    </row>
    <row r="159" spans="1:12">
      <c r="A159" s="983">
        <v>14277</v>
      </c>
      <c r="B159" s="983">
        <v>3.9E-2</v>
      </c>
      <c r="C159" s="983">
        <v>8.0100000000000005E-2</v>
      </c>
      <c r="D159" s="983">
        <v>1.9E-3</v>
      </c>
      <c r="E159" s="983">
        <v>2.5000000000000001E-3</v>
      </c>
      <c r="F159" s="983">
        <v>2.7166666666666667E-3</v>
      </c>
      <c r="G159" s="983">
        <v>2.6083333333333336E-3</v>
      </c>
      <c r="H159" s="983">
        <v>2.9916666666666663E-3</v>
      </c>
      <c r="I159" s="983">
        <v>3.7100000000000001E-2</v>
      </c>
      <c r="J159" s="983">
        <v>3.6391666666666669E-2</v>
      </c>
      <c r="K159" s="983">
        <v>3.6008333333333337E-2</v>
      </c>
      <c r="L159" s="983">
        <v>7.7108333333333334E-2</v>
      </c>
    </row>
    <row r="160" spans="1:12">
      <c r="A160" s="983">
        <v>14305</v>
      </c>
      <c r="B160" s="983">
        <v>-0.13389999999999999</v>
      </c>
      <c r="C160" s="983">
        <v>-0.13780000000000001</v>
      </c>
      <c r="D160" s="983">
        <v>2.0999999999999999E-3</v>
      </c>
      <c r="E160" s="983">
        <v>2.4916666666666668E-3</v>
      </c>
      <c r="F160" s="983">
        <v>2.6833333333333336E-3</v>
      </c>
      <c r="G160" s="983">
        <v>2.5875000000000004E-3</v>
      </c>
      <c r="H160" s="983">
        <v>2.9499999999999999E-3</v>
      </c>
      <c r="I160" s="983">
        <v>-0.13599999999999998</v>
      </c>
      <c r="J160" s="983">
        <v>-0.13648749999999998</v>
      </c>
      <c r="K160" s="983">
        <v>-0.13685</v>
      </c>
      <c r="L160" s="983">
        <v>-0.14075000000000001</v>
      </c>
    </row>
    <row r="161" spans="1:12">
      <c r="A161" s="983">
        <v>14336</v>
      </c>
      <c r="B161" s="983">
        <v>-2.7000000000000001E-3</v>
      </c>
      <c r="C161" s="983">
        <v>2.8500000000000001E-2</v>
      </c>
      <c r="D161" s="983">
        <v>1.9E-3</v>
      </c>
      <c r="E161" s="983">
        <v>2.5166666666666666E-3</v>
      </c>
      <c r="F161" s="983">
        <v>2.6833333333333336E-3</v>
      </c>
      <c r="G161" s="983">
        <v>2.5999999999999999E-3</v>
      </c>
      <c r="H161" s="983">
        <v>2.9583333333333332E-3</v>
      </c>
      <c r="I161" s="983">
        <v>-4.5999999999999999E-3</v>
      </c>
      <c r="J161" s="983">
        <v>-5.3E-3</v>
      </c>
      <c r="K161" s="983">
        <v>-5.6583333333333329E-3</v>
      </c>
      <c r="L161" s="983">
        <v>2.5541666666666667E-2</v>
      </c>
    </row>
    <row r="162" spans="1:12">
      <c r="A162" s="983">
        <v>14366</v>
      </c>
      <c r="B162" s="983">
        <v>7.3300000000000004E-2</v>
      </c>
      <c r="C162" s="983">
        <v>6.6500000000000004E-2</v>
      </c>
      <c r="D162" s="983">
        <v>2E-3</v>
      </c>
      <c r="E162" s="983">
        <v>2.4750000000000002E-3</v>
      </c>
      <c r="F162" s="983">
        <v>2.6333333333333334E-3</v>
      </c>
      <c r="G162" s="983">
        <v>2.5541666666666668E-3</v>
      </c>
      <c r="H162" s="983">
        <v>2.9166666666666668E-3</v>
      </c>
      <c r="I162" s="983">
        <v>7.1300000000000002E-2</v>
      </c>
      <c r="J162" s="983">
        <v>7.0745833333333341E-2</v>
      </c>
      <c r="K162" s="983">
        <v>7.0383333333333339E-2</v>
      </c>
      <c r="L162" s="983">
        <v>6.3583333333333339E-2</v>
      </c>
    </row>
    <row r="163" spans="1:12">
      <c r="A163" s="983">
        <v>14397</v>
      </c>
      <c r="B163" s="983">
        <v>-6.1199999999999997E-2</v>
      </c>
      <c r="C163" s="983">
        <v>-4.2299999999999997E-2</v>
      </c>
      <c r="D163" s="983">
        <v>1.8E-3</v>
      </c>
      <c r="E163" s="983">
        <v>2.4333333333333334E-3</v>
      </c>
      <c r="F163" s="983">
        <v>2.6083333333333332E-3</v>
      </c>
      <c r="G163" s="983">
        <v>2.5208333333333333E-3</v>
      </c>
      <c r="H163" s="983">
        <v>2.891666666666667E-3</v>
      </c>
      <c r="I163" s="983">
        <v>-6.3E-2</v>
      </c>
      <c r="J163" s="983">
        <v>-6.3720833333333338E-2</v>
      </c>
      <c r="K163" s="983">
        <v>-6.4091666666666658E-2</v>
      </c>
      <c r="L163" s="983">
        <v>-4.5191666666666665E-2</v>
      </c>
    </row>
    <row r="164" spans="1:12">
      <c r="A164" s="983">
        <v>14427</v>
      </c>
      <c r="B164" s="983">
        <v>0.1105</v>
      </c>
      <c r="C164" s="983">
        <v>0.1208</v>
      </c>
      <c r="D164" s="983">
        <v>1.9E-3</v>
      </c>
      <c r="E164" s="983">
        <v>2.4083333333333335E-3</v>
      </c>
      <c r="F164" s="983">
        <v>2.5666666666666667E-3</v>
      </c>
      <c r="G164" s="983">
        <v>2.4875000000000001E-3</v>
      </c>
      <c r="H164" s="983">
        <v>2.8583333333333334E-3</v>
      </c>
      <c r="I164" s="983">
        <v>0.1086</v>
      </c>
      <c r="J164" s="983">
        <v>0.1080125</v>
      </c>
      <c r="K164" s="983">
        <v>0.10764166666666666</v>
      </c>
      <c r="L164" s="983">
        <v>0.11794166666666667</v>
      </c>
    </row>
    <row r="165" spans="1:12">
      <c r="A165" s="983">
        <v>14458</v>
      </c>
      <c r="B165" s="983">
        <v>-6.4799999999999996E-2</v>
      </c>
      <c r="C165" s="983">
        <v>-6.4699999999999994E-2</v>
      </c>
      <c r="D165" s="983">
        <v>1.8E-3</v>
      </c>
      <c r="E165" s="983">
        <v>2.4416666666666666E-3</v>
      </c>
      <c r="F165" s="983">
        <v>2.5916666666666666E-3</v>
      </c>
      <c r="G165" s="983">
        <v>2.5166666666666666E-3</v>
      </c>
      <c r="H165" s="983">
        <v>2.8416666666666668E-3</v>
      </c>
      <c r="I165" s="983">
        <v>-6.6599999999999993E-2</v>
      </c>
      <c r="J165" s="983">
        <v>-6.7316666666666664E-2</v>
      </c>
      <c r="K165" s="983">
        <v>-6.7641666666666669E-2</v>
      </c>
      <c r="L165" s="983">
        <v>-6.7541666666666667E-2</v>
      </c>
    </row>
    <row r="166" spans="1:12">
      <c r="A166" s="983">
        <v>14489</v>
      </c>
      <c r="B166" s="983">
        <v>0.1673</v>
      </c>
      <c r="C166" s="983">
        <v>4.2100000000000005E-2</v>
      </c>
      <c r="D166" s="983">
        <v>1.9E-3</v>
      </c>
      <c r="E166" s="983">
        <v>2.708333333333333E-3</v>
      </c>
      <c r="F166" s="983">
        <v>2.9083333333333335E-3</v>
      </c>
      <c r="G166" s="983">
        <v>2.8083333333333333E-3</v>
      </c>
      <c r="H166" s="983">
        <v>3.0916666666666666E-3</v>
      </c>
      <c r="I166" s="983">
        <v>0.16539999999999999</v>
      </c>
      <c r="J166" s="983">
        <v>0.16449166666666667</v>
      </c>
      <c r="K166" s="983">
        <v>0.16420833333333335</v>
      </c>
      <c r="L166" s="983">
        <v>3.9008333333333339E-2</v>
      </c>
    </row>
    <row r="167" spans="1:12">
      <c r="A167" s="983">
        <v>14519</v>
      </c>
      <c r="B167" s="983">
        <v>-1.23E-2</v>
      </c>
      <c r="C167" s="983">
        <v>1.3000000000000001E-2</v>
      </c>
      <c r="D167" s="983">
        <v>2.3E-3</v>
      </c>
      <c r="E167" s="983">
        <v>2.6250000000000002E-3</v>
      </c>
      <c r="F167" s="983">
        <v>2.7916666666666667E-3</v>
      </c>
      <c r="G167" s="983">
        <v>2.7083333333333339E-3</v>
      </c>
      <c r="H167" s="983">
        <v>2.9833333333333335E-3</v>
      </c>
      <c r="I167" s="983">
        <v>-1.46E-2</v>
      </c>
      <c r="J167" s="983">
        <v>-1.5008333333333334E-2</v>
      </c>
      <c r="K167" s="983">
        <v>-1.5283333333333333E-2</v>
      </c>
      <c r="L167" s="983">
        <v>1.0016666666666667E-2</v>
      </c>
    </row>
    <row r="168" spans="1:12">
      <c r="A168" s="983">
        <v>14550</v>
      </c>
      <c r="B168" s="983">
        <v>-3.9800000000000002E-2</v>
      </c>
      <c r="C168" s="983">
        <v>-1.5699999999999999E-2</v>
      </c>
      <c r="D168" s="983">
        <v>2E-3</v>
      </c>
      <c r="E168" s="983">
        <v>2.5000000000000001E-3</v>
      </c>
      <c r="F168" s="983">
        <v>2.6333333333333334E-3</v>
      </c>
      <c r="G168" s="983">
        <v>2.5666666666666672E-3</v>
      </c>
      <c r="H168" s="983">
        <v>2.8416666666666668E-3</v>
      </c>
      <c r="I168" s="983">
        <v>-4.1800000000000004E-2</v>
      </c>
      <c r="J168" s="983">
        <v>-4.2366666666666671E-2</v>
      </c>
      <c r="K168" s="983">
        <v>-4.2641666666666668E-2</v>
      </c>
      <c r="L168" s="983">
        <v>-1.8541666666666665E-2</v>
      </c>
    </row>
    <row r="169" spans="1:12">
      <c r="A169" s="983">
        <v>14580</v>
      </c>
      <c r="B169" s="983">
        <v>2.7E-2</v>
      </c>
      <c r="C169" s="983">
        <v>2.7199999999999998E-2</v>
      </c>
      <c r="D169" s="983">
        <v>1.9E-3</v>
      </c>
      <c r="E169" s="983">
        <v>2.4499999999999999E-3</v>
      </c>
      <c r="F169" s="983">
        <v>2.6166666666666664E-3</v>
      </c>
      <c r="G169" s="983">
        <v>2.5333333333333332E-3</v>
      </c>
      <c r="H169" s="983">
        <v>2.816666666666667E-3</v>
      </c>
      <c r="I169" s="983">
        <v>2.5100000000000001E-2</v>
      </c>
      <c r="J169" s="983">
        <v>2.4466666666666668E-2</v>
      </c>
      <c r="K169" s="983">
        <v>2.4183333333333334E-2</v>
      </c>
      <c r="L169" s="983">
        <v>2.4383333333333333E-2</v>
      </c>
    </row>
    <row r="170" spans="1:12">
      <c r="A170" s="983">
        <v>14611</v>
      </c>
      <c r="B170" s="983">
        <v>-3.3599999999999998E-2</v>
      </c>
      <c r="C170" s="983">
        <v>6.8999999999999999E-3</v>
      </c>
      <c r="D170" s="983">
        <v>2E-3</v>
      </c>
      <c r="E170" s="983">
        <v>2.3999999999999998E-3</v>
      </c>
      <c r="F170" s="983">
        <v>2.5666666666666667E-3</v>
      </c>
      <c r="G170" s="983">
        <v>2.4833333333333331E-3</v>
      </c>
      <c r="H170" s="983">
        <v>2.7833333333333334E-3</v>
      </c>
      <c r="I170" s="983">
        <v>-3.56E-2</v>
      </c>
      <c r="J170" s="983">
        <v>-3.6083333333333328E-2</v>
      </c>
      <c r="K170" s="983">
        <v>-3.638333333333333E-2</v>
      </c>
      <c r="L170" s="983">
        <v>4.116666666666666E-3</v>
      </c>
    </row>
    <row r="171" spans="1:12">
      <c r="A171" s="983">
        <v>14642</v>
      </c>
      <c r="B171" s="983">
        <v>1.3299999999999999E-2</v>
      </c>
      <c r="C171" s="983">
        <v>-1.0200000000000001E-2</v>
      </c>
      <c r="D171" s="983">
        <v>1.8E-3</v>
      </c>
      <c r="E171" s="983">
        <v>2.3833333333333332E-3</v>
      </c>
      <c r="F171" s="983">
        <v>2.5416666666666665E-3</v>
      </c>
      <c r="G171" s="983">
        <v>2.4624999999999998E-3</v>
      </c>
      <c r="H171" s="983">
        <v>2.7916666666666667E-3</v>
      </c>
      <c r="I171" s="983">
        <v>1.15E-2</v>
      </c>
      <c r="J171" s="983">
        <v>1.08375E-2</v>
      </c>
      <c r="K171" s="983">
        <v>1.0508333333333333E-2</v>
      </c>
      <c r="L171" s="983">
        <v>-1.2991666666666667E-2</v>
      </c>
    </row>
    <row r="172" spans="1:12">
      <c r="A172" s="983">
        <v>14671</v>
      </c>
      <c r="B172" s="983">
        <v>1.24E-2</v>
      </c>
      <c r="C172" s="983">
        <v>9.3999999999999986E-3</v>
      </c>
      <c r="D172" s="983">
        <v>1.9E-3</v>
      </c>
      <c r="E172" s="983">
        <v>2.3666666666666667E-3</v>
      </c>
      <c r="F172" s="983">
        <v>2.5333333333333336E-3</v>
      </c>
      <c r="G172" s="983">
        <v>2.4499999999999999E-3</v>
      </c>
      <c r="H172" s="983">
        <v>2.7833333333333334E-3</v>
      </c>
      <c r="I172" s="983">
        <v>1.0499999999999999E-2</v>
      </c>
      <c r="J172" s="983">
        <v>9.9500000000000005E-3</v>
      </c>
      <c r="K172" s="983">
        <v>9.6166666666666657E-3</v>
      </c>
      <c r="L172" s="983">
        <v>6.6166666666666648E-3</v>
      </c>
    </row>
    <row r="173" spans="1:12">
      <c r="A173" s="983">
        <v>14702</v>
      </c>
      <c r="B173" s="983">
        <v>-2.3999999999999998E-3</v>
      </c>
      <c r="C173" s="983">
        <v>-9.1999999999999998E-3</v>
      </c>
      <c r="D173" s="983">
        <v>1.8E-3</v>
      </c>
      <c r="E173" s="983">
        <v>2.3499999999999997E-3</v>
      </c>
      <c r="F173" s="983">
        <v>2.4916666666666668E-3</v>
      </c>
      <c r="G173" s="983">
        <v>2.420833333333333E-3</v>
      </c>
      <c r="H173" s="983">
        <v>2.708333333333333E-3</v>
      </c>
      <c r="I173" s="983">
        <v>-4.1999999999999997E-3</v>
      </c>
      <c r="J173" s="983">
        <v>-4.8208333333333332E-3</v>
      </c>
      <c r="K173" s="983">
        <v>-5.1083333333333328E-3</v>
      </c>
      <c r="L173" s="983">
        <v>-1.1908333333333333E-2</v>
      </c>
    </row>
    <row r="174" spans="1:12">
      <c r="A174" s="983">
        <v>14732</v>
      </c>
      <c r="B174" s="983">
        <v>-0.22889999999999999</v>
      </c>
      <c r="C174" s="983">
        <v>-0.19640000000000002</v>
      </c>
      <c r="D174" s="983">
        <v>1.9E-3</v>
      </c>
      <c r="E174" s="983">
        <v>2.4416666666666666E-3</v>
      </c>
      <c r="F174" s="983">
        <v>2.5666666666666667E-3</v>
      </c>
      <c r="G174" s="983">
        <v>2.5041666666666667E-3</v>
      </c>
      <c r="H174" s="983">
        <v>2.7500000000000003E-3</v>
      </c>
      <c r="I174" s="983">
        <v>-0.23080000000000001</v>
      </c>
      <c r="J174" s="983">
        <v>-0.23140416666666666</v>
      </c>
      <c r="K174" s="983">
        <v>-0.23164999999999999</v>
      </c>
      <c r="L174" s="983">
        <v>-0.19915000000000002</v>
      </c>
    </row>
    <row r="175" spans="1:12">
      <c r="A175" s="983">
        <v>14763</v>
      </c>
      <c r="B175" s="983">
        <v>8.09E-2</v>
      </c>
      <c r="C175" s="983">
        <v>0.15060000000000001</v>
      </c>
      <c r="D175" s="983">
        <v>1.9E-3</v>
      </c>
      <c r="E175" s="983">
        <v>2.4666666666666669E-3</v>
      </c>
      <c r="F175" s="983">
        <v>2.5833333333333337E-3</v>
      </c>
      <c r="G175" s="983">
        <v>2.5249999999999999E-3</v>
      </c>
      <c r="H175" s="983">
        <v>2.7833333333333334E-3</v>
      </c>
      <c r="I175" s="983">
        <v>7.9000000000000001E-2</v>
      </c>
      <c r="J175" s="983">
        <v>7.8375E-2</v>
      </c>
      <c r="K175" s="983">
        <v>7.8116666666666668E-2</v>
      </c>
      <c r="L175" s="983">
        <v>0.14781666666666668</v>
      </c>
    </row>
    <row r="176" spans="1:12">
      <c r="A176" s="983">
        <v>14793</v>
      </c>
      <c r="B176" s="983">
        <v>3.4099999999999998E-2</v>
      </c>
      <c r="C176" s="983">
        <v>6.5000000000000006E-3</v>
      </c>
      <c r="D176" s="983">
        <v>2E-3</v>
      </c>
      <c r="E176" s="983">
        <v>2.3999999999999998E-3</v>
      </c>
      <c r="F176" s="983">
        <v>2.5083333333333329E-3</v>
      </c>
      <c r="G176" s="983">
        <v>2.4541666666666666E-3</v>
      </c>
      <c r="H176" s="983">
        <v>2.6916666666666669E-3</v>
      </c>
      <c r="I176" s="983">
        <v>3.2099999999999997E-2</v>
      </c>
      <c r="J176" s="983">
        <v>3.1645833333333331E-2</v>
      </c>
      <c r="K176" s="983">
        <v>3.140833333333333E-2</v>
      </c>
      <c r="L176" s="983">
        <v>3.8083333333333337E-3</v>
      </c>
    </row>
    <row r="177" spans="1:12">
      <c r="A177" s="983">
        <v>14824</v>
      </c>
      <c r="B177" s="983">
        <v>3.5000000000000003E-2</v>
      </c>
      <c r="C177" s="983">
        <v>-9.4000000000000004E-3</v>
      </c>
      <c r="D177" s="983">
        <v>1.9E-3</v>
      </c>
      <c r="E177" s="983">
        <v>2.3750000000000004E-3</v>
      </c>
      <c r="F177" s="983">
        <v>2.5249999999999999E-3</v>
      </c>
      <c r="G177" s="983">
        <v>2.4499999999999999E-3</v>
      </c>
      <c r="H177" s="983">
        <v>2.6750000000000003E-3</v>
      </c>
      <c r="I177" s="983">
        <v>3.3100000000000004E-2</v>
      </c>
      <c r="J177" s="983">
        <v>3.2550000000000003E-2</v>
      </c>
      <c r="K177" s="983">
        <v>3.2325000000000007E-2</v>
      </c>
      <c r="L177" s="983">
        <v>-1.2075000000000001E-2</v>
      </c>
    </row>
    <row r="178" spans="1:12">
      <c r="A178" s="983">
        <v>14855</v>
      </c>
      <c r="B178" s="983">
        <v>1.23E-2</v>
      </c>
      <c r="C178" s="983">
        <v>-2.1099999999999997E-2</v>
      </c>
      <c r="D178" s="983">
        <v>1.8E-3</v>
      </c>
      <c r="E178" s="983">
        <v>2.3499999999999997E-3</v>
      </c>
      <c r="F178" s="983">
        <v>2.5083333333333329E-3</v>
      </c>
      <c r="G178" s="983">
        <v>2.4291666666666663E-3</v>
      </c>
      <c r="H178" s="983">
        <v>2.65E-3</v>
      </c>
      <c r="I178" s="983">
        <v>1.0500000000000001E-2</v>
      </c>
      <c r="J178" s="983">
        <v>9.8708333333333339E-3</v>
      </c>
      <c r="K178" s="983">
        <v>9.6500000000000006E-3</v>
      </c>
      <c r="L178" s="983">
        <v>-2.3749999999999997E-2</v>
      </c>
    </row>
    <row r="179" spans="1:12">
      <c r="A179" s="983">
        <v>14885</v>
      </c>
      <c r="B179" s="983">
        <v>4.2200000000000001E-2</v>
      </c>
      <c r="C179" s="983">
        <v>3.1699999999999999E-2</v>
      </c>
      <c r="D179" s="983">
        <v>1.8E-3</v>
      </c>
      <c r="E179" s="983">
        <v>2.3250000000000002E-3</v>
      </c>
      <c r="F179" s="983">
        <v>2.5083333333333329E-3</v>
      </c>
      <c r="G179" s="983">
        <v>2.4166666666666664E-3</v>
      </c>
      <c r="H179" s="983">
        <v>2.6250000000000002E-3</v>
      </c>
      <c r="I179" s="983">
        <v>4.0399999999999998E-2</v>
      </c>
      <c r="J179" s="983">
        <v>3.9783333333333337E-2</v>
      </c>
      <c r="K179" s="983">
        <v>3.9574999999999999E-2</v>
      </c>
      <c r="L179" s="983">
        <v>2.9075E-2</v>
      </c>
    </row>
    <row r="180" spans="1:12">
      <c r="A180" s="983">
        <v>14916</v>
      </c>
      <c r="B180" s="983">
        <v>-3.1600000000000003E-2</v>
      </c>
      <c r="C180" s="983">
        <v>-0.12069999999999999</v>
      </c>
      <c r="D180" s="983">
        <v>1.8E-3</v>
      </c>
      <c r="E180" s="983">
        <v>2.2916666666666667E-3</v>
      </c>
      <c r="F180" s="983">
        <v>2.4666666666666669E-3</v>
      </c>
      <c r="G180" s="983">
        <v>2.3791666666666666E-3</v>
      </c>
      <c r="H180" s="983">
        <v>2.5916666666666666E-3</v>
      </c>
      <c r="I180" s="983">
        <v>-3.3400000000000006E-2</v>
      </c>
      <c r="J180" s="983">
        <v>-3.3979166666666671E-2</v>
      </c>
      <c r="K180" s="983">
        <v>-3.4191666666666669E-2</v>
      </c>
      <c r="L180" s="983">
        <v>-0.12329166666666666</v>
      </c>
    </row>
    <row r="181" spans="1:12">
      <c r="A181" s="983">
        <v>14946</v>
      </c>
      <c r="B181" s="983">
        <v>8.9999999999999998E-4</v>
      </c>
      <c r="C181" s="983">
        <v>1.54E-2</v>
      </c>
      <c r="D181" s="983">
        <v>1.6999999999999999E-3</v>
      </c>
      <c r="E181" s="983">
        <v>2.2583333333333331E-3</v>
      </c>
      <c r="F181" s="983">
        <v>2.4333333333333334E-3</v>
      </c>
      <c r="G181" s="983">
        <v>2.345833333333333E-3</v>
      </c>
      <c r="H181" s="983">
        <v>2.5833333333333337E-3</v>
      </c>
      <c r="I181" s="983">
        <v>-7.9999999999999993E-4</v>
      </c>
      <c r="J181" s="983">
        <v>-1.445833333333333E-3</v>
      </c>
      <c r="K181" s="983">
        <v>-1.6833333333333338E-3</v>
      </c>
      <c r="L181" s="983">
        <v>1.2816666666666667E-2</v>
      </c>
    </row>
    <row r="182" spans="1:12">
      <c r="A182" s="983">
        <v>14977</v>
      </c>
      <c r="B182" s="983">
        <v>-4.6300000000000001E-2</v>
      </c>
      <c r="C182" s="983">
        <v>-8.4000000000000012E-3</v>
      </c>
      <c r="D182" s="983">
        <v>1.6000000000000001E-3</v>
      </c>
      <c r="E182" s="983">
        <v>2.2916666666666667E-3</v>
      </c>
      <c r="F182" s="983">
        <v>2.4583333333333336E-3</v>
      </c>
      <c r="G182" s="983">
        <v>2.3749999999999999E-3</v>
      </c>
      <c r="H182" s="983">
        <v>2.6250000000000002E-3</v>
      </c>
      <c r="I182" s="983">
        <v>-4.7899999999999998E-2</v>
      </c>
      <c r="J182" s="983">
        <v>-4.8675000000000003E-2</v>
      </c>
      <c r="K182" s="983">
        <v>-4.8925000000000003E-2</v>
      </c>
      <c r="L182" s="983">
        <v>-1.1025000000000002E-2</v>
      </c>
    </row>
    <row r="183" spans="1:12">
      <c r="A183" s="983">
        <v>15008</v>
      </c>
      <c r="B183" s="983">
        <v>-6.0000000000000001E-3</v>
      </c>
      <c r="C183" s="983">
        <v>-2.3299999999999998E-2</v>
      </c>
      <c r="D183" s="983">
        <v>1.6000000000000001E-3</v>
      </c>
      <c r="E183" s="983">
        <v>2.3166666666666665E-3</v>
      </c>
      <c r="F183" s="983">
        <v>2.5000000000000001E-3</v>
      </c>
      <c r="G183" s="983">
        <v>2.4083333333333335E-3</v>
      </c>
      <c r="H183" s="983">
        <v>2.6666666666666666E-3</v>
      </c>
      <c r="I183" s="983">
        <v>-7.6E-3</v>
      </c>
      <c r="J183" s="983">
        <v>-8.4083333333333336E-3</v>
      </c>
      <c r="K183" s="983">
        <v>-8.6666666666666663E-3</v>
      </c>
      <c r="L183" s="983">
        <v>-2.5966666666666666E-2</v>
      </c>
    </row>
    <row r="184" spans="1:12">
      <c r="A184" s="983">
        <v>15036</v>
      </c>
      <c r="B184" s="983">
        <v>7.1000000000000004E-3</v>
      </c>
      <c r="C184" s="983">
        <v>-2.8000000000000004E-2</v>
      </c>
      <c r="D184" s="983">
        <v>1.8E-3</v>
      </c>
      <c r="E184" s="983">
        <v>2.3333333333333331E-3</v>
      </c>
      <c r="F184" s="983">
        <v>2.5083333333333329E-3</v>
      </c>
      <c r="G184" s="983">
        <v>2.420833333333333E-3</v>
      </c>
      <c r="H184" s="983">
        <v>2.6333333333333334E-3</v>
      </c>
      <c r="I184" s="983">
        <v>5.3000000000000009E-3</v>
      </c>
      <c r="J184" s="983">
        <v>4.6791666666666674E-3</v>
      </c>
      <c r="K184" s="983">
        <v>4.4666666666666674E-3</v>
      </c>
      <c r="L184" s="983">
        <v>-3.0633333333333339E-2</v>
      </c>
    </row>
    <row r="185" spans="1:12">
      <c r="A185" s="983">
        <v>15067</v>
      </c>
      <c r="B185" s="983">
        <v>-6.1199999999999997E-2</v>
      </c>
      <c r="C185" s="983">
        <v>-8.4399999999999989E-2</v>
      </c>
      <c r="D185" s="983">
        <v>1.6999999999999999E-3</v>
      </c>
      <c r="E185" s="983">
        <v>2.3499999999999997E-3</v>
      </c>
      <c r="F185" s="983">
        <v>2.5333333333333336E-3</v>
      </c>
      <c r="G185" s="983">
        <v>2.4416666666666666E-3</v>
      </c>
      <c r="H185" s="983">
        <v>2.6166666666666664E-3</v>
      </c>
      <c r="I185" s="983">
        <v>-6.2899999999999998E-2</v>
      </c>
      <c r="J185" s="983">
        <v>-6.3641666666666666E-2</v>
      </c>
      <c r="K185" s="983">
        <v>-6.381666666666666E-2</v>
      </c>
      <c r="L185" s="983">
        <v>-8.7016666666666659E-2</v>
      </c>
    </row>
    <row r="186" spans="1:12">
      <c r="A186" s="983">
        <v>15097</v>
      </c>
      <c r="B186" s="983">
        <v>1.83E-2</v>
      </c>
      <c r="C186" s="983">
        <v>-3.3700000000000001E-2</v>
      </c>
      <c r="D186" s="983">
        <v>1.6999999999999999E-3</v>
      </c>
      <c r="E186" s="983">
        <v>2.3416666666666668E-3</v>
      </c>
      <c r="F186" s="983">
        <v>2.4916666666666668E-3</v>
      </c>
      <c r="G186" s="983">
        <v>2.4166666666666668E-3</v>
      </c>
      <c r="H186" s="983">
        <v>2.5666666666666667E-3</v>
      </c>
      <c r="I186" s="983">
        <v>1.66E-2</v>
      </c>
      <c r="J186" s="983">
        <v>1.5883333333333333E-2</v>
      </c>
      <c r="K186" s="983">
        <v>1.5733333333333335E-2</v>
      </c>
      <c r="L186" s="983">
        <v>-3.6266666666666669E-2</v>
      </c>
    </row>
    <row r="187" spans="1:12">
      <c r="A187" s="983">
        <v>15128</v>
      </c>
      <c r="B187" s="983">
        <v>5.7799999999999997E-2</v>
      </c>
      <c r="C187" s="983">
        <v>2.5700000000000004E-2</v>
      </c>
      <c r="D187" s="983">
        <v>1.6000000000000001E-3</v>
      </c>
      <c r="E187" s="983">
        <v>2.3083333333333332E-3</v>
      </c>
      <c r="F187" s="983">
        <v>2.4583333333333336E-3</v>
      </c>
      <c r="G187" s="983">
        <v>2.3833333333333332E-3</v>
      </c>
      <c r="H187" s="983">
        <v>2.5249999999999999E-3</v>
      </c>
      <c r="I187" s="983">
        <v>5.62E-2</v>
      </c>
      <c r="J187" s="983">
        <v>5.5416666666666663E-2</v>
      </c>
      <c r="K187" s="983">
        <v>5.5274999999999998E-2</v>
      </c>
      <c r="L187" s="983">
        <v>2.3175000000000005E-2</v>
      </c>
    </row>
    <row r="188" spans="1:12">
      <c r="A188" s="983">
        <v>15158</v>
      </c>
      <c r="B188" s="983">
        <v>5.79E-2</v>
      </c>
      <c r="C188" s="983">
        <v>5.3800000000000001E-2</v>
      </c>
      <c r="D188" s="983">
        <v>1.6000000000000001E-3</v>
      </c>
      <c r="E188" s="983">
        <v>2.2833333333333334E-3</v>
      </c>
      <c r="F188" s="983">
        <v>2.4166666666666668E-3</v>
      </c>
      <c r="G188" s="983">
        <v>2.3500000000000001E-3</v>
      </c>
      <c r="H188" s="983">
        <v>2.5000000000000001E-3</v>
      </c>
      <c r="I188" s="983">
        <v>5.6300000000000003E-2</v>
      </c>
      <c r="J188" s="983">
        <v>5.5550000000000002E-2</v>
      </c>
      <c r="K188" s="983">
        <v>5.5399999999999998E-2</v>
      </c>
      <c r="L188" s="983">
        <v>5.1299999999999998E-2</v>
      </c>
    </row>
    <row r="189" spans="1:12">
      <c r="A189" s="983">
        <v>15189</v>
      </c>
      <c r="B189" s="983">
        <v>1E-3</v>
      </c>
      <c r="C189" s="983">
        <v>-1.9200000000000002E-2</v>
      </c>
      <c r="D189" s="983">
        <v>1.6000000000000001E-3</v>
      </c>
      <c r="E189" s="983">
        <v>2.2833333333333334E-3</v>
      </c>
      <c r="F189" s="983">
        <v>2.4166666666666668E-3</v>
      </c>
      <c r="G189" s="983">
        <v>2.3500000000000001E-3</v>
      </c>
      <c r="H189" s="983">
        <v>2.4833333333333331E-3</v>
      </c>
      <c r="I189" s="983">
        <v>-6.0000000000000006E-4</v>
      </c>
      <c r="J189" s="983">
        <v>-1.3500000000000001E-3</v>
      </c>
      <c r="K189" s="983">
        <v>-1.483333333333333E-3</v>
      </c>
      <c r="L189" s="983">
        <v>-2.1683333333333336E-2</v>
      </c>
    </row>
    <row r="190" spans="1:12">
      <c r="A190" s="983">
        <v>15220</v>
      </c>
      <c r="B190" s="983">
        <v>-6.7999999999999996E-3</v>
      </c>
      <c r="C190" s="983">
        <v>-2.8199999999999992E-2</v>
      </c>
      <c r="D190" s="983">
        <v>1.6000000000000001E-3</v>
      </c>
      <c r="E190" s="983">
        <v>2.2916666666666667E-3</v>
      </c>
      <c r="F190" s="983">
        <v>2.4250000000000001E-3</v>
      </c>
      <c r="G190" s="983">
        <v>2.3583333333333334E-3</v>
      </c>
      <c r="H190" s="983">
        <v>2.5000000000000001E-3</v>
      </c>
      <c r="I190" s="983">
        <v>-8.3999999999999995E-3</v>
      </c>
      <c r="J190" s="983">
        <v>-9.1583333333333326E-3</v>
      </c>
      <c r="K190" s="983">
        <v>-9.2999999999999992E-3</v>
      </c>
      <c r="L190" s="983">
        <v>-3.0699999999999991E-2</v>
      </c>
    </row>
    <row r="191" spans="1:12">
      <c r="A191" s="983">
        <v>15250</v>
      </c>
      <c r="B191" s="983">
        <v>-6.5699999999999995E-2</v>
      </c>
      <c r="C191" s="983">
        <v>-8.48E-2</v>
      </c>
      <c r="D191" s="983">
        <v>1.6000000000000001E-3</v>
      </c>
      <c r="E191" s="983">
        <v>2.2750000000000001E-3</v>
      </c>
      <c r="F191" s="983">
        <v>2.3916666666666665E-3</v>
      </c>
      <c r="G191" s="983">
        <v>2.3333333333333335E-3</v>
      </c>
      <c r="H191" s="983">
        <v>2.5000000000000001E-3</v>
      </c>
      <c r="I191" s="983">
        <v>-6.7299999999999999E-2</v>
      </c>
      <c r="J191" s="983">
        <v>-6.8033333333333335E-2</v>
      </c>
      <c r="K191" s="983">
        <v>-6.8199999999999997E-2</v>
      </c>
      <c r="L191" s="983">
        <v>-8.7300000000000003E-2</v>
      </c>
    </row>
    <row r="192" spans="1:12">
      <c r="A192" s="983">
        <v>15281</v>
      </c>
      <c r="B192" s="983">
        <v>-2.8400000000000002E-2</v>
      </c>
      <c r="C192" s="983">
        <v>-6.5199999999999994E-2</v>
      </c>
      <c r="D192" s="983">
        <v>1.3999999999999998E-3</v>
      </c>
      <c r="E192" s="983">
        <v>2.2666666666666668E-3</v>
      </c>
      <c r="F192" s="983">
        <v>2.3833333333333332E-3</v>
      </c>
      <c r="G192" s="983">
        <v>2.3249999999999998E-3</v>
      </c>
      <c r="H192" s="983">
        <v>2.4833333333333331E-3</v>
      </c>
      <c r="I192" s="983">
        <v>-2.98E-2</v>
      </c>
      <c r="J192" s="983">
        <v>-3.0725000000000002E-2</v>
      </c>
      <c r="K192" s="983">
        <v>-3.0883333333333336E-2</v>
      </c>
      <c r="L192" s="983">
        <v>-6.7683333333333331E-2</v>
      </c>
    </row>
    <row r="193" spans="1:12">
      <c r="A193" s="983">
        <v>15311</v>
      </c>
      <c r="B193" s="983">
        <v>-4.07E-2</v>
      </c>
      <c r="C193" s="983">
        <v>-6.7799999999999999E-2</v>
      </c>
      <c r="D193" s="983">
        <v>1.6000000000000001E-3</v>
      </c>
      <c r="E193" s="983">
        <v>2.3333333333333331E-3</v>
      </c>
      <c r="F193" s="983">
        <v>2.4583333333333336E-3</v>
      </c>
      <c r="G193" s="983">
        <v>2.3958333333333331E-3</v>
      </c>
      <c r="H193" s="983">
        <v>2.5500000000000002E-3</v>
      </c>
      <c r="I193" s="983">
        <v>-4.2299999999999997E-2</v>
      </c>
      <c r="J193" s="983">
        <v>-4.3095833333333333E-2</v>
      </c>
      <c r="K193" s="983">
        <v>-4.3249999999999997E-2</v>
      </c>
      <c r="L193" s="983">
        <v>-7.0349999999999996E-2</v>
      </c>
    </row>
    <row r="194" spans="1:12">
      <c r="A194" s="983">
        <v>15342</v>
      </c>
      <c r="B194" s="983">
        <v>1.61E-2</v>
      </c>
      <c r="C194" s="983">
        <v>2.52E-2</v>
      </c>
      <c r="D194" s="983">
        <v>2.0999999999999999E-3</v>
      </c>
      <c r="E194" s="983">
        <v>2.3583333333333334E-3</v>
      </c>
      <c r="F194" s="983">
        <v>2.4666666666666669E-3</v>
      </c>
      <c r="G194" s="983">
        <v>2.4125000000000001E-3</v>
      </c>
      <c r="H194" s="983">
        <v>2.575E-3</v>
      </c>
      <c r="I194" s="983">
        <v>1.4E-2</v>
      </c>
      <c r="J194" s="983">
        <v>1.36875E-2</v>
      </c>
      <c r="K194" s="983">
        <v>1.3524999999999999E-2</v>
      </c>
      <c r="L194" s="983">
        <v>2.2624999999999999E-2</v>
      </c>
    </row>
    <row r="195" spans="1:12">
      <c r="A195" s="983">
        <v>15373</v>
      </c>
      <c r="B195" s="983">
        <v>-1.5900000000000001E-2</v>
      </c>
      <c r="C195" s="983">
        <v>-3.39E-2</v>
      </c>
      <c r="D195" s="983">
        <v>1.9E-3</v>
      </c>
      <c r="E195" s="983">
        <v>2.3750000000000004E-3</v>
      </c>
      <c r="F195" s="983">
        <v>2.4833333333333331E-3</v>
      </c>
      <c r="G195" s="983">
        <v>2.4291666666666667E-3</v>
      </c>
      <c r="H195" s="983">
        <v>2.575E-3</v>
      </c>
      <c r="I195" s="983">
        <v>-1.78E-2</v>
      </c>
      <c r="J195" s="983">
        <v>-1.8329166666666667E-2</v>
      </c>
      <c r="K195" s="983">
        <v>-1.8475000000000002E-2</v>
      </c>
      <c r="L195" s="983">
        <v>-3.6475E-2</v>
      </c>
    </row>
    <row r="196" spans="1:12">
      <c r="A196" s="983">
        <v>15401</v>
      </c>
      <c r="B196" s="983">
        <v>-6.5199999999999994E-2</v>
      </c>
      <c r="C196" s="983">
        <v>-0.10459999999999998</v>
      </c>
      <c r="D196" s="983">
        <v>2.0999999999999999E-3</v>
      </c>
      <c r="E196" s="983">
        <v>2.3833333333333332E-3</v>
      </c>
      <c r="F196" s="983">
        <v>2.5000000000000001E-3</v>
      </c>
      <c r="G196" s="983">
        <v>2.4416666666666666E-3</v>
      </c>
      <c r="H196" s="983">
        <v>2.5999999999999999E-3</v>
      </c>
      <c r="I196" s="983">
        <v>-6.7299999999999999E-2</v>
      </c>
      <c r="J196" s="983">
        <v>-6.7641666666666656E-2</v>
      </c>
      <c r="K196" s="983">
        <v>-6.7799999999999999E-2</v>
      </c>
      <c r="L196" s="983">
        <v>-0.10719999999999999</v>
      </c>
    </row>
    <row r="197" spans="1:12">
      <c r="A197" s="983">
        <v>15432</v>
      </c>
      <c r="B197" s="983">
        <v>-0.04</v>
      </c>
      <c r="C197" s="983">
        <v>-4.3200000000000002E-2</v>
      </c>
      <c r="D197" s="983">
        <v>2E-3</v>
      </c>
      <c r="E197" s="983">
        <v>2.3583333333333334E-3</v>
      </c>
      <c r="F197" s="983">
        <v>2.4833333333333331E-3</v>
      </c>
      <c r="G197" s="983">
        <v>2.420833333333333E-3</v>
      </c>
      <c r="H197" s="983">
        <v>2.575E-3</v>
      </c>
      <c r="I197" s="983">
        <v>-4.2000000000000003E-2</v>
      </c>
      <c r="J197" s="983">
        <v>-4.2420833333333331E-2</v>
      </c>
      <c r="K197" s="983">
        <v>-4.2575000000000002E-2</v>
      </c>
      <c r="L197" s="983">
        <v>-4.5775000000000003E-2</v>
      </c>
    </row>
    <row r="198" spans="1:12">
      <c r="A198" s="983">
        <v>15462</v>
      </c>
      <c r="B198" s="983">
        <v>7.9600000000000004E-2</v>
      </c>
      <c r="C198" s="983">
        <v>9.5600000000000004E-2</v>
      </c>
      <c r="D198" s="983">
        <v>1.9E-3</v>
      </c>
      <c r="E198" s="983">
        <v>2.3750000000000004E-3</v>
      </c>
      <c r="F198" s="983">
        <v>2.5000000000000001E-3</v>
      </c>
      <c r="G198" s="983">
        <v>2.4375000000000004E-3</v>
      </c>
      <c r="H198" s="983">
        <v>2.5833333333333337E-3</v>
      </c>
      <c r="I198" s="983">
        <v>7.7700000000000005E-2</v>
      </c>
      <c r="J198" s="983">
        <v>7.7162500000000009E-2</v>
      </c>
      <c r="K198" s="983">
        <v>7.7016666666666664E-2</v>
      </c>
      <c r="L198" s="983">
        <v>9.3016666666666664E-2</v>
      </c>
    </row>
    <row r="199" spans="1:12">
      <c r="A199" s="983">
        <v>15493</v>
      </c>
      <c r="B199" s="983">
        <v>2.2100000000000002E-2</v>
      </c>
      <c r="C199" s="983">
        <v>5.7000000000000002E-3</v>
      </c>
      <c r="D199" s="983">
        <v>2.0999999999999999E-3</v>
      </c>
      <c r="E199" s="983">
        <v>2.3750000000000004E-3</v>
      </c>
      <c r="F199" s="983">
        <v>2.5083333333333329E-3</v>
      </c>
      <c r="G199" s="983">
        <v>2.4416666666666666E-3</v>
      </c>
      <c r="H199" s="983">
        <v>2.5999999999999999E-3</v>
      </c>
      <c r="I199" s="983">
        <v>0.02</v>
      </c>
      <c r="J199" s="983">
        <v>1.9658333333333333E-2</v>
      </c>
      <c r="K199" s="983">
        <v>1.9500000000000003E-2</v>
      </c>
      <c r="L199" s="983">
        <v>3.1000000000000003E-3</v>
      </c>
    </row>
    <row r="200" spans="1:12">
      <c r="A200" s="983">
        <v>15523</v>
      </c>
      <c r="B200" s="983">
        <v>3.3700000000000001E-2</v>
      </c>
      <c r="C200" s="983">
        <v>4.0000000000000001E-3</v>
      </c>
      <c r="D200" s="983">
        <v>2.0999999999999999E-3</v>
      </c>
      <c r="E200" s="983">
        <v>2.3583333333333334E-3</v>
      </c>
      <c r="F200" s="983">
        <v>2.4916666666666668E-3</v>
      </c>
      <c r="G200" s="983">
        <v>2.4250000000000001E-3</v>
      </c>
      <c r="H200" s="983">
        <v>2.5833333333333337E-3</v>
      </c>
      <c r="I200" s="983">
        <v>3.1600000000000003E-2</v>
      </c>
      <c r="J200" s="983">
        <v>3.1274999999999997E-2</v>
      </c>
      <c r="K200" s="983">
        <v>3.1116666666666667E-2</v>
      </c>
      <c r="L200" s="983">
        <v>1.4166666666666663E-3</v>
      </c>
    </row>
    <row r="201" spans="1:12">
      <c r="A201" s="983">
        <v>15554</v>
      </c>
      <c r="B201" s="983">
        <v>1.6400000000000001E-2</v>
      </c>
      <c r="C201" s="983">
        <v>2.5999999999999999E-3</v>
      </c>
      <c r="D201" s="983">
        <v>2.0999999999999999E-3</v>
      </c>
      <c r="E201" s="983">
        <v>2.3416666666666668E-3</v>
      </c>
      <c r="F201" s="983">
        <v>2.4916666666666668E-3</v>
      </c>
      <c r="G201" s="983">
        <v>2.4166666666666668E-3</v>
      </c>
      <c r="H201" s="983">
        <v>2.5833333333333337E-3</v>
      </c>
      <c r="I201" s="983">
        <v>1.4300000000000002E-2</v>
      </c>
      <c r="J201" s="983">
        <v>1.3983333333333334E-2</v>
      </c>
      <c r="K201" s="983">
        <v>1.3816666666666668E-2</v>
      </c>
      <c r="L201" s="983">
        <v>1.6666666666666132E-5</v>
      </c>
    </row>
    <row r="202" spans="1:12">
      <c r="A202" s="983">
        <v>15585</v>
      </c>
      <c r="B202" s="983">
        <v>2.9000000000000001E-2</v>
      </c>
      <c r="C202" s="983">
        <v>4.6600000000000003E-2</v>
      </c>
      <c r="D202" s="983">
        <v>2E-3</v>
      </c>
      <c r="E202" s="983">
        <v>2.3333333333333331E-3</v>
      </c>
      <c r="F202" s="983">
        <v>2.4833333333333331E-3</v>
      </c>
      <c r="G202" s="983">
        <v>2.4083333333333331E-3</v>
      </c>
      <c r="H202" s="983">
        <v>2.5666666666666667E-3</v>
      </c>
      <c r="I202" s="983">
        <v>2.7000000000000003E-2</v>
      </c>
      <c r="J202" s="983">
        <v>2.659166666666667E-2</v>
      </c>
      <c r="K202" s="983">
        <v>2.6433333333333336E-2</v>
      </c>
      <c r="L202" s="983">
        <v>4.4033333333333334E-2</v>
      </c>
    </row>
    <row r="203" spans="1:12">
      <c r="A203" s="983">
        <v>15615</v>
      </c>
      <c r="B203" s="983">
        <v>6.7799999999999999E-2</v>
      </c>
      <c r="C203" s="983">
        <v>0.13620000000000002</v>
      </c>
      <c r="D203" s="983">
        <v>2.0999999999999999E-3</v>
      </c>
      <c r="E203" s="983">
        <v>2.3333333333333331E-3</v>
      </c>
      <c r="F203" s="983">
        <v>2.4583333333333336E-3</v>
      </c>
      <c r="G203" s="983">
        <v>2.3958333333333331E-3</v>
      </c>
      <c r="H203" s="983">
        <v>2.5666666666666667E-3</v>
      </c>
      <c r="I203" s="983">
        <v>6.5699999999999995E-2</v>
      </c>
      <c r="J203" s="983">
        <v>6.5404166666666666E-2</v>
      </c>
      <c r="K203" s="983">
        <v>6.5233333333333338E-2</v>
      </c>
      <c r="L203" s="983">
        <v>0.13363333333333335</v>
      </c>
    </row>
    <row r="204" spans="1:12">
      <c r="A204" s="983">
        <v>15646</v>
      </c>
      <c r="B204" s="983">
        <v>-2.0999999999999999E-3</v>
      </c>
      <c r="C204" s="983">
        <v>-1.5000000000000005E-3</v>
      </c>
      <c r="D204" s="983">
        <v>2E-3</v>
      </c>
      <c r="E204" s="983">
        <v>2.3250000000000002E-3</v>
      </c>
      <c r="F204" s="983">
        <v>2.4499999999999999E-3</v>
      </c>
      <c r="G204" s="983">
        <v>2.3875000000000003E-3</v>
      </c>
      <c r="H204" s="983">
        <v>2.5583333333333335E-3</v>
      </c>
      <c r="I204" s="983">
        <v>-4.0999999999999995E-3</v>
      </c>
      <c r="J204" s="983">
        <v>-4.4875000000000002E-3</v>
      </c>
      <c r="K204" s="983">
        <v>-4.6583333333333338E-3</v>
      </c>
      <c r="L204" s="983">
        <v>-4.0583333333333339E-3</v>
      </c>
    </row>
    <row r="205" spans="1:12">
      <c r="A205" s="983">
        <v>15676</v>
      </c>
      <c r="B205" s="983">
        <v>5.4899999999999997E-2</v>
      </c>
      <c r="C205" s="983">
        <v>3.2799999999999996E-2</v>
      </c>
      <c r="D205" s="983">
        <v>2.0999999999999999E-3</v>
      </c>
      <c r="E205" s="983">
        <v>2.3416666666666668E-3</v>
      </c>
      <c r="F205" s="983">
        <v>2.4666666666666669E-3</v>
      </c>
      <c r="G205" s="983">
        <v>2.4041666666666669E-3</v>
      </c>
      <c r="H205" s="983">
        <v>2.5500000000000002E-3</v>
      </c>
      <c r="I205" s="983">
        <v>5.28E-2</v>
      </c>
      <c r="J205" s="983">
        <v>5.2495833333333332E-2</v>
      </c>
      <c r="K205" s="983">
        <v>5.2349999999999994E-2</v>
      </c>
      <c r="L205" s="983">
        <v>3.0249999999999996E-2</v>
      </c>
    </row>
    <row r="206" spans="1:12">
      <c r="A206" s="983">
        <v>15707</v>
      </c>
      <c r="B206" s="983">
        <v>7.3700000000000002E-2</v>
      </c>
      <c r="C206" s="983">
        <v>0.1217</v>
      </c>
      <c r="D206" s="983">
        <v>2E-3</v>
      </c>
      <c r="E206" s="983">
        <v>2.3250000000000002E-3</v>
      </c>
      <c r="F206" s="983">
        <v>2.4416666666666666E-3</v>
      </c>
      <c r="G206" s="983">
        <v>2.3833333333333332E-3</v>
      </c>
      <c r="H206" s="983">
        <v>2.5416666666666669E-3</v>
      </c>
      <c r="I206" s="983">
        <v>7.17E-2</v>
      </c>
      <c r="J206" s="983">
        <v>7.1316666666666667E-2</v>
      </c>
      <c r="K206" s="983">
        <v>7.1158333333333337E-2</v>
      </c>
      <c r="L206" s="983">
        <v>0.11915833333333334</v>
      </c>
    </row>
    <row r="207" spans="1:12">
      <c r="A207" s="983">
        <v>15738</v>
      </c>
      <c r="B207" s="983">
        <v>5.8299999999999998E-2</v>
      </c>
      <c r="C207" s="983">
        <v>7.1900000000000006E-2</v>
      </c>
      <c r="D207" s="983">
        <v>1.9E-3</v>
      </c>
      <c r="E207" s="983">
        <v>2.3083333333333332E-3</v>
      </c>
      <c r="F207" s="983">
        <v>2.4083333333333335E-3</v>
      </c>
      <c r="G207" s="983">
        <v>2.3583333333333334E-3</v>
      </c>
      <c r="H207" s="983">
        <v>2.5166666666666666E-3</v>
      </c>
      <c r="I207" s="983">
        <v>5.6399999999999999E-2</v>
      </c>
      <c r="J207" s="983">
        <v>5.5941666666666667E-2</v>
      </c>
      <c r="K207" s="983">
        <v>5.5783333333333331E-2</v>
      </c>
      <c r="L207" s="983">
        <v>6.9383333333333339E-2</v>
      </c>
    </row>
    <row r="208" spans="1:12">
      <c r="A208" s="983">
        <v>15766</v>
      </c>
      <c r="B208" s="983">
        <v>5.45E-2</v>
      </c>
      <c r="C208" s="983">
        <v>4.1200000000000001E-2</v>
      </c>
      <c r="D208" s="983">
        <v>2.0999999999999999E-3</v>
      </c>
      <c r="E208" s="983">
        <v>2.3E-3</v>
      </c>
      <c r="F208" s="983">
        <v>2.3999999999999998E-3</v>
      </c>
      <c r="G208" s="983">
        <v>2.3499999999999997E-3</v>
      </c>
      <c r="H208" s="983">
        <v>2.5083333333333333E-3</v>
      </c>
      <c r="I208" s="983">
        <v>5.2400000000000002E-2</v>
      </c>
      <c r="J208" s="983">
        <v>5.2150000000000002E-2</v>
      </c>
      <c r="K208" s="983">
        <v>5.1991666666666665E-2</v>
      </c>
      <c r="L208" s="983">
        <v>3.8691666666666666E-2</v>
      </c>
    </row>
    <row r="209" spans="1:12">
      <c r="A209" s="983">
        <v>15797</v>
      </c>
      <c r="B209" s="983">
        <v>3.5000000000000001E-3</v>
      </c>
      <c r="C209" s="983">
        <v>3.8700000000000005E-2</v>
      </c>
      <c r="D209" s="983">
        <v>2E-3</v>
      </c>
      <c r="E209" s="983">
        <v>2.3E-3</v>
      </c>
      <c r="F209" s="983">
        <v>2.3999999999999998E-3</v>
      </c>
      <c r="G209" s="983">
        <v>2.3499999999999997E-3</v>
      </c>
      <c r="H209" s="983">
        <v>2.5000000000000001E-3</v>
      </c>
      <c r="I209" s="983">
        <v>1.5E-3</v>
      </c>
      <c r="J209" s="983">
        <v>1.1500000000000004E-3</v>
      </c>
      <c r="K209" s="983">
        <v>1E-3</v>
      </c>
      <c r="L209" s="983">
        <v>3.6200000000000003E-2</v>
      </c>
    </row>
    <row r="210" spans="1:12">
      <c r="A210" s="983">
        <v>15827</v>
      </c>
      <c r="B210" s="983">
        <v>5.5199999999999999E-2</v>
      </c>
      <c r="C210" s="983">
        <v>3.4700000000000002E-2</v>
      </c>
      <c r="D210" s="983">
        <v>1.9E-3</v>
      </c>
      <c r="E210" s="983">
        <v>2.2833333333333334E-3</v>
      </c>
      <c r="F210" s="983">
        <v>2.3916666666666665E-3</v>
      </c>
      <c r="G210" s="983">
        <v>2.3375000000000002E-3</v>
      </c>
      <c r="H210" s="983">
        <v>2.5000000000000001E-3</v>
      </c>
      <c r="I210" s="983">
        <v>5.33E-2</v>
      </c>
      <c r="J210" s="983">
        <v>5.28625E-2</v>
      </c>
      <c r="K210" s="983">
        <v>5.2699999999999997E-2</v>
      </c>
      <c r="L210" s="983">
        <v>3.2199999999999999E-2</v>
      </c>
    </row>
    <row r="211" spans="1:12">
      <c r="A211" s="983">
        <v>15858</v>
      </c>
      <c r="B211" s="983">
        <v>2.23E-2</v>
      </c>
      <c r="C211" s="983">
        <v>5.3800000000000001E-2</v>
      </c>
      <c r="D211" s="983">
        <v>2.0999999999999999E-3</v>
      </c>
      <c r="E211" s="983">
        <v>2.2666666666666668E-3</v>
      </c>
      <c r="F211" s="983">
        <v>2.3750000000000004E-3</v>
      </c>
      <c r="G211" s="983">
        <v>2.3208333333333336E-3</v>
      </c>
      <c r="H211" s="983">
        <v>2.4833333333333331E-3</v>
      </c>
      <c r="I211" s="983">
        <v>2.0199999999999999E-2</v>
      </c>
      <c r="J211" s="983">
        <v>1.9979166666666666E-2</v>
      </c>
      <c r="K211" s="983">
        <v>1.9816666666666666E-2</v>
      </c>
      <c r="L211" s="983">
        <v>5.131666666666667E-2</v>
      </c>
    </row>
    <row r="212" spans="1:12">
      <c r="A212" s="983">
        <v>15888</v>
      </c>
      <c r="B212" s="983">
        <v>-5.2600000000000001E-2</v>
      </c>
      <c r="C212" s="983">
        <v>3.8E-3</v>
      </c>
      <c r="D212" s="983">
        <v>2.0999999999999999E-3</v>
      </c>
      <c r="E212" s="983">
        <v>2.2416666666666665E-3</v>
      </c>
      <c r="F212" s="983">
        <v>2.3499999999999997E-3</v>
      </c>
      <c r="G212" s="983">
        <v>2.2958333333333329E-3</v>
      </c>
      <c r="H212" s="983">
        <v>2.4666666666666669E-3</v>
      </c>
      <c r="I212" s="983">
        <v>-5.4699999999999999E-2</v>
      </c>
      <c r="J212" s="983">
        <v>-5.4895833333333331E-2</v>
      </c>
      <c r="K212" s="983">
        <v>-5.5066666666666667E-2</v>
      </c>
      <c r="L212" s="983">
        <v>1.3333333333333331E-3</v>
      </c>
    </row>
    <row r="213" spans="1:12">
      <c r="A213" s="983">
        <v>15919</v>
      </c>
      <c r="B213" s="983">
        <v>1.7100000000000001E-2</v>
      </c>
      <c r="C213" s="983">
        <v>1.0500000000000001E-2</v>
      </c>
      <c r="D213" s="983">
        <v>2.0999999999999999E-3</v>
      </c>
      <c r="E213" s="983">
        <v>2.2416666666666665E-3</v>
      </c>
      <c r="F213" s="983">
        <v>2.3416666666666668E-3</v>
      </c>
      <c r="G213" s="983">
        <v>2.2916666666666667E-3</v>
      </c>
      <c r="H213" s="983">
        <v>2.4666666666666669E-3</v>
      </c>
      <c r="I213" s="983">
        <v>1.5000000000000001E-2</v>
      </c>
      <c r="J213" s="983">
        <v>1.4808333333333333E-2</v>
      </c>
      <c r="K213" s="983">
        <v>1.4633333333333333E-2</v>
      </c>
      <c r="L213" s="983">
        <v>8.0333333333333333E-3</v>
      </c>
    </row>
    <row r="214" spans="1:12">
      <c r="A214" s="983">
        <v>15950</v>
      </c>
      <c r="B214" s="983">
        <v>2.63E-2</v>
      </c>
      <c r="C214" s="983">
        <v>3.2300000000000002E-2</v>
      </c>
      <c r="D214" s="983">
        <v>2E-3</v>
      </c>
      <c r="E214" s="983">
        <v>2.2416666666666665E-3</v>
      </c>
      <c r="F214" s="983">
        <v>2.3499999999999997E-3</v>
      </c>
      <c r="G214" s="983">
        <v>2.2958333333333329E-3</v>
      </c>
      <c r="H214" s="983">
        <v>2.4666666666666669E-3</v>
      </c>
      <c r="I214" s="983">
        <v>2.4300000000000002E-2</v>
      </c>
      <c r="J214" s="983">
        <v>2.4004166666666667E-2</v>
      </c>
      <c r="K214" s="983">
        <v>2.3833333333333335E-2</v>
      </c>
      <c r="L214" s="983">
        <v>2.9833333333333337E-2</v>
      </c>
    </row>
    <row r="215" spans="1:12">
      <c r="A215" s="983">
        <v>15980</v>
      </c>
      <c r="B215" s="983">
        <v>-1.0800000000000001E-2</v>
      </c>
      <c r="C215" s="983">
        <v>8.199999999999999E-3</v>
      </c>
      <c r="D215" s="983">
        <v>2E-3</v>
      </c>
      <c r="E215" s="983">
        <v>2.2500000000000003E-3</v>
      </c>
      <c r="F215" s="983">
        <v>2.3583333333333334E-3</v>
      </c>
      <c r="G215" s="983">
        <v>2.3041666666666666E-3</v>
      </c>
      <c r="H215" s="983">
        <v>2.4750000000000002E-3</v>
      </c>
      <c r="I215" s="983">
        <v>-1.2800000000000001E-2</v>
      </c>
      <c r="J215" s="983">
        <v>-1.3104166666666667E-2</v>
      </c>
      <c r="K215" s="983">
        <v>-1.3275E-2</v>
      </c>
      <c r="L215" s="983">
        <v>5.7249999999999992E-3</v>
      </c>
    </row>
    <row r="216" spans="1:12">
      <c r="A216" s="983">
        <v>16011</v>
      </c>
      <c r="B216" s="983">
        <v>-6.54E-2</v>
      </c>
      <c r="C216" s="983">
        <v>-7.7499999999999999E-2</v>
      </c>
      <c r="D216" s="983">
        <v>2.0999999999999999E-3</v>
      </c>
      <c r="E216" s="983">
        <v>2.2583333333333331E-3</v>
      </c>
      <c r="F216" s="983">
        <v>2.3666666666666667E-3</v>
      </c>
      <c r="G216" s="983">
        <v>2.3125000000000003E-3</v>
      </c>
      <c r="H216" s="983">
        <v>2.4833333333333331E-3</v>
      </c>
      <c r="I216" s="983">
        <v>-6.7500000000000004E-2</v>
      </c>
      <c r="J216" s="983">
        <v>-6.7712499999999995E-2</v>
      </c>
      <c r="K216" s="983">
        <v>-6.7883333333333337E-2</v>
      </c>
      <c r="L216" s="983">
        <v>-7.9983333333333337E-2</v>
      </c>
    </row>
    <row r="217" spans="1:12">
      <c r="A217" s="983">
        <v>16041</v>
      </c>
      <c r="B217" s="983">
        <v>6.1699999999999998E-2</v>
      </c>
      <c r="C217" s="983">
        <v>5.779999999999999E-2</v>
      </c>
      <c r="D217" s="983">
        <v>2.0999999999999999E-3</v>
      </c>
      <c r="E217" s="983">
        <v>2.2833333333333334E-3</v>
      </c>
      <c r="F217" s="983">
        <v>2.3916666666666665E-3</v>
      </c>
      <c r="G217" s="983">
        <v>2.3375000000000002E-3</v>
      </c>
      <c r="H217" s="983">
        <v>2.4916666666666668E-3</v>
      </c>
      <c r="I217" s="983">
        <v>5.96E-2</v>
      </c>
      <c r="J217" s="983">
        <v>5.9362499999999999E-2</v>
      </c>
      <c r="K217" s="983">
        <v>5.9208333333333328E-2</v>
      </c>
      <c r="L217" s="983">
        <v>5.530833333333332E-2</v>
      </c>
    </row>
    <row r="218" spans="1:12">
      <c r="A218" s="983">
        <v>16072</v>
      </c>
      <c r="B218" s="983">
        <v>1.7100000000000001E-2</v>
      </c>
      <c r="C218" s="983">
        <v>1.0599999999999998E-2</v>
      </c>
      <c r="D218" s="983">
        <v>2.0999999999999999E-3</v>
      </c>
      <c r="E218" s="983">
        <v>2.2666666666666668E-3</v>
      </c>
      <c r="F218" s="983">
        <v>2.3583333333333334E-3</v>
      </c>
      <c r="G218" s="983">
        <v>2.3125000000000003E-3</v>
      </c>
      <c r="H218" s="983">
        <v>2.4916666666666668E-3</v>
      </c>
      <c r="I218" s="983">
        <v>1.5000000000000001E-2</v>
      </c>
      <c r="J218" s="983">
        <v>1.47875E-2</v>
      </c>
      <c r="K218" s="983">
        <v>1.4608333333333334E-2</v>
      </c>
      <c r="L218" s="983">
        <v>8.108333333333332E-3</v>
      </c>
    </row>
    <row r="219" spans="1:12">
      <c r="A219" s="983">
        <v>16103</v>
      </c>
      <c r="B219" s="983">
        <v>4.1999999999999997E-3</v>
      </c>
      <c r="C219" s="983">
        <v>1.7899999999999999E-2</v>
      </c>
      <c r="D219" s="983">
        <v>2E-3</v>
      </c>
      <c r="E219" s="983">
        <v>2.2833333333333334E-3</v>
      </c>
      <c r="F219" s="983">
        <v>2.3583333333333334E-3</v>
      </c>
      <c r="G219" s="983">
        <v>2.3208333333333336E-3</v>
      </c>
      <c r="H219" s="983">
        <v>2.4916666666666668E-3</v>
      </c>
      <c r="I219" s="983">
        <v>2.1999999999999997E-3</v>
      </c>
      <c r="J219" s="983">
        <v>1.8791666666666661E-3</v>
      </c>
      <c r="K219" s="983">
        <v>1.708333333333333E-3</v>
      </c>
      <c r="L219" s="983">
        <v>1.5408333333333333E-2</v>
      </c>
    </row>
    <row r="220" spans="1:12">
      <c r="A220" s="983">
        <v>16132</v>
      </c>
      <c r="B220" s="983">
        <v>1.95E-2</v>
      </c>
      <c r="C220" s="983">
        <v>1.04E-2</v>
      </c>
      <c r="D220" s="983">
        <v>2.0999999999999999E-3</v>
      </c>
      <c r="E220" s="983">
        <v>2.2833333333333334E-3</v>
      </c>
      <c r="F220" s="983">
        <v>2.3499999999999997E-3</v>
      </c>
      <c r="G220" s="983">
        <v>2.316666666666667E-3</v>
      </c>
      <c r="H220" s="983">
        <v>2.4750000000000002E-3</v>
      </c>
      <c r="I220" s="983">
        <v>1.7399999999999999E-2</v>
      </c>
      <c r="J220" s="983">
        <v>1.7183333333333332E-2</v>
      </c>
      <c r="K220" s="983">
        <v>1.7024999999999998E-2</v>
      </c>
      <c r="L220" s="983">
        <v>7.9249999999999998E-3</v>
      </c>
    </row>
    <row r="221" spans="1:12">
      <c r="A221" s="983">
        <v>16163</v>
      </c>
      <c r="B221" s="983">
        <v>-0.01</v>
      </c>
      <c r="C221" s="983">
        <v>-9.1000000000000004E-3</v>
      </c>
      <c r="D221" s="983">
        <v>2E-3</v>
      </c>
      <c r="E221" s="983">
        <v>2.2833333333333334E-3</v>
      </c>
      <c r="F221" s="983">
        <v>2.3499999999999997E-3</v>
      </c>
      <c r="G221" s="983">
        <v>2.316666666666667E-3</v>
      </c>
      <c r="H221" s="983">
        <v>2.4916666666666668E-3</v>
      </c>
      <c r="I221" s="983">
        <v>-1.2E-2</v>
      </c>
      <c r="J221" s="983">
        <v>-1.2316666666666667E-2</v>
      </c>
      <c r="K221" s="983">
        <v>-1.2491666666666667E-2</v>
      </c>
      <c r="L221" s="983">
        <v>-1.1591666666666667E-2</v>
      </c>
    </row>
    <row r="222" spans="1:12">
      <c r="A222" s="983">
        <v>16193</v>
      </c>
      <c r="B222" s="983">
        <v>5.0500000000000003E-2</v>
      </c>
      <c r="C222" s="983">
        <v>3.0099999999999998E-2</v>
      </c>
      <c r="D222" s="983">
        <v>2.2000000000000001E-3</v>
      </c>
      <c r="E222" s="983">
        <v>2.2750000000000001E-3</v>
      </c>
      <c r="F222" s="983">
        <v>2.3416666666666668E-3</v>
      </c>
      <c r="G222" s="983">
        <v>2.3083333333333332E-3</v>
      </c>
      <c r="H222" s="983">
        <v>2.4916666666666668E-3</v>
      </c>
      <c r="I222" s="983">
        <v>4.8300000000000003E-2</v>
      </c>
      <c r="J222" s="983">
        <v>4.8191666666666667E-2</v>
      </c>
      <c r="K222" s="983">
        <v>4.8008333333333333E-2</v>
      </c>
      <c r="L222" s="983">
        <v>2.7608333333333332E-2</v>
      </c>
    </row>
    <row r="223" spans="1:12">
      <c r="A223" s="983">
        <v>16224</v>
      </c>
      <c r="B223" s="983">
        <v>5.4300000000000001E-2</v>
      </c>
      <c r="C223" s="983">
        <v>5.2600000000000001E-2</v>
      </c>
      <c r="D223" s="983">
        <v>2E-3</v>
      </c>
      <c r="E223" s="983">
        <v>2.2750000000000001E-3</v>
      </c>
      <c r="F223" s="983">
        <v>2.3416666666666668E-3</v>
      </c>
      <c r="G223" s="983">
        <v>2.3083333333333332E-3</v>
      </c>
      <c r="H223" s="983">
        <v>2.4916666666666668E-3</v>
      </c>
      <c r="I223" s="983">
        <v>5.2299999999999999E-2</v>
      </c>
      <c r="J223" s="983">
        <v>5.1991666666666665E-2</v>
      </c>
      <c r="K223" s="983">
        <v>5.1808333333333331E-2</v>
      </c>
      <c r="L223" s="983">
        <v>5.0108333333333331E-2</v>
      </c>
    </row>
    <row r="224" spans="1:12">
      <c r="A224" s="983">
        <v>16254</v>
      </c>
      <c r="B224" s="983">
        <v>-1.9300000000000001E-2</v>
      </c>
      <c r="C224" s="983">
        <v>2.9000000000000002E-3</v>
      </c>
      <c r="D224" s="983">
        <v>2.0999999999999999E-3</v>
      </c>
      <c r="E224" s="983">
        <v>2.2666666666666668E-3</v>
      </c>
      <c r="F224" s="983">
        <v>2.3333333333333331E-3</v>
      </c>
      <c r="G224" s="983">
        <v>2.3E-3</v>
      </c>
      <c r="H224" s="983">
        <v>2.4666666666666669E-3</v>
      </c>
      <c r="I224" s="983">
        <v>-2.1400000000000002E-2</v>
      </c>
      <c r="J224" s="983">
        <v>-2.1600000000000001E-2</v>
      </c>
      <c r="K224" s="983">
        <v>-2.1766666666666667E-2</v>
      </c>
      <c r="L224" s="983">
        <v>4.3333333333333331E-4</v>
      </c>
    </row>
    <row r="225" spans="1:12">
      <c r="A225" s="983">
        <v>16285</v>
      </c>
      <c r="B225" s="983">
        <v>1.5699999999999999E-2</v>
      </c>
      <c r="C225" s="983">
        <v>3.5700000000000003E-2</v>
      </c>
      <c r="D225" s="983">
        <v>2.0999999999999999E-3</v>
      </c>
      <c r="E225" s="983">
        <v>2.2583333333333331E-3</v>
      </c>
      <c r="F225" s="983">
        <v>2.3250000000000002E-3</v>
      </c>
      <c r="G225" s="983">
        <v>2.2916666666666667E-3</v>
      </c>
      <c r="H225" s="983">
        <v>2.4499999999999999E-3</v>
      </c>
      <c r="I225" s="983">
        <v>1.3599999999999999E-2</v>
      </c>
      <c r="J225" s="983">
        <v>1.3408333333333331E-2</v>
      </c>
      <c r="K225" s="983">
        <v>1.3249999999999998E-2</v>
      </c>
      <c r="L225" s="983">
        <v>3.3250000000000002E-2</v>
      </c>
    </row>
    <row r="226" spans="1:12">
      <c r="A226" s="983">
        <v>16316</v>
      </c>
      <c r="B226" s="983">
        <v>-8.0000000000000004E-4</v>
      </c>
      <c r="C226" s="983">
        <v>-1.5000000000000003E-2</v>
      </c>
      <c r="D226" s="983">
        <v>2E-3</v>
      </c>
      <c r="E226" s="983">
        <v>2.2666666666666668E-3</v>
      </c>
      <c r="F226" s="983">
        <v>2.3250000000000002E-3</v>
      </c>
      <c r="G226" s="983">
        <v>2.2958333333333338E-3</v>
      </c>
      <c r="H226" s="983">
        <v>2.4416666666666666E-3</v>
      </c>
      <c r="I226" s="983">
        <v>-2.8E-3</v>
      </c>
      <c r="J226" s="983">
        <v>-3.0958333333333337E-3</v>
      </c>
      <c r="K226" s="983">
        <v>-3.2416666666666666E-3</v>
      </c>
      <c r="L226" s="983">
        <v>-1.7441666666666668E-2</v>
      </c>
    </row>
    <row r="227" spans="1:12">
      <c r="A227" s="983">
        <v>16346</v>
      </c>
      <c r="B227" s="983">
        <v>2.3E-3</v>
      </c>
      <c r="C227" s="983">
        <v>1.3899999999999999E-2</v>
      </c>
      <c r="D227" s="983">
        <v>2.0999999999999999E-3</v>
      </c>
      <c r="E227" s="983">
        <v>2.2666666666666668E-3</v>
      </c>
      <c r="F227" s="983">
        <v>2.3416666666666668E-3</v>
      </c>
      <c r="G227" s="983">
        <v>2.3041666666666666E-3</v>
      </c>
      <c r="H227" s="983">
        <v>2.4499999999999999E-3</v>
      </c>
      <c r="I227" s="983">
        <v>2.0000000000000009E-4</v>
      </c>
      <c r="J227" s="983">
        <v>-4.1666666666666415E-6</v>
      </c>
      <c r="K227" s="983">
        <v>-1.4999999999999996E-4</v>
      </c>
      <c r="L227" s="983">
        <v>1.1449999999999998E-2</v>
      </c>
    </row>
    <row r="228" spans="1:12">
      <c r="A228" s="983">
        <v>16377</v>
      </c>
      <c r="B228" s="983">
        <v>1.3299999999999999E-2</v>
      </c>
      <c r="C228" s="983">
        <v>-1.3000000000000001E-2</v>
      </c>
      <c r="D228" s="983">
        <v>2E-3</v>
      </c>
      <c r="E228" s="983">
        <v>2.2666666666666668E-3</v>
      </c>
      <c r="F228" s="983">
        <v>2.3333333333333331E-3</v>
      </c>
      <c r="G228" s="983">
        <v>2.3E-3</v>
      </c>
      <c r="H228" s="983">
        <v>2.4666666666666669E-3</v>
      </c>
      <c r="I228" s="983">
        <v>1.1299999999999999E-2</v>
      </c>
      <c r="J228" s="983">
        <v>1.0999999999999999E-2</v>
      </c>
      <c r="K228" s="983">
        <v>1.0833333333333332E-2</v>
      </c>
      <c r="L228" s="983">
        <v>-1.5466666666666668E-2</v>
      </c>
    </row>
    <row r="229" spans="1:12">
      <c r="A229" s="983">
        <v>16407</v>
      </c>
      <c r="B229" s="983">
        <v>3.7400000000000003E-2</v>
      </c>
      <c r="C229" s="983">
        <v>3.2399999999999998E-2</v>
      </c>
      <c r="D229" s="983">
        <v>2E-3</v>
      </c>
      <c r="E229" s="983">
        <v>2.2500000000000003E-3</v>
      </c>
      <c r="F229" s="983">
        <v>2.3E-3</v>
      </c>
      <c r="G229" s="983">
        <v>2.2749999999999997E-3</v>
      </c>
      <c r="H229" s="983">
        <v>2.4750000000000002E-3</v>
      </c>
      <c r="I229" s="983">
        <v>3.5400000000000001E-2</v>
      </c>
      <c r="J229" s="983">
        <v>3.5125000000000003E-2</v>
      </c>
      <c r="K229" s="983">
        <v>3.4925000000000005E-2</v>
      </c>
      <c r="L229" s="983">
        <v>2.9924999999999997E-2</v>
      </c>
    </row>
    <row r="230" spans="1:12">
      <c r="A230" s="983">
        <v>16438</v>
      </c>
      <c r="B230" s="983">
        <v>1.5800000000000002E-2</v>
      </c>
      <c r="C230" s="983">
        <v>4.9699999999999994E-2</v>
      </c>
      <c r="D230" s="983">
        <v>2.0999999999999999E-3</v>
      </c>
      <c r="E230" s="983">
        <v>2.2416666666666665E-3</v>
      </c>
      <c r="F230" s="983">
        <v>2.3E-3</v>
      </c>
      <c r="G230" s="983">
        <v>2.270833333333333E-3</v>
      </c>
      <c r="H230" s="983">
        <v>2.4916666666666668E-3</v>
      </c>
      <c r="I230" s="983">
        <v>1.3700000000000002E-2</v>
      </c>
      <c r="J230" s="983">
        <v>1.3529166666666669E-2</v>
      </c>
      <c r="K230" s="983">
        <v>1.3308333333333335E-2</v>
      </c>
      <c r="L230" s="983">
        <v>4.7208333333333324E-2</v>
      </c>
    </row>
    <row r="231" spans="1:12">
      <c r="A231" s="983">
        <v>16469</v>
      </c>
      <c r="B231" s="983">
        <v>6.83E-2</v>
      </c>
      <c r="C231" s="983">
        <v>6.9499999999999992E-2</v>
      </c>
      <c r="D231" s="983">
        <v>1.8E-3</v>
      </c>
      <c r="E231" s="983">
        <v>2.2083333333333334E-3</v>
      </c>
      <c r="F231" s="983">
        <v>2.2750000000000001E-3</v>
      </c>
      <c r="G231" s="983">
        <v>2.241666666666667E-3</v>
      </c>
      <c r="H231" s="983">
        <v>2.4833333333333331E-3</v>
      </c>
      <c r="I231" s="983">
        <v>6.6500000000000004E-2</v>
      </c>
      <c r="J231" s="983">
        <v>6.605833333333333E-2</v>
      </c>
      <c r="K231" s="983">
        <v>6.5816666666666662E-2</v>
      </c>
      <c r="L231" s="983">
        <v>6.7016666666666655E-2</v>
      </c>
    </row>
    <row r="232" spans="1:12">
      <c r="A232" s="983">
        <v>16497</v>
      </c>
      <c r="B232" s="983">
        <v>-4.41E-2</v>
      </c>
      <c r="C232" s="983">
        <v>-3.5699999999999996E-2</v>
      </c>
      <c r="D232" s="983">
        <v>2E-3</v>
      </c>
      <c r="E232" s="983">
        <v>2.1833333333333336E-3</v>
      </c>
      <c r="F232" s="983">
        <v>2.2666666666666668E-3</v>
      </c>
      <c r="G232" s="983">
        <v>2.2250000000000004E-3</v>
      </c>
      <c r="H232" s="983">
        <v>2.4750000000000002E-3</v>
      </c>
      <c r="I232" s="983">
        <v>-4.6100000000000002E-2</v>
      </c>
      <c r="J232" s="983">
        <v>-4.6324999999999998E-2</v>
      </c>
      <c r="K232" s="983">
        <v>-4.6574999999999998E-2</v>
      </c>
      <c r="L232" s="983">
        <v>-3.8174999999999994E-2</v>
      </c>
    </row>
    <row r="233" spans="1:12">
      <c r="A233" s="983">
        <v>16528</v>
      </c>
      <c r="B233" s="983">
        <v>9.0200000000000002E-2</v>
      </c>
      <c r="C233" s="983">
        <v>0.1066</v>
      </c>
      <c r="D233" s="983">
        <v>1.9E-3</v>
      </c>
      <c r="E233" s="983">
        <v>2.1749999999999999E-3</v>
      </c>
      <c r="F233" s="983">
        <v>2.2750000000000001E-3</v>
      </c>
      <c r="G233" s="983">
        <v>2.225E-3</v>
      </c>
      <c r="H233" s="983">
        <v>2.4583333333333336E-3</v>
      </c>
      <c r="I233" s="983">
        <v>8.8300000000000003E-2</v>
      </c>
      <c r="J233" s="983">
        <v>8.7974999999999998E-2</v>
      </c>
      <c r="K233" s="983">
        <v>8.7741666666666662E-2</v>
      </c>
      <c r="L233" s="983">
        <v>0.10414166666666666</v>
      </c>
    </row>
    <row r="234" spans="1:12">
      <c r="A234" s="983">
        <v>16558</v>
      </c>
      <c r="B234" s="983">
        <v>1.95E-2</v>
      </c>
      <c r="C234" s="983">
        <v>1.7100000000000001E-2</v>
      </c>
      <c r="D234" s="983">
        <v>1.9E-3</v>
      </c>
      <c r="E234" s="983">
        <v>2.1833333333333336E-3</v>
      </c>
      <c r="F234" s="983">
        <v>2.2666666666666668E-3</v>
      </c>
      <c r="G234" s="983">
        <v>2.2250000000000004E-3</v>
      </c>
      <c r="H234" s="983">
        <v>2.4333333333333334E-3</v>
      </c>
      <c r="I234" s="983">
        <v>1.7600000000000001E-2</v>
      </c>
      <c r="J234" s="983">
        <v>1.7274999999999999E-2</v>
      </c>
      <c r="K234" s="983">
        <v>1.7066666666666667E-2</v>
      </c>
      <c r="L234" s="983">
        <v>1.4666666666666668E-2</v>
      </c>
    </row>
    <row r="235" spans="1:12">
      <c r="A235" s="983">
        <v>16589</v>
      </c>
      <c r="B235" s="983">
        <v>-6.9999999999999999E-4</v>
      </c>
      <c r="C235" s="983">
        <v>6.6199999999999995E-2</v>
      </c>
      <c r="D235" s="983">
        <v>1.9E-3</v>
      </c>
      <c r="E235" s="983">
        <v>2.1749999999999999E-3</v>
      </c>
      <c r="F235" s="983">
        <v>2.2416666666666665E-3</v>
      </c>
      <c r="G235" s="983">
        <v>2.2083333333333334E-3</v>
      </c>
      <c r="H235" s="983">
        <v>2.3916666666666665E-3</v>
      </c>
      <c r="I235" s="983">
        <v>-2.5999999999999999E-3</v>
      </c>
      <c r="J235" s="983">
        <v>-2.9083333333333335E-3</v>
      </c>
      <c r="K235" s="983">
        <v>-3.0916666666666666E-3</v>
      </c>
      <c r="L235" s="983">
        <v>6.3808333333333328E-2</v>
      </c>
    </row>
    <row r="236" spans="1:12">
      <c r="A236" s="983">
        <v>16619</v>
      </c>
      <c r="B236" s="983">
        <v>-1.7999999999999999E-2</v>
      </c>
      <c r="C236" s="983">
        <v>-5.0999999999999986E-3</v>
      </c>
      <c r="D236" s="983">
        <v>1.8E-3</v>
      </c>
      <c r="E236" s="983">
        <v>2.1666666666666666E-3</v>
      </c>
      <c r="F236" s="983">
        <v>2.2333333333333337E-3</v>
      </c>
      <c r="G236" s="983">
        <v>2.2000000000000001E-3</v>
      </c>
      <c r="H236" s="983">
        <v>2.3583333333333334E-3</v>
      </c>
      <c r="I236" s="983">
        <v>-1.9799999999999998E-2</v>
      </c>
      <c r="J236" s="983">
        <v>-2.0199999999999999E-2</v>
      </c>
      <c r="K236" s="983">
        <v>-2.0358333333333332E-2</v>
      </c>
      <c r="L236" s="983">
        <v>-7.4583333333333324E-3</v>
      </c>
    </row>
    <row r="237" spans="1:12">
      <c r="A237" s="983">
        <v>16650</v>
      </c>
      <c r="B237" s="983">
        <v>6.4100000000000004E-2</v>
      </c>
      <c r="C237" s="983">
        <v>3.0999999999999999E-3</v>
      </c>
      <c r="D237" s="983">
        <v>1.9E-3</v>
      </c>
      <c r="E237" s="983">
        <v>2.1749999999999999E-3</v>
      </c>
      <c r="F237" s="983">
        <v>2.2500000000000003E-3</v>
      </c>
      <c r="G237" s="983">
        <v>2.2125000000000001E-3</v>
      </c>
      <c r="H237" s="983">
        <v>2.3333333333333335E-3</v>
      </c>
      <c r="I237" s="983">
        <v>6.2200000000000005E-2</v>
      </c>
      <c r="J237" s="983">
        <v>6.1887500000000005E-2</v>
      </c>
      <c r="K237" s="983">
        <v>6.1766666666666671E-2</v>
      </c>
      <c r="L237" s="983">
        <v>7.6666666666666636E-4</v>
      </c>
    </row>
    <row r="238" spans="1:12">
      <c r="A238" s="983">
        <v>16681</v>
      </c>
      <c r="B238" s="983">
        <v>4.3799999999999999E-2</v>
      </c>
      <c r="C238" s="983">
        <v>7.3900000000000007E-2</v>
      </c>
      <c r="D238" s="983">
        <v>1.8E-3</v>
      </c>
      <c r="E238" s="983">
        <v>2.1833333333333336E-3</v>
      </c>
      <c r="F238" s="983">
        <v>2.2500000000000003E-3</v>
      </c>
      <c r="G238" s="983">
        <v>2.2166666666666667E-3</v>
      </c>
      <c r="H238" s="983">
        <v>2.3250000000000002E-3</v>
      </c>
      <c r="I238" s="983">
        <v>4.1999999999999996E-2</v>
      </c>
      <c r="J238" s="983">
        <v>4.1583333333333333E-2</v>
      </c>
      <c r="K238" s="983">
        <v>4.1474999999999998E-2</v>
      </c>
      <c r="L238" s="983">
        <v>7.1575000000000014E-2</v>
      </c>
    </row>
    <row r="239" spans="1:12">
      <c r="A239" s="983">
        <v>16711</v>
      </c>
      <c r="B239" s="983">
        <v>3.2199999999999999E-2</v>
      </c>
      <c r="C239" s="983">
        <v>6.4100000000000004E-2</v>
      </c>
      <c r="D239" s="983">
        <v>1.9E-3</v>
      </c>
      <c r="E239" s="983">
        <v>2.1833333333333336E-3</v>
      </c>
      <c r="F239" s="983">
        <v>2.2500000000000003E-3</v>
      </c>
      <c r="G239" s="983">
        <v>2.2166666666666667E-3</v>
      </c>
      <c r="H239" s="983">
        <v>2.3250000000000002E-3</v>
      </c>
      <c r="I239" s="983">
        <v>3.0300000000000001E-2</v>
      </c>
      <c r="J239" s="983">
        <v>2.9983333333333334E-2</v>
      </c>
      <c r="K239" s="983">
        <v>2.9874999999999999E-2</v>
      </c>
      <c r="L239" s="983">
        <v>6.1775000000000004E-2</v>
      </c>
    </row>
    <row r="240" spans="1:12">
      <c r="A240" s="983">
        <v>16742</v>
      </c>
      <c r="B240" s="983">
        <v>3.9600000000000003E-2</v>
      </c>
      <c r="C240" s="983">
        <v>4.7100000000000003E-2</v>
      </c>
      <c r="D240" s="983">
        <v>1.8E-3</v>
      </c>
      <c r="E240" s="983">
        <v>2.1833333333333336E-3</v>
      </c>
      <c r="F240" s="983">
        <v>2.2333333333333337E-3</v>
      </c>
      <c r="G240" s="983">
        <v>2.2083333333333334E-3</v>
      </c>
      <c r="H240" s="983">
        <v>2.3083333333333332E-3</v>
      </c>
      <c r="I240" s="983">
        <v>3.78E-2</v>
      </c>
      <c r="J240" s="983">
        <v>3.739166666666667E-2</v>
      </c>
      <c r="K240" s="983">
        <v>3.7291666666666667E-2</v>
      </c>
      <c r="L240" s="983">
        <v>4.4791666666666667E-2</v>
      </c>
    </row>
    <row r="241" spans="1:12">
      <c r="A241" s="983">
        <v>16772</v>
      </c>
      <c r="B241" s="983">
        <v>1.1599999999999999E-2</v>
      </c>
      <c r="C241" s="983">
        <v>-1.1699999999999999E-2</v>
      </c>
      <c r="D241" s="983">
        <v>1.8E-3</v>
      </c>
      <c r="E241" s="983">
        <v>2.1749999999999999E-3</v>
      </c>
      <c r="F241" s="983">
        <v>2.2333333333333337E-3</v>
      </c>
      <c r="G241" s="983">
        <v>2.2041666666666668E-3</v>
      </c>
      <c r="H241" s="983">
        <v>2.2916666666666667E-3</v>
      </c>
      <c r="I241" s="983">
        <v>9.7999999999999997E-3</v>
      </c>
      <c r="J241" s="983">
        <v>9.3958333333333324E-3</v>
      </c>
      <c r="K241" s="983">
        <v>9.3083333333333317E-3</v>
      </c>
      <c r="L241" s="983">
        <v>-1.3991666666666666E-2</v>
      </c>
    </row>
    <row r="242" spans="1:12">
      <c r="A242" s="983">
        <v>16803</v>
      </c>
      <c r="B242" s="983">
        <v>7.1400000000000005E-2</v>
      </c>
      <c r="C242" s="983">
        <v>0.11989999999999998</v>
      </c>
      <c r="D242" s="983">
        <v>1.6999999999999999E-3</v>
      </c>
      <c r="E242" s="983">
        <v>2.1166666666666669E-3</v>
      </c>
      <c r="F242" s="983">
        <v>2.1833333333333336E-3</v>
      </c>
      <c r="G242" s="983">
        <v>2.1500000000000004E-3</v>
      </c>
      <c r="H242" s="983">
        <v>2.2416666666666665E-3</v>
      </c>
      <c r="I242" s="983">
        <v>6.9700000000000012E-2</v>
      </c>
      <c r="J242" s="983">
        <v>6.9250000000000006E-2</v>
      </c>
      <c r="K242" s="983">
        <v>6.9158333333333336E-2</v>
      </c>
      <c r="L242" s="983">
        <v>0.11765833333333331</v>
      </c>
    </row>
    <row r="243" spans="1:12">
      <c r="A243" s="983">
        <v>16834</v>
      </c>
      <c r="B243" s="983">
        <v>-6.4100000000000004E-2</v>
      </c>
      <c r="C243" s="983">
        <v>-6.4000000000000001E-2</v>
      </c>
      <c r="D243" s="983">
        <v>1.5E-3</v>
      </c>
      <c r="E243" s="983">
        <v>2.0666666666666667E-3</v>
      </c>
      <c r="F243" s="983">
        <v>2.1333333333333334E-3</v>
      </c>
      <c r="G243" s="983">
        <v>2.1000000000000003E-3</v>
      </c>
      <c r="H243" s="983">
        <v>2.225E-3</v>
      </c>
      <c r="I243" s="983">
        <v>-6.5600000000000006E-2</v>
      </c>
      <c r="J243" s="983">
        <v>-6.6200000000000009E-2</v>
      </c>
      <c r="K243" s="983">
        <v>-6.6325000000000009E-2</v>
      </c>
      <c r="L243" s="983">
        <v>-6.6225000000000006E-2</v>
      </c>
    </row>
    <row r="244" spans="1:12">
      <c r="A244" s="983">
        <v>16862</v>
      </c>
      <c r="B244" s="983">
        <v>4.8000000000000001E-2</v>
      </c>
      <c r="C244" s="983">
        <v>6.3100000000000003E-2</v>
      </c>
      <c r="D244" s="983">
        <v>1.6000000000000001E-3</v>
      </c>
      <c r="E244" s="983">
        <v>2.0583333333333335E-3</v>
      </c>
      <c r="F244" s="983">
        <v>2.1166666666666669E-3</v>
      </c>
      <c r="G244" s="983">
        <v>2.0874999999999999E-3</v>
      </c>
      <c r="H244" s="983">
        <v>2.2166666666666667E-3</v>
      </c>
      <c r="I244" s="983">
        <v>4.6400000000000004E-2</v>
      </c>
      <c r="J244" s="983">
        <v>4.5912500000000002E-2</v>
      </c>
      <c r="K244" s="983">
        <v>4.5783333333333336E-2</v>
      </c>
      <c r="L244" s="983">
        <v>6.0883333333333338E-2</v>
      </c>
    </row>
    <row r="245" spans="1:12">
      <c r="A245" s="983">
        <v>16893</v>
      </c>
      <c r="B245" s="983">
        <v>3.9300000000000002E-2</v>
      </c>
      <c r="C245" s="983">
        <v>3.3800000000000004E-2</v>
      </c>
      <c r="D245" s="983">
        <v>1.6999999999999999E-3</v>
      </c>
      <c r="E245" s="983">
        <v>2.0499999999999997E-3</v>
      </c>
      <c r="F245" s="983">
        <v>2.1333333333333334E-3</v>
      </c>
      <c r="G245" s="983">
        <v>2.0916666666666666E-3</v>
      </c>
      <c r="H245" s="983">
        <v>2.2083333333333334E-3</v>
      </c>
      <c r="I245" s="983">
        <v>3.7600000000000001E-2</v>
      </c>
      <c r="J245" s="983">
        <v>3.7208333333333336E-2</v>
      </c>
      <c r="K245" s="983">
        <v>3.7091666666666669E-2</v>
      </c>
      <c r="L245" s="983">
        <v>3.1591666666666671E-2</v>
      </c>
    </row>
    <row r="246" spans="1:12">
      <c r="A246" s="983">
        <v>16923</v>
      </c>
      <c r="B246" s="983">
        <v>2.8799999999999999E-2</v>
      </c>
      <c r="C246" s="983">
        <v>3.0099999999999998E-2</v>
      </c>
      <c r="D246" s="983">
        <v>1.8E-3</v>
      </c>
      <c r="E246" s="983">
        <v>2.0916666666666666E-3</v>
      </c>
      <c r="F246" s="983">
        <v>2.15E-3</v>
      </c>
      <c r="G246" s="983">
        <v>2.1208333333333331E-3</v>
      </c>
      <c r="H246" s="983">
        <v>2.2416666666666665E-3</v>
      </c>
      <c r="I246" s="983">
        <v>2.7E-2</v>
      </c>
      <c r="J246" s="983">
        <v>2.6679166666666667E-2</v>
      </c>
      <c r="K246" s="983">
        <v>2.6558333333333333E-2</v>
      </c>
      <c r="L246" s="983">
        <v>2.7858333333333332E-2</v>
      </c>
    </row>
    <row r="247" spans="1:12">
      <c r="A247" s="983">
        <v>16954</v>
      </c>
      <c r="B247" s="983">
        <v>-3.6999999999999998E-2</v>
      </c>
      <c r="C247" s="983">
        <v>-2.76E-2</v>
      </c>
      <c r="D247" s="983">
        <v>1.6000000000000001E-3</v>
      </c>
      <c r="E247" s="983">
        <v>2.075E-3</v>
      </c>
      <c r="F247" s="983">
        <v>2.1583333333333333E-3</v>
      </c>
      <c r="G247" s="983">
        <v>2.1166666666666669E-3</v>
      </c>
      <c r="H247" s="983">
        <v>2.2500000000000003E-3</v>
      </c>
      <c r="I247" s="983">
        <v>-3.8599999999999995E-2</v>
      </c>
      <c r="J247" s="983">
        <v>-3.9116666666666668E-2</v>
      </c>
      <c r="K247" s="983">
        <v>-3.925E-2</v>
      </c>
      <c r="L247" s="983">
        <v>-2.9850000000000002E-2</v>
      </c>
    </row>
    <row r="248" spans="1:12">
      <c r="A248" s="983">
        <v>16984</v>
      </c>
      <c r="B248" s="983">
        <v>-2.3900000000000001E-2</v>
      </c>
      <c r="C248" s="983">
        <v>-3.95E-2</v>
      </c>
      <c r="D248" s="983">
        <v>1.9E-3</v>
      </c>
      <c r="E248" s="983">
        <v>2.0666666666666667E-3</v>
      </c>
      <c r="F248" s="983">
        <v>2.1583333333333333E-3</v>
      </c>
      <c r="G248" s="983">
        <v>2.1124999999999998E-3</v>
      </c>
      <c r="H248" s="983">
        <v>2.2416666666666665E-3</v>
      </c>
      <c r="I248" s="983">
        <v>-2.58E-2</v>
      </c>
      <c r="J248" s="983">
        <v>-2.6012500000000001E-2</v>
      </c>
      <c r="K248" s="983">
        <v>-2.6141666666666667E-2</v>
      </c>
      <c r="L248" s="983">
        <v>-4.174166666666667E-2</v>
      </c>
    </row>
    <row r="249" spans="1:12">
      <c r="A249" s="983">
        <v>17015</v>
      </c>
      <c r="B249" s="983">
        <v>-6.7400000000000002E-2</v>
      </c>
      <c r="C249" s="983">
        <v>-7.2399999999999992E-2</v>
      </c>
      <c r="D249" s="983">
        <v>1.6999999999999999E-3</v>
      </c>
      <c r="E249" s="983">
        <v>2.0916666666666666E-3</v>
      </c>
      <c r="F249" s="983">
        <v>2.1833333333333336E-3</v>
      </c>
      <c r="G249" s="983">
        <v>2.1375000000000001E-3</v>
      </c>
      <c r="H249" s="983">
        <v>2.2583333333333331E-3</v>
      </c>
      <c r="I249" s="983">
        <v>-6.9099999999999995E-2</v>
      </c>
      <c r="J249" s="983">
        <v>-6.9537500000000002E-2</v>
      </c>
      <c r="K249" s="983">
        <v>-6.9658333333333336E-2</v>
      </c>
      <c r="L249" s="983">
        <v>-7.4658333333333327E-2</v>
      </c>
    </row>
    <row r="250" spans="1:12">
      <c r="A250" s="983">
        <v>17046</v>
      </c>
      <c r="B250" s="983">
        <v>-9.9699999999999997E-2</v>
      </c>
      <c r="C250" s="983">
        <v>-0.1051</v>
      </c>
      <c r="D250" s="983">
        <v>1.8E-3</v>
      </c>
      <c r="E250" s="983">
        <v>2.15E-3</v>
      </c>
      <c r="F250" s="983">
        <v>2.2333333333333337E-3</v>
      </c>
      <c r="G250" s="983">
        <v>2.1916666666666668E-3</v>
      </c>
      <c r="H250" s="983">
        <v>2.2916666666666667E-3</v>
      </c>
      <c r="I250" s="983">
        <v>-0.10149999999999999</v>
      </c>
      <c r="J250" s="983">
        <v>-0.10189166666666666</v>
      </c>
      <c r="K250" s="983">
        <v>-0.10199166666666666</v>
      </c>
      <c r="L250" s="983">
        <v>-0.10739166666666666</v>
      </c>
    </row>
    <row r="251" spans="1:12">
      <c r="A251" s="983">
        <v>17076</v>
      </c>
      <c r="B251" s="983">
        <v>-6.0000000000000001E-3</v>
      </c>
      <c r="C251" s="983">
        <v>2.1999999999999999E-2</v>
      </c>
      <c r="D251" s="983">
        <v>1.9E-3</v>
      </c>
      <c r="E251" s="983">
        <v>2.1666666666666666E-3</v>
      </c>
      <c r="F251" s="983">
        <v>2.2500000000000003E-3</v>
      </c>
      <c r="G251" s="983">
        <v>2.2083333333333334E-3</v>
      </c>
      <c r="H251" s="983">
        <v>2.3E-3</v>
      </c>
      <c r="I251" s="983">
        <v>-7.9000000000000008E-3</v>
      </c>
      <c r="J251" s="983">
        <v>-8.2083333333333331E-3</v>
      </c>
      <c r="K251" s="983">
        <v>-8.3000000000000001E-3</v>
      </c>
      <c r="L251" s="983">
        <v>1.9699999999999999E-2</v>
      </c>
    </row>
    <row r="252" spans="1:12">
      <c r="A252" s="983">
        <v>17107</v>
      </c>
      <c r="B252" s="983">
        <v>-2.7000000000000001E-3</v>
      </c>
      <c r="C252" s="983">
        <v>5.7999999999999996E-3</v>
      </c>
      <c r="D252" s="983">
        <v>1.8E-3</v>
      </c>
      <c r="E252" s="983">
        <v>2.1583333333333333E-3</v>
      </c>
      <c r="F252" s="983">
        <v>2.2416666666666665E-3</v>
      </c>
      <c r="G252" s="983">
        <v>2.1999999999999997E-3</v>
      </c>
      <c r="H252" s="983">
        <v>2.3E-3</v>
      </c>
      <c r="I252" s="983">
        <v>-4.5000000000000005E-3</v>
      </c>
      <c r="J252" s="983">
        <v>-4.8999999999999998E-3</v>
      </c>
      <c r="K252" s="983">
        <v>-5.0000000000000001E-3</v>
      </c>
      <c r="L252" s="983">
        <v>3.4999999999999996E-3</v>
      </c>
    </row>
    <row r="253" spans="1:12">
      <c r="A253" s="983">
        <v>17137</v>
      </c>
      <c r="B253" s="983">
        <v>4.5699999999999998E-2</v>
      </c>
      <c r="C253" s="983">
        <v>7.0599999999999996E-2</v>
      </c>
      <c r="D253" s="983">
        <v>1.9E-3</v>
      </c>
      <c r="E253" s="983">
        <v>2.1749999999999999E-3</v>
      </c>
      <c r="F253" s="983">
        <v>2.2416666666666665E-3</v>
      </c>
      <c r="G253" s="983">
        <v>2.2083333333333334E-3</v>
      </c>
      <c r="H253" s="983">
        <v>2.3E-3</v>
      </c>
      <c r="I253" s="983">
        <v>4.3799999999999999E-2</v>
      </c>
      <c r="J253" s="983">
        <v>4.3491666666666665E-2</v>
      </c>
      <c r="K253" s="983">
        <v>4.3399999999999994E-2</v>
      </c>
      <c r="L253" s="983">
        <v>6.83E-2</v>
      </c>
    </row>
    <row r="254" spans="1:12">
      <c r="A254" s="983">
        <v>17168</v>
      </c>
      <c r="B254" s="983">
        <v>2.5499999999999998E-2</v>
      </c>
      <c r="C254" s="983">
        <v>-2.0000000000000012E-4</v>
      </c>
      <c r="D254" s="983">
        <v>1.8E-3</v>
      </c>
      <c r="E254" s="983">
        <v>2.1416666666666663E-3</v>
      </c>
      <c r="F254" s="983">
        <v>2.2083333333333334E-3</v>
      </c>
      <c r="G254" s="983">
        <v>2.1749999999999999E-3</v>
      </c>
      <c r="H254" s="983">
        <v>2.2666666666666668E-3</v>
      </c>
      <c r="I254" s="983">
        <v>2.3699999999999999E-2</v>
      </c>
      <c r="J254" s="983">
        <v>2.3324999999999999E-2</v>
      </c>
      <c r="K254" s="983">
        <v>2.3233333333333332E-2</v>
      </c>
      <c r="L254" s="983">
        <v>-2.4666666666666669E-3</v>
      </c>
    </row>
    <row r="255" spans="1:12">
      <c r="A255" s="983">
        <v>17199</v>
      </c>
      <c r="B255" s="983">
        <v>-7.7000000000000002E-3</v>
      </c>
      <c r="C255" s="983">
        <v>-8.8999999999999999E-3</v>
      </c>
      <c r="D255" s="983">
        <v>1.6000000000000001E-3</v>
      </c>
      <c r="E255" s="983">
        <v>2.1250000000000002E-3</v>
      </c>
      <c r="F255" s="983">
        <v>2.2000000000000001E-3</v>
      </c>
      <c r="G255" s="983">
        <v>2.1624999999999999E-3</v>
      </c>
      <c r="H255" s="983">
        <v>2.2666666666666668E-3</v>
      </c>
      <c r="I255" s="983">
        <v>-9.300000000000001E-3</v>
      </c>
      <c r="J255" s="983">
        <v>-9.8624999999999997E-3</v>
      </c>
      <c r="K255" s="983">
        <v>-9.9666666666666671E-3</v>
      </c>
      <c r="L255" s="983">
        <v>-1.1166666666666667E-2</v>
      </c>
    </row>
    <row r="256" spans="1:12">
      <c r="A256" s="983">
        <v>17227</v>
      </c>
      <c r="B256" s="983">
        <v>-1.49E-2</v>
      </c>
      <c r="C256" s="983">
        <v>-3.6399999999999995E-2</v>
      </c>
      <c r="D256" s="983">
        <v>1.8E-3</v>
      </c>
      <c r="E256" s="983">
        <v>2.1250000000000002E-3</v>
      </c>
      <c r="F256" s="983">
        <v>2.2000000000000001E-3</v>
      </c>
      <c r="G256" s="983">
        <v>2.1624999999999999E-3</v>
      </c>
      <c r="H256" s="983">
        <v>2.2666666666666668E-3</v>
      </c>
      <c r="I256" s="983">
        <v>-1.67E-2</v>
      </c>
      <c r="J256" s="983">
        <v>-1.7062500000000001E-2</v>
      </c>
      <c r="K256" s="983">
        <v>-1.7166666666666667E-2</v>
      </c>
      <c r="L256" s="983">
        <v>-3.8666666666666662E-2</v>
      </c>
    </row>
    <row r="257" spans="1:12">
      <c r="A257" s="983">
        <v>17258</v>
      </c>
      <c r="B257" s="983">
        <v>-3.6299999999999999E-2</v>
      </c>
      <c r="C257" s="983">
        <v>-3.2000000000000001E-2</v>
      </c>
      <c r="D257" s="983">
        <v>1.6999999999999999E-3</v>
      </c>
      <c r="E257" s="983">
        <v>2.1083333333333332E-3</v>
      </c>
      <c r="F257" s="983">
        <v>2.1916666666666664E-3</v>
      </c>
      <c r="G257" s="983">
        <v>2.1499999999999996E-3</v>
      </c>
      <c r="H257" s="983">
        <v>2.2500000000000003E-3</v>
      </c>
      <c r="I257" s="983">
        <v>-3.7999999999999999E-2</v>
      </c>
      <c r="J257" s="983">
        <v>-3.8449999999999998E-2</v>
      </c>
      <c r="K257" s="983">
        <v>-3.8550000000000001E-2</v>
      </c>
      <c r="L257" s="983">
        <v>-3.4250000000000003E-2</v>
      </c>
    </row>
    <row r="258" spans="1:12">
      <c r="A258" s="983">
        <v>17288</v>
      </c>
      <c r="B258" s="983">
        <v>1.4E-3</v>
      </c>
      <c r="C258" s="983">
        <v>-2.7900000000000001E-2</v>
      </c>
      <c r="D258" s="983">
        <v>1.6999999999999999E-3</v>
      </c>
      <c r="E258" s="983">
        <v>2.1083333333333332E-3</v>
      </c>
      <c r="F258" s="983">
        <v>2.1916666666666664E-3</v>
      </c>
      <c r="G258" s="983">
        <v>2.1499999999999996E-3</v>
      </c>
      <c r="H258" s="983">
        <v>2.2500000000000003E-3</v>
      </c>
      <c r="I258" s="983">
        <v>-2.9999999999999992E-4</v>
      </c>
      <c r="J258" s="983">
        <v>-7.4999999999999958E-4</v>
      </c>
      <c r="K258" s="983">
        <v>-8.5000000000000028E-4</v>
      </c>
      <c r="L258" s="983">
        <v>-3.0150000000000003E-2</v>
      </c>
    </row>
    <row r="259" spans="1:12">
      <c r="A259" s="983">
        <v>17319</v>
      </c>
      <c r="B259" s="983">
        <v>5.5399999999999998E-2</v>
      </c>
      <c r="C259" s="983">
        <v>4.2800000000000005E-2</v>
      </c>
      <c r="D259" s="983">
        <v>1.9E-3</v>
      </c>
      <c r="E259" s="983">
        <v>2.1250000000000002E-3</v>
      </c>
      <c r="F259" s="983">
        <v>2.2000000000000001E-3</v>
      </c>
      <c r="G259" s="983">
        <v>2.1624999999999999E-3</v>
      </c>
      <c r="H259" s="983">
        <v>2.2583333333333331E-3</v>
      </c>
      <c r="I259" s="983">
        <v>5.3499999999999999E-2</v>
      </c>
      <c r="J259" s="983">
        <v>5.32375E-2</v>
      </c>
      <c r="K259" s="983">
        <v>5.3141666666666663E-2</v>
      </c>
      <c r="L259" s="983">
        <v>4.054166666666667E-2</v>
      </c>
    </row>
    <row r="260" spans="1:12">
      <c r="A260" s="983">
        <v>17349</v>
      </c>
      <c r="B260" s="983">
        <v>3.8100000000000002E-2</v>
      </c>
      <c r="C260" s="983">
        <v>2.1399999999999995E-2</v>
      </c>
      <c r="D260" s="983">
        <v>1.8E-3</v>
      </c>
      <c r="E260" s="983">
        <v>2.1250000000000002E-3</v>
      </c>
      <c r="F260" s="983">
        <v>2.2000000000000001E-3</v>
      </c>
      <c r="G260" s="983">
        <v>2.1624999999999999E-3</v>
      </c>
      <c r="H260" s="983">
        <v>2.2750000000000001E-3</v>
      </c>
      <c r="I260" s="983">
        <v>3.6299999999999999E-2</v>
      </c>
      <c r="J260" s="983">
        <v>3.5937500000000004E-2</v>
      </c>
      <c r="K260" s="983">
        <v>3.5825000000000003E-2</v>
      </c>
      <c r="L260" s="983">
        <v>1.9124999999999996E-2</v>
      </c>
    </row>
    <row r="261" spans="1:12">
      <c r="A261" s="983">
        <v>17380</v>
      </c>
      <c r="B261" s="983">
        <v>-2.0299999999999999E-2</v>
      </c>
      <c r="C261" s="983">
        <v>-2.2000000000000001E-3</v>
      </c>
      <c r="D261" s="983">
        <v>1.6999999999999999E-3</v>
      </c>
      <c r="E261" s="983">
        <v>2.1333333333333334E-3</v>
      </c>
      <c r="F261" s="983">
        <v>2.2000000000000001E-3</v>
      </c>
      <c r="G261" s="983">
        <v>2.1666666666666666E-3</v>
      </c>
      <c r="H261" s="983">
        <v>2.2750000000000001E-3</v>
      </c>
      <c r="I261" s="983">
        <v>-2.1999999999999999E-2</v>
      </c>
      <c r="J261" s="983">
        <v>-2.2466666666666666E-2</v>
      </c>
      <c r="K261" s="983">
        <v>-2.2574999999999998E-2</v>
      </c>
      <c r="L261" s="983">
        <v>-4.4749999999999998E-3</v>
      </c>
    </row>
    <row r="262" spans="1:12">
      <c r="A262" s="983">
        <v>17411</v>
      </c>
      <c r="B262" s="983">
        <v>-1.11E-2</v>
      </c>
      <c r="C262" s="983">
        <v>-1.4200000000000001E-2</v>
      </c>
      <c r="D262" s="983">
        <v>1.8E-3</v>
      </c>
      <c r="E262" s="983">
        <v>2.1749999999999999E-3</v>
      </c>
      <c r="F262" s="983">
        <v>2.2416666666666665E-3</v>
      </c>
      <c r="G262" s="983">
        <v>2.2083333333333334E-3</v>
      </c>
      <c r="H262" s="983">
        <v>2.3333333333333335E-3</v>
      </c>
      <c r="I262" s="983">
        <v>-1.29E-2</v>
      </c>
      <c r="J262" s="983">
        <v>-1.3308333333333333E-2</v>
      </c>
      <c r="K262" s="983">
        <v>-1.3433333333333334E-2</v>
      </c>
      <c r="L262" s="983">
        <v>-1.6533333333333334E-2</v>
      </c>
    </row>
    <row r="263" spans="1:12">
      <c r="A263" s="983">
        <v>17441</v>
      </c>
      <c r="B263" s="983">
        <v>2.3800000000000002E-2</v>
      </c>
      <c r="C263" s="983">
        <v>-1.3299999999999999E-2</v>
      </c>
      <c r="D263" s="983">
        <v>1.8E-3</v>
      </c>
      <c r="E263" s="983">
        <v>2.2500000000000003E-3</v>
      </c>
      <c r="F263" s="983">
        <v>2.3250000000000002E-3</v>
      </c>
      <c r="G263" s="983">
        <v>2.2875E-3</v>
      </c>
      <c r="H263" s="983">
        <v>2.3999999999999998E-3</v>
      </c>
      <c r="I263" s="983">
        <v>2.2000000000000002E-2</v>
      </c>
      <c r="J263" s="983">
        <v>2.15125E-2</v>
      </c>
      <c r="K263" s="983">
        <v>2.1400000000000002E-2</v>
      </c>
      <c r="L263" s="983">
        <v>-1.5699999999999999E-2</v>
      </c>
    </row>
    <row r="264" spans="1:12">
      <c r="A264" s="983">
        <v>17472</v>
      </c>
      <c r="B264" s="983">
        <v>-1.7500000000000002E-2</v>
      </c>
      <c r="C264" s="983">
        <v>-8.2399999999999987E-2</v>
      </c>
      <c r="D264" s="983">
        <v>1.6999999999999999E-3</v>
      </c>
      <c r="E264" s="983">
        <v>2.3083333333333332E-3</v>
      </c>
      <c r="F264" s="983">
        <v>2.3750000000000004E-3</v>
      </c>
      <c r="G264" s="983">
        <v>2.3416666666666668E-3</v>
      </c>
      <c r="H264" s="983">
        <v>2.4416666666666666E-3</v>
      </c>
      <c r="I264" s="983">
        <v>-1.9200000000000002E-2</v>
      </c>
      <c r="J264" s="983">
        <v>-1.9841666666666667E-2</v>
      </c>
      <c r="K264" s="983">
        <v>-1.994166666666667E-2</v>
      </c>
      <c r="L264" s="983">
        <v>-8.4841666666666649E-2</v>
      </c>
    </row>
    <row r="265" spans="1:12">
      <c r="A265" s="983">
        <v>17502</v>
      </c>
      <c r="B265" s="983">
        <v>2.3300000000000001E-2</v>
      </c>
      <c r="C265" s="983">
        <v>1.89E-2</v>
      </c>
      <c r="D265" s="983">
        <v>2.0999999999999999E-3</v>
      </c>
      <c r="E265" s="983">
        <v>2.3833333333333332E-3</v>
      </c>
      <c r="F265" s="983">
        <v>2.4499999999999999E-3</v>
      </c>
      <c r="G265" s="983">
        <v>2.4166666666666664E-3</v>
      </c>
      <c r="H265" s="983">
        <v>2.5416666666666669E-3</v>
      </c>
      <c r="I265" s="983">
        <v>2.12E-2</v>
      </c>
      <c r="J265" s="983">
        <v>2.0883333333333334E-2</v>
      </c>
      <c r="K265" s="983">
        <v>2.0758333333333333E-2</v>
      </c>
      <c r="L265" s="983">
        <v>1.6358333333333332E-2</v>
      </c>
    </row>
    <row r="266" spans="1:12">
      <c r="A266" s="983">
        <v>17533</v>
      </c>
      <c r="B266" s="983">
        <v>-3.7900000000000003E-2</v>
      </c>
      <c r="C266" s="983">
        <v>6.9999999999999993E-3</v>
      </c>
      <c r="D266" s="983">
        <v>2E-3</v>
      </c>
      <c r="E266" s="983">
        <v>2.3833333333333332E-3</v>
      </c>
      <c r="F266" s="983">
        <v>2.4499999999999999E-3</v>
      </c>
      <c r="G266" s="983">
        <v>2.4166666666666664E-3</v>
      </c>
      <c r="H266" s="983">
        <v>2.5416666666666669E-3</v>
      </c>
      <c r="I266" s="983">
        <v>-3.9900000000000005E-2</v>
      </c>
      <c r="J266" s="983">
        <v>-4.0316666666666667E-2</v>
      </c>
      <c r="K266" s="983">
        <v>-4.0441666666666667E-2</v>
      </c>
      <c r="L266" s="983">
        <v>4.4583333333333324E-3</v>
      </c>
    </row>
    <row r="267" spans="1:12">
      <c r="A267" s="983">
        <v>17564</v>
      </c>
      <c r="B267" s="983">
        <v>-3.8800000000000001E-2</v>
      </c>
      <c r="C267" s="983">
        <v>-3.7200000000000004E-2</v>
      </c>
      <c r="D267" s="983">
        <v>1.9E-3</v>
      </c>
      <c r="E267" s="983">
        <v>2.3750000000000004E-3</v>
      </c>
      <c r="F267" s="983">
        <v>2.4416666666666666E-3</v>
      </c>
      <c r="G267" s="983">
        <v>2.4083333333333335E-3</v>
      </c>
      <c r="H267" s="983">
        <v>2.5416666666666669E-3</v>
      </c>
      <c r="I267" s="983">
        <v>-4.07E-2</v>
      </c>
      <c r="J267" s="983">
        <v>-4.1208333333333333E-2</v>
      </c>
      <c r="K267" s="983">
        <v>-4.1341666666666665E-2</v>
      </c>
      <c r="L267" s="983">
        <v>-3.9741666666666668E-2</v>
      </c>
    </row>
    <row r="268" spans="1:12">
      <c r="A268" s="983">
        <v>17593</v>
      </c>
      <c r="B268" s="983">
        <v>7.9299999999999995E-2</v>
      </c>
      <c r="C268" s="983">
        <v>6.1699999999999998E-2</v>
      </c>
      <c r="D268" s="983">
        <v>2.2000000000000001E-3</v>
      </c>
      <c r="E268" s="983">
        <v>2.3583333333333334E-3</v>
      </c>
      <c r="F268" s="983">
        <v>2.4166666666666668E-3</v>
      </c>
      <c r="G268" s="983">
        <v>2.3875000000000003E-3</v>
      </c>
      <c r="H268" s="983">
        <v>2.5166666666666666E-3</v>
      </c>
      <c r="I268" s="983">
        <v>7.7100000000000002E-2</v>
      </c>
      <c r="J268" s="983">
        <v>7.6912499999999995E-2</v>
      </c>
      <c r="K268" s="983">
        <v>7.6783333333333328E-2</v>
      </c>
      <c r="L268" s="983">
        <v>5.9183333333333331E-2</v>
      </c>
    </row>
    <row r="269" spans="1:12">
      <c r="A269" s="983">
        <v>17624</v>
      </c>
      <c r="B269" s="983">
        <v>2.92E-2</v>
      </c>
      <c r="C269" s="983">
        <v>1.6E-2</v>
      </c>
      <c r="D269" s="983">
        <v>2E-3</v>
      </c>
      <c r="E269" s="983">
        <v>2.3166666666666665E-3</v>
      </c>
      <c r="F269" s="983">
        <v>2.3916666666666665E-3</v>
      </c>
      <c r="G269" s="983">
        <v>2.3541666666666667E-3</v>
      </c>
      <c r="H269" s="983">
        <v>2.4750000000000002E-3</v>
      </c>
      <c r="I269" s="983">
        <v>2.7200000000000002E-2</v>
      </c>
      <c r="J269" s="983">
        <v>2.6845833333333333E-2</v>
      </c>
      <c r="K269" s="983">
        <v>2.6724999999999999E-2</v>
      </c>
      <c r="L269" s="983">
        <v>1.3525000000000001E-2</v>
      </c>
    </row>
    <row r="270" spans="1:12">
      <c r="A270" s="983">
        <v>17654</v>
      </c>
      <c r="B270" s="983">
        <v>8.7900000000000006E-2</v>
      </c>
      <c r="C270" s="983">
        <v>5.8299999999999998E-2</v>
      </c>
      <c r="D270" s="983">
        <v>1.8E-3</v>
      </c>
      <c r="E270" s="983">
        <v>2.3E-3</v>
      </c>
      <c r="F270" s="983">
        <v>2.3833333333333332E-3</v>
      </c>
      <c r="G270" s="983">
        <v>2.3416666666666664E-3</v>
      </c>
      <c r="H270" s="983">
        <v>2.4499999999999999E-3</v>
      </c>
      <c r="I270" s="983">
        <v>8.610000000000001E-2</v>
      </c>
      <c r="J270" s="983">
        <v>8.5558333333333333E-2</v>
      </c>
      <c r="K270" s="983">
        <v>8.5450000000000012E-2</v>
      </c>
      <c r="L270" s="983">
        <v>5.5849999999999997E-2</v>
      </c>
    </row>
    <row r="271" spans="1:12">
      <c r="A271" s="983">
        <v>17685</v>
      </c>
      <c r="B271" s="983">
        <v>5.4000000000000003E-3</v>
      </c>
      <c r="C271" s="983">
        <v>2.12E-2</v>
      </c>
      <c r="D271" s="983">
        <v>2.0999999999999999E-3</v>
      </c>
      <c r="E271" s="983">
        <v>2.3E-3</v>
      </c>
      <c r="F271" s="983">
        <v>2.3750000000000004E-3</v>
      </c>
      <c r="G271" s="983">
        <v>2.3375000000000002E-3</v>
      </c>
      <c r="H271" s="983">
        <v>2.4499999999999999E-3</v>
      </c>
      <c r="I271" s="983">
        <v>3.3000000000000004E-3</v>
      </c>
      <c r="J271" s="983">
        <v>3.0625000000000001E-3</v>
      </c>
      <c r="K271" s="983">
        <v>2.9500000000000004E-3</v>
      </c>
      <c r="L271" s="983">
        <v>1.8749999999999999E-2</v>
      </c>
    </row>
    <row r="272" spans="1:12">
      <c r="A272" s="983">
        <v>17715</v>
      </c>
      <c r="B272" s="983">
        <v>-5.0799999999999998E-2</v>
      </c>
      <c r="C272" s="983">
        <v>-4.4299999999999999E-2</v>
      </c>
      <c r="D272" s="983">
        <v>1.9E-3</v>
      </c>
      <c r="E272" s="983">
        <v>2.3416666666666668E-3</v>
      </c>
      <c r="F272" s="983">
        <v>2.4083333333333335E-3</v>
      </c>
      <c r="G272" s="983">
        <v>2.3749999999999999E-3</v>
      </c>
      <c r="H272" s="983">
        <v>2.4916666666666668E-3</v>
      </c>
      <c r="I272" s="983">
        <v>-5.2699999999999997E-2</v>
      </c>
      <c r="J272" s="983">
        <v>-5.3175E-2</v>
      </c>
      <c r="K272" s="983">
        <v>-5.3291666666666668E-2</v>
      </c>
      <c r="L272" s="983">
        <v>-4.6791666666666669E-2</v>
      </c>
    </row>
    <row r="273" spans="1:12">
      <c r="A273" s="983">
        <v>17746</v>
      </c>
      <c r="B273" s="983">
        <v>1.5800000000000002E-2</v>
      </c>
      <c r="C273" s="983">
        <v>3.5999999999999999E-3</v>
      </c>
      <c r="D273" s="983">
        <v>2.0999999999999999E-3</v>
      </c>
      <c r="E273" s="983">
        <v>2.3666666666666667E-3</v>
      </c>
      <c r="F273" s="983">
        <v>2.4499999999999999E-3</v>
      </c>
      <c r="G273" s="983">
        <v>2.4083333333333335E-3</v>
      </c>
      <c r="H273" s="983">
        <v>2.5249999999999999E-3</v>
      </c>
      <c r="I273" s="983">
        <v>1.3700000000000002E-2</v>
      </c>
      <c r="J273" s="983">
        <v>1.3391666666666668E-2</v>
      </c>
      <c r="K273" s="983">
        <v>1.3275000000000002E-2</v>
      </c>
      <c r="L273" s="983">
        <v>1.075E-3</v>
      </c>
    </row>
    <row r="274" spans="1:12">
      <c r="A274" s="983">
        <v>17777</v>
      </c>
      <c r="B274" s="983">
        <v>-2.76E-2</v>
      </c>
      <c r="C274" s="983">
        <v>-7.0999999999999995E-3</v>
      </c>
      <c r="D274" s="983">
        <v>2E-3</v>
      </c>
      <c r="E274" s="983">
        <v>2.3666666666666667E-3</v>
      </c>
      <c r="F274" s="983">
        <v>2.4416666666666666E-3</v>
      </c>
      <c r="G274" s="983">
        <v>2.4041666666666669E-3</v>
      </c>
      <c r="H274" s="983">
        <v>2.5416666666666669E-3</v>
      </c>
      <c r="I274" s="983">
        <v>-2.9600000000000001E-2</v>
      </c>
      <c r="J274" s="983">
        <v>-3.0004166666666665E-2</v>
      </c>
      <c r="K274" s="983">
        <v>-3.0141666666666667E-2</v>
      </c>
      <c r="L274" s="983">
        <v>-9.6416666666666664E-3</v>
      </c>
    </row>
    <row r="275" spans="1:12">
      <c r="A275" s="983">
        <v>17807</v>
      </c>
      <c r="B275" s="983">
        <v>7.0999999999999994E-2</v>
      </c>
      <c r="C275" s="983">
        <v>4.0300000000000002E-2</v>
      </c>
      <c r="D275" s="983">
        <v>1.9E-3</v>
      </c>
      <c r="E275" s="983">
        <v>2.3666666666666667E-3</v>
      </c>
      <c r="F275" s="983">
        <v>2.4499999999999999E-3</v>
      </c>
      <c r="G275" s="983">
        <v>2.4083333333333335E-3</v>
      </c>
      <c r="H275" s="983">
        <v>2.5249999999999999E-3</v>
      </c>
      <c r="I275" s="983">
        <v>6.9099999999999995E-2</v>
      </c>
      <c r="J275" s="983">
        <v>6.8591666666666662E-2</v>
      </c>
      <c r="K275" s="983">
        <v>6.8474999999999994E-2</v>
      </c>
      <c r="L275" s="983">
        <v>3.7775000000000003E-2</v>
      </c>
    </row>
    <row r="276" spans="1:12">
      <c r="A276" s="983">
        <v>17838</v>
      </c>
      <c r="B276" s="983">
        <v>-9.6100000000000005E-2</v>
      </c>
      <c r="C276" s="983">
        <v>-9.1299999999999992E-2</v>
      </c>
      <c r="D276" s="983">
        <v>2.0999999999999999E-3</v>
      </c>
      <c r="E276" s="983">
        <v>2.3666666666666667E-3</v>
      </c>
      <c r="F276" s="983">
        <v>2.4333333333333334E-3</v>
      </c>
      <c r="G276" s="983">
        <v>2.3999999999999998E-3</v>
      </c>
      <c r="H276" s="983">
        <v>2.5583333333333335E-3</v>
      </c>
      <c r="I276" s="983">
        <v>-9.820000000000001E-2</v>
      </c>
      <c r="J276" s="983">
        <v>-9.8500000000000004E-2</v>
      </c>
      <c r="K276" s="983">
        <v>-9.8658333333333334E-2</v>
      </c>
      <c r="L276" s="983">
        <v>-9.3858333333333321E-2</v>
      </c>
    </row>
    <row r="277" spans="1:12">
      <c r="A277" s="983">
        <v>17868</v>
      </c>
      <c r="B277" s="983">
        <v>3.4599999999999999E-2</v>
      </c>
      <c r="C277" s="983">
        <v>2.2099999999999998E-2</v>
      </c>
      <c r="D277" s="983">
        <v>2E-3</v>
      </c>
      <c r="E277" s="983">
        <v>2.3250000000000002E-3</v>
      </c>
      <c r="F277" s="983">
        <v>2.3999999999999998E-3</v>
      </c>
      <c r="G277" s="983">
        <v>2.3625E-3</v>
      </c>
      <c r="H277" s="983">
        <v>2.5500000000000002E-3</v>
      </c>
      <c r="I277" s="983">
        <v>3.2599999999999997E-2</v>
      </c>
      <c r="J277" s="983">
        <v>3.2237500000000002E-2</v>
      </c>
      <c r="K277" s="983">
        <v>3.2049999999999995E-2</v>
      </c>
      <c r="L277" s="983">
        <v>1.9549999999999998E-2</v>
      </c>
    </row>
    <row r="278" spans="1:12">
      <c r="A278" s="983">
        <v>17899</v>
      </c>
      <c r="B278" s="983">
        <v>3.8999999999999998E-3</v>
      </c>
      <c r="C278" s="983">
        <v>5.04E-2</v>
      </c>
      <c r="D278" s="983">
        <v>2E-3</v>
      </c>
      <c r="E278" s="983">
        <v>2.2583333333333331E-3</v>
      </c>
      <c r="F278" s="983">
        <v>2.3416666666666668E-3</v>
      </c>
      <c r="G278" s="983">
        <v>2.3E-3</v>
      </c>
      <c r="H278" s="983">
        <v>2.4916666666666668E-3</v>
      </c>
      <c r="I278" s="983">
        <v>1.8999999999999998E-3</v>
      </c>
      <c r="J278" s="983">
        <v>1.5999999999999999E-3</v>
      </c>
      <c r="K278" s="983">
        <v>1.4083333333333331E-3</v>
      </c>
      <c r="L278" s="983">
        <v>4.7908333333333331E-2</v>
      </c>
    </row>
    <row r="279" spans="1:12">
      <c r="A279" s="983">
        <v>17930</v>
      </c>
      <c r="B279" s="983">
        <v>-2.9600000000000001E-2</v>
      </c>
      <c r="C279" s="983">
        <v>5.0000000000000044E-4</v>
      </c>
      <c r="D279" s="983">
        <v>1.8E-3</v>
      </c>
      <c r="E279" s="983">
        <v>2.2583333333333331E-3</v>
      </c>
      <c r="F279" s="983">
        <v>2.3333333333333331E-3</v>
      </c>
      <c r="G279" s="983">
        <v>2.2958333333333329E-3</v>
      </c>
      <c r="H279" s="983">
        <v>2.4916666666666668E-3</v>
      </c>
      <c r="I279" s="983">
        <v>-3.1400000000000004E-2</v>
      </c>
      <c r="J279" s="983">
        <v>-3.1895833333333332E-2</v>
      </c>
      <c r="K279" s="983">
        <v>-3.2091666666666671E-2</v>
      </c>
      <c r="L279" s="983">
        <v>-1.9916666666666663E-3</v>
      </c>
    </row>
    <row r="280" spans="1:12">
      <c r="A280" s="983">
        <v>17958</v>
      </c>
      <c r="B280" s="983">
        <v>3.2800000000000003E-2</v>
      </c>
      <c r="C280" s="983">
        <v>3.6400000000000002E-2</v>
      </c>
      <c r="D280" s="983">
        <v>1.9E-3</v>
      </c>
      <c r="E280" s="983">
        <v>2.2500000000000003E-3</v>
      </c>
      <c r="F280" s="983">
        <v>2.3250000000000002E-3</v>
      </c>
      <c r="G280" s="983">
        <v>2.2875E-3</v>
      </c>
      <c r="H280" s="983">
        <v>2.4750000000000002E-3</v>
      </c>
      <c r="I280" s="983">
        <v>3.0900000000000004E-2</v>
      </c>
      <c r="J280" s="983">
        <v>3.0512500000000001E-2</v>
      </c>
      <c r="K280" s="983">
        <v>3.0325000000000001E-2</v>
      </c>
      <c r="L280" s="983">
        <v>3.3925000000000004E-2</v>
      </c>
    </row>
    <row r="281" spans="1:12">
      <c r="A281" s="983">
        <v>17989</v>
      </c>
      <c r="B281" s="983">
        <v>-1.7899999999999999E-2</v>
      </c>
      <c r="C281" s="983">
        <v>5.7999999999999996E-3</v>
      </c>
      <c r="D281" s="983">
        <v>1.8E-3</v>
      </c>
      <c r="E281" s="983">
        <v>2.2500000000000003E-3</v>
      </c>
      <c r="F281" s="983">
        <v>2.3250000000000002E-3</v>
      </c>
      <c r="G281" s="983">
        <v>2.2875E-3</v>
      </c>
      <c r="H281" s="983">
        <v>2.4666666666666669E-3</v>
      </c>
      <c r="I281" s="983">
        <v>-1.9699999999999999E-2</v>
      </c>
      <c r="J281" s="983">
        <v>-2.0187500000000001E-2</v>
      </c>
      <c r="K281" s="983">
        <v>-2.0366666666666665E-2</v>
      </c>
      <c r="L281" s="983">
        <v>3.3333333333333327E-3</v>
      </c>
    </row>
    <row r="282" spans="1:12">
      <c r="A282" s="983">
        <v>18019</v>
      </c>
      <c r="B282" s="983">
        <v>-2.58E-2</v>
      </c>
      <c r="C282" s="983">
        <v>3.4000000000000002E-3</v>
      </c>
      <c r="D282" s="983">
        <v>2E-3</v>
      </c>
      <c r="E282" s="983">
        <v>2.2583333333333331E-3</v>
      </c>
      <c r="F282" s="983">
        <v>2.3166666666666665E-3</v>
      </c>
      <c r="G282" s="983">
        <v>2.2875E-3</v>
      </c>
      <c r="H282" s="983">
        <v>2.4583333333333336E-3</v>
      </c>
      <c r="I282" s="983">
        <v>-2.7799999999999998E-2</v>
      </c>
      <c r="J282" s="983">
        <v>-2.8087500000000001E-2</v>
      </c>
      <c r="K282" s="983">
        <v>-2.8258333333333333E-2</v>
      </c>
      <c r="L282" s="983">
        <v>9.4166666666666661E-4</v>
      </c>
    </row>
    <row r="283" spans="1:12">
      <c r="A283" s="983">
        <v>18050</v>
      </c>
      <c r="B283" s="983">
        <v>1.4E-3</v>
      </c>
      <c r="C283" s="983">
        <v>-1.3399999999999999E-2</v>
      </c>
      <c r="D283" s="983">
        <v>1.9E-3</v>
      </c>
      <c r="E283" s="983">
        <v>2.2583333333333331E-3</v>
      </c>
      <c r="F283" s="983">
        <v>2.3166666666666665E-3</v>
      </c>
      <c r="G283" s="983">
        <v>2.2875E-3</v>
      </c>
      <c r="H283" s="983">
        <v>2.4499999999999999E-3</v>
      </c>
      <c r="I283" s="983">
        <v>-5.0000000000000001E-4</v>
      </c>
      <c r="J283" s="983">
        <v>-8.8750000000000005E-4</v>
      </c>
      <c r="K283" s="983">
        <v>-1.0499999999999999E-3</v>
      </c>
      <c r="L283" s="983">
        <v>-1.585E-2</v>
      </c>
    </row>
    <row r="284" spans="1:12">
      <c r="A284" s="983">
        <v>18080</v>
      </c>
      <c r="B284" s="983">
        <v>6.5000000000000002E-2</v>
      </c>
      <c r="C284" s="983">
        <v>5.6899999999999992E-2</v>
      </c>
      <c r="D284" s="983">
        <v>1.6999999999999999E-3</v>
      </c>
      <c r="E284" s="983">
        <v>2.225E-3</v>
      </c>
      <c r="F284" s="983">
        <v>2.2916666666666667E-3</v>
      </c>
      <c r="G284" s="983">
        <v>2.2583333333333331E-3</v>
      </c>
      <c r="H284" s="983">
        <v>2.4166666666666668E-3</v>
      </c>
      <c r="I284" s="983">
        <v>6.3300000000000009E-2</v>
      </c>
      <c r="J284" s="983">
        <v>6.2741666666666668E-2</v>
      </c>
      <c r="K284" s="983">
        <v>6.2583333333333338E-2</v>
      </c>
      <c r="L284" s="983">
        <v>5.4483333333333328E-2</v>
      </c>
    </row>
    <row r="285" spans="1:12">
      <c r="A285" s="983">
        <v>18111</v>
      </c>
      <c r="B285" s="983">
        <v>2.1899999999999999E-2</v>
      </c>
      <c r="C285" s="983">
        <v>3.4599999999999999E-2</v>
      </c>
      <c r="D285" s="983">
        <v>1.9E-3</v>
      </c>
      <c r="E285" s="983">
        <v>2.1833333333333336E-3</v>
      </c>
      <c r="F285" s="983">
        <v>2.2583333333333331E-3</v>
      </c>
      <c r="G285" s="983">
        <v>2.2208333333333333E-3</v>
      </c>
      <c r="H285" s="983">
        <v>2.3833333333333332E-3</v>
      </c>
      <c r="I285" s="983">
        <v>0.02</v>
      </c>
      <c r="J285" s="983">
        <v>1.9679166666666664E-2</v>
      </c>
      <c r="K285" s="983">
        <v>1.9516666666666665E-2</v>
      </c>
      <c r="L285" s="983">
        <v>3.2216666666666664E-2</v>
      </c>
    </row>
    <row r="286" spans="1:12">
      <c r="A286" s="983">
        <v>18142</v>
      </c>
      <c r="B286" s="983">
        <v>2.63E-2</v>
      </c>
      <c r="C286" s="983">
        <v>3.73E-2</v>
      </c>
      <c r="D286" s="983">
        <v>1.6999999999999999E-3</v>
      </c>
      <c r="E286" s="983">
        <v>2.1666666666666666E-3</v>
      </c>
      <c r="F286" s="983">
        <v>2.2416666666666665E-3</v>
      </c>
      <c r="G286" s="983">
        <v>2.2041666666666663E-3</v>
      </c>
      <c r="H286" s="983">
        <v>2.3750000000000004E-3</v>
      </c>
      <c r="I286" s="983">
        <v>2.46E-2</v>
      </c>
      <c r="J286" s="983">
        <v>2.4095833333333334E-2</v>
      </c>
      <c r="K286" s="983">
        <v>2.3925000000000002E-2</v>
      </c>
      <c r="L286" s="983">
        <v>3.4924999999999998E-2</v>
      </c>
    </row>
    <row r="287" spans="1:12">
      <c r="A287" s="983">
        <v>18172</v>
      </c>
      <c r="B287" s="983">
        <v>3.4000000000000002E-2</v>
      </c>
      <c r="C287" s="983">
        <v>1.1199999999999998E-2</v>
      </c>
      <c r="D287" s="983">
        <v>1.8E-3</v>
      </c>
      <c r="E287" s="983">
        <v>2.1749999999999999E-3</v>
      </c>
      <c r="F287" s="983">
        <v>2.2500000000000003E-3</v>
      </c>
      <c r="G287" s="983">
        <v>2.2125000000000001E-3</v>
      </c>
      <c r="H287" s="983">
        <v>2.3583333333333334E-3</v>
      </c>
      <c r="I287" s="983">
        <v>3.2199999999999999E-2</v>
      </c>
      <c r="J287" s="983">
        <v>3.1787500000000003E-2</v>
      </c>
      <c r="K287" s="983">
        <v>3.1641666666666672E-2</v>
      </c>
      <c r="L287" s="983">
        <v>8.8416666666666643E-3</v>
      </c>
    </row>
    <row r="288" spans="1:12">
      <c r="A288" s="983">
        <v>18203</v>
      </c>
      <c r="B288" s="983">
        <v>1.7500000000000002E-2</v>
      </c>
      <c r="C288" s="983">
        <v>1.5899999999999997E-2</v>
      </c>
      <c r="D288" s="983">
        <v>1.6999999999999999E-3</v>
      </c>
      <c r="E288" s="983">
        <v>2.1666666666666666E-3</v>
      </c>
      <c r="F288" s="983">
        <v>2.2333333333333337E-3</v>
      </c>
      <c r="G288" s="983">
        <v>2.2000000000000001E-3</v>
      </c>
      <c r="H288" s="983">
        <v>2.3416666666666668E-3</v>
      </c>
      <c r="I288" s="983">
        <v>1.5800000000000002E-2</v>
      </c>
      <c r="J288" s="983">
        <v>1.5300000000000001E-2</v>
      </c>
      <c r="K288" s="983">
        <v>1.5158333333333334E-2</v>
      </c>
      <c r="L288" s="983">
        <v>1.355833333333333E-2</v>
      </c>
    </row>
    <row r="289" spans="1:12">
      <c r="A289" s="983">
        <v>18233</v>
      </c>
      <c r="B289" s="983">
        <v>4.8599999999999997E-2</v>
      </c>
      <c r="C289" s="983">
        <v>3.9599999999999996E-2</v>
      </c>
      <c r="D289" s="983">
        <v>1.6999999999999999E-3</v>
      </c>
      <c r="E289" s="983">
        <v>2.15E-3</v>
      </c>
      <c r="F289" s="983">
        <v>2.225E-3</v>
      </c>
      <c r="G289" s="983">
        <v>2.1875000000000002E-3</v>
      </c>
      <c r="H289" s="983">
        <v>2.316666666666667E-3</v>
      </c>
      <c r="I289" s="983">
        <v>4.6899999999999997E-2</v>
      </c>
      <c r="J289" s="983">
        <v>4.6412499999999995E-2</v>
      </c>
      <c r="K289" s="983">
        <v>4.6283333333333329E-2</v>
      </c>
      <c r="L289" s="983">
        <v>3.7283333333333328E-2</v>
      </c>
    </row>
    <row r="290" spans="1:12">
      <c r="A290" s="983">
        <v>18264</v>
      </c>
      <c r="B290" s="983">
        <v>1.9699999999999999E-2</v>
      </c>
      <c r="C290" s="983">
        <v>3.5299999999999998E-2</v>
      </c>
      <c r="D290" s="983">
        <v>1.8E-3</v>
      </c>
      <c r="E290" s="983">
        <v>2.1416666666666663E-3</v>
      </c>
      <c r="F290" s="983">
        <v>2.2083333333333334E-3</v>
      </c>
      <c r="G290" s="983">
        <v>2.1749999999999999E-3</v>
      </c>
      <c r="H290" s="983">
        <v>2.3E-3</v>
      </c>
      <c r="I290" s="983">
        <v>1.7899999999999999E-2</v>
      </c>
      <c r="J290" s="983">
        <v>1.7524999999999999E-2</v>
      </c>
      <c r="K290" s="983">
        <v>1.7399999999999999E-2</v>
      </c>
      <c r="L290" s="983">
        <v>3.3000000000000002E-2</v>
      </c>
    </row>
    <row r="291" spans="1:12">
      <c r="A291" s="983">
        <v>18295</v>
      </c>
      <c r="B291" s="983">
        <v>1.9900000000000001E-2</v>
      </c>
      <c r="C291" s="983">
        <v>0.01</v>
      </c>
      <c r="D291" s="983">
        <v>1.6000000000000001E-3</v>
      </c>
      <c r="E291" s="983">
        <v>2.15E-3</v>
      </c>
      <c r="F291" s="983">
        <v>2.2083333333333334E-3</v>
      </c>
      <c r="G291" s="983">
        <v>2.1791666666666665E-3</v>
      </c>
      <c r="H291" s="983">
        <v>2.3E-3</v>
      </c>
      <c r="I291" s="983">
        <v>1.83E-2</v>
      </c>
      <c r="J291" s="983">
        <v>1.7720833333333335E-2</v>
      </c>
      <c r="K291" s="983">
        <v>1.7600000000000001E-2</v>
      </c>
      <c r="L291" s="983">
        <v>7.7000000000000002E-3</v>
      </c>
    </row>
    <row r="292" spans="1:12">
      <c r="A292" s="983">
        <v>18323</v>
      </c>
      <c r="B292" s="983">
        <v>7.0000000000000001E-3</v>
      </c>
      <c r="C292" s="983">
        <v>8.3999999999999995E-3</v>
      </c>
      <c r="D292" s="983">
        <v>1.8E-3</v>
      </c>
      <c r="E292" s="983">
        <v>2.15E-3</v>
      </c>
      <c r="F292" s="983">
        <v>2.2166666666666667E-3</v>
      </c>
      <c r="G292" s="983">
        <v>2.1833333333333331E-3</v>
      </c>
      <c r="H292" s="983">
        <v>2.3E-3</v>
      </c>
      <c r="I292" s="983">
        <v>5.1999999999999998E-3</v>
      </c>
      <c r="J292" s="983">
        <v>4.816666666666667E-3</v>
      </c>
      <c r="K292" s="983">
        <v>4.7000000000000002E-3</v>
      </c>
      <c r="L292" s="983">
        <v>6.0999999999999995E-3</v>
      </c>
    </row>
    <row r="293" spans="1:12">
      <c r="A293" s="983">
        <v>18354</v>
      </c>
      <c r="B293" s="983">
        <v>4.8599999999999997E-2</v>
      </c>
      <c r="C293" s="983">
        <v>1.8499999999999999E-2</v>
      </c>
      <c r="D293" s="983">
        <v>1.6000000000000001E-3</v>
      </c>
      <c r="E293" s="983">
        <v>2.1666666666666666E-3</v>
      </c>
      <c r="F293" s="983">
        <v>2.2166666666666667E-3</v>
      </c>
      <c r="G293" s="983">
        <v>2.1916666666666668E-3</v>
      </c>
      <c r="H293" s="983">
        <v>2.3083333333333332E-3</v>
      </c>
      <c r="I293" s="983">
        <v>4.7E-2</v>
      </c>
      <c r="J293" s="983">
        <v>4.6408333333333329E-2</v>
      </c>
      <c r="K293" s="983">
        <v>4.6291666666666662E-2</v>
      </c>
      <c r="L293" s="983">
        <v>1.6191666666666667E-2</v>
      </c>
    </row>
    <row r="294" spans="1:12">
      <c r="A294" s="983">
        <v>18384</v>
      </c>
      <c r="B294" s="983">
        <v>5.0900000000000001E-2</v>
      </c>
      <c r="C294" s="983">
        <v>1.9199999999999998E-2</v>
      </c>
      <c r="D294" s="983">
        <v>1.9E-3</v>
      </c>
      <c r="E294" s="983">
        <v>2.1749999999999999E-3</v>
      </c>
      <c r="F294" s="983">
        <v>2.2416666666666665E-3</v>
      </c>
      <c r="G294" s="983">
        <v>2.2083333333333334E-3</v>
      </c>
      <c r="H294" s="983">
        <v>2.3250000000000002E-3</v>
      </c>
      <c r="I294" s="983">
        <v>4.9000000000000002E-2</v>
      </c>
      <c r="J294" s="983">
        <v>4.8691666666666668E-2</v>
      </c>
      <c r="K294" s="983">
        <v>4.8575E-2</v>
      </c>
      <c r="L294" s="983">
        <v>1.6874999999999998E-2</v>
      </c>
    </row>
    <row r="295" spans="1:12">
      <c r="A295" s="983">
        <v>18415</v>
      </c>
      <c r="B295" s="983">
        <v>-5.4800000000000001E-2</v>
      </c>
      <c r="C295" s="983">
        <v>-7.7100000000000002E-2</v>
      </c>
      <c r="D295" s="983">
        <v>1.6999999999999999E-3</v>
      </c>
      <c r="E295" s="983">
        <v>2.1833333333333336E-3</v>
      </c>
      <c r="F295" s="983">
        <v>2.2416666666666665E-3</v>
      </c>
      <c r="G295" s="983">
        <v>2.2125000000000001E-3</v>
      </c>
      <c r="H295" s="983">
        <v>2.3250000000000002E-3</v>
      </c>
      <c r="I295" s="983">
        <v>-5.6500000000000002E-2</v>
      </c>
      <c r="J295" s="983">
        <v>-5.7012500000000001E-2</v>
      </c>
      <c r="K295" s="983">
        <v>-5.7125000000000002E-2</v>
      </c>
      <c r="L295" s="983">
        <v>-7.9424999999999996E-2</v>
      </c>
    </row>
    <row r="296" spans="1:12">
      <c r="A296" s="983">
        <v>18445</v>
      </c>
      <c r="B296" s="983">
        <v>1.1900000000000001E-2</v>
      </c>
      <c r="C296" s="983">
        <v>-4.36E-2</v>
      </c>
      <c r="D296" s="983">
        <v>1.8E-3</v>
      </c>
      <c r="E296" s="983">
        <v>2.2083333333333334E-3</v>
      </c>
      <c r="F296" s="983">
        <v>2.2666666666666668E-3</v>
      </c>
      <c r="G296" s="983">
        <v>2.2374999999999999E-3</v>
      </c>
      <c r="H296" s="983">
        <v>2.3250000000000002E-3</v>
      </c>
      <c r="I296" s="983">
        <v>1.0100000000000001E-2</v>
      </c>
      <c r="J296" s="983">
        <v>9.6625000000000009E-3</v>
      </c>
      <c r="K296" s="983">
        <v>9.5750000000000002E-3</v>
      </c>
      <c r="L296" s="983">
        <v>-4.5925000000000001E-2</v>
      </c>
    </row>
    <row r="297" spans="1:12">
      <c r="A297" s="983">
        <v>18476</v>
      </c>
      <c r="B297" s="983">
        <v>4.4299999999999999E-2</v>
      </c>
      <c r="C297" s="983">
        <v>1.54E-2</v>
      </c>
      <c r="D297" s="983">
        <v>1.8E-3</v>
      </c>
      <c r="E297" s="983">
        <v>2.1749999999999999E-3</v>
      </c>
      <c r="F297" s="983">
        <v>2.225E-3</v>
      </c>
      <c r="G297" s="983">
        <v>2.2000000000000001E-3</v>
      </c>
      <c r="H297" s="983">
        <v>2.3E-3</v>
      </c>
      <c r="I297" s="983">
        <v>4.2499999999999996E-2</v>
      </c>
      <c r="J297" s="983">
        <v>4.2099999999999999E-2</v>
      </c>
      <c r="K297" s="983">
        <v>4.1999999999999996E-2</v>
      </c>
      <c r="L297" s="983">
        <v>1.3100000000000001E-2</v>
      </c>
    </row>
    <row r="298" spans="1:12">
      <c r="A298" s="983">
        <v>18507</v>
      </c>
      <c r="B298" s="983">
        <v>5.9200000000000003E-2</v>
      </c>
      <c r="C298" s="983">
        <v>4.1800000000000004E-2</v>
      </c>
      <c r="D298" s="983">
        <v>1.6999999999999999E-3</v>
      </c>
      <c r="E298" s="983">
        <v>2.2000000000000001E-3</v>
      </c>
      <c r="F298" s="983">
        <v>2.2583333333333331E-3</v>
      </c>
      <c r="G298" s="983">
        <v>2.2291666666666666E-3</v>
      </c>
      <c r="H298" s="983">
        <v>2.3333333333333335E-3</v>
      </c>
      <c r="I298" s="983">
        <v>5.7500000000000002E-2</v>
      </c>
      <c r="J298" s="983">
        <v>5.6970833333333339E-2</v>
      </c>
      <c r="K298" s="983">
        <v>5.686666666666667E-2</v>
      </c>
      <c r="L298" s="983">
        <v>3.9466666666666671E-2</v>
      </c>
    </row>
    <row r="299" spans="1:12">
      <c r="A299" s="983">
        <v>18537</v>
      </c>
      <c r="B299" s="983">
        <v>9.2999999999999992E-3</v>
      </c>
      <c r="C299" s="983">
        <v>-2.7000000000000001E-3</v>
      </c>
      <c r="D299" s="983">
        <v>1.9E-3</v>
      </c>
      <c r="E299" s="983">
        <v>2.225E-3</v>
      </c>
      <c r="F299" s="983">
        <v>2.2666666666666668E-3</v>
      </c>
      <c r="G299" s="983">
        <v>2.2458333333333336E-3</v>
      </c>
      <c r="H299" s="983">
        <v>2.3583333333333334E-3</v>
      </c>
      <c r="I299" s="983">
        <v>7.3999999999999995E-3</v>
      </c>
      <c r="J299" s="983">
        <v>7.0541666666666652E-3</v>
      </c>
      <c r="K299" s="983">
        <v>6.9416666666666654E-3</v>
      </c>
      <c r="L299" s="983">
        <v>-5.0583333333333331E-3</v>
      </c>
    </row>
    <row r="300" spans="1:12">
      <c r="A300" s="983">
        <v>18568</v>
      </c>
      <c r="B300" s="983">
        <v>1.6899999999999998E-2</v>
      </c>
      <c r="C300" s="983">
        <v>-1.7600000000000001E-2</v>
      </c>
      <c r="D300" s="983">
        <v>1.8E-3</v>
      </c>
      <c r="E300" s="983">
        <v>2.225E-3</v>
      </c>
      <c r="F300" s="983">
        <v>2.2666666666666668E-3</v>
      </c>
      <c r="G300" s="983">
        <v>2.2458333333333336E-3</v>
      </c>
      <c r="H300" s="983">
        <v>2.3833333333333332E-3</v>
      </c>
      <c r="I300" s="983">
        <v>1.5099999999999999E-2</v>
      </c>
      <c r="J300" s="983">
        <v>1.4654166666666664E-2</v>
      </c>
      <c r="K300" s="983">
        <v>1.4516666666666666E-2</v>
      </c>
      <c r="L300" s="983">
        <v>-1.9983333333333336E-2</v>
      </c>
    </row>
    <row r="301" spans="1:12">
      <c r="A301" s="983">
        <v>18598</v>
      </c>
      <c r="B301" s="983">
        <v>5.1299999999999998E-2</v>
      </c>
      <c r="C301" s="983">
        <v>3.1199999999999995E-2</v>
      </c>
      <c r="D301" s="983">
        <v>1.8E-3</v>
      </c>
      <c r="E301" s="983">
        <v>2.225E-3</v>
      </c>
      <c r="F301" s="983">
        <v>2.2666666666666668E-3</v>
      </c>
      <c r="G301" s="983">
        <v>2.2458333333333336E-3</v>
      </c>
      <c r="H301" s="983">
        <v>2.3833333333333332E-3</v>
      </c>
      <c r="I301" s="983">
        <v>4.9499999999999995E-2</v>
      </c>
      <c r="J301" s="983">
        <v>4.9054166666666663E-2</v>
      </c>
      <c r="K301" s="983">
        <v>4.8916666666666664E-2</v>
      </c>
      <c r="L301" s="983">
        <v>2.8816666666666661E-2</v>
      </c>
    </row>
    <row r="302" spans="1:12">
      <c r="A302" s="983">
        <v>18629</v>
      </c>
      <c r="B302" s="983">
        <v>6.3700000000000007E-2</v>
      </c>
      <c r="C302" s="983">
        <v>4.3800000000000006E-2</v>
      </c>
      <c r="D302" s="983">
        <v>2E-3</v>
      </c>
      <c r="E302" s="983">
        <v>2.2166666666666667E-3</v>
      </c>
      <c r="F302" s="983">
        <v>2.2583333333333331E-3</v>
      </c>
      <c r="G302" s="983">
        <v>2.2374999999999999E-3</v>
      </c>
      <c r="H302" s="983">
        <v>2.3583333333333334E-3</v>
      </c>
      <c r="I302" s="983">
        <v>6.1700000000000005E-2</v>
      </c>
      <c r="J302" s="983">
        <v>6.1462500000000003E-2</v>
      </c>
      <c r="K302" s="983">
        <v>6.1341666666666676E-2</v>
      </c>
      <c r="L302" s="983">
        <v>4.1441666666666675E-2</v>
      </c>
    </row>
    <row r="303" spans="1:12">
      <c r="A303" s="983">
        <v>18660</v>
      </c>
      <c r="B303" s="983">
        <v>1.5699999999999999E-2</v>
      </c>
      <c r="C303" s="983">
        <v>2.6800000000000001E-2</v>
      </c>
      <c r="D303" s="983">
        <v>1.6999999999999999E-3</v>
      </c>
      <c r="E303" s="983">
        <v>2.2166666666666667E-3</v>
      </c>
      <c r="F303" s="983">
        <v>2.2583333333333331E-3</v>
      </c>
      <c r="G303" s="983">
        <v>2.2374999999999999E-3</v>
      </c>
      <c r="H303" s="983">
        <v>2.3666666666666667E-3</v>
      </c>
      <c r="I303" s="983">
        <v>1.3999999999999999E-2</v>
      </c>
      <c r="J303" s="983">
        <v>1.3462499999999999E-2</v>
      </c>
      <c r="K303" s="983">
        <v>1.3333333333333332E-2</v>
      </c>
      <c r="L303" s="983">
        <v>2.4433333333333335E-2</v>
      </c>
    </row>
    <row r="304" spans="1:12">
      <c r="A304" s="983">
        <v>18688</v>
      </c>
      <c r="B304" s="983">
        <v>-1.5599999999999999E-2</v>
      </c>
      <c r="C304" s="983">
        <v>-1.7399999999999999E-2</v>
      </c>
      <c r="D304" s="983">
        <v>1.9E-3</v>
      </c>
      <c r="E304" s="983">
        <v>2.3166666666666665E-3</v>
      </c>
      <c r="F304" s="983">
        <v>2.3499999999999997E-3</v>
      </c>
      <c r="G304" s="983">
        <v>2.3333333333333335E-3</v>
      </c>
      <c r="H304" s="983">
        <v>2.4583333333333336E-3</v>
      </c>
      <c r="I304" s="983">
        <v>-1.7499999999999998E-2</v>
      </c>
      <c r="J304" s="983">
        <v>-1.7933333333333332E-2</v>
      </c>
      <c r="K304" s="983">
        <v>-1.8058333333333332E-2</v>
      </c>
      <c r="L304" s="983">
        <v>-1.9858333333333332E-2</v>
      </c>
    </row>
    <row r="305" spans="1:12">
      <c r="A305" s="983">
        <v>18719</v>
      </c>
      <c r="B305" s="983">
        <v>5.0900000000000001E-2</v>
      </c>
      <c r="C305" s="983">
        <v>5.0000000000000044E-4</v>
      </c>
      <c r="D305" s="983">
        <v>2E-3</v>
      </c>
      <c r="E305" s="983">
        <v>2.3916666666666665E-3</v>
      </c>
      <c r="F305" s="983">
        <v>2.4416666666666666E-3</v>
      </c>
      <c r="G305" s="983">
        <v>2.4166666666666668E-3</v>
      </c>
      <c r="H305" s="983">
        <v>2.575E-3</v>
      </c>
      <c r="I305" s="983">
        <v>4.8899999999999999E-2</v>
      </c>
      <c r="J305" s="983">
        <v>4.8483333333333337E-2</v>
      </c>
      <c r="K305" s="983">
        <v>4.8325E-2</v>
      </c>
      <c r="L305" s="983">
        <v>-2.0749999999999996E-3</v>
      </c>
    </row>
    <row r="306" spans="1:12">
      <c r="A306" s="983">
        <v>18749</v>
      </c>
      <c r="B306" s="983">
        <v>-2.9899999999999999E-2</v>
      </c>
      <c r="C306" s="983">
        <v>6.6E-3</v>
      </c>
      <c r="D306" s="983">
        <v>2.0999999999999999E-3</v>
      </c>
      <c r="E306" s="983">
        <v>2.4083333333333335E-3</v>
      </c>
      <c r="F306" s="983">
        <v>2.4416666666666666E-3</v>
      </c>
      <c r="G306" s="983">
        <v>2.4250000000000001E-3</v>
      </c>
      <c r="H306" s="983">
        <v>2.6083333333333332E-3</v>
      </c>
      <c r="I306" s="983">
        <v>-3.2000000000000001E-2</v>
      </c>
      <c r="J306" s="983">
        <v>-3.2325E-2</v>
      </c>
      <c r="K306" s="983">
        <v>-3.2508333333333334E-2</v>
      </c>
      <c r="L306" s="983">
        <v>3.9916666666666668E-3</v>
      </c>
    </row>
    <row r="307" spans="1:12">
      <c r="A307" s="983">
        <v>18780</v>
      </c>
      <c r="B307" s="983">
        <v>-2.2800000000000001E-2</v>
      </c>
      <c r="C307" s="983">
        <v>-3.9999999999999992E-3</v>
      </c>
      <c r="D307" s="983">
        <v>2E-3</v>
      </c>
      <c r="E307" s="983">
        <v>2.4499999999999999E-3</v>
      </c>
      <c r="F307" s="983">
        <v>2.4916666666666668E-3</v>
      </c>
      <c r="G307" s="983">
        <v>2.4708333333333331E-3</v>
      </c>
      <c r="H307" s="983">
        <v>2.6750000000000003E-3</v>
      </c>
      <c r="I307" s="983">
        <v>-2.4800000000000003E-2</v>
      </c>
      <c r="J307" s="983">
        <v>-2.5270833333333333E-2</v>
      </c>
      <c r="K307" s="983">
        <v>-2.5475000000000001E-2</v>
      </c>
      <c r="L307" s="983">
        <v>-6.6749999999999995E-3</v>
      </c>
    </row>
    <row r="308" spans="1:12">
      <c r="A308" s="983">
        <v>18810</v>
      </c>
      <c r="B308" s="983">
        <v>7.1099999999999997E-2</v>
      </c>
      <c r="C308" s="983">
        <v>4.3899999999999995E-2</v>
      </c>
      <c r="D308" s="983">
        <v>2.3E-3</v>
      </c>
      <c r="E308" s="983">
        <v>2.4499999999999999E-3</v>
      </c>
      <c r="F308" s="983">
        <v>2.4916666666666668E-3</v>
      </c>
      <c r="G308" s="983">
        <v>2.4708333333333331E-3</v>
      </c>
      <c r="H308" s="983">
        <v>2.7166666666666667E-3</v>
      </c>
      <c r="I308" s="983">
        <v>6.88E-2</v>
      </c>
      <c r="J308" s="983">
        <v>6.8629166666666658E-2</v>
      </c>
      <c r="K308" s="983">
        <v>6.8383333333333324E-2</v>
      </c>
      <c r="L308" s="983">
        <v>4.1183333333333329E-2</v>
      </c>
    </row>
    <row r="309" spans="1:12">
      <c r="A309" s="983">
        <v>18841</v>
      </c>
      <c r="B309" s="983">
        <v>4.7800000000000002E-2</v>
      </c>
      <c r="C309" s="983">
        <v>1.5200000000000002E-2</v>
      </c>
      <c r="D309" s="983">
        <v>2.0999999999999999E-3</v>
      </c>
      <c r="E309" s="983">
        <v>2.3999999999999998E-3</v>
      </c>
      <c r="F309" s="983">
        <v>2.4333333333333334E-3</v>
      </c>
      <c r="G309" s="983">
        <v>2.4166666666666664E-3</v>
      </c>
      <c r="H309" s="983">
        <v>2.6583333333333333E-3</v>
      </c>
      <c r="I309" s="983">
        <v>4.5700000000000005E-2</v>
      </c>
      <c r="J309" s="983">
        <v>4.5383333333333338E-2</v>
      </c>
      <c r="K309" s="983">
        <v>4.514166666666667E-2</v>
      </c>
      <c r="L309" s="983">
        <v>1.2541666666666668E-2</v>
      </c>
    </row>
    <row r="310" spans="1:12">
      <c r="A310" s="983">
        <v>18872</v>
      </c>
      <c r="B310" s="983">
        <v>1.2999999999999999E-3</v>
      </c>
      <c r="C310" s="983">
        <v>8.6E-3</v>
      </c>
      <c r="D310" s="983">
        <v>1.9E-3</v>
      </c>
      <c r="E310" s="983">
        <v>2.3666666666666667E-3</v>
      </c>
      <c r="F310" s="983">
        <v>2.3999999999999998E-3</v>
      </c>
      <c r="G310" s="983">
        <v>2.3833333333333332E-3</v>
      </c>
      <c r="H310" s="983">
        <v>2.6166666666666664E-3</v>
      </c>
      <c r="I310" s="983">
        <v>-6.0000000000000006E-4</v>
      </c>
      <c r="J310" s="983">
        <v>-1.0833333333333333E-3</v>
      </c>
      <c r="K310" s="983">
        <v>-1.3166666666666665E-3</v>
      </c>
      <c r="L310" s="983">
        <v>5.9833333333333336E-3</v>
      </c>
    </row>
    <row r="311" spans="1:12">
      <c r="A311" s="983">
        <v>18902</v>
      </c>
      <c r="B311" s="983">
        <v>-1.03E-2</v>
      </c>
      <c r="C311" s="983">
        <v>2.8999999999999998E-3</v>
      </c>
      <c r="D311" s="983">
        <v>2.3E-3</v>
      </c>
      <c r="E311" s="983">
        <v>2.4083333333333335E-3</v>
      </c>
      <c r="F311" s="983">
        <v>2.4416666666666666E-3</v>
      </c>
      <c r="G311" s="983">
        <v>2.4250000000000001E-3</v>
      </c>
      <c r="H311" s="983">
        <v>2.6416666666666667E-3</v>
      </c>
      <c r="I311" s="983">
        <v>-1.26E-2</v>
      </c>
      <c r="J311" s="983">
        <v>-1.2725E-2</v>
      </c>
      <c r="K311" s="983">
        <v>-1.2941666666666667E-2</v>
      </c>
      <c r="L311" s="983">
        <v>2.5833333333333307E-4</v>
      </c>
    </row>
    <row r="312" spans="1:12">
      <c r="A312" s="983">
        <v>18933</v>
      </c>
      <c r="B312" s="983">
        <v>9.5999999999999992E-3</v>
      </c>
      <c r="C312" s="983">
        <v>1.2E-2</v>
      </c>
      <c r="D312" s="983">
        <v>2.0999999999999999E-3</v>
      </c>
      <c r="E312" s="983">
        <v>2.4666666666666669E-3</v>
      </c>
      <c r="F312" s="983">
        <v>2.5166666666666666E-3</v>
      </c>
      <c r="G312" s="983">
        <v>2.4916666666666663E-3</v>
      </c>
      <c r="H312" s="983">
        <v>2.7000000000000001E-3</v>
      </c>
      <c r="I312" s="983">
        <v>7.4999999999999997E-3</v>
      </c>
      <c r="J312" s="983">
        <v>7.1083333333333328E-3</v>
      </c>
      <c r="K312" s="983">
        <v>6.899999999999999E-3</v>
      </c>
      <c r="L312" s="983">
        <v>9.2999999999999992E-3</v>
      </c>
    </row>
    <row r="313" spans="1:12">
      <c r="A313" s="983">
        <v>18963</v>
      </c>
      <c r="B313" s="983">
        <v>4.24E-2</v>
      </c>
      <c r="C313" s="983">
        <v>3.5200000000000002E-2</v>
      </c>
      <c r="D313" s="983">
        <v>2.2000000000000001E-3</v>
      </c>
      <c r="E313" s="983">
        <v>2.5083333333333329E-3</v>
      </c>
      <c r="F313" s="983">
        <v>2.5500000000000002E-3</v>
      </c>
      <c r="G313" s="983">
        <v>2.529166666666667E-3</v>
      </c>
      <c r="H313" s="983">
        <v>2.7416666666666666E-3</v>
      </c>
      <c r="I313" s="983">
        <v>4.02E-2</v>
      </c>
      <c r="J313" s="983">
        <v>3.9870833333333335E-2</v>
      </c>
      <c r="K313" s="983">
        <v>3.9658333333333337E-2</v>
      </c>
      <c r="L313" s="983">
        <v>3.2458333333333339E-2</v>
      </c>
    </row>
    <row r="314" spans="1:12">
      <c r="A314" s="983">
        <v>18994</v>
      </c>
      <c r="B314" s="983">
        <v>1.8100000000000002E-2</v>
      </c>
      <c r="C314" s="983">
        <v>3.0499999999999999E-2</v>
      </c>
      <c r="D314" s="983">
        <v>2.3E-3</v>
      </c>
      <c r="E314" s="983">
        <v>2.4833333333333331E-3</v>
      </c>
      <c r="F314" s="983">
        <v>2.5416666666666665E-3</v>
      </c>
      <c r="G314" s="983">
        <v>2.5124999999999995E-3</v>
      </c>
      <c r="H314" s="983">
        <v>2.7416666666666666E-3</v>
      </c>
      <c r="I314" s="983">
        <v>1.5800000000000002E-2</v>
      </c>
      <c r="J314" s="983">
        <v>1.5587500000000002E-2</v>
      </c>
      <c r="K314" s="983">
        <v>1.5358333333333335E-2</v>
      </c>
      <c r="L314" s="983">
        <v>2.7758333333333333E-2</v>
      </c>
    </row>
    <row r="315" spans="1:12">
      <c r="A315" s="983">
        <v>19025</v>
      </c>
      <c r="B315" s="983">
        <v>-2.8199999999999999E-2</v>
      </c>
      <c r="C315" s="983">
        <v>5.8999999999999999E-3</v>
      </c>
      <c r="D315" s="983">
        <v>2.0999999999999999E-3</v>
      </c>
      <c r="E315" s="983">
        <v>2.4416666666666666E-3</v>
      </c>
      <c r="F315" s="983">
        <v>2.5083333333333329E-3</v>
      </c>
      <c r="G315" s="983">
        <v>2.4749999999999998E-3</v>
      </c>
      <c r="H315" s="983">
        <v>2.6916666666666669E-3</v>
      </c>
      <c r="I315" s="983">
        <v>-3.0300000000000001E-2</v>
      </c>
      <c r="J315" s="983">
        <v>-3.0675000000000001E-2</v>
      </c>
      <c r="K315" s="983">
        <v>-3.0891666666666664E-2</v>
      </c>
      <c r="L315" s="983">
        <v>3.208333333333333E-3</v>
      </c>
    </row>
    <row r="316" spans="1:12">
      <c r="A316" s="983">
        <v>19054</v>
      </c>
      <c r="B316" s="983">
        <v>5.0299999999999997E-2</v>
      </c>
      <c r="C316" s="983">
        <v>1.7599999999999998E-2</v>
      </c>
      <c r="D316" s="983">
        <v>2.3E-3</v>
      </c>
      <c r="E316" s="983">
        <v>2.4666666666666669E-3</v>
      </c>
      <c r="F316" s="983">
        <v>2.5249999999999999E-3</v>
      </c>
      <c r="G316" s="983">
        <v>2.4958333333333334E-3</v>
      </c>
      <c r="H316" s="983">
        <v>2.708333333333333E-3</v>
      </c>
      <c r="I316" s="983">
        <v>4.8000000000000001E-2</v>
      </c>
      <c r="J316" s="983">
        <v>4.7804166666666661E-2</v>
      </c>
      <c r="K316" s="983">
        <v>4.7591666666666664E-2</v>
      </c>
      <c r="L316" s="983">
        <v>1.4891666666666664E-2</v>
      </c>
    </row>
    <row r="317" spans="1:12">
      <c r="A317" s="983">
        <v>19085</v>
      </c>
      <c r="B317" s="983">
        <v>-4.02E-2</v>
      </c>
      <c r="C317" s="983">
        <v>-1.54E-2</v>
      </c>
      <c r="D317" s="983">
        <v>2.2000000000000001E-3</v>
      </c>
      <c r="E317" s="983">
        <v>2.4416666666666666E-3</v>
      </c>
      <c r="F317" s="983">
        <v>2.5083333333333329E-3</v>
      </c>
      <c r="G317" s="983">
        <v>2.4749999999999998E-3</v>
      </c>
      <c r="H317" s="983">
        <v>2.6916666666666669E-3</v>
      </c>
      <c r="I317" s="983">
        <v>-4.24E-2</v>
      </c>
      <c r="J317" s="983">
        <v>-4.2674999999999998E-2</v>
      </c>
      <c r="K317" s="983">
        <v>-4.2891666666666668E-2</v>
      </c>
      <c r="L317" s="983">
        <v>-1.8091666666666666E-2</v>
      </c>
    </row>
    <row r="318" spans="1:12">
      <c r="A318" s="983">
        <v>19115</v>
      </c>
      <c r="B318" s="983">
        <v>3.4299999999999997E-2</v>
      </c>
      <c r="C318" s="983">
        <v>1.9E-2</v>
      </c>
      <c r="D318" s="983">
        <v>2E-3</v>
      </c>
      <c r="E318" s="983">
        <v>2.4416666666666666E-3</v>
      </c>
      <c r="F318" s="983">
        <v>2.5000000000000001E-3</v>
      </c>
      <c r="G318" s="983">
        <v>2.4708333333333331E-3</v>
      </c>
      <c r="H318" s="983">
        <v>2.6833333333333336E-3</v>
      </c>
      <c r="I318" s="983">
        <v>3.2299999999999995E-2</v>
      </c>
      <c r="J318" s="983">
        <v>3.1829166666666665E-2</v>
      </c>
      <c r="K318" s="983">
        <v>3.1616666666666661E-2</v>
      </c>
      <c r="L318" s="983">
        <v>1.6316666666666667E-2</v>
      </c>
    </row>
    <row r="319" spans="1:12">
      <c r="A319" s="983">
        <v>19146</v>
      </c>
      <c r="B319" s="983">
        <v>4.9000000000000002E-2</v>
      </c>
      <c r="C319" s="983">
        <v>4.8999999999999998E-3</v>
      </c>
      <c r="D319" s="983">
        <v>2.2000000000000001E-3</v>
      </c>
      <c r="E319" s="983">
        <v>2.4499999999999999E-3</v>
      </c>
      <c r="F319" s="983">
        <v>2.5249999999999999E-3</v>
      </c>
      <c r="G319" s="983">
        <v>2.4875000000000001E-3</v>
      </c>
      <c r="H319" s="983">
        <v>2.6833333333333336E-3</v>
      </c>
      <c r="I319" s="983">
        <v>4.6800000000000001E-2</v>
      </c>
      <c r="J319" s="983">
        <v>4.6512499999999998E-2</v>
      </c>
      <c r="K319" s="983">
        <v>4.6316666666666666E-2</v>
      </c>
      <c r="L319" s="983">
        <v>2.2166666666666663E-3</v>
      </c>
    </row>
    <row r="320" spans="1:12">
      <c r="A320" s="983">
        <v>19176</v>
      </c>
      <c r="B320" s="983">
        <v>1.9599999999999999E-2</v>
      </c>
      <c r="C320" s="983">
        <v>2.06E-2</v>
      </c>
      <c r="D320" s="983">
        <v>2.2000000000000001E-3</v>
      </c>
      <c r="E320" s="983">
        <v>2.4583333333333336E-3</v>
      </c>
      <c r="F320" s="983">
        <v>2.5333333333333336E-3</v>
      </c>
      <c r="G320" s="983">
        <v>2.4958333333333334E-3</v>
      </c>
      <c r="H320" s="983">
        <v>2.6833333333333336E-3</v>
      </c>
      <c r="I320" s="983">
        <v>1.7399999999999999E-2</v>
      </c>
      <c r="J320" s="983">
        <v>1.7104166666666667E-2</v>
      </c>
      <c r="K320" s="983">
        <v>1.6916666666666667E-2</v>
      </c>
      <c r="L320" s="983">
        <v>1.7916666666666668E-2</v>
      </c>
    </row>
    <row r="321" spans="1:12">
      <c r="A321" s="983">
        <v>19207</v>
      </c>
      <c r="B321" s="983">
        <v>-7.1000000000000004E-3</v>
      </c>
      <c r="C321" s="983">
        <v>2.0300000000000002E-2</v>
      </c>
      <c r="D321" s="983">
        <v>2.0999999999999999E-3</v>
      </c>
      <c r="E321" s="983">
        <v>2.4499999999999999E-3</v>
      </c>
      <c r="F321" s="983">
        <v>2.5500000000000002E-3</v>
      </c>
      <c r="G321" s="983">
        <v>2.5000000000000001E-3</v>
      </c>
      <c r="H321" s="983">
        <v>2.7000000000000001E-3</v>
      </c>
      <c r="I321" s="983">
        <v>-9.1999999999999998E-3</v>
      </c>
      <c r="J321" s="983">
        <v>-9.6000000000000009E-3</v>
      </c>
      <c r="K321" s="983">
        <v>-9.7999999999999997E-3</v>
      </c>
      <c r="L321" s="983">
        <v>1.7600000000000001E-2</v>
      </c>
    </row>
    <row r="322" spans="1:12">
      <c r="A322" s="983">
        <v>19238</v>
      </c>
      <c r="B322" s="983">
        <v>-1.7600000000000001E-2</v>
      </c>
      <c r="C322" s="983">
        <v>1.4999999999999996E-3</v>
      </c>
      <c r="D322" s="983">
        <v>2.3E-3</v>
      </c>
      <c r="E322" s="983">
        <v>2.4583333333333336E-3</v>
      </c>
      <c r="F322" s="983">
        <v>2.558333333333333E-3</v>
      </c>
      <c r="G322" s="983">
        <v>2.5083333333333333E-3</v>
      </c>
      <c r="H322" s="983">
        <v>2.7000000000000001E-3</v>
      </c>
      <c r="I322" s="983">
        <v>-1.9900000000000001E-2</v>
      </c>
      <c r="J322" s="983">
        <v>-2.0108333333333336E-2</v>
      </c>
      <c r="K322" s="983">
        <v>-2.0300000000000002E-2</v>
      </c>
      <c r="L322" s="983">
        <v>-1.2000000000000005E-3</v>
      </c>
    </row>
    <row r="323" spans="1:12">
      <c r="A323" s="983">
        <v>19268</v>
      </c>
      <c r="B323" s="983">
        <v>2E-3</v>
      </c>
      <c r="C323" s="983">
        <v>1.01E-2</v>
      </c>
      <c r="D323" s="983">
        <v>2.3E-3</v>
      </c>
      <c r="E323" s="983">
        <v>2.5083333333333329E-3</v>
      </c>
      <c r="F323" s="983">
        <v>2.5666666666666667E-3</v>
      </c>
      <c r="G323" s="983">
        <v>2.5374999999999998E-3</v>
      </c>
      <c r="H323" s="983">
        <v>2.7166666666666667E-3</v>
      </c>
      <c r="I323" s="983">
        <v>-2.9999999999999992E-4</v>
      </c>
      <c r="J323" s="983">
        <v>-5.3749999999999978E-4</v>
      </c>
      <c r="K323" s="983">
        <v>-7.1666666666666667E-4</v>
      </c>
      <c r="L323" s="983">
        <v>7.3833333333333329E-3</v>
      </c>
    </row>
    <row r="324" spans="1:12">
      <c r="A324" s="983">
        <v>19299</v>
      </c>
      <c r="B324" s="983">
        <v>5.7099999999999998E-2</v>
      </c>
      <c r="C324" s="983">
        <v>4.2299999999999997E-2</v>
      </c>
      <c r="D324" s="983">
        <v>2.0999999999999999E-3</v>
      </c>
      <c r="E324" s="983">
        <v>2.4833333333333331E-3</v>
      </c>
      <c r="F324" s="983">
        <v>2.5500000000000002E-3</v>
      </c>
      <c r="G324" s="983">
        <v>2.5166666666666666E-3</v>
      </c>
      <c r="H324" s="983">
        <v>2.7000000000000001E-3</v>
      </c>
      <c r="I324" s="983">
        <v>5.5E-2</v>
      </c>
      <c r="J324" s="983">
        <v>5.4583333333333331E-2</v>
      </c>
      <c r="K324" s="983">
        <v>5.4399999999999997E-2</v>
      </c>
      <c r="L324" s="983">
        <v>3.9599999999999996E-2</v>
      </c>
    </row>
    <row r="325" spans="1:12">
      <c r="A325" s="983">
        <v>19329</v>
      </c>
      <c r="B325" s="983">
        <v>3.8199999999999998E-2</v>
      </c>
      <c r="C325" s="983">
        <v>2.1299999999999999E-2</v>
      </c>
      <c r="D325" s="983">
        <v>2.3999999999999998E-3</v>
      </c>
      <c r="E325" s="983">
        <v>2.4750000000000002E-3</v>
      </c>
      <c r="F325" s="983">
        <v>2.5416666666666665E-3</v>
      </c>
      <c r="G325" s="983">
        <v>2.5083333333333333E-3</v>
      </c>
      <c r="H325" s="983">
        <v>2.6833333333333336E-3</v>
      </c>
      <c r="I325" s="983">
        <v>3.5799999999999998E-2</v>
      </c>
      <c r="J325" s="983">
        <v>3.5691666666666663E-2</v>
      </c>
      <c r="K325" s="983">
        <v>3.5516666666666662E-2</v>
      </c>
      <c r="L325" s="983">
        <v>1.8616666666666667E-2</v>
      </c>
    </row>
    <row r="326" spans="1:12">
      <c r="A326" s="983">
        <v>19360</v>
      </c>
      <c r="B326" s="983">
        <v>-4.8999999999999998E-3</v>
      </c>
      <c r="C326" s="983">
        <v>1.03E-2</v>
      </c>
      <c r="D326" s="983">
        <v>2.3E-3</v>
      </c>
      <c r="E326" s="983">
        <v>2.5166666666666666E-3</v>
      </c>
      <c r="F326" s="983">
        <v>2.575E-3</v>
      </c>
      <c r="G326" s="983">
        <v>2.5458333333333331E-3</v>
      </c>
      <c r="H326" s="983">
        <v>2.708333333333333E-3</v>
      </c>
      <c r="I326" s="983">
        <v>-7.1999999999999998E-3</v>
      </c>
      <c r="J326" s="983">
        <v>-7.4458333333333329E-3</v>
      </c>
      <c r="K326" s="983">
        <v>-7.6083333333333333E-3</v>
      </c>
      <c r="L326" s="983">
        <v>7.5916666666666667E-3</v>
      </c>
    </row>
    <row r="327" spans="1:12">
      <c r="A327" s="983">
        <v>19391</v>
      </c>
      <c r="B327" s="983">
        <v>-1.06E-2</v>
      </c>
      <c r="C327" s="983">
        <v>-6.7000000000000002E-3</v>
      </c>
      <c r="D327" s="983">
        <v>2.0999999999999999E-3</v>
      </c>
      <c r="E327" s="983">
        <v>2.558333333333333E-3</v>
      </c>
      <c r="F327" s="983">
        <v>2.6166666666666664E-3</v>
      </c>
      <c r="G327" s="983">
        <v>2.5875E-3</v>
      </c>
      <c r="H327" s="983">
        <v>2.7500000000000003E-3</v>
      </c>
      <c r="I327" s="983">
        <v>-1.2699999999999999E-2</v>
      </c>
      <c r="J327" s="983">
        <v>-1.31875E-2</v>
      </c>
      <c r="K327" s="983">
        <v>-1.3350000000000001E-2</v>
      </c>
      <c r="L327" s="983">
        <v>-9.4500000000000001E-3</v>
      </c>
    </row>
    <row r="328" spans="1:12">
      <c r="A328" s="983">
        <v>19419</v>
      </c>
      <c r="B328" s="983">
        <v>-2.12E-2</v>
      </c>
      <c r="C328" s="983">
        <v>-4.3E-3</v>
      </c>
      <c r="D328" s="983">
        <v>2.5000000000000001E-3</v>
      </c>
      <c r="E328" s="983">
        <v>2.5999999999999999E-3</v>
      </c>
      <c r="F328" s="983">
        <v>2.65E-3</v>
      </c>
      <c r="G328" s="983">
        <v>2.6250000000000002E-3</v>
      </c>
      <c r="H328" s="983">
        <v>2.7999999999999995E-3</v>
      </c>
      <c r="I328" s="983">
        <v>-2.3699999999999999E-2</v>
      </c>
      <c r="J328" s="983">
        <v>-2.3824999999999999E-2</v>
      </c>
      <c r="K328" s="983">
        <v>-2.4E-2</v>
      </c>
      <c r="L328" s="983">
        <v>-7.0999999999999995E-3</v>
      </c>
    </row>
    <row r="329" spans="1:12">
      <c r="A329" s="983">
        <v>19450</v>
      </c>
      <c r="B329" s="983">
        <v>-2.3699999999999999E-2</v>
      </c>
      <c r="C329" s="983">
        <v>-1.9200000000000002E-2</v>
      </c>
      <c r="D329" s="983">
        <v>2.3999999999999998E-3</v>
      </c>
      <c r="E329" s="983">
        <v>2.6916666666666669E-3</v>
      </c>
      <c r="F329" s="983">
        <v>2.7416666666666666E-3</v>
      </c>
      <c r="G329" s="983">
        <v>2.7166666666666667E-3</v>
      </c>
      <c r="H329" s="983">
        <v>2.891666666666667E-3</v>
      </c>
      <c r="I329" s="983">
        <v>-2.6099999999999998E-2</v>
      </c>
      <c r="J329" s="983">
        <v>-2.6416666666666665E-2</v>
      </c>
      <c r="K329" s="983">
        <v>-2.6591666666666666E-2</v>
      </c>
      <c r="L329" s="983">
        <v>-2.2091666666666669E-2</v>
      </c>
    </row>
    <row r="330" spans="1:12">
      <c r="A330" s="983">
        <v>19480</v>
      </c>
      <c r="B330" s="983">
        <v>7.7000000000000002E-3</v>
      </c>
      <c r="C330" s="983">
        <v>2.3999999999999998E-3</v>
      </c>
      <c r="D330" s="983">
        <v>2.3999999999999998E-3</v>
      </c>
      <c r="E330" s="983">
        <v>2.7833333333333334E-3</v>
      </c>
      <c r="F330" s="983">
        <v>2.8416666666666668E-3</v>
      </c>
      <c r="G330" s="983">
        <v>2.8124999999999999E-3</v>
      </c>
      <c r="H330" s="983">
        <v>3.0249999999999999E-3</v>
      </c>
      <c r="I330" s="983">
        <v>5.3000000000000009E-3</v>
      </c>
      <c r="J330" s="983">
        <v>4.8875000000000004E-3</v>
      </c>
      <c r="K330" s="983">
        <v>4.6750000000000003E-3</v>
      </c>
      <c r="L330" s="983">
        <v>-6.2500000000000012E-4</v>
      </c>
    </row>
    <row r="331" spans="1:12">
      <c r="A331" s="983">
        <v>19511</v>
      </c>
      <c r="B331" s="983">
        <v>-1.34E-2</v>
      </c>
      <c r="C331" s="983">
        <v>-2.7300000000000001E-2</v>
      </c>
      <c r="D331" s="983">
        <v>2.7000000000000001E-3</v>
      </c>
      <c r="E331" s="983">
        <v>2.8333333333333331E-3</v>
      </c>
      <c r="F331" s="983">
        <v>2.9166666666666668E-3</v>
      </c>
      <c r="G331" s="983">
        <v>2.875E-3</v>
      </c>
      <c r="H331" s="983">
        <v>3.0916666666666666E-3</v>
      </c>
      <c r="I331" s="983">
        <v>-1.61E-2</v>
      </c>
      <c r="J331" s="983">
        <v>-1.6275000000000001E-2</v>
      </c>
      <c r="K331" s="983">
        <v>-1.6491666666666668E-2</v>
      </c>
      <c r="L331" s="983">
        <v>-3.0391666666666668E-2</v>
      </c>
    </row>
    <row r="332" spans="1:12">
      <c r="A332" s="983">
        <v>19541</v>
      </c>
      <c r="B332" s="983">
        <v>2.7300000000000001E-2</v>
      </c>
      <c r="C332" s="983">
        <v>3.4500000000000003E-2</v>
      </c>
      <c r="D332" s="983">
        <v>2.5000000000000001E-3</v>
      </c>
      <c r="E332" s="983">
        <v>2.7333333333333333E-3</v>
      </c>
      <c r="F332" s="983">
        <v>2.8499999999999997E-3</v>
      </c>
      <c r="G332" s="983">
        <v>2.7916666666666667E-3</v>
      </c>
      <c r="H332" s="983">
        <v>3.0499999999999998E-3</v>
      </c>
      <c r="I332" s="983">
        <v>2.4800000000000003E-2</v>
      </c>
      <c r="J332" s="983">
        <v>2.4508333333333333E-2</v>
      </c>
      <c r="K332" s="983">
        <v>2.4250000000000001E-2</v>
      </c>
      <c r="L332" s="983">
        <v>3.1450000000000006E-2</v>
      </c>
    </row>
    <row r="333" spans="1:12">
      <c r="A333" s="983">
        <v>19572</v>
      </c>
      <c r="B333" s="983">
        <v>-5.0099999999999999E-2</v>
      </c>
      <c r="C333" s="983">
        <v>1.5999999999999999E-3</v>
      </c>
      <c r="D333" s="983">
        <v>2.5000000000000001E-3</v>
      </c>
      <c r="E333" s="983">
        <v>2.7000000000000001E-3</v>
      </c>
      <c r="F333" s="983">
        <v>2.8250000000000003E-3</v>
      </c>
      <c r="G333" s="983">
        <v>2.7624999999999998E-3</v>
      </c>
      <c r="H333" s="983">
        <v>3.0083333333333333E-3</v>
      </c>
      <c r="I333" s="983">
        <v>-5.2600000000000001E-2</v>
      </c>
      <c r="J333" s="983">
        <v>-5.28625E-2</v>
      </c>
      <c r="K333" s="983">
        <v>-5.3108333333333334E-2</v>
      </c>
      <c r="L333" s="983">
        <v>-1.4083333333333335E-3</v>
      </c>
    </row>
    <row r="334" spans="1:12">
      <c r="A334" s="983">
        <v>19603</v>
      </c>
      <c r="B334" s="983">
        <v>3.3999999999999998E-3</v>
      </c>
      <c r="C334" s="983">
        <v>1.1900000000000001E-2</v>
      </c>
      <c r="D334" s="983">
        <v>2.5000000000000001E-3</v>
      </c>
      <c r="E334" s="983">
        <v>2.7416666666666666E-3</v>
      </c>
      <c r="F334" s="983">
        <v>2.8583333333333334E-3</v>
      </c>
      <c r="G334" s="983">
        <v>2.8000000000000004E-3</v>
      </c>
      <c r="H334" s="983">
        <v>3.0166666666666671E-3</v>
      </c>
      <c r="I334" s="983">
        <v>8.9999999999999976E-4</v>
      </c>
      <c r="J334" s="983">
        <v>5.9999999999999941E-4</v>
      </c>
      <c r="K334" s="983">
        <v>3.8333333333333275E-4</v>
      </c>
      <c r="L334" s="983">
        <v>8.8833333333333334E-3</v>
      </c>
    </row>
    <row r="335" spans="1:12">
      <c r="A335" s="983">
        <v>19633</v>
      </c>
      <c r="B335" s="983">
        <v>5.3999999999999999E-2</v>
      </c>
      <c r="C335" s="983">
        <v>4.1100000000000005E-2</v>
      </c>
      <c r="D335" s="983">
        <v>2.3E-3</v>
      </c>
      <c r="E335" s="983">
        <v>2.6333333333333334E-3</v>
      </c>
      <c r="F335" s="983">
        <v>2.7750000000000001E-3</v>
      </c>
      <c r="G335" s="983">
        <v>2.7041666666666668E-3</v>
      </c>
      <c r="H335" s="983">
        <v>2.9083333333333335E-3</v>
      </c>
      <c r="I335" s="983">
        <v>5.1699999999999996E-2</v>
      </c>
      <c r="J335" s="983">
        <v>5.1295833333333332E-2</v>
      </c>
      <c r="K335" s="983">
        <v>5.1091666666666667E-2</v>
      </c>
      <c r="L335" s="983">
        <v>3.8191666666666672E-2</v>
      </c>
    </row>
    <row r="336" spans="1:12">
      <c r="A336" s="983">
        <v>19664</v>
      </c>
      <c r="B336" s="983">
        <v>2.0400000000000001E-2</v>
      </c>
      <c r="C336" s="983">
        <v>2.7400000000000001E-2</v>
      </c>
      <c r="D336" s="983">
        <v>2.3999999999999998E-3</v>
      </c>
      <c r="E336" s="983">
        <v>2.5916666666666666E-3</v>
      </c>
      <c r="F336" s="983">
        <v>2.725E-3</v>
      </c>
      <c r="G336" s="983">
        <v>2.6583333333333337E-3</v>
      </c>
      <c r="H336" s="983">
        <v>2.8333333333333331E-3</v>
      </c>
      <c r="I336" s="983">
        <v>1.8000000000000002E-2</v>
      </c>
      <c r="J336" s="983">
        <v>1.7741666666666669E-2</v>
      </c>
      <c r="K336" s="983">
        <v>1.7566666666666668E-2</v>
      </c>
      <c r="L336" s="983">
        <v>2.4566666666666667E-2</v>
      </c>
    </row>
    <row r="337" spans="1:12">
      <c r="A337" s="983">
        <v>19694</v>
      </c>
      <c r="B337" s="983">
        <v>5.3E-3</v>
      </c>
      <c r="C337" s="983">
        <v>6.4000000000000003E-3</v>
      </c>
      <c r="D337" s="983">
        <v>2.3999999999999998E-3</v>
      </c>
      <c r="E337" s="983">
        <v>2.6083333333333332E-3</v>
      </c>
      <c r="F337" s="983">
        <v>2.7333333333333333E-3</v>
      </c>
      <c r="G337" s="983">
        <v>2.6708333333333332E-3</v>
      </c>
      <c r="H337" s="983">
        <v>2.816666666666667E-3</v>
      </c>
      <c r="I337" s="983">
        <v>2.9000000000000002E-3</v>
      </c>
      <c r="J337" s="983">
        <v>2.6291666666666668E-3</v>
      </c>
      <c r="K337" s="983">
        <v>2.4833333333333331E-3</v>
      </c>
      <c r="L337" s="983">
        <v>3.5833333333333333E-3</v>
      </c>
    </row>
    <row r="338" spans="1:12">
      <c r="A338" s="983">
        <v>19725</v>
      </c>
      <c r="B338" s="983">
        <v>5.3600000000000002E-2</v>
      </c>
      <c r="C338" s="983">
        <v>3.27E-2</v>
      </c>
      <c r="D338" s="983">
        <v>2.3E-3</v>
      </c>
      <c r="E338" s="983">
        <v>2.5500000000000002E-3</v>
      </c>
      <c r="F338" s="983">
        <v>2.6833333333333336E-3</v>
      </c>
      <c r="G338" s="983">
        <v>2.6166666666666673E-3</v>
      </c>
      <c r="H338" s="983">
        <v>2.7666666666666668E-3</v>
      </c>
      <c r="I338" s="983">
        <v>5.1299999999999998E-2</v>
      </c>
      <c r="J338" s="983">
        <v>5.0983333333333332E-2</v>
      </c>
      <c r="K338" s="983">
        <v>5.0833333333333335E-2</v>
      </c>
      <c r="L338" s="983">
        <v>2.9933333333333333E-2</v>
      </c>
    </row>
    <row r="339" spans="1:12">
      <c r="A339" s="983">
        <v>19756</v>
      </c>
      <c r="B339" s="983">
        <v>1.11E-2</v>
      </c>
      <c r="C339" s="983">
        <v>1.1699999999999999E-2</v>
      </c>
      <c r="D339" s="983">
        <v>2.2000000000000001E-3</v>
      </c>
      <c r="E339" s="983">
        <v>2.4583333333333336E-3</v>
      </c>
      <c r="F339" s="983">
        <v>2.5999999999999999E-3</v>
      </c>
      <c r="G339" s="983">
        <v>2.529166666666667E-3</v>
      </c>
      <c r="H339" s="983">
        <v>2.6916666666666669E-3</v>
      </c>
      <c r="I339" s="983">
        <v>8.8999999999999999E-3</v>
      </c>
      <c r="J339" s="983">
        <v>8.5708333333333331E-3</v>
      </c>
      <c r="K339" s="983">
        <v>8.4083333333333336E-3</v>
      </c>
      <c r="L339" s="983">
        <v>9.0083333333333317E-3</v>
      </c>
    </row>
    <row r="340" spans="1:12">
      <c r="A340" s="983">
        <v>19784</v>
      </c>
      <c r="B340" s="983">
        <v>3.2500000000000001E-2</v>
      </c>
      <c r="C340" s="983">
        <v>2.7000000000000003E-2</v>
      </c>
      <c r="D340" s="983">
        <v>2.5000000000000001E-3</v>
      </c>
      <c r="E340" s="983">
        <v>2.3833333333333332E-3</v>
      </c>
      <c r="F340" s="983">
        <v>2.5249999999999999E-3</v>
      </c>
      <c r="G340" s="983">
        <v>2.4541666666666666E-3</v>
      </c>
      <c r="H340" s="983">
        <v>2.6333333333333334E-3</v>
      </c>
      <c r="I340" s="983">
        <v>3.0000000000000002E-2</v>
      </c>
      <c r="J340" s="983">
        <v>3.0045833333333334E-2</v>
      </c>
      <c r="K340" s="983">
        <v>2.9866666666666666E-2</v>
      </c>
      <c r="L340" s="983">
        <v>2.4366666666666668E-2</v>
      </c>
    </row>
    <row r="341" spans="1:12">
      <c r="A341" s="983">
        <v>19815</v>
      </c>
      <c r="B341" s="983">
        <v>5.16E-2</v>
      </c>
      <c r="C341" s="983">
        <v>1.21E-2</v>
      </c>
      <c r="D341" s="983">
        <v>2.2000000000000001E-3</v>
      </c>
      <c r="E341" s="983">
        <v>2.3750000000000004E-3</v>
      </c>
      <c r="F341" s="983">
        <v>2.5000000000000001E-3</v>
      </c>
      <c r="G341" s="983">
        <v>2.4375000000000004E-3</v>
      </c>
      <c r="H341" s="983">
        <v>2.6333333333333334E-3</v>
      </c>
      <c r="I341" s="983">
        <v>4.9399999999999999E-2</v>
      </c>
      <c r="J341" s="983">
        <v>4.9162499999999998E-2</v>
      </c>
      <c r="K341" s="983">
        <v>4.8966666666666665E-2</v>
      </c>
      <c r="L341" s="983">
        <v>9.4666666666666666E-3</v>
      </c>
    </row>
    <row r="342" spans="1:12">
      <c r="A342" s="983">
        <v>19845</v>
      </c>
      <c r="B342" s="983">
        <v>4.1799999999999997E-2</v>
      </c>
      <c r="C342" s="983">
        <v>2.5700000000000004E-2</v>
      </c>
      <c r="D342" s="983">
        <v>2E-3</v>
      </c>
      <c r="E342" s="983">
        <v>2.3999999999999998E-3</v>
      </c>
      <c r="F342" s="983">
        <v>2.5249999999999999E-3</v>
      </c>
      <c r="G342" s="983">
        <v>2.4624999999999998E-3</v>
      </c>
      <c r="H342" s="983">
        <v>2.6166666666666664E-3</v>
      </c>
      <c r="I342" s="983">
        <v>3.9799999999999995E-2</v>
      </c>
      <c r="J342" s="983">
        <v>3.9337499999999997E-2</v>
      </c>
      <c r="K342" s="983">
        <v>3.9183333333333334E-2</v>
      </c>
      <c r="L342" s="983">
        <v>2.3083333333333338E-2</v>
      </c>
    </row>
    <row r="343" spans="1:12">
      <c r="A343" s="983">
        <v>19876</v>
      </c>
      <c r="B343" s="983">
        <v>3.0999999999999999E-3</v>
      </c>
      <c r="C343" s="983">
        <v>9.6000000000000009E-3</v>
      </c>
      <c r="D343" s="983">
        <v>2.5000000000000001E-3</v>
      </c>
      <c r="E343" s="983">
        <v>2.4166666666666668E-3</v>
      </c>
      <c r="F343" s="983">
        <v>2.5500000000000002E-3</v>
      </c>
      <c r="G343" s="983">
        <v>2.4833333333333335E-3</v>
      </c>
      <c r="H343" s="983">
        <v>2.6333333333333334E-3</v>
      </c>
      <c r="I343" s="983">
        <v>5.9999999999999984E-4</v>
      </c>
      <c r="J343" s="983">
        <v>6.166666666666664E-4</v>
      </c>
      <c r="K343" s="983">
        <v>4.6666666666666645E-4</v>
      </c>
      <c r="L343" s="983">
        <v>6.9666666666666679E-3</v>
      </c>
    </row>
    <row r="344" spans="1:12">
      <c r="A344" s="983">
        <v>19906</v>
      </c>
      <c r="B344" s="983">
        <v>5.8900000000000001E-2</v>
      </c>
      <c r="C344" s="983">
        <v>4.9500000000000002E-2</v>
      </c>
      <c r="D344" s="983">
        <v>2.2000000000000001E-3</v>
      </c>
      <c r="E344" s="983">
        <v>2.4083333333333335E-3</v>
      </c>
      <c r="F344" s="983">
        <v>2.5333333333333336E-3</v>
      </c>
      <c r="G344" s="983">
        <v>2.4708333333333336E-3</v>
      </c>
      <c r="H344" s="983">
        <v>2.6166666666666664E-3</v>
      </c>
      <c r="I344" s="983">
        <v>5.67E-2</v>
      </c>
      <c r="J344" s="983">
        <v>5.6429166666666669E-2</v>
      </c>
      <c r="K344" s="983">
        <v>5.6283333333333338E-2</v>
      </c>
      <c r="L344" s="983">
        <v>4.6883333333333332E-2</v>
      </c>
    </row>
    <row r="345" spans="1:12">
      <c r="A345" s="983">
        <v>19937</v>
      </c>
      <c r="B345" s="983">
        <v>-2.75E-2</v>
      </c>
      <c r="C345" s="983">
        <v>-1.3100000000000001E-2</v>
      </c>
      <c r="D345" s="983">
        <v>2.3E-3</v>
      </c>
      <c r="E345" s="983">
        <v>2.3916666666666665E-3</v>
      </c>
      <c r="F345" s="983">
        <v>2.5249999999999999E-3</v>
      </c>
      <c r="G345" s="983">
        <v>2.4583333333333336E-3</v>
      </c>
      <c r="H345" s="983">
        <v>2.6083333333333332E-3</v>
      </c>
      <c r="I345" s="983">
        <v>-2.98E-2</v>
      </c>
      <c r="J345" s="983">
        <v>-2.9958333333333333E-2</v>
      </c>
      <c r="K345" s="983">
        <v>-3.0108333333333334E-2</v>
      </c>
      <c r="L345" s="983">
        <v>-1.5708333333333335E-2</v>
      </c>
    </row>
    <row r="346" spans="1:12">
      <c r="A346" s="983">
        <v>19968</v>
      </c>
      <c r="B346" s="983">
        <v>8.5099999999999995E-2</v>
      </c>
      <c r="C346" s="983">
        <v>1.78E-2</v>
      </c>
      <c r="D346" s="983">
        <v>2.2000000000000001E-3</v>
      </c>
      <c r="E346" s="983">
        <v>2.4083333333333335E-3</v>
      </c>
      <c r="F346" s="983">
        <v>2.5333333333333336E-3</v>
      </c>
      <c r="G346" s="983">
        <v>2.4708333333333336E-3</v>
      </c>
      <c r="H346" s="983">
        <v>2.5999999999999999E-3</v>
      </c>
      <c r="I346" s="983">
        <v>8.2900000000000001E-2</v>
      </c>
      <c r="J346" s="983">
        <v>8.2629166666666656E-2</v>
      </c>
      <c r="K346" s="983">
        <v>8.249999999999999E-2</v>
      </c>
      <c r="L346" s="983">
        <v>1.52E-2</v>
      </c>
    </row>
    <row r="347" spans="1:12">
      <c r="A347" s="983">
        <v>19998</v>
      </c>
      <c r="B347" s="983">
        <v>-1.67E-2</v>
      </c>
      <c r="C347" s="983">
        <v>-3.6799999999999999E-2</v>
      </c>
      <c r="D347" s="983">
        <v>2.0999999999999999E-3</v>
      </c>
      <c r="E347" s="983">
        <v>2.3916666666666665E-3</v>
      </c>
      <c r="F347" s="983">
        <v>2.5333333333333336E-3</v>
      </c>
      <c r="G347" s="983">
        <v>2.4625000000000003E-3</v>
      </c>
      <c r="H347" s="983">
        <v>2.5999999999999999E-3</v>
      </c>
      <c r="I347" s="983">
        <v>-1.8800000000000001E-2</v>
      </c>
      <c r="J347" s="983">
        <v>-1.9162499999999999E-2</v>
      </c>
      <c r="K347" s="983">
        <v>-1.9299999999999998E-2</v>
      </c>
      <c r="L347" s="983">
        <v>-3.9399999999999998E-2</v>
      </c>
    </row>
    <row r="348" spans="1:12">
      <c r="A348" s="983">
        <v>20029</v>
      </c>
      <c r="B348" s="983">
        <v>9.0899999999999995E-2</v>
      </c>
      <c r="C348" s="983">
        <v>5.6500000000000002E-2</v>
      </c>
      <c r="D348" s="983">
        <v>2.3E-3</v>
      </c>
      <c r="E348" s="983">
        <v>2.4083333333333335E-3</v>
      </c>
      <c r="F348" s="983">
        <v>2.5333333333333336E-3</v>
      </c>
      <c r="G348" s="983">
        <v>2.4708333333333336E-3</v>
      </c>
      <c r="H348" s="983">
        <v>2.5916666666666666E-3</v>
      </c>
      <c r="I348" s="983">
        <v>8.8599999999999998E-2</v>
      </c>
      <c r="J348" s="983">
        <v>8.8429166666666656E-2</v>
      </c>
      <c r="K348" s="983">
        <v>8.8308333333333322E-2</v>
      </c>
      <c r="L348" s="983">
        <v>5.3908333333333336E-2</v>
      </c>
    </row>
    <row r="349" spans="1:12">
      <c r="A349" s="983">
        <v>20059</v>
      </c>
      <c r="B349" s="983">
        <v>5.3400000000000003E-2</v>
      </c>
      <c r="C349" s="983">
        <v>3.4099999999999998E-2</v>
      </c>
      <c r="D349" s="983">
        <v>2.3E-3</v>
      </c>
      <c r="E349" s="983">
        <v>2.4166666666666668E-3</v>
      </c>
      <c r="F349" s="983">
        <v>2.5333333333333336E-3</v>
      </c>
      <c r="G349" s="983">
        <v>2.4749999999999998E-3</v>
      </c>
      <c r="H349" s="983">
        <v>2.5916666666666666E-3</v>
      </c>
      <c r="I349" s="983">
        <v>5.1100000000000007E-2</v>
      </c>
      <c r="J349" s="983">
        <v>5.0925000000000005E-2</v>
      </c>
      <c r="K349" s="983">
        <v>5.0808333333333337E-2</v>
      </c>
      <c r="L349" s="983">
        <v>3.1508333333333333E-2</v>
      </c>
    </row>
    <row r="350" spans="1:12">
      <c r="A350" s="983">
        <v>20090</v>
      </c>
      <c r="B350" s="983">
        <v>1.9699999999999999E-2</v>
      </c>
      <c r="C350" s="983">
        <v>1.43E-2</v>
      </c>
      <c r="D350" s="983">
        <v>2.2000000000000001E-3</v>
      </c>
      <c r="E350" s="983">
        <v>2.4416666666666666E-3</v>
      </c>
      <c r="F350" s="983">
        <v>2.5500000000000002E-3</v>
      </c>
      <c r="G350" s="983">
        <v>2.4958333333333334E-3</v>
      </c>
      <c r="H350" s="983">
        <v>2.6083333333333332E-3</v>
      </c>
      <c r="I350" s="983">
        <v>1.7499999999999998E-2</v>
      </c>
      <c r="J350" s="983">
        <v>1.7204166666666666E-2</v>
      </c>
      <c r="K350" s="983">
        <v>1.7091666666666665E-2</v>
      </c>
      <c r="L350" s="983">
        <v>1.1691666666666666E-2</v>
      </c>
    </row>
    <row r="351" spans="1:12">
      <c r="A351" s="983">
        <v>20121</v>
      </c>
      <c r="B351" s="983">
        <v>9.7999999999999997E-3</v>
      </c>
      <c r="C351" s="983">
        <v>3.44E-2</v>
      </c>
      <c r="D351" s="983">
        <v>2.2000000000000001E-3</v>
      </c>
      <c r="E351" s="983">
        <v>2.4416666666666666E-3</v>
      </c>
      <c r="F351" s="983">
        <v>2.5833333333333337E-3</v>
      </c>
      <c r="G351" s="983">
        <v>2.5125000000000004E-3</v>
      </c>
      <c r="H351" s="983">
        <v>2.6166666666666664E-3</v>
      </c>
      <c r="I351" s="983">
        <v>7.5999999999999991E-3</v>
      </c>
      <c r="J351" s="983">
        <v>7.2874999999999988E-3</v>
      </c>
      <c r="K351" s="983">
        <v>7.1833333333333332E-3</v>
      </c>
      <c r="L351" s="983">
        <v>3.178333333333333E-2</v>
      </c>
    </row>
    <row r="352" spans="1:12">
      <c r="A352" s="983">
        <v>20149</v>
      </c>
      <c r="B352" s="983">
        <v>-3.0000000000000001E-3</v>
      </c>
      <c r="C352" s="983">
        <v>-1.1000000000000001E-2</v>
      </c>
      <c r="D352" s="983">
        <v>2.3999999999999998E-3</v>
      </c>
      <c r="E352" s="983">
        <v>2.5166666666666666E-3</v>
      </c>
      <c r="F352" s="983">
        <v>2.6083333333333332E-3</v>
      </c>
      <c r="G352" s="983">
        <v>2.5624999999999997E-3</v>
      </c>
      <c r="H352" s="983">
        <v>2.6250000000000002E-3</v>
      </c>
      <c r="I352" s="983">
        <v>-5.4000000000000003E-3</v>
      </c>
      <c r="J352" s="983">
        <v>-5.5624999999999997E-3</v>
      </c>
      <c r="K352" s="983">
        <v>-5.6249999999999998E-3</v>
      </c>
      <c r="L352" s="983">
        <v>-1.3625000000000002E-2</v>
      </c>
    </row>
    <row r="353" spans="1:12">
      <c r="A353" s="983">
        <v>20180</v>
      </c>
      <c r="B353" s="983">
        <v>3.9600000000000003E-2</v>
      </c>
      <c r="C353" s="983">
        <v>2.0199999999999999E-2</v>
      </c>
      <c r="D353" s="983">
        <v>2.2000000000000001E-3</v>
      </c>
      <c r="E353" s="983">
        <v>2.5083333333333329E-3</v>
      </c>
      <c r="F353" s="983">
        <v>2.6083333333333332E-3</v>
      </c>
      <c r="G353" s="983">
        <v>2.558333333333333E-3</v>
      </c>
      <c r="H353" s="983">
        <v>2.6250000000000002E-3</v>
      </c>
      <c r="I353" s="983">
        <v>3.7400000000000003E-2</v>
      </c>
      <c r="J353" s="983">
        <v>3.7041666666666667E-2</v>
      </c>
      <c r="K353" s="983">
        <v>3.6975000000000001E-2</v>
      </c>
      <c r="L353" s="983">
        <v>1.7575E-2</v>
      </c>
    </row>
    <row r="354" spans="1:12">
      <c r="A354" s="983">
        <v>20210</v>
      </c>
      <c r="B354" s="983">
        <v>5.4999999999999997E-3</v>
      </c>
      <c r="C354" s="983">
        <v>-5.7999999999999996E-3</v>
      </c>
      <c r="D354" s="983">
        <v>2.5000000000000001E-3</v>
      </c>
      <c r="E354" s="983">
        <v>2.5333333333333336E-3</v>
      </c>
      <c r="F354" s="983">
        <v>2.6250000000000002E-3</v>
      </c>
      <c r="G354" s="983">
        <v>2.5791666666666667E-3</v>
      </c>
      <c r="H354" s="983">
        <v>2.6583333333333333E-3</v>
      </c>
      <c r="I354" s="983">
        <v>2.9999999999999996E-3</v>
      </c>
      <c r="J354" s="983">
        <v>2.920833333333333E-3</v>
      </c>
      <c r="K354" s="983">
        <v>2.8416666666666664E-3</v>
      </c>
      <c r="L354" s="983">
        <v>-8.4583333333333333E-3</v>
      </c>
    </row>
    <row r="355" spans="1:12">
      <c r="A355" s="983">
        <v>20241</v>
      </c>
      <c r="B355" s="983">
        <v>8.4099999999999994E-2</v>
      </c>
      <c r="C355" s="983">
        <v>2.1099999999999997E-2</v>
      </c>
      <c r="D355" s="983">
        <v>2.3E-3</v>
      </c>
      <c r="E355" s="983">
        <v>2.5416666666666665E-3</v>
      </c>
      <c r="F355" s="983">
        <v>2.6166666666666664E-3</v>
      </c>
      <c r="G355" s="983">
        <v>2.5791666666666667E-3</v>
      </c>
      <c r="H355" s="983">
        <v>2.6750000000000003E-3</v>
      </c>
      <c r="I355" s="983">
        <v>8.1799999999999998E-2</v>
      </c>
      <c r="J355" s="983">
        <v>8.1520833333333334E-2</v>
      </c>
      <c r="K355" s="983">
        <v>8.1424999999999997E-2</v>
      </c>
      <c r="L355" s="983">
        <v>1.8424999999999997E-2</v>
      </c>
    </row>
    <row r="356" spans="1:12">
      <c r="A356" s="983">
        <v>20271</v>
      </c>
      <c r="B356" s="983">
        <v>6.2199999999999998E-2</v>
      </c>
      <c r="C356" s="983">
        <v>4.6599999999999996E-2</v>
      </c>
      <c r="D356" s="983">
        <v>2.3E-3</v>
      </c>
      <c r="E356" s="983">
        <v>2.5500000000000002E-3</v>
      </c>
      <c r="F356" s="983">
        <v>2.6166666666666664E-3</v>
      </c>
      <c r="G356" s="983">
        <v>2.5833333333333329E-3</v>
      </c>
      <c r="H356" s="983">
        <v>2.6750000000000003E-3</v>
      </c>
      <c r="I356" s="983">
        <v>5.9899999999999995E-2</v>
      </c>
      <c r="J356" s="983">
        <v>5.9616666666666665E-2</v>
      </c>
      <c r="K356" s="983">
        <v>5.9524999999999995E-2</v>
      </c>
      <c r="L356" s="983">
        <v>4.3924999999999992E-2</v>
      </c>
    </row>
    <row r="357" spans="1:12">
      <c r="A357" s="983">
        <v>20302</v>
      </c>
      <c r="B357" s="983">
        <v>-2.5000000000000001E-3</v>
      </c>
      <c r="C357" s="983">
        <v>5.1999999999999998E-3</v>
      </c>
      <c r="D357" s="983">
        <v>2.7000000000000001E-3</v>
      </c>
      <c r="E357" s="983">
        <v>2.5916666666666666E-3</v>
      </c>
      <c r="F357" s="983">
        <v>2.6666666666666666E-3</v>
      </c>
      <c r="G357" s="983">
        <v>2.6291666666666668E-3</v>
      </c>
      <c r="H357" s="983">
        <v>2.7000000000000001E-3</v>
      </c>
      <c r="I357" s="983">
        <v>-5.1999999999999998E-3</v>
      </c>
      <c r="J357" s="983">
        <v>-5.1291666666666673E-3</v>
      </c>
      <c r="K357" s="983">
        <v>-5.1999999999999998E-3</v>
      </c>
      <c r="L357" s="983">
        <v>2.4999999999999996E-3</v>
      </c>
    </row>
    <row r="358" spans="1:12">
      <c r="A358" s="983">
        <v>20333</v>
      </c>
      <c r="B358" s="983">
        <v>1.2999999999999999E-2</v>
      </c>
      <c r="C358" s="983">
        <v>-2.8999999999999998E-2</v>
      </c>
      <c r="D358" s="983">
        <v>2.3999999999999998E-3</v>
      </c>
      <c r="E358" s="983">
        <v>2.6083333333333332E-3</v>
      </c>
      <c r="F358" s="983">
        <v>2.6833333333333336E-3</v>
      </c>
      <c r="G358" s="983">
        <v>2.6458333333333334E-3</v>
      </c>
      <c r="H358" s="983">
        <v>2.725E-3</v>
      </c>
      <c r="I358" s="983">
        <v>1.06E-2</v>
      </c>
      <c r="J358" s="983">
        <v>1.0354166666666666E-2</v>
      </c>
      <c r="K358" s="983">
        <v>1.0274999999999999E-2</v>
      </c>
      <c r="L358" s="983">
        <v>-3.1724999999999996E-2</v>
      </c>
    </row>
    <row r="359" spans="1:12">
      <c r="A359" s="983">
        <v>20363</v>
      </c>
      <c r="B359" s="983">
        <v>-2.8400000000000002E-2</v>
      </c>
      <c r="C359" s="983">
        <v>-8.5000000000000006E-3</v>
      </c>
      <c r="D359" s="983">
        <v>2.5000000000000001E-3</v>
      </c>
      <c r="E359" s="983">
        <v>2.5833333333333337E-3</v>
      </c>
      <c r="F359" s="983">
        <v>2.6583333333333333E-3</v>
      </c>
      <c r="G359" s="983">
        <v>2.6208333333333335E-3</v>
      </c>
      <c r="H359" s="983">
        <v>2.7500000000000003E-3</v>
      </c>
      <c r="I359" s="983">
        <v>-3.09E-2</v>
      </c>
      <c r="J359" s="983">
        <v>-3.1020833333333334E-2</v>
      </c>
      <c r="K359" s="983">
        <v>-3.1150000000000001E-2</v>
      </c>
      <c r="L359" s="983">
        <v>-1.1250000000000001E-2</v>
      </c>
    </row>
    <row r="360" spans="1:12">
      <c r="A360" s="983">
        <v>20394</v>
      </c>
      <c r="B360" s="983">
        <v>8.2699999999999996E-2</v>
      </c>
      <c r="C360" s="983">
        <v>2.92E-2</v>
      </c>
      <c r="D360" s="983">
        <v>2.3999999999999998E-3</v>
      </c>
      <c r="E360" s="983">
        <v>2.5833333333333337E-3</v>
      </c>
      <c r="F360" s="983">
        <v>2.65E-3</v>
      </c>
      <c r="G360" s="983">
        <v>2.6166666666666673E-3</v>
      </c>
      <c r="H360" s="983">
        <v>2.7666666666666668E-3</v>
      </c>
      <c r="I360" s="983">
        <v>8.0299999999999996E-2</v>
      </c>
      <c r="J360" s="983">
        <v>8.0083333333333326E-2</v>
      </c>
      <c r="K360" s="983">
        <v>7.9933333333333328E-2</v>
      </c>
      <c r="L360" s="983">
        <v>2.6433333333333333E-2</v>
      </c>
    </row>
    <row r="361" spans="1:12">
      <c r="A361" s="983">
        <v>20424</v>
      </c>
      <c r="B361" s="983">
        <v>1.5E-3</v>
      </c>
      <c r="C361" s="983">
        <v>-6.7000000000000002E-3</v>
      </c>
      <c r="D361" s="983">
        <v>2.3999999999999998E-3</v>
      </c>
      <c r="E361" s="983">
        <v>2.6250000000000002E-3</v>
      </c>
      <c r="F361" s="983">
        <v>2.6833333333333336E-3</v>
      </c>
      <c r="G361" s="983">
        <v>2.6541666666666671E-3</v>
      </c>
      <c r="H361" s="983">
        <v>2.7916666666666667E-3</v>
      </c>
      <c r="I361" s="983">
        <v>-8.9999999999999976E-4</v>
      </c>
      <c r="J361" s="983">
        <v>-1.1541666666666671E-3</v>
      </c>
      <c r="K361" s="983">
        <v>-1.2916666666666667E-3</v>
      </c>
      <c r="L361" s="983">
        <v>-9.4916666666666673E-3</v>
      </c>
    </row>
    <row r="362" spans="1:12">
      <c r="A362" s="983">
        <v>20455</v>
      </c>
      <c r="B362" s="983">
        <v>-3.4700000000000002E-2</v>
      </c>
      <c r="C362" s="983">
        <v>3.0000000000000001E-3</v>
      </c>
      <c r="D362" s="983">
        <v>2.5000000000000001E-3</v>
      </c>
      <c r="E362" s="983">
        <v>2.5916666666666666E-3</v>
      </c>
      <c r="F362" s="983">
        <v>2.6583333333333333E-3</v>
      </c>
      <c r="G362" s="983">
        <v>2.6249999999999997E-3</v>
      </c>
      <c r="H362" s="983">
        <v>2.7583333333333331E-3</v>
      </c>
      <c r="I362" s="983">
        <v>-3.7200000000000004E-2</v>
      </c>
      <c r="J362" s="983">
        <v>-3.7325000000000004E-2</v>
      </c>
      <c r="K362" s="983">
        <v>-3.7458333333333337E-2</v>
      </c>
      <c r="L362" s="983">
        <v>2.4166666666666694E-4</v>
      </c>
    </row>
    <row r="363" spans="1:12">
      <c r="A363" s="983">
        <v>20486</v>
      </c>
      <c r="B363" s="983">
        <v>4.1300000000000003E-2</v>
      </c>
      <c r="C363" s="983">
        <v>1.78E-2</v>
      </c>
      <c r="D363" s="983">
        <v>2.3E-3</v>
      </c>
      <c r="E363" s="983">
        <v>2.5666666666666667E-3</v>
      </c>
      <c r="F363" s="983">
        <v>2.6333333333333334E-3</v>
      </c>
      <c r="G363" s="983">
        <v>2.5999999999999999E-3</v>
      </c>
      <c r="H363" s="983">
        <v>2.7416666666666666E-3</v>
      </c>
      <c r="I363" s="983">
        <v>3.9000000000000007E-2</v>
      </c>
      <c r="J363" s="983">
        <v>3.8700000000000005E-2</v>
      </c>
      <c r="K363" s="983">
        <v>3.8558333333333333E-2</v>
      </c>
      <c r="L363" s="983">
        <v>1.5058333333333333E-2</v>
      </c>
    </row>
    <row r="364" spans="1:12">
      <c r="A364" s="983">
        <v>20515</v>
      </c>
      <c r="B364" s="983">
        <v>7.0999999999999994E-2</v>
      </c>
      <c r="C364" s="983">
        <v>3.9399999999999998E-2</v>
      </c>
      <c r="D364" s="983">
        <v>2.3E-3</v>
      </c>
      <c r="E364" s="983">
        <v>2.5833333333333337E-3</v>
      </c>
      <c r="F364" s="983">
        <v>2.65E-3</v>
      </c>
      <c r="G364" s="983">
        <v>2.6166666666666673E-3</v>
      </c>
      <c r="H364" s="983">
        <v>2.7416666666666666E-3</v>
      </c>
      <c r="I364" s="983">
        <v>6.8699999999999997E-2</v>
      </c>
      <c r="J364" s="983">
        <v>6.8383333333333324E-2</v>
      </c>
      <c r="K364" s="983">
        <v>6.8258333333333324E-2</v>
      </c>
      <c r="L364" s="983">
        <v>3.6658333333333334E-2</v>
      </c>
    </row>
    <row r="365" spans="1:12">
      <c r="A365" s="983">
        <v>20546</v>
      </c>
      <c r="B365" s="983">
        <v>-4.0000000000000002E-4</v>
      </c>
      <c r="C365" s="983">
        <v>-2.87E-2</v>
      </c>
      <c r="D365" s="983">
        <v>2.5999999999999999E-3</v>
      </c>
      <c r="E365" s="983">
        <v>2.7000000000000001E-3</v>
      </c>
      <c r="F365" s="983">
        <v>2.7499999999999998E-3</v>
      </c>
      <c r="G365" s="983">
        <v>2.7249999999999996E-3</v>
      </c>
      <c r="H365" s="983">
        <v>2.8333333333333331E-3</v>
      </c>
      <c r="I365" s="983">
        <v>-3.0000000000000001E-3</v>
      </c>
      <c r="J365" s="983">
        <v>-3.1249999999999997E-3</v>
      </c>
      <c r="K365" s="983">
        <v>-3.2333333333333333E-3</v>
      </c>
      <c r="L365" s="983">
        <v>-3.153333333333333E-2</v>
      </c>
    </row>
    <row r="366" spans="1:12">
      <c r="A366" s="983">
        <v>20576</v>
      </c>
      <c r="B366" s="983">
        <v>-5.9299999999999999E-2</v>
      </c>
      <c r="C366" s="983">
        <v>-1.38E-2</v>
      </c>
      <c r="D366" s="983">
        <v>2.5999999999999999E-3</v>
      </c>
      <c r="E366" s="983">
        <v>2.7333333333333333E-3</v>
      </c>
      <c r="F366" s="983">
        <v>2.7833333333333334E-3</v>
      </c>
      <c r="G366" s="983">
        <v>2.7583333333333331E-3</v>
      </c>
      <c r="H366" s="983">
        <v>2.8999999999999998E-3</v>
      </c>
      <c r="I366" s="983">
        <v>-6.1899999999999997E-2</v>
      </c>
      <c r="J366" s="983">
        <v>-6.2058333333333333E-2</v>
      </c>
      <c r="K366" s="983">
        <v>-6.2199999999999998E-2</v>
      </c>
      <c r="L366" s="983">
        <v>-1.67E-2</v>
      </c>
    </row>
    <row r="367" spans="1:12">
      <c r="A367" s="983">
        <v>20607</v>
      </c>
      <c r="B367" s="983">
        <v>4.0899999999999999E-2</v>
      </c>
      <c r="C367" s="983">
        <v>2.1099999999999997E-2</v>
      </c>
      <c r="D367" s="983">
        <v>2.3E-3</v>
      </c>
      <c r="E367" s="983">
        <v>2.7166666666666667E-3</v>
      </c>
      <c r="F367" s="983">
        <v>2.7916666666666667E-3</v>
      </c>
      <c r="G367" s="983">
        <v>2.7541666666666665E-3</v>
      </c>
      <c r="H367" s="983">
        <v>2.9083333333333335E-3</v>
      </c>
      <c r="I367" s="983">
        <v>3.8599999999999995E-2</v>
      </c>
      <c r="J367" s="983">
        <v>3.814583333333333E-2</v>
      </c>
      <c r="K367" s="983">
        <v>3.7991666666666667E-2</v>
      </c>
      <c r="L367" s="983">
        <v>1.8191666666666665E-2</v>
      </c>
    </row>
    <row r="368" spans="1:12">
      <c r="A368" s="983">
        <v>20637</v>
      </c>
      <c r="B368" s="983">
        <v>5.2999999999999999E-2</v>
      </c>
      <c r="C368" s="983">
        <v>5.2500000000000012E-2</v>
      </c>
      <c r="D368" s="983">
        <v>2.5999999999999999E-3</v>
      </c>
      <c r="E368" s="983">
        <v>2.7333333333333333E-3</v>
      </c>
      <c r="F368" s="983">
        <v>2.8250000000000003E-3</v>
      </c>
      <c r="G368" s="983">
        <v>2.7791666666666672E-3</v>
      </c>
      <c r="H368" s="983">
        <v>2.9583333333333332E-3</v>
      </c>
      <c r="I368" s="983">
        <v>5.04E-2</v>
      </c>
      <c r="J368" s="983">
        <v>5.0220833333333333E-2</v>
      </c>
      <c r="K368" s="983">
        <v>5.0041666666666665E-2</v>
      </c>
      <c r="L368" s="983">
        <v>4.9541666666666678E-2</v>
      </c>
    </row>
    <row r="369" spans="1:12">
      <c r="A369" s="983">
        <v>20668</v>
      </c>
      <c r="B369" s="983">
        <v>-3.2800000000000003E-2</v>
      </c>
      <c r="C369" s="983">
        <v>-2.5899999999999999E-2</v>
      </c>
      <c r="D369" s="983">
        <v>2.5999999999999999E-3</v>
      </c>
      <c r="E369" s="983">
        <v>2.8583333333333334E-3</v>
      </c>
      <c r="F369" s="983">
        <v>2.9166666666666668E-3</v>
      </c>
      <c r="G369" s="983">
        <v>2.8874999999999999E-3</v>
      </c>
      <c r="H369" s="983">
        <v>3.0249999999999999E-3</v>
      </c>
      <c r="I369" s="983">
        <v>-3.5400000000000001E-2</v>
      </c>
      <c r="J369" s="983">
        <v>-3.5687500000000004E-2</v>
      </c>
      <c r="K369" s="983">
        <v>-3.5825000000000003E-2</v>
      </c>
      <c r="L369" s="983">
        <v>-2.8924999999999999E-2</v>
      </c>
    </row>
    <row r="370" spans="1:12">
      <c r="A370" s="983">
        <v>20699</v>
      </c>
      <c r="B370" s="983">
        <v>-4.3999999999999997E-2</v>
      </c>
      <c r="C370" s="983">
        <v>-3.1899999999999998E-2</v>
      </c>
      <c r="D370" s="983">
        <v>2.5000000000000001E-3</v>
      </c>
      <c r="E370" s="983">
        <v>2.9666666666666669E-3</v>
      </c>
      <c r="F370" s="983">
        <v>3.0249999999999999E-3</v>
      </c>
      <c r="G370" s="983">
        <v>2.995833333333333E-3</v>
      </c>
      <c r="H370" s="983">
        <v>3.0999999999999999E-3</v>
      </c>
      <c r="I370" s="983">
        <v>-4.65E-2</v>
      </c>
      <c r="J370" s="983">
        <v>-4.6995833333333334E-2</v>
      </c>
      <c r="K370" s="983">
        <v>-4.7099999999999996E-2</v>
      </c>
      <c r="L370" s="983">
        <v>-3.4999999999999996E-2</v>
      </c>
    </row>
    <row r="371" spans="1:12">
      <c r="A371" s="983">
        <v>20729</v>
      </c>
      <c r="B371" s="983">
        <v>6.6E-3</v>
      </c>
      <c r="C371" s="983">
        <v>6.3E-3</v>
      </c>
      <c r="D371" s="983">
        <v>2.8999999999999998E-3</v>
      </c>
      <c r="E371" s="983">
        <v>2.9916666666666663E-3</v>
      </c>
      <c r="F371" s="983">
        <v>3.075E-3</v>
      </c>
      <c r="G371" s="983">
        <v>3.0333333333333336E-3</v>
      </c>
      <c r="H371" s="983">
        <v>3.1583333333333337E-3</v>
      </c>
      <c r="I371" s="983">
        <v>3.7000000000000002E-3</v>
      </c>
      <c r="J371" s="983">
        <v>3.5666666666666663E-3</v>
      </c>
      <c r="K371" s="983">
        <v>3.4416666666666662E-3</v>
      </c>
      <c r="L371" s="983">
        <v>3.1416666666666663E-3</v>
      </c>
    </row>
    <row r="372" spans="1:12">
      <c r="A372" s="983">
        <v>20760</v>
      </c>
      <c r="B372" s="983">
        <v>-5.0000000000000001E-3</v>
      </c>
      <c r="C372" s="983">
        <v>2.8000000000000004E-3</v>
      </c>
      <c r="D372" s="983">
        <v>2.7000000000000001E-3</v>
      </c>
      <c r="E372" s="983">
        <v>3.075E-3</v>
      </c>
      <c r="F372" s="983">
        <v>3.133333333333333E-3</v>
      </c>
      <c r="G372" s="983">
        <v>3.1041666666666665E-3</v>
      </c>
      <c r="H372" s="983">
        <v>3.1833333333333336E-3</v>
      </c>
      <c r="I372" s="983">
        <v>-7.7000000000000002E-3</v>
      </c>
      <c r="J372" s="983">
        <v>-8.1041666666666658E-3</v>
      </c>
      <c r="K372" s="983">
        <v>-8.1833333333333341E-3</v>
      </c>
      <c r="L372" s="983">
        <v>-3.8333333333333318E-4</v>
      </c>
    </row>
    <row r="373" spans="1:12">
      <c r="A373" s="983">
        <v>20790</v>
      </c>
      <c r="B373" s="983">
        <v>3.6999999999999998E-2</v>
      </c>
      <c r="C373" s="983">
        <v>1.04E-2</v>
      </c>
      <c r="D373" s="983">
        <v>2.7999999999999995E-3</v>
      </c>
      <c r="E373" s="983">
        <v>3.1250000000000002E-3</v>
      </c>
      <c r="F373" s="983">
        <v>3.2083333333333334E-3</v>
      </c>
      <c r="G373" s="983">
        <v>3.1666666666666666E-3</v>
      </c>
      <c r="H373" s="983">
        <v>3.2583333333333336E-3</v>
      </c>
      <c r="I373" s="983">
        <v>3.4200000000000001E-2</v>
      </c>
      <c r="J373" s="983">
        <v>3.3833333333333333E-2</v>
      </c>
      <c r="K373" s="983">
        <v>3.3741666666666663E-2</v>
      </c>
      <c r="L373" s="983">
        <v>7.141666666666666E-3</v>
      </c>
    </row>
    <row r="374" spans="1:12">
      <c r="A374" s="983">
        <v>20821</v>
      </c>
      <c r="B374" s="983">
        <v>-4.0099999999999997E-2</v>
      </c>
      <c r="C374" s="983">
        <v>3.2399999999999998E-2</v>
      </c>
      <c r="D374" s="983">
        <v>2.8999999999999998E-3</v>
      </c>
      <c r="E374" s="983">
        <v>3.1416666666666663E-3</v>
      </c>
      <c r="F374" s="983">
        <v>3.2416666666666666E-3</v>
      </c>
      <c r="G374" s="983">
        <v>3.1916666666666664E-3</v>
      </c>
      <c r="H374" s="983">
        <v>3.3E-3</v>
      </c>
      <c r="I374" s="983">
        <v>-4.2999999999999997E-2</v>
      </c>
      <c r="J374" s="983">
        <v>-4.3291666666666666E-2</v>
      </c>
      <c r="K374" s="983">
        <v>-4.3399999999999994E-2</v>
      </c>
      <c r="L374" s="983">
        <v>2.9099999999999997E-2</v>
      </c>
    </row>
    <row r="375" spans="1:12">
      <c r="A375" s="983">
        <v>20852</v>
      </c>
      <c r="B375" s="983">
        <v>-2.64E-2</v>
      </c>
      <c r="C375" s="983">
        <v>-6.0999999999999995E-3</v>
      </c>
      <c r="D375" s="983">
        <v>2.5000000000000001E-3</v>
      </c>
      <c r="E375" s="983">
        <v>3.0583333333333335E-3</v>
      </c>
      <c r="F375" s="983">
        <v>3.1916666666666664E-3</v>
      </c>
      <c r="G375" s="983">
        <v>3.1250000000000002E-3</v>
      </c>
      <c r="H375" s="983">
        <v>3.3749999999999995E-3</v>
      </c>
      <c r="I375" s="983">
        <v>-2.8899999999999999E-2</v>
      </c>
      <c r="J375" s="983">
        <v>-2.9524999999999999E-2</v>
      </c>
      <c r="K375" s="983">
        <v>-2.9774999999999999E-2</v>
      </c>
      <c r="L375" s="983">
        <v>-9.474999999999999E-3</v>
      </c>
    </row>
    <row r="376" spans="1:12">
      <c r="A376" s="983">
        <v>20880</v>
      </c>
      <c r="B376" s="983">
        <v>2.1499999999999998E-2</v>
      </c>
      <c r="C376" s="983">
        <v>7.8000000000000005E-3</v>
      </c>
      <c r="D376" s="983">
        <v>2.5999999999999999E-3</v>
      </c>
      <c r="E376" s="983">
        <v>3.0499999999999998E-3</v>
      </c>
      <c r="F376" s="983">
        <v>3.1666666666666666E-3</v>
      </c>
      <c r="G376" s="983">
        <v>3.1083333333333327E-3</v>
      </c>
      <c r="H376" s="983">
        <v>3.3749999999999995E-3</v>
      </c>
      <c r="I376" s="983">
        <v>1.89E-2</v>
      </c>
      <c r="J376" s="983">
        <v>1.8391666666666667E-2</v>
      </c>
      <c r="K376" s="983">
        <v>1.8124999999999999E-2</v>
      </c>
      <c r="L376" s="983">
        <v>4.425000000000001E-3</v>
      </c>
    </row>
    <row r="377" spans="1:12">
      <c r="A377" s="983">
        <v>20911</v>
      </c>
      <c r="B377" s="983">
        <v>3.8800000000000001E-2</v>
      </c>
      <c r="C377" s="983">
        <v>4.0199999999999993E-2</v>
      </c>
      <c r="D377" s="983">
        <v>2.8999999999999998E-3</v>
      </c>
      <c r="E377" s="983">
        <v>3.0583333333333335E-3</v>
      </c>
      <c r="F377" s="983">
        <v>3.1583333333333337E-3</v>
      </c>
      <c r="G377" s="983">
        <v>3.1083333333333336E-3</v>
      </c>
      <c r="H377" s="983">
        <v>3.3416666666666668E-3</v>
      </c>
      <c r="I377" s="983">
        <v>3.5900000000000001E-2</v>
      </c>
      <c r="J377" s="983">
        <v>3.569166666666667E-2</v>
      </c>
      <c r="K377" s="983">
        <v>3.5458333333333335E-2</v>
      </c>
      <c r="L377" s="983">
        <v>3.6858333333333326E-2</v>
      </c>
    </row>
    <row r="378" spans="1:12">
      <c r="A378" s="983">
        <v>20941</v>
      </c>
      <c r="B378" s="983">
        <v>4.3700000000000003E-2</v>
      </c>
      <c r="C378" s="983">
        <v>1.8000000000000002E-2</v>
      </c>
      <c r="D378" s="983">
        <v>2.8999999999999998E-3</v>
      </c>
      <c r="E378" s="983">
        <v>3.1166666666666669E-3</v>
      </c>
      <c r="F378" s="983">
        <v>3.1916666666666664E-3</v>
      </c>
      <c r="G378" s="983">
        <v>3.1541666666666667E-3</v>
      </c>
      <c r="H378" s="983">
        <v>3.3416666666666668E-3</v>
      </c>
      <c r="I378" s="983">
        <v>4.0800000000000003E-2</v>
      </c>
      <c r="J378" s="983">
        <v>4.0545833333333337E-2</v>
      </c>
      <c r="K378" s="983">
        <v>4.0358333333333336E-2</v>
      </c>
      <c r="L378" s="983">
        <v>1.4658333333333336E-2</v>
      </c>
    </row>
    <row r="379" spans="1:12">
      <c r="A379" s="983">
        <v>20972</v>
      </c>
      <c r="B379" s="983">
        <v>4.0000000000000002E-4</v>
      </c>
      <c r="C379" s="983">
        <v>-4.1800000000000004E-2</v>
      </c>
      <c r="D379" s="983">
        <v>2.5000000000000001E-3</v>
      </c>
      <c r="E379" s="983">
        <v>3.2583333333333336E-3</v>
      </c>
      <c r="F379" s="983">
        <v>3.3166666666666665E-3</v>
      </c>
      <c r="G379" s="983">
        <v>3.2875000000000001E-3</v>
      </c>
      <c r="H379" s="983">
        <v>3.4083333333333331E-3</v>
      </c>
      <c r="I379" s="983">
        <v>-2.0999999999999999E-3</v>
      </c>
      <c r="J379" s="983">
        <v>-2.8874999999999999E-3</v>
      </c>
      <c r="K379" s="983">
        <v>-3.0083333333333329E-3</v>
      </c>
      <c r="L379" s="983">
        <v>-4.5208333333333336E-2</v>
      </c>
    </row>
    <row r="380" spans="1:12">
      <c r="A380" s="983">
        <v>21002</v>
      </c>
      <c r="B380" s="983">
        <v>1.3100000000000001E-2</v>
      </c>
      <c r="C380" s="983">
        <v>3.5000000000000005E-3</v>
      </c>
      <c r="D380" s="983">
        <v>3.3E-3</v>
      </c>
      <c r="E380" s="983">
        <v>3.3250000000000003E-3</v>
      </c>
      <c r="F380" s="983">
        <v>3.4166666666666664E-3</v>
      </c>
      <c r="G380" s="983">
        <v>3.3708333333333329E-3</v>
      </c>
      <c r="H380" s="983">
        <v>3.5000000000000005E-3</v>
      </c>
      <c r="I380" s="983">
        <v>9.7999999999999997E-3</v>
      </c>
      <c r="J380" s="983">
        <v>9.7291666666666672E-3</v>
      </c>
      <c r="K380" s="983">
        <v>9.6000000000000009E-3</v>
      </c>
      <c r="L380" s="983">
        <v>0</v>
      </c>
    </row>
    <row r="381" spans="1:12">
      <c r="A381" s="983">
        <v>21033</v>
      </c>
      <c r="B381" s="983">
        <v>-5.0500000000000003E-2</v>
      </c>
      <c r="C381" s="983">
        <v>-2.9400000000000003E-2</v>
      </c>
      <c r="D381" s="983">
        <v>3.0000000000000001E-3</v>
      </c>
      <c r="E381" s="983">
        <v>3.4166666666666664E-3</v>
      </c>
      <c r="F381" s="983">
        <v>3.5083333333333334E-3</v>
      </c>
      <c r="G381" s="983">
        <v>3.4624999999999994E-3</v>
      </c>
      <c r="H381" s="983">
        <v>3.6416666666666667E-3</v>
      </c>
      <c r="I381" s="983">
        <v>-5.3500000000000006E-2</v>
      </c>
      <c r="J381" s="983">
        <v>-5.3962500000000004E-2</v>
      </c>
      <c r="K381" s="983">
        <v>-5.4141666666666671E-2</v>
      </c>
      <c r="L381" s="983">
        <v>-3.3041666666666671E-2</v>
      </c>
    </row>
    <row r="382" spans="1:12">
      <c r="A382" s="983">
        <v>21064</v>
      </c>
      <c r="B382" s="983">
        <v>-6.0199999999999997E-2</v>
      </c>
      <c r="C382" s="983">
        <v>-1.3800000000000002E-2</v>
      </c>
      <c r="D382" s="983">
        <v>3.0999999999999999E-3</v>
      </c>
      <c r="E382" s="983">
        <v>3.4333333333333334E-3</v>
      </c>
      <c r="F382" s="983">
        <v>3.5499999999999998E-3</v>
      </c>
      <c r="G382" s="983">
        <v>3.4916666666666664E-3</v>
      </c>
      <c r="H382" s="983">
        <v>3.7916666666666667E-3</v>
      </c>
      <c r="I382" s="983">
        <v>-6.3299999999999995E-2</v>
      </c>
      <c r="J382" s="983">
        <v>-6.369166666666666E-2</v>
      </c>
      <c r="K382" s="983">
        <v>-6.3991666666666669E-2</v>
      </c>
      <c r="L382" s="983">
        <v>-1.7591666666666669E-2</v>
      </c>
    </row>
    <row r="383" spans="1:12">
      <c r="A383" s="983">
        <v>21094</v>
      </c>
      <c r="B383" s="983">
        <v>-3.0200000000000001E-2</v>
      </c>
      <c r="C383" s="983">
        <v>-7.4000000000000003E-3</v>
      </c>
      <c r="D383" s="983">
        <v>3.0999999999999999E-3</v>
      </c>
      <c r="E383" s="983">
        <v>3.4166666666666664E-3</v>
      </c>
      <c r="F383" s="983">
        <v>3.5666666666666668E-3</v>
      </c>
      <c r="G383" s="983">
        <v>3.4916666666666664E-3</v>
      </c>
      <c r="H383" s="983">
        <v>3.8416666666666673E-3</v>
      </c>
      <c r="I383" s="983">
        <v>-3.3300000000000003E-2</v>
      </c>
      <c r="J383" s="983">
        <v>-3.3691666666666668E-2</v>
      </c>
      <c r="K383" s="983">
        <v>-3.4041666666666671E-2</v>
      </c>
      <c r="L383" s="983">
        <v>-1.1241666666666667E-2</v>
      </c>
    </row>
    <row r="384" spans="1:12">
      <c r="A384" s="983">
        <v>21125</v>
      </c>
      <c r="B384" s="983">
        <v>2.3099999999999999E-2</v>
      </c>
      <c r="C384" s="983">
        <v>4.2799999999999991E-2</v>
      </c>
      <c r="D384" s="983">
        <v>2.8999999999999998E-3</v>
      </c>
      <c r="E384" s="983">
        <v>3.4000000000000002E-3</v>
      </c>
      <c r="F384" s="983">
        <v>3.5750000000000001E-3</v>
      </c>
      <c r="G384" s="983">
        <v>3.4875000000000001E-3</v>
      </c>
      <c r="H384" s="983">
        <v>3.8500000000000001E-3</v>
      </c>
      <c r="I384" s="983">
        <v>2.0199999999999999E-2</v>
      </c>
      <c r="J384" s="983">
        <v>1.9612499999999998E-2</v>
      </c>
      <c r="K384" s="983">
        <v>1.925E-2</v>
      </c>
      <c r="L384" s="983">
        <v>3.8949999999999992E-2</v>
      </c>
    </row>
    <row r="385" spans="1:12">
      <c r="A385" s="983">
        <v>21155</v>
      </c>
      <c r="B385" s="983">
        <v>-3.95E-2</v>
      </c>
      <c r="C385" s="983">
        <v>1.95E-2</v>
      </c>
      <c r="D385" s="983">
        <v>2.8999999999999998E-3</v>
      </c>
      <c r="E385" s="983">
        <v>3.1749999999999999E-3</v>
      </c>
      <c r="F385" s="983">
        <v>3.4000000000000002E-3</v>
      </c>
      <c r="G385" s="983">
        <v>3.2875000000000001E-3</v>
      </c>
      <c r="H385" s="983">
        <v>3.6333333333333335E-3</v>
      </c>
      <c r="I385" s="983">
        <v>-4.24E-2</v>
      </c>
      <c r="J385" s="983">
        <v>-4.2787499999999999E-2</v>
      </c>
      <c r="K385" s="983">
        <v>-4.3133333333333336E-2</v>
      </c>
      <c r="L385" s="983">
        <v>1.5866666666666668E-2</v>
      </c>
    </row>
    <row r="386" spans="1:12">
      <c r="A386" s="983">
        <v>21186</v>
      </c>
      <c r="B386" s="983">
        <v>4.4499999999999998E-2</v>
      </c>
      <c r="C386" s="983">
        <v>6.0200000000000004E-2</v>
      </c>
      <c r="D386" s="983">
        <v>2.7000000000000001E-3</v>
      </c>
      <c r="E386" s="983">
        <v>3.0000000000000001E-3</v>
      </c>
      <c r="F386" s="983">
        <v>3.1749999999999999E-3</v>
      </c>
      <c r="G386" s="983">
        <v>3.0874999999999995E-3</v>
      </c>
      <c r="H386" s="983">
        <v>3.2750000000000001E-3</v>
      </c>
      <c r="I386" s="983">
        <v>4.1799999999999997E-2</v>
      </c>
      <c r="J386" s="983">
        <v>4.1412499999999998E-2</v>
      </c>
      <c r="K386" s="983">
        <v>4.1224999999999998E-2</v>
      </c>
      <c r="L386" s="983">
        <v>5.6925000000000003E-2</v>
      </c>
    </row>
    <row r="387" spans="1:12">
      <c r="A387" s="983">
        <v>21217</v>
      </c>
      <c r="B387" s="983">
        <v>-1.41E-2</v>
      </c>
      <c r="C387" s="983">
        <v>1.37E-2</v>
      </c>
      <c r="D387" s="983">
        <v>2.5000000000000001E-3</v>
      </c>
      <c r="E387" s="983">
        <v>2.9916666666666663E-3</v>
      </c>
      <c r="F387" s="983">
        <v>3.1416666666666663E-3</v>
      </c>
      <c r="G387" s="983">
        <v>3.0666666666666663E-3</v>
      </c>
      <c r="H387" s="983">
        <v>3.3E-3</v>
      </c>
      <c r="I387" s="983">
        <v>-1.66E-2</v>
      </c>
      <c r="J387" s="983">
        <v>-1.7166666666666667E-2</v>
      </c>
      <c r="K387" s="983">
        <v>-1.7399999999999999E-2</v>
      </c>
      <c r="L387" s="983">
        <v>1.04E-2</v>
      </c>
    </row>
    <row r="388" spans="1:12">
      <c r="A388" s="983">
        <v>21245</v>
      </c>
      <c r="B388" s="983">
        <v>3.2800000000000003E-2</v>
      </c>
      <c r="C388" s="983">
        <v>0.02</v>
      </c>
      <c r="D388" s="983">
        <v>2.7000000000000001E-3</v>
      </c>
      <c r="E388" s="983">
        <v>3.0249999999999999E-3</v>
      </c>
      <c r="F388" s="983">
        <v>3.15E-3</v>
      </c>
      <c r="G388" s="983">
        <v>3.0874999999999995E-3</v>
      </c>
      <c r="H388" s="983">
        <v>3.4416666666666667E-3</v>
      </c>
      <c r="I388" s="983">
        <v>3.0100000000000002E-2</v>
      </c>
      <c r="J388" s="983">
        <v>2.9712500000000003E-2</v>
      </c>
      <c r="K388" s="983">
        <v>2.9358333333333337E-2</v>
      </c>
      <c r="L388" s="983">
        <v>1.6558333333333335E-2</v>
      </c>
    </row>
    <row r="389" spans="1:12">
      <c r="A389" s="983">
        <v>21276</v>
      </c>
      <c r="B389" s="983">
        <v>3.3700000000000001E-2</v>
      </c>
      <c r="C389" s="983">
        <v>5.16E-2</v>
      </c>
      <c r="D389" s="983">
        <v>2.5999999999999999E-3</v>
      </c>
      <c r="E389" s="983">
        <v>3.0000000000000001E-3</v>
      </c>
      <c r="F389" s="983">
        <v>3.15E-3</v>
      </c>
      <c r="G389" s="983">
        <v>3.075E-3</v>
      </c>
      <c r="H389" s="983">
        <v>3.2916666666666667E-3</v>
      </c>
      <c r="I389" s="983">
        <v>3.1100000000000003E-2</v>
      </c>
      <c r="J389" s="983">
        <v>3.0624999999999999E-2</v>
      </c>
      <c r="K389" s="983">
        <v>3.0408333333333336E-2</v>
      </c>
      <c r="L389" s="983">
        <v>4.8308333333333335E-2</v>
      </c>
    </row>
    <row r="390" spans="1:12">
      <c r="A390" s="983">
        <v>21306</v>
      </c>
      <c r="B390" s="983">
        <v>2.12E-2</v>
      </c>
      <c r="C390" s="983">
        <v>1.6400000000000001E-2</v>
      </c>
      <c r="D390" s="983">
        <v>2.3999999999999998E-3</v>
      </c>
      <c r="E390" s="983">
        <v>2.9749999999999998E-3</v>
      </c>
      <c r="F390" s="983">
        <v>3.15E-3</v>
      </c>
      <c r="G390" s="983">
        <v>3.0625000000000001E-3</v>
      </c>
      <c r="H390" s="983">
        <v>3.3416666666666668E-3</v>
      </c>
      <c r="I390" s="983">
        <v>1.8800000000000001E-2</v>
      </c>
      <c r="J390" s="983">
        <v>1.8137500000000001E-2</v>
      </c>
      <c r="K390" s="983">
        <v>1.7858333333333334E-2</v>
      </c>
      <c r="L390" s="983">
        <v>1.3058333333333335E-2</v>
      </c>
    </row>
    <row r="391" spans="1:12">
      <c r="A391" s="983">
        <v>21337</v>
      </c>
      <c r="B391" s="983">
        <v>2.7900000000000001E-2</v>
      </c>
      <c r="C391" s="983">
        <v>1.72E-2</v>
      </c>
      <c r="D391" s="983">
        <v>2.7000000000000001E-3</v>
      </c>
      <c r="E391" s="983">
        <v>2.9749999999999998E-3</v>
      </c>
      <c r="F391" s="983">
        <v>3.15E-3</v>
      </c>
      <c r="G391" s="983">
        <v>3.0625000000000001E-3</v>
      </c>
      <c r="H391" s="983">
        <v>3.3250000000000003E-3</v>
      </c>
      <c r="I391" s="983">
        <v>2.52E-2</v>
      </c>
      <c r="J391" s="983">
        <v>2.4837500000000002E-2</v>
      </c>
      <c r="K391" s="983">
        <v>2.4575E-2</v>
      </c>
      <c r="L391" s="983">
        <v>1.3875E-2</v>
      </c>
    </row>
    <row r="392" spans="1:12">
      <c r="A392" s="983">
        <v>21367</v>
      </c>
      <c r="B392" s="983">
        <v>4.4900000000000002E-2</v>
      </c>
      <c r="C392" s="983">
        <v>1.09E-2</v>
      </c>
      <c r="D392" s="983">
        <v>2.7000000000000001E-3</v>
      </c>
      <c r="E392" s="983">
        <v>3.0583333333333335E-3</v>
      </c>
      <c r="F392" s="983">
        <v>3.1916666666666664E-3</v>
      </c>
      <c r="G392" s="983">
        <v>3.1250000000000002E-3</v>
      </c>
      <c r="H392" s="983">
        <v>3.3666666666666667E-3</v>
      </c>
      <c r="I392" s="983">
        <v>4.2200000000000001E-2</v>
      </c>
      <c r="J392" s="983">
        <v>4.1775E-2</v>
      </c>
      <c r="K392" s="983">
        <v>4.1533333333333339E-2</v>
      </c>
      <c r="L392" s="983">
        <v>7.5333333333333329E-3</v>
      </c>
    </row>
    <row r="393" spans="1:12">
      <c r="A393" s="983">
        <v>21398</v>
      </c>
      <c r="B393" s="983">
        <v>1.7600000000000001E-2</v>
      </c>
      <c r="C393" s="983">
        <v>-6.7000000000000002E-3</v>
      </c>
      <c r="D393" s="983">
        <v>2.7000000000000001E-3</v>
      </c>
      <c r="E393" s="983">
        <v>3.2083333333333334E-3</v>
      </c>
      <c r="F393" s="983">
        <v>3.3166666666666665E-3</v>
      </c>
      <c r="G393" s="983">
        <v>3.2625000000000002E-3</v>
      </c>
      <c r="H393" s="983">
        <v>3.5750000000000001E-3</v>
      </c>
      <c r="I393" s="983">
        <v>1.49E-2</v>
      </c>
      <c r="J393" s="983">
        <v>1.4337500000000001E-2</v>
      </c>
      <c r="K393" s="983">
        <v>1.4025000000000001E-2</v>
      </c>
      <c r="L393" s="983">
        <v>-1.0274999999999999E-2</v>
      </c>
    </row>
    <row r="394" spans="1:12">
      <c r="A394" s="983">
        <v>21429</v>
      </c>
      <c r="B394" s="983">
        <v>5.0099999999999999E-2</v>
      </c>
      <c r="C394" s="983">
        <v>3.32E-2</v>
      </c>
      <c r="D394" s="983">
        <v>3.2000000000000002E-3</v>
      </c>
      <c r="E394" s="983">
        <v>3.4083333333333331E-3</v>
      </c>
      <c r="F394" s="983">
        <v>3.5000000000000005E-3</v>
      </c>
      <c r="G394" s="983">
        <v>3.454166666666667E-3</v>
      </c>
      <c r="H394" s="983">
        <v>3.7916666666666667E-3</v>
      </c>
      <c r="I394" s="983">
        <v>4.6899999999999997E-2</v>
      </c>
      <c r="J394" s="983">
        <v>4.6645833333333331E-2</v>
      </c>
      <c r="K394" s="983">
        <v>4.6308333333333333E-2</v>
      </c>
      <c r="L394" s="983">
        <v>2.9408333333333335E-2</v>
      </c>
    </row>
    <row r="395" spans="1:12">
      <c r="A395" s="983">
        <v>21459</v>
      </c>
      <c r="B395" s="983">
        <v>2.7E-2</v>
      </c>
      <c r="C395" s="983">
        <v>4.0599999999999997E-2</v>
      </c>
      <c r="D395" s="983">
        <v>3.2000000000000002E-3</v>
      </c>
      <c r="E395" s="983">
        <v>3.4250000000000001E-3</v>
      </c>
      <c r="F395" s="983">
        <v>3.5083333333333334E-3</v>
      </c>
      <c r="G395" s="983">
        <v>3.4666666666666669E-3</v>
      </c>
      <c r="H395" s="983">
        <v>3.7999999999999996E-3</v>
      </c>
      <c r="I395" s="983">
        <v>2.3799999999999998E-2</v>
      </c>
      <c r="J395" s="983">
        <v>2.3533333333333333E-2</v>
      </c>
      <c r="K395" s="983">
        <v>2.3199999999999998E-2</v>
      </c>
      <c r="L395" s="983">
        <v>3.6799999999999999E-2</v>
      </c>
    </row>
    <row r="396" spans="1:12">
      <c r="A396" s="983">
        <v>21490</v>
      </c>
      <c r="B396" s="983">
        <v>2.8400000000000002E-2</v>
      </c>
      <c r="C396" s="983">
        <v>2.63E-2</v>
      </c>
      <c r="D396" s="983">
        <v>2.7999999999999995E-3</v>
      </c>
      <c r="E396" s="983">
        <v>3.4083333333333331E-3</v>
      </c>
      <c r="F396" s="983">
        <v>3.5083333333333334E-3</v>
      </c>
      <c r="G396" s="983">
        <v>3.4583333333333332E-3</v>
      </c>
      <c r="H396" s="983">
        <v>3.725E-3</v>
      </c>
      <c r="I396" s="983">
        <v>2.5600000000000001E-2</v>
      </c>
      <c r="J396" s="983">
        <v>2.4941666666666668E-2</v>
      </c>
      <c r="K396" s="983">
        <v>2.4675000000000002E-2</v>
      </c>
      <c r="L396" s="983">
        <v>2.2575000000000001E-2</v>
      </c>
    </row>
    <row r="397" spans="1:12">
      <c r="A397" s="983">
        <v>21520</v>
      </c>
      <c r="B397" s="983">
        <v>5.3499999999999999E-2</v>
      </c>
      <c r="C397" s="983">
        <v>6.5500000000000003E-2</v>
      </c>
      <c r="D397" s="983">
        <v>3.3E-3</v>
      </c>
      <c r="E397" s="983">
        <v>3.4000000000000002E-3</v>
      </c>
      <c r="F397" s="983">
        <v>3.4833333333333331E-3</v>
      </c>
      <c r="G397" s="983">
        <v>3.4416666666666667E-3</v>
      </c>
      <c r="H397" s="983">
        <v>3.741666666666667E-3</v>
      </c>
      <c r="I397" s="983">
        <v>5.0200000000000002E-2</v>
      </c>
      <c r="J397" s="983">
        <v>5.005833333333333E-2</v>
      </c>
      <c r="K397" s="983">
        <v>4.9758333333333335E-2</v>
      </c>
      <c r="L397" s="983">
        <v>6.1758333333333339E-2</v>
      </c>
    </row>
    <row r="398" spans="1:12">
      <c r="A398" s="983">
        <v>21551</v>
      </c>
      <c r="B398" s="983">
        <v>5.3E-3</v>
      </c>
      <c r="C398" s="983">
        <v>1.34E-2</v>
      </c>
      <c r="D398" s="983">
        <v>3.0999999999999999E-3</v>
      </c>
      <c r="E398" s="983">
        <v>3.4333333333333334E-3</v>
      </c>
      <c r="F398" s="983">
        <v>3.5166666666666662E-3</v>
      </c>
      <c r="G398" s="983">
        <v>3.4749999999999998E-3</v>
      </c>
      <c r="H398" s="983">
        <v>3.7666666666666664E-3</v>
      </c>
      <c r="I398" s="983">
        <v>2.2000000000000001E-3</v>
      </c>
      <c r="J398" s="983">
        <v>1.8250000000000002E-3</v>
      </c>
      <c r="K398" s="983">
        <v>1.5333333333333336E-3</v>
      </c>
      <c r="L398" s="983">
        <v>9.633333333333334E-3</v>
      </c>
    </row>
    <row r="399" spans="1:12">
      <c r="A399" s="983">
        <v>21582</v>
      </c>
      <c r="B399" s="983">
        <v>4.8999999999999998E-3</v>
      </c>
      <c r="C399" s="983">
        <v>2.06E-2</v>
      </c>
      <c r="D399" s="983">
        <v>3.0999999999999999E-3</v>
      </c>
      <c r="E399" s="983">
        <v>3.4499999999999999E-3</v>
      </c>
      <c r="F399" s="983">
        <v>3.5333333333333332E-3</v>
      </c>
      <c r="G399" s="983">
        <v>3.4916666666666664E-3</v>
      </c>
      <c r="H399" s="983">
        <v>3.7499999999999999E-3</v>
      </c>
      <c r="I399" s="983">
        <v>1.8E-3</v>
      </c>
      <c r="J399" s="983">
        <v>1.4083333333333335E-3</v>
      </c>
      <c r="K399" s="983">
        <v>1.15E-3</v>
      </c>
      <c r="L399" s="983">
        <v>1.685E-2</v>
      </c>
    </row>
    <row r="400" spans="1:12">
      <c r="A400" s="983">
        <v>21610</v>
      </c>
      <c r="B400" s="983">
        <v>2E-3</v>
      </c>
      <c r="C400" s="983">
        <v>1.0200000000000001E-2</v>
      </c>
      <c r="D400" s="983">
        <v>3.5000000000000005E-3</v>
      </c>
      <c r="E400" s="983">
        <v>3.4416666666666667E-3</v>
      </c>
      <c r="F400" s="983">
        <v>3.5250000000000004E-3</v>
      </c>
      <c r="G400" s="983">
        <v>3.4833333333333339E-3</v>
      </c>
      <c r="H400" s="983">
        <v>3.725E-3</v>
      </c>
      <c r="I400" s="983">
        <v>-1.5000000000000005E-3</v>
      </c>
      <c r="J400" s="983">
        <v>-1.4833333333333339E-3</v>
      </c>
      <c r="K400" s="983">
        <v>-1.725E-3</v>
      </c>
      <c r="L400" s="983">
        <v>6.4750000000000007E-3</v>
      </c>
    </row>
    <row r="401" spans="1:12">
      <c r="A401" s="983">
        <v>21641</v>
      </c>
      <c r="B401" s="983">
        <v>4.02E-2</v>
      </c>
      <c r="C401" s="983">
        <v>-2.7999999999999995E-3</v>
      </c>
      <c r="D401" s="983">
        <v>3.3E-3</v>
      </c>
      <c r="E401" s="983">
        <v>3.5250000000000004E-3</v>
      </c>
      <c r="F401" s="983">
        <v>3.6000000000000003E-3</v>
      </c>
      <c r="G401" s="983">
        <v>3.5625000000000006E-3</v>
      </c>
      <c r="H401" s="983">
        <v>3.7999999999999996E-3</v>
      </c>
      <c r="I401" s="983">
        <v>3.6900000000000002E-2</v>
      </c>
      <c r="J401" s="983">
        <v>3.6637499999999996E-2</v>
      </c>
      <c r="K401" s="983">
        <v>3.6400000000000002E-2</v>
      </c>
      <c r="L401" s="983">
        <v>-6.5999999999999991E-3</v>
      </c>
    </row>
    <row r="402" spans="1:12">
      <c r="A402" s="983">
        <v>21671</v>
      </c>
      <c r="B402" s="983">
        <v>2.4E-2</v>
      </c>
      <c r="C402" s="983">
        <v>-1.2E-2</v>
      </c>
      <c r="D402" s="983">
        <v>3.3E-3</v>
      </c>
      <c r="E402" s="983">
        <v>3.6416666666666667E-3</v>
      </c>
      <c r="F402" s="983">
        <v>3.7166666666666663E-3</v>
      </c>
      <c r="G402" s="983">
        <v>3.6791666666666665E-3</v>
      </c>
      <c r="H402" s="983">
        <v>3.9749999999999994E-3</v>
      </c>
      <c r="I402" s="983">
        <v>2.07E-2</v>
      </c>
      <c r="J402" s="983">
        <v>2.0320833333333333E-2</v>
      </c>
      <c r="K402" s="983">
        <v>2.0025000000000001E-2</v>
      </c>
      <c r="L402" s="983">
        <v>-1.5975E-2</v>
      </c>
    </row>
    <row r="403" spans="1:12">
      <c r="A403" s="983">
        <v>21702</v>
      </c>
      <c r="B403" s="983">
        <v>-2.2000000000000001E-3</v>
      </c>
      <c r="C403" s="983">
        <v>-8.7999999999999988E-3</v>
      </c>
      <c r="D403" s="983">
        <v>3.5999999999999999E-3</v>
      </c>
      <c r="E403" s="983">
        <v>3.7166666666666663E-3</v>
      </c>
      <c r="F403" s="983">
        <v>3.7999999999999996E-3</v>
      </c>
      <c r="G403" s="983">
        <v>3.7583333333333331E-3</v>
      </c>
      <c r="H403" s="983">
        <v>4.0500000000000006E-3</v>
      </c>
      <c r="I403" s="983">
        <v>-5.7999999999999996E-3</v>
      </c>
      <c r="J403" s="983">
        <v>-5.9583333333333328E-3</v>
      </c>
      <c r="K403" s="983">
        <v>-6.2500000000000003E-3</v>
      </c>
      <c r="L403" s="983">
        <v>-1.285E-2</v>
      </c>
    </row>
    <row r="404" spans="1:12">
      <c r="A404" s="983">
        <v>21732</v>
      </c>
      <c r="B404" s="983">
        <v>3.6299999999999999E-2</v>
      </c>
      <c r="C404" s="983">
        <v>3.7100000000000001E-2</v>
      </c>
      <c r="D404" s="983">
        <v>3.5000000000000005E-3</v>
      </c>
      <c r="E404" s="983">
        <v>3.725E-3</v>
      </c>
      <c r="F404" s="983">
        <v>3.8166666666666666E-3</v>
      </c>
      <c r="G404" s="983">
        <v>3.7708333333333331E-3</v>
      </c>
      <c r="H404" s="983">
        <v>4.0666666666666663E-3</v>
      </c>
      <c r="I404" s="983">
        <v>3.2799999999999996E-2</v>
      </c>
      <c r="J404" s="983">
        <v>3.2529166666666665E-2</v>
      </c>
      <c r="K404" s="983">
        <v>3.2233333333333336E-2</v>
      </c>
      <c r="L404" s="983">
        <v>3.3033333333333331E-2</v>
      </c>
    </row>
    <row r="405" spans="1:12">
      <c r="A405" s="983">
        <v>21763</v>
      </c>
      <c r="B405" s="983">
        <v>-1.0200000000000001E-2</v>
      </c>
      <c r="C405" s="983">
        <v>1.7500000000000002E-2</v>
      </c>
      <c r="D405" s="983">
        <v>3.5000000000000005E-3</v>
      </c>
      <c r="E405" s="983">
        <v>3.6916666666666664E-3</v>
      </c>
      <c r="F405" s="983">
        <v>3.8166666666666666E-3</v>
      </c>
      <c r="G405" s="983">
        <v>3.7541666666666661E-3</v>
      </c>
      <c r="H405" s="983">
        <v>4.0749999999999996E-3</v>
      </c>
      <c r="I405" s="983">
        <v>-1.37E-2</v>
      </c>
      <c r="J405" s="983">
        <v>-1.3954166666666667E-2</v>
      </c>
      <c r="K405" s="983">
        <v>-1.4274999999999999E-2</v>
      </c>
      <c r="L405" s="983">
        <v>1.3425000000000003E-2</v>
      </c>
    </row>
    <row r="406" spans="1:12">
      <c r="A406" s="983">
        <v>21794</v>
      </c>
      <c r="B406" s="983">
        <v>-4.4299999999999999E-2</v>
      </c>
      <c r="C406" s="983">
        <v>-3.9300000000000002E-2</v>
      </c>
      <c r="D406" s="983">
        <v>3.3999999999999998E-3</v>
      </c>
      <c r="E406" s="983">
        <v>3.7666666666666664E-3</v>
      </c>
      <c r="F406" s="983">
        <v>3.908333333333334E-3</v>
      </c>
      <c r="G406" s="983">
        <v>3.8375000000000002E-3</v>
      </c>
      <c r="H406" s="983">
        <v>4.1916666666666665E-3</v>
      </c>
      <c r="I406" s="983">
        <v>-4.7699999999999999E-2</v>
      </c>
      <c r="J406" s="983">
        <v>-4.81375E-2</v>
      </c>
      <c r="K406" s="983">
        <v>-4.8491666666666669E-2</v>
      </c>
      <c r="L406" s="983">
        <v>-4.3491666666666665E-2</v>
      </c>
    </row>
    <row r="407" spans="1:12">
      <c r="A407" s="983">
        <v>21824</v>
      </c>
      <c r="B407" s="983">
        <v>1.2800000000000001E-2</v>
      </c>
      <c r="C407" s="983">
        <v>1.5699999999999999E-2</v>
      </c>
      <c r="D407" s="983">
        <v>3.5000000000000005E-3</v>
      </c>
      <c r="E407" s="983">
        <v>3.8083333333333337E-3</v>
      </c>
      <c r="F407" s="983">
        <v>3.966666666666667E-3</v>
      </c>
      <c r="G407" s="983">
        <v>3.8875000000000003E-3</v>
      </c>
      <c r="H407" s="983">
        <v>4.1333333333333335E-3</v>
      </c>
      <c r="I407" s="983">
        <v>9.2999999999999992E-3</v>
      </c>
      <c r="J407" s="983">
        <v>8.9125000000000003E-3</v>
      </c>
      <c r="K407" s="983">
        <v>8.6666666666666663E-3</v>
      </c>
      <c r="L407" s="983">
        <v>1.1566666666666666E-2</v>
      </c>
    </row>
    <row r="408" spans="1:12">
      <c r="A408" s="983">
        <v>21855</v>
      </c>
      <c r="B408" s="983">
        <v>1.8599999999999998E-2</v>
      </c>
      <c r="C408" s="983">
        <v>9.9999999999999829E-5</v>
      </c>
      <c r="D408" s="983">
        <v>3.5000000000000005E-3</v>
      </c>
      <c r="E408" s="983">
        <v>3.7999999999999996E-3</v>
      </c>
      <c r="F408" s="983">
        <v>3.9166666666666664E-3</v>
      </c>
      <c r="G408" s="983">
        <v>3.858333333333333E-3</v>
      </c>
      <c r="H408" s="983">
        <v>4.0833333333333338E-3</v>
      </c>
      <c r="I408" s="983">
        <v>1.5099999999999999E-2</v>
      </c>
      <c r="J408" s="983">
        <v>1.4741666666666665E-2</v>
      </c>
      <c r="K408" s="983">
        <v>1.4516666666666664E-2</v>
      </c>
      <c r="L408" s="983">
        <v>-3.9833333333333335E-3</v>
      </c>
    </row>
    <row r="409" spans="1:12">
      <c r="A409" s="983">
        <v>21885</v>
      </c>
      <c r="B409" s="983">
        <v>2.92E-2</v>
      </c>
      <c r="C409" s="983">
        <v>2.3E-2</v>
      </c>
      <c r="D409" s="983">
        <v>3.5999999999999999E-3</v>
      </c>
      <c r="E409" s="983">
        <v>3.8166666666666666E-3</v>
      </c>
      <c r="F409" s="983">
        <v>3.9500000000000004E-3</v>
      </c>
      <c r="G409" s="983">
        <v>3.8833333333333333E-3</v>
      </c>
      <c r="H409" s="983">
        <v>4.1333333333333335E-3</v>
      </c>
      <c r="I409" s="983">
        <v>2.5600000000000001E-2</v>
      </c>
      <c r="J409" s="983">
        <v>2.5316666666666668E-2</v>
      </c>
      <c r="K409" s="983">
        <v>2.5066666666666668E-2</v>
      </c>
      <c r="L409" s="983">
        <v>1.8866666666666667E-2</v>
      </c>
    </row>
    <row r="410" spans="1:12">
      <c r="A410" s="983">
        <v>21916</v>
      </c>
      <c r="B410" s="983">
        <v>-7.0000000000000007E-2</v>
      </c>
      <c r="C410" s="983">
        <v>-1.0800000000000001E-2</v>
      </c>
      <c r="D410" s="983">
        <v>3.5000000000000005E-3</v>
      </c>
      <c r="E410" s="983">
        <v>3.8416666666666673E-3</v>
      </c>
      <c r="F410" s="983">
        <v>3.9749999999999994E-3</v>
      </c>
      <c r="G410" s="983">
        <v>3.908333333333334E-3</v>
      </c>
      <c r="H410" s="983">
        <v>4.1833333333333332E-3</v>
      </c>
      <c r="I410" s="983">
        <v>-7.350000000000001E-2</v>
      </c>
      <c r="J410" s="983">
        <v>-7.390833333333334E-2</v>
      </c>
      <c r="K410" s="983">
        <v>-7.4183333333333337E-2</v>
      </c>
      <c r="L410" s="983">
        <v>-1.4983333333333335E-2</v>
      </c>
    </row>
    <row r="411" spans="1:12">
      <c r="A411" s="983">
        <v>21947</v>
      </c>
      <c r="B411" s="983">
        <v>1.47E-2</v>
      </c>
      <c r="C411" s="983">
        <v>1.8099999999999998E-2</v>
      </c>
      <c r="D411" s="983">
        <v>3.7000000000000002E-3</v>
      </c>
      <c r="E411" s="983">
        <v>3.7999999999999996E-3</v>
      </c>
      <c r="F411" s="983">
        <v>3.9250000000000005E-3</v>
      </c>
      <c r="G411" s="983">
        <v>3.8624999999999996E-3</v>
      </c>
      <c r="H411" s="983">
        <v>4.1666666666666666E-3</v>
      </c>
      <c r="I411" s="983">
        <v>1.0999999999999999E-2</v>
      </c>
      <c r="J411" s="983">
        <v>1.08375E-2</v>
      </c>
      <c r="K411" s="983">
        <v>1.0533333333333332E-2</v>
      </c>
      <c r="L411" s="983">
        <v>1.3933333333333332E-2</v>
      </c>
    </row>
    <row r="412" spans="1:12">
      <c r="A412" s="983">
        <v>21976</v>
      </c>
      <c r="B412" s="983">
        <v>-1.23E-2</v>
      </c>
      <c r="C412" s="983">
        <v>1.41E-2</v>
      </c>
      <c r="D412" s="983">
        <v>3.5999999999999999E-3</v>
      </c>
      <c r="E412" s="983">
        <v>3.741666666666667E-3</v>
      </c>
      <c r="F412" s="983">
        <v>3.8500000000000001E-3</v>
      </c>
      <c r="G412" s="983">
        <v>3.7958333333333338E-3</v>
      </c>
      <c r="H412" s="983">
        <v>4.0916666666666671E-3</v>
      </c>
      <c r="I412" s="983">
        <v>-1.5900000000000001E-2</v>
      </c>
      <c r="J412" s="983">
        <v>-1.6095833333333334E-2</v>
      </c>
      <c r="K412" s="983">
        <v>-1.6391666666666665E-2</v>
      </c>
      <c r="L412" s="983">
        <v>1.0008333333333333E-2</v>
      </c>
    </row>
    <row r="413" spans="1:12">
      <c r="A413" s="983">
        <v>22007</v>
      </c>
      <c r="B413" s="983">
        <v>-1.61E-2</v>
      </c>
      <c r="C413" s="983">
        <v>7.4999999999999997E-3</v>
      </c>
      <c r="D413" s="983">
        <v>3.2000000000000002E-3</v>
      </c>
      <c r="E413" s="983">
        <v>3.7083333333333334E-3</v>
      </c>
      <c r="F413" s="983">
        <v>3.8166666666666666E-3</v>
      </c>
      <c r="G413" s="983">
        <v>3.7624999999999998E-3</v>
      </c>
      <c r="H413" s="983">
        <v>3.9916666666666668E-3</v>
      </c>
      <c r="I413" s="983">
        <v>-1.9300000000000001E-2</v>
      </c>
      <c r="J413" s="983">
        <v>-1.9862499999999998E-2</v>
      </c>
      <c r="K413" s="983">
        <v>-2.0091666666666667E-2</v>
      </c>
      <c r="L413" s="983">
        <v>3.5083333333333329E-3</v>
      </c>
    </row>
    <row r="414" spans="1:12">
      <c r="A414" s="983">
        <v>22037</v>
      </c>
      <c r="B414" s="983">
        <v>3.2599999999999997E-2</v>
      </c>
      <c r="C414" s="983">
        <v>2.3300000000000001E-2</v>
      </c>
      <c r="D414" s="983">
        <v>3.7000000000000002E-3</v>
      </c>
      <c r="E414" s="983">
        <v>3.7166666666666663E-3</v>
      </c>
      <c r="F414" s="983">
        <v>3.8416666666666673E-3</v>
      </c>
      <c r="G414" s="983">
        <v>3.7791666666666668E-3</v>
      </c>
      <c r="H414" s="983">
        <v>4.0500000000000006E-3</v>
      </c>
      <c r="I414" s="983">
        <v>2.8899999999999995E-2</v>
      </c>
      <c r="J414" s="983">
        <v>2.882083333333333E-2</v>
      </c>
      <c r="K414" s="983">
        <v>2.8549999999999996E-2</v>
      </c>
      <c r="L414" s="983">
        <v>1.925E-2</v>
      </c>
    </row>
    <row r="415" spans="1:12">
      <c r="A415" s="983">
        <v>22068</v>
      </c>
      <c r="B415" s="983">
        <v>2.1100000000000001E-2</v>
      </c>
      <c r="C415" s="983">
        <v>4.0799999999999989E-2</v>
      </c>
      <c r="D415" s="983">
        <v>3.3999999999999998E-3</v>
      </c>
      <c r="E415" s="983">
        <v>3.7083333333333334E-3</v>
      </c>
      <c r="F415" s="983">
        <v>3.8333333333333331E-3</v>
      </c>
      <c r="G415" s="983">
        <v>3.7708333333333331E-3</v>
      </c>
      <c r="H415" s="983">
        <v>4.0333333333333332E-3</v>
      </c>
      <c r="I415" s="983">
        <v>1.77E-2</v>
      </c>
      <c r="J415" s="983">
        <v>1.7329166666666666E-2</v>
      </c>
      <c r="K415" s="983">
        <v>1.7066666666666667E-2</v>
      </c>
      <c r="L415" s="983">
        <v>3.6766666666666656E-2</v>
      </c>
    </row>
    <row r="416" spans="1:12">
      <c r="A416" s="983">
        <v>22098</v>
      </c>
      <c r="B416" s="983">
        <v>-2.3400000000000001E-2</v>
      </c>
      <c r="C416" s="983">
        <v>-0.01</v>
      </c>
      <c r="D416" s="983">
        <v>3.2000000000000002E-3</v>
      </c>
      <c r="E416" s="983">
        <v>3.6749999999999999E-3</v>
      </c>
      <c r="F416" s="983">
        <v>3.7999999999999996E-3</v>
      </c>
      <c r="G416" s="983">
        <v>3.7374999999999995E-3</v>
      </c>
      <c r="H416" s="983">
        <v>3.9916666666666668E-3</v>
      </c>
      <c r="I416" s="983">
        <v>-2.6600000000000002E-2</v>
      </c>
      <c r="J416" s="983">
        <v>-2.7137500000000002E-2</v>
      </c>
      <c r="K416" s="983">
        <v>-2.7391666666666668E-2</v>
      </c>
      <c r="L416" s="983">
        <v>-1.3991666666666666E-2</v>
      </c>
    </row>
    <row r="417" spans="1:12">
      <c r="A417" s="983">
        <v>22129</v>
      </c>
      <c r="B417" s="983">
        <v>3.1699999999999999E-2</v>
      </c>
      <c r="C417" s="983">
        <v>5.0200000000000002E-2</v>
      </c>
      <c r="D417" s="983">
        <v>3.3999999999999998E-3</v>
      </c>
      <c r="E417" s="983">
        <v>3.5666666666666668E-3</v>
      </c>
      <c r="F417" s="983">
        <v>3.7000000000000006E-3</v>
      </c>
      <c r="G417" s="983">
        <v>3.6333333333333339E-3</v>
      </c>
      <c r="H417" s="983">
        <v>3.8666666666666667E-3</v>
      </c>
      <c r="I417" s="983">
        <v>2.8299999999999999E-2</v>
      </c>
      <c r="J417" s="983">
        <v>2.8066666666666663E-2</v>
      </c>
      <c r="K417" s="983">
        <v>2.7833333333333331E-2</v>
      </c>
      <c r="L417" s="983">
        <v>4.6333333333333337E-2</v>
      </c>
    </row>
    <row r="418" spans="1:12">
      <c r="A418" s="983">
        <v>22160</v>
      </c>
      <c r="B418" s="983">
        <v>-5.8999999999999997E-2</v>
      </c>
      <c r="C418" s="983">
        <v>-5.1400000000000008E-2</v>
      </c>
      <c r="D418" s="983">
        <v>3.2000000000000002E-3</v>
      </c>
      <c r="E418" s="983">
        <v>3.5416666666666669E-3</v>
      </c>
      <c r="F418" s="983">
        <v>3.6749999999999999E-3</v>
      </c>
      <c r="G418" s="983">
        <v>3.6083333333333332E-3</v>
      </c>
      <c r="H418" s="983">
        <v>3.8083333333333337E-3</v>
      </c>
      <c r="I418" s="983">
        <v>-6.2199999999999998E-2</v>
      </c>
      <c r="J418" s="983">
        <v>-6.2608333333333335E-2</v>
      </c>
      <c r="K418" s="983">
        <v>-6.2808333333333327E-2</v>
      </c>
      <c r="L418" s="983">
        <v>-5.5208333333333345E-2</v>
      </c>
    </row>
    <row r="419" spans="1:12">
      <c r="A419" s="983">
        <v>22190</v>
      </c>
      <c r="B419" s="983">
        <v>-6.9999999999999999E-4</v>
      </c>
      <c r="C419" s="983">
        <v>-1.1999999999999997E-3</v>
      </c>
      <c r="D419" s="983">
        <v>3.3E-3</v>
      </c>
      <c r="E419" s="983">
        <v>3.5833333333333333E-3</v>
      </c>
      <c r="F419" s="983">
        <v>3.7000000000000006E-3</v>
      </c>
      <c r="G419" s="983">
        <v>3.6416666666666667E-3</v>
      </c>
      <c r="H419" s="983">
        <v>3.8416666666666673E-3</v>
      </c>
      <c r="I419" s="983">
        <v>-4.0000000000000001E-3</v>
      </c>
      <c r="J419" s="983">
        <v>-4.3416666666666664E-3</v>
      </c>
      <c r="K419" s="983">
        <v>-4.5416666666666669E-3</v>
      </c>
      <c r="L419" s="983">
        <v>-5.0416666666666665E-3</v>
      </c>
    </row>
    <row r="420" spans="1:12">
      <c r="A420" s="983">
        <v>22221</v>
      </c>
      <c r="B420" s="983">
        <v>4.65E-2</v>
      </c>
      <c r="C420" s="983">
        <v>3.8599999999999995E-2</v>
      </c>
      <c r="D420" s="983">
        <v>3.2000000000000002E-3</v>
      </c>
      <c r="E420" s="983">
        <v>3.5916666666666662E-3</v>
      </c>
      <c r="F420" s="983">
        <v>3.725E-3</v>
      </c>
      <c r="G420" s="983">
        <v>3.6583333333333333E-3</v>
      </c>
      <c r="H420" s="983">
        <v>3.8508333333333337E-3</v>
      </c>
      <c r="I420" s="983">
        <v>4.3299999999999998E-2</v>
      </c>
      <c r="J420" s="983">
        <v>4.2841666666666667E-2</v>
      </c>
      <c r="K420" s="983">
        <v>4.2649166666666669E-2</v>
      </c>
      <c r="L420" s="983">
        <v>3.4749166666666664E-2</v>
      </c>
    </row>
    <row r="421" spans="1:12">
      <c r="A421" s="983">
        <v>22251</v>
      </c>
      <c r="B421" s="983">
        <v>4.7899999999999998E-2</v>
      </c>
      <c r="C421" s="983">
        <v>7.2399999999999992E-2</v>
      </c>
      <c r="D421" s="983">
        <v>3.3E-3</v>
      </c>
      <c r="E421" s="983">
        <v>3.6249999999999998E-3</v>
      </c>
      <c r="F421" s="983">
        <v>3.7499999999999999E-3</v>
      </c>
      <c r="G421" s="983">
        <v>3.6875000000000002E-3</v>
      </c>
      <c r="H421" s="983">
        <v>3.875E-3</v>
      </c>
      <c r="I421" s="983">
        <v>4.4600000000000001E-2</v>
      </c>
      <c r="J421" s="983">
        <v>4.4212499999999995E-2</v>
      </c>
      <c r="K421" s="983">
        <v>4.4024999999999995E-2</v>
      </c>
      <c r="L421" s="983">
        <v>6.8524999999999989E-2</v>
      </c>
    </row>
    <row r="422" spans="1:12">
      <c r="A422" s="983">
        <v>22282</v>
      </c>
      <c r="B422" s="983">
        <v>6.4500000000000002E-2</v>
      </c>
      <c r="C422" s="983">
        <v>6.1900000000000004E-2</v>
      </c>
      <c r="D422" s="983">
        <v>3.3E-3</v>
      </c>
      <c r="E422" s="983">
        <v>3.6000000000000003E-3</v>
      </c>
      <c r="F422" s="983">
        <v>3.7333333333333333E-3</v>
      </c>
      <c r="G422" s="983">
        <v>3.666666666666667E-3</v>
      </c>
      <c r="H422" s="983">
        <v>3.8666666666666667E-3</v>
      </c>
      <c r="I422" s="983">
        <v>6.1200000000000004E-2</v>
      </c>
      <c r="J422" s="983">
        <v>6.0833333333333336E-2</v>
      </c>
      <c r="K422" s="983">
        <v>6.0633333333333338E-2</v>
      </c>
      <c r="L422" s="983">
        <v>5.803333333333334E-2</v>
      </c>
    </row>
    <row r="423" spans="1:12">
      <c r="A423" s="983">
        <v>22313</v>
      </c>
      <c r="B423" s="983">
        <v>3.1899999999999998E-2</v>
      </c>
      <c r="C423" s="983">
        <v>3.5700000000000003E-2</v>
      </c>
      <c r="D423" s="983">
        <v>3.0000000000000001E-3</v>
      </c>
      <c r="E423" s="983">
        <v>3.5583333333333326E-3</v>
      </c>
      <c r="F423" s="983">
        <v>3.666666666666667E-3</v>
      </c>
      <c r="G423" s="983">
        <v>3.6124999999999994E-3</v>
      </c>
      <c r="H423" s="983">
        <v>3.8250000000000003E-3</v>
      </c>
      <c r="I423" s="983">
        <v>2.8899999999999999E-2</v>
      </c>
      <c r="J423" s="983">
        <v>2.82875E-2</v>
      </c>
      <c r="K423" s="983">
        <v>2.8074999999999996E-2</v>
      </c>
      <c r="L423" s="983">
        <v>3.1875000000000001E-2</v>
      </c>
    </row>
    <row r="424" spans="1:12">
      <c r="A424" s="983">
        <v>22341</v>
      </c>
      <c r="B424" s="983">
        <v>2.7E-2</v>
      </c>
      <c r="C424" s="983">
        <v>3.1899999999999998E-2</v>
      </c>
      <c r="D424" s="983">
        <v>3.0999999999999999E-3</v>
      </c>
      <c r="E424" s="983">
        <v>3.5166666666666662E-3</v>
      </c>
      <c r="F424" s="983">
        <v>3.6083333333333332E-3</v>
      </c>
      <c r="G424" s="983">
        <v>3.5624999999999997E-3</v>
      </c>
      <c r="H424" s="983">
        <v>3.7333333333333333E-3</v>
      </c>
      <c r="I424" s="983">
        <v>2.3900000000000001E-2</v>
      </c>
      <c r="J424" s="983">
        <v>2.34375E-2</v>
      </c>
      <c r="K424" s="983">
        <v>2.3266666666666665E-2</v>
      </c>
      <c r="L424" s="983">
        <v>2.8166666666666666E-2</v>
      </c>
    </row>
    <row r="425" spans="1:12">
      <c r="A425" s="983">
        <v>22372</v>
      </c>
      <c r="B425" s="983">
        <v>5.1000000000000004E-3</v>
      </c>
      <c r="C425" s="983">
        <v>1.09E-2</v>
      </c>
      <c r="D425" s="983">
        <v>3.0999999999999999E-3</v>
      </c>
      <c r="E425" s="983">
        <v>3.5416666666666669E-3</v>
      </c>
      <c r="F425" s="983">
        <v>3.6416666666666667E-3</v>
      </c>
      <c r="G425" s="983">
        <v>3.5916666666666671E-3</v>
      </c>
      <c r="H425" s="983">
        <v>3.7333333333333333E-3</v>
      </c>
      <c r="I425" s="983">
        <v>2.0000000000000005E-3</v>
      </c>
      <c r="J425" s="983">
        <v>1.5083333333333333E-3</v>
      </c>
      <c r="K425" s="983">
        <v>1.3666666666666671E-3</v>
      </c>
      <c r="L425" s="983">
        <v>7.1666666666666667E-3</v>
      </c>
    </row>
    <row r="426" spans="1:12">
      <c r="A426" s="983">
        <v>22402</v>
      </c>
      <c r="B426" s="983">
        <v>2.3900000000000001E-2</v>
      </c>
      <c r="C426" s="983">
        <v>1.3299999999999999E-2</v>
      </c>
      <c r="D426" s="983">
        <v>3.3999999999999998E-3</v>
      </c>
      <c r="E426" s="983">
        <v>3.5583333333333326E-3</v>
      </c>
      <c r="F426" s="983">
        <v>3.6749999999999999E-3</v>
      </c>
      <c r="G426" s="983">
        <v>3.6166666666666665E-3</v>
      </c>
      <c r="H426" s="983">
        <v>3.7666666666666664E-3</v>
      </c>
      <c r="I426" s="983">
        <v>2.0500000000000001E-2</v>
      </c>
      <c r="J426" s="983">
        <v>2.0283333333333334E-2</v>
      </c>
      <c r="K426" s="983">
        <v>2.0133333333333336E-2</v>
      </c>
      <c r="L426" s="983">
        <v>9.5333333333333329E-3</v>
      </c>
    </row>
    <row r="427" spans="1:12">
      <c r="A427" s="983">
        <v>22433</v>
      </c>
      <c r="B427" s="983">
        <v>-2.75E-2</v>
      </c>
      <c r="C427" s="983">
        <v>-2.2699999999999994E-2</v>
      </c>
      <c r="D427" s="983">
        <v>3.2000000000000002E-3</v>
      </c>
      <c r="E427" s="983">
        <v>3.6083333333333332E-3</v>
      </c>
      <c r="F427" s="983">
        <v>3.7083333333333334E-3</v>
      </c>
      <c r="G427" s="983">
        <v>3.6583333333333333E-3</v>
      </c>
      <c r="H427" s="983">
        <v>3.8083333333333337E-3</v>
      </c>
      <c r="I427" s="983">
        <v>-3.0700000000000002E-2</v>
      </c>
      <c r="J427" s="983">
        <v>-3.1158333333333333E-2</v>
      </c>
      <c r="K427" s="983">
        <v>-3.1308333333333334E-2</v>
      </c>
      <c r="L427" s="983">
        <v>-2.6508333333333328E-2</v>
      </c>
    </row>
    <row r="428" spans="1:12">
      <c r="A428" s="983">
        <v>22463</v>
      </c>
      <c r="B428" s="983">
        <v>3.4200000000000001E-2</v>
      </c>
      <c r="C428" s="983">
        <v>4.24E-2</v>
      </c>
      <c r="D428" s="983">
        <v>3.3E-3</v>
      </c>
      <c r="E428" s="983">
        <v>3.6749999999999999E-3</v>
      </c>
      <c r="F428" s="983">
        <v>3.7750000000000001E-3</v>
      </c>
      <c r="G428" s="983">
        <v>3.725E-3</v>
      </c>
      <c r="H428" s="983">
        <v>3.875E-3</v>
      </c>
      <c r="I428" s="983">
        <v>3.09E-2</v>
      </c>
      <c r="J428" s="983">
        <v>3.0475000000000002E-2</v>
      </c>
      <c r="K428" s="983">
        <v>3.0325000000000001E-2</v>
      </c>
      <c r="L428" s="983">
        <v>3.8525000000000004E-2</v>
      </c>
    </row>
    <row r="429" spans="1:12">
      <c r="A429" s="983">
        <v>22494</v>
      </c>
      <c r="B429" s="983">
        <v>2.4299999999999999E-2</v>
      </c>
      <c r="C429" s="983">
        <v>4.5400000000000003E-2</v>
      </c>
      <c r="D429" s="983">
        <v>3.3E-3</v>
      </c>
      <c r="E429" s="983">
        <v>3.7083333333333334E-3</v>
      </c>
      <c r="F429" s="983">
        <v>3.8083333333333337E-3</v>
      </c>
      <c r="G429" s="983">
        <v>3.7583333333333336E-3</v>
      </c>
      <c r="H429" s="983">
        <v>3.9416666666666671E-3</v>
      </c>
      <c r="I429" s="983">
        <v>2.0999999999999998E-2</v>
      </c>
      <c r="J429" s="983">
        <v>2.0541666666666666E-2</v>
      </c>
      <c r="K429" s="983">
        <v>2.0358333333333332E-2</v>
      </c>
      <c r="L429" s="983">
        <v>4.1458333333333333E-2</v>
      </c>
    </row>
    <row r="430" spans="1:12">
      <c r="A430" s="983">
        <v>22525</v>
      </c>
      <c r="B430" s="983">
        <v>-1.84E-2</v>
      </c>
      <c r="C430" s="983">
        <v>-6.6999999999999994E-3</v>
      </c>
      <c r="D430" s="983">
        <v>3.2000000000000002E-3</v>
      </c>
      <c r="E430" s="983">
        <v>3.7083333333333334E-3</v>
      </c>
      <c r="F430" s="983">
        <v>3.8250000000000003E-3</v>
      </c>
      <c r="G430" s="983">
        <v>3.7666666666666669E-3</v>
      </c>
      <c r="H430" s="983">
        <v>3.9416666666666671E-3</v>
      </c>
      <c r="I430" s="983">
        <v>-2.1600000000000001E-2</v>
      </c>
      <c r="J430" s="983">
        <v>-2.2166666666666668E-2</v>
      </c>
      <c r="K430" s="983">
        <v>-2.2341666666666666E-2</v>
      </c>
      <c r="L430" s="983">
        <v>-1.0641666666666667E-2</v>
      </c>
    </row>
    <row r="431" spans="1:12">
      <c r="A431" s="983">
        <v>22555</v>
      </c>
      <c r="B431" s="983">
        <v>2.98E-2</v>
      </c>
      <c r="C431" s="983">
        <v>4.8000000000000001E-2</v>
      </c>
      <c r="D431" s="983">
        <v>3.3999999999999998E-3</v>
      </c>
      <c r="E431" s="983">
        <v>3.6833333333333336E-3</v>
      </c>
      <c r="F431" s="983">
        <v>3.7999999999999996E-3</v>
      </c>
      <c r="G431" s="983">
        <v>3.7416666666666666E-3</v>
      </c>
      <c r="H431" s="983">
        <v>3.9250000000000005E-3</v>
      </c>
      <c r="I431" s="983">
        <v>2.64E-2</v>
      </c>
      <c r="J431" s="983">
        <v>2.6058333333333333E-2</v>
      </c>
      <c r="K431" s="983">
        <v>2.5874999999999999E-2</v>
      </c>
      <c r="L431" s="983">
        <v>4.4075000000000003E-2</v>
      </c>
    </row>
    <row r="432" spans="1:12">
      <c r="A432" s="983">
        <v>22586</v>
      </c>
      <c r="B432" s="983">
        <v>4.4699999999999997E-2</v>
      </c>
      <c r="C432" s="983">
        <v>3.3500000000000002E-2</v>
      </c>
      <c r="D432" s="983">
        <v>3.2000000000000002E-3</v>
      </c>
      <c r="E432" s="983">
        <v>3.6583333333333329E-3</v>
      </c>
      <c r="F432" s="983">
        <v>3.7833333333333334E-3</v>
      </c>
      <c r="G432" s="983">
        <v>3.7208333333333334E-3</v>
      </c>
      <c r="H432" s="983">
        <v>3.8999999999999994E-3</v>
      </c>
      <c r="I432" s="983">
        <v>4.1499999999999995E-2</v>
      </c>
      <c r="J432" s="983">
        <v>4.0979166666666664E-2</v>
      </c>
      <c r="K432" s="983">
        <v>4.0799999999999996E-2</v>
      </c>
      <c r="L432" s="983">
        <v>2.9600000000000001E-2</v>
      </c>
    </row>
    <row r="433" spans="1:12">
      <c r="A433" s="983">
        <v>22616</v>
      </c>
      <c r="B433" s="983">
        <v>4.5999999999999999E-3</v>
      </c>
      <c r="C433" s="983">
        <v>-2.92E-2</v>
      </c>
      <c r="D433" s="983">
        <v>3.0999999999999999E-3</v>
      </c>
      <c r="E433" s="983">
        <v>3.6833333333333336E-3</v>
      </c>
      <c r="F433" s="983">
        <v>3.7999999999999996E-3</v>
      </c>
      <c r="G433" s="983">
        <v>3.7416666666666666E-3</v>
      </c>
      <c r="H433" s="983">
        <v>3.875E-3</v>
      </c>
      <c r="I433" s="983">
        <v>1.5E-3</v>
      </c>
      <c r="J433" s="983">
        <v>8.5833333333333334E-4</v>
      </c>
      <c r="K433" s="983">
        <v>7.2499999999999995E-4</v>
      </c>
      <c r="L433" s="983">
        <v>-3.3075E-2</v>
      </c>
    </row>
    <row r="434" spans="1:12">
      <c r="A434" s="983">
        <v>22647</v>
      </c>
      <c r="B434" s="983">
        <v>-3.6600000000000001E-2</v>
      </c>
      <c r="C434" s="983">
        <v>-3.6600000000000001E-2</v>
      </c>
      <c r="D434" s="983">
        <v>3.7000000000000002E-3</v>
      </c>
      <c r="E434" s="983">
        <v>3.6833333333333336E-3</v>
      </c>
      <c r="F434" s="983">
        <v>3.7916666666666667E-3</v>
      </c>
      <c r="G434" s="983">
        <v>3.7375000000000004E-3</v>
      </c>
      <c r="H434" s="983">
        <v>3.875E-3</v>
      </c>
      <c r="I434" s="983">
        <v>-4.0300000000000002E-2</v>
      </c>
      <c r="J434" s="983">
        <v>-4.0337499999999998E-2</v>
      </c>
      <c r="K434" s="983">
        <v>-4.0474999999999997E-2</v>
      </c>
      <c r="L434" s="983">
        <v>-4.0474999999999997E-2</v>
      </c>
    </row>
    <row r="435" spans="1:12">
      <c r="A435" s="983">
        <v>22678</v>
      </c>
      <c r="B435" s="983">
        <v>2.0899999999999998E-2</v>
      </c>
      <c r="C435" s="983">
        <v>3.0000000000000006E-2</v>
      </c>
      <c r="D435" s="983">
        <v>3.2000000000000002E-3</v>
      </c>
      <c r="E435" s="983">
        <v>3.6833333333333336E-3</v>
      </c>
      <c r="F435" s="983">
        <v>3.7999999999999996E-3</v>
      </c>
      <c r="G435" s="983">
        <v>3.7416666666666666E-3</v>
      </c>
      <c r="H435" s="983">
        <v>3.8833333333333337E-3</v>
      </c>
      <c r="I435" s="983">
        <v>1.7699999999999997E-2</v>
      </c>
      <c r="J435" s="983">
        <v>1.7158333333333331E-2</v>
      </c>
      <c r="K435" s="983">
        <v>1.7016666666666666E-2</v>
      </c>
      <c r="L435" s="983">
        <v>2.6116666666666673E-2</v>
      </c>
    </row>
    <row r="436" spans="1:12">
      <c r="A436" s="983">
        <v>22706</v>
      </c>
      <c r="B436" s="983">
        <v>-4.5999999999999999E-3</v>
      </c>
      <c r="C436" s="983">
        <v>8.0999999999999996E-3</v>
      </c>
      <c r="D436" s="983">
        <v>3.3E-3</v>
      </c>
      <c r="E436" s="983">
        <v>3.6583333333333329E-3</v>
      </c>
      <c r="F436" s="983">
        <v>3.7750000000000001E-3</v>
      </c>
      <c r="G436" s="983">
        <v>3.7166666666666663E-3</v>
      </c>
      <c r="H436" s="983">
        <v>3.8666666666666667E-3</v>
      </c>
      <c r="I436" s="983">
        <v>-7.9000000000000008E-3</v>
      </c>
      <c r="J436" s="983">
        <v>-8.3166666666666667E-3</v>
      </c>
      <c r="K436" s="983">
        <v>-8.4666666666666675E-3</v>
      </c>
      <c r="L436" s="983">
        <v>4.2333333333333329E-3</v>
      </c>
    </row>
    <row r="437" spans="1:12">
      <c r="A437" s="983">
        <v>22737</v>
      </c>
      <c r="B437" s="983">
        <v>-6.0699999999999997E-2</v>
      </c>
      <c r="C437" s="983">
        <v>-3.5300000000000005E-2</v>
      </c>
      <c r="D437" s="983">
        <v>3.3E-3</v>
      </c>
      <c r="E437" s="983">
        <v>3.6083333333333332E-3</v>
      </c>
      <c r="F437" s="983">
        <v>3.741666666666667E-3</v>
      </c>
      <c r="G437" s="983">
        <v>3.6750000000000003E-3</v>
      </c>
      <c r="H437" s="983">
        <v>3.8250000000000003E-3</v>
      </c>
      <c r="I437" s="983">
        <v>-6.4000000000000001E-2</v>
      </c>
      <c r="J437" s="983">
        <v>-6.4375000000000002E-2</v>
      </c>
      <c r="K437" s="983">
        <v>-6.4524999999999999E-2</v>
      </c>
      <c r="L437" s="983">
        <v>-3.9125000000000007E-2</v>
      </c>
    </row>
    <row r="438" spans="1:12">
      <c r="A438" s="983">
        <v>22767</v>
      </c>
      <c r="B438" s="983">
        <v>-8.1100000000000005E-2</v>
      </c>
      <c r="C438" s="983">
        <v>-9.1200000000000003E-2</v>
      </c>
      <c r="D438" s="983">
        <v>3.2000000000000002E-3</v>
      </c>
      <c r="E438" s="983">
        <v>3.5666666666666668E-3</v>
      </c>
      <c r="F438" s="983">
        <v>3.6916666666666664E-3</v>
      </c>
      <c r="G438" s="983">
        <v>3.6291666666666668E-3</v>
      </c>
      <c r="H438" s="983">
        <v>3.7583333333333331E-3</v>
      </c>
      <c r="I438" s="983">
        <v>-8.43E-2</v>
      </c>
      <c r="J438" s="983">
        <v>-8.4729166666666675E-2</v>
      </c>
      <c r="K438" s="983">
        <v>-8.4858333333333341E-2</v>
      </c>
      <c r="L438" s="983">
        <v>-9.4958333333333339E-2</v>
      </c>
    </row>
    <row r="439" spans="1:12">
      <c r="A439" s="983">
        <v>22798</v>
      </c>
      <c r="B439" s="983">
        <v>-8.0299999999999996E-2</v>
      </c>
      <c r="C439" s="983">
        <v>-5.4799999999999995E-2</v>
      </c>
      <c r="D439" s="983">
        <v>3.0000000000000001E-3</v>
      </c>
      <c r="E439" s="983">
        <v>3.5666666666666668E-3</v>
      </c>
      <c r="F439" s="983">
        <v>3.7000000000000006E-3</v>
      </c>
      <c r="G439" s="983">
        <v>3.6333333333333339E-3</v>
      </c>
      <c r="H439" s="983">
        <v>3.7333333333333333E-3</v>
      </c>
      <c r="I439" s="983">
        <v>-8.3299999999999999E-2</v>
      </c>
      <c r="J439" s="983">
        <v>-8.3933333333333332E-2</v>
      </c>
      <c r="K439" s="983">
        <v>-8.4033333333333335E-2</v>
      </c>
      <c r="L439" s="983">
        <v>-5.8533333333333326E-2</v>
      </c>
    </row>
    <row r="440" spans="1:12">
      <c r="A440" s="983">
        <v>22828</v>
      </c>
      <c r="B440" s="983">
        <v>6.5199999999999994E-2</v>
      </c>
      <c r="C440" s="983">
        <v>6.8899999999999989E-2</v>
      </c>
      <c r="D440" s="983">
        <v>3.3999999999999998E-3</v>
      </c>
      <c r="E440" s="983">
        <v>3.6166666666666665E-3</v>
      </c>
      <c r="F440" s="983">
        <v>3.741666666666667E-3</v>
      </c>
      <c r="G440" s="983">
        <v>3.6791666666666665E-3</v>
      </c>
      <c r="H440" s="983">
        <v>3.7499999999999999E-3</v>
      </c>
      <c r="I440" s="983">
        <v>6.1799999999999994E-2</v>
      </c>
      <c r="J440" s="983">
        <v>6.152083333333333E-2</v>
      </c>
      <c r="K440" s="983">
        <v>6.1449999999999991E-2</v>
      </c>
      <c r="L440" s="983">
        <v>6.5149999999999986E-2</v>
      </c>
    </row>
    <row r="441" spans="1:12">
      <c r="A441" s="983">
        <v>22859</v>
      </c>
      <c r="B441" s="983">
        <v>2.0799999999999999E-2</v>
      </c>
      <c r="C441" s="983">
        <v>2.7099999999999999E-2</v>
      </c>
      <c r="D441" s="983">
        <v>3.3999999999999998E-3</v>
      </c>
      <c r="E441" s="983">
        <v>3.6249999999999998E-3</v>
      </c>
      <c r="F441" s="983">
        <v>3.741666666666667E-3</v>
      </c>
      <c r="G441" s="983">
        <v>3.6833333333333336E-3</v>
      </c>
      <c r="H441" s="983">
        <v>3.7750000000000001E-3</v>
      </c>
      <c r="I441" s="983">
        <v>1.7399999999999999E-2</v>
      </c>
      <c r="J441" s="983">
        <v>1.7116666666666665E-2</v>
      </c>
      <c r="K441" s="983">
        <v>1.7024999999999998E-2</v>
      </c>
      <c r="L441" s="983">
        <v>2.3324999999999999E-2</v>
      </c>
    </row>
    <row r="442" spans="1:12">
      <c r="A442" s="983">
        <v>22890</v>
      </c>
      <c r="B442" s="983">
        <v>-4.65E-2</v>
      </c>
      <c r="C442" s="983">
        <v>-3.3399999999999999E-2</v>
      </c>
      <c r="D442" s="983">
        <v>3.0000000000000001E-3</v>
      </c>
      <c r="E442" s="983">
        <v>3.6000000000000003E-3</v>
      </c>
      <c r="F442" s="983">
        <v>3.7166666666666663E-3</v>
      </c>
      <c r="G442" s="983">
        <v>3.6583333333333333E-3</v>
      </c>
      <c r="H442" s="983">
        <v>3.7583333333333331E-3</v>
      </c>
      <c r="I442" s="983">
        <v>-4.9500000000000002E-2</v>
      </c>
      <c r="J442" s="983">
        <v>-5.0158333333333333E-2</v>
      </c>
      <c r="K442" s="983">
        <v>-5.0258333333333335E-2</v>
      </c>
      <c r="L442" s="983">
        <v>-3.7158333333333335E-2</v>
      </c>
    </row>
    <row r="443" spans="1:12">
      <c r="A443" s="983">
        <v>22920</v>
      </c>
      <c r="B443" s="983">
        <v>6.4000000000000003E-3</v>
      </c>
      <c r="C443" s="983">
        <v>-1.3999999999999998E-3</v>
      </c>
      <c r="D443" s="983">
        <v>3.5000000000000005E-3</v>
      </c>
      <c r="E443" s="983">
        <v>3.5666666666666668E-3</v>
      </c>
      <c r="F443" s="983">
        <v>3.6749999999999999E-3</v>
      </c>
      <c r="G443" s="983">
        <v>3.6208333333333331E-3</v>
      </c>
      <c r="H443" s="983">
        <v>3.741666666666667E-3</v>
      </c>
      <c r="I443" s="983">
        <v>2.8999999999999998E-3</v>
      </c>
      <c r="J443" s="983">
        <v>2.7791666666666672E-3</v>
      </c>
      <c r="K443" s="983">
        <v>2.6583333333333333E-3</v>
      </c>
      <c r="L443" s="983">
        <v>-5.1416666666666668E-3</v>
      </c>
    </row>
    <row r="444" spans="1:12">
      <c r="A444" s="983">
        <v>22951</v>
      </c>
      <c r="B444" s="983">
        <v>0.1086</v>
      </c>
      <c r="C444" s="983">
        <v>7.6800000000000007E-2</v>
      </c>
      <c r="D444" s="983">
        <v>3.0999999999999999E-3</v>
      </c>
      <c r="E444" s="983">
        <v>3.5416666666666669E-3</v>
      </c>
      <c r="F444" s="983">
        <v>3.666666666666667E-3</v>
      </c>
      <c r="G444" s="983">
        <v>3.604166666666667E-3</v>
      </c>
      <c r="H444" s="983">
        <v>3.7083333333333334E-3</v>
      </c>
      <c r="I444" s="983">
        <v>0.1055</v>
      </c>
      <c r="J444" s="983">
        <v>0.10499583333333333</v>
      </c>
      <c r="K444" s="983">
        <v>0.10489166666666667</v>
      </c>
      <c r="L444" s="983">
        <v>7.309166666666668E-2</v>
      </c>
    </row>
    <row r="445" spans="1:12">
      <c r="A445" s="983">
        <v>22981</v>
      </c>
      <c r="B445" s="983">
        <v>1.5299999999999999E-2</v>
      </c>
      <c r="C445" s="983">
        <v>3.1199999999999995E-2</v>
      </c>
      <c r="D445" s="983">
        <v>3.2000000000000002E-3</v>
      </c>
      <c r="E445" s="983">
        <v>3.5333333333333332E-3</v>
      </c>
      <c r="F445" s="983">
        <v>3.65E-3</v>
      </c>
      <c r="G445" s="983">
        <v>3.5916666666666662E-3</v>
      </c>
      <c r="H445" s="983">
        <v>3.7000000000000006E-3</v>
      </c>
      <c r="I445" s="983">
        <v>1.21E-2</v>
      </c>
      <c r="J445" s="983">
        <v>1.1708333333333333E-2</v>
      </c>
      <c r="K445" s="983">
        <v>1.1599999999999999E-2</v>
      </c>
      <c r="L445" s="983">
        <v>2.7499999999999993E-2</v>
      </c>
    </row>
    <row r="446" spans="1:12">
      <c r="A446" s="983">
        <v>23012</v>
      </c>
      <c r="B446" s="983">
        <v>5.0599999999999999E-2</v>
      </c>
      <c r="C446" s="983">
        <v>5.5800000000000002E-2</v>
      </c>
      <c r="D446" s="983">
        <v>3.2000000000000002E-3</v>
      </c>
      <c r="E446" s="983">
        <v>3.5083333333333334E-3</v>
      </c>
      <c r="F446" s="983">
        <v>3.6416666666666667E-3</v>
      </c>
      <c r="G446" s="983">
        <v>3.5750000000000005E-3</v>
      </c>
      <c r="H446" s="983">
        <v>3.6583333333333329E-3</v>
      </c>
      <c r="I446" s="983">
        <v>4.7399999999999998E-2</v>
      </c>
      <c r="J446" s="983">
        <v>4.7024999999999997E-2</v>
      </c>
      <c r="K446" s="983">
        <v>4.6941666666666666E-2</v>
      </c>
      <c r="L446" s="983">
        <v>5.2141666666666669E-2</v>
      </c>
    </row>
    <row r="447" spans="1:12">
      <c r="A447" s="983">
        <v>23043</v>
      </c>
      <c r="B447" s="983">
        <v>-2.3900000000000001E-2</v>
      </c>
      <c r="C447" s="983">
        <v>-2.06E-2</v>
      </c>
      <c r="D447" s="983">
        <v>2.8999999999999998E-3</v>
      </c>
      <c r="E447" s="983">
        <v>3.4916666666666668E-3</v>
      </c>
      <c r="F447" s="983">
        <v>3.6333333333333335E-3</v>
      </c>
      <c r="G447" s="983">
        <v>3.5625000000000001E-3</v>
      </c>
      <c r="H447" s="983">
        <v>3.6416666666666667E-3</v>
      </c>
      <c r="I447" s="983">
        <v>-2.6800000000000001E-2</v>
      </c>
      <c r="J447" s="983">
        <v>-2.7462500000000001E-2</v>
      </c>
      <c r="K447" s="983">
        <v>-2.7541666666666669E-2</v>
      </c>
      <c r="L447" s="983">
        <v>-2.4241666666666668E-2</v>
      </c>
    </row>
    <row r="448" spans="1:12">
      <c r="A448" s="983">
        <v>23071</v>
      </c>
      <c r="B448" s="983">
        <v>3.6999999999999998E-2</v>
      </c>
      <c r="C448" s="983">
        <v>1.8600000000000002E-2</v>
      </c>
      <c r="D448" s="983">
        <v>3.0999999999999999E-3</v>
      </c>
      <c r="E448" s="983">
        <v>3.4916666666666668E-3</v>
      </c>
      <c r="F448" s="983">
        <v>3.6166666666666665E-3</v>
      </c>
      <c r="G448" s="983">
        <v>3.5541666666666664E-3</v>
      </c>
      <c r="H448" s="983">
        <v>3.6416666666666667E-3</v>
      </c>
      <c r="I448" s="983">
        <v>3.39E-2</v>
      </c>
      <c r="J448" s="983">
        <v>3.3445833333333334E-2</v>
      </c>
      <c r="K448" s="983">
        <v>3.335833333333333E-2</v>
      </c>
      <c r="L448" s="983">
        <v>1.4958333333333336E-2</v>
      </c>
    </row>
    <row r="449" spans="1:12">
      <c r="A449" s="983">
        <v>23102</v>
      </c>
      <c r="B449" s="983">
        <v>0.05</v>
      </c>
      <c r="C449" s="983">
        <v>2.3200000000000002E-2</v>
      </c>
      <c r="D449" s="983">
        <v>3.3999999999999998E-3</v>
      </c>
      <c r="E449" s="983">
        <v>3.5083333333333334E-3</v>
      </c>
      <c r="F449" s="983">
        <v>3.6249999999999998E-3</v>
      </c>
      <c r="G449" s="983">
        <v>3.5666666666666668E-3</v>
      </c>
      <c r="H449" s="983">
        <v>3.6416666666666667E-3</v>
      </c>
      <c r="I449" s="983">
        <v>4.6600000000000003E-2</v>
      </c>
      <c r="J449" s="983">
        <v>4.6433333333333333E-2</v>
      </c>
      <c r="K449" s="983">
        <v>4.6358333333333335E-2</v>
      </c>
      <c r="L449" s="983">
        <v>1.9558333333333334E-2</v>
      </c>
    </row>
    <row r="450" spans="1:12">
      <c r="A450" s="983">
        <v>23132</v>
      </c>
      <c r="B450" s="983">
        <v>1.9300000000000001E-2</v>
      </c>
      <c r="C450" s="983">
        <v>7.000000000000001E-3</v>
      </c>
      <c r="D450" s="983">
        <v>3.3E-3</v>
      </c>
      <c r="E450" s="983">
        <v>3.5166666666666662E-3</v>
      </c>
      <c r="F450" s="983">
        <v>3.6333333333333335E-3</v>
      </c>
      <c r="G450" s="983">
        <v>3.5750000000000001E-3</v>
      </c>
      <c r="H450" s="983">
        <v>3.6416666666666667E-3</v>
      </c>
      <c r="I450" s="983">
        <v>1.6E-2</v>
      </c>
      <c r="J450" s="983">
        <v>1.5725000000000003E-2</v>
      </c>
      <c r="K450" s="983">
        <v>1.5658333333333333E-2</v>
      </c>
      <c r="L450" s="983">
        <v>3.3583333333333343E-3</v>
      </c>
    </row>
    <row r="451" spans="1:12">
      <c r="A451" s="983">
        <v>23163</v>
      </c>
      <c r="B451" s="983">
        <v>-1.8800000000000001E-2</v>
      </c>
      <c r="C451" s="983">
        <v>-1.2299999999999998E-2</v>
      </c>
      <c r="D451" s="983">
        <v>3.0000000000000001E-3</v>
      </c>
      <c r="E451" s="983">
        <v>3.5250000000000004E-3</v>
      </c>
      <c r="F451" s="983">
        <v>3.6333333333333335E-3</v>
      </c>
      <c r="G451" s="983">
        <v>3.5791666666666667E-3</v>
      </c>
      <c r="H451" s="983">
        <v>3.6416666666666667E-3</v>
      </c>
      <c r="I451" s="983">
        <v>-2.18E-2</v>
      </c>
      <c r="J451" s="983">
        <v>-2.2379166666666669E-2</v>
      </c>
      <c r="K451" s="983">
        <v>-2.2441666666666669E-2</v>
      </c>
      <c r="L451" s="983">
        <v>-1.5941666666666666E-2</v>
      </c>
    </row>
    <row r="452" spans="1:12">
      <c r="A452" s="983">
        <v>23193</v>
      </c>
      <c r="B452" s="983">
        <v>-2.2000000000000001E-3</v>
      </c>
      <c r="C452" s="983">
        <v>1.23E-2</v>
      </c>
      <c r="D452" s="983">
        <v>3.5999999999999999E-3</v>
      </c>
      <c r="E452" s="983">
        <v>3.5499999999999998E-3</v>
      </c>
      <c r="F452" s="983">
        <v>3.6583333333333329E-3</v>
      </c>
      <c r="G452" s="983">
        <v>3.6041666666666661E-3</v>
      </c>
      <c r="H452" s="983">
        <v>3.6583333333333329E-3</v>
      </c>
      <c r="I452" s="983">
        <v>-5.7999999999999996E-3</v>
      </c>
      <c r="J452" s="983">
        <v>-5.8041666666666658E-3</v>
      </c>
      <c r="K452" s="983">
        <v>-5.8583333333333334E-3</v>
      </c>
      <c r="L452" s="983">
        <v>8.6416666666666673E-3</v>
      </c>
    </row>
    <row r="453" spans="1:12">
      <c r="A453" s="983">
        <v>23224</v>
      </c>
      <c r="B453" s="983">
        <v>5.3499999999999999E-2</v>
      </c>
      <c r="C453" s="983">
        <v>4.2500000000000003E-2</v>
      </c>
      <c r="D453" s="983">
        <v>3.3E-3</v>
      </c>
      <c r="E453" s="983">
        <v>3.5750000000000001E-3</v>
      </c>
      <c r="F453" s="983">
        <v>3.666666666666667E-3</v>
      </c>
      <c r="G453" s="983">
        <v>3.6208333333333331E-3</v>
      </c>
      <c r="H453" s="983">
        <v>3.65E-3</v>
      </c>
      <c r="I453" s="983">
        <v>5.0200000000000002E-2</v>
      </c>
      <c r="J453" s="983">
        <v>4.9879166666666669E-2</v>
      </c>
      <c r="K453" s="983">
        <v>4.9849999999999998E-2</v>
      </c>
      <c r="L453" s="983">
        <v>3.8850000000000003E-2</v>
      </c>
    </row>
    <row r="454" spans="1:12">
      <c r="A454" s="983">
        <v>23255</v>
      </c>
      <c r="B454" s="983">
        <v>-9.7000000000000003E-3</v>
      </c>
      <c r="C454" s="983">
        <v>-2.58E-2</v>
      </c>
      <c r="D454" s="983">
        <v>3.3999999999999998E-3</v>
      </c>
      <c r="E454" s="983">
        <v>3.5916666666666662E-3</v>
      </c>
      <c r="F454" s="983">
        <v>3.6749999999999999E-3</v>
      </c>
      <c r="G454" s="983">
        <v>3.633333333333333E-3</v>
      </c>
      <c r="H454" s="983">
        <v>3.666666666666667E-3</v>
      </c>
      <c r="I454" s="983">
        <v>-1.3100000000000001E-2</v>
      </c>
      <c r="J454" s="983">
        <v>-1.3333333333333332E-2</v>
      </c>
      <c r="K454" s="983">
        <v>-1.3366666666666667E-2</v>
      </c>
      <c r="L454" s="983">
        <v>-2.9466666666666669E-2</v>
      </c>
    </row>
    <row r="455" spans="1:12">
      <c r="A455" s="983">
        <v>23285</v>
      </c>
      <c r="B455" s="983">
        <v>3.39E-2</v>
      </c>
      <c r="C455" s="983">
        <v>-3.3E-3</v>
      </c>
      <c r="D455" s="983">
        <v>3.3999999999999998E-3</v>
      </c>
      <c r="E455" s="983">
        <v>3.6000000000000003E-3</v>
      </c>
      <c r="F455" s="983">
        <v>3.6916666666666664E-3</v>
      </c>
      <c r="G455" s="983">
        <v>3.6458333333333338E-3</v>
      </c>
      <c r="H455" s="983">
        <v>3.6749999999999999E-3</v>
      </c>
      <c r="I455" s="983">
        <v>3.0499999999999999E-2</v>
      </c>
      <c r="J455" s="983">
        <v>3.0254166666666665E-2</v>
      </c>
      <c r="K455" s="983">
        <v>3.0224999999999998E-2</v>
      </c>
      <c r="L455" s="983">
        <v>-6.9750000000000003E-3</v>
      </c>
    </row>
    <row r="456" spans="1:12">
      <c r="A456" s="983">
        <v>23316</v>
      </c>
      <c r="B456" s="983">
        <v>-4.5999999999999999E-3</v>
      </c>
      <c r="C456" s="983">
        <v>-8.199999999999999E-3</v>
      </c>
      <c r="D456" s="983">
        <v>3.2000000000000002E-3</v>
      </c>
      <c r="E456" s="983">
        <v>3.6083333333333332E-3</v>
      </c>
      <c r="F456" s="983">
        <v>3.7000000000000006E-3</v>
      </c>
      <c r="G456" s="983">
        <v>3.6541666666666671E-3</v>
      </c>
      <c r="H456" s="983">
        <v>3.6833333333333336E-3</v>
      </c>
      <c r="I456" s="983">
        <v>-7.7999999999999996E-3</v>
      </c>
      <c r="J456" s="983">
        <v>-8.2541666666666666E-3</v>
      </c>
      <c r="K456" s="983">
        <v>-8.2833333333333335E-3</v>
      </c>
      <c r="L456" s="983">
        <v>-1.1883333333333333E-2</v>
      </c>
    </row>
    <row r="457" spans="1:12">
      <c r="A457" s="983">
        <v>23346</v>
      </c>
      <c r="B457" s="983">
        <v>2.6200000000000001E-2</v>
      </c>
      <c r="C457" s="983">
        <v>3.1699999999999999E-2</v>
      </c>
      <c r="D457" s="983">
        <v>3.5999999999999999E-3</v>
      </c>
      <c r="E457" s="983">
        <v>3.6249999999999998E-3</v>
      </c>
      <c r="F457" s="983">
        <v>3.7166666666666663E-3</v>
      </c>
      <c r="G457" s="983">
        <v>3.6708333333333332E-3</v>
      </c>
      <c r="H457" s="983">
        <v>3.7166666666666663E-3</v>
      </c>
      <c r="I457" s="983">
        <v>2.2600000000000002E-2</v>
      </c>
      <c r="J457" s="983">
        <v>2.252916666666667E-2</v>
      </c>
      <c r="K457" s="983">
        <v>2.2483333333333334E-2</v>
      </c>
      <c r="L457" s="983">
        <v>2.7983333333333332E-2</v>
      </c>
    </row>
    <row r="458" spans="1:12">
      <c r="A458" s="983">
        <v>23377</v>
      </c>
      <c r="B458" s="983">
        <v>2.8299999999999999E-2</v>
      </c>
      <c r="C458" s="983">
        <v>1.2699999999999999E-2</v>
      </c>
      <c r="D458" s="983">
        <v>3.5000000000000005E-3</v>
      </c>
      <c r="E458" s="983">
        <v>3.6416666666666667E-3</v>
      </c>
      <c r="F458" s="983">
        <v>3.741666666666667E-3</v>
      </c>
      <c r="G458" s="983">
        <v>3.6916666666666669E-3</v>
      </c>
      <c r="H458" s="983">
        <v>3.741666666666667E-3</v>
      </c>
      <c r="I458" s="983">
        <v>2.4799999999999999E-2</v>
      </c>
      <c r="J458" s="983">
        <v>2.4608333333333333E-2</v>
      </c>
      <c r="K458" s="983">
        <v>2.4558333333333331E-2</v>
      </c>
      <c r="L458" s="983">
        <v>8.958333333333332E-3</v>
      </c>
    </row>
    <row r="459" spans="1:12">
      <c r="A459" s="983">
        <v>23408</v>
      </c>
      <c r="B459" s="983">
        <v>1.47E-2</v>
      </c>
      <c r="C459" s="983">
        <v>3.2000000000000002E-3</v>
      </c>
      <c r="D459" s="983">
        <v>3.2000000000000002E-3</v>
      </c>
      <c r="E459" s="983">
        <v>3.6333333333333335E-3</v>
      </c>
      <c r="F459" s="983">
        <v>3.7166666666666663E-3</v>
      </c>
      <c r="G459" s="983">
        <v>3.6749999999999999E-3</v>
      </c>
      <c r="H459" s="983">
        <v>3.7499999999999999E-3</v>
      </c>
      <c r="I459" s="983">
        <v>1.15E-2</v>
      </c>
      <c r="J459" s="983">
        <v>1.1025E-2</v>
      </c>
      <c r="K459" s="983">
        <v>1.095E-2</v>
      </c>
      <c r="L459" s="983">
        <v>-5.4999999999999971E-4</v>
      </c>
    </row>
    <row r="460" spans="1:12">
      <c r="A460" s="983">
        <v>23437</v>
      </c>
      <c r="B460" s="983">
        <v>1.6500000000000001E-2</v>
      </c>
      <c r="C460" s="983">
        <v>-3.5000000000000005E-3</v>
      </c>
      <c r="D460" s="983">
        <v>3.7000000000000002E-3</v>
      </c>
      <c r="E460" s="983">
        <v>3.65E-3</v>
      </c>
      <c r="F460" s="983">
        <v>3.725E-3</v>
      </c>
      <c r="G460" s="983">
        <v>3.6875000000000002E-3</v>
      </c>
      <c r="H460" s="983">
        <v>3.7583333333333331E-3</v>
      </c>
      <c r="I460" s="983">
        <v>1.2800000000000001E-2</v>
      </c>
      <c r="J460" s="983">
        <v>1.2812500000000001E-2</v>
      </c>
      <c r="K460" s="983">
        <v>1.2741666666666669E-2</v>
      </c>
      <c r="L460" s="983">
        <v>-7.2583333333333337E-3</v>
      </c>
    </row>
    <row r="461" spans="1:12">
      <c r="A461" s="983">
        <v>23468</v>
      </c>
      <c r="B461" s="983">
        <v>7.4999999999999997E-3</v>
      </c>
      <c r="C461" s="983">
        <v>6.6999999999999994E-3</v>
      </c>
      <c r="D461" s="983">
        <v>3.5000000000000005E-3</v>
      </c>
      <c r="E461" s="983">
        <v>3.666666666666667E-3</v>
      </c>
      <c r="F461" s="983">
        <v>3.741666666666667E-3</v>
      </c>
      <c r="G461" s="983">
        <v>3.7041666666666672E-3</v>
      </c>
      <c r="H461" s="983">
        <v>3.7666666666666664E-3</v>
      </c>
      <c r="I461" s="983">
        <v>3.9999999999999992E-3</v>
      </c>
      <c r="J461" s="983">
        <v>3.7958333333333325E-3</v>
      </c>
      <c r="K461" s="983">
        <v>3.7333333333333333E-3</v>
      </c>
      <c r="L461" s="983">
        <v>2.9333333333333329E-3</v>
      </c>
    </row>
    <row r="462" spans="1:12">
      <c r="A462" s="983">
        <v>23498</v>
      </c>
      <c r="B462" s="983">
        <v>1.6199999999999999E-2</v>
      </c>
      <c r="C462" s="983">
        <v>3.2000000000000002E-3</v>
      </c>
      <c r="D462" s="983">
        <v>3.2000000000000002E-3</v>
      </c>
      <c r="E462" s="983">
        <v>3.6749999999999999E-3</v>
      </c>
      <c r="F462" s="983">
        <v>3.7499999999999999E-3</v>
      </c>
      <c r="G462" s="983">
        <v>3.7124999999999997E-3</v>
      </c>
      <c r="H462" s="983">
        <v>3.7750000000000001E-3</v>
      </c>
      <c r="I462" s="983">
        <v>1.2999999999999999E-2</v>
      </c>
      <c r="J462" s="983">
        <v>1.2487499999999999E-2</v>
      </c>
      <c r="K462" s="983">
        <v>1.2424999999999999E-2</v>
      </c>
      <c r="L462" s="983">
        <v>-5.7499999999999999E-4</v>
      </c>
    </row>
    <row r="463" spans="1:12">
      <c r="A463" s="983">
        <v>23529</v>
      </c>
      <c r="B463" s="983">
        <v>1.78E-2</v>
      </c>
      <c r="C463" s="983">
        <v>2.3399999999999997E-2</v>
      </c>
      <c r="D463" s="983">
        <v>3.8E-3</v>
      </c>
      <c r="E463" s="983">
        <v>3.6749999999999999E-3</v>
      </c>
      <c r="F463" s="983">
        <v>3.7583333333333331E-3</v>
      </c>
      <c r="G463" s="983">
        <v>3.7166666666666663E-3</v>
      </c>
      <c r="H463" s="983">
        <v>3.7916666666666667E-3</v>
      </c>
      <c r="I463" s="983">
        <v>1.4E-2</v>
      </c>
      <c r="J463" s="983">
        <v>1.4083333333333333E-2</v>
      </c>
      <c r="K463" s="983">
        <v>1.4008333333333333E-2</v>
      </c>
      <c r="L463" s="983">
        <v>1.9608333333333332E-2</v>
      </c>
    </row>
    <row r="464" spans="1:12">
      <c r="A464" s="983">
        <v>23559</v>
      </c>
      <c r="B464" s="983">
        <v>1.95E-2</v>
      </c>
      <c r="C464" s="983">
        <v>4.7100000000000003E-2</v>
      </c>
      <c r="D464" s="983">
        <v>3.5000000000000005E-3</v>
      </c>
      <c r="E464" s="983">
        <v>3.666666666666667E-3</v>
      </c>
      <c r="F464" s="983">
        <v>3.7499999999999999E-3</v>
      </c>
      <c r="G464" s="983">
        <v>3.7083333333333334E-3</v>
      </c>
      <c r="H464" s="983">
        <v>3.7833333333333334E-3</v>
      </c>
      <c r="I464" s="983">
        <v>1.6E-2</v>
      </c>
      <c r="J464" s="983">
        <v>1.5791666666666666E-2</v>
      </c>
      <c r="K464" s="983">
        <v>1.5716666666666667E-2</v>
      </c>
      <c r="L464" s="983">
        <v>4.331666666666667E-2</v>
      </c>
    </row>
    <row r="465" spans="1:12">
      <c r="A465" s="983">
        <v>23590</v>
      </c>
      <c r="B465" s="983">
        <v>-1.18E-2</v>
      </c>
      <c r="C465" s="983">
        <v>3.1000000000000003E-3</v>
      </c>
      <c r="D465" s="983">
        <v>3.5000000000000005E-3</v>
      </c>
      <c r="E465" s="983">
        <v>3.6749999999999999E-3</v>
      </c>
      <c r="F465" s="983">
        <v>3.741666666666667E-3</v>
      </c>
      <c r="G465" s="983">
        <v>3.7083333333333334E-3</v>
      </c>
      <c r="H465" s="983">
        <v>3.7833333333333334E-3</v>
      </c>
      <c r="I465" s="983">
        <v>-1.5300000000000001E-2</v>
      </c>
      <c r="J465" s="983">
        <v>-1.5508333333333332E-2</v>
      </c>
      <c r="K465" s="983">
        <v>-1.5583333333333333E-2</v>
      </c>
      <c r="L465" s="983">
        <v>-6.833333333333331E-4</v>
      </c>
    </row>
    <row r="466" spans="1:12">
      <c r="A466" s="983">
        <v>23621</v>
      </c>
      <c r="B466" s="983">
        <v>3.0099999999999998E-2</v>
      </c>
      <c r="C466" s="983">
        <v>1.7000000000000001E-2</v>
      </c>
      <c r="D466" s="983">
        <v>3.3999999999999998E-3</v>
      </c>
      <c r="E466" s="983">
        <v>3.6833333333333336E-3</v>
      </c>
      <c r="F466" s="983">
        <v>3.7333333333333333E-3</v>
      </c>
      <c r="G466" s="983">
        <v>3.7083333333333334E-3</v>
      </c>
      <c r="H466" s="983">
        <v>3.7750000000000001E-3</v>
      </c>
      <c r="I466" s="983">
        <v>2.6699999999999998E-2</v>
      </c>
      <c r="J466" s="983">
        <v>2.6391666666666664E-2</v>
      </c>
      <c r="K466" s="983">
        <v>2.6324999999999998E-2</v>
      </c>
      <c r="L466" s="983">
        <v>1.3225000000000001E-2</v>
      </c>
    </row>
    <row r="467" spans="1:12">
      <c r="A467" s="983">
        <v>23651</v>
      </c>
      <c r="B467" s="983">
        <v>9.5999999999999992E-3</v>
      </c>
      <c r="C467" s="983">
        <v>1.6500000000000001E-2</v>
      </c>
      <c r="D467" s="983">
        <v>3.3999999999999998E-3</v>
      </c>
      <c r="E467" s="983">
        <v>3.6833333333333336E-3</v>
      </c>
      <c r="F467" s="983">
        <v>3.741666666666667E-3</v>
      </c>
      <c r="G467" s="983">
        <v>3.7125000000000001E-3</v>
      </c>
      <c r="H467" s="983">
        <v>3.7583333333333331E-3</v>
      </c>
      <c r="I467" s="983">
        <v>6.1999999999999989E-3</v>
      </c>
      <c r="J467" s="983">
        <v>5.8874999999999986E-3</v>
      </c>
      <c r="K467" s="983">
        <v>5.841666666666666E-3</v>
      </c>
      <c r="L467" s="983">
        <v>1.2741666666666669E-2</v>
      </c>
    </row>
    <row r="468" spans="1:12">
      <c r="A468" s="983">
        <v>23682</v>
      </c>
      <c r="B468" s="983">
        <v>5.0000000000000001E-4</v>
      </c>
      <c r="C468" s="983">
        <v>1.14E-2</v>
      </c>
      <c r="D468" s="983">
        <v>3.5000000000000005E-3</v>
      </c>
      <c r="E468" s="983">
        <v>3.6916666666666664E-3</v>
      </c>
      <c r="F468" s="983">
        <v>3.741666666666667E-3</v>
      </c>
      <c r="G468" s="983">
        <v>3.7166666666666672E-3</v>
      </c>
      <c r="H468" s="983">
        <v>3.7750000000000001E-3</v>
      </c>
      <c r="I468" s="983">
        <v>-3.0000000000000005E-3</v>
      </c>
      <c r="J468" s="983">
        <v>-3.2166666666666672E-3</v>
      </c>
      <c r="K468" s="983">
        <v>-3.2750000000000001E-3</v>
      </c>
      <c r="L468" s="983">
        <v>7.6249999999999998E-3</v>
      </c>
    </row>
    <row r="469" spans="1:12">
      <c r="A469" s="983">
        <v>23712</v>
      </c>
      <c r="B469" s="983">
        <v>5.5999999999999999E-3</v>
      </c>
      <c r="C469" s="983">
        <v>8.6E-3</v>
      </c>
      <c r="D469" s="983">
        <v>3.5000000000000005E-3</v>
      </c>
      <c r="E469" s="983">
        <v>3.7000000000000006E-3</v>
      </c>
      <c r="F469" s="983">
        <v>3.7499999999999999E-3</v>
      </c>
      <c r="G469" s="983">
        <v>3.7250000000000004E-3</v>
      </c>
      <c r="H469" s="983">
        <v>3.7833333333333334E-3</v>
      </c>
      <c r="I469" s="983">
        <v>2.0999999999999994E-3</v>
      </c>
      <c r="J469" s="983">
        <v>1.8749999999999995E-3</v>
      </c>
      <c r="K469" s="983">
        <v>1.8166666666666665E-3</v>
      </c>
      <c r="L469" s="983">
        <v>4.816666666666667E-3</v>
      </c>
    </row>
    <row r="470" spans="1:12">
      <c r="A470" s="983">
        <v>23743</v>
      </c>
      <c r="B470" s="983">
        <v>3.4500000000000003E-2</v>
      </c>
      <c r="C470" s="983">
        <v>3.7100000000000001E-2</v>
      </c>
      <c r="D470" s="983">
        <v>3.3E-3</v>
      </c>
      <c r="E470" s="983">
        <v>3.6916666666666664E-3</v>
      </c>
      <c r="F470" s="983">
        <v>3.7333333333333333E-3</v>
      </c>
      <c r="G470" s="983">
        <v>3.7124999999999997E-3</v>
      </c>
      <c r="H470" s="983">
        <v>3.7750000000000001E-3</v>
      </c>
      <c r="I470" s="983">
        <v>3.1200000000000002E-2</v>
      </c>
      <c r="J470" s="983">
        <v>3.0787500000000002E-2</v>
      </c>
      <c r="K470" s="983">
        <v>3.0725000000000002E-2</v>
      </c>
      <c r="L470" s="983">
        <v>3.3325E-2</v>
      </c>
    </row>
    <row r="471" spans="1:12">
      <c r="A471" s="983">
        <v>23774</v>
      </c>
      <c r="B471" s="983">
        <v>3.0999999999999999E-3</v>
      </c>
      <c r="C471" s="983">
        <v>8.9999999999999998E-4</v>
      </c>
      <c r="D471" s="983">
        <v>3.2000000000000002E-3</v>
      </c>
      <c r="E471" s="983">
        <v>3.6749999999999999E-3</v>
      </c>
      <c r="F471" s="983">
        <v>3.7166666666666663E-3</v>
      </c>
      <c r="G471" s="983">
        <v>3.6958333333333331E-3</v>
      </c>
      <c r="H471" s="983">
        <v>3.7583333333333331E-3</v>
      </c>
      <c r="I471" s="983">
        <v>-1.0000000000000026E-4</v>
      </c>
      <c r="J471" s="983">
        <v>-5.958333333333332E-4</v>
      </c>
      <c r="K471" s="983">
        <v>-6.5833333333333325E-4</v>
      </c>
      <c r="L471" s="983">
        <v>-2.8583333333333334E-3</v>
      </c>
    </row>
    <row r="472" spans="1:12">
      <c r="A472" s="983">
        <v>23802</v>
      </c>
      <c r="B472" s="983">
        <v>-1.3299999999999999E-2</v>
      </c>
      <c r="C472" s="983">
        <v>6.9999999999999988E-4</v>
      </c>
      <c r="D472" s="983">
        <v>3.8E-3</v>
      </c>
      <c r="E472" s="983">
        <v>3.6833333333333336E-3</v>
      </c>
      <c r="F472" s="983">
        <v>3.7333333333333333E-3</v>
      </c>
      <c r="G472" s="983">
        <v>3.7083333333333334E-3</v>
      </c>
      <c r="H472" s="983">
        <v>3.7499999999999999E-3</v>
      </c>
      <c r="I472" s="983">
        <v>-1.7100000000000001E-2</v>
      </c>
      <c r="J472" s="983">
        <v>-1.7008333333333334E-2</v>
      </c>
      <c r="K472" s="983">
        <v>-1.7049999999999999E-2</v>
      </c>
      <c r="L472" s="983">
        <v>-3.0499999999999998E-3</v>
      </c>
    </row>
    <row r="473" spans="1:12">
      <c r="A473" s="983">
        <v>23833</v>
      </c>
      <c r="B473" s="983">
        <v>3.56E-2</v>
      </c>
      <c r="C473" s="983">
        <v>1.09E-2</v>
      </c>
      <c r="D473" s="983">
        <v>3.3E-3</v>
      </c>
      <c r="E473" s="983">
        <v>3.6916666666666664E-3</v>
      </c>
      <c r="F473" s="983">
        <v>3.7333333333333333E-3</v>
      </c>
      <c r="G473" s="983">
        <v>3.7124999999999997E-3</v>
      </c>
      <c r="H473" s="983">
        <v>3.741666666666667E-3</v>
      </c>
      <c r="I473" s="983">
        <v>3.2300000000000002E-2</v>
      </c>
      <c r="J473" s="983">
        <v>3.1887499999999999E-2</v>
      </c>
      <c r="K473" s="983">
        <v>3.1858333333333336E-2</v>
      </c>
      <c r="L473" s="983">
        <v>7.1583333333333325E-3</v>
      </c>
    </row>
    <row r="474" spans="1:12">
      <c r="A474" s="983">
        <v>23863</v>
      </c>
      <c r="B474" s="983">
        <v>-3.0000000000000001E-3</v>
      </c>
      <c r="C474" s="983">
        <v>-8.3999999999999995E-3</v>
      </c>
      <c r="D474" s="983">
        <v>3.3E-3</v>
      </c>
      <c r="E474" s="983">
        <v>3.7000000000000006E-3</v>
      </c>
      <c r="F474" s="983">
        <v>3.741666666666667E-3</v>
      </c>
      <c r="G474" s="983">
        <v>3.7208333333333338E-3</v>
      </c>
      <c r="H474" s="983">
        <v>3.7499999999999999E-3</v>
      </c>
      <c r="I474" s="983">
        <v>-6.3E-3</v>
      </c>
      <c r="J474" s="983">
        <v>-6.7208333333333339E-3</v>
      </c>
      <c r="K474" s="983">
        <v>-6.7499999999999999E-3</v>
      </c>
      <c r="L474" s="983">
        <v>-1.2149999999999999E-2</v>
      </c>
    </row>
    <row r="475" spans="1:12">
      <c r="A475" s="983">
        <v>23894</v>
      </c>
      <c r="B475" s="983">
        <v>-4.7300000000000002E-2</v>
      </c>
      <c r="C475" s="983">
        <v>-3.4000000000000002E-2</v>
      </c>
      <c r="D475" s="983">
        <v>3.8E-3</v>
      </c>
      <c r="E475" s="983">
        <v>3.7166666666666663E-3</v>
      </c>
      <c r="F475" s="983">
        <v>3.7666666666666664E-3</v>
      </c>
      <c r="G475" s="983">
        <v>3.7416666666666666E-3</v>
      </c>
      <c r="H475" s="983">
        <v>3.7666666666666664E-3</v>
      </c>
      <c r="I475" s="983">
        <v>-5.11E-2</v>
      </c>
      <c r="J475" s="983">
        <v>-5.1041666666666666E-2</v>
      </c>
      <c r="K475" s="983">
        <v>-5.106666666666667E-2</v>
      </c>
      <c r="L475" s="983">
        <v>-3.7766666666666671E-2</v>
      </c>
    </row>
    <row r="476" spans="1:12">
      <c r="A476" s="983">
        <v>23924</v>
      </c>
      <c r="B476" s="983">
        <v>1.47E-2</v>
      </c>
      <c r="C476" s="983">
        <v>1.0500000000000001E-2</v>
      </c>
      <c r="D476" s="983">
        <v>3.3999999999999998E-3</v>
      </c>
      <c r="E476" s="983">
        <v>3.7333333333333333E-3</v>
      </c>
      <c r="F476" s="983">
        <v>3.7999999999999996E-3</v>
      </c>
      <c r="G476" s="983">
        <v>3.7666666666666664E-3</v>
      </c>
      <c r="H476" s="983">
        <v>3.7833333333333334E-3</v>
      </c>
      <c r="I476" s="983">
        <v>1.1299999999999999E-2</v>
      </c>
      <c r="J476" s="983">
        <v>1.0933333333333333E-2</v>
      </c>
      <c r="K476" s="983">
        <v>1.0916666666666667E-2</v>
      </c>
      <c r="L476" s="983">
        <v>6.7166666666666677E-3</v>
      </c>
    </row>
    <row r="477" spans="1:12">
      <c r="A477" s="983">
        <v>23955</v>
      </c>
      <c r="B477" s="983">
        <v>2.7199999999999998E-2</v>
      </c>
      <c r="C477" s="983">
        <v>9.7000000000000003E-3</v>
      </c>
      <c r="D477" s="983">
        <v>3.7000000000000002E-3</v>
      </c>
      <c r="E477" s="983">
        <v>3.741666666666667E-3</v>
      </c>
      <c r="F477" s="983">
        <v>3.8250000000000003E-3</v>
      </c>
      <c r="G477" s="983">
        <v>3.7833333333333334E-3</v>
      </c>
      <c r="H477" s="983">
        <v>3.8166666666666666E-3</v>
      </c>
      <c r="I477" s="983">
        <v>2.35E-2</v>
      </c>
      <c r="J477" s="983">
        <v>2.3416666666666665E-2</v>
      </c>
      <c r="K477" s="983">
        <v>2.3383333333333332E-2</v>
      </c>
      <c r="L477" s="983">
        <v>5.8833333333333342E-3</v>
      </c>
    </row>
    <row r="478" spans="1:12">
      <c r="A478" s="983">
        <v>23986</v>
      </c>
      <c r="B478" s="983">
        <v>3.3399999999999999E-2</v>
      </c>
      <c r="C478" s="983">
        <v>1.9400000000000001E-2</v>
      </c>
      <c r="D478" s="983">
        <v>3.5000000000000005E-3</v>
      </c>
      <c r="E478" s="983">
        <v>3.7666666666666664E-3</v>
      </c>
      <c r="F478" s="983">
        <v>3.858333333333333E-3</v>
      </c>
      <c r="G478" s="983">
        <v>3.8124999999999999E-3</v>
      </c>
      <c r="H478" s="983">
        <v>3.858333333333333E-3</v>
      </c>
      <c r="I478" s="983">
        <v>2.9899999999999999E-2</v>
      </c>
      <c r="J478" s="983">
        <v>2.9587499999999999E-2</v>
      </c>
      <c r="K478" s="983">
        <v>2.9541666666666667E-2</v>
      </c>
      <c r="L478" s="983">
        <v>1.5541666666666667E-2</v>
      </c>
    </row>
    <row r="479" spans="1:12">
      <c r="A479" s="983">
        <v>24016</v>
      </c>
      <c r="B479" s="983">
        <v>2.8899999999999999E-2</v>
      </c>
      <c r="C479" s="983">
        <v>1.2900000000000002E-2</v>
      </c>
      <c r="D479" s="983">
        <v>3.3999999999999998E-3</v>
      </c>
      <c r="E479" s="983">
        <v>3.7999999999999996E-3</v>
      </c>
      <c r="F479" s="983">
        <v>3.8833333333333337E-3</v>
      </c>
      <c r="G479" s="983">
        <v>3.8416666666666664E-3</v>
      </c>
      <c r="H479" s="983">
        <v>3.8833333333333337E-3</v>
      </c>
      <c r="I479" s="983">
        <v>2.5499999999999998E-2</v>
      </c>
      <c r="J479" s="983">
        <v>2.5058333333333332E-2</v>
      </c>
      <c r="K479" s="983">
        <v>2.5016666666666666E-2</v>
      </c>
      <c r="L479" s="983">
        <v>9.0166666666666676E-3</v>
      </c>
    </row>
    <row r="480" spans="1:12">
      <c r="A480" s="983">
        <v>24047</v>
      </c>
      <c r="B480" s="983">
        <v>-3.0999999999999999E-3</v>
      </c>
      <c r="C480" s="983">
        <v>-1.1599999999999999E-2</v>
      </c>
      <c r="D480" s="983">
        <v>3.7000000000000002E-3</v>
      </c>
      <c r="E480" s="983">
        <v>3.8333333333333331E-3</v>
      </c>
      <c r="F480" s="983">
        <v>3.908333333333334E-3</v>
      </c>
      <c r="G480" s="983">
        <v>3.8708333333333333E-3</v>
      </c>
      <c r="H480" s="983">
        <v>3.9250000000000005E-3</v>
      </c>
      <c r="I480" s="983">
        <v>-6.8000000000000005E-3</v>
      </c>
      <c r="J480" s="983">
        <v>-6.9708333333333332E-3</v>
      </c>
      <c r="K480" s="983">
        <v>-7.025E-3</v>
      </c>
      <c r="L480" s="983">
        <v>-1.5525000000000001E-2</v>
      </c>
    </row>
    <row r="481" spans="1:12">
      <c r="A481" s="983">
        <v>24077</v>
      </c>
      <c r="B481" s="983">
        <v>1.06E-2</v>
      </c>
      <c r="C481" s="983">
        <v>-7.9999999999999993E-4</v>
      </c>
      <c r="D481" s="983">
        <v>3.7000000000000002E-3</v>
      </c>
      <c r="E481" s="983">
        <v>3.8999999999999994E-3</v>
      </c>
      <c r="F481" s="983">
        <v>4.0000000000000001E-3</v>
      </c>
      <c r="G481" s="983">
        <v>3.9499999999999995E-3</v>
      </c>
      <c r="H481" s="983">
        <v>4.0249999999999999E-3</v>
      </c>
      <c r="I481" s="983">
        <v>6.8999999999999999E-3</v>
      </c>
      <c r="J481" s="983">
        <v>6.6500000000000005E-3</v>
      </c>
      <c r="K481" s="983">
        <v>6.5750000000000001E-3</v>
      </c>
      <c r="L481" s="983">
        <v>-4.8249999999999994E-3</v>
      </c>
    </row>
    <row r="482" spans="1:12">
      <c r="A482" s="983">
        <v>24108</v>
      </c>
      <c r="B482" s="983">
        <v>6.1999999999999998E-3</v>
      </c>
      <c r="C482" s="983">
        <v>-2.9699999999999997E-2</v>
      </c>
      <c r="D482" s="983">
        <v>3.8E-3</v>
      </c>
      <c r="E482" s="983">
        <v>3.9500000000000004E-3</v>
      </c>
      <c r="F482" s="983">
        <v>4.0249999999999999E-3</v>
      </c>
      <c r="G482" s="983">
        <v>3.9875000000000006E-3</v>
      </c>
      <c r="H482" s="983">
        <v>4.0500000000000006E-3</v>
      </c>
      <c r="I482" s="983">
        <v>2.3999999999999998E-3</v>
      </c>
      <c r="J482" s="983">
        <v>2.2124999999999992E-3</v>
      </c>
      <c r="K482" s="983">
        <v>2.1499999999999991E-3</v>
      </c>
      <c r="L482" s="983">
        <v>-3.3749999999999995E-2</v>
      </c>
    </row>
    <row r="483" spans="1:12">
      <c r="A483" s="983">
        <v>24139</v>
      </c>
      <c r="B483" s="983">
        <v>-1.3100000000000001E-2</v>
      </c>
      <c r="C483" s="983">
        <v>-4.1399999999999999E-2</v>
      </c>
      <c r="D483" s="983">
        <v>3.3999999999999998E-3</v>
      </c>
      <c r="E483" s="983">
        <v>3.9833333333333335E-3</v>
      </c>
      <c r="F483" s="983">
        <v>4.0833333333333338E-3</v>
      </c>
      <c r="G483" s="983">
        <v>4.0333333333333341E-3</v>
      </c>
      <c r="H483" s="983">
        <v>4.0999999999999995E-3</v>
      </c>
      <c r="I483" s="983">
        <v>-1.6500000000000001E-2</v>
      </c>
      <c r="J483" s="983">
        <v>-1.7133333333333334E-2</v>
      </c>
      <c r="K483" s="983">
        <v>-1.72E-2</v>
      </c>
      <c r="L483" s="983">
        <v>-4.5499999999999999E-2</v>
      </c>
    </row>
    <row r="484" spans="1:12">
      <c r="A484" s="983">
        <v>24167</v>
      </c>
      <c r="B484" s="983">
        <v>-2.0500000000000001E-2</v>
      </c>
      <c r="C484" s="983">
        <v>-4.5000000000000005E-3</v>
      </c>
      <c r="D484" s="983">
        <v>4.0000000000000001E-3</v>
      </c>
      <c r="E484" s="983">
        <v>4.0999999999999995E-3</v>
      </c>
      <c r="F484" s="983">
        <v>4.208333333333333E-3</v>
      </c>
      <c r="G484" s="983">
        <v>4.1541666666666663E-3</v>
      </c>
      <c r="H484" s="983">
        <v>4.2833333333333326E-3</v>
      </c>
      <c r="I484" s="983">
        <v>-2.4500000000000001E-2</v>
      </c>
      <c r="J484" s="983">
        <v>-2.4654166666666668E-2</v>
      </c>
      <c r="K484" s="983">
        <v>-2.4783333333333334E-2</v>
      </c>
      <c r="L484" s="983">
        <v>-8.783333333333334E-3</v>
      </c>
    </row>
    <row r="485" spans="1:12">
      <c r="A485" s="983">
        <v>24198</v>
      </c>
      <c r="B485" s="983">
        <v>2.1999999999999999E-2</v>
      </c>
      <c r="C485" s="983">
        <v>1.72E-2</v>
      </c>
      <c r="D485" s="983">
        <v>3.5999999999999999E-3</v>
      </c>
      <c r="E485" s="983">
        <v>4.1083333333333336E-3</v>
      </c>
      <c r="F485" s="983">
        <v>4.2500000000000003E-3</v>
      </c>
      <c r="G485" s="983">
        <v>4.179166666666667E-3</v>
      </c>
      <c r="H485" s="983">
        <v>4.3750000000000004E-3</v>
      </c>
      <c r="I485" s="983">
        <v>1.84E-2</v>
      </c>
      <c r="J485" s="983">
        <v>1.7820833333333331E-2</v>
      </c>
      <c r="K485" s="983">
        <v>1.7624999999999998E-2</v>
      </c>
      <c r="L485" s="983">
        <v>1.2825E-2</v>
      </c>
    </row>
    <row r="486" spans="1:12">
      <c r="A486" s="983">
        <v>24228</v>
      </c>
      <c r="B486" s="983">
        <v>-4.9200000000000001E-2</v>
      </c>
      <c r="C486" s="983">
        <v>-2.9600000000000001E-2</v>
      </c>
      <c r="D486" s="983">
        <v>4.1000000000000003E-3</v>
      </c>
      <c r="E486" s="983">
        <v>4.15E-3</v>
      </c>
      <c r="F486" s="983">
        <v>4.2500000000000003E-3</v>
      </c>
      <c r="G486" s="983">
        <v>4.2000000000000006E-3</v>
      </c>
      <c r="H486" s="983">
        <v>4.3750000000000004E-3</v>
      </c>
      <c r="I486" s="983">
        <v>-5.33E-2</v>
      </c>
      <c r="J486" s="983">
        <v>-5.3400000000000003E-2</v>
      </c>
      <c r="K486" s="983">
        <v>-5.3574999999999998E-2</v>
      </c>
      <c r="L486" s="983">
        <v>-3.3975000000000005E-2</v>
      </c>
    </row>
    <row r="487" spans="1:12">
      <c r="A487" s="983">
        <v>24259</v>
      </c>
      <c r="B487" s="983">
        <v>-1.46E-2</v>
      </c>
      <c r="C487" s="983">
        <v>-1.8099999999999998E-2</v>
      </c>
      <c r="D487" s="983">
        <v>3.8999999999999994E-3</v>
      </c>
      <c r="E487" s="983">
        <v>4.2250000000000005E-3</v>
      </c>
      <c r="F487" s="983">
        <v>4.3E-3</v>
      </c>
      <c r="G487" s="983">
        <v>4.2624999999999998E-3</v>
      </c>
      <c r="H487" s="983">
        <v>4.5000000000000005E-3</v>
      </c>
      <c r="I487" s="983">
        <v>-1.8499999999999999E-2</v>
      </c>
      <c r="J487" s="983">
        <v>-1.8862500000000001E-2</v>
      </c>
      <c r="K487" s="983">
        <v>-1.9099999999999999E-2</v>
      </c>
      <c r="L487" s="983">
        <v>-2.2599999999999999E-2</v>
      </c>
    </row>
    <row r="488" spans="1:12">
      <c r="A488" s="983">
        <v>24289</v>
      </c>
      <c r="B488" s="983">
        <v>-1.2E-2</v>
      </c>
      <c r="C488" s="983">
        <v>9.0000000000000019E-4</v>
      </c>
      <c r="D488" s="983">
        <v>3.8E-3</v>
      </c>
      <c r="E488" s="983">
        <v>4.3E-3</v>
      </c>
      <c r="F488" s="983">
        <v>4.3750000000000004E-3</v>
      </c>
      <c r="G488" s="983">
        <v>4.3374999999999993E-3</v>
      </c>
      <c r="H488" s="983">
        <v>4.5416666666666669E-3</v>
      </c>
      <c r="I488" s="983">
        <v>-1.5800000000000002E-2</v>
      </c>
      <c r="J488" s="983">
        <v>-1.6337499999999998E-2</v>
      </c>
      <c r="K488" s="983">
        <v>-1.6541666666666666E-2</v>
      </c>
      <c r="L488" s="983">
        <v>-3.6416666666666667E-3</v>
      </c>
    </row>
    <row r="489" spans="1:12">
      <c r="A489" s="983">
        <v>24320</v>
      </c>
      <c r="B489" s="983">
        <v>-7.2499999999999995E-2</v>
      </c>
      <c r="C489" s="983">
        <v>-8.7499999999999994E-2</v>
      </c>
      <c r="D489" s="983">
        <v>4.3E-3</v>
      </c>
      <c r="E489" s="983">
        <v>4.4249999999999992E-3</v>
      </c>
      <c r="F489" s="983">
        <v>4.4833333333333331E-3</v>
      </c>
      <c r="G489" s="983">
        <v>4.4541666666666662E-3</v>
      </c>
      <c r="H489" s="983">
        <v>4.6500000000000005E-3</v>
      </c>
      <c r="I489" s="983">
        <v>-7.6799999999999993E-2</v>
      </c>
      <c r="J489" s="983">
        <v>-7.6954166666666657E-2</v>
      </c>
      <c r="K489" s="983">
        <v>-7.7149999999999996E-2</v>
      </c>
      <c r="L489" s="983">
        <v>-9.2149999999999996E-2</v>
      </c>
    </row>
    <row r="490" spans="1:12">
      <c r="A490" s="983">
        <v>24351</v>
      </c>
      <c r="B490" s="983">
        <v>-5.3E-3</v>
      </c>
      <c r="C490" s="983">
        <v>4.7500000000000001E-2</v>
      </c>
      <c r="D490" s="983">
        <v>4.1000000000000003E-3</v>
      </c>
      <c r="E490" s="983">
        <v>4.5750000000000001E-3</v>
      </c>
      <c r="F490" s="983">
        <v>4.6500000000000005E-3</v>
      </c>
      <c r="G490" s="983">
        <v>4.6125000000000003E-3</v>
      </c>
      <c r="H490" s="983">
        <v>4.8416666666666669E-3</v>
      </c>
      <c r="I490" s="983">
        <v>-9.4000000000000004E-3</v>
      </c>
      <c r="J490" s="983">
        <v>-9.9125000000000012E-3</v>
      </c>
      <c r="K490" s="983">
        <v>-1.0141666666666667E-2</v>
      </c>
      <c r="L490" s="983">
        <v>4.2658333333333333E-2</v>
      </c>
    </row>
    <row r="491" spans="1:12">
      <c r="A491" s="983">
        <v>24381</v>
      </c>
      <c r="B491" s="983">
        <v>4.9399999999999999E-2</v>
      </c>
      <c r="C491" s="983">
        <v>9.7000000000000017E-2</v>
      </c>
      <c r="D491" s="983">
        <v>4.0000000000000001E-3</v>
      </c>
      <c r="E491" s="983">
        <v>4.5083333333333338E-3</v>
      </c>
      <c r="F491" s="983">
        <v>4.5833333333333334E-3</v>
      </c>
      <c r="G491" s="983">
        <v>4.5458333333333331E-3</v>
      </c>
      <c r="H491" s="983">
        <v>4.783333333333333E-3</v>
      </c>
      <c r="I491" s="983">
        <v>4.5399999999999996E-2</v>
      </c>
      <c r="J491" s="983">
        <v>4.4854166666666667E-2</v>
      </c>
      <c r="K491" s="983">
        <v>4.4616666666666666E-2</v>
      </c>
      <c r="L491" s="983">
        <v>9.2216666666666683E-2</v>
      </c>
    </row>
    <row r="492" spans="1:12">
      <c r="A492" s="983">
        <v>24412</v>
      </c>
      <c r="B492" s="983">
        <v>9.4999999999999998E-3</v>
      </c>
      <c r="C492" s="983">
        <v>-7.6E-3</v>
      </c>
      <c r="D492" s="983">
        <v>3.8E-3</v>
      </c>
      <c r="E492" s="983">
        <v>4.4583333333333332E-3</v>
      </c>
      <c r="F492" s="983">
        <v>4.5500000000000002E-3</v>
      </c>
      <c r="G492" s="983">
        <v>4.5041666666666667E-3</v>
      </c>
      <c r="H492" s="983">
        <v>4.6916666666666669E-3</v>
      </c>
      <c r="I492" s="983">
        <v>5.7000000000000002E-3</v>
      </c>
      <c r="J492" s="983">
        <v>4.995833333333333E-3</v>
      </c>
      <c r="K492" s="983">
        <v>4.8083333333333329E-3</v>
      </c>
      <c r="L492" s="983">
        <v>-1.2291666666666666E-2</v>
      </c>
    </row>
    <row r="493" spans="1:12">
      <c r="A493" s="983">
        <v>24442</v>
      </c>
      <c r="B493" s="983">
        <v>2.0000000000000001E-4</v>
      </c>
      <c r="C493" s="983">
        <v>2.2099999999999998E-2</v>
      </c>
      <c r="D493" s="983">
        <v>3.8999999999999994E-3</v>
      </c>
      <c r="E493" s="983">
        <v>4.4916666666666664E-3</v>
      </c>
      <c r="F493" s="983">
        <v>4.5666666666666668E-3</v>
      </c>
      <c r="G493" s="983">
        <v>4.5291666666666666E-3</v>
      </c>
      <c r="H493" s="983">
        <v>4.725E-3</v>
      </c>
      <c r="I493" s="983">
        <v>-3.6999999999999993E-3</v>
      </c>
      <c r="J493" s="983">
        <v>-4.3291666666666669E-3</v>
      </c>
      <c r="K493" s="983">
        <v>-4.5250000000000004E-3</v>
      </c>
      <c r="L493" s="983">
        <v>1.7374999999999998E-2</v>
      </c>
    </row>
    <row r="494" spans="1:12">
      <c r="A494" s="983">
        <v>24473</v>
      </c>
      <c r="B494" s="983">
        <v>7.9799999999999996E-2</v>
      </c>
      <c r="C494" s="983">
        <v>2.7100000000000003E-2</v>
      </c>
      <c r="D494" s="983">
        <v>4.0000000000000001E-3</v>
      </c>
      <c r="E494" s="983">
        <v>4.3333333333333331E-3</v>
      </c>
      <c r="F494" s="983">
        <v>4.4166666666666668E-3</v>
      </c>
      <c r="G494" s="983">
        <v>4.3750000000000004E-3</v>
      </c>
      <c r="H494" s="983">
        <v>4.5500000000000002E-3</v>
      </c>
      <c r="I494" s="983">
        <v>7.5799999999999992E-2</v>
      </c>
      <c r="J494" s="983">
        <v>7.5424999999999992E-2</v>
      </c>
      <c r="K494" s="983">
        <v>7.5249999999999997E-2</v>
      </c>
      <c r="L494" s="983">
        <v>2.2550000000000001E-2</v>
      </c>
    </row>
    <row r="495" spans="1:12">
      <c r="A495" s="983">
        <v>24504</v>
      </c>
      <c r="B495" s="983">
        <v>7.1999999999999998E-3</v>
      </c>
      <c r="C495" s="983">
        <v>-1.5699999999999999E-2</v>
      </c>
      <c r="D495" s="983">
        <v>3.3999999999999998E-3</v>
      </c>
      <c r="E495" s="983">
        <v>4.1916666666666665E-3</v>
      </c>
      <c r="F495" s="983">
        <v>4.3166666666666666E-3</v>
      </c>
      <c r="G495" s="983">
        <v>4.2541666666666665E-3</v>
      </c>
      <c r="H495" s="983">
        <v>4.4000000000000003E-3</v>
      </c>
      <c r="I495" s="983">
        <v>3.8E-3</v>
      </c>
      <c r="J495" s="983">
        <v>2.9458333333333333E-3</v>
      </c>
      <c r="K495" s="983">
        <v>2.7999999999999995E-3</v>
      </c>
      <c r="L495" s="983">
        <v>-2.01E-2</v>
      </c>
    </row>
    <row r="496" spans="1:12">
      <c r="A496" s="983">
        <v>24532</v>
      </c>
      <c r="B496" s="983">
        <v>4.0899999999999999E-2</v>
      </c>
      <c r="C496" s="983">
        <v>1.9700000000000002E-2</v>
      </c>
      <c r="D496" s="983">
        <v>3.8999999999999994E-3</v>
      </c>
      <c r="E496" s="983">
        <v>4.2750000000000002E-3</v>
      </c>
      <c r="F496" s="983">
        <v>4.3583333333333339E-3</v>
      </c>
      <c r="G496" s="983">
        <v>4.3166666666666666E-3</v>
      </c>
      <c r="H496" s="983">
        <v>4.5333333333333337E-3</v>
      </c>
      <c r="I496" s="983">
        <v>3.6999999999999998E-2</v>
      </c>
      <c r="J496" s="983">
        <v>3.6583333333333329E-2</v>
      </c>
      <c r="K496" s="983">
        <v>3.6366666666666665E-2</v>
      </c>
      <c r="L496" s="983">
        <v>1.5166666666666669E-2</v>
      </c>
    </row>
    <row r="497" spans="1:12">
      <c r="A497" s="983">
        <v>24563</v>
      </c>
      <c r="B497" s="983">
        <v>4.3700000000000003E-2</v>
      </c>
      <c r="C497" s="983">
        <v>2.0199999999999999E-2</v>
      </c>
      <c r="D497" s="983">
        <v>3.5000000000000005E-3</v>
      </c>
      <c r="E497" s="983">
        <v>4.2583333333333336E-3</v>
      </c>
      <c r="F497" s="983">
        <v>4.3833333333333328E-3</v>
      </c>
      <c r="G497" s="983">
        <v>4.3208333333333328E-3</v>
      </c>
      <c r="H497" s="983">
        <v>4.5166666666666662E-3</v>
      </c>
      <c r="I497" s="983">
        <v>4.02E-2</v>
      </c>
      <c r="J497" s="983">
        <v>3.9379166666666673E-2</v>
      </c>
      <c r="K497" s="983">
        <v>3.9183333333333334E-2</v>
      </c>
      <c r="L497" s="983">
        <v>1.5683333333333334E-2</v>
      </c>
    </row>
    <row r="498" spans="1:12">
      <c r="A498" s="983">
        <v>24593</v>
      </c>
      <c r="B498" s="983">
        <v>-4.7699999999999999E-2</v>
      </c>
      <c r="C498" s="983">
        <v>-5.0600000000000006E-2</v>
      </c>
      <c r="D498" s="983">
        <v>4.3E-3</v>
      </c>
      <c r="E498" s="983">
        <v>4.3666666666666671E-3</v>
      </c>
      <c r="F498" s="983">
        <v>4.5166666666666662E-3</v>
      </c>
      <c r="G498" s="983">
        <v>4.4416666666666667E-3</v>
      </c>
      <c r="H498" s="983">
        <v>4.7166666666666668E-3</v>
      </c>
      <c r="I498" s="983">
        <v>-5.1999999999999998E-2</v>
      </c>
      <c r="J498" s="983">
        <v>-5.2141666666666669E-2</v>
      </c>
      <c r="K498" s="983">
        <v>-5.2416666666666667E-2</v>
      </c>
      <c r="L498" s="983">
        <v>-5.5316666666666674E-2</v>
      </c>
    </row>
    <row r="499" spans="1:12">
      <c r="A499" s="983">
        <v>24624</v>
      </c>
      <c r="B499" s="983">
        <v>1.9E-2</v>
      </c>
      <c r="C499" s="983">
        <v>-1.3100000000000001E-2</v>
      </c>
      <c r="D499" s="983">
        <v>3.8999999999999994E-3</v>
      </c>
      <c r="E499" s="983">
        <v>4.5333333333333337E-3</v>
      </c>
      <c r="F499" s="983">
        <v>4.6916666666666669E-3</v>
      </c>
      <c r="G499" s="983">
        <v>4.6125000000000003E-3</v>
      </c>
      <c r="H499" s="983">
        <v>4.8666666666666667E-3</v>
      </c>
      <c r="I499" s="983">
        <v>1.5100000000000001E-2</v>
      </c>
      <c r="J499" s="983">
        <v>1.4387499999999999E-2</v>
      </c>
      <c r="K499" s="983">
        <v>1.4133333333333333E-2</v>
      </c>
      <c r="L499" s="983">
        <v>-1.7966666666666666E-2</v>
      </c>
    </row>
    <row r="500" spans="1:12">
      <c r="A500" s="983">
        <v>24654</v>
      </c>
      <c r="B500" s="983">
        <v>4.6800000000000001E-2</v>
      </c>
      <c r="C500" s="983">
        <v>2.0399999999999995E-2</v>
      </c>
      <c r="D500" s="983">
        <v>4.3E-3</v>
      </c>
      <c r="E500" s="983">
        <v>4.6500000000000005E-3</v>
      </c>
      <c r="F500" s="983">
        <v>4.7666666666666664E-3</v>
      </c>
      <c r="G500" s="983">
        <v>4.7083333333333335E-3</v>
      </c>
      <c r="H500" s="983">
        <v>4.9500000000000004E-3</v>
      </c>
      <c r="I500" s="983">
        <v>4.2500000000000003E-2</v>
      </c>
      <c r="J500" s="983">
        <v>4.2091666666666666E-2</v>
      </c>
      <c r="K500" s="983">
        <v>4.1849999999999998E-2</v>
      </c>
      <c r="L500" s="983">
        <v>1.5449999999999995E-2</v>
      </c>
    </row>
    <row r="501" spans="1:12">
      <c r="A501" s="983">
        <v>24685</v>
      </c>
      <c r="B501" s="983">
        <v>-7.0000000000000001E-3</v>
      </c>
      <c r="C501" s="983">
        <v>-6.5000000000000006E-3</v>
      </c>
      <c r="D501" s="983">
        <v>4.1999999999999997E-3</v>
      </c>
      <c r="E501" s="983">
        <v>4.6833333333333336E-3</v>
      </c>
      <c r="F501" s="983">
        <v>4.7999999999999996E-3</v>
      </c>
      <c r="G501" s="983">
        <v>4.7416666666666666E-3</v>
      </c>
      <c r="H501" s="983">
        <v>4.9666666666666661E-3</v>
      </c>
      <c r="I501" s="983">
        <v>-1.12E-2</v>
      </c>
      <c r="J501" s="983">
        <v>-1.1741666666666668E-2</v>
      </c>
      <c r="K501" s="983">
        <v>-1.1966666666666667E-2</v>
      </c>
      <c r="L501" s="983">
        <v>-1.1466666666666667E-2</v>
      </c>
    </row>
    <row r="502" spans="1:12">
      <c r="A502" s="983">
        <v>24716</v>
      </c>
      <c r="B502" s="983">
        <v>3.4200000000000001E-2</v>
      </c>
      <c r="C502" s="983">
        <v>-3.7000000000000002E-3</v>
      </c>
      <c r="D502" s="983">
        <v>4.0000000000000001E-3</v>
      </c>
      <c r="E502" s="983">
        <v>4.7083333333333335E-3</v>
      </c>
      <c r="F502" s="983">
        <v>4.8916666666666666E-3</v>
      </c>
      <c r="G502" s="983">
        <v>4.8000000000000004E-3</v>
      </c>
      <c r="H502" s="983">
        <v>5.0416666666666665E-3</v>
      </c>
      <c r="I502" s="983">
        <v>3.0200000000000001E-2</v>
      </c>
      <c r="J502" s="983">
        <v>2.9400000000000003E-2</v>
      </c>
      <c r="K502" s="983">
        <v>2.9158333333333335E-2</v>
      </c>
      <c r="L502" s="983">
        <v>-8.7416666666666667E-3</v>
      </c>
    </row>
    <row r="503" spans="1:12">
      <c r="A503" s="983">
        <v>24746</v>
      </c>
      <c r="B503" s="983">
        <v>-2.76E-2</v>
      </c>
      <c r="C503" s="983">
        <v>-5.7200000000000001E-2</v>
      </c>
      <c r="D503" s="983">
        <v>4.4999999999999997E-3</v>
      </c>
      <c r="E503" s="983">
        <v>4.8500000000000001E-3</v>
      </c>
      <c r="F503" s="983">
        <v>5.0083333333333334E-3</v>
      </c>
      <c r="G503" s="983">
        <v>4.9291666666666668E-3</v>
      </c>
      <c r="H503" s="983">
        <v>5.1500000000000001E-3</v>
      </c>
      <c r="I503" s="983">
        <v>-3.2099999999999997E-2</v>
      </c>
      <c r="J503" s="983">
        <v>-3.2529166666666665E-2</v>
      </c>
      <c r="K503" s="983">
        <v>-3.2750000000000001E-2</v>
      </c>
      <c r="L503" s="983">
        <v>-6.2350000000000003E-2</v>
      </c>
    </row>
    <row r="504" spans="1:12">
      <c r="A504" s="983">
        <v>24777</v>
      </c>
      <c r="B504" s="983">
        <v>6.4999999999999997E-3</v>
      </c>
      <c r="C504" s="983">
        <v>2.9300000000000003E-2</v>
      </c>
      <c r="D504" s="983">
        <v>4.4999999999999997E-3</v>
      </c>
      <c r="E504" s="983">
        <v>5.058333333333334E-3</v>
      </c>
      <c r="F504" s="983">
        <v>5.1916666666666665E-3</v>
      </c>
      <c r="G504" s="983">
        <v>5.1249999999999993E-3</v>
      </c>
      <c r="H504" s="983">
        <v>5.4000000000000003E-3</v>
      </c>
      <c r="I504" s="983">
        <v>2E-3</v>
      </c>
      <c r="J504" s="983">
        <v>1.3750000000000004E-3</v>
      </c>
      <c r="K504" s="983">
        <v>1.0999999999999994E-3</v>
      </c>
      <c r="L504" s="983">
        <v>2.3900000000000005E-2</v>
      </c>
    </row>
    <row r="505" spans="1:12">
      <c r="A505" s="983">
        <v>24807</v>
      </c>
      <c r="B505" s="983">
        <v>2.7799999999999998E-2</v>
      </c>
      <c r="C505" s="983">
        <v>2.86E-2</v>
      </c>
      <c r="D505" s="983">
        <v>4.4000000000000003E-3</v>
      </c>
      <c r="E505" s="983">
        <v>5.1583333333333333E-3</v>
      </c>
      <c r="F505" s="983">
        <v>5.2916666666666667E-3</v>
      </c>
      <c r="G505" s="983">
        <v>5.2249999999999996E-3</v>
      </c>
      <c r="H505" s="983">
        <v>5.5583333333333327E-3</v>
      </c>
      <c r="I505" s="983">
        <v>2.3399999999999997E-2</v>
      </c>
      <c r="J505" s="983">
        <v>2.2574999999999998E-2</v>
      </c>
      <c r="K505" s="983">
        <v>2.2241666666666667E-2</v>
      </c>
      <c r="L505" s="983">
        <v>2.3041666666666669E-2</v>
      </c>
    </row>
    <row r="506" spans="1:12">
      <c r="A506" s="983">
        <v>24838</v>
      </c>
      <c r="B506" s="983">
        <v>-4.2500000000000003E-2</v>
      </c>
      <c r="C506" s="983">
        <v>8.199999999999999E-3</v>
      </c>
      <c r="D506" s="983">
        <v>5.0000000000000001E-3</v>
      </c>
      <c r="E506" s="983">
        <v>5.1416666666666668E-3</v>
      </c>
      <c r="F506" s="983">
        <v>5.241666666666667E-3</v>
      </c>
      <c r="G506" s="983">
        <v>5.1916666666666665E-3</v>
      </c>
      <c r="H506" s="983">
        <v>5.45E-3</v>
      </c>
      <c r="I506" s="983">
        <v>-4.7500000000000001E-2</v>
      </c>
      <c r="J506" s="983">
        <v>-4.7691666666666667E-2</v>
      </c>
      <c r="K506" s="983">
        <v>-4.7950000000000007E-2</v>
      </c>
      <c r="L506" s="983">
        <v>2.749999999999999E-3</v>
      </c>
    </row>
    <row r="507" spans="1:12">
      <c r="A507" s="983">
        <v>24869</v>
      </c>
      <c r="B507" s="983">
        <v>-2.6100000000000002E-2</v>
      </c>
      <c r="C507" s="983">
        <v>-2.3300000000000001E-2</v>
      </c>
      <c r="D507" s="983">
        <v>4.1999999999999997E-3</v>
      </c>
      <c r="E507" s="983">
        <v>5.0833333333333329E-3</v>
      </c>
      <c r="F507" s="983">
        <v>5.2249999999999996E-3</v>
      </c>
      <c r="G507" s="983">
        <v>5.1541666666666663E-3</v>
      </c>
      <c r="H507" s="983">
        <v>5.3083333333333342E-3</v>
      </c>
      <c r="I507" s="983">
        <v>-3.0300000000000001E-2</v>
      </c>
      <c r="J507" s="983">
        <v>-3.1254166666666666E-2</v>
      </c>
      <c r="K507" s="983">
        <v>-3.1408333333333337E-2</v>
      </c>
      <c r="L507" s="983">
        <v>-2.8608333333333336E-2</v>
      </c>
    </row>
    <row r="508" spans="1:12">
      <c r="A508" s="983">
        <v>24898</v>
      </c>
      <c r="B508" s="983">
        <v>1.0999999999999999E-2</v>
      </c>
      <c r="C508" s="983">
        <v>-3.9900000000000005E-2</v>
      </c>
      <c r="D508" s="983">
        <v>4.3E-3</v>
      </c>
      <c r="E508" s="983">
        <v>5.0916666666666662E-3</v>
      </c>
      <c r="F508" s="983">
        <v>5.2333333333333329E-3</v>
      </c>
      <c r="G508" s="983">
        <v>5.1624999999999996E-3</v>
      </c>
      <c r="H508" s="983">
        <v>5.3416666666666664E-3</v>
      </c>
      <c r="I508" s="983">
        <v>6.6999999999999994E-3</v>
      </c>
      <c r="J508" s="983">
        <v>5.8374999999999998E-3</v>
      </c>
      <c r="K508" s="983">
        <v>5.6583333333333329E-3</v>
      </c>
      <c r="L508" s="983">
        <v>-4.5241666666666673E-2</v>
      </c>
    </row>
    <row r="509" spans="1:12">
      <c r="A509" s="983">
        <v>24929</v>
      </c>
      <c r="B509" s="983">
        <v>8.3400000000000002E-2</v>
      </c>
      <c r="C509" s="983">
        <v>2.75E-2</v>
      </c>
      <c r="D509" s="983">
        <v>4.8999999999999998E-3</v>
      </c>
      <c r="E509" s="983">
        <v>5.1749999999999999E-3</v>
      </c>
      <c r="F509" s="983">
        <v>5.3166666666666666E-3</v>
      </c>
      <c r="G509" s="983">
        <v>5.2458333333333333E-3</v>
      </c>
      <c r="H509" s="983">
        <v>5.4833333333333331E-3</v>
      </c>
      <c r="I509" s="983">
        <v>7.85E-2</v>
      </c>
      <c r="J509" s="983">
        <v>7.8154166666666663E-2</v>
      </c>
      <c r="K509" s="983">
        <v>7.7916666666666662E-2</v>
      </c>
      <c r="L509" s="983">
        <v>2.2016666666666667E-2</v>
      </c>
    </row>
    <row r="510" spans="1:12">
      <c r="A510" s="983">
        <v>24959</v>
      </c>
      <c r="B510" s="983">
        <v>1.61E-2</v>
      </c>
      <c r="C510" s="983">
        <v>-6.1999999999999998E-3</v>
      </c>
      <c r="D510" s="983">
        <v>4.5999999999999999E-3</v>
      </c>
      <c r="E510" s="983">
        <v>5.2249999999999996E-3</v>
      </c>
      <c r="F510" s="983">
        <v>5.4000000000000003E-3</v>
      </c>
      <c r="G510" s="983">
        <v>5.3125000000000004E-3</v>
      </c>
      <c r="H510" s="983">
        <v>5.5166666666666662E-3</v>
      </c>
      <c r="I510" s="983">
        <v>1.15E-2</v>
      </c>
      <c r="J510" s="983">
        <v>1.0787499999999998E-2</v>
      </c>
      <c r="K510" s="983">
        <v>1.0583333333333333E-2</v>
      </c>
      <c r="L510" s="983">
        <v>-1.1716666666666667E-2</v>
      </c>
    </row>
    <row r="511" spans="1:12">
      <c r="A511" s="983">
        <v>24990</v>
      </c>
      <c r="B511" s="983">
        <v>1.0500000000000001E-2</v>
      </c>
      <c r="C511" s="983">
        <v>8.0700000000000008E-2</v>
      </c>
      <c r="D511" s="983">
        <v>4.1999999999999997E-3</v>
      </c>
      <c r="E511" s="983">
        <v>5.2333333333333329E-3</v>
      </c>
      <c r="F511" s="983">
        <v>5.416666666666666E-3</v>
      </c>
      <c r="G511" s="983">
        <v>5.3249999999999999E-3</v>
      </c>
      <c r="H511" s="983">
        <v>5.5166666666666662E-3</v>
      </c>
      <c r="I511" s="983">
        <v>6.3000000000000009E-3</v>
      </c>
      <c r="J511" s="983">
        <v>5.1750000000000008E-3</v>
      </c>
      <c r="K511" s="983">
        <v>4.9833333333333344E-3</v>
      </c>
      <c r="L511" s="983">
        <v>7.5183333333333338E-2</v>
      </c>
    </row>
    <row r="512" spans="1:12">
      <c r="A512" s="983">
        <v>25020</v>
      </c>
      <c r="B512" s="983">
        <v>-1.72E-2</v>
      </c>
      <c r="C512" s="983">
        <v>-6.9999999999999993E-3</v>
      </c>
      <c r="D512" s="983">
        <v>4.7999999999999996E-3</v>
      </c>
      <c r="E512" s="983">
        <v>5.1999999999999998E-3</v>
      </c>
      <c r="F512" s="983">
        <v>5.3749999999999996E-3</v>
      </c>
      <c r="G512" s="983">
        <v>5.2875000000000005E-3</v>
      </c>
      <c r="H512" s="983">
        <v>5.4416666666666667E-3</v>
      </c>
      <c r="I512" s="983">
        <v>-2.1999999999999999E-2</v>
      </c>
      <c r="J512" s="983">
        <v>-2.2487500000000001E-2</v>
      </c>
      <c r="K512" s="983">
        <v>-2.2641666666666668E-2</v>
      </c>
      <c r="L512" s="983">
        <v>-1.2441666666666667E-2</v>
      </c>
    </row>
    <row r="513" spans="1:12">
      <c r="A513" s="983">
        <v>25051</v>
      </c>
      <c r="B513" s="983">
        <v>1.6400000000000001E-2</v>
      </c>
      <c r="C513" s="983">
        <v>4.0000000000000024E-4</v>
      </c>
      <c r="D513" s="983">
        <v>4.1999999999999997E-3</v>
      </c>
      <c r="E513" s="983">
        <v>5.0166666666666658E-3</v>
      </c>
      <c r="F513" s="983">
        <v>5.2083333333333339E-3</v>
      </c>
      <c r="G513" s="983">
        <v>5.1124999999999999E-3</v>
      </c>
      <c r="H513" s="983">
        <v>5.2250000000000005E-3</v>
      </c>
      <c r="I513" s="983">
        <v>1.2200000000000003E-2</v>
      </c>
      <c r="J513" s="983">
        <v>1.1287500000000002E-2</v>
      </c>
      <c r="K513" s="983">
        <v>1.1175000000000001E-2</v>
      </c>
      <c r="L513" s="983">
        <v>-4.8250000000000003E-3</v>
      </c>
    </row>
    <row r="514" spans="1:12">
      <c r="A514" s="983">
        <v>25082</v>
      </c>
      <c r="B514" s="983">
        <v>0.04</v>
      </c>
      <c r="C514" s="983">
        <v>0.01</v>
      </c>
      <c r="D514" s="983">
        <v>4.4000000000000003E-3</v>
      </c>
      <c r="E514" s="983">
        <v>4.9750000000000003E-3</v>
      </c>
      <c r="F514" s="983">
        <v>5.1916666666666665E-3</v>
      </c>
      <c r="G514" s="983">
        <v>5.0833333333333329E-3</v>
      </c>
      <c r="H514" s="983">
        <v>5.2250000000000005E-3</v>
      </c>
      <c r="I514" s="983">
        <v>3.56E-2</v>
      </c>
      <c r="J514" s="983">
        <v>3.4916666666666665E-2</v>
      </c>
      <c r="K514" s="983">
        <v>3.4775E-2</v>
      </c>
      <c r="L514" s="983">
        <v>4.7749999999999997E-3</v>
      </c>
    </row>
    <row r="515" spans="1:12">
      <c r="A515" s="983">
        <v>25112</v>
      </c>
      <c r="B515" s="983">
        <v>8.6999999999999994E-3</v>
      </c>
      <c r="C515" s="983">
        <v>8.6E-3</v>
      </c>
      <c r="D515" s="983">
        <v>4.4999999999999997E-3</v>
      </c>
      <c r="E515" s="983">
        <v>5.0749999999999997E-3</v>
      </c>
      <c r="F515" s="983">
        <v>5.2666666666666669E-3</v>
      </c>
      <c r="G515" s="983">
        <v>5.1708333333333337E-3</v>
      </c>
      <c r="H515" s="983">
        <v>5.3333333333333332E-3</v>
      </c>
      <c r="I515" s="983">
        <v>4.1999999999999997E-3</v>
      </c>
      <c r="J515" s="983">
        <v>3.5291666666666657E-3</v>
      </c>
      <c r="K515" s="983">
        <v>3.3666666666666662E-3</v>
      </c>
      <c r="L515" s="983">
        <v>3.2666666666666669E-3</v>
      </c>
    </row>
    <row r="516" spans="1:12">
      <c r="A516" s="983">
        <v>25143</v>
      </c>
      <c r="B516" s="983">
        <v>5.3100000000000001E-2</v>
      </c>
      <c r="C516" s="983">
        <v>7.8099999999999989E-2</v>
      </c>
      <c r="D516" s="983">
        <v>4.3E-3</v>
      </c>
      <c r="E516" s="983">
        <v>5.1583333333333333E-3</v>
      </c>
      <c r="F516" s="983">
        <v>5.3749999999999996E-3</v>
      </c>
      <c r="G516" s="983">
        <v>5.266666666666666E-3</v>
      </c>
      <c r="H516" s="983">
        <v>5.4916666666666673E-3</v>
      </c>
      <c r="I516" s="983">
        <v>4.8800000000000003E-2</v>
      </c>
      <c r="J516" s="983">
        <v>4.7833333333333339E-2</v>
      </c>
      <c r="K516" s="983">
        <v>4.7608333333333336E-2</v>
      </c>
      <c r="L516" s="983">
        <v>7.2608333333333316E-2</v>
      </c>
    </row>
    <row r="517" spans="1:12">
      <c r="A517" s="983">
        <v>25173</v>
      </c>
      <c r="B517" s="983">
        <v>-4.02E-2</v>
      </c>
      <c r="C517" s="983">
        <v>-3.0899999999999997E-2</v>
      </c>
      <c r="D517" s="983">
        <v>4.8999999999999998E-3</v>
      </c>
      <c r="E517" s="983">
        <v>5.3749999999999996E-3</v>
      </c>
      <c r="F517" s="983">
        <v>5.5500000000000002E-3</v>
      </c>
      <c r="G517" s="983">
        <v>5.4625000000000003E-3</v>
      </c>
      <c r="H517" s="983">
        <v>5.7250000000000001E-3</v>
      </c>
      <c r="I517" s="983">
        <v>-4.5100000000000001E-2</v>
      </c>
      <c r="J517" s="983">
        <v>-4.5662500000000002E-2</v>
      </c>
      <c r="K517" s="983">
        <v>-4.5925000000000001E-2</v>
      </c>
      <c r="L517" s="983">
        <v>-3.6624999999999998E-2</v>
      </c>
    </row>
    <row r="518" spans="1:12">
      <c r="A518" s="983">
        <v>25204</v>
      </c>
      <c r="B518" s="983">
        <v>-6.7999999999999996E-3</v>
      </c>
      <c r="C518" s="983">
        <v>1.6899999999999998E-2</v>
      </c>
      <c r="D518" s="983">
        <v>5.0000000000000001E-3</v>
      </c>
      <c r="E518" s="983">
        <v>5.4916666666666673E-3</v>
      </c>
      <c r="F518" s="983">
        <v>5.6083333333333341E-3</v>
      </c>
      <c r="G518" s="983">
        <v>5.5500000000000002E-3</v>
      </c>
      <c r="H518" s="983">
        <v>5.8666666666666667E-3</v>
      </c>
      <c r="I518" s="983">
        <v>-1.18E-2</v>
      </c>
      <c r="J518" s="983">
        <v>-1.235E-2</v>
      </c>
      <c r="K518" s="983">
        <v>-1.2666666666666666E-2</v>
      </c>
      <c r="L518" s="983">
        <v>1.1033333333333332E-2</v>
      </c>
    </row>
    <row r="519" spans="1:12">
      <c r="A519" s="983">
        <v>25235</v>
      </c>
      <c r="B519" s="983">
        <v>-4.2599999999999999E-2</v>
      </c>
      <c r="C519" s="983">
        <v>-5.3200000000000004E-2</v>
      </c>
      <c r="D519" s="983">
        <v>4.5999999999999999E-3</v>
      </c>
      <c r="E519" s="983">
        <v>5.5500000000000002E-3</v>
      </c>
      <c r="F519" s="983">
        <v>5.6416666666666664E-3</v>
      </c>
      <c r="G519" s="983">
        <v>5.5958333333333329E-3</v>
      </c>
      <c r="H519" s="983">
        <v>5.9416666666666663E-3</v>
      </c>
      <c r="I519" s="983">
        <v>-4.7199999999999999E-2</v>
      </c>
      <c r="J519" s="983">
        <v>-4.8195833333333334E-2</v>
      </c>
      <c r="K519" s="983">
        <v>-4.8541666666666664E-2</v>
      </c>
      <c r="L519" s="983">
        <v>-5.9141666666666669E-2</v>
      </c>
    </row>
    <row r="520" spans="1:12">
      <c r="A520" s="983">
        <v>25263</v>
      </c>
      <c r="B520" s="983">
        <v>3.5900000000000001E-2</v>
      </c>
      <c r="C520" s="983">
        <v>-9.6000000000000009E-3</v>
      </c>
      <c r="D520" s="983">
        <v>4.7000000000000002E-3</v>
      </c>
      <c r="E520" s="983">
        <v>5.7083333333333326E-3</v>
      </c>
      <c r="F520" s="983">
        <v>5.7916666666666672E-3</v>
      </c>
      <c r="G520" s="983">
        <v>5.7499999999999999E-3</v>
      </c>
      <c r="H520" s="983">
        <v>6.0583333333333331E-3</v>
      </c>
      <c r="I520" s="983">
        <v>3.1200000000000002E-2</v>
      </c>
      <c r="J520" s="983">
        <v>3.0150000000000003E-2</v>
      </c>
      <c r="K520" s="983">
        <v>2.9841666666666669E-2</v>
      </c>
      <c r="L520" s="983">
        <v>-1.5658333333333333E-2</v>
      </c>
    </row>
    <row r="521" spans="1:12">
      <c r="A521" s="983">
        <v>25294</v>
      </c>
      <c r="B521" s="983">
        <v>2.29E-2</v>
      </c>
      <c r="C521" s="983">
        <v>1.3899999999999999E-2</v>
      </c>
      <c r="D521" s="983">
        <v>5.4999999999999997E-3</v>
      </c>
      <c r="E521" s="983">
        <v>5.7416666666666658E-3</v>
      </c>
      <c r="F521" s="983">
        <v>5.8499999999999993E-3</v>
      </c>
      <c r="G521" s="983">
        <v>5.7958333333333334E-3</v>
      </c>
      <c r="H521" s="983">
        <v>6.083333333333333E-3</v>
      </c>
      <c r="I521" s="983">
        <v>1.7399999999999999E-2</v>
      </c>
      <c r="J521" s="983">
        <v>1.7104166666666667E-2</v>
      </c>
      <c r="K521" s="983">
        <v>1.6816666666666667E-2</v>
      </c>
      <c r="L521" s="983">
        <v>7.8166666666666662E-3</v>
      </c>
    </row>
    <row r="522" spans="1:12">
      <c r="A522" s="983">
        <v>25324</v>
      </c>
      <c r="B522" s="983">
        <v>2.5999999999999999E-3</v>
      </c>
      <c r="C522" s="983">
        <v>-5.9999999999999984E-4</v>
      </c>
      <c r="D522" s="983">
        <v>4.7000000000000002E-3</v>
      </c>
      <c r="E522" s="983">
        <v>5.6583333333333329E-3</v>
      </c>
      <c r="F522" s="983">
        <v>5.7999999999999996E-3</v>
      </c>
      <c r="G522" s="983">
        <v>5.7291666666666663E-3</v>
      </c>
      <c r="H522" s="983">
        <v>5.966666666666667E-3</v>
      </c>
      <c r="I522" s="983">
        <v>-2.1000000000000003E-3</v>
      </c>
      <c r="J522" s="983">
        <v>-3.1291666666666664E-3</v>
      </c>
      <c r="K522" s="983">
        <v>-3.3666666666666671E-3</v>
      </c>
      <c r="L522" s="983">
        <v>-6.5666666666666668E-3</v>
      </c>
    </row>
    <row r="523" spans="1:12">
      <c r="A523" s="983">
        <v>25355</v>
      </c>
      <c r="B523" s="983">
        <v>-5.4199999999999998E-2</v>
      </c>
      <c r="C523" s="983">
        <v>-5.16E-2</v>
      </c>
      <c r="D523" s="983">
        <v>5.4999999999999997E-3</v>
      </c>
      <c r="E523" s="983">
        <v>5.816666666666667E-3</v>
      </c>
      <c r="F523" s="983">
        <v>5.9333333333333339E-3</v>
      </c>
      <c r="G523" s="983">
        <v>5.875E-3</v>
      </c>
      <c r="H523" s="983">
        <v>6.1750000000000008E-3</v>
      </c>
      <c r="I523" s="983">
        <v>-5.9699999999999996E-2</v>
      </c>
      <c r="J523" s="983">
        <v>-6.0074999999999996E-2</v>
      </c>
      <c r="K523" s="983">
        <v>-6.0374999999999998E-2</v>
      </c>
      <c r="L523" s="983">
        <v>-5.7775E-2</v>
      </c>
    </row>
    <row r="524" spans="1:12">
      <c r="A524" s="983">
        <v>25385</v>
      </c>
      <c r="B524" s="983">
        <v>-5.8700000000000002E-2</v>
      </c>
      <c r="C524" s="983">
        <v>-3.6299999999999999E-2</v>
      </c>
      <c r="D524" s="983">
        <v>5.1999999999999998E-3</v>
      </c>
      <c r="E524" s="983">
        <v>5.8999999999999999E-3</v>
      </c>
      <c r="F524" s="983">
        <v>6.0333333333333341E-3</v>
      </c>
      <c r="G524" s="983">
        <v>5.966666666666667E-3</v>
      </c>
      <c r="H524" s="983">
        <v>6.2666666666666669E-3</v>
      </c>
      <c r="I524" s="983">
        <v>-6.3899999999999998E-2</v>
      </c>
      <c r="J524" s="983">
        <v>-6.4666666666666664E-2</v>
      </c>
      <c r="K524" s="983">
        <v>-6.4966666666666673E-2</v>
      </c>
      <c r="L524" s="983">
        <v>-4.2566666666666669E-2</v>
      </c>
    </row>
    <row r="525" spans="1:12">
      <c r="A525" s="983">
        <v>25416</v>
      </c>
      <c r="B525" s="983">
        <v>4.5400000000000003E-2</v>
      </c>
      <c r="C525" s="983">
        <v>-1.1399999999999999E-2</v>
      </c>
      <c r="D525" s="983">
        <v>4.7999999999999996E-3</v>
      </c>
      <c r="E525" s="983">
        <v>5.8083333333333329E-3</v>
      </c>
      <c r="F525" s="983">
        <v>6.025E-3</v>
      </c>
      <c r="G525" s="983">
        <v>5.9166666666666664E-3</v>
      </c>
      <c r="H525" s="983">
        <v>6.1999999999999998E-3</v>
      </c>
      <c r="I525" s="983">
        <v>4.0600000000000004E-2</v>
      </c>
      <c r="J525" s="983">
        <v>3.9483333333333336E-2</v>
      </c>
      <c r="K525" s="983">
        <v>3.9200000000000006E-2</v>
      </c>
      <c r="L525" s="983">
        <v>-1.7599999999999998E-2</v>
      </c>
    </row>
    <row r="526" spans="1:12">
      <c r="A526" s="983">
        <v>25447</v>
      </c>
      <c r="B526" s="983">
        <v>-2.3599999999999999E-2</v>
      </c>
      <c r="C526" s="983">
        <v>-3.7200000000000004E-2</v>
      </c>
      <c r="D526" s="983">
        <v>5.4999999999999997E-3</v>
      </c>
      <c r="E526" s="983">
        <v>5.9499999999999996E-3</v>
      </c>
      <c r="F526" s="983">
        <v>6.1333333333333344E-3</v>
      </c>
      <c r="G526" s="983">
        <v>6.0416666666666674E-3</v>
      </c>
      <c r="H526" s="983">
        <v>6.3583333333333339E-3</v>
      </c>
      <c r="I526" s="983">
        <v>-2.9100000000000001E-2</v>
      </c>
      <c r="J526" s="983">
        <v>-2.9641666666666667E-2</v>
      </c>
      <c r="K526" s="983">
        <v>-2.9958333333333333E-2</v>
      </c>
      <c r="L526" s="983">
        <v>-4.3558333333333338E-2</v>
      </c>
    </row>
    <row r="527" spans="1:12">
      <c r="A527" s="983">
        <v>25477</v>
      </c>
      <c r="B527" s="983">
        <v>4.5900000000000003E-2</v>
      </c>
      <c r="C527" s="983">
        <v>7.980000000000001E-2</v>
      </c>
      <c r="D527" s="983">
        <v>5.7000000000000002E-3</v>
      </c>
      <c r="E527" s="983">
        <v>6.1083333333333337E-3</v>
      </c>
      <c r="F527" s="983">
        <v>6.2750000000000002E-3</v>
      </c>
      <c r="G527" s="983">
        <v>6.1916666666666665E-3</v>
      </c>
      <c r="H527" s="983">
        <v>6.6833333333333337E-3</v>
      </c>
      <c r="I527" s="983">
        <v>4.02E-2</v>
      </c>
      <c r="J527" s="983">
        <v>3.9708333333333339E-2</v>
      </c>
      <c r="K527" s="983">
        <v>3.9216666666666671E-2</v>
      </c>
      <c r="L527" s="983">
        <v>7.3116666666666677E-2</v>
      </c>
    </row>
    <row r="528" spans="1:12">
      <c r="A528" s="983">
        <v>25508</v>
      </c>
      <c r="B528" s="983">
        <v>-2.9700000000000001E-2</v>
      </c>
      <c r="C528" s="983">
        <v>-5.8800000000000005E-2</v>
      </c>
      <c r="D528" s="983">
        <v>4.8999999999999998E-3</v>
      </c>
      <c r="E528" s="983">
        <v>6.1249999999999994E-3</v>
      </c>
      <c r="F528" s="983">
        <v>6.3166666666666675E-3</v>
      </c>
      <c r="G528" s="983">
        <v>6.2208333333333334E-3</v>
      </c>
      <c r="H528" s="983">
        <v>6.6666666666666662E-3</v>
      </c>
      <c r="I528" s="983">
        <v>-3.4599999999999999E-2</v>
      </c>
      <c r="J528" s="983">
        <v>-3.5920833333333332E-2</v>
      </c>
      <c r="K528" s="983">
        <v>-3.6366666666666665E-2</v>
      </c>
      <c r="L528" s="983">
        <v>-6.5466666666666673E-2</v>
      </c>
    </row>
    <row r="529" spans="1:12">
      <c r="A529" s="983">
        <v>25538</v>
      </c>
      <c r="B529" s="983">
        <v>-1.77E-2</v>
      </c>
      <c r="C529" s="983">
        <v>-9.7000000000000003E-3</v>
      </c>
      <c r="D529" s="983">
        <v>6.0000000000000001E-3</v>
      </c>
      <c r="E529" s="983">
        <v>6.4333333333333334E-3</v>
      </c>
      <c r="F529" s="983">
        <v>6.6083333333333324E-3</v>
      </c>
      <c r="G529" s="983">
        <v>6.5208333333333333E-3</v>
      </c>
      <c r="H529" s="983">
        <v>7.1583333333333334E-3</v>
      </c>
      <c r="I529" s="983">
        <v>-2.3699999999999999E-2</v>
      </c>
      <c r="J529" s="983">
        <v>-2.4220833333333334E-2</v>
      </c>
      <c r="K529" s="983">
        <v>-2.4858333333333333E-2</v>
      </c>
      <c r="L529" s="983">
        <v>-1.6858333333333333E-2</v>
      </c>
    </row>
    <row r="530" spans="1:12">
      <c r="A530" s="983">
        <v>25569</v>
      </c>
      <c r="B530" s="983">
        <v>-7.4300000000000005E-2</v>
      </c>
      <c r="C530" s="983">
        <v>-4.53E-2</v>
      </c>
      <c r="D530" s="983">
        <v>5.5999999999999991E-3</v>
      </c>
      <c r="E530" s="983">
        <v>6.5916666666666667E-3</v>
      </c>
      <c r="F530" s="983">
        <v>6.7916666666666672E-3</v>
      </c>
      <c r="G530" s="983">
        <v>6.6916666666666669E-3</v>
      </c>
      <c r="H530" s="983">
        <v>7.2416666666666662E-3</v>
      </c>
      <c r="I530" s="983">
        <v>-7.9899999999999999E-2</v>
      </c>
      <c r="J530" s="983">
        <v>-8.099166666666667E-2</v>
      </c>
      <c r="K530" s="983">
        <v>-8.1541666666666665E-2</v>
      </c>
      <c r="L530" s="983">
        <v>-5.2541666666666667E-2</v>
      </c>
    </row>
    <row r="531" spans="1:12">
      <c r="A531" s="983">
        <v>25600</v>
      </c>
      <c r="B531" s="983">
        <v>5.5800000000000002E-2</v>
      </c>
      <c r="C531" s="983">
        <v>0.1053</v>
      </c>
      <c r="D531" s="983">
        <v>5.1999999999999998E-3</v>
      </c>
      <c r="E531" s="983">
        <v>6.6083333333333324E-3</v>
      </c>
      <c r="F531" s="983">
        <v>6.7750000000000006E-3</v>
      </c>
      <c r="G531" s="983">
        <v>6.6916666666666669E-3</v>
      </c>
      <c r="H531" s="983">
        <v>7.0916666666666663E-3</v>
      </c>
      <c r="I531" s="983">
        <v>5.0600000000000006E-2</v>
      </c>
      <c r="J531" s="983">
        <v>4.9108333333333337E-2</v>
      </c>
      <c r="K531" s="983">
        <v>4.870833333333334E-2</v>
      </c>
      <c r="L531" s="983">
        <v>9.8208333333333342E-2</v>
      </c>
    </row>
    <row r="532" spans="1:12">
      <c r="A532" s="983">
        <v>25628</v>
      </c>
      <c r="B532" s="983">
        <v>4.4000000000000003E-3</v>
      </c>
      <c r="C532" s="983">
        <v>2.3200000000000002E-2</v>
      </c>
      <c r="D532" s="983">
        <v>5.5999999999999991E-3</v>
      </c>
      <c r="E532" s="983">
        <v>6.5333333333333328E-3</v>
      </c>
      <c r="F532" s="983">
        <v>6.7166666666666677E-3</v>
      </c>
      <c r="G532" s="983">
        <v>6.6250000000000007E-3</v>
      </c>
      <c r="H532" s="983">
        <v>6.9249999999999997E-3</v>
      </c>
      <c r="I532" s="983">
        <v>-1.1999999999999988E-3</v>
      </c>
      <c r="J532" s="983">
        <v>-2.2250000000000004E-3</v>
      </c>
      <c r="K532" s="983">
        <v>-2.5249999999999995E-3</v>
      </c>
      <c r="L532" s="983">
        <v>1.6275000000000001E-2</v>
      </c>
    </row>
    <row r="533" spans="1:12">
      <c r="A533" s="983">
        <v>25659</v>
      </c>
      <c r="B533" s="983">
        <v>-8.7499999999999994E-2</v>
      </c>
      <c r="C533" s="983">
        <v>-9.2899999999999996E-2</v>
      </c>
      <c r="D533" s="983">
        <v>5.4000000000000003E-3</v>
      </c>
      <c r="E533" s="983">
        <v>6.5249999999999996E-3</v>
      </c>
      <c r="F533" s="983">
        <v>6.6916666666666661E-3</v>
      </c>
      <c r="G533" s="983">
        <v>6.6083333333333324E-3</v>
      </c>
      <c r="H533" s="983">
        <v>6.9249999999999997E-3</v>
      </c>
      <c r="I533" s="983">
        <v>-9.2899999999999996E-2</v>
      </c>
      <c r="J533" s="983">
        <v>-9.4108333333333322E-2</v>
      </c>
      <c r="K533" s="983">
        <v>-9.4424999999999995E-2</v>
      </c>
      <c r="L533" s="983">
        <v>-9.9824999999999997E-2</v>
      </c>
    </row>
    <row r="534" spans="1:12">
      <c r="A534" s="983">
        <v>25689</v>
      </c>
      <c r="B534" s="983">
        <v>-5.7799999999999997E-2</v>
      </c>
      <c r="C534" s="983">
        <v>-5.1499999999999997E-2</v>
      </c>
      <c r="D534" s="983">
        <v>5.4999999999999997E-3</v>
      </c>
      <c r="E534" s="983">
        <v>6.7583333333333332E-3</v>
      </c>
      <c r="F534" s="983">
        <v>6.8666666666666668E-3</v>
      </c>
      <c r="G534" s="983">
        <v>6.8124999999999991E-3</v>
      </c>
      <c r="H534" s="983">
        <v>7.2250000000000005E-3</v>
      </c>
      <c r="I534" s="983">
        <v>-6.3299999999999995E-2</v>
      </c>
      <c r="J534" s="983">
        <v>-6.4612499999999989E-2</v>
      </c>
      <c r="K534" s="983">
        <v>-6.5024999999999999E-2</v>
      </c>
      <c r="L534" s="983">
        <v>-5.8724999999999999E-2</v>
      </c>
    </row>
    <row r="535" spans="1:12">
      <c r="A535" s="983">
        <v>25720</v>
      </c>
      <c r="B535" s="983">
        <v>-4.6600000000000003E-2</v>
      </c>
      <c r="C535" s="983">
        <v>-5.8199999999999995E-2</v>
      </c>
      <c r="D535" s="983">
        <v>6.4000000000000003E-3</v>
      </c>
      <c r="E535" s="983">
        <v>7.0666666666666664E-3</v>
      </c>
      <c r="F535" s="983">
        <v>7.1500000000000001E-3</v>
      </c>
      <c r="G535" s="983">
        <v>7.1083333333333328E-3</v>
      </c>
      <c r="H535" s="983">
        <v>7.5333333333333329E-3</v>
      </c>
      <c r="I535" s="983">
        <v>-5.3000000000000005E-2</v>
      </c>
      <c r="J535" s="983">
        <v>-5.3708333333333337E-2</v>
      </c>
      <c r="K535" s="983">
        <v>-5.4133333333333339E-2</v>
      </c>
      <c r="L535" s="983">
        <v>-6.5733333333333324E-2</v>
      </c>
    </row>
    <row r="536" spans="1:12">
      <c r="A536" s="983">
        <v>25750</v>
      </c>
      <c r="B536" s="983">
        <v>7.6899999999999996E-2</v>
      </c>
      <c r="C536" s="983">
        <v>9.7299999999999998E-2</v>
      </c>
      <c r="D536" s="983">
        <v>5.8999999999999999E-3</v>
      </c>
      <c r="E536" s="983">
        <v>7.0333333333333324E-3</v>
      </c>
      <c r="F536" s="983">
        <v>7.2000000000000007E-3</v>
      </c>
      <c r="G536" s="983">
        <v>7.116666666666667E-3</v>
      </c>
      <c r="H536" s="983">
        <v>7.5500000000000003E-3</v>
      </c>
      <c r="I536" s="983">
        <v>7.0999999999999994E-2</v>
      </c>
      <c r="J536" s="983">
        <v>6.9783333333333336E-2</v>
      </c>
      <c r="K536" s="983">
        <v>6.9349999999999995E-2</v>
      </c>
      <c r="L536" s="983">
        <v>8.9749999999999996E-2</v>
      </c>
    </row>
    <row r="537" spans="1:12">
      <c r="A537" s="983">
        <v>25781</v>
      </c>
      <c r="B537" s="983">
        <v>4.7800000000000002E-2</v>
      </c>
      <c r="C537" s="983">
        <v>5.8099999999999999E-2</v>
      </c>
      <c r="D537" s="983">
        <v>5.7000000000000002E-3</v>
      </c>
      <c r="E537" s="983">
        <v>6.7750000000000006E-3</v>
      </c>
      <c r="F537" s="983">
        <v>7.0750000000000006E-3</v>
      </c>
      <c r="G537" s="983">
        <v>6.9250000000000015E-3</v>
      </c>
      <c r="H537" s="983">
        <v>7.4000000000000012E-3</v>
      </c>
      <c r="I537" s="983">
        <v>4.2099999999999999E-2</v>
      </c>
      <c r="J537" s="983">
        <v>4.0875000000000002E-2</v>
      </c>
      <c r="K537" s="983">
        <v>4.0399999999999998E-2</v>
      </c>
      <c r="L537" s="983">
        <v>5.0699999999999995E-2</v>
      </c>
    </row>
    <row r="538" spans="1:12">
      <c r="A538" s="983">
        <v>25812</v>
      </c>
      <c r="B538" s="983">
        <v>3.6200000000000003E-2</v>
      </c>
      <c r="C538" s="983">
        <v>-1.14E-2</v>
      </c>
      <c r="D538" s="983">
        <v>5.5999999999999991E-3</v>
      </c>
      <c r="E538" s="983">
        <v>6.7416666666666666E-3</v>
      </c>
      <c r="F538" s="983">
        <v>7.058333333333334E-3</v>
      </c>
      <c r="G538" s="983">
        <v>6.9000000000000008E-3</v>
      </c>
      <c r="H538" s="983">
        <v>7.3499999999999998E-3</v>
      </c>
      <c r="I538" s="983">
        <v>3.0600000000000002E-2</v>
      </c>
      <c r="J538" s="983">
        <v>2.9300000000000003E-2</v>
      </c>
      <c r="K538" s="983">
        <v>2.8850000000000004E-2</v>
      </c>
      <c r="L538" s="983">
        <v>-1.8749999999999999E-2</v>
      </c>
    </row>
    <row r="539" spans="1:12">
      <c r="A539" s="983">
        <v>25842</v>
      </c>
      <c r="B539" s="983">
        <v>-8.3000000000000001E-3</v>
      </c>
      <c r="C539" s="983">
        <v>-1.4900000000000002E-2</v>
      </c>
      <c r="D539" s="983">
        <v>5.4999999999999997E-3</v>
      </c>
      <c r="E539" s="983">
        <v>6.6916666666666661E-3</v>
      </c>
      <c r="F539" s="983">
        <v>7.0333333333333324E-3</v>
      </c>
      <c r="G539" s="983">
        <v>6.8624999999999988E-3</v>
      </c>
      <c r="H539" s="983">
        <v>7.3000000000000001E-3</v>
      </c>
      <c r="I539" s="983">
        <v>-1.38E-2</v>
      </c>
      <c r="J539" s="983">
        <v>-1.5162499999999999E-2</v>
      </c>
      <c r="K539" s="983">
        <v>-1.5599999999999999E-2</v>
      </c>
      <c r="L539" s="983">
        <v>-2.2200000000000001E-2</v>
      </c>
    </row>
    <row r="540" spans="1:12">
      <c r="A540" s="983">
        <v>25873</v>
      </c>
      <c r="B540" s="983">
        <v>5.0599999999999999E-2</v>
      </c>
      <c r="C540" s="983">
        <v>9.7500000000000003E-2</v>
      </c>
      <c r="D540" s="983">
        <v>5.7999999999999996E-3</v>
      </c>
      <c r="E540" s="983">
        <v>6.7083333333333335E-3</v>
      </c>
      <c r="F540" s="983">
        <v>7.0166666666666667E-3</v>
      </c>
      <c r="G540" s="983">
        <v>6.8625000000000005E-3</v>
      </c>
      <c r="H540" s="983">
        <v>7.324999999999999E-3</v>
      </c>
      <c r="I540" s="983">
        <v>4.48E-2</v>
      </c>
      <c r="J540" s="983">
        <v>4.3737499999999999E-2</v>
      </c>
      <c r="K540" s="983">
        <v>4.3275000000000001E-2</v>
      </c>
      <c r="L540" s="983">
        <v>9.0175000000000005E-2</v>
      </c>
    </row>
    <row r="541" spans="1:12">
      <c r="A541" s="983">
        <v>25903</v>
      </c>
      <c r="B541" s="983">
        <v>5.9700000000000003E-2</v>
      </c>
      <c r="C541" s="983">
        <v>7.350000000000001E-2</v>
      </c>
      <c r="D541" s="983">
        <v>5.3E-3</v>
      </c>
      <c r="E541" s="983">
        <v>6.3666666666666663E-3</v>
      </c>
      <c r="F541" s="983">
        <v>6.7750000000000006E-3</v>
      </c>
      <c r="G541" s="983">
        <v>6.5708333333333339E-3</v>
      </c>
      <c r="H541" s="983">
        <v>7.0666666666666664E-3</v>
      </c>
      <c r="I541" s="983">
        <v>5.4400000000000004E-2</v>
      </c>
      <c r="J541" s="983">
        <v>5.3129166666666672E-2</v>
      </c>
      <c r="K541" s="983">
        <v>5.2633333333333338E-2</v>
      </c>
      <c r="L541" s="983">
        <v>6.6433333333333344E-2</v>
      </c>
    </row>
    <row r="542" spans="1:12">
      <c r="A542" s="983">
        <v>25934</v>
      </c>
      <c r="B542" s="983">
        <v>4.3200000000000002E-2</v>
      </c>
      <c r="C542" s="983">
        <v>2.5700000000000004E-2</v>
      </c>
      <c r="D542" s="983">
        <v>5.1000000000000004E-3</v>
      </c>
      <c r="E542" s="983">
        <v>6.1333333333333344E-3</v>
      </c>
      <c r="F542" s="983">
        <v>6.5833333333333334E-3</v>
      </c>
      <c r="G542" s="983">
        <v>6.3583333333333339E-3</v>
      </c>
      <c r="H542" s="983">
        <v>6.7916666666666672E-3</v>
      </c>
      <c r="I542" s="983">
        <v>3.8100000000000002E-2</v>
      </c>
      <c r="J542" s="983">
        <v>3.6841666666666668E-2</v>
      </c>
      <c r="K542" s="983">
        <v>3.6408333333333334E-2</v>
      </c>
      <c r="L542" s="983">
        <v>1.8908333333333336E-2</v>
      </c>
    </row>
    <row r="543" spans="1:12">
      <c r="A543" s="983">
        <v>25965</v>
      </c>
      <c r="B543" s="983">
        <v>1.17E-2</v>
      </c>
      <c r="C543" s="983">
        <v>-2.7699999999999999E-2</v>
      </c>
      <c r="D543" s="983">
        <v>4.5999999999999999E-3</v>
      </c>
      <c r="E543" s="983">
        <v>5.8999999999999999E-3</v>
      </c>
      <c r="F543" s="983">
        <v>6.391666666666667E-3</v>
      </c>
      <c r="G543" s="983">
        <v>6.145833333333333E-3</v>
      </c>
      <c r="H543" s="983">
        <v>6.575000000000001E-3</v>
      </c>
      <c r="I543" s="983">
        <v>7.1000000000000004E-3</v>
      </c>
      <c r="J543" s="983">
        <v>5.5541666666666673E-3</v>
      </c>
      <c r="K543" s="983">
        <v>5.1249999999999993E-3</v>
      </c>
      <c r="L543" s="983">
        <v>-3.4275E-2</v>
      </c>
    </row>
    <row r="544" spans="1:12">
      <c r="A544" s="983">
        <v>25993</v>
      </c>
      <c r="B544" s="983">
        <v>3.9399999999999998E-2</v>
      </c>
      <c r="C544" s="983">
        <v>3.3099999999999997E-2</v>
      </c>
      <c r="D544" s="983">
        <v>5.5999999999999991E-3</v>
      </c>
      <c r="E544" s="983">
        <v>6.0083333333333334E-3</v>
      </c>
      <c r="F544" s="983">
        <v>6.4416666666666667E-3</v>
      </c>
      <c r="G544" s="983">
        <v>6.2250000000000005E-3</v>
      </c>
      <c r="H544" s="983">
        <v>6.7083333333333335E-3</v>
      </c>
      <c r="I544" s="983">
        <v>3.3799999999999997E-2</v>
      </c>
      <c r="J544" s="983">
        <v>3.3174999999999996E-2</v>
      </c>
      <c r="K544" s="983">
        <v>3.2691666666666661E-2</v>
      </c>
      <c r="L544" s="983">
        <v>2.6391666666666664E-2</v>
      </c>
    </row>
    <row r="545" spans="1:12">
      <c r="A545" s="983">
        <v>26024</v>
      </c>
      <c r="B545" s="983">
        <v>3.8899999999999997E-2</v>
      </c>
      <c r="C545" s="983">
        <v>-3.49E-2</v>
      </c>
      <c r="D545" s="983">
        <v>4.7999999999999996E-3</v>
      </c>
      <c r="E545" s="983">
        <v>6.0416666666666665E-3</v>
      </c>
      <c r="F545" s="983">
        <v>6.45E-3</v>
      </c>
      <c r="G545" s="983">
        <v>6.2458333333333324E-3</v>
      </c>
      <c r="H545" s="983">
        <v>6.7250000000000001E-3</v>
      </c>
      <c r="I545" s="983">
        <v>3.4099999999999998E-2</v>
      </c>
      <c r="J545" s="983">
        <v>3.2654166666666665E-2</v>
      </c>
      <c r="K545" s="983">
        <v>3.2174999999999995E-2</v>
      </c>
      <c r="L545" s="983">
        <v>-4.1625000000000002E-2</v>
      </c>
    </row>
    <row r="546" spans="1:12">
      <c r="A546" s="983">
        <v>26054</v>
      </c>
      <c r="B546" s="983">
        <v>-3.9100000000000003E-2</v>
      </c>
      <c r="C546" s="983">
        <v>-3.5100000000000006E-2</v>
      </c>
      <c r="D546" s="983">
        <v>4.7000000000000002E-3</v>
      </c>
      <c r="E546" s="983">
        <v>6.2750000000000002E-3</v>
      </c>
      <c r="F546" s="983">
        <v>6.5333333333333328E-3</v>
      </c>
      <c r="G546" s="983">
        <v>6.4041666666666665E-3</v>
      </c>
      <c r="H546" s="983">
        <v>6.9499999999999996E-3</v>
      </c>
      <c r="I546" s="983">
        <v>-4.3800000000000006E-2</v>
      </c>
      <c r="J546" s="983">
        <v>-4.5504166666666672E-2</v>
      </c>
      <c r="K546" s="983">
        <v>-4.6050000000000001E-2</v>
      </c>
      <c r="L546" s="983">
        <v>-4.2050000000000004E-2</v>
      </c>
    </row>
    <row r="547" spans="1:12">
      <c r="A547" s="983">
        <v>26085</v>
      </c>
      <c r="B547" s="983">
        <v>3.3E-3</v>
      </c>
      <c r="C547" s="983">
        <v>3.9800000000000002E-2</v>
      </c>
      <c r="D547" s="983">
        <v>5.5999999999999991E-3</v>
      </c>
      <c r="E547" s="983">
        <v>6.3666666666666663E-3</v>
      </c>
      <c r="F547" s="983">
        <v>6.6333333333333331E-3</v>
      </c>
      <c r="G547" s="983">
        <v>6.4999999999999988E-3</v>
      </c>
      <c r="H547" s="983">
        <v>7.0416666666666657E-3</v>
      </c>
      <c r="I547" s="983">
        <v>-2.2999999999999991E-3</v>
      </c>
      <c r="J547" s="983">
        <v>-3.1999999999999989E-3</v>
      </c>
      <c r="K547" s="983">
        <v>-3.7416666666666657E-3</v>
      </c>
      <c r="L547" s="983">
        <v>3.2758333333333334E-2</v>
      </c>
    </row>
    <row r="548" spans="1:12">
      <c r="A548" s="983">
        <v>26115</v>
      </c>
      <c r="B548" s="983">
        <v>-3.8699999999999998E-2</v>
      </c>
      <c r="C548" s="983">
        <v>-2.2499999999999999E-2</v>
      </c>
      <c r="D548" s="983">
        <v>5.1999999999999998E-3</v>
      </c>
      <c r="E548" s="983">
        <v>6.3666666666666663E-3</v>
      </c>
      <c r="F548" s="983">
        <v>6.6333333333333331E-3</v>
      </c>
      <c r="G548" s="983">
        <v>6.4999999999999988E-3</v>
      </c>
      <c r="H548" s="983">
        <v>7.0416666666666657E-3</v>
      </c>
      <c r="I548" s="983">
        <v>-4.3899999999999995E-2</v>
      </c>
      <c r="J548" s="983">
        <v>-4.5199999999999997E-2</v>
      </c>
      <c r="K548" s="983">
        <v>-4.5741666666666667E-2</v>
      </c>
      <c r="L548" s="983">
        <v>-2.9541666666666664E-2</v>
      </c>
    </row>
    <row r="549" spans="1:12">
      <c r="A549" s="983">
        <v>26146</v>
      </c>
      <c r="B549" s="983">
        <v>3.8800000000000001E-2</v>
      </c>
      <c r="C549" s="983">
        <v>-2.4699999999999996E-2</v>
      </c>
      <c r="D549" s="983">
        <v>5.4999999999999997E-3</v>
      </c>
      <c r="E549" s="983">
        <v>6.3249999999999999E-3</v>
      </c>
      <c r="F549" s="983">
        <v>6.6083333333333324E-3</v>
      </c>
      <c r="G549" s="983">
        <v>6.4666666666666657E-3</v>
      </c>
      <c r="H549" s="983">
        <v>7.000000000000001E-3</v>
      </c>
      <c r="I549" s="983">
        <v>3.3300000000000003E-2</v>
      </c>
      <c r="J549" s="983">
        <v>3.2333333333333339E-2</v>
      </c>
      <c r="K549" s="983">
        <v>3.1800000000000002E-2</v>
      </c>
      <c r="L549" s="983">
        <v>-3.1699999999999999E-2</v>
      </c>
    </row>
    <row r="550" spans="1:12">
      <c r="A550" s="983">
        <v>26177</v>
      </c>
      <c r="B550" s="983">
        <v>-4.4000000000000003E-3</v>
      </c>
      <c r="C550" s="983">
        <v>-1.4600000000000002E-2</v>
      </c>
      <c r="D550" s="983">
        <v>5.0000000000000001E-3</v>
      </c>
      <c r="E550" s="983">
        <v>6.1999999999999998E-3</v>
      </c>
      <c r="F550" s="983">
        <v>6.508333333333333E-3</v>
      </c>
      <c r="G550" s="983">
        <v>6.3541666666666659E-3</v>
      </c>
      <c r="H550" s="983">
        <v>6.8166666666666662E-3</v>
      </c>
      <c r="I550" s="983">
        <v>-9.4000000000000004E-3</v>
      </c>
      <c r="J550" s="983">
        <v>-1.0754166666666665E-2</v>
      </c>
      <c r="K550" s="983">
        <v>-1.1216666666666666E-2</v>
      </c>
      <c r="L550" s="983">
        <v>-2.1416666666666667E-2</v>
      </c>
    </row>
    <row r="551" spans="1:12">
      <c r="A551" s="983">
        <v>26207</v>
      </c>
      <c r="B551" s="983">
        <v>-3.9199999999999999E-2</v>
      </c>
      <c r="C551" s="983">
        <v>1.7000000000000001E-2</v>
      </c>
      <c r="D551" s="983">
        <v>4.7000000000000002E-3</v>
      </c>
      <c r="E551" s="983">
        <v>6.1583333333333334E-3</v>
      </c>
      <c r="F551" s="983">
        <v>6.4083333333333336E-3</v>
      </c>
      <c r="G551" s="983">
        <v>6.2833333333333343E-3</v>
      </c>
      <c r="H551" s="983">
        <v>6.7499999999999991E-3</v>
      </c>
      <c r="I551" s="983">
        <v>-4.3900000000000002E-2</v>
      </c>
      <c r="J551" s="983">
        <v>-4.5483333333333334E-2</v>
      </c>
      <c r="K551" s="983">
        <v>-4.5949999999999998E-2</v>
      </c>
      <c r="L551" s="983">
        <v>1.0250000000000002E-2</v>
      </c>
    </row>
    <row r="552" spans="1:12">
      <c r="A552" s="983">
        <v>26238</v>
      </c>
      <c r="B552" s="983">
        <v>2.0000000000000001E-4</v>
      </c>
      <c r="C552" s="983">
        <v>-5.5000000000000005E-3</v>
      </c>
      <c r="D552" s="983">
        <v>5.1000000000000004E-3</v>
      </c>
      <c r="E552" s="983">
        <v>6.0499999999999998E-3</v>
      </c>
      <c r="F552" s="983">
        <v>6.3E-3</v>
      </c>
      <c r="G552" s="983">
        <v>6.1749999999999991E-3</v>
      </c>
      <c r="H552" s="983">
        <v>6.6333333333333331E-3</v>
      </c>
      <c r="I552" s="983">
        <v>-4.9000000000000007E-3</v>
      </c>
      <c r="J552" s="983">
        <v>-5.9749999999999994E-3</v>
      </c>
      <c r="K552" s="983">
        <v>-6.4333333333333334E-3</v>
      </c>
      <c r="L552" s="983">
        <v>-1.2133333333333333E-2</v>
      </c>
    </row>
    <row r="553" spans="1:12">
      <c r="A553" s="983">
        <v>26268</v>
      </c>
      <c r="B553" s="983">
        <v>8.8800000000000004E-2</v>
      </c>
      <c r="C553" s="983">
        <v>8.0600000000000005E-2</v>
      </c>
      <c r="D553" s="983">
        <v>5.0000000000000001E-3</v>
      </c>
      <c r="E553" s="983">
        <v>6.0416666666666665E-3</v>
      </c>
      <c r="F553" s="983">
        <v>6.3083333333333333E-3</v>
      </c>
      <c r="G553" s="983">
        <v>6.1749999999999991E-3</v>
      </c>
      <c r="H553" s="983">
        <v>6.5833333333333334E-3</v>
      </c>
      <c r="I553" s="983">
        <v>8.3799999999999999E-2</v>
      </c>
      <c r="J553" s="983">
        <v>8.2625000000000004E-2</v>
      </c>
      <c r="K553" s="983">
        <v>8.2216666666666674E-2</v>
      </c>
      <c r="L553" s="983">
        <v>7.4016666666666675E-2</v>
      </c>
    </row>
    <row r="554" spans="1:12">
      <c r="A554" s="983">
        <v>26299</v>
      </c>
      <c r="B554" s="983">
        <v>2.06E-2</v>
      </c>
      <c r="C554" s="983">
        <v>-7.4000000000000012E-3</v>
      </c>
      <c r="D554" s="983">
        <v>5.0000000000000001E-3</v>
      </c>
      <c r="E554" s="983">
        <v>5.9916666666666677E-3</v>
      </c>
      <c r="F554" s="983">
        <v>6.266666666666666E-3</v>
      </c>
      <c r="G554" s="983">
        <v>6.1291666666666664E-3</v>
      </c>
      <c r="H554" s="983">
        <v>6.4916666666666664E-3</v>
      </c>
      <c r="I554" s="983">
        <v>1.5599999999999999E-2</v>
      </c>
      <c r="J554" s="983">
        <v>1.4470833333333334E-2</v>
      </c>
      <c r="K554" s="983">
        <v>1.4108333333333334E-2</v>
      </c>
      <c r="L554" s="983">
        <v>-1.3891666666666667E-2</v>
      </c>
    </row>
    <row r="555" spans="1:12">
      <c r="A555" s="983">
        <v>26330</v>
      </c>
      <c r="B555" s="983">
        <v>2.7699999999999999E-2</v>
      </c>
      <c r="C555" s="983">
        <v>-2.4E-2</v>
      </c>
      <c r="D555" s="983">
        <v>4.7000000000000002E-3</v>
      </c>
      <c r="E555" s="983">
        <v>6.0583333333333331E-3</v>
      </c>
      <c r="F555" s="983">
        <v>6.266666666666666E-3</v>
      </c>
      <c r="G555" s="983">
        <v>6.1624999999999996E-3</v>
      </c>
      <c r="H555" s="983">
        <v>6.4833333333333331E-3</v>
      </c>
      <c r="I555" s="983">
        <v>2.3E-2</v>
      </c>
      <c r="J555" s="983">
        <v>2.1537500000000001E-2</v>
      </c>
      <c r="K555" s="983">
        <v>2.1216666666666665E-2</v>
      </c>
      <c r="L555" s="983">
        <v>-3.0483333333333335E-2</v>
      </c>
    </row>
    <row r="556" spans="1:12">
      <c r="A556" s="983">
        <v>26359</v>
      </c>
      <c r="B556" s="983">
        <v>8.3000000000000001E-3</v>
      </c>
      <c r="C556" s="983">
        <v>-3.5999999999999999E-3</v>
      </c>
      <c r="D556" s="983">
        <v>4.8999999999999998E-3</v>
      </c>
      <c r="E556" s="983">
        <v>6.0333333333333341E-3</v>
      </c>
      <c r="F556" s="983">
        <v>6.2750000000000002E-3</v>
      </c>
      <c r="G556" s="983">
        <v>6.1541666666666672E-3</v>
      </c>
      <c r="H556" s="983">
        <v>6.4750000000000007E-3</v>
      </c>
      <c r="I556" s="983">
        <v>3.4000000000000002E-3</v>
      </c>
      <c r="J556" s="983">
        <v>2.1458333333333329E-3</v>
      </c>
      <c r="K556" s="983">
        <v>1.8249999999999994E-3</v>
      </c>
      <c r="L556" s="983">
        <v>-1.0075000000000001E-2</v>
      </c>
    </row>
    <row r="557" spans="1:12">
      <c r="A557" s="983">
        <v>26390</v>
      </c>
      <c r="B557" s="983">
        <v>6.7999999999999996E-3</v>
      </c>
      <c r="C557" s="983">
        <v>-2.7700000000000006E-2</v>
      </c>
      <c r="D557" s="983">
        <v>4.7999999999999996E-3</v>
      </c>
      <c r="E557" s="983">
        <v>6.083333333333333E-3</v>
      </c>
      <c r="F557" s="983">
        <v>6.3083333333333333E-3</v>
      </c>
      <c r="G557" s="983">
        <v>6.1958333333333336E-3</v>
      </c>
      <c r="H557" s="983">
        <v>6.5166666666666671E-3</v>
      </c>
      <c r="I557" s="983">
        <v>2E-3</v>
      </c>
      <c r="J557" s="983">
        <v>6.0416666666666605E-4</v>
      </c>
      <c r="K557" s="983">
        <v>2.8333333333333249E-4</v>
      </c>
      <c r="L557" s="983">
        <v>-3.4216666666666673E-2</v>
      </c>
    </row>
    <row r="558" spans="1:12">
      <c r="A558" s="983">
        <v>26420</v>
      </c>
      <c r="B558" s="983">
        <v>1.9699999999999999E-2</v>
      </c>
      <c r="C558" s="983">
        <v>-1.7000000000000001E-3</v>
      </c>
      <c r="D558" s="983">
        <v>5.4999999999999997E-3</v>
      </c>
      <c r="E558" s="983">
        <v>6.083333333333333E-3</v>
      </c>
      <c r="F558" s="983">
        <v>6.3E-3</v>
      </c>
      <c r="G558" s="983">
        <v>6.1916666666666665E-3</v>
      </c>
      <c r="H558" s="983">
        <v>6.5333333333333328E-3</v>
      </c>
      <c r="I558" s="983">
        <v>1.4199999999999999E-2</v>
      </c>
      <c r="J558" s="983">
        <v>1.3508333333333332E-2</v>
      </c>
      <c r="K558" s="983">
        <v>1.3166666666666667E-2</v>
      </c>
      <c r="L558" s="983">
        <v>-8.2333333333333321E-3</v>
      </c>
    </row>
    <row r="559" spans="1:12">
      <c r="A559" s="983">
        <v>26451</v>
      </c>
      <c r="B559" s="983">
        <v>-1.9400000000000001E-2</v>
      </c>
      <c r="C559" s="983">
        <v>-2.1000000000000001E-2</v>
      </c>
      <c r="D559" s="983">
        <v>4.8999999999999998E-3</v>
      </c>
      <c r="E559" s="983">
        <v>6.025E-3</v>
      </c>
      <c r="F559" s="983">
        <v>6.2583333333333336E-3</v>
      </c>
      <c r="G559" s="983">
        <v>6.1416666666666677E-3</v>
      </c>
      <c r="H559" s="983">
        <v>6.4750000000000007E-3</v>
      </c>
      <c r="I559" s="983">
        <v>-2.4300000000000002E-2</v>
      </c>
      <c r="J559" s="983">
        <v>-2.5541666666666667E-2</v>
      </c>
      <c r="K559" s="983">
        <v>-2.5875000000000002E-2</v>
      </c>
      <c r="L559" s="983">
        <v>-2.7475000000000003E-2</v>
      </c>
    </row>
    <row r="560" spans="1:12">
      <c r="A560" s="983">
        <v>26481</v>
      </c>
      <c r="B560" s="983">
        <v>4.7999999999999996E-3</v>
      </c>
      <c r="C560" s="983">
        <v>-1.4000000000000002E-3</v>
      </c>
      <c r="D560" s="983">
        <v>5.1000000000000004E-3</v>
      </c>
      <c r="E560" s="983">
        <v>6.0083333333333334E-3</v>
      </c>
      <c r="F560" s="983">
        <v>6.2500000000000003E-3</v>
      </c>
      <c r="G560" s="983">
        <v>6.1291666666666664E-3</v>
      </c>
      <c r="H560" s="983">
        <v>6.5166666666666671E-3</v>
      </c>
      <c r="I560" s="983">
        <v>-3.0000000000000079E-4</v>
      </c>
      <c r="J560" s="983">
        <v>-1.3291666666666669E-3</v>
      </c>
      <c r="K560" s="983">
        <v>-1.7166666666666676E-3</v>
      </c>
      <c r="L560" s="983">
        <v>-7.9166666666666673E-3</v>
      </c>
    </row>
    <row r="561" spans="1:12">
      <c r="A561" s="983">
        <v>26512</v>
      </c>
      <c r="B561" s="983">
        <v>3.6900000000000002E-2</v>
      </c>
      <c r="C561" s="983">
        <v>5.74E-2</v>
      </c>
      <c r="D561" s="983">
        <v>4.8999999999999998E-3</v>
      </c>
      <c r="E561" s="983">
        <v>5.9916666666666677E-3</v>
      </c>
      <c r="F561" s="983">
        <v>6.1916666666666665E-3</v>
      </c>
      <c r="G561" s="983">
        <v>6.0916666666666662E-3</v>
      </c>
      <c r="H561" s="983">
        <v>6.3666666666666672E-3</v>
      </c>
      <c r="I561" s="983">
        <v>3.2000000000000001E-2</v>
      </c>
      <c r="J561" s="983">
        <v>3.0808333333333337E-2</v>
      </c>
      <c r="K561" s="983">
        <v>3.0533333333333336E-2</v>
      </c>
      <c r="L561" s="983">
        <v>5.1033333333333333E-2</v>
      </c>
    </row>
    <row r="562" spans="1:12">
      <c r="A562" s="983">
        <v>26543</v>
      </c>
      <c r="B562" s="983">
        <v>-2.5000000000000001E-3</v>
      </c>
      <c r="C562" s="983">
        <v>2.7000000000000001E-3</v>
      </c>
      <c r="D562" s="983">
        <v>4.7000000000000002E-3</v>
      </c>
      <c r="E562" s="983">
        <v>6.0166666666666667E-3</v>
      </c>
      <c r="F562" s="983">
        <v>6.1750000000000008E-3</v>
      </c>
      <c r="G562" s="983">
        <v>6.0958333333333333E-3</v>
      </c>
      <c r="H562" s="983">
        <v>6.3416666666666665E-3</v>
      </c>
      <c r="I562" s="983">
        <v>-7.1999999999999998E-3</v>
      </c>
      <c r="J562" s="983">
        <v>-8.5958333333333338E-3</v>
      </c>
      <c r="K562" s="983">
        <v>-8.8416666666666661E-3</v>
      </c>
      <c r="L562" s="983">
        <v>-3.6416666666666663E-3</v>
      </c>
    </row>
    <row r="563" spans="1:12">
      <c r="A563" s="983">
        <v>26573</v>
      </c>
      <c r="B563" s="983">
        <v>1.18E-2</v>
      </c>
      <c r="C563" s="983">
        <v>6.5100000000000005E-2</v>
      </c>
      <c r="D563" s="983">
        <v>5.1999999999999998E-3</v>
      </c>
      <c r="E563" s="983">
        <v>6.0083333333333334E-3</v>
      </c>
      <c r="F563" s="983">
        <v>6.2083333333333331E-3</v>
      </c>
      <c r="G563" s="983">
        <v>6.1083333333333337E-3</v>
      </c>
      <c r="H563" s="983">
        <v>6.3833333333333329E-3</v>
      </c>
      <c r="I563" s="983">
        <v>6.6E-3</v>
      </c>
      <c r="J563" s="983">
        <v>5.6916666666666661E-3</v>
      </c>
      <c r="K563" s="983">
        <v>5.4166666666666669E-3</v>
      </c>
      <c r="L563" s="983">
        <v>5.8716666666666674E-2</v>
      </c>
    </row>
    <row r="564" spans="1:12">
      <c r="A564" s="983">
        <v>26604</v>
      </c>
      <c r="B564" s="983">
        <v>4.8099999999999997E-2</v>
      </c>
      <c r="C564" s="983">
        <v>6.3899999999999998E-2</v>
      </c>
      <c r="D564" s="983">
        <v>4.7999999999999996E-3</v>
      </c>
      <c r="E564" s="983">
        <v>5.9333333333333339E-3</v>
      </c>
      <c r="F564" s="983">
        <v>6.1583333333333334E-3</v>
      </c>
      <c r="G564" s="983">
        <v>6.0458333333333336E-3</v>
      </c>
      <c r="H564" s="983">
        <v>6.333333333333334E-3</v>
      </c>
      <c r="I564" s="983">
        <v>4.3299999999999998E-2</v>
      </c>
      <c r="J564" s="983">
        <v>4.2054166666666663E-2</v>
      </c>
      <c r="K564" s="983">
        <v>4.176666666666666E-2</v>
      </c>
      <c r="L564" s="983">
        <v>5.7566666666666662E-2</v>
      </c>
    </row>
    <row r="565" spans="1:12">
      <c r="A565" s="983">
        <v>26634</v>
      </c>
      <c r="B565" s="983">
        <v>1.4200000000000001E-2</v>
      </c>
      <c r="C565" s="983">
        <v>-1.7399999999999999E-2</v>
      </c>
      <c r="D565" s="983">
        <v>4.4999999999999997E-3</v>
      </c>
      <c r="E565" s="983">
        <v>5.8999999999999999E-3</v>
      </c>
      <c r="F565" s="983">
        <v>6.1333333333333344E-3</v>
      </c>
      <c r="G565" s="983">
        <v>6.0166666666666667E-3</v>
      </c>
      <c r="H565" s="983">
        <v>6.2333333333333338E-3</v>
      </c>
      <c r="I565" s="983">
        <v>9.7000000000000003E-3</v>
      </c>
      <c r="J565" s="983">
        <v>8.1833333333333341E-3</v>
      </c>
      <c r="K565" s="983">
        <v>7.966666666666667E-3</v>
      </c>
      <c r="L565" s="983">
        <v>-2.3633333333333333E-2</v>
      </c>
    </row>
    <row r="566" spans="1:12">
      <c r="A566" s="983">
        <v>26665</v>
      </c>
      <c r="B566" s="983">
        <v>-1.49E-2</v>
      </c>
      <c r="C566" s="983">
        <v>-4.3900000000000008E-2</v>
      </c>
      <c r="D566" s="983">
        <v>5.4000000000000003E-3</v>
      </c>
      <c r="E566" s="983">
        <v>5.9583333333333328E-3</v>
      </c>
      <c r="F566" s="983">
        <v>6.1416666666666668E-3</v>
      </c>
      <c r="G566" s="983">
        <v>6.0499999999999998E-3</v>
      </c>
      <c r="H566" s="983">
        <v>6.2666666666666669E-3</v>
      </c>
      <c r="I566" s="983">
        <v>-2.0299999999999999E-2</v>
      </c>
      <c r="J566" s="983">
        <v>-2.095E-2</v>
      </c>
      <c r="K566" s="983">
        <v>-2.1166666666666667E-2</v>
      </c>
      <c r="L566" s="983">
        <v>-5.0166666666666679E-2</v>
      </c>
    </row>
    <row r="567" spans="1:12">
      <c r="A567" s="983">
        <v>26696</v>
      </c>
      <c r="B567" s="983">
        <v>-3.5200000000000002E-2</v>
      </c>
      <c r="C567" s="983">
        <v>-2.3399999999999997E-2</v>
      </c>
      <c r="D567" s="983">
        <v>5.1000000000000004E-3</v>
      </c>
      <c r="E567" s="983">
        <v>6.0166666666666667E-3</v>
      </c>
      <c r="F567" s="983">
        <v>6.2249999999999996E-3</v>
      </c>
      <c r="G567" s="983">
        <v>6.1208333333333332E-3</v>
      </c>
      <c r="H567" s="983">
        <v>6.3499999999999997E-3</v>
      </c>
      <c r="I567" s="983">
        <v>-4.0300000000000002E-2</v>
      </c>
      <c r="J567" s="983">
        <v>-4.1320833333333334E-2</v>
      </c>
      <c r="K567" s="983">
        <v>-4.1550000000000004E-2</v>
      </c>
      <c r="L567" s="983">
        <v>-2.9749999999999999E-2</v>
      </c>
    </row>
    <row r="568" spans="1:12">
      <c r="A568" s="983">
        <v>26724</v>
      </c>
      <c r="B568" s="983">
        <v>8.0000000000000004E-4</v>
      </c>
      <c r="C568" s="983">
        <v>-1.3500000000000002E-2</v>
      </c>
      <c r="D568" s="983">
        <v>5.5999999999999991E-3</v>
      </c>
      <c r="E568" s="983">
        <v>6.0750000000000005E-3</v>
      </c>
      <c r="F568" s="983">
        <v>6.2416666666666662E-3</v>
      </c>
      <c r="G568" s="983">
        <v>6.1583333333333334E-3</v>
      </c>
      <c r="H568" s="983">
        <v>6.3833333333333329E-3</v>
      </c>
      <c r="I568" s="983">
        <v>-4.7999999999999987E-3</v>
      </c>
      <c r="J568" s="983">
        <v>-5.358333333333333E-3</v>
      </c>
      <c r="K568" s="983">
        <v>-5.5833333333333325E-3</v>
      </c>
      <c r="L568" s="983">
        <v>-1.9883333333333336E-2</v>
      </c>
    </row>
    <row r="569" spans="1:12">
      <c r="A569" s="983">
        <v>26755</v>
      </c>
      <c r="B569" s="983">
        <v>-3.8300000000000001E-2</v>
      </c>
      <c r="C569" s="983">
        <v>-4.9000000000000007E-3</v>
      </c>
      <c r="D569" s="983">
        <v>5.7000000000000002E-3</v>
      </c>
      <c r="E569" s="983">
        <v>6.0499999999999998E-3</v>
      </c>
      <c r="F569" s="983">
        <v>6.2416666666666662E-3</v>
      </c>
      <c r="G569" s="983">
        <v>6.145833333333333E-3</v>
      </c>
      <c r="H569" s="983">
        <v>6.3583333333333339E-3</v>
      </c>
      <c r="I569" s="983">
        <v>-4.3999999999999997E-2</v>
      </c>
      <c r="J569" s="983">
        <v>-4.4445833333333337E-2</v>
      </c>
      <c r="K569" s="983">
        <v>-4.4658333333333335E-2</v>
      </c>
      <c r="L569" s="983">
        <v>-1.1258333333333335E-2</v>
      </c>
    </row>
    <row r="570" spans="1:12">
      <c r="A570" s="983">
        <v>26785</v>
      </c>
      <c r="B570" s="983">
        <v>-1.6299999999999999E-2</v>
      </c>
      <c r="C570" s="983">
        <v>6.7000000000000002E-3</v>
      </c>
      <c r="D570" s="983">
        <v>5.7999999999999996E-3</v>
      </c>
      <c r="E570" s="983">
        <v>6.0750000000000005E-3</v>
      </c>
      <c r="F570" s="983">
        <v>6.2416666666666662E-3</v>
      </c>
      <c r="G570" s="983">
        <v>6.1583333333333334E-3</v>
      </c>
      <c r="H570" s="983">
        <v>6.3583333333333339E-3</v>
      </c>
      <c r="I570" s="983">
        <v>-2.2099999999999998E-2</v>
      </c>
      <c r="J570" s="983">
        <v>-2.245833333333333E-2</v>
      </c>
      <c r="K570" s="983">
        <v>-2.2658333333333332E-2</v>
      </c>
      <c r="L570" s="983">
        <v>3.4166666666666633E-4</v>
      </c>
    </row>
    <row r="571" spans="1:12">
      <c r="A571" s="983">
        <v>26816</v>
      </c>
      <c r="B571" s="983">
        <v>-4.0000000000000001E-3</v>
      </c>
      <c r="C571" s="983">
        <v>-1.67E-2</v>
      </c>
      <c r="D571" s="983">
        <v>5.4999999999999997E-3</v>
      </c>
      <c r="E571" s="983">
        <v>6.1416666666666668E-3</v>
      </c>
      <c r="F571" s="983">
        <v>6.2916666666666668E-3</v>
      </c>
      <c r="G571" s="983">
        <v>6.2166666666666655E-3</v>
      </c>
      <c r="H571" s="983">
        <v>6.4249999999999993E-3</v>
      </c>
      <c r="I571" s="983">
        <v>-9.4999999999999998E-3</v>
      </c>
      <c r="J571" s="983">
        <v>-1.0216666666666666E-2</v>
      </c>
      <c r="K571" s="983">
        <v>-1.0425E-2</v>
      </c>
      <c r="L571" s="983">
        <v>-2.3125E-2</v>
      </c>
    </row>
    <row r="572" spans="1:12">
      <c r="A572" s="983">
        <v>26846</v>
      </c>
      <c r="B572" s="983">
        <v>4.07E-2</v>
      </c>
      <c r="C572" s="983">
        <v>-1.9900000000000001E-2</v>
      </c>
      <c r="D572" s="983">
        <v>6.0999999999999995E-3</v>
      </c>
      <c r="E572" s="983">
        <v>6.2083333333333331E-3</v>
      </c>
      <c r="F572" s="983">
        <v>6.3666666666666663E-3</v>
      </c>
      <c r="G572" s="983">
        <v>6.2874999999999988E-3</v>
      </c>
      <c r="H572" s="983">
        <v>6.5166666666666671E-3</v>
      </c>
      <c r="I572" s="983">
        <v>3.4599999999999999E-2</v>
      </c>
      <c r="J572" s="983">
        <v>3.4412499999999999E-2</v>
      </c>
      <c r="K572" s="983">
        <v>3.4183333333333329E-2</v>
      </c>
      <c r="L572" s="983">
        <v>-2.6416666666666668E-2</v>
      </c>
    </row>
    <row r="573" spans="1:12">
      <c r="A573" s="983">
        <v>26877</v>
      </c>
      <c r="B573" s="983">
        <v>-3.4099999999999998E-2</v>
      </c>
      <c r="C573" s="983">
        <v>-2.8399999999999995E-2</v>
      </c>
      <c r="D573" s="983">
        <v>6.1999999999999998E-3</v>
      </c>
      <c r="E573" s="983">
        <v>6.4000000000000003E-3</v>
      </c>
      <c r="F573" s="983">
        <v>6.5333333333333328E-3</v>
      </c>
      <c r="G573" s="983">
        <v>6.4666666666666674E-3</v>
      </c>
      <c r="H573" s="983">
        <v>6.6999999999999994E-3</v>
      </c>
      <c r="I573" s="983">
        <v>-4.0299999999999996E-2</v>
      </c>
      <c r="J573" s="983">
        <v>-4.0566666666666668E-2</v>
      </c>
      <c r="K573" s="983">
        <v>-4.0799999999999996E-2</v>
      </c>
      <c r="L573" s="983">
        <v>-3.5099999999999992E-2</v>
      </c>
    </row>
    <row r="574" spans="1:12">
      <c r="A574" s="983">
        <v>26908</v>
      </c>
      <c r="B574" s="983">
        <v>4.2700000000000002E-2</v>
      </c>
      <c r="C574" s="983">
        <v>7.7099999999999988E-2</v>
      </c>
      <c r="D574" s="983">
        <v>5.4999999999999997E-3</v>
      </c>
      <c r="E574" s="983">
        <v>6.3583333333333339E-3</v>
      </c>
      <c r="F574" s="983">
        <v>6.5500000000000003E-3</v>
      </c>
      <c r="G574" s="983">
        <v>6.4541666666666671E-3</v>
      </c>
      <c r="H574" s="983">
        <v>6.6999999999999994E-3</v>
      </c>
      <c r="I574" s="983">
        <v>3.7200000000000004E-2</v>
      </c>
      <c r="J574" s="983">
        <v>3.6245833333333338E-2</v>
      </c>
      <c r="K574" s="983">
        <v>3.6000000000000004E-2</v>
      </c>
      <c r="L574" s="983">
        <v>7.039999999999999E-2</v>
      </c>
    </row>
    <row r="575" spans="1:12">
      <c r="A575" s="983">
        <v>26938</v>
      </c>
      <c r="B575" s="983">
        <v>1.6999999999999999E-3</v>
      </c>
      <c r="C575" s="983">
        <v>-3.8800000000000001E-2</v>
      </c>
      <c r="D575" s="983">
        <v>6.3E-3</v>
      </c>
      <c r="E575" s="983">
        <v>6.3333333333333332E-3</v>
      </c>
      <c r="F575" s="983">
        <v>6.5333333333333328E-3</v>
      </c>
      <c r="G575" s="983">
        <v>6.4333333333333334E-3</v>
      </c>
      <c r="H575" s="983">
        <v>6.6833333333333337E-3</v>
      </c>
      <c r="I575" s="983">
        <v>-4.5999999999999999E-3</v>
      </c>
      <c r="J575" s="983">
        <v>-4.7333333333333333E-3</v>
      </c>
      <c r="K575" s="983">
        <v>-4.9833333333333335E-3</v>
      </c>
      <c r="L575" s="983">
        <v>-4.5483333333333334E-2</v>
      </c>
    </row>
    <row r="576" spans="1:12">
      <c r="A576" s="983">
        <v>26969</v>
      </c>
      <c r="B576" s="983">
        <v>-0.1109</v>
      </c>
      <c r="C576" s="983">
        <v>-0.11720000000000001</v>
      </c>
      <c r="D576" s="983">
        <v>5.5999999999999991E-3</v>
      </c>
      <c r="E576" s="983">
        <v>6.391666666666667E-3</v>
      </c>
      <c r="F576" s="983">
        <v>6.5833333333333334E-3</v>
      </c>
      <c r="G576" s="983">
        <v>6.4874999999999993E-3</v>
      </c>
      <c r="H576" s="983">
        <v>6.7916666666666672E-3</v>
      </c>
      <c r="I576" s="983">
        <v>-0.11649999999999999</v>
      </c>
      <c r="J576" s="983">
        <v>-0.11738749999999999</v>
      </c>
      <c r="K576" s="983">
        <v>-0.11769166666666667</v>
      </c>
      <c r="L576" s="983">
        <v>-0.12399166666666668</v>
      </c>
    </row>
    <row r="577" spans="1:12">
      <c r="A577" s="983">
        <v>26999</v>
      </c>
      <c r="B577" s="983">
        <v>1.9800000000000002E-2</v>
      </c>
      <c r="C577" s="983">
        <v>3.7499999999999999E-2</v>
      </c>
      <c r="D577" s="983">
        <v>6.0000000000000001E-3</v>
      </c>
      <c r="E577" s="983">
        <v>6.4000000000000003E-3</v>
      </c>
      <c r="F577" s="983">
        <v>6.6E-3</v>
      </c>
      <c r="G577" s="983">
        <v>6.5000000000000006E-3</v>
      </c>
      <c r="H577" s="983">
        <v>6.8666666666666668E-3</v>
      </c>
      <c r="I577" s="983">
        <v>1.3800000000000002E-2</v>
      </c>
      <c r="J577" s="983">
        <v>1.3300000000000001E-2</v>
      </c>
      <c r="K577" s="983">
        <v>1.2933333333333335E-2</v>
      </c>
      <c r="L577" s="983">
        <v>3.0633333333333332E-2</v>
      </c>
    </row>
    <row r="578" spans="1:12">
      <c r="A578" s="983">
        <v>27030</v>
      </c>
      <c r="B578" s="983">
        <v>-7.1999999999999998E-3</v>
      </c>
      <c r="C578" s="983">
        <v>4.1799999999999997E-2</v>
      </c>
      <c r="D578" s="983">
        <v>6.0999999999999995E-3</v>
      </c>
      <c r="E578" s="983">
        <v>6.5249999999999996E-3</v>
      </c>
      <c r="F578" s="983">
        <v>6.6666666666666662E-3</v>
      </c>
      <c r="G578" s="983">
        <v>6.5958333333333329E-3</v>
      </c>
      <c r="H578" s="983">
        <v>6.9666666666666661E-3</v>
      </c>
      <c r="I578" s="983">
        <v>-1.3299999999999999E-2</v>
      </c>
      <c r="J578" s="983">
        <v>-1.3795833333333334E-2</v>
      </c>
      <c r="K578" s="983">
        <v>-1.4166666666666666E-2</v>
      </c>
      <c r="L578" s="983">
        <v>3.4833333333333327E-2</v>
      </c>
    </row>
    <row r="579" spans="1:12">
      <c r="A579" s="983">
        <v>27061</v>
      </c>
      <c r="B579" s="983">
        <v>-6.9999999999999999E-4</v>
      </c>
      <c r="C579" s="983">
        <v>6.0000000000000001E-3</v>
      </c>
      <c r="D579" s="983">
        <v>5.4999999999999997E-3</v>
      </c>
      <c r="E579" s="983">
        <v>6.541666666666667E-3</v>
      </c>
      <c r="F579" s="983">
        <v>6.7083333333333335E-3</v>
      </c>
      <c r="G579" s="983">
        <v>6.6250000000000007E-3</v>
      </c>
      <c r="H579" s="983">
        <v>7.0166666666666667E-3</v>
      </c>
      <c r="I579" s="983">
        <v>-6.1999999999999998E-3</v>
      </c>
      <c r="J579" s="983">
        <v>-7.3250000000000008E-3</v>
      </c>
      <c r="K579" s="983">
        <v>-7.7166666666666668E-3</v>
      </c>
      <c r="L579" s="983">
        <v>-1.0166666666666666E-3</v>
      </c>
    </row>
    <row r="580" spans="1:12">
      <c r="A580" s="983">
        <v>27089</v>
      </c>
      <c r="B580" s="983">
        <v>-2.0500000000000001E-2</v>
      </c>
      <c r="C580" s="983">
        <v>-3.8900000000000004E-2</v>
      </c>
      <c r="D580" s="983">
        <v>5.8999999999999999E-3</v>
      </c>
      <c r="E580" s="983">
        <v>6.6749999999999995E-3</v>
      </c>
      <c r="F580" s="983">
        <v>6.8166666666666662E-3</v>
      </c>
      <c r="G580" s="983">
        <v>6.7458333333333328E-3</v>
      </c>
      <c r="H580" s="983">
        <v>7.0500000000000007E-3</v>
      </c>
      <c r="I580" s="983">
        <v>-2.64E-2</v>
      </c>
      <c r="J580" s="983">
        <v>-2.7245833333333334E-2</v>
      </c>
      <c r="K580" s="983">
        <v>-2.7550000000000002E-2</v>
      </c>
      <c r="L580" s="983">
        <v>-4.5950000000000005E-2</v>
      </c>
    </row>
    <row r="581" spans="1:12">
      <c r="A581" s="983">
        <v>27120</v>
      </c>
      <c r="B581" s="983">
        <v>-3.5900000000000001E-2</v>
      </c>
      <c r="C581" s="983">
        <v>-0.12959999999999999</v>
      </c>
      <c r="D581" s="983">
        <v>6.7999999999999996E-3</v>
      </c>
      <c r="E581" s="983">
        <v>6.875E-3</v>
      </c>
      <c r="F581" s="983">
        <v>7.025E-3</v>
      </c>
      <c r="G581" s="983">
        <v>6.9500000000000004E-3</v>
      </c>
      <c r="H581" s="983">
        <v>7.3083333333333333E-3</v>
      </c>
      <c r="I581" s="983">
        <v>-4.2700000000000002E-2</v>
      </c>
      <c r="J581" s="983">
        <v>-4.2849999999999999E-2</v>
      </c>
      <c r="K581" s="983">
        <v>-4.3208333333333335E-2</v>
      </c>
      <c r="L581" s="983">
        <v>-0.13690833333333333</v>
      </c>
    </row>
    <row r="582" spans="1:12">
      <c r="A582" s="983">
        <v>27150</v>
      </c>
      <c r="B582" s="983">
        <v>-3.0200000000000001E-2</v>
      </c>
      <c r="C582" s="983">
        <v>-4.8399999999999999E-2</v>
      </c>
      <c r="D582" s="983">
        <v>6.7999999999999996E-3</v>
      </c>
      <c r="E582" s="983">
        <v>6.9749999999999986E-3</v>
      </c>
      <c r="F582" s="983">
        <v>7.1500000000000001E-3</v>
      </c>
      <c r="G582" s="983">
        <v>7.0624999999999993E-3</v>
      </c>
      <c r="H582" s="983">
        <v>7.4999999999999997E-3</v>
      </c>
      <c r="I582" s="983">
        <v>-3.6999999999999998E-2</v>
      </c>
      <c r="J582" s="983">
        <v>-3.7262500000000004E-2</v>
      </c>
      <c r="K582" s="983">
        <v>-3.7699999999999997E-2</v>
      </c>
      <c r="L582" s="983">
        <v>-5.5899999999999998E-2</v>
      </c>
    </row>
    <row r="583" spans="1:12">
      <c r="A583" s="983">
        <v>27181</v>
      </c>
      <c r="B583" s="983">
        <v>-1.1299999999999999E-2</v>
      </c>
      <c r="C583" s="983">
        <v>-5.6999999999999995E-2</v>
      </c>
      <c r="D583" s="983">
        <v>6.0999999999999995E-3</v>
      </c>
      <c r="E583" s="983">
        <v>7.058333333333334E-3</v>
      </c>
      <c r="F583" s="983">
        <v>7.2916666666666659E-3</v>
      </c>
      <c r="G583" s="983">
        <v>7.175E-3</v>
      </c>
      <c r="H583" s="983">
        <v>7.7666666666666674E-3</v>
      </c>
      <c r="I583" s="983">
        <v>-1.7399999999999999E-2</v>
      </c>
      <c r="J583" s="983">
        <v>-1.8474999999999998E-2</v>
      </c>
      <c r="K583" s="983">
        <v>-1.9066666666666666E-2</v>
      </c>
      <c r="L583" s="983">
        <v>-6.4766666666666667E-2</v>
      </c>
    </row>
    <row r="584" spans="1:12">
      <c r="A584" s="983">
        <v>27211</v>
      </c>
      <c r="B584" s="983">
        <v>-7.4200000000000002E-2</v>
      </c>
      <c r="C584" s="983">
        <v>-8.8999999999999982E-3</v>
      </c>
      <c r="D584" s="983">
        <v>7.1999999999999998E-3</v>
      </c>
      <c r="E584" s="983">
        <v>7.2666666666666669E-3</v>
      </c>
      <c r="F584" s="983">
        <v>7.5083333333333339E-3</v>
      </c>
      <c r="G584" s="983">
        <v>7.3875E-3</v>
      </c>
      <c r="H584" s="983">
        <v>8.0499999999999999E-3</v>
      </c>
      <c r="I584" s="983">
        <v>-8.14E-2</v>
      </c>
      <c r="J584" s="983">
        <v>-8.1587500000000007E-2</v>
      </c>
      <c r="K584" s="983">
        <v>-8.2250000000000004E-2</v>
      </c>
      <c r="L584" s="983">
        <v>-1.695E-2</v>
      </c>
    </row>
    <row r="585" spans="1:12">
      <c r="A585" s="983">
        <v>27242</v>
      </c>
      <c r="B585" s="983">
        <v>-8.6400000000000005E-2</v>
      </c>
      <c r="C585" s="983">
        <v>-8.7099999999999997E-2</v>
      </c>
      <c r="D585" s="983">
        <v>6.5000000000000006E-3</v>
      </c>
      <c r="E585" s="983">
        <v>7.4999999999999997E-3</v>
      </c>
      <c r="F585" s="983">
        <v>7.7333333333333334E-3</v>
      </c>
      <c r="G585" s="983">
        <v>7.6166666666666674E-3</v>
      </c>
      <c r="H585" s="983">
        <v>8.3583333333333339E-3</v>
      </c>
      <c r="I585" s="983">
        <v>-9.290000000000001E-2</v>
      </c>
      <c r="J585" s="983">
        <v>-9.4016666666666665E-2</v>
      </c>
      <c r="K585" s="983">
        <v>-9.4758333333333333E-2</v>
      </c>
      <c r="L585" s="983">
        <v>-9.5458333333333326E-2</v>
      </c>
    </row>
    <row r="586" spans="1:12">
      <c r="A586" s="983">
        <v>27273</v>
      </c>
      <c r="B586" s="983">
        <v>-0.1152</v>
      </c>
      <c r="C586" s="983">
        <v>-8.6E-3</v>
      </c>
      <c r="D586" s="983">
        <v>7.1000000000000004E-3</v>
      </c>
      <c r="E586" s="983">
        <v>7.7000000000000002E-3</v>
      </c>
      <c r="F586" s="983">
        <v>8.0499999999999999E-3</v>
      </c>
      <c r="G586" s="983">
        <v>7.8750000000000001E-3</v>
      </c>
      <c r="H586" s="983">
        <v>8.7083333333333353E-3</v>
      </c>
      <c r="I586" s="983">
        <v>-0.12229999999999999</v>
      </c>
      <c r="J586" s="983">
        <v>-0.12307499999999999</v>
      </c>
      <c r="K586" s="983">
        <v>-0.12390833333333333</v>
      </c>
      <c r="L586" s="983">
        <v>-1.7308333333333335E-2</v>
      </c>
    </row>
    <row r="587" spans="1:12">
      <c r="A587" s="983">
        <v>27303</v>
      </c>
      <c r="B587" s="983">
        <v>0.1681</v>
      </c>
      <c r="C587" s="983">
        <v>0.11990000000000001</v>
      </c>
      <c r="D587" s="983">
        <v>7.000000000000001E-3</v>
      </c>
      <c r="E587" s="983">
        <v>7.7249999999999992E-3</v>
      </c>
      <c r="F587" s="983">
        <v>8.0333333333333333E-3</v>
      </c>
      <c r="G587" s="983">
        <v>7.8791666666666663E-3</v>
      </c>
      <c r="H587" s="983">
        <v>8.9833333333333328E-3</v>
      </c>
      <c r="I587" s="983">
        <v>0.16109999999999999</v>
      </c>
      <c r="J587" s="983">
        <v>0.16022083333333334</v>
      </c>
      <c r="K587" s="983">
        <v>0.15911666666666666</v>
      </c>
      <c r="L587" s="983">
        <v>0.11091666666666668</v>
      </c>
    </row>
    <row r="588" spans="1:12">
      <c r="A588" s="983">
        <v>27334</v>
      </c>
      <c r="B588" s="983">
        <v>-4.8899999999999999E-2</v>
      </c>
      <c r="C588" s="983">
        <v>-1.1900000000000001E-2</v>
      </c>
      <c r="D588" s="983">
        <v>6.1999999999999998E-3</v>
      </c>
      <c r="E588" s="983">
        <v>7.4083333333333336E-3</v>
      </c>
      <c r="F588" s="983">
        <v>7.7833333333333331E-3</v>
      </c>
      <c r="G588" s="983">
        <v>7.5958333333333329E-3</v>
      </c>
      <c r="H588" s="983">
        <v>8.7166666666666677E-3</v>
      </c>
      <c r="I588" s="983">
        <v>-5.5099999999999996E-2</v>
      </c>
      <c r="J588" s="983">
        <v>-5.6495833333333328E-2</v>
      </c>
      <c r="K588" s="983">
        <v>-5.7616666666666663E-2</v>
      </c>
      <c r="L588" s="983">
        <v>-2.0616666666666669E-2</v>
      </c>
    </row>
    <row r="589" spans="1:12">
      <c r="A589" s="983">
        <v>27364</v>
      </c>
      <c r="B589" s="983">
        <v>-1.5599999999999999E-2</v>
      </c>
      <c r="C589" s="983">
        <v>4.4000000000000003E-3</v>
      </c>
      <c r="D589" s="983">
        <v>6.7000000000000002E-3</v>
      </c>
      <c r="E589" s="983">
        <v>7.4083333333333336E-3</v>
      </c>
      <c r="F589" s="983">
        <v>7.6666666666666662E-3</v>
      </c>
      <c r="G589" s="983">
        <v>7.5374999999999991E-3</v>
      </c>
      <c r="H589" s="983">
        <v>8.5583333333333327E-3</v>
      </c>
      <c r="I589" s="983">
        <v>-2.23E-2</v>
      </c>
      <c r="J589" s="983">
        <v>-2.3137499999999998E-2</v>
      </c>
      <c r="K589" s="983">
        <v>-2.415833333333333E-2</v>
      </c>
      <c r="L589" s="983">
        <v>-4.1583333333333325E-3</v>
      </c>
    </row>
    <row r="590" spans="1:12">
      <c r="A590" s="983">
        <v>27395</v>
      </c>
      <c r="B590" s="983">
        <v>0.12720000000000001</v>
      </c>
      <c r="C590" s="983">
        <v>0.18969999999999998</v>
      </c>
      <c r="D590" s="983">
        <v>6.7999999999999996E-3</v>
      </c>
      <c r="E590" s="983">
        <v>7.358333333333333E-3</v>
      </c>
      <c r="F590" s="983">
        <v>7.6083333333333333E-3</v>
      </c>
      <c r="G590" s="983">
        <v>7.4833333333333332E-3</v>
      </c>
      <c r="H590" s="983">
        <v>8.6416666666666673E-3</v>
      </c>
      <c r="I590" s="983">
        <v>0.12040000000000001</v>
      </c>
      <c r="J590" s="983">
        <v>0.11971666666666668</v>
      </c>
      <c r="K590" s="983">
        <v>0.11855833333333334</v>
      </c>
      <c r="L590" s="983">
        <v>0.18105833333333332</v>
      </c>
    </row>
    <row r="591" spans="1:12">
      <c r="A591" s="983">
        <v>27426</v>
      </c>
      <c r="B591" s="983">
        <v>6.3799999999999996E-2</v>
      </c>
      <c r="C591" s="983">
        <v>1.43E-2</v>
      </c>
      <c r="D591" s="983">
        <v>6.0000000000000001E-3</v>
      </c>
      <c r="E591" s="983">
        <v>7.1833333333333324E-3</v>
      </c>
      <c r="F591" s="983">
        <v>7.4250000000000002E-3</v>
      </c>
      <c r="G591" s="983">
        <v>7.3041666666666671E-3</v>
      </c>
      <c r="H591" s="983">
        <v>8.3250000000000008E-3</v>
      </c>
      <c r="I591" s="983">
        <v>5.7799999999999997E-2</v>
      </c>
      <c r="J591" s="983">
        <v>5.6495833333333328E-2</v>
      </c>
      <c r="K591" s="983">
        <v>5.5474999999999997E-2</v>
      </c>
      <c r="L591" s="983">
        <v>5.9749999999999994E-3</v>
      </c>
    </row>
    <row r="592" spans="1:12">
      <c r="A592" s="983">
        <v>27454</v>
      </c>
      <c r="B592" s="983">
        <v>2.5399999999999999E-2</v>
      </c>
      <c r="C592" s="983">
        <v>-2.1600000000000001E-2</v>
      </c>
      <c r="D592" s="983">
        <v>6.6E-3</v>
      </c>
      <c r="E592" s="983">
        <v>7.2250000000000005E-3</v>
      </c>
      <c r="F592" s="983">
        <v>7.4333333333333326E-3</v>
      </c>
      <c r="G592" s="983">
        <v>7.329166666666667E-3</v>
      </c>
      <c r="H592" s="983">
        <v>8.1000000000000013E-3</v>
      </c>
      <c r="I592" s="983">
        <v>1.8799999999999997E-2</v>
      </c>
      <c r="J592" s="983">
        <v>1.8070833333333331E-2</v>
      </c>
      <c r="K592" s="983">
        <v>1.7299999999999996E-2</v>
      </c>
      <c r="L592" s="983">
        <v>-2.9700000000000004E-2</v>
      </c>
    </row>
    <row r="593" spans="1:12">
      <c r="A593" s="983">
        <v>27485</v>
      </c>
      <c r="B593" s="983">
        <v>5.0999999999999997E-2</v>
      </c>
      <c r="C593" s="983">
        <v>-1.4000000000000002E-2</v>
      </c>
      <c r="D593" s="983">
        <v>6.7000000000000002E-3</v>
      </c>
      <c r="E593" s="983">
        <v>7.4583333333333324E-3</v>
      </c>
      <c r="F593" s="983">
        <v>7.658333333333333E-3</v>
      </c>
      <c r="G593" s="983">
        <v>7.5583333333333327E-3</v>
      </c>
      <c r="H593" s="983">
        <v>8.3833333333333329E-3</v>
      </c>
      <c r="I593" s="983">
        <v>4.4299999999999999E-2</v>
      </c>
      <c r="J593" s="983">
        <v>4.3441666666666663E-2</v>
      </c>
      <c r="K593" s="983">
        <v>4.2616666666666664E-2</v>
      </c>
      <c r="L593" s="983">
        <v>-2.2383333333333335E-2</v>
      </c>
    </row>
    <row r="594" spans="1:12">
      <c r="A594" s="983">
        <v>27515</v>
      </c>
      <c r="B594" s="983">
        <v>4.7600000000000003E-2</v>
      </c>
      <c r="C594" s="983">
        <v>8.6599999999999996E-2</v>
      </c>
      <c r="D594" s="983">
        <v>6.7000000000000002E-3</v>
      </c>
      <c r="E594" s="983">
        <v>7.4166666666666669E-3</v>
      </c>
      <c r="F594" s="983">
        <v>7.7000000000000002E-3</v>
      </c>
      <c r="G594" s="983">
        <v>7.5583333333333336E-3</v>
      </c>
      <c r="H594" s="983">
        <v>8.5249999999999996E-3</v>
      </c>
      <c r="I594" s="983">
        <v>4.0900000000000006E-2</v>
      </c>
      <c r="J594" s="983">
        <v>4.004166666666667E-2</v>
      </c>
      <c r="K594" s="983">
        <v>3.9075000000000006E-2</v>
      </c>
      <c r="L594" s="983">
        <v>7.8074999999999992E-2</v>
      </c>
    </row>
    <row r="595" spans="1:12">
      <c r="A595" s="983">
        <v>27546</v>
      </c>
      <c r="B595" s="983">
        <v>4.7699999999999999E-2</v>
      </c>
      <c r="C595" s="983">
        <v>0.1067</v>
      </c>
      <c r="D595" s="983">
        <v>7.000000000000001E-3</v>
      </c>
      <c r="E595" s="983">
        <v>7.3083333333333333E-3</v>
      </c>
      <c r="F595" s="983">
        <v>7.6083333333333333E-3</v>
      </c>
      <c r="G595" s="983">
        <v>7.4583333333333333E-3</v>
      </c>
      <c r="H595" s="983">
        <v>8.416666666666666E-3</v>
      </c>
      <c r="I595" s="983">
        <v>4.07E-2</v>
      </c>
      <c r="J595" s="983">
        <v>4.0241666666666669E-2</v>
      </c>
      <c r="K595" s="983">
        <v>3.9283333333333337E-2</v>
      </c>
      <c r="L595" s="983">
        <v>9.8283333333333334E-2</v>
      </c>
    </row>
    <row r="596" spans="1:12">
      <c r="A596" s="983">
        <v>27576</v>
      </c>
      <c r="B596" s="983">
        <v>-6.4399999999999999E-2</v>
      </c>
      <c r="C596" s="983">
        <v>-5.1000000000000004E-2</v>
      </c>
      <c r="D596" s="983">
        <v>6.7999999999999996E-3</v>
      </c>
      <c r="E596" s="983">
        <v>7.3666666666666672E-3</v>
      </c>
      <c r="F596" s="983">
        <v>7.6083333333333333E-3</v>
      </c>
      <c r="G596" s="983">
        <v>7.4875000000000002E-3</v>
      </c>
      <c r="H596" s="983">
        <v>8.3416666666666656E-3</v>
      </c>
      <c r="I596" s="983">
        <v>-7.1199999999999999E-2</v>
      </c>
      <c r="J596" s="983">
        <v>-7.1887499999999993E-2</v>
      </c>
      <c r="K596" s="983">
        <v>-7.2741666666666663E-2</v>
      </c>
      <c r="L596" s="983">
        <v>-5.9341666666666668E-2</v>
      </c>
    </row>
    <row r="597" spans="1:12">
      <c r="A597" s="983">
        <v>27607</v>
      </c>
      <c r="B597" s="983">
        <v>-1.7600000000000001E-2</v>
      </c>
      <c r="C597" s="983">
        <v>-2.1199999999999997E-2</v>
      </c>
      <c r="D597" s="983">
        <v>6.5000000000000006E-3</v>
      </c>
      <c r="E597" s="983">
        <v>7.4583333333333324E-3</v>
      </c>
      <c r="F597" s="983">
        <v>7.691666666666667E-3</v>
      </c>
      <c r="G597" s="983">
        <v>7.5749999999999993E-3</v>
      </c>
      <c r="H597" s="983">
        <v>8.4333333333333326E-3</v>
      </c>
      <c r="I597" s="983">
        <v>-2.4100000000000003E-2</v>
      </c>
      <c r="J597" s="983">
        <v>-2.5174999999999999E-2</v>
      </c>
      <c r="K597" s="983">
        <v>-2.6033333333333332E-2</v>
      </c>
      <c r="L597" s="983">
        <v>-2.9633333333333331E-2</v>
      </c>
    </row>
    <row r="598" spans="1:12">
      <c r="A598" s="983">
        <v>27638</v>
      </c>
      <c r="B598" s="983">
        <v>-3.1199999999999999E-2</v>
      </c>
      <c r="C598" s="983">
        <v>-4.9000000000000007E-3</v>
      </c>
      <c r="D598" s="983">
        <v>7.3000000000000001E-3</v>
      </c>
      <c r="E598" s="983">
        <v>7.4583333333333324E-3</v>
      </c>
      <c r="F598" s="983">
        <v>7.7916666666666664E-3</v>
      </c>
      <c r="G598" s="983">
        <v>7.6249999999999998E-3</v>
      </c>
      <c r="H598" s="983">
        <v>8.4916666666666665E-3</v>
      </c>
      <c r="I598" s="983">
        <v>-3.85E-2</v>
      </c>
      <c r="J598" s="983">
        <v>-3.8824999999999998E-2</v>
      </c>
      <c r="K598" s="983">
        <v>-3.9691666666666667E-2</v>
      </c>
      <c r="L598" s="983">
        <v>-1.3391666666666666E-2</v>
      </c>
    </row>
    <row r="599" spans="1:12">
      <c r="A599" s="983">
        <v>27668</v>
      </c>
      <c r="B599" s="983">
        <v>6.5299999999999997E-2</v>
      </c>
      <c r="C599" s="983">
        <v>7.0800000000000002E-2</v>
      </c>
      <c r="D599" s="983">
        <v>7.1999999999999998E-3</v>
      </c>
      <c r="E599" s="983">
        <v>7.3833333333333329E-3</v>
      </c>
      <c r="F599" s="983">
        <v>7.7666666666666674E-3</v>
      </c>
      <c r="G599" s="983">
        <v>7.575000000000001E-3</v>
      </c>
      <c r="H599" s="983">
        <v>8.4666666666666675E-3</v>
      </c>
      <c r="I599" s="983">
        <v>5.8099999999999999E-2</v>
      </c>
      <c r="J599" s="983">
        <v>5.7724999999999999E-2</v>
      </c>
      <c r="K599" s="983">
        <v>5.6833333333333333E-2</v>
      </c>
      <c r="L599" s="983">
        <v>6.2333333333333338E-2</v>
      </c>
    </row>
    <row r="600" spans="1:12">
      <c r="A600" s="983">
        <v>27699</v>
      </c>
      <c r="B600" s="983">
        <v>2.8199999999999999E-2</v>
      </c>
      <c r="C600" s="983">
        <v>3.5000000000000003E-2</v>
      </c>
      <c r="D600" s="983">
        <v>6.0999999999999995E-3</v>
      </c>
      <c r="E600" s="983">
        <v>7.3166666666666658E-3</v>
      </c>
      <c r="F600" s="983">
        <v>7.691666666666667E-3</v>
      </c>
      <c r="G600" s="983">
        <v>7.5041666666666659E-3</v>
      </c>
      <c r="H600" s="983">
        <v>8.3666666666666663E-3</v>
      </c>
      <c r="I600" s="983">
        <v>2.2100000000000002E-2</v>
      </c>
      <c r="J600" s="983">
        <v>2.0695833333333333E-2</v>
      </c>
      <c r="K600" s="983">
        <v>1.9833333333333335E-2</v>
      </c>
      <c r="L600" s="983">
        <v>2.6633333333333335E-2</v>
      </c>
    </row>
    <row r="601" spans="1:12">
      <c r="A601" s="983">
        <v>27729</v>
      </c>
      <c r="B601" s="983">
        <v>-8.0999999999999996E-3</v>
      </c>
      <c r="C601" s="983">
        <v>7.6999999999999994E-3</v>
      </c>
      <c r="D601" s="983">
        <v>7.4999999999999997E-3</v>
      </c>
      <c r="E601" s="983">
        <v>7.324999999999999E-3</v>
      </c>
      <c r="F601" s="983">
        <v>7.7125000000000006E-3</v>
      </c>
      <c r="G601" s="983">
        <v>7.5187500000000011E-3</v>
      </c>
      <c r="H601" s="983">
        <v>8.4249999999999985E-3</v>
      </c>
      <c r="I601" s="983">
        <v>-1.5599999999999999E-2</v>
      </c>
      <c r="J601" s="983">
        <v>-1.5618750000000001E-2</v>
      </c>
      <c r="K601" s="983">
        <v>-1.6524999999999998E-2</v>
      </c>
      <c r="L601" s="983">
        <v>-7.2499999999999908E-4</v>
      </c>
    </row>
    <row r="602" spans="1:12">
      <c r="A602" s="983">
        <v>27760</v>
      </c>
      <c r="B602" s="983">
        <v>0.1217</v>
      </c>
      <c r="C602" s="983">
        <v>8.9400000000000007E-2</v>
      </c>
      <c r="D602" s="983">
        <v>6.5000000000000006E-3</v>
      </c>
      <c r="E602" s="983">
        <v>7.1666666666666667E-3</v>
      </c>
      <c r="F602" s="983">
        <v>7.6083333333333333E-3</v>
      </c>
      <c r="G602" s="983">
        <v>7.3875E-3</v>
      </c>
      <c r="H602" s="983">
        <v>8.2500000000000004E-3</v>
      </c>
      <c r="I602" s="983">
        <v>0.1152</v>
      </c>
      <c r="J602" s="983">
        <v>0.1143125</v>
      </c>
      <c r="K602" s="983">
        <v>0.11345</v>
      </c>
      <c r="L602" s="983">
        <v>8.115E-2</v>
      </c>
    </row>
    <row r="603" spans="1:12">
      <c r="A603" s="983">
        <v>27791</v>
      </c>
      <c r="B603" s="983">
        <v>-8.3999999999999995E-3</v>
      </c>
      <c r="C603" s="983">
        <v>-3.56E-2</v>
      </c>
      <c r="D603" s="983">
        <v>6.1000000000000004E-3</v>
      </c>
      <c r="E603" s="983">
        <v>7.1250000000000003E-3</v>
      </c>
      <c r="F603" s="983">
        <v>7.5166666666666663E-3</v>
      </c>
      <c r="G603" s="983">
        <v>7.3208333333333328E-3</v>
      </c>
      <c r="H603" s="983">
        <v>8.0916666666666671E-3</v>
      </c>
      <c r="I603" s="983">
        <v>-1.4499999999999999E-2</v>
      </c>
      <c r="J603" s="983">
        <v>-1.5720833333333333E-2</v>
      </c>
      <c r="K603" s="983">
        <v>-1.6491666666666668E-2</v>
      </c>
      <c r="L603" s="983">
        <v>-4.369166666666667E-2</v>
      </c>
    </row>
    <row r="604" spans="1:12">
      <c r="A604" s="983">
        <v>27820</v>
      </c>
      <c r="B604" s="983">
        <v>3.3700000000000001E-2</v>
      </c>
      <c r="C604" s="983">
        <v>0.01</v>
      </c>
      <c r="D604" s="983">
        <v>7.1000000000000004E-3</v>
      </c>
      <c r="E604" s="983">
        <v>7.0999999999999995E-3</v>
      </c>
      <c r="F604" s="983">
        <v>7.5083333333333339E-3</v>
      </c>
      <c r="G604" s="983">
        <v>7.3041666666666671E-3</v>
      </c>
      <c r="H604" s="983">
        <v>8.0583333333333323E-3</v>
      </c>
      <c r="I604" s="983">
        <v>2.6599999999999999E-2</v>
      </c>
      <c r="J604" s="983">
        <v>2.6395833333333334E-2</v>
      </c>
      <c r="K604" s="983">
        <v>2.5641666666666667E-2</v>
      </c>
      <c r="L604" s="983">
        <v>1.9416666666666679E-3</v>
      </c>
    </row>
    <row r="605" spans="1:12">
      <c r="A605" s="983">
        <v>27851</v>
      </c>
      <c r="B605" s="983">
        <v>-7.7999999999999996E-3</v>
      </c>
      <c r="C605" s="983">
        <v>3.7000000000000002E-3</v>
      </c>
      <c r="D605" s="983">
        <v>6.4000000000000003E-3</v>
      </c>
      <c r="E605" s="983">
        <v>7.000000000000001E-3</v>
      </c>
      <c r="F605" s="983">
        <v>7.4083333333333336E-3</v>
      </c>
      <c r="G605" s="983">
        <v>7.2041666666666669E-3</v>
      </c>
      <c r="H605" s="983">
        <v>7.9416666666666663E-3</v>
      </c>
      <c r="I605" s="983">
        <v>-1.4200000000000001E-2</v>
      </c>
      <c r="J605" s="983">
        <v>-1.5004166666666666E-2</v>
      </c>
      <c r="K605" s="983">
        <v>-1.5741666666666668E-2</v>
      </c>
      <c r="L605" s="983">
        <v>-4.2416666666666662E-3</v>
      </c>
    </row>
    <row r="606" spans="1:12">
      <c r="A606" s="983">
        <v>27881</v>
      </c>
      <c r="B606" s="983">
        <v>-1.11E-2</v>
      </c>
      <c r="C606" s="983">
        <v>-1.3899999999999999E-2</v>
      </c>
      <c r="D606" s="983">
        <v>5.8999999999999999E-3</v>
      </c>
      <c r="E606" s="983">
        <v>7.1500000000000001E-3</v>
      </c>
      <c r="F606" s="983">
        <v>7.4333333333333326E-3</v>
      </c>
      <c r="G606" s="983">
        <v>7.2916666666666659E-3</v>
      </c>
      <c r="H606" s="983">
        <v>7.9583333333333346E-3</v>
      </c>
      <c r="I606" s="983">
        <v>-1.7000000000000001E-2</v>
      </c>
      <c r="J606" s="983">
        <v>-1.8391666666666667E-2</v>
      </c>
      <c r="K606" s="983">
        <v>-1.9058333333333337E-2</v>
      </c>
      <c r="L606" s="983">
        <v>-2.1858333333333334E-2</v>
      </c>
    </row>
    <row r="607" spans="1:12">
      <c r="A607" s="983">
        <v>27912</v>
      </c>
      <c r="B607" s="983">
        <v>4.4299999999999999E-2</v>
      </c>
      <c r="C607" s="983">
        <v>3.3700000000000001E-2</v>
      </c>
      <c r="D607" s="983">
        <v>7.3000000000000001E-3</v>
      </c>
      <c r="E607" s="983">
        <v>7.1833333333333324E-3</v>
      </c>
      <c r="F607" s="983">
        <v>7.4083333333333336E-3</v>
      </c>
      <c r="G607" s="983">
        <v>7.2958333333333321E-3</v>
      </c>
      <c r="H607" s="983">
        <v>7.9499999999999987E-3</v>
      </c>
      <c r="I607" s="983">
        <v>3.6999999999999998E-2</v>
      </c>
      <c r="J607" s="983">
        <v>3.7004166666666664E-2</v>
      </c>
      <c r="K607" s="983">
        <v>3.635E-2</v>
      </c>
      <c r="L607" s="983">
        <v>2.5750000000000002E-2</v>
      </c>
    </row>
    <row r="608" spans="1:12">
      <c r="A608" s="983">
        <v>27942</v>
      </c>
      <c r="B608" s="983">
        <v>-4.7999999999999996E-3</v>
      </c>
      <c r="C608" s="983">
        <v>3.4099999999999998E-2</v>
      </c>
      <c r="D608" s="983">
        <v>6.5000000000000006E-3</v>
      </c>
      <c r="E608" s="983">
        <v>7.1333333333333335E-3</v>
      </c>
      <c r="F608" s="983">
        <v>7.3416666666666673E-3</v>
      </c>
      <c r="G608" s="983">
        <v>7.2375000000000009E-3</v>
      </c>
      <c r="H608" s="983">
        <v>7.8083333333333329E-3</v>
      </c>
      <c r="I608" s="983">
        <v>-1.1300000000000001E-2</v>
      </c>
      <c r="J608" s="983">
        <v>-1.20375E-2</v>
      </c>
      <c r="K608" s="983">
        <v>-1.2608333333333333E-2</v>
      </c>
      <c r="L608" s="983">
        <v>2.6291666666666665E-2</v>
      </c>
    </row>
    <row r="609" spans="1:12">
      <c r="A609" s="983">
        <v>27973</v>
      </c>
      <c r="B609" s="983">
        <v>-1.8E-3</v>
      </c>
      <c r="C609" s="983">
        <v>3.8300000000000001E-2</v>
      </c>
      <c r="D609" s="983">
        <v>6.8999999999999999E-3</v>
      </c>
      <c r="E609" s="983">
        <v>7.0416666666666657E-3</v>
      </c>
      <c r="F609" s="983">
        <v>7.2166666666666664E-3</v>
      </c>
      <c r="G609" s="983">
        <v>7.1291666666666665E-3</v>
      </c>
      <c r="H609" s="983">
        <v>7.6083333333333333E-3</v>
      </c>
      <c r="I609" s="983">
        <v>-8.6999999999999994E-3</v>
      </c>
      <c r="J609" s="983">
        <v>-8.9291666666666668E-3</v>
      </c>
      <c r="K609" s="983">
        <v>-9.4083333333333328E-3</v>
      </c>
      <c r="L609" s="983">
        <v>3.0691666666666666E-2</v>
      </c>
    </row>
    <row r="610" spans="1:12">
      <c r="A610" s="983">
        <v>28004</v>
      </c>
      <c r="B610" s="983">
        <v>2.58E-2</v>
      </c>
      <c r="C610" s="983">
        <v>3.8100000000000002E-2</v>
      </c>
      <c r="D610" s="983">
        <v>6.4000000000000003E-3</v>
      </c>
      <c r="E610" s="983">
        <v>6.9833333333333336E-3</v>
      </c>
      <c r="F610" s="983">
        <v>7.1166666666666652E-3</v>
      </c>
      <c r="G610" s="983">
        <v>7.0499999999999998E-3</v>
      </c>
      <c r="H610" s="983">
        <v>7.4166666666666669E-3</v>
      </c>
      <c r="I610" s="983">
        <v>1.9400000000000001E-2</v>
      </c>
      <c r="J610" s="983">
        <v>1.8749999999999999E-2</v>
      </c>
      <c r="K610" s="983">
        <v>1.8383333333333335E-2</v>
      </c>
      <c r="L610" s="983">
        <v>3.0683333333333333E-2</v>
      </c>
    </row>
    <row r="611" spans="1:12">
      <c r="A611" s="983">
        <v>28034</v>
      </c>
      <c r="B611" s="983">
        <v>-1.8599999999999998E-2</v>
      </c>
      <c r="C611" s="983">
        <v>-2.1000000000000003E-3</v>
      </c>
      <c r="D611" s="983">
        <v>6.0999999999999995E-3</v>
      </c>
      <c r="E611" s="983">
        <v>6.9333333333333339E-3</v>
      </c>
      <c r="F611" s="983">
        <v>7.0666666666666664E-3</v>
      </c>
      <c r="G611" s="983">
        <v>6.9999999999999993E-3</v>
      </c>
      <c r="H611" s="983">
        <v>7.324999999999999E-3</v>
      </c>
      <c r="I611" s="983">
        <v>-2.47E-2</v>
      </c>
      <c r="J611" s="983">
        <v>-2.5599999999999998E-2</v>
      </c>
      <c r="K611" s="983">
        <v>-2.5924999999999997E-2</v>
      </c>
      <c r="L611" s="983">
        <v>-9.4249999999999994E-3</v>
      </c>
    </row>
    <row r="612" spans="1:12">
      <c r="A612" s="983">
        <v>28065</v>
      </c>
      <c r="B612" s="983">
        <v>-4.1000000000000003E-3</v>
      </c>
      <c r="C612" s="983">
        <v>2.6800000000000001E-2</v>
      </c>
      <c r="D612" s="983">
        <v>6.6E-3</v>
      </c>
      <c r="E612" s="983">
        <v>6.875E-3</v>
      </c>
      <c r="F612" s="983">
        <v>7.0500000000000007E-3</v>
      </c>
      <c r="G612" s="983">
        <v>6.9624999999999999E-3</v>
      </c>
      <c r="H612" s="983">
        <v>7.3000000000000001E-3</v>
      </c>
      <c r="I612" s="983">
        <v>-1.0700000000000001E-2</v>
      </c>
      <c r="J612" s="983">
        <v>-1.1062499999999999E-2</v>
      </c>
      <c r="K612" s="983">
        <v>-1.14E-2</v>
      </c>
      <c r="L612" s="983">
        <v>1.95E-2</v>
      </c>
    </row>
    <row r="613" spans="1:12">
      <c r="A613" s="983">
        <v>28095</v>
      </c>
      <c r="B613" s="983">
        <v>5.6099999999999997E-2</v>
      </c>
      <c r="C613" s="983">
        <v>6.3100000000000003E-2</v>
      </c>
      <c r="D613" s="983">
        <v>6.3E-3</v>
      </c>
      <c r="E613" s="983">
        <v>6.6500000000000005E-3</v>
      </c>
      <c r="F613" s="983">
        <v>6.870833333333333E-3</v>
      </c>
      <c r="G613" s="983">
        <v>6.7604166666666663E-3</v>
      </c>
      <c r="H613" s="983">
        <v>7.1833333333333324E-3</v>
      </c>
      <c r="I613" s="983">
        <v>4.9799999999999997E-2</v>
      </c>
      <c r="J613" s="983">
        <v>4.9339583333333333E-2</v>
      </c>
      <c r="K613" s="983">
        <v>4.8916666666666664E-2</v>
      </c>
      <c r="L613" s="983">
        <v>5.591666666666667E-2</v>
      </c>
    </row>
    <row r="614" spans="1:12">
      <c r="A614" s="983">
        <v>28126</v>
      </c>
      <c r="B614" s="983">
        <v>-4.7300000000000002E-2</v>
      </c>
      <c r="C614" s="983">
        <v>3.5000000000000005E-3</v>
      </c>
      <c r="D614" s="983">
        <v>5.8999999999999999E-3</v>
      </c>
      <c r="E614" s="983">
        <v>6.6333333333333331E-3</v>
      </c>
      <c r="F614" s="983">
        <v>6.8000000000000005E-3</v>
      </c>
      <c r="G614" s="983">
        <v>6.7166666666666659E-3</v>
      </c>
      <c r="H614" s="983">
        <v>7.1749999999999991E-3</v>
      </c>
      <c r="I614" s="983">
        <v>-5.3200000000000004E-2</v>
      </c>
      <c r="J614" s="983">
        <v>-5.4016666666666671E-2</v>
      </c>
      <c r="K614" s="983">
        <v>-5.4475000000000003E-2</v>
      </c>
      <c r="L614" s="983">
        <v>-3.6749999999999986E-3</v>
      </c>
    </row>
    <row r="615" spans="1:12">
      <c r="A615" s="983">
        <v>28157</v>
      </c>
      <c r="B615" s="983">
        <v>-1.8200000000000001E-2</v>
      </c>
      <c r="C615" s="983">
        <v>-3.7200000000000004E-2</v>
      </c>
      <c r="D615" s="983">
        <v>5.7000000000000002E-3</v>
      </c>
      <c r="E615" s="983">
        <v>6.6999999999999994E-3</v>
      </c>
      <c r="F615" s="983">
        <v>6.8833333333333333E-3</v>
      </c>
      <c r="G615" s="983">
        <v>6.7916666666666672E-3</v>
      </c>
      <c r="H615" s="983">
        <v>7.2083333333333331E-3</v>
      </c>
      <c r="I615" s="983">
        <v>-2.3900000000000001E-2</v>
      </c>
      <c r="J615" s="983">
        <v>-2.4991666666666669E-2</v>
      </c>
      <c r="K615" s="983">
        <v>-2.5408333333333335E-2</v>
      </c>
      <c r="L615" s="983">
        <v>-4.4408333333333334E-2</v>
      </c>
    </row>
    <row r="616" spans="1:12">
      <c r="A616" s="983">
        <v>28185</v>
      </c>
      <c r="B616" s="983">
        <v>-1.0500000000000001E-2</v>
      </c>
      <c r="C616" s="983">
        <v>1.0200000000000001E-2</v>
      </c>
      <c r="D616" s="983">
        <v>6.5000000000000006E-3</v>
      </c>
      <c r="E616" s="983">
        <v>6.7499999999999991E-3</v>
      </c>
      <c r="F616" s="983">
        <v>6.8999999999999999E-3</v>
      </c>
      <c r="G616" s="983">
        <v>6.8249999999999986E-3</v>
      </c>
      <c r="H616" s="983">
        <v>7.2499999999999995E-3</v>
      </c>
      <c r="I616" s="983">
        <v>-1.7000000000000001E-2</v>
      </c>
      <c r="J616" s="983">
        <v>-1.7325E-2</v>
      </c>
      <c r="K616" s="983">
        <v>-1.7750000000000002E-2</v>
      </c>
      <c r="L616" s="983">
        <v>2.9500000000000012E-3</v>
      </c>
    </row>
    <row r="617" spans="1:12">
      <c r="A617" s="983">
        <v>28216</v>
      </c>
      <c r="B617" s="983">
        <v>4.1999999999999997E-3</v>
      </c>
      <c r="C617" s="983">
        <v>2.0900000000000002E-2</v>
      </c>
      <c r="D617" s="983">
        <v>6.0999999999999995E-3</v>
      </c>
      <c r="E617" s="983">
        <v>6.6999999999999994E-3</v>
      </c>
      <c r="F617" s="983">
        <v>6.8999999999999999E-3</v>
      </c>
      <c r="G617" s="983">
        <v>6.7999999999999996E-3</v>
      </c>
      <c r="H617" s="983">
        <v>7.2583333333333345E-3</v>
      </c>
      <c r="I617" s="983">
        <v>-1.8999999999999998E-3</v>
      </c>
      <c r="J617" s="983">
        <v>-2.5999999999999999E-3</v>
      </c>
      <c r="K617" s="983">
        <v>-3.0583333333333348E-3</v>
      </c>
      <c r="L617" s="983">
        <v>1.3641666666666667E-2</v>
      </c>
    </row>
    <row r="618" spans="1:12">
      <c r="A618" s="983">
        <v>28246</v>
      </c>
      <c r="B618" s="983">
        <v>-1.9599999999999999E-2</v>
      </c>
      <c r="C618" s="983">
        <v>2.1099999999999997E-2</v>
      </c>
      <c r="D618" s="983">
        <v>6.7000000000000002E-3</v>
      </c>
      <c r="E618" s="983">
        <v>6.7083333333333335E-3</v>
      </c>
      <c r="F618" s="983">
        <v>6.8999999999999999E-3</v>
      </c>
      <c r="G618" s="983">
        <v>6.8041666666666667E-3</v>
      </c>
      <c r="H618" s="983">
        <v>7.2583333333333345E-3</v>
      </c>
      <c r="I618" s="983">
        <v>-2.63E-2</v>
      </c>
      <c r="J618" s="983">
        <v>-2.6404166666666666E-2</v>
      </c>
      <c r="K618" s="983">
        <v>-2.6858333333333335E-2</v>
      </c>
      <c r="L618" s="983">
        <v>1.3841666666666662E-2</v>
      </c>
    </row>
    <row r="619" spans="1:12">
      <c r="A619" s="983">
        <v>28277</v>
      </c>
      <c r="B619" s="983">
        <v>4.9399999999999999E-2</v>
      </c>
      <c r="C619" s="983">
        <v>5.3099999999999994E-2</v>
      </c>
      <c r="D619" s="983">
        <v>6.1999999999999998E-3</v>
      </c>
      <c r="E619" s="983">
        <v>6.6249999999999998E-3</v>
      </c>
      <c r="F619" s="983">
        <v>6.8250000000000003E-3</v>
      </c>
      <c r="G619" s="983">
        <v>6.7250000000000001E-3</v>
      </c>
      <c r="H619" s="983">
        <v>7.1500000000000001E-3</v>
      </c>
      <c r="I619" s="983">
        <v>4.3200000000000002E-2</v>
      </c>
      <c r="J619" s="983">
        <v>4.2674999999999998E-2</v>
      </c>
      <c r="K619" s="983">
        <v>4.2249999999999996E-2</v>
      </c>
      <c r="L619" s="983">
        <v>4.5949999999999991E-2</v>
      </c>
    </row>
    <row r="620" spans="1:12">
      <c r="A620" s="983">
        <v>28307</v>
      </c>
      <c r="B620" s="983">
        <v>-1.24E-2</v>
      </c>
      <c r="C620" s="983">
        <v>1.6399999999999998E-2</v>
      </c>
      <c r="D620" s="983">
        <v>5.8999999999999999E-3</v>
      </c>
      <c r="E620" s="983">
        <v>6.6166666666666674E-3</v>
      </c>
      <c r="F620" s="983">
        <v>6.7666666666666665E-3</v>
      </c>
      <c r="G620" s="983">
        <v>6.6916666666666669E-3</v>
      </c>
      <c r="H620" s="983">
        <v>7.0916666666666663E-3</v>
      </c>
      <c r="I620" s="983">
        <v>-1.83E-2</v>
      </c>
      <c r="J620" s="983">
        <v>-1.9091666666666667E-2</v>
      </c>
      <c r="K620" s="983">
        <v>-1.9491666666666664E-2</v>
      </c>
      <c r="L620" s="983">
        <v>9.3083333333333317E-3</v>
      </c>
    </row>
    <row r="621" spans="1:12">
      <c r="A621" s="983">
        <v>28338</v>
      </c>
      <c r="B621" s="983">
        <v>-1.72E-2</v>
      </c>
      <c r="C621" s="983">
        <v>-3.5300000000000005E-2</v>
      </c>
      <c r="D621" s="983">
        <v>6.7000000000000002E-3</v>
      </c>
      <c r="E621" s="983">
        <v>6.6500000000000005E-3</v>
      </c>
      <c r="F621" s="983">
        <v>6.8083333333333329E-3</v>
      </c>
      <c r="G621" s="983">
        <v>6.7291666666666663E-3</v>
      </c>
      <c r="H621" s="983">
        <v>7.0750000000000006E-3</v>
      </c>
      <c r="I621" s="983">
        <v>-2.3900000000000001E-2</v>
      </c>
      <c r="J621" s="983">
        <v>-2.3929166666666668E-2</v>
      </c>
      <c r="K621" s="983">
        <v>-2.4275000000000001E-2</v>
      </c>
      <c r="L621" s="983">
        <v>-4.2375000000000003E-2</v>
      </c>
    </row>
    <row r="622" spans="1:12">
      <c r="A622" s="983">
        <v>28369</v>
      </c>
      <c r="B622" s="983">
        <v>1.6000000000000001E-3</v>
      </c>
      <c r="C622" s="983">
        <v>2.4699999999999996E-2</v>
      </c>
      <c r="D622" s="983">
        <v>6.0999999999999995E-3</v>
      </c>
      <c r="E622" s="983">
        <v>6.6E-3</v>
      </c>
      <c r="F622" s="983">
        <v>6.7916666666666672E-3</v>
      </c>
      <c r="G622" s="983">
        <v>6.695833333333334E-3</v>
      </c>
      <c r="H622" s="983">
        <v>7.0500000000000007E-3</v>
      </c>
      <c r="I622" s="983">
        <v>-4.4999999999999997E-3</v>
      </c>
      <c r="J622" s="983">
        <v>-5.0958333333333342E-3</v>
      </c>
      <c r="K622" s="983">
        <v>-5.4500000000000009E-3</v>
      </c>
      <c r="L622" s="983">
        <v>1.7649999999999996E-2</v>
      </c>
    </row>
    <row r="623" spans="1:12">
      <c r="A623" s="983">
        <v>28399</v>
      </c>
      <c r="B623" s="983">
        <v>-3.9E-2</v>
      </c>
      <c r="C623" s="983">
        <v>-2.9600000000000001E-2</v>
      </c>
      <c r="D623" s="983">
        <v>6.3E-3</v>
      </c>
      <c r="E623" s="983">
        <v>6.6999999999999994E-3</v>
      </c>
      <c r="F623" s="983">
        <v>6.8833333333333333E-3</v>
      </c>
      <c r="G623" s="983">
        <v>6.7916666666666672E-3</v>
      </c>
      <c r="H623" s="983">
        <v>7.1749999999999991E-3</v>
      </c>
      <c r="I623" s="983">
        <v>-4.53E-2</v>
      </c>
      <c r="J623" s="983">
        <v>-4.5791666666666668E-2</v>
      </c>
      <c r="K623" s="983">
        <v>-4.6175000000000001E-2</v>
      </c>
      <c r="L623" s="983">
        <v>-3.6775000000000002E-2</v>
      </c>
    </row>
    <row r="624" spans="1:12">
      <c r="A624" s="983">
        <v>28430</v>
      </c>
      <c r="B624" s="983">
        <v>3.1600000000000003E-2</v>
      </c>
      <c r="C624" s="983">
        <v>3.8100000000000002E-2</v>
      </c>
      <c r="D624" s="983">
        <v>6.3E-3</v>
      </c>
      <c r="E624" s="983">
        <v>6.7333333333333334E-3</v>
      </c>
      <c r="F624" s="983">
        <v>6.9499999999999996E-3</v>
      </c>
      <c r="G624" s="983">
        <v>6.841666666666666E-3</v>
      </c>
      <c r="H624" s="983">
        <v>7.2000000000000007E-3</v>
      </c>
      <c r="I624" s="983">
        <v>2.5300000000000003E-2</v>
      </c>
      <c r="J624" s="983">
        <v>2.4758333333333337E-2</v>
      </c>
      <c r="K624" s="983">
        <v>2.4400000000000002E-2</v>
      </c>
      <c r="L624" s="983">
        <v>3.09E-2</v>
      </c>
    </row>
    <row r="625" spans="1:12">
      <c r="A625" s="983">
        <v>28460</v>
      </c>
      <c r="B625" s="983">
        <v>7.4999999999999997E-3</v>
      </c>
      <c r="C625" s="983">
        <v>1.8999999999999998E-3</v>
      </c>
      <c r="D625" s="983">
        <v>6.1999999999999998E-3</v>
      </c>
      <c r="E625" s="983">
        <v>6.8250000000000003E-3</v>
      </c>
      <c r="F625" s="983">
        <v>7.0041666666666655E-3</v>
      </c>
      <c r="G625" s="983">
        <v>6.9145833333333325E-3</v>
      </c>
      <c r="H625" s="983">
        <v>7.2000000000000007E-3</v>
      </c>
      <c r="I625" s="983">
        <v>1.2999999999999999E-3</v>
      </c>
      <c r="J625" s="983">
        <v>5.8541666666666724E-4</v>
      </c>
      <c r="K625" s="983">
        <v>2.9999999999999905E-4</v>
      </c>
      <c r="L625" s="983">
        <v>-5.3000000000000009E-3</v>
      </c>
    </row>
    <row r="626" spans="1:12">
      <c r="A626" s="983">
        <v>28491</v>
      </c>
      <c r="B626" s="983">
        <v>-5.74E-2</v>
      </c>
      <c r="C626" s="983">
        <v>-5.33E-2</v>
      </c>
      <c r="D626" s="983">
        <v>6.8999999999999999E-3</v>
      </c>
      <c r="E626" s="983">
        <v>7.0083333333333334E-3</v>
      </c>
      <c r="F626" s="983">
        <v>7.1583333333333334E-3</v>
      </c>
      <c r="G626" s="983">
        <v>7.083333333333333E-3</v>
      </c>
      <c r="H626" s="983">
        <v>7.4333333333333326E-3</v>
      </c>
      <c r="I626" s="983">
        <v>-6.4299999999999996E-2</v>
      </c>
      <c r="J626" s="983">
        <v>-6.4483333333333337E-2</v>
      </c>
      <c r="K626" s="983">
        <v>-6.4833333333333326E-2</v>
      </c>
      <c r="L626" s="983">
        <v>-6.0733333333333334E-2</v>
      </c>
    </row>
    <row r="627" spans="1:12">
      <c r="A627" s="983">
        <v>28522</v>
      </c>
      <c r="B627" s="983">
        <v>-2.0299999999999999E-2</v>
      </c>
      <c r="C627" s="983">
        <v>-6.1999999999999998E-3</v>
      </c>
      <c r="D627" s="983">
        <v>6.0000000000000001E-3</v>
      </c>
      <c r="E627" s="983">
        <v>7.058333333333334E-3</v>
      </c>
      <c r="F627" s="983">
        <v>7.2083333333333331E-3</v>
      </c>
      <c r="G627" s="983">
        <v>7.1333333333333335E-3</v>
      </c>
      <c r="H627" s="983">
        <v>7.4750000000000007E-3</v>
      </c>
      <c r="I627" s="983">
        <v>-2.6299999999999997E-2</v>
      </c>
      <c r="J627" s="983">
        <v>-2.743333333333333E-2</v>
      </c>
      <c r="K627" s="983">
        <v>-2.7775000000000001E-2</v>
      </c>
      <c r="L627" s="983">
        <v>-1.3675E-2</v>
      </c>
    </row>
    <row r="628" spans="1:12">
      <c r="A628" s="983">
        <v>28550</v>
      </c>
      <c r="B628" s="983">
        <v>2.9399999999999999E-2</v>
      </c>
      <c r="C628" s="983">
        <v>3.0899999999999997E-2</v>
      </c>
      <c r="D628" s="983">
        <v>6.8999999999999999E-3</v>
      </c>
      <c r="E628" s="983">
        <v>7.058333333333334E-3</v>
      </c>
      <c r="F628" s="983">
        <v>7.2166666666666664E-3</v>
      </c>
      <c r="G628" s="983">
        <v>7.1375000000000015E-3</v>
      </c>
      <c r="H628" s="983">
        <v>7.483333333333334E-3</v>
      </c>
      <c r="I628" s="983">
        <v>2.2499999999999999E-2</v>
      </c>
      <c r="J628" s="983">
        <v>2.2262499999999998E-2</v>
      </c>
      <c r="K628" s="983">
        <v>2.1916666666666664E-2</v>
      </c>
      <c r="L628" s="983">
        <v>2.3416666666666662E-2</v>
      </c>
    </row>
    <row r="629" spans="1:12">
      <c r="A629" s="983">
        <v>28581</v>
      </c>
      <c r="B629" s="983">
        <v>9.0200000000000002E-2</v>
      </c>
      <c r="C629" s="983">
        <v>1.06E-2</v>
      </c>
      <c r="D629" s="983">
        <v>6.3E-3</v>
      </c>
      <c r="E629" s="983">
        <v>7.1333333333333335E-3</v>
      </c>
      <c r="F629" s="983">
        <v>7.2750000000000002E-3</v>
      </c>
      <c r="G629" s="983">
        <v>7.2041666666666669E-3</v>
      </c>
      <c r="H629" s="983">
        <v>7.5749999999999993E-3</v>
      </c>
      <c r="I629" s="983">
        <v>8.3900000000000002E-2</v>
      </c>
      <c r="J629" s="983">
        <v>8.2995833333333338E-2</v>
      </c>
      <c r="K629" s="983">
        <v>8.2625000000000004E-2</v>
      </c>
      <c r="L629" s="983">
        <v>3.0250000000000008E-3</v>
      </c>
    </row>
    <row r="630" spans="1:12">
      <c r="A630" s="983">
        <v>28611</v>
      </c>
      <c r="B630" s="983">
        <v>9.1999999999999998E-3</v>
      </c>
      <c r="C630" s="983">
        <v>4.3E-3</v>
      </c>
      <c r="D630" s="983">
        <v>7.4999999999999997E-3</v>
      </c>
      <c r="E630" s="983">
        <v>7.2416666666666662E-3</v>
      </c>
      <c r="F630" s="983">
        <v>7.3666666666666672E-3</v>
      </c>
      <c r="G630" s="983">
        <v>7.3041666666666671E-3</v>
      </c>
      <c r="H630" s="983">
        <v>7.6833333333333345E-3</v>
      </c>
      <c r="I630" s="983">
        <v>1.7000000000000001E-3</v>
      </c>
      <c r="J630" s="983">
        <v>1.8958333333333327E-3</v>
      </c>
      <c r="K630" s="983">
        <v>1.5166666666666653E-3</v>
      </c>
      <c r="L630" s="983">
        <v>-3.3833333333333345E-3</v>
      </c>
    </row>
    <row r="631" spans="1:12">
      <c r="A631" s="983">
        <v>28642</v>
      </c>
      <c r="B631" s="983">
        <v>-1.38E-2</v>
      </c>
      <c r="C631" s="983">
        <v>3.5999999999999999E-3</v>
      </c>
      <c r="D631" s="983">
        <v>6.8999999999999999E-3</v>
      </c>
      <c r="E631" s="983">
        <v>7.3000000000000001E-3</v>
      </c>
      <c r="F631" s="983">
        <v>7.4583333333333324E-3</v>
      </c>
      <c r="G631" s="983">
        <v>7.3791666666666658E-3</v>
      </c>
      <c r="H631" s="983">
        <v>7.8333333333333328E-3</v>
      </c>
      <c r="I631" s="983">
        <v>-2.07E-2</v>
      </c>
      <c r="J631" s="983">
        <v>-2.1179166666666666E-2</v>
      </c>
      <c r="K631" s="983">
        <v>-2.1633333333333331E-2</v>
      </c>
      <c r="L631" s="983">
        <v>-4.2333333333333329E-3</v>
      </c>
    </row>
    <row r="632" spans="1:12">
      <c r="A632" s="983">
        <v>28672</v>
      </c>
      <c r="B632" s="983">
        <v>5.8299999999999998E-2</v>
      </c>
      <c r="C632" s="983">
        <v>3.1600000000000003E-2</v>
      </c>
      <c r="D632" s="983">
        <v>7.3000000000000001E-3</v>
      </c>
      <c r="E632" s="983">
        <v>7.4000000000000012E-3</v>
      </c>
      <c r="F632" s="983">
        <v>7.5583333333333336E-3</v>
      </c>
      <c r="G632" s="983">
        <v>7.4791666666666678E-3</v>
      </c>
      <c r="H632" s="983">
        <v>7.9249999999999998E-3</v>
      </c>
      <c r="I632" s="983">
        <v>5.0999999999999997E-2</v>
      </c>
      <c r="J632" s="983">
        <v>5.0820833333333329E-2</v>
      </c>
      <c r="K632" s="983">
        <v>5.0374999999999996E-2</v>
      </c>
      <c r="L632" s="983">
        <v>2.3675000000000002E-2</v>
      </c>
    </row>
    <row r="633" spans="1:12">
      <c r="A633" s="983">
        <v>28703</v>
      </c>
      <c r="B633" s="983">
        <v>3.0099999999999998E-2</v>
      </c>
      <c r="C633" s="983">
        <v>-3.0000000000000079E-4</v>
      </c>
      <c r="D633" s="983">
        <v>7.000000000000001E-3</v>
      </c>
      <c r="E633" s="983">
        <v>7.2416666666666662E-3</v>
      </c>
      <c r="F633" s="983">
        <v>7.4666666666666666E-3</v>
      </c>
      <c r="G633" s="983">
        <v>7.354166666666666E-3</v>
      </c>
      <c r="H633" s="983">
        <v>7.7666666666666674E-3</v>
      </c>
      <c r="I633" s="983">
        <v>2.3099999999999996E-2</v>
      </c>
      <c r="J633" s="983">
        <v>2.2745833333333333E-2</v>
      </c>
      <c r="K633" s="983">
        <v>2.233333333333333E-2</v>
      </c>
      <c r="L633" s="983">
        <v>-8.0666666666666682E-3</v>
      </c>
    </row>
    <row r="634" spans="1:12">
      <c r="A634" s="983">
        <v>28734</v>
      </c>
      <c r="B634" s="983">
        <v>-3.2000000000000002E-3</v>
      </c>
      <c r="C634" s="983">
        <v>-5.6000000000000008E-3</v>
      </c>
      <c r="D634" s="983">
        <v>6.5000000000000006E-3</v>
      </c>
      <c r="E634" s="983">
        <v>7.2416666666666662E-3</v>
      </c>
      <c r="F634" s="983">
        <v>7.4333333333333326E-3</v>
      </c>
      <c r="G634" s="983">
        <v>7.3374999999999994E-3</v>
      </c>
      <c r="H634" s="983">
        <v>7.7333333333333334E-3</v>
      </c>
      <c r="I634" s="983">
        <v>-9.7000000000000003E-3</v>
      </c>
      <c r="J634" s="983">
        <v>-1.05375E-2</v>
      </c>
      <c r="K634" s="983">
        <v>-1.0933333333333333E-2</v>
      </c>
      <c r="L634" s="983">
        <v>-1.3333333333333334E-2</v>
      </c>
    </row>
    <row r="635" spans="1:12">
      <c r="A635" s="983">
        <v>28764</v>
      </c>
      <c r="B635" s="983">
        <v>-8.72E-2</v>
      </c>
      <c r="C635" s="983">
        <v>-6.8400000000000002E-2</v>
      </c>
      <c r="D635" s="983">
        <v>7.3000000000000001E-3</v>
      </c>
      <c r="E635" s="983">
        <v>7.4083333333333336E-3</v>
      </c>
      <c r="F635" s="983">
        <v>7.5583333333333336E-3</v>
      </c>
      <c r="G635" s="983">
        <v>7.4833333333333332E-3</v>
      </c>
      <c r="H635" s="983">
        <v>7.8833333333333342E-3</v>
      </c>
      <c r="I635" s="983">
        <v>-9.4500000000000001E-2</v>
      </c>
      <c r="J635" s="983">
        <v>-9.4683333333333328E-2</v>
      </c>
      <c r="K635" s="983">
        <v>-9.5083333333333339E-2</v>
      </c>
      <c r="L635" s="983">
        <v>-7.6283333333333342E-2</v>
      </c>
    </row>
    <row r="636" spans="1:12">
      <c r="A636" s="983">
        <v>28795</v>
      </c>
      <c r="B636" s="983">
        <v>2.1499999999999998E-2</v>
      </c>
      <c r="C636" s="983">
        <v>3.56E-2</v>
      </c>
      <c r="D636" s="983">
        <v>7.1000000000000004E-3</v>
      </c>
      <c r="E636" s="983">
        <v>7.5249999999999996E-3</v>
      </c>
      <c r="F636" s="983">
        <v>7.7000000000000002E-3</v>
      </c>
      <c r="G636" s="983">
        <v>7.6124999999999995E-3</v>
      </c>
      <c r="H636" s="983">
        <v>8.0666666666666664E-3</v>
      </c>
      <c r="I636" s="983">
        <v>1.4399999999999998E-2</v>
      </c>
      <c r="J636" s="983">
        <v>1.3887499999999999E-2</v>
      </c>
      <c r="K636" s="983">
        <v>1.3433333333333332E-2</v>
      </c>
      <c r="L636" s="983">
        <v>2.7533333333333333E-2</v>
      </c>
    </row>
    <row r="637" spans="1:12">
      <c r="A637" s="983">
        <v>28825</v>
      </c>
      <c r="B637" s="983">
        <v>1.9599999999999999E-2</v>
      </c>
      <c r="C637" s="983">
        <v>-1.49E-2</v>
      </c>
      <c r="D637" s="983">
        <v>6.7999999999999996E-3</v>
      </c>
      <c r="E637" s="983">
        <v>7.6333333333333331E-3</v>
      </c>
      <c r="F637" s="983">
        <v>7.7749999999999998E-3</v>
      </c>
      <c r="G637" s="983">
        <v>7.7041666666666665E-3</v>
      </c>
      <c r="H637" s="983">
        <v>8.083333333333333E-3</v>
      </c>
      <c r="I637" s="983">
        <v>1.2799999999999999E-2</v>
      </c>
      <c r="J637" s="983">
        <v>1.1895833333333333E-2</v>
      </c>
      <c r="K637" s="983">
        <v>1.1516666666666666E-2</v>
      </c>
      <c r="L637" s="983">
        <v>-2.2983333333333335E-2</v>
      </c>
    </row>
    <row r="638" spans="1:12">
      <c r="A638" s="983">
        <v>28856</v>
      </c>
      <c r="B638" s="983">
        <v>4.4299999999999999E-2</v>
      </c>
      <c r="C638" s="983">
        <v>6.9199999999999998E-2</v>
      </c>
      <c r="D638" s="983">
        <v>7.9000000000000008E-3</v>
      </c>
      <c r="E638" s="983">
        <v>7.7083333333333335E-3</v>
      </c>
      <c r="F638" s="983">
        <v>7.9000000000000008E-3</v>
      </c>
      <c r="G638" s="983">
        <v>7.8041666666666676E-3</v>
      </c>
      <c r="H638" s="983">
        <v>8.2500000000000004E-3</v>
      </c>
      <c r="I638" s="983">
        <v>3.6400000000000002E-2</v>
      </c>
      <c r="J638" s="983">
        <v>3.6495833333333332E-2</v>
      </c>
      <c r="K638" s="983">
        <v>3.6049999999999999E-2</v>
      </c>
      <c r="L638" s="983">
        <v>6.0949999999999997E-2</v>
      </c>
    </row>
    <row r="639" spans="1:12">
      <c r="A639" s="983">
        <v>28887</v>
      </c>
      <c r="B639" s="983">
        <v>-3.2099999999999997E-2</v>
      </c>
      <c r="C639" s="983">
        <v>-2.12E-2</v>
      </c>
      <c r="D639" s="983">
        <v>6.5000000000000006E-3</v>
      </c>
      <c r="E639" s="983">
        <v>7.7166666666666659E-3</v>
      </c>
      <c r="F639" s="983">
        <v>7.9166666666666656E-3</v>
      </c>
      <c r="G639" s="983">
        <v>7.8166666666666662E-3</v>
      </c>
      <c r="H639" s="983">
        <v>8.199999999999999E-3</v>
      </c>
      <c r="I639" s="983">
        <v>-3.8599999999999995E-2</v>
      </c>
      <c r="J639" s="983">
        <v>-3.9916666666666663E-2</v>
      </c>
      <c r="K639" s="983">
        <v>-4.0299999999999996E-2</v>
      </c>
      <c r="L639" s="983">
        <v>-2.9399999999999999E-2</v>
      </c>
    </row>
    <row r="640" spans="1:12">
      <c r="A640" s="983">
        <v>28915</v>
      </c>
      <c r="B640" s="983">
        <v>5.96E-2</v>
      </c>
      <c r="C640" s="983">
        <v>1.9599999999999999E-2</v>
      </c>
      <c r="D640" s="983">
        <v>7.4000000000000003E-3</v>
      </c>
      <c r="E640" s="983">
        <v>7.8083333333333329E-3</v>
      </c>
      <c r="F640" s="983">
        <v>8.0083333333333326E-3</v>
      </c>
      <c r="G640" s="983">
        <v>7.9083333333333332E-3</v>
      </c>
      <c r="H640" s="983">
        <v>8.3666666666666663E-3</v>
      </c>
      <c r="I640" s="983">
        <v>5.2199999999999996E-2</v>
      </c>
      <c r="J640" s="983">
        <v>5.1691666666666664E-2</v>
      </c>
      <c r="K640" s="983">
        <v>5.1233333333333332E-2</v>
      </c>
      <c r="L640" s="983">
        <v>1.1233333333333333E-2</v>
      </c>
    </row>
    <row r="641" spans="1:12">
      <c r="A641" s="983">
        <v>28946</v>
      </c>
      <c r="B641" s="983">
        <v>6.3E-3</v>
      </c>
      <c r="C641" s="983">
        <v>-2.4899999999999999E-2</v>
      </c>
      <c r="D641" s="983">
        <v>7.6E-3</v>
      </c>
      <c r="E641" s="983">
        <v>7.8166666666666679E-3</v>
      </c>
      <c r="F641" s="983">
        <v>8.0416666666666674E-3</v>
      </c>
      <c r="G641" s="983">
        <v>7.9291666666666677E-3</v>
      </c>
      <c r="H641" s="983">
        <v>8.416666666666666E-3</v>
      </c>
      <c r="I641" s="983">
        <v>-1.2999999999999999E-3</v>
      </c>
      <c r="J641" s="983">
        <v>-1.6291666666666677E-3</v>
      </c>
      <c r="K641" s="983">
        <v>-2.116666666666666E-3</v>
      </c>
      <c r="L641" s="983">
        <v>-3.3316666666666661E-2</v>
      </c>
    </row>
    <row r="642" spans="1:12">
      <c r="A642" s="983">
        <v>28976</v>
      </c>
      <c r="B642" s="983">
        <v>-2.1700000000000001E-2</v>
      </c>
      <c r="C642" s="983">
        <v>1.4999999999999999E-2</v>
      </c>
      <c r="D642" s="983">
        <v>7.7000000000000002E-3</v>
      </c>
      <c r="E642" s="983">
        <v>7.9166666666666656E-3</v>
      </c>
      <c r="F642" s="983">
        <v>8.2166666666666673E-3</v>
      </c>
      <c r="G642" s="983">
        <v>8.0666666666666664E-3</v>
      </c>
      <c r="H642" s="983">
        <v>8.5833333333333334E-3</v>
      </c>
      <c r="I642" s="983">
        <v>-2.9400000000000003E-2</v>
      </c>
      <c r="J642" s="983">
        <v>-2.9766666666666667E-2</v>
      </c>
      <c r="K642" s="983">
        <v>-3.0283333333333336E-2</v>
      </c>
      <c r="L642" s="983">
        <v>6.416666666666666E-3</v>
      </c>
    </row>
    <row r="643" spans="1:12">
      <c r="A643" s="983">
        <v>29007</v>
      </c>
      <c r="B643" s="983">
        <v>4.3499999999999997E-2</v>
      </c>
      <c r="C643" s="983">
        <v>3.8600000000000002E-2</v>
      </c>
      <c r="D643" s="983">
        <v>7.1000000000000004E-3</v>
      </c>
      <c r="E643" s="983">
        <v>7.7416666666666658E-3</v>
      </c>
      <c r="F643" s="983">
        <v>8.0499999999999999E-3</v>
      </c>
      <c r="G643" s="983">
        <v>7.8958333333333328E-3</v>
      </c>
      <c r="H643" s="983">
        <v>8.4500000000000009E-3</v>
      </c>
      <c r="I643" s="983">
        <v>3.6399999999999995E-2</v>
      </c>
      <c r="J643" s="983">
        <v>3.5604166666666666E-2</v>
      </c>
      <c r="K643" s="983">
        <v>3.5049999999999998E-2</v>
      </c>
      <c r="L643" s="983">
        <v>3.0150000000000003E-2</v>
      </c>
    </row>
    <row r="644" spans="1:12">
      <c r="A644" s="983">
        <v>29037</v>
      </c>
      <c r="B644" s="983">
        <v>1.34E-2</v>
      </c>
      <c r="C644" s="983">
        <v>3.4200000000000001E-2</v>
      </c>
      <c r="D644" s="983">
        <v>7.6E-3</v>
      </c>
      <c r="E644" s="983">
        <v>7.6666666666666662E-3</v>
      </c>
      <c r="F644" s="983">
        <v>7.9083333333333332E-3</v>
      </c>
      <c r="G644" s="983">
        <v>7.7875000000000002E-3</v>
      </c>
      <c r="H644" s="983">
        <v>8.3166666666666667E-3</v>
      </c>
      <c r="I644" s="983">
        <v>5.8000000000000005E-3</v>
      </c>
      <c r="J644" s="983">
        <v>5.6125000000000003E-3</v>
      </c>
      <c r="K644" s="983">
        <v>5.0833333333333338E-3</v>
      </c>
      <c r="L644" s="983">
        <v>2.5883333333333335E-2</v>
      </c>
    </row>
    <row r="645" spans="1:12">
      <c r="A645" s="983">
        <v>29068</v>
      </c>
      <c r="B645" s="983">
        <v>5.7700000000000001E-2</v>
      </c>
      <c r="C645" s="983">
        <v>1.0200000000000001E-2</v>
      </c>
      <c r="D645" s="983">
        <v>7.3000000000000001E-3</v>
      </c>
      <c r="E645" s="983">
        <v>7.691666666666667E-3</v>
      </c>
      <c r="F645" s="983">
        <v>7.9416666666666663E-3</v>
      </c>
      <c r="G645" s="983">
        <v>7.8166666666666662E-3</v>
      </c>
      <c r="H645" s="983">
        <v>8.4500000000000009E-3</v>
      </c>
      <c r="I645" s="983">
        <v>5.04E-2</v>
      </c>
      <c r="J645" s="983">
        <v>4.9883333333333335E-2</v>
      </c>
      <c r="K645" s="983">
        <v>4.9250000000000002E-2</v>
      </c>
      <c r="L645" s="983">
        <v>1.7499999999999998E-3</v>
      </c>
    </row>
    <row r="646" spans="1:12">
      <c r="A646" s="983">
        <v>29099</v>
      </c>
      <c r="B646" s="983">
        <v>4.3E-3</v>
      </c>
      <c r="C646" s="983">
        <v>-1.77E-2</v>
      </c>
      <c r="D646" s="983">
        <v>6.7999999999999996E-3</v>
      </c>
      <c r="E646" s="983">
        <v>7.8666666666666659E-3</v>
      </c>
      <c r="F646" s="983">
        <v>8.083333333333333E-3</v>
      </c>
      <c r="G646" s="983">
        <v>7.9749999999999995E-3</v>
      </c>
      <c r="H646" s="983">
        <v>8.6333333333333331E-3</v>
      </c>
      <c r="I646" s="983">
        <v>-2.4999999999999996E-3</v>
      </c>
      <c r="J646" s="983">
        <v>-3.6749999999999994E-3</v>
      </c>
      <c r="K646" s="983">
        <v>-4.3333333333333331E-3</v>
      </c>
      <c r="L646" s="983">
        <v>-2.6333333333333334E-2</v>
      </c>
    </row>
    <row r="647" spans="1:12">
      <c r="A647" s="983">
        <v>29129</v>
      </c>
      <c r="B647" s="983">
        <v>-6.4000000000000001E-2</v>
      </c>
      <c r="C647" s="983">
        <v>-5.0499999999999996E-2</v>
      </c>
      <c r="D647" s="983">
        <v>8.2000000000000007E-3</v>
      </c>
      <c r="E647" s="983">
        <v>8.4416666666666668E-3</v>
      </c>
      <c r="F647" s="983">
        <v>8.7166666666666677E-3</v>
      </c>
      <c r="G647" s="983">
        <v>8.5791666666666672E-3</v>
      </c>
      <c r="H647" s="983">
        <v>9.5000000000000015E-3</v>
      </c>
      <c r="I647" s="983">
        <v>-7.22E-2</v>
      </c>
      <c r="J647" s="983">
        <v>-7.2579166666666667E-2</v>
      </c>
      <c r="K647" s="983">
        <v>-7.350000000000001E-2</v>
      </c>
      <c r="L647" s="983">
        <v>-0.06</v>
      </c>
    </row>
    <row r="648" spans="1:12">
      <c r="A648" s="983">
        <v>29160</v>
      </c>
      <c r="B648" s="983">
        <v>4.7500000000000001E-2</v>
      </c>
      <c r="C648" s="983">
        <v>6.0699999999999997E-2</v>
      </c>
      <c r="D648" s="983">
        <v>8.3000000000000001E-3</v>
      </c>
      <c r="E648" s="983">
        <v>8.9666666666666662E-3</v>
      </c>
      <c r="F648" s="983">
        <v>9.3500000000000007E-3</v>
      </c>
      <c r="G648" s="983">
        <v>9.1583333333333326E-3</v>
      </c>
      <c r="H648" s="983">
        <v>9.9083333333333332E-3</v>
      </c>
      <c r="I648" s="983">
        <v>3.9199999999999999E-2</v>
      </c>
      <c r="J648" s="983">
        <v>3.834166666666667E-2</v>
      </c>
      <c r="K648" s="983">
        <v>3.7591666666666669E-2</v>
      </c>
      <c r="L648" s="983">
        <v>5.0791666666666666E-2</v>
      </c>
    </row>
    <row r="649" spans="1:12">
      <c r="A649" s="983">
        <v>29190</v>
      </c>
      <c r="B649" s="983">
        <v>2.1399999999999999E-2</v>
      </c>
      <c r="C649" s="983">
        <v>2.2000000000000006E-3</v>
      </c>
      <c r="D649" s="983">
        <v>8.3000000000000001E-3</v>
      </c>
      <c r="E649" s="983">
        <v>8.9499999999999996E-3</v>
      </c>
      <c r="F649" s="983">
        <v>9.2916666666666668E-3</v>
      </c>
      <c r="G649" s="983">
        <v>9.1208333333333332E-3</v>
      </c>
      <c r="H649" s="983">
        <v>1.0125E-2</v>
      </c>
      <c r="I649" s="983">
        <v>1.3099999999999999E-2</v>
      </c>
      <c r="J649" s="983">
        <v>1.2279166666666666E-2</v>
      </c>
      <c r="K649" s="983">
        <v>1.1274999999999999E-2</v>
      </c>
      <c r="L649" s="983">
        <v>-7.9249999999999998E-3</v>
      </c>
    </row>
    <row r="650" spans="1:12">
      <c r="A650" s="983">
        <v>29221</v>
      </c>
      <c r="B650" s="983">
        <v>6.2199999999999998E-2</v>
      </c>
      <c r="C650" s="983">
        <v>-2.3E-3</v>
      </c>
      <c r="D650" s="983">
        <v>8.3000000000000001E-3</v>
      </c>
      <c r="E650" s="983">
        <v>9.2416666666666671E-3</v>
      </c>
      <c r="F650" s="983">
        <v>9.633333333333334E-3</v>
      </c>
      <c r="G650" s="983">
        <v>9.4375000000000014E-3</v>
      </c>
      <c r="H650" s="983">
        <v>1.0177083333333335E-2</v>
      </c>
      <c r="I650" s="983">
        <v>5.3899999999999997E-2</v>
      </c>
      <c r="J650" s="983">
        <v>5.2762499999999997E-2</v>
      </c>
      <c r="K650" s="983">
        <v>5.2022916666666662E-2</v>
      </c>
      <c r="L650" s="983">
        <v>-1.2477083333333335E-2</v>
      </c>
    </row>
    <row r="651" spans="1:12">
      <c r="A651" s="983">
        <v>29252</v>
      </c>
      <c r="B651" s="983">
        <v>-1E-4</v>
      </c>
      <c r="C651" s="983">
        <v>-2.4700000000000003E-2</v>
      </c>
      <c r="D651" s="983">
        <v>8.3999999999999995E-3</v>
      </c>
      <c r="E651" s="983">
        <v>1.0316666666666667E-2</v>
      </c>
      <c r="F651" s="983">
        <v>1.0608333333333332E-2</v>
      </c>
      <c r="G651" s="983">
        <v>1.0462500000000001E-2</v>
      </c>
      <c r="H651" s="983">
        <v>1.1028333333333333E-2</v>
      </c>
      <c r="I651" s="983">
        <v>-8.4999999999999989E-3</v>
      </c>
      <c r="J651" s="983">
        <v>-1.0562500000000001E-2</v>
      </c>
      <c r="K651" s="983">
        <v>-1.1128333333333332E-2</v>
      </c>
      <c r="L651" s="983">
        <v>-3.5728333333333334E-2</v>
      </c>
    </row>
    <row r="652" spans="1:12">
      <c r="A652" s="983">
        <v>29281</v>
      </c>
      <c r="B652" s="983">
        <v>-9.7199999999999995E-2</v>
      </c>
      <c r="C652" s="983">
        <v>-5.2900000000000003E-2</v>
      </c>
      <c r="D652" s="983">
        <v>9.9000000000000008E-3</v>
      </c>
      <c r="E652" s="983">
        <v>1.0800000000000001E-2</v>
      </c>
      <c r="F652" s="983">
        <v>1.1258333333333332E-2</v>
      </c>
      <c r="G652" s="983">
        <v>1.1029166666666668E-2</v>
      </c>
      <c r="H652" s="983">
        <v>1.2158333333333333E-2</v>
      </c>
      <c r="I652" s="983">
        <v>-0.1071</v>
      </c>
      <c r="J652" s="983">
        <v>-0.10822916666666667</v>
      </c>
      <c r="K652" s="983">
        <v>-0.10935833333333334</v>
      </c>
      <c r="L652" s="983">
        <v>-6.5058333333333329E-2</v>
      </c>
    </row>
    <row r="653" spans="1:12">
      <c r="A653" s="983">
        <v>29312</v>
      </c>
      <c r="B653" s="983">
        <v>4.6199999999999998E-2</v>
      </c>
      <c r="C653" s="983">
        <v>0.1186</v>
      </c>
      <c r="D653" s="983">
        <v>0.01</v>
      </c>
      <c r="E653" s="983">
        <v>1.0033333333333332E-2</v>
      </c>
      <c r="F653" s="983">
        <v>1.0883333333333333E-2</v>
      </c>
      <c r="G653" s="983">
        <v>1.0458333333333333E-2</v>
      </c>
      <c r="H653" s="983">
        <v>1.1908333333333333E-2</v>
      </c>
      <c r="I653" s="983">
        <v>3.6199999999999996E-2</v>
      </c>
      <c r="J653" s="983">
        <v>3.5741666666666665E-2</v>
      </c>
      <c r="K653" s="983">
        <v>3.4291666666666665E-2</v>
      </c>
      <c r="L653" s="983">
        <v>0.10669166666666666</v>
      </c>
    </row>
    <row r="654" spans="1:12">
      <c r="A654" s="983">
        <v>29342</v>
      </c>
      <c r="B654" s="983">
        <v>5.1499999999999997E-2</v>
      </c>
      <c r="C654" s="983">
        <v>3.2299999999999995E-2</v>
      </c>
      <c r="D654" s="983">
        <v>8.6999999999999994E-3</v>
      </c>
      <c r="E654" s="983">
        <v>9.1583333333333343E-3</v>
      </c>
      <c r="F654" s="983">
        <v>9.9249999999999998E-3</v>
      </c>
      <c r="G654" s="983">
        <v>9.541666666666667E-3</v>
      </c>
      <c r="H654" s="983">
        <v>1.0613333333333334E-2</v>
      </c>
      <c r="I654" s="983">
        <v>4.2799999999999998E-2</v>
      </c>
      <c r="J654" s="983">
        <v>4.1958333333333334E-2</v>
      </c>
      <c r="K654" s="983">
        <v>4.0886666666666661E-2</v>
      </c>
      <c r="L654" s="983">
        <v>2.168666666666666E-2</v>
      </c>
    </row>
    <row r="655" spans="1:12">
      <c r="A655" s="983">
        <v>29373</v>
      </c>
      <c r="B655" s="983">
        <v>3.1600000000000003E-2</v>
      </c>
      <c r="C655" s="983">
        <v>3.3700000000000001E-2</v>
      </c>
      <c r="D655" s="983">
        <v>8.6E-3</v>
      </c>
      <c r="E655" s="983">
        <v>8.8166666666666671E-3</v>
      </c>
      <c r="F655" s="983">
        <v>9.4916666666666673E-3</v>
      </c>
      <c r="G655" s="983">
        <v>9.1541666666666681E-3</v>
      </c>
      <c r="H655" s="983">
        <v>1.033125E-2</v>
      </c>
      <c r="I655" s="983">
        <v>2.3000000000000003E-2</v>
      </c>
      <c r="J655" s="983">
        <v>2.2445833333333335E-2</v>
      </c>
      <c r="K655" s="983">
        <v>2.1268750000000003E-2</v>
      </c>
      <c r="L655" s="983">
        <v>2.3368750000000001E-2</v>
      </c>
    </row>
    <row r="656" spans="1:12">
      <c r="A656" s="983">
        <v>29403</v>
      </c>
      <c r="B656" s="983">
        <v>6.9599999999999995E-2</v>
      </c>
      <c r="C656" s="983">
        <v>-4.0999999999999995E-3</v>
      </c>
      <c r="D656" s="983">
        <v>8.3999999999999995E-3</v>
      </c>
      <c r="E656" s="983">
        <v>9.2250000000000006E-3</v>
      </c>
      <c r="F656" s="983">
        <v>9.5250000000000005E-3</v>
      </c>
      <c r="G656" s="983">
        <v>9.3749999999999997E-3</v>
      </c>
      <c r="H656" s="983">
        <v>1.0127083333333333E-2</v>
      </c>
      <c r="I656" s="983">
        <v>6.1199999999999997E-2</v>
      </c>
      <c r="J656" s="983">
        <v>6.0224999999999994E-2</v>
      </c>
      <c r="K656" s="983">
        <v>5.947291666666666E-2</v>
      </c>
      <c r="L656" s="983">
        <v>-1.4227083333333333E-2</v>
      </c>
    </row>
    <row r="657" spans="1:12">
      <c r="A657" s="983">
        <v>29434</v>
      </c>
      <c r="B657" s="983">
        <v>1.01E-2</v>
      </c>
      <c r="C657" s="983">
        <v>-1.3899999999999999E-2</v>
      </c>
      <c r="D657" s="983">
        <v>8.0999999999999996E-3</v>
      </c>
      <c r="E657" s="983">
        <v>9.7000000000000003E-3</v>
      </c>
      <c r="F657" s="983">
        <v>1.0075000000000001E-2</v>
      </c>
      <c r="G657" s="983">
        <v>9.8875000000000005E-3</v>
      </c>
      <c r="H657" s="983">
        <v>1.0549999999999999E-2</v>
      </c>
      <c r="I657" s="983">
        <v>2E-3</v>
      </c>
      <c r="J657" s="983">
        <v>2.1249999999999915E-4</v>
      </c>
      <c r="K657" s="983">
        <v>-4.4999999999999901E-4</v>
      </c>
      <c r="L657" s="983">
        <v>-2.445E-2</v>
      </c>
    </row>
    <row r="658" spans="1:12">
      <c r="A658" s="983">
        <v>29465</v>
      </c>
      <c r="B658" s="983">
        <v>2.9399999999999999E-2</v>
      </c>
      <c r="C658" s="983">
        <v>-1.14E-2</v>
      </c>
      <c r="D658" s="983">
        <v>9.7000000000000003E-3</v>
      </c>
      <c r="E658" s="983">
        <v>1.0016666666666667E-2</v>
      </c>
      <c r="F658" s="983">
        <v>1.0433333333333333E-2</v>
      </c>
      <c r="G658" s="983">
        <v>1.0225E-2</v>
      </c>
      <c r="H658" s="983">
        <v>1.1077083333333333E-2</v>
      </c>
      <c r="I658" s="983">
        <v>1.9699999999999999E-2</v>
      </c>
      <c r="J658" s="983">
        <v>1.9174999999999998E-2</v>
      </c>
      <c r="K658" s="983">
        <v>1.8322916666666668E-2</v>
      </c>
      <c r="L658" s="983">
        <v>-2.2477083333333335E-2</v>
      </c>
    </row>
    <row r="659" spans="1:12">
      <c r="A659" s="983">
        <v>29495</v>
      </c>
      <c r="B659" s="983">
        <v>2.0199999999999999E-2</v>
      </c>
      <c r="C659" s="983">
        <v>2.7400000000000001E-2</v>
      </c>
      <c r="D659" s="983">
        <v>9.7000000000000003E-3</v>
      </c>
      <c r="E659" s="983">
        <v>1.0258333333333335E-2</v>
      </c>
      <c r="F659" s="983">
        <v>1.0566666666666667E-2</v>
      </c>
      <c r="G659" s="983">
        <v>1.04125E-2</v>
      </c>
      <c r="H659" s="983">
        <v>1.1279999999999998E-2</v>
      </c>
      <c r="I659" s="983">
        <v>1.0499999999999999E-2</v>
      </c>
      <c r="J659" s="983">
        <v>9.7874999999999993E-3</v>
      </c>
      <c r="K659" s="983">
        <v>8.9200000000000008E-3</v>
      </c>
      <c r="L659" s="983">
        <v>1.6120000000000002E-2</v>
      </c>
    </row>
    <row r="660" spans="1:12">
      <c r="A660" s="983">
        <v>29526</v>
      </c>
      <c r="B660" s="983">
        <v>0.1065</v>
      </c>
      <c r="C660" s="983">
        <v>5.0099999999999999E-2</v>
      </c>
      <c r="D660" s="983">
        <v>9.1000000000000004E-3</v>
      </c>
      <c r="E660" s="983">
        <v>1.0808333333333333E-2</v>
      </c>
      <c r="F660" s="983">
        <v>1.1116666666666665E-2</v>
      </c>
      <c r="G660" s="983">
        <v>1.09625E-2</v>
      </c>
      <c r="H660" s="983">
        <v>1.1677083333333333E-2</v>
      </c>
      <c r="I660" s="983">
        <v>9.74E-2</v>
      </c>
      <c r="J660" s="983">
        <v>9.5537499999999997E-2</v>
      </c>
      <c r="K660" s="983">
        <v>9.482291666666666E-2</v>
      </c>
      <c r="L660" s="983">
        <v>3.8422916666666668E-2</v>
      </c>
    </row>
    <row r="661" spans="1:12">
      <c r="A661" s="983">
        <v>29556</v>
      </c>
      <c r="B661" s="983">
        <v>-3.0200000000000001E-2</v>
      </c>
      <c r="C661" s="983">
        <v>-1.4000000000000002E-3</v>
      </c>
      <c r="D661" s="983">
        <v>1.0800000000000001E-2</v>
      </c>
      <c r="E661" s="983">
        <v>1.1008333333333334E-2</v>
      </c>
      <c r="F661" s="983">
        <v>1.1483333333333332E-2</v>
      </c>
      <c r="G661" s="983">
        <v>1.1245833333333333E-2</v>
      </c>
      <c r="H661" s="983">
        <v>1.2216666666666667E-2</v>
      </c>
      <c r="I661" s="983">
        <v>-4.1000000000000002E-2</v>
      </c>
      <c r="J661" s="983">
        <v>-4.1445833333333335E-2</v>
      </c>
      <c r="K661" s="983">
        <v>-4.2416666666666672E-2</v>
      </c>
      <c r="L661" s="983">
        <v>-1.3616666666666668E-2</v>
      </c>
    </row>
    <row r="662" spans="1:12">
      <c r="A662" s="983">
        <v>29587</v>
      </c>
      <c r="B662" s="983">
        <v>-4.1799999999999997E-2</v>
      </c>
      <c r="C662" s="983">
        <v>-1.8600000000000002E-2</v>
      </c>
      <c r="D662" s="983">
        <v>9.4000000000000004E-3</v>
      </c>
      <c r="E662" s="983">
        <v>1.0675E-2</v>
      </c>
      <c r="F662" s="983">
        <v>1.1266666666666668E-2</v>
      </c>
      <c r="G662" s="983">
        <v>1.0970833333333334E-2</v>
      </c>
      <c r="H662" s="983">
        <v>1.1894999999999999E-2</v>
      </c>
      <c r="I662" s="983">
        <v>-5.1199999999999996E-2</v>
      </c>
      <c r="J662" s="983">
        <v>-5.2770833333333329E-2</v>
      </c>
      <c r="K662" s="983">
        <v>-5.3694999999999993E-2</v>
      </c>
      <c r="L662" s="983">
        <v>-3.0495000000000001E-2</v>
      </c>
    </row>
    <row r="663" spans="1:12">
      <c r="A663" s="983">
        <v>29618</v>
      </c>
      <c r="B663" s="983">
        <v>1.7399999999999999E-2</v>
      </c>
      <c r="C663" s="983">
        <v>-2.2400000000000003E-2</v>
      </c>
      <c r="D663" s="983">
        <v>8.8000000000000005E-3</v>
      </c>
      <c r="E663" s="983">
        <v>1.1125000000000001E-2</v>
      </c>
      <c r="F663" s="983">
        <v>1.1575E-2</v>
      </c>
      <c r="G663" s="983">
        <v>1.1350000000000001E-2</v>
      </c>
      <c r="H663" s="983">
        <v>1.2233333333333334E-2</v>
      </c>
      <c r="I663" s="983">
        <v>8.5999999999999983E-3</v>
      </c>
      <c r="J663" s="983">
        <v>6.0499999999999981E-3</v>
      </c>
      <c r="K663" s="983">
        <v>5.1666666666666649E-3</v>
      </c>
      <c r="L663" s="983">
        <v>-3.4633333333333335E-2</v>
      </c>
    </row>
    <row r="664" spans="1:12">
      <c r="A664" s="983">
        <v>29646</v>
      </c>
      <c r="B664" s="983">
        <v>0.04</v>
      </c>
      <c r="C664" s="983">
        <v>4.2000000000000003E-2</v>
      </c>
      <c r="D664" s="983">
        <v>1.11E-2</v>
      </c>
      <c r="E664" s="983">
        <v>1.1108333333333333E-2</v>
      </c>
      <c r="F664" s="983">
        <v>1.1583333333333334E-2</v>
      </c>
      <c r="G664" s="983">
        <v>1.1345833333333335E-2</v>
      </c>
      <c r="H664" s="983">
        <v>1.2604166666666668E-2</v>
      </c>
      <c r="I664" s="983">
        <v>2.8900000000000002E-2</v>
      </c>
      <c r="J664" s="983">
        <v>2.8654166666666668E-2</v>
      </c>
      <c r="K664" s="983">
        <v>2.7395833333333335E-2</v>
      </c>
      <c r="L664" s="983">
        <v>2.9395833333333336E-2</v>
      </c>
    </row>
    <row r="665" spans="1:12">
      <c r="A665" s="983">
        <v>29677</v>
      </c>
      <c r="B665" s="983">
        <v>-1.9300000000000001E-2</v>
      </c>
      <c r="C665" s="983">
        <v>-9.5999999999999992E-3</v>
      </c>
      <c r="D665" s="983">
        <v>1.01E-2</v>
      </c>
      <c r="E665" s="983">
        <v>1.1566666666666668E-2</v>
      </c>
      <c r="F665" s="983">
        <v>1.1991666666666668E-2</v>
      </c>
      <c r="G665" s="983">
        <v>1.1779166666666667E-2</v>
      </c>
      <c r="H665" s="983">
        <v>1.2708333333333332E-2</v>
      </c>
      <c r="I665" s="983">
        <v>-2.9400000000000003E-2</v>
      </c>
      <c r="J665" s="983">
        <v>-3.1079166666666668E-2</v>
      </c>
      <c r="K665" s="983">
        <v>-3.2008333333333333E-2</v>
      </c>
      <c r="L665" s="983">
        <v>-2.2308333333333333E-2</v>
      </c>
    </row>
    <row r="666" spans="1:12">
      <c r="A666" s="983">
        <v>29707</v>
      </c>
      <c r="B666" s="983">
        <v>2.5999999999999999E-3</v>
      </c>
      <c r="C666" s="983">
        <v>2.9100000000000001E-2</v>
      </c>
      <c r="D666" s="983">
        <v>1.04E-2</v>
      </c>
      <c r="E666" s="983">
        <v>1.1933333333333334E-2</v>
      </c>
      <c r="F666" s="983">
        <v>1.24E-2</v>
      </c>
      <c r="G666" s="983">
        <v>1.2166666666666668E-2</v>
      </c>
      <c r="H666" s="983">
        <v>1.3429999999999999E-2</v>
      </c>
      <c r="I666" s="983">
        <v>-7.7999999999999996E-3</v>
      </c>
      <c r="J666" s="983">
        <v>-9.5666666666666678E-3</v>
      </c>
      <c r="K666" s="983">
        <v>-1.0829999999999999E-2</v>
      </c>
      <c r="L666" s="983">
        <v>1.5670000000000003E-2</v>
      </c>
    </row>
    <row r="667" spans="1:12">
      <c r="A667" s="983">
        <v>29738</v>
      </c>
      <c r="B667" s="983">
        <v>-6.3E-3</v>
      </c>
      <c r="C667" s="983">
        <v>2.7200000000000002E-2</v>
      </c>
      <c r="D667" s="983">
        <v>1.09E-2</v>
      </c>
      <c r="E667" s="983">
        <v>1.1458333333333333E-2</v>
      </c>
      <c r="F667" s="983">
        <v>1.2008333333333334E-2</v>
      </c>
      <c r="G667" s="983">
        <v>1.1733333333333333E-2</v>
      </c>
      <c r="H667" s="983">
        <v>1.3160416666666667E-2</v>
      </c>
      <c r="I667" s="983">
        <v>-1.72E-2</v>
      </c>
      <c r="J667" s="983">
        <v>-1.8033333333333332E-2</v>
      </c>
      <c r="K667" s="983">
        <v>-1.9460416666666668E-2</v>
      </c>
      <c r="L667" s="983">
        <v>1.4039583333333334E-2</v>
      </c>
    </row>
    <row r="668" spans="1:12">
      <c r="A668" s="983">
        <v>29768</v>
      </c>
      <c r="B668" s="983">
        <v>2.0999999999999999E-3</v>
      </c>
      <c r="C668" s="983">
        <v>3.4099999999999998E-2</v>
      </c>
      <c r="D668" s="983">
        <v>1.09E-2</v>
      </c>
      <c r="E668" s="983">
        <v>1.1983333333333335E-2</v>
      </c>
      <c r="F668" s="983">
        <v>1.2324999999999999E-2</v>
      </c>
      <c r="G668" s="983">
        <v>1.2154166666666666E-2</v>
      </c>
      <c r="H668" s="983">
        <v>1.3393333333333333E-2</v>
      </c>
      <c r="I668" s="983">
        <v>-8.8000000000000005E-3</v>
      </c>
      <c r="J668" s="983">
        <v>-1.0054166666666666E-2</v>
      </c>
      <c r="K668" s="983">
        <v>-1.1293333333333334E-2</v>
      </c>
      <c r="L668" s="983">
        <v>2.0706666666666665E-2</v>
      </c>
    </row>
    <row r="669" spans="1:12">
      <c r="A669" s="983">
        <v>29799</v>
      </c>
      <c r="B669" s="983">
        <v>-5.7700000000000001E-2</v>
      </c>
      <c r="C669" s="983">
        <v>-2.3999999999999994E-3</v>
      </c>
      <c r="D669" s="983">
        <v>1.0999999999999999E-2</v>
      </c>
      <c r="E669" s="983">
        <v>1.2408333333333334E-2</v>
      </c>
      <c r="F669" s="983">
        <v>1.2849999999999999E-2</v>
      </c>
      <c r="G669" s="983">
        <v>1.2629166666666667E-2</v>
      </c>
      <c r="H669" s="983">
        <v>1.3706250000000001E-2</v>
      </c>
      <c r="I669" s="983">
        <v>-6.8699999999999997E-2</v>
      </c>
      <c r="J669" s="983">
        <v>-7.0329166666666665E-2</v>
      </c>
      <c r="K669" s="983">
        <v>-7.1406250000000004E-2</v>
      </c>
      <c r="L669" s="983">
        <v>-1.6106250000000003E-2</v>
      </c>
    </row>
    <row r="670" spans="1:12">
      <c r="A670" s="983">
        <v>29830</v>
      </c>
      <c r="B670" s="983">
        <v>-4.9299999999999997E-2</v>
      </c>
      <c r="C670" s="983">
        <v>-4.0899999999999999E-2</v>
      </c>
      <c r="D670" s="983">
        <v>1.14E-2</v>
      </c>
      <c r="E670" s="983">
        <v>1.2908333333333332E-2</v>
      </c>
      <c r="F670" s="983">
        <v>1.3291666666666667E-2</v>
      </c>
      <c r="G670" s="983">
        <v>1.3100000000000001E-2</v>
      </c>
      <c r="H670" s="983">
        <v>1.4191666666666667E-2</v>
      </c>
      <c r="I670" s="983">
        <v>-6.0699999999999997E-2</v>
      </c>
      <c r="J670" s="983">
        <v>-6.2399999999999997E-2</v>
      </c>
      <c r="K670" s="983">
        <v>-6.3491666666666668E-2</v>
      </c>
      <c r="L670" s="983">
        <v>-5.5091666666666664E-2</v>
      </c>
    </row>
    <row r="671" spans="1:12">
      <c r="A671" s="983">
        <v>29860</v>
      </c>
      <c r="B671" s="983">
        <v>5.3999999999999999E-2</v>
      </c>
      <c r="C671" s="983">
        <v>6.1699999999999998E-2</v>
      </c>
      <c r="D671" s="983">
        <v>1.1699999999999999E-2</v>
      </c>
      <c r="E671" s="983">
        <v>1.2833333333333334E-2</v>
      </c>
      <c r="F671" s="983">
        <v>1.3183333333333333E-2</v>
      </c>
      <c r="G671" s="983">
        <v>1.3008333333333334E-2</v>
      </c>
      <c r="H671" s="983">
        <v>1.4379166666666665E-2</v>
      </c>
      <c r="I671" s="983">
        <v>4.2300000000000004E-2</v>
      </c>
      <c r="J671" s="983">
        <v>4.0991666666666662E-2</v>
      </c>
      <c r="K671" s="983">
        <v>3.9620833333333334E-2</v>
      </c>
      <c r="L671" s="983">
        <v>4.7320833333333333E-2</v>
      </c>
    </row>
    <row r="672" spans="1:12">
      <c r="A672" s="983">
        <v>29891</v>
      </c>
      <c r="B672" s="983">
        <v>4.1300000000000003E-2</v>
      </c>
      <c r="C672" s="983">
        <v>4.8100000000000004E-2</v>
      </c>
      <c r="D672" s="983">
        <v>1.1299999999999999E-2</v>
      </c>
      <c r="E672" s="983">
        <v>1.1850000000000001E-2</v>
      </c>
      <c r="F672" s="983">
        <v>1.2475E-2</v>
      </c>
      <c r="G672" s="983">
        <v>1.21625E-2</v>
      </c>
      <c r="H672" s="983">
        <v>1.3679166666666666E-2</v>
      </c>
      <c r="I672" s="983">
        <v>3.0000000000000006E-2</v>
      </c>
      <c r="J672" s="983">
        <v>2.9137500000000004E-2</v>
      </c>
      <c r="K672" s="983">
        <v>2.7620833333333338E-2</v>
      </c>
      <c r="L672" s="983">
        <v>3.4420833333333338E-2</v>
      </c>
    </row>
    <row r="673" spans="1:12">
      <c r="A673" s="983">
        <v>29921</v>
      </c>
      <c r="B673" s="983">
        <v>-2.5600000000000001E-2</v>
      </c>
      <c r="C673" s="983">
        <v>-3.0499999999999999E-2</v>
      </c>
      <c r="D673" s="983">
        <v>0.01</v>
      </c>
      <c r="E673" s="983">
        <v>1.1858333333333334E-2</v>
      </c>
      <c r="F673" s="983">
        <v>1.2500000000000001E-2</v>
      </c>
      <c r="G673" s="983">
        <v>1.2179166666666665E-2</v>
      </c>
      <c r="H673" s="983">
        <v>1.3468333333333334E-2</v>
      </c>
      <c r="I673" s="983">
        <v>-3.56E-2</v>
      </c>
      <c r="J673" s="983">
        <v>-3.7779166666666669E-2</v>
      </c>
      <c r="K673" s="983">
        <v>-3.9068333333333337E-2</v>
      </c>
      <c r="L673" s="983">
        <v>-4.3968333333333331E-2</v>
      </c>
    </row>
    <row r="674" spans="1:12">
      <c r="A674" s="983">
        <v>29952</v>
      </c>
      <c r="B674" s="983">
        <v>-1.3100000000000001E-2</v>
      </c>
      <c r="C674" s="983">
        <v>3.7000000000000002E-3</v>
      </c>
      <c r="D674" s="983">
        <v>1.0800000000000001E-2</v>
      </c>
      <c r="E674" s="983">
        <v>1.265E-2</v>
      </c>
      <c r="F674" s="983">
        <v>1.3125E-2</v>
      </c>
      <c r="G674" s="983">
        <v>1.2887499999999998E-2</v>
      </c>
      <c r="H674" s="983">
        <v>1.4000000000000002E-2</v>
      </c>
      <c r="I674" s="983">
        <v>-2.3900000000000001E-2</v>
      </c>
      <c r="J674" s="983">
        <v>-2.5987499999999997E-2</v>
      </c>
      <c r="K674" s="983">
        <v>-2.7100000000000003E-2</v>
      </c>
      <c r="L674" s="983">
        <v>-1.0300000000000002E-2</v>
      </c>
    </row>
    <row r="675" spans="1:12">
      <c r="A675" s="983">
        <v>29983</v>
      </c>
      <c r="B675" s="983">
        <v>-5.5899999999999998E-2</v>
      </c>
      <c r="C675" s="983">
        <v>-3.4999999999999996E-3</v>
      </c>
      <c r="D675" s="983">
        <v>1.03E-2</v>
      </c>
      <c r="E675" s="983">
        <v>1.2725E-2</v>
      </c>
      <c r="F675" s="983">
        <v>1.3100000000000001E-2</v>
      </c>
      <c r="G675" s="983">
        <v>1.29125E-2</v>
      </c>
      <c r="H675" s="983">
        <v>1.4095833333333332E-2</v>
      </c>
      <c r="I675" s="983">
        <v>-6.6199999999999995E-2</v>
      </c>
      <c r="J675" s="983">
        <v>-6.8812499999999999E-2</v>
      </c>
      <c r="K675" s="983">
        <v>-6.9995833333333327E-2</v>
      </c>
      <c r="L675" s="983">
        <v>-1.7595833333333331E-2</v>
      </c>
    </row>
    <row r="676" spans="1:12">
      <c r="A676" s="983">
        <v>30011</v>
      </c>
      <c r="B676" s="983">
        <v>-5.1999999999999998E-3</v>
      </c>
      <c r="C676" s="983">
        <v>1.6800000000000002E-2</v>
      </c>
      <c r="D676" s="983">
        <v>1.24E-2</v>
      </c>
      <c r="E676" s="983">
        <v>1.2150000000000001E-2</v>
      </c>
      <c r="F676" s="983">
        <v>1.2675000000000001E-2</v>
      </c>
      <c r="G676" s="983">
        <v>1.24125E-2</v>
      </c>
      <c r="H676" s="983">
        <v>1.3739999999999999E-2</v>
      </c>
      <c r="I676" s="983">
        <v>-1.7599999999999998E-2</v>
      </c>
      <c r="J676" s="983">
        <v>-1.76125E-2</v>
      </c>
      <c r="K676" s="983">
        <v>-1.8939999999999999E-2</v>
      </c>
      <c r="L676" s="983">
        <v>3.0600000000000037E-3</v>
      </c>
    </row>
    <row r="677" spans="1:12">
      <c r="A677" s="983">
        <v>30042</v>
      </c>
      <c r="B677" s="983">
        <v>4.5199999999999997E-2</v>
      </c>
      <c r="C677" s="983">
        <v>5.4800000000000001E-2</v>
      </c>
      <c r="D677" s="983">
        <v>1.1199999999999998E-2</v>
      </c>
      <c r="E677" s="983">
        <v>1.205E-2</v>
      </c>
      <c r="F677" s="983">
        <v>1.2416666666666666E-2</v>
      </c>
      <c r="G677" s="983">
        <v>1.2233333333333334E-2</v>
      </c>
      <c r="H677" s="983">
        <v>1.3664583333333334E-2</v>
      </c>
      <c r="I677" s="983">
        <v>3.4000000000000002E-2</v>
      </c>
      <c r="J677" s="983">
        <v>3.2966666666666665E-2</v>
      </c>
      <c r="K677" s="983">
        <v>3.1535416666666663E-2</v>
      </c>
      <c r="L677" s="983">
        <v>4.1135416666666667E-2</v>
      </c>
    </row>
    <row r="678" spans="1:12">
      <c r="A678" s="983">
        <v>30072</v>
      </c>
      <c r="B678" s="983">
        <v>-3.4099999999999998E-2</v>
      </c>
      <c r="C678" s="983">
        <v>-1.8700000000000001E-2</v>
      </c>
      <c r="D678" s="983">
        <v>1.01E-2</v>
      </c>
      <c r="E678" s="983">
        <v>1.1883333333333333E-2</v>
      </c>
      <c r="F678" s="983">
        <v>1.2308333333333333E-2</v>
      </c>
      <c r="G678" s="983">
        <v>1.2095833333333332E-2</v>
      </c>
      <c r="H678" s="983">
        <v>1.3399999999999999E-2</v>
      </c>
      <c r="I678" s="983">
        <v>-4.4199999999999996E-2</v>
      </c>
      <c r="J678" s="983">
        <v>-4.6195833333333332E-2</v>
      </c>
      <c r="K678" s="983">
        <v>-4.7500000000000001E-2</v>
      </c>
      <c r="L678" s="983">
        <v>-3.2100000000000004E-2</v>
      </c>
    </row>
    <row r="679" spans="1:12">
      <c r="A679" s="983">
        <v>30103</v>
      </c>
      <c r="B679" s="983">
        <v>-1.4999999999999999E-2</v>
      </c>
      <c r="C679" s="983">
        <v>-1.6099999999999996E-2</v>
      </c>
      <c r="D679" s="983">
        <v>1.2E-2</v>
      </c>
      <c r="E679" s="983">
        <v>1.2341666666666666E-2</v>
      </c>
      <c r="F679" s="983">
        <v>1.2716666666666668E-2</v>
      </c>
      <c r="G679" s="983">
        <v>1.2529166666666668E-2</v>
      </c>
      <c r="H679" s="983">
        <v>1.3616666666666666E-2</v>
      </c>
      <c r="I679" s="983">
        <v>-2.7E-2</v>
      </c>
      <c r="J679" s="983">
        <v>-2.7529166666666667E-2</v>
      </c>
      <c r="K679" s="983">
        <v>-2.8616666666666665E-2</v>
      </c>
      <c r="L679" s="983">
        <v>-2.9716666666666662E-2</v>
      </c>
    </row>
    <row r="680" spans="1:12">
      <c r="A680" s="983">
        <v>30133</v>
      </c>
      <c r="B680" s="983">
        <v>-1.78E-2</v>
      </c>
      <c r="C680" s="983">
        <v>-1.9800000000000002E-2</v>
      </c>
      <c r="D680" s="983">
        <v>1.14E-2</v>
      </c>
      <c r="E680" s="983">
        <v>1.2175E-2</v>
      </c>
      <c r="F680" s="983">
        <v>1.2675000000000001E-2</v>
      </c>
      <c r="G680" s="983">
        <v>1.2425000000000002E-2</v>
      </c>
      <c r="H680" s="983">
        <v>1.3716666666666669E-2</v>
      </c>
      <c r="I680" s="983">
        <v>-2.92E-2</v>
      </c>
      <c r="J680" s="983">
        <v>-3.0225000000000002E-2</v>
      </c>
      <c r="K680" s="983">
        <v>-3.1516666666666665E-2</v>
      </c>
      <c r="L680" s="983">
        <v>-3.3516666666666667E-2</v>
      </c>
    </row>
    <row r="681" spans="1:12">
      <c r="A681" s="983">
        <v>30164</v>
      </c>
      <c r="B681" s="983">
        <v>0.12139999999999999</v>
      </c>
      <c r="C681" s="983">
        <v>0.1211</v>
      </c>
      <c r="D681" s="983">
        <v>1.1199999999999998E-2</v>
      </c>
      <c r="E681" s="983">
        <v>1.1425000000000001E-2</v>
      </c>
      <c r="F681" s="983">
        <v>1.2066666666666668E-2</v>
      </c>
      <c r="G681" s="983">
        <v>1.1745833333333336E-2</v>
      </c>
      <c r="H681" s="983">
        <v>1.3266666666666666E-2</v>
      </c>
      <c r="I681" s="983">
        <v>0.11019999999999999</v>
      </c>
      <c r="J681" s="983">
        <v>0.10965416666666666</v>
      </c>
      <c r="K681" s="983">
        <v>0.10813333333333333</v>
      </c>
      <c r="L681" s="983">
        <v>0.10783333333333334</v>
      </c>
    </row>
    <row r="682" spans="1:12">
      <c r="A682" s="983">
        <v>30195</v>
      </c>
      <c r="B682" s="983">
        <v>1.2500000000000001E-2</v>
      </c>
      <c r="C682" s="983">
        <v>5.1999999999999998E-3</v>
      </c>
      <c r="D682" s="983">
        <v>0.01</v>
      </c>
      <c r="E682" s="983">
        <v>1.0783333333333334E-2</v>
      </c>
      <c r="F682" s="983">
        <v>1.1433333333333334E-2</v>
      </c>
      <c r="G682" s="983">
        <v>1.1108333333333333E-2</v>
      </c>
      <c r="H682" s="983">
        <v>1.2875000000000001E-2</v>
      </c>
      <c r="I682" s="983">
        <v>2.5000000000000005E-3</v>
      </c>
      <c r="J682" s="983">
        <v>1.3916666666666678E-3</v>
      </c>
      <c r="K682" s="983">
        <v>-3.7500000000000033E-4</v>
      </c>
      <c r="L682" s="983">
        <v>-7.6750000000000013E-3</v>
      </c>
    </row>
    <row r="683" spans="1:12">
      <c r="A683" s="983">
        <v>30225</v>
      </c>
      <c r="B683" s="983">
        <v>0.11509999999999999</v>
      </c>
      <c r="C683" s="983">
        <v>6.59E-2</v>
      </c>
      <c r="D683" s="983">
        <v>9.1000000000000004E-3</v>
      </c>
      <c r="E683" s="983">
        <v>1.01E-2</v>
      </c>
      <c r="F683" s="983">
        <v>1.0808333333333333E-2</v>
      </c>
      <c r="G683" s="983">
        <v>1.0454166666666667E-2</v>
      </c>
      <c r="H683" s="983">
        <v>1.2486666666666667E-2</v>
      </c>
      <c r="I683" s="983">
        <v>0.106</v>
      </c>
      <c r="J683" s="983">
        <v>0.10464583333333333</v>
      </c>
      <c r="K683" s="983">
        <v>0.10261333333333333</v>
      </c>
      <c r="L683" s="983">
        <v>5.3413333333333333E-2</v>
      </c>
    </row>
    <row r="684" spans="1:12">
      <c r="A684" s="983">
        <v>30256</v>
      </c>
      <c r="B684" s="983">
        <v>4.0399999999999998E-2</v>
      </c>
      <c r="C684" s="983">
        <v>1.6999999999999993E-3</v>
      </c>
      <c r="D684" s="983">
        <v>9.4999999999999998E-3</v>
      </c>
      <c r="E684" s="983">
        <v>9.7333333333333334E-3</v>
      </c>
      <c r="F684" s="983">
        <v>1.0425E-2</v>
      </c>
      <c r="G684" s="983">
        <v>1.0079166666666665E-2</v>
      </c>
      <c r="H684" s="983">
        <v>1.2052083333333335E-2</v>
      </c>
      <c r="I684" s="983">
        <v>3.0899999999999997E-2</v>
      </c>
      <c r="J684" s="983">
        <v>3.0320833333333332E-2</v>
      </c>
      <c r="K684" s="983">
        <v>2.8347916666666664E-2</v>
      </c>
      <c r="L684" s="983">
        <v>-1.0352083333333335E-2</v>
      </c>
    </row>
    <row r="685" spans="1:12">
      <c r="A685" s="983">
        <v>30286</v>
      </c>
      <c r="B685" s="983">
        <v>1.9300000000000001E-2</v>
      </c>
      <c r="C685" s="983">
        <v>3.5999999999999997E-2</v>
      </c>
      <c r="D685" s="983">
        <v>9.2999999999999992E-3</v>
      </c>
      <c r="E685" s="983">
        <v>9.8583333333333335E-3</v>
      </c>
      <c r="F685" s="983">
        <v>1.0366666666666666E-2</v>
      </c>
      <c r="G685" s="983">
        <v>1.01125E-2</v>
      </c>
      <c r="H685" s="983">
        <v>1.2021333333333334E-2</v>
      </c>
      <c r="I685" s="983">
        <v>1.0000000000000002E-2</v>
      </c>
      <c r="J685" s="983">
        <v>9.1875000000000012E-3</v>
      </c>
      <c r="K685" s="983">
        <v>7.2786666666666677E-3</v>
      </c>
      <c r="L685" s="983">
        <v>2.3978666666666662E-2</v>
      </c>
    </row>
    <row r="686" spans="1:12">
      <c r="A686" s="983">
        <v>30317</v>
      </c>
      <c r="B686" s="983">
        <v>3.7199999999999997E-2</v>
      </c>
      <c r="C686" s="983">
        <v>3.7199999999999997E-2</v>
      </c>
      <c r="D686" s="983">
        <v>8.6999999999999994E-3</v>
      </c>
      <c r="E686" s="983">
        <v>9.8249999999999987E-3</v>
      </c>
      <c r="F686" s="983">
        <v>1.0291666666666666E-2</v>
      </c>
      <c r="G686" s="983">
        <v>1.0058333333333334E-2</v>
      </c>
      <c r="H686" s="983">
        <v>1.18675E-2</v>
      </c>
      <c r="I686" s="983">
        <v>2.8499999999999998E-2</v>
      </c>
      <c r="J686" s="983">
        <v>2.7141666666666661E-2</v>
      </c>
      <c r="K686" s="983">
        <v>2.5332499999999997E-2</v>
      </c>
      <c r="L686" s="983">
        <v>2.5332499999999997E-2</v>
      </c>
    </row>
    <row r="687" spans="1:12">
      <c r="A687" s="983">
        <v>30348</v>
      </c>
      <c r="B687" s="983">
        <v>2.29E-2</v>
      </c>
      <c r="C687" s="983">
        <v>-4.9999999999999871E-4</v>
      </c>
      <c r="D687" s="983">
        <v>8.0999999999999996E-3</v>
      </c>
      <c r="E687" s="983">
        <v>1.0008333333333333E-2</v>
      </c>
      <c r="F687" s="983">
        <v>1.0483333333333334E-2</v>
      </c>
      <c r="G687" s="983">
        <v>1.0245833333333332E-2</v>
      </c>
      <c r="H687" s="983">
        <v>1.1898250000000001E-2</v>
      </c>
      <c r="I687" s="983">
        <v>1.4800000000000001E-2</v>
      </c>
      <c r="J687" s="983">
        <v>1.2654166666666668E-2</v>
      </c>
      <c r="K687" s="983">
        <v>1.1001749999999999E-2</v>
      </c>
      <c r="L687" s="983">
        <v>-1.239825E-2</v>
      </c>
    </row>
    <row r="688" spans="1:12">
      <c r="A688" s="983">
        <v>30376</v>
      </c>
      <c r="B688" s="983">
        <v>3.6900000000000002E-2</v>
      </c>
      <c r="C688" s="983">
        <v>1.7000000000000001E-3</v>
      </c>
      <c r="D688" s="983">
        <v>8.8999999999999999E-3</v>
      </c>
      <c r="E688" s="983">
        <v>9.7750000000000007E-3</v>
      </c>
      <c r="F688" s="983">
        <v>1.0266666666666667E-2</v>
      </c>
      <c r="G688" s="983">
        <v>1.0020833333333333E-2</v>
      </c>
      <c r="H688" s="983">
        <v>1.1689499999999999E-2</v>
      </c>
      <c r="I688" s="983">
        <v>2.8000000000000004E-2</v>
      </c>
      <c r="J688" s="983">
        <v>2.6879166666666669E-2</v>
      </c>
      <c r="K688" s="983">
        <v>2.5210500000000004E-2</v>
      </c>
      <c r="L688" s="983">
        <v>-9.9894999999999984E-3</v>
      </c>
    </row>
    <row r="689" spans="1:12">
      <c r="A689" s="983">
        <v>30407</v>
      </c>
      <c r="B689" s="983">
        <v>7.8799999999999995E-2</v>
      </c>
      <c r="C689" s="983">
        <v>5.7099999999999998E-2</v>
      </c>
      <c r="D689" s="983">
        <v>8.5000000000000006E-3</v>
      </c>
      <c r="E689" s="983">
        <v>9.5916666666666667E-3</v>
      </c>
      <c r="F689" s="983">
        <v>1.0050000000000002E-2</v>
      </c>
      <c r="G689" s="983">
        <v>9.8208333333333342E-3</v>
      </c>
      <c r="H689" s="983">
        <v>1.1364583333333334E-2</v>
      </c>
      <c r="I689" s="983">
        <v>7.0300000000000001E-2</v>
      </c>
      <c r="J689" s="983">
        <v>6.8979166666666661E-2</v>
      </c>
      <c r="K689" s="983">
        <v>6.7435416666666664E-2</v>
      </c>
      <c r="L689" s="983">
        <v>4.5735416666666667E-2</v>
      </c>
    </row>
    <row r="690" spans="1:12">
      <c r="A690" s="983">
        <v>30437</v>
      </c>
      <c r="B690" s="983">
        <v>-8.6999999999999994E-3</v>
      </c>
      <c r="C690" s="983">
        <v>1.2400000000000001E-2</v>
      </c>
      <c r="D690" s="983">
        <v>9.1000000000000004E-3</v>
      </c>
      <c r="E690" s="983">
        <v>9.5500000000000012E-3</v>
      </c>
      <c r="F690" s="983">
        <v>9.9583333333333329E-3</v>
      </c>
      <c r="G690" s="983">
        <v>9.7541666666666662E-3</v>
      </c>
      <c r="H690" s="983">
        <v>1.1242833333333334E-2</v>
      </c>
      <c r="I690" s="983">
        <v>-1.78E-2</v>
      </c>
      <c r="J690" s="983">
        <v>-1.8454166666666667E-2</v>
      </c>
      <c r="K690" s="983">
        <v>-1.9942833333333333E-2</v>
      </c>
      <c r="L690" s="983">
        <v>1.1571666666666675E-3</v>
      </c>
    </row>
    <row r="691" spans="1:12">
      <c r="A691" s="983">
        <v>30468</v>
      </c>
      <c r="B691" s="983">
        <v>3.8899999999999997E-2</v>
      </c>
      <c r="C691" s="983">
        <v>-1.23E-2</v>
      </c>
      <c r="D691" s="983">
        <v>8.9999999999999993E-3</v>
      </c>
      <c r="E691" s="983">
        <v>9.7833333333333331E-3</v>
      </c>
      <c r="F691" s="983">
        <v>1.0125E-2</v>
      </c>
      <c r="G691" s="983">
        <v>9.9541666666666667E-3</v>
      </c>
      <c r="H691" s="983">
        <v>1.1372750000000001E-2</v>
      </c>
      <c r="I691" s="983">
        <v>2.9899999999999996E-2</v>
      </c>
      <c r="J691" s="983">
        <v>2.894583333333333E-2</v>
      </c>
      <c r="K691" s="983">
        <v>2.7527249999999996E-2</v>
      </c>
      <c r="L691" s="983">
        <v>-2.3672749999999999E-2</v>
      </c>
    </row>
    <row r="692" spans="1:12">
      <c r="A692" s="983">
        <v>30498</v>
      </c>
      <c r="B692" s="983">
        <v>-2.9499999999999998E-2</v>
      </c>
      <c r="C692" s="983">
        <v>3.39E-2</v>
      </c>
      <c r="D692" s="983">
        <v>8.8000000000000005E-3</v>
      </c>
      <c r="E692" s="983">
        <v>1.0125E-2</v>
      </c>
      <c r="F692" s="983">
        <v>1.0324999999999999E-2</v>
      </c>
      <c r="G692" s="983">
        <v>1.0225E-2</v>
      </c>
      <c r="H692" s="983">
        <v>1.1310000000000001E-2</v>
      </c>
      <c r="I692" s="983">
        <v>-3.8300000000000001E-2</v>
      </c>
      <c r="J692" s="983">
        <v>-3.9724999999999996E-2</v>
      </c>
      <c r="K692" s="983">
        <v>-4.0809999999999999E-2</v>
      </c>
      <c r="L692" s="983">
        <v>2.2589999999999999E-2</v>
      </c>
    </row>
    <row r="693" spans="1:12">
      <c r="A693" s="983">
        <v>30529</v>
      </c>
      <c r="B693" s="983">
        <v>1.4999999999999999E-2</v>
      </c>
      <c r="C693" s="983">
        <v>4.0000000000000001E-3</v>
      </c>
      <c r="D693" s="983">
        <v>1.03E-2</v>
      </c>
      <c r="E693" s="983">
        <v>1.0425E-2</v>
      </c>
      <c r="F693" s="983">
        <v>1.06E-2</v>
      </c>
      <c r="G693" s="983">
        <v>1.0512500000000001E-2</v>
      </c>
      <c r="H693" s="983">
        <v>1.1305833333333333E-2</v>
      </c>
      <c r="I693" s="983">
        <v>4.6999999999999993E-3</v>
      </c>
      <c r="J693" s="983">
        <v>4.4874999999999984E-3</v>
      </c>
      <c r="K693" s="983">
        <v>3.6941666666666668E-3</v>
      </c>
      <c r="L693" s="983">
        <v>-7.3058333333333326E-3</v>
      </c>
    </row>
    <row r="694" spans="1:12">
      <c r="A694" s="983">
        <v>30560</v>
      </c>
      <c r="B694" s="983">
        <v>1.38E-2</v>
      </c>
      <c r="C694" s="983">
        <v>4.4500000000000005E-2</v>
      </c>
      <c r="D694" s="983">
        <v>9.5999999999999992E-3</v>
      </c>
      <c r="E694" s="983">
        <v>1.0308333333333333E-2</v>
      </c>
      <c r="F694" s="983">
        <v>1.0516666666666665E-2</v>
      </c>
      <c r="G694" s="983">
        <v>1.0412499999999998E-2</v>
      </c>
      <c r="H694" s="983">
        <v>1.1197250000000001E-2</v>
      </c>
      <c r="I694" s="983">
        <v>4.2000000000000006E-3</v>
      </c>
      <c r="J694" s="983">
        <v>3.3875000000000016E-3</v>
      </c>
      <c r="K694" s="983">
        <v>2.6027499999999992E-3</v>
      </c>
      <c r="L694" s="983">
        <v>3.3302750000000006E-2</v>
      </c>
    </row>
    <row r="695" spans="1:12">
      <c r="A695" s="983">
        <v>30590</v>
      </c>
      <c r="B695" s="983">
        <v>-1.1599999999999999E-2</v>
      </c>
      <c r="C695" s="983">
        <v>5.3199999999999997E-2</v>
      </c>
      <c r="D695" s="983">
        <v>9.4999999999999998E-3</v>
      </c>
      <c r="E695" s="983">
        <v>1.0208333333333333E-2</v>
      </c>
      <c r="F695" s="983">
        <v>1.0408333333333332E-2</v>
      </c>
      <c r="G695" s="983">
        <v>1.0308333333333333E-2</v>
      </c>
      <c r="H695" s="983">
        <v>1.1043666666666667E-2</v>
      </c>
      <c r="I695" s="983">
        <v>-2.1100000000000001E-2</v>
      </c>
      <c r="J695" s="983">
        <v>-2.1908333333333332E-2</v>
      </c>
      <c r="K695" s="983">
        <v>-2.2643666666666666E-2</v>
      </c>
      <c r="L695" s="983">
        <v>4.215633333333333E-2</v>
      </c>
    </row>
    <row r="696" spans="1:12">
      <c r="A696" s="983">
        <v>30621</v>
      </c>
      <c r="B696" s="983">
        <v>2.1100000000000001E-2</v>
      </c>
      <c r="C696" s="983">
        <v>-2.0400000000000001E-2</v>
      </c>
      <c r="D696" s="983">
        <v>9.4000000000000004E-3</v>
      </c>
      <c r="E696" s="983">
        <v>1.0341666666666667E-2</v>
      </c>
      <c r="F696" s="983">
        <v>1.0508333333333333E-2</v>
      </c>
      <c r="G696" s="983">
        <v>1.0425E-2</v>
      </c>
      <c r="H696" s="983">
        <v>1.1152749999999999E-2</v>
      </c>
      <c r="I696" s="983">
        <v>1.17E-2</v>
      </c>
      <c r="J696" s="983">
        <v>1.0675E-2</v>
      </c>
      <c r="K696" s="983">
        <v>9.9472500000000012E-3</v>
      </c>
      <c r="L696" s="983">
        <v>-3.1552750000000004E-2</v>
      </c>
    </row>
    <row r="697" spans="1:12">
      <c r="A697" s="983">
        <v>30651</v>
      </c>
      <c r="B697" s="983">
        <v>-5.1999999999999998E-3</v>
      </c>
      <c r="C697" s="983">
        <v>-2.2600000000000002E-2</v>
      </c>
      <c r="D697" s="983">
        <v>9.4000000000000004E-3</v>
      </c>
      <c r="E697" s="983">
        <v>1.0475000000000002E-2</v>
      </c>
      <c r="F697" s="983">
        <v>1.0633333333333333E-2</v>
      </c>
      <c r="G697" s="983">
        <v>1.0554166666666667E-2</v>
      </c>
      <c r="H697" s="983">
        <v>1.126425E-2</v>
      </c>
      <c r="I697" s="983">
        <v>-1.46E-2</v>
      </c>
      <c r="J697" s="983">
        <v>-1.5754166666666666E-2</v>
      </c>
      <c r="K697" s="983">
        <v>-1.646425E-2</v>
      </c>
      <c r="L697" s="983">
        <v>-3.3864249999999999E-2</v>
      </c>
    </row>
    <row r="698" spans="1:12">
      <c r="A698" s="983">
        <v>30682</v>
      </c>
      <c r="B698" s="983">
        <v>-5.5999999999999999E-3</v>
      </c>
      <c r="C698" s="983">
        <v>4.82E-2</v>
      </c>
      <c r="D698" s="983">
        <v>1.03E-2</v>
      </c>
      <c r="E698" s="983">
        <v>1.0166666666666666E-2</v>
      </c>
      <c r="F698" s="983">
        <v>1.0591666666666668E-2</v>
      </c>
      <c r="G698" s="983">
        <v>1.0379166666666668E-2</v>
      </c>
      <c r="H698" s="983">
        <v>1.1167083333333333E-2</v>
      </c>
      <c r="I698" s="983">
        <v>-1.5900000000000001E-2</v>
      </c>
      <c r="J698" s="983">
        <v>-1.5979166666666669E-2</v>
      </c>
      <c r="K698" s="983">
        <v>-1.6767083333333332E-2</v>
      </c>
      <c r="L698" s="983">
        <v>3.7032916666666665E-2</v>
      </c>
    </row>
    <row r="699" spans="1:12">
      <c r="A699" s="983">
        <v>30713</v>
      </c>
      <c r="B699" s="983">
        <v>-3.5200000000000002E-2</v>
      </c>
      <c r="C699" s="983">
        <v>-4.1100000000000005E-2</v>
      </c>
      <c r="D699" s="983">
        <v>9.1999999999999998E-3</v>
      </c>
      <c r="E699" s="983">
        <v>1.0066666666666666E-2</v>
      </c>
      <c r="F699" s="983">
        <v>1.0583333333333333E-2</v>
      </c>
      <c r="G699" s="983">
        <v>1.0324999999999999E-2</v>
      </c>
      <c r="H699" s="983">
        <v>1.1164166666666666E-2</v>
      </c>
      <c r="I699" s="983">
        <v>-4.4400000000000002E-2</v>
      </c>
      <c r="J699" s="983">
        <v>-4.5525000000000003E-2</v>
      </c>
      <c r="K699" s="983">
        <v>-4.6364166666666665E-2</v>
      </c>
      <c r="L699" s="983">
        <v>-5.2264166666666667E-2</v>
      </c>
    </row>
    <row r="700" spans="1:12">
      <c r="A700" s="983">
        <v>30742</v>
      </c>
      <c r="B700" s="983">
        <v>1.7299999999999999E-2</v>
      </c>
      <c r="C700" s="983">
        <v>-5.4999999999999997E-3</v>
      </c>
      <c r="D700" s="983">
        <v>9.7999999999999997E-3</v>
      </c>
      <c r="E700" s="983">
        <v>1.0475000000000002E-2</v>
      </c>
      <c r="F700" s="983">
        <v>1.1016666666666668E-2</v>
      </c>
      <c r="G700" s="983">
        <v>1.0745833333333335E-2</v>
      </c>
      <c r="H700" s="983">
        <v>1.1476916666666665E-2</v>
      </c>
      <c r="I700" s="983">
        <v>7.4999999999999997E-3</v>
      </c>
      <c r="J700" s="983">
        <v>6.5541666666666647E-3</v>
      </c>
      <c r="K700" s="983">
        <v>5.8230833333333346E-3</v>
      </c>
      <c r="L700" s="983">
        <v>-1.6976916666666664E-2</v>
      </c>
    </row>
    <row r="701" spans="1:12">
      <c r="A701" s="983">
        <v>30773</v>
      </c>
      <c r="B701" s="983">
        <v>9.4999999999999998E-3</v>
      </c>
      <c r="C701" s="983">
        <v>1.5900000000000001E-2</v>
      </c>
      <c r="D701" s="983">
        <v>1.04E-2</v>
      </c>
      <c r="E701" s="983">
        <v>1.0675E-2</v>
      </c>
      <c r="F701" s="983">
        <v>1.1233333333333333E-2</v>
      </c>
      <c r="G701" s="983">
        <v>1.0954166666666668E-2</v>
      </c>
      <c r="H701" s="983">
        <v>1.1774166666666665E-2</v>
      </c>
      <c r="I701" s="983">
        <v>-8.9999999999999976E-4</v>
      </c>
      <c r="J701" s="983">
        <v>-1.4541666666666678E-3</v>
      </c>
      <c r="K701" s="983">
        <v>-2.2741666666666657E-3</v>
      </c>
      <c r="L701" s="983">
        <v>4.1258333333333355E-3</v>
      </c>
    </row>
    <row r="702" spans="1:12">
      <c r="A702" s="983">
        <v>30803</v>
      </c>
      <c r="B702" s="983">
        <v>-5.5399999999999998E-2</v>
      </c>
      <c r="C702" s="983">
        <v>-2.3E-2</v>
      </c>
      <c r="D702" s="983">
        <v>1.03E-2</v>
      </c>
      <c r="E702" s="983">
        <v>1.1066666666666667E-2</v>
      </c>
      <c r="F702" s="983">
        <v>1.175E-2</v>
      </c>
      <c r="G702" s="983">
        <v>1.1408333333333333E-2</v>
      </c>
      <c r="H702" s="983">
        <v>1.2399583333333332E-2</v>
      </c>
      <c r="I702" s="983">
        <v>-6.5699999999999995E-2</v>
      </c>
      <c r="J702" s="983">
        <v>-6.6808333333333331E-2</v>
      </c>
      <c r="K702" s="983">
        <v>-6.779958333333333E-2</v>
      </c>
      <c r="L702" s="983">
        <v>-3.5399583333333332E-2</v>
      </c>
    </row>
    <row r="703" spans="1:12">
      <c r="A703" s="983">
        <v>30834</v>
      </c>
      <c r="B703" s="983">
        <v>2.1700000000000001E-2</v>
      </c>
      <c r="C703" s="983">
        <v>6.9000000000000008E-3</v>
      </c>
      <c r="D703" s="983">
        <v>1.06E-2</v>
      </c>
      <c r="E703" s="983">
        <v>1.1291666666666667E-2</v>
      </c>
      <c r="F703" s="983">
        <v>1.1941666666666666E-2</v>
      </c>
      <c r="G703" s="983">
        <v>1.1616666666666666E-2</v>
      </c>
      <c r="H703" s="983">
        <v>1.2580916666666666E-2</v>
      </c>
      <c r="I703" s="983">
        <v>1.11E-2</v>
      </c>
      <c r="J703" s="983">
        <v>1.0083333333333335E-2</v>
      </c>
      <c r="K703" s="983">
        <v>9.1190833333333349E-3</v>
      </c>
      <c r="L703" s="983">
        <v>-5.6809166666666648E-3</v>
      </c>
    </row>
    <row r="704" spans="1:12">
      <c r="A704" s="983">
        <v>30864</v>
      </c>
      <c r="B704" s="983">
        <v>-1.24E-2</v>
      </c>
      <c r="C704" s="983">
        <v>4.3299999999999998E-2</v>
      </c>
      <c r="D704" s="983">
        <v>1.1599999999999999E-2</v>
      </c>
      <c r="E704" s="983">
        <v>1.1199999999999998E-2</v>
      </c>
      <c r="F704" s="983">
        <v>1.1766666666666665E-2</v>
      </c>
      <c r="G704" s="983">
        <v>1.1483333333333332E-2</v>
      </c>
      <c r="H704" s="983">
        <v>1.2383750000000001E-2</v>
      </c>
      <c r="I704" s="983">
        <v>-2.4E-2</v>
      </c>
      <c r="J704" s="983">
        <v>-2.3883333333333333E-2</v>
      </c>
      <c r="K704" s="983">
        <v>-2.478375E-2</v>
      </c>
      <c r="L704" s="983">
        <v>3.0916249999999999E-2</v>
      </c>
    </row>
    <row r="705" spans="1:12">
      <c r="A705" s="983">
        <v>30895</v>
      </c>
      <c r="B705" s="983">
        <v>0.1104</v>
      </c>
      <c r="C705" s="983">
        <v>6.4600000000000005E-2</v>
      </c>
      <c r="D705" s="983">
        <v>1.06E-2</v>
      </c>
      <c r="E705" s="983">
        <v>1.0725E-2</v>
      </c>
      <c r="F705" s="983">
        <v>1.1225000000000001E-2</v>
      </c>
      <c r="G705" s="983">
        <v>1.0975000000000002E-2</v>
      </c>
      <c r="H705" s="983">
        <v>1.202425E-2</v>
      </c>
      <c r="I705" s="983">
        <v>9.98E-2</v>
      </c>
      <c r="J705" s="983">
        <v>9.9424999999999999E-2</v>
      </c>
      <c r="K705" s="983">
        <v>9.8375749999999998E-2</v>
      </c>
      <c r="L705" s="983">
        <v>5.2575750000000004E-2</v>
      </c>
    </row>
    <row r="706" spans="1:12">
      <c r="A706" s="983">
        <v>30926</v>
      </c>
      <c r="B706" s="983">
        <v>2.0000000000000001E-4</v>
      </c>
      <c r="C706" s="983">
        <v>4.3800000000000006E-2</v>
      </c>
      <c r="D706" s="983">
        <v>9.4000000000000004E-3</v>
      </c>
      <c r="E706" s="983">
        <v>1.0549999999999999E-2</v>
      </c>
      <c r="F706" s="983">
        <v>1.1058333333333331E-2</v>
      </c>
      <c r="G706" s="983">
        <v>1.0804166666666665E-2</v>
      </c>
      <c r="H706" s="983">
        <v>1.1822833333333333E-2</v>
      </c>
      <c r="I706" s="983">
        <v>-9.1999999999999998E-3</v>
      </c>
      <c r="J706" s="983">
        <v>-1.0604166666666665E-2</v>
      </c>
      <c r="K706" s="983">
        <v>-1.1622833333333332E-2</v>
      </c>
      <c r="L706" s="983">
        <v>3.1977166666666675E-2</v>
      </c>
    </row>
    <row r="707" spans="1:12">
      <c r="A707" s="983">
        <v>30956</v>
      </c>
      <c r="B707" s="983">
        <v>3.8999999999999998E-3</v>
      </c>
      <c r="C707" s="983">
        <v>2.7199999999999998E-2</v>
      </c>
      <c r="D707" s="983">
        <v>1.0800000000000001E-2</v>
      </c>
      <c r="E707" s="983">
        <v>1.0525E-2</v>
      </c>
      <c r="F707" s="983">
        <v>1.0925000000000001E-2</v>
      </c>
      <c r="G707" s="983">
        <v>1.0725E-2</v>
      </c>
      <c r="H707" s="983">
        <v>1.1524666666666666E-2</v>
      </c>
      <c r="I707" s="983">
        <v>-6.9000000000000008E-3</v>
      </c>
      <c r="J707" s="983">
        <v>-6.8250000000000003E-3</v>
      </c>
      <c r="K707" s="983">
        <v>-7.6246666666666659E-3</v>
      </c>
      <c r="L707" s="983">
        <v>1.5675333333333333E-2</v>
      </c>
    </row>
    <row r="708" spans="1:12">
      <c r="A708" s="983">
        <v>30987</v>
      </c>
      <c r="B708" s="983">
        <v>-1.12E-2</v>
      </c>
      <c r="C708" s="983">
        <v>2.7000000000000003E-2</v>
      </c>
      <c r="D708" s="983">
        <v>9.1000000000000004E-3</v>
      </c>
      <c r="E708" s="983">
        <v>1.0241666666666666E-2</v>
      </c>
      <c r="F708" s="983">
        <v>1.0549999999999999E-2</v>
      </c>
      <c r="G708" s="983">
        <v>1.0395833333333333E-2</v>
      </c>
      <c r="H708" s="983">
        <v>1.1038916666666667E-2</v>
      </c>
      <c r="I708" s="983">
        <v>-2.0299999999999999E-2</v>
      </c>
      <c r="J708" s="983">
        <v>-2.1595833333333335E-2</v>
      </c>
      <c r="K708" s="983">
        <v>-2.2238916666666667E-2</v>
      </c>
      <c r="L708" s="983">
        <v>1.5961083333333334E-2</v>
      </c>
    </row>
    <row r="709" spans="1:12">
      <c r="A709" s="983">
        <v>31017</v>
      </c>
      <c r="B709" s="983">
        <v>2.63E-2</v>
      </c>
      <c r="C709" s="983">
        <v>3.1599999999999996E-2</v>
      </c>
      <c r="D709" s="983">
        <v>9.7999999999999997E-3</v>
      </c>
      <c r="E709" s="983">
        <v>1.0108333333333335E-2</v>
      </c>
      <c r="F709" s="983">
        <v>1.0416666666666668E-2</v>
      </c>
      <c r="G709" s="983">
        <v>1.0262500000000001E-2</v>
      </c>
      <c r="H709" s="983">
        <v>1.0891249999999998E-2</v>
      </c>
      <c r="I709" s="983">
        <v>1.6500000000000001E-2</v>
      </c>
      <c r="J709" s="983">
        <v>1.60375E-2</v>
      </c>
      <c r="K709" s="983">
        <v>1.5408750000000002E-2</v>
      </c>
      <c r="L709" s="983">
        <v>2.0708749999999998E-2</v>
      </c>
    </row>
    <row r="710" spans="1:12">
      <c r="A710" s="983">
        <v>31048</v>
      </c>
      <c r="B710" s="983">
        <v>7.7899999999999997E-2</v>
      </c>
      <c r="C710" s="983">
        <v>2.35E-2</v>
      </c>
      <c r="D710" s="983">
        <v>9.5999999999999992E-3</v>
      </c>
      <c r="E710" s="983">
        <v>1.0066666666666666E-2</v>
      </c>
      <c r="F710" s="983">
        <v>1.0358333333333334E-2</v>
      </c>
      <c r="G710" s="983">
        <v>1.0212499999999999E-2</v>
      </c>
      <c r="H710" s="983">
        <v>1.0821583333333334E-2</v>
      </c>
      <c r="I710" s="983">
        <v>6.83E-2</v>
      </c>
      <c r="J710" s="983">
        <v>6.7687499999999998E-2</v>
      </c>
      <c r="K710" s="983">
        <v>6.7078416666666668E-2</v>
      </c>
      <c r="L710" s="983">
        <v>1.2678416666666666E-2</v>
      </c>
    </row>
    <row r="711" spans="1:12">
      <c r="A711" s="983">
        <v>31079</v>
      </c>
      <c r="B711" s="983">
        <v>1.2200000000000001E-2</v>
      </c>
      <c r="C711" s="983">
        <v>1.9300000000000001E-2</v>
      </c>
      <c r="D711" s="983">
        <v>8.2000000000000007E-3</v>
      </c>
      <c r="E711" s="983">
        <v>1.0108333333333335E-2</v>
      </c>
      <c r="F711" s="983">
        <v>1.0408333333333332E-2</v>
      </c>
      <c r="G711" s="983">
        <v>1.0258333333333335E-2</v>
      </c>
      <c r="H711" s="983">
        <v>1.0861833333333333E-2</v>
      </c>
      <c r="I711" s="983">
        <v>4.0000000000000001E-3</v>
      </c>
      <c r="J711" s="983">
        <v>1.9416666666666662E-3</v>
      </c>
      <c r="K711" s="983">
        <v>1.3381666666666681E-3</v>
      </c>
      <c r="L711" s="983">
        <v>8.4381666666666685E-3</v>
      </c>
    </row>
    <row r="712" spans="1:12">
      <c r="A712" s="983">
        <v>31107</v>
      </c>
      <c r="B712" s="983">
        <v>6.9999999999999999E-4</v>
      </c>
      <c r="C712" s="983">
        <v>3.6200000000000003E-2</v>
      </c>
      <c r="D712" s="983">
        <v>9.4000000000000004E-3</v>
      </c>
      <c r="E712" s="983">
        <v>1.0466666666666666E-2</v>
      </c>
      <c r="F712" s="983">
        <v>1.0758333333333335E-2</v>
      </c>
      <c r="G712" s="983">
        <v>1.06125E-2</v>
      </c>
      <c r="H712" s="983">
        <v>1.1501166666666666E-2</v>
      </c>
      <c r="I712" s="983">
        <v>-8.7000000000000011E-3</v>
      </c>
      <c r="J712" s="983">
        <v>-9.9125000000000012E-3</v>
      </c>
      <c r="K712" s="983">
        <v>-1.0801166666666667E-2</v>
      </c>
      <c r="L712" s="983">
        <v>2.4698833333333337E-2</v>
      </c>
    </row>
    <row r="713" spans="1:12">
      <c r="A713" s="983">
        <v>31138</v>
      </c>
      <c r="B713" s="983">
        <v>-8.9999999999999998E-4</v>
      </c>
      <c r="C713" s="983">
        <v>2.07E-2</v>
      </c>
      <c r="D713" s="983">
        <v>1.0200000000000001E-2</v>
      </c>
      <c r="E713" s="983">
        <v>1.0191666666666668E-2</v>
      </c>
      <c r="F713" s="983">
        <v>1.0574999999999999E-2</v>
      </c>
      <c r="G713" s="983">
        <v>1.0383333333333333E-2</v>
      </c>
      <c r="H713" s="983">
        <v>1.1322250000000001E-2</v>
      </c>
      <c r="I713" s="983">
        <v>-1.11E-2</v>
      </c>
      <c r="J713" s="983">
        <v>-1.1283333333333333E-2</v>
      </c>
      <c r="K713" s="983">
        <v>-1.222225E-2</v>
      </c>
      <c r="L713" s="983">
        <v>9.3777499999999989E-3</v>
      </c>
    </row>
    <row r="714" spans="1:12">
      <c r="A714" s="983">
        <v>31168</v>
      </c>
      <c r="B714" s="983">
        <v>5.7799999999999997E-2</v>
      </c>
      <c r="C714" s="983">
        <v>6.0600000000000008E-2</v>
      </c>
      <c r="D714" s="983">
        <v>9.7000000000000003E-3</v>
      </c>
      <c r="E714" s="983">
        <v>9.7666666666666666E-3</v>
      </c>
      <c r="F714" s="983">
        <v>1.0250000000000002E-2</v>
      </c>
      <c r="G714" s="983">
        <v>1.0008333333333334E-2</v>
      </c>
      <c r="H714" s="983">
        <v>1.0978416666666666E-2</v>
      </c>
      <c r="I714" s="983">
        <v>4.8099999999999997E-2</v>
      </c>
      <c r="J714" s="983">
        <v>4.7791666666666663E-2</v>
      </c>
      <c r="K714" s="983">
        <v>4.6821583333333333E-2</v>
      </c>
      <c r="L714" s="983">
        <v>4.9621583333333344E-2</v>
      </c>
    </row>
    <row r="715" spans="1:12">
      <c r="A715" s="983">
        <v>31199</v>
      </c>
      <c r="B715" s="983">
        <v>1.5699999999999999E-2</v>
      </c>
      <c r="C715" s="983">
        <v>2.7900000000000001E-2</v>
      </c>
      <c r="D715" s="983">
        <v>8.0000000000000002E-3</v>
      </c>
      <c r="E715" s="983">
        <v>9.116666666666667E-3</v>
      </c>
      <c r="F715" s="983">
        <v>9.5500000000000012E-3</v>
      </c>
      <c r="G715" s="983">
        <v>9.3333333333333341E-3</v>
      </c>
      <c r="H715" s="983">
        <v>1.0119583333333333E-2</v>
      </c>
      <c r="I715" s="983">
        <v>7.6999999999999985E-3</v>
      </c>
      <c r="J715" s="983">
        <v>6.3666666666666646E-3</v>
      </c>
      <c r="K715" s="983">
        <v>5.5804166666666658E-3</v>
      </c>
      <c r="L715" s="983">
        <v>1.7780416666666667E-2</v>
      </c>
    </row>
    <row r="716" spans="1:12">
      <c r="A716" s="983">
        <v>31229</v>
      </c>
      <c r="B716" s="983">
        <v>-1.5E-3</v>
      </c>
      <c r="C716" s="983">
        <v>-4.2700000000000002E-2</v>
      </c>
      <c r="D716" s="983">
        <v>9.4000000000000004E-3</v>
      </c>
      <c r="E716" s="983">
        <v>9.141666666666666E-3</v>
      </c>
      <c r="F716" s="983">
        <v>9.5166666666666663E-3</v>
      </c>
      <c r="G716" s="983">
        <v>9.3291666666666662E-3</v>
      </c>
      <c r="H716" s="983">
        <v>1.0053750000000002E-2</v>
      </c>
      <c r="I716" s="983">
        <v>-1.09E-2</v>
      </c>
      <c r="J716" s="983">
        <v>-1.0829166666666666E-2</v>
      </c>
      <c r="K716" s="983">
        <v>-1.1553750000000002E-2</v>
      </c>
      <c r="L716" s="983">
        <v>-5.2753750000000002E-2</v>
      </c>
    </row>
    <row r="717" spans="1:12">
      <c r="A717" s="983">
        <v>31260</v>
      </c>
      <c r="B717" s="983">
        <v>-8.5000000000000006E-3</v>
      </c>
      <c r="C717" s="983">
        <v>1.8099999999999998E-2</v>
      </c>
      <c r="D717" s="983">
        <v>8.5000000000000006E-3</v>
      </c>
      <c r="E717" s="983">
        <v>9.208333333333334E-3</v>
      </c>
      <c r="F717" s="983">
        <v>9.5583333333333336E-3</v>
      </c>
      <c r="G717" s="983">
        <v>9.3833333333333338E-3</v>
      </c>
      <c r="H717" s="983">
        <v>1.0114416666666666E-2</v>
      </c>
      <c r="I717" s="983">
        <v>-1.7000000000000001E-2</v>
      </c>
      <c r="J717" s="983">
        <v>-1.7883333333333334E-2</v>
      </c>
      <c r="K717" s="983">
        <v>-1.8614416666666668E-2</v>
      </c>
      <c r="L717" s="983">
        <v>7.9855833333333324E-3</v>
      </c>
    </row>
    <row r="718" spans="1:12">
      <c r="A718" s="983">
        <v>31291</v>
      </c>
      <c r="B718" s="983">
        <v>-3.1300000000000001E-2</v>
      </c>
      <c r="C718" s="983">
        <v>-5.21E-2</v>
      </c>
      <c r="D718" s="983">
        <v>8.8000000000000005E-3</v>
      </c>
      <c r="E718" s="983">
        <v>9.2250000000000006E-3</v>
      </c>
      <c r="F718" s="983">
        <v>9.5500000000000012E-3</v>
      </c>
      <c r="G718" s="983">
        <v>9.3875E-3</v>
      </c>
      <c r="H718" s="983">
        <v>1.0110083333333332E-2</v>
      </c>
      <c r="I718" s="983">
        <v>-4.0100000000000004E-2</v>
      </c>
      <c r="J718" s="983">
        <v>-4.0687500000000001E-2</v>
      </c>
      <c r="K718" s="983">
        <v>-4.1410083333333333E-2</v>
      </c>
      <c r="L718" s="983">
        <v>-6.2210083333333333E-2</v>
      </c>
    </row>
    <row r="719" spans="1:12">
      <c r="A719" s="983">
        <v>31321</v>
      </c>
      <c r="B719" s="983">
        <v>4.6199999999999998E-2</v>
      </c>
      <c r="C719" s="983">
        <v>6.3799999999999996E-2</v>
      </c>
      <c r="D719" s="983">
        <v>8.8999999999999999E-3</v>
      </c>
      <c r="E719" s="983">
        <v>9.1833333333333333E-3</v>
      </c>
      <c r="F719" s="983">
        <v>9.5416666666666653E-3</v>
      </c>
      <c r="G719" s="983">
        <v>9.362500000000001E-3</v>
      </c>
      <c r="H719" s="983">
        <v>1.0011583333333334E-2</v>
      </c>
      <c r="I719" s="983">
        <v>3.73E-2</v>
      </c>
      <c r="J719" s="983">
        <v>3.6837499999999995E-2</v>
      </c>
      <c r="K719" s="983">
        <v>3.6188416666666667E-2</v>
      </c>
      <c r="L719" s="983">
        <v>5.3788416666666658E-2</v>
      </c>
    </row>
    <row r="720" spans="1:12">
      <c r="A720" s="983">
        <v>31352</v>
      </c>
      <c r="B720" s="983">
        <v>6.8599999999999994E-2</v>
      </c>
      <c r="C720" s="983">
        <v>5.2200000000000003E-2</v>
      </c>
      <c r="D720" s="983">
        <v>8.0999999999999996E-3</v>
      </c>
      <c r="E720" s="983">
        <v>8.7916666666666681E-3</v>
      </c>
      <c r="F720" s="983">
        <v>9.2250000000000006E-3</v>
      </c>
      <c r="G720" s="983">
        <v>9.0083333333333335E-3</v>
      </c>
      <c r="H720" s="983">
        <v>9.5949999999999994E-3</v>
      </c>
      <c r="I720" s="983">
        <v>6.0499999999999998E-2</v>
      </c>
      <c r="J720" s="983">
        <v>5.9591666666666661E-2</v>
      </c>
      <c r="K720" s="983">
        <v>5.9004999999999995E-2</v>
      </c>
      <c r="L720" s="983">
        <v>4.2605000000000004E-2</v>
      </c>
    </row>
    <row r="721" spans="1:12">
      <c r="A721" s="983">
        <v>31382</v>
      </c>
      <c r="B721" s="983">
        <v>4.8399999999999999E-2</v>
      </c>
      <c r="C721" s="983">
        <v>6.9400000000000003E-2</v>
      </c>
      <c r="D721" s="983">
        <v>8.6E-3</v>
      </c>
      <c r="E721" s="983">
        <v>8.4666666666666675E-3</v>
      </c>
      <c r="F721" s="983">
        <v>8.8583333333333344E-3</v>
      </c>
      <c r="G721" s="983">
        <v>8.6625000000000001E-3</v>
      </c>
      <c r="H721" s="983">
        <v>9.173333333333332E-3</v>
      </c>
      <c r="I721" s="983">
        <v>3.9800000000000002E-2</v>
      </c>
      <c r="J721" s="983">
        <v>3.9737499999999995E-2</v>
      </c>
      <c r="K721" s="983">
        <v>3.9226666666666667E-2</v>
      </c>
      <c r="L721" s="983">
        <v>6.0226666666666671E-2</v>
      </c>
    </row>
    <row r="722" spans="1:12">
      <c r="A722" s="983">
        <v>31413</v>
      </c>
      <c r="B722" s="983">
        <v>5.5999999999999999E-3</v>
      </c>
      <c r="C722" s="983">
        <v>2.9300000000000003E-2</v>
      </c>
      <c r="D722" s="983">
        <v>7.9000000000000008E-3</v>
      </c>
      <c r="E722" s="983">
        <v>8.3750000000000005E-3</v>
      </c>
      <c r="F722" s="983">
        <v>8.7166666666666677E-3</v>
      </c>
      <c r="G722" s="983">
        <v>8.5458333333333341E-3</v>
      </c>
      <c r="H722" s="983">
        <v>8.9988333333333344E-3</v>
      </c>
      <c r="I722" s="983">
        <v>-2.3000000000000008E-3</v>
      </c>
      <c r="J722" s="983">
        <v>-2.9458333333333342E-3</v>
      </c>
      <c r="K722" s="983">
        <v>-3.3988333333333344E-3</v>
      </c>
      <c r="L722" s="983">
        <v>2.0301166666666669E-2</v>
      </c>
    </row>
    <row r="723" spans="1:12">
      <c r="A723" s="983">
        <v>31444</v>
      </c>
      <c r="B723" s="983">
        <v>7.4700000000000003E-2</v>
      </c>
      <c r="C723" s="983">
        <v>6.2300000000000001E-2</v>
      </c>
      <c r="D723" s="983">
        <v>7.3000000000000001E-3</v>
      </c>
      <c r="E723" s="983">
        <v>8.0583333333333323E-3</v>
      </c>
      <c r="F723" s="983">
        <v>8.4416666666666668E-3</v>
      </c>
      <c r="G723" s="983">
        <v>8.2500000000000004E-3</v>
      </c>
      <c r="H723" s="983">
        <v>8.5969166666666659E-3</v>
      </c>
      <c r="I723" s="983">
        <v>6.7400000000000002E-2</v>
      </c>
      <c r="J723" s="983">
        <v>6.6450000000000009E-2</v>
      </c>
      <c r="K723" s="983">
        <v>6.610308333333334E-2</v>
      </c>
      <c r="L723" s="983">
        <v>5.3703083333333332E-2</v>
      </c>
    </row>
    <row r="724" spans="1:12">
      <c r="A724" s="983">
        <v>31472</v>
      </c>
      <c r="B724" s="983">
        <v>5.5800000000000002E-2</v>
      </c>
      <c r="C724" s="983">
        <v>5.1400000000000008E-2</v>
      </c>
      <c r="D724" s="983">
        <v>7.1000000000000004E-3</v>
      </c>
      <c r="E724" s="983">
        <v>7.4999999999999997E-3</v>
      </c>
      <c r="F724" s="983">
        <v>7.9083333333333332E-3</v>
      </c>
      <c r="G724" s="983">
        <v>7.7041666666666673E-3</v>
      </c>
      <c r="H724" s="983">
        <v>7.9274999999999988E-3</v>
      </c>
      <c r="I724" s="983">
        <v>4.87E-2</v>
      </c>
      <c r="J724" s="983">
        <v>4.8095833333333338E-2</v>
      </c>
      <c r="K724" s="983">
        <v>4.7872500000000005E-2</v>
      </c>
      <c r="L724" s="983">
        <v>4.3472500000000011E-2</v>
      </c>
    </row>
    <row r="725" spans="1:12">
      <c r="A725" s="983">
        <v>31503</v>
      </c>
      <c r="B725" s="983">
        <v>-1.1299999999999999E-2</v>
      </c>
      <c r="C725" s="983">
        <v>-3.3300000000000003E-2</v>
      </c>
      <c r="D725" s="983">
        <v>6.3E-3</v>
      </c>
      <c r="E725" s="983">
        <v>7.324999999999999E-3</v>
      </c>
      <c r="F725" s="983">
        <v>7.6750000000000004E-3</v>
      </c>
      <c r="G725" s="983">
        <v>7.4999999999999997E-3</v>
      </c>
      <c r="H725" s="983">
        <v>7.609083333333334E-3</v>
      </c>
      <c r="I725" s="983">
        <v>-1.7599999999999998E-2</v>
      </c>
      <c r="J725" s="983">
        <v>-1.8799999999999997E-2</v>
      </c>
      <c r="K725" s="983">
        <v>-1.8909083333333333E-2</v>
      </c>
      <c r="L725" s="983">
        <v>-4.0909083333333339E-2</v>
      </c>
    </row>
    <row r="726" spans="1:12">
      <c r="A726" s="983">
        <v>31533</v>
      </c>
      <c r="B726" s="983">
        <v>5.3199999999999997E-2</v>
      </c>
      <c r="C726" s="983">
        <v>5.2500000000000012E-2</v>
      </c>
      <c r="D726" s="983">
        <v>6.1999999999999998E-3</v>
      </c>
      <c r="E726" s="983">
        <v>7.5749999999999993E-3</v>
      </c>
      <c r="F726" s="983">
        <v>7.8583333333333335E-3</v>
      </c>
      <c r="G726" s="983">
        <v>7.7166666666666659E-3</v>
      </c>
      <c r="H726" s="983">
        <v>7.9722500000000002E-3</v>
      </c>
      <c r="I726" s="983">
        <v>4.7E-2</v>
      </c>
      <c r="J726" s="983">
        <v>4.5483333333333334E-2</v>
      </c>
      <c r="K726" s="983">
        <v>4.5227749999999997E-2</v>
      </c>
      <c r="L726" s="983">
        <v>4.4527750000000012E-2</v>
      </c>
    </row>
    <row r="727" spans="1:12">
      <c r="A727" s="983">
        <v>31564</v>
      </c>
      <c r="B727" s="983">
        <v>1.6899999999999998E-2</v>
      </c>
      <c r="C727" s="983">
        <v>5.9699999999999996E-2</v>
      </c>
      <c r="D727" s="983">
        <v>7.000000000000001E-3</v>
      </c>
      <c r="E727" s="983">
        <v>7.6083333333333333E-3</v>
      </c>
      <c r="F727" s="983">
        <v>7.9083333333333332E-3</v>
      </c>
      <c r="G727" s="983">
        <v>7.7583333333333341E-3</v>
      </c>
      <c r="H727" s="983">
        <v>8.0456666666666662E-3</v>
      </c>
      <c r="I727" s="983">
        <v>9.8999999999999973E-3</v>
      </c>
      <c r="J727" s="983">
        <v>9.1416666666666643E-3</v>
      </c>
      <c r="K727" s="983">
        <v>8.8543333333333321E-3</v>
      </c>
      <c r="L727" s="983">
        <v>5.165433333333333E-2</v>
      </c>
    </row>
    <row r="728" spans="1:12">
      <c r="A728" s="983">
        <v>31594</v>
      </c>
      <c r="B728" s="983">
        <v>-5.5899999999999998E-2</v>
      </c>
      <c r="C728" s="983">
        <v>2.8300000000000002E-2</v>
      </c>
      <c r="D728" s="983">
        <v>6.6E-3</v>
      </c>
      <c r="E728" s="983">
        <v>7.4000000000000012E-3</v>
      </c>
      <c r="F728" s="983">
        <v>7.7333333333333334E-3</v>
      </c>
      <c r="G728" s="983">
        <v>7.5666666666666669E-3</v>
      </c>
      <c r="H728" s="983">
        <v>7.7954166666666666E-3</v>
      </c>
      <c r="I728" s="983">
        <v>-6.25E-2</v>
      </c>
      <c r="J728" s="983">
        <v>-6.3466666666666671E-2</v>
      </c>
      <c r="K728" s="983">
        <v>-6.3695416666666671E-2</v>
      </c>
      <c r="L728" s="983">
        <v>2.0504583333333336E-2</v>
      </c>
    </row>
    <row r="729" spans="1:12">
      <c r="A729" s="983">
        <v>31625</v>
      </c>
      <c r="B729" s="983">
        <v>7.4200000000000002E-2</v>
      </c>
      <c r="C729" s="983">
        <v>8.8399999999999992E-2</v>
      </c>
      <c r="D729" s="983">
        <v>6.3E-3</v>
      </c>
      <c r="E729" s="983">
        <v>7.2666666666666669E-3</v>
      </c>
      <c r="F729" s="983">
        <v>7.6833333333333345E-3</v>
      </c>
      <c r="G729" s="983">
        <v>7.4750000000000007E-3</v>
      </c>
      <c r="H729" s="983">
        <v>7.7555833333333322E-3</v>
      </c>
      <c r="I729" s="983">
        <v>6.7900000000000002E-2</v>
      </c>
      <c r="J729" s="983">
        <v>6.6725000000000007E-2</v>
      </c>
      <c r="K729" s="983">
        <v>6.6444416666666672E-2</v>
      </c>
      <c r="L729" s="983">
        <v>8.0644416666666663E-2</v>
      </c>
    </row>
    <row r="730" spans="1:12">
      <c r="A730" s="983">
        <v>31656</v>
      </c>
      <c r="B730" s="983">
        <v>-8.2699999999999996E-2</v>
      </c>
      <c r="C730" s="983">
        <v>-0.11370000000000001</v>
      </c>
      <c r="D730" s="983">
        <v>6.5000000000000006E-3</v>
      </c>
      <c r="E730" s="983">
        <v>7.4083333333333336E-3</v>
      </c>
      <c r="F730" s="983">
        <v>7.7999999999999988E-3</v>
      </c>
      <c r="G730" s="983">
        <v>7.6041666666666662E-3</v>
      </c>
      <c r="H730" s="983">
        <v>7.9194166666666666E-3</v>
      </c>
      <c r="I730" s="983">
        <v>-8.9200000000000002E-2</v>
      </c>
      <c r="J730" s="983">
        <v>-9.0304166666666658E-2</v>
      </c>
      <c r="K730" s="983">
        <v>-9.0619416666666661E-2</v>
      </c>
      <c r="L730" s="983">
        <v>-0.12161941666666667</v>
      </c>
    </row>
    <row r="731" spans="1:12">
      <c r="A731" s="983">
        <v>31686</v>
      </c>
      <c r="B731" s="983">
        <v>5.7700000000000001E-2</v>
      </c>
      <c r="C731" s="983">
        <v>5.050000000000001E-2</v>
      </c>
      <c r="D731" s="983">
        <v>6.8999999999999999E-3</v>
      </c>
      <c r="E731" s="983">
        <v>7.3833333333333329E-3</v>
      </c>
      <c r="F731" s="983">
        <v>7.7749999999999998E-3</v>
      </c>
      <c r="G731" s="983">
        <v>7.5791666666666655E-3</v>
      </c>
      <c r="H731" s="983">
        <v>7.9395000000000004E-3</v>
      </c>
      <c r="I731" s="983">
        <v>5.0799999999999998E-2</v>
      </c>
      <c r="J731" s="983">
        <v>5.0120833333333337E-2</v>
      </c>
      <c r="K731" s="983">
        <v>4.9760499999999999E-2</v>
      </c>
      <c r="L731" s="983">
        <v>4.2560500000000008E-2</v>
      </c>
    </row>
    <row r="732" spans="1:12">
      <c r="A732" s="983">
        <v>31717</v>
      </c>
      <c r="B732" s="983">
        <v>2.4299999999999999E-2</v>
      </c>
      <c r="C732" s="983">
        <v>2.1099999999999997E-2</v>
      </c>
      <c r="D732" s="983">
        <v>5.8999999999999999E-3</v>
      </c>
      <c r="E732" s="983">
        <v>7.2333333333333329E-3</v>
      </c>
      <c r="F732" s="983">
        <v>7.6666666666666662E-3</v>
      </c>
      <c r="G732" s="983">
        <v>7.4499999999999992E-3</v>
      </c>
      <c r="H732" s="983">
        <v>7.744749999999999E-3</v>
      </c>
      <c r="I732" s="983">
        <v>1.84E-2</v>
      </c>
      <c r="J732" s="983">
        <v>1.685E-2</v>
      </c>
      <c r="K732" s="983">
        <v>1.6555250000000001E-2</v>
      </c>
      <c r="L732" s="983">
        <v>1.3355249999999999E-2</v>
      </c>
    </row>
    <row r="733" spans="1:12">
      <c r="A733" s="983">
        <v>31747</v>
      </c>
      <c r="B733" s="983">
        <v>-2.5499999999999998E-2</v>
      </c>
      <c r="C733" s="983">
        <v>-2.5399999999999999E-2</v>
      </c>
      <c r="D733" s="983">
        <v>7.000000000000001E-3</v>
      </c>
      <c r="E733" s="983">
        <v>7.0750000000000006E-3</v>
      </c>
      <c r="F733" s="983">
        <v>7.5166666666666663E-3</v>
      </c>
      <c r="G733" s="983">
        <v>7.2958333333333321E-3</v>
      </c>
      <c r="H733" s="983">
        <v>7.5995833333333341E-3</v>
      </c>
      <c r="I733" s="983">
        <v>-3.2500000000000001E-2</v>
      </c>
      <c r="J733" s="983">
        <v>-3.279583333333333E-2</v>
      </c>
      <c r="K733" s="983">
        <v>-3.3099583333333335E-2</v>
      </c>
      <c r="L733" s="983">
        <v>-3.2999583333333332E-2</v>
      </c>
    </row>
    <row r="734" spans="1:12">
      <c r="A734" s="983">
        <v>31778</v>
      </c>
      <c r="B734" s="983">
        <v>0.13469999999999999</v>
      </c>
      <c r="C734" s="983">
        <v>9.8400000000000001E-2</v>
      </c>
      <c r="D734" s="983">
        <v>6.4000000000000003E-3</v>
      </c>
      <c r="E734" s="983">
        <v>6.9666666666666661E-3</v>
      </c>
      <c r="F734" s="983">
        <v>7.3833333333333329E-3</v>
      </c>
      <c r="G734" s="983">
        <v>7.175E-3</v>
      </c>
      <c r="H734" s="983">
        <v>7.4537500000000003E-3</v>
      </c>
      <c r="I734" s="983">
        <v>0.1283</v>
      </c>
      <c r="J734" s="983">
        <v>0.127525</v>
      </c>
      <c r="K734" s="983">
        <v>0.12724624999999998</v>
      </c>
      <c r="L734" s="983">
        <v>9.0946250000000006E-2</v>
      </c>
    </row>
    <row r="735" spans="1:12">
      <c r="A735" s="983">
        <v>31809</v>
      </c>
      <c r="B735" s="983">
        <v>3.95E-2</v>
      </c>
      <c r="C735" s="983">
        <v>-3.0100000000000002E-2</v>
      </c>
      <c r="D735" s="983">
        <v>5.8999999999999999E-3</v>
      </c>
      <c r="E735" s="983">
        <v>6.9833333333333336E-3</v>
      </c>
      <c r="F735" s="983">
        <v>7.4000000000000012E-3</v>
      </c>
      <c r="G735" s="983">
        <v>7.1916666666666674E-3</v>
      </c>
      <c r="H735" s="983">
        <v>7.5030833333333338E-3</v>
      </c>
      <c r="I735" s="983">
        <v>3.3599999999999998E-2</v>
      </c>
      <c r="J735" s="983">
        <v>3.2308333333333335E-2</v>
      </c>
      <c r="K735" s="983">
        <v>3.1996916666666667E-2</v>
      </c>
      <c r="L735" s="983">
        <v>-3.7603083333333336E-2</v>
      </c>
    </row>
    <row r="736" spans="1:12">
      <c r="A736" s="983">
        <v>31837</v>
      </c>
      <c r="B736" s="983">
        <v>2.8899999999999999E-2</v>
      </c>
      <c r="C736" s="983">
        <v>-1.89E-2</v>
      </c>
      <c r="D736" s="983">
        <v>6.6E-3</v>
      </c>
      <c r="E736" s="983">
        <v>6.9666666666666661E-3</v>
      </c>
      <c r="F736" s="983">
        <v>7.3666666666666672E-3</v>
      </c>
      <c r="G736" s="983">
        <v>7.1666666666666667E-3</v>
      </c>
      <c r="H736" s="983">
        <v>7.4409166666666669E-3</v>
      </c>
      <c r="I736" s="983">
        <v>2.23E-2</v>
      </c>
      <c r="J736" s="983">
        <v>2.1733333333333334E-2</v>
      </c>
      <c r="K736" s="983">
        <v>2.145908333333333E-2</v>
      </c>
      <c r="L736" s="983">
        <v>-2.6340916666666665E-2</v>
      </c>
    </row>
    <row r="737" spans="1:12">
      <c r="A737" s="983">
        <v>31868</v>
      </c>
      <c r="B737" s="983">
        <v>-8.8999999999999999E-3</v>
      </c>
      <c r="C737" s="983">
        <v>-4.1399999999999999E-2</v>
      </c>
      <c r="D737" s="983">
        <v>6.5000000000000006E-3</v>
      </c>
      <c r="E737" s="983">
        <v>7.3749999999999996E-3</v>
      </c>
      <c r="F737" s="983">
        <v>7.6250000000000007E-3</v>
      </c>
      <c r="G737" s="983">
        <v>7.4999999999999997E-3</v>
      </c>
      <c r="H737" s="983">
        <v>7.7940833333333334E-3</v>
      </c>
      <c r="I737" s="983">
        <v>-1.54E-2</v>
      </c>
      <c r="J737" s="983">
        <v>-1.6399999999999998E-2</v>
      </c>
      <c r="K737" s="983">
        <v>-1.6694083333333332E-2</v>
      </c>
      <c r="L737" s="983">
        <v>-4.9194083333333333E-2</v>
      </c>
    </row>
    <row r="738" spans="1:12">
      <c r="A738" s="983">
        <v>31898</v>
      </c>
      <c r="B738" s="983">
        <v>8.6999999999999994E-3</v>
      </c>
      <c r="C738" s="983">
        <v>-6.4000000000000003E-3</v>
      </c>
      <c r="D738" s="983">
        <v>6.6E-3</v>
      </c>
      <c r="E738" s="983">
        <v>7.7749999999999998E-3</v>
      </c>
      <c r="F738" s="983">
        <v>7.9916666666666678E-3</v>
      </c>
      <c r="G738" s="983">
        <v>7.8833333333333325E-3</v>
      </c>
      <c r="H738" s="983">
        <v>8.2208333333333335E-3</v>
      </c>
      <c r="I738" s="983">
        <v>2.0999999999999994E-3</v>
      </c>
      <c r="J738" s="983">
        <v>8.1666666666666693E-4</v>
      </c>
      <c r="K738" s="983">
        <v>4.7916666666666594E-4</v>
      </c>
      <c r="L738" s="983">
        <v>-1.4620833333333333E-2</v>
      </c>
    </row>
    <row r="739" spans="1:12">
      <c r="A739" s="983">
        <v>31929</v>
      </c>
      <c r="B739" s="983">
        <v>5.0500000000000003E-2</v>
      </c>
      <c r="C739" s="983">
        <v>4.3899999999999995E-2</v>
      </c>
      <c r="D739" s="983">
        <v>7.4999999999999997E-3</v>
      </c>
      <c r="E739" s="983">
        <v>7.7666666666666674E-3</v>
      </c>
      <c r="F739" s="983">
        <v>8.0416666666666674E-3</v>
      </c>
      <c r="G739" s="983">
        <v>7.904166666666667E-3</v>
      </c>
      <c r="H739" s="983">
        <v>8.3485E-3</v>
      </c>
      <c r="I739" s="983">
        <v>4.3000000000000003E-2</v>
      </c>
      <c r="J739" s="983">
        <v>4.2595833333333333E-2</v>
      </c>
      <c r="K739" s="983">
        <v>4.2151500000000001E-2</v>
      </c>
      <c r="L739" s="983">
        <v>3.5551499999999993E-2</v>
      </c>
    </row>
    <row r="740" spans="1:12">
      <c r="A740" s="983">
        <v>31959</v>
      </c>
      <c r="B740" s="983">
        <v>5.0700000000000002E-2</v>
      </c>
      <c r="C740" s="983">
        <v>-2.5000000000000005E-3</v>
      </c>
      <c r="D740" s="983">
        <v>7.3000000000000001E-3</v>
      </c>
      <c r="E740" s="983">
        <v>7.8500000000000011E-3</v>
      </c>
      <c r="F740" s="983">
        <v>8.0416666666666674E-3</v>
      </c>
      <c r="G740" s="983">
        <v>7.9458333333333343E-3</v>
      </c>
      <c r="H740" s="983">
        <v>8.445833333333333E-3</v>
      </c>
      <c r="I740" s="983">
        <v>4.3400000000000001E-2</v>
      </c>
      <c r="J740" s="983">
        <v>4.2754166666666669E-2</v>
      </c>
      <c r="K740" s="983">
        <v>4.2254166666666669E-2</v>
      </c>
      <c r="L740" s="983">
        <v>-1.0945833333333333E-2</v>
      </c>
    </row>
    <row r="741" spans="1:12">
      <c r="A741" s="983">
        <v>31990</v>
      </c>
      <c r="B741" s="983">
        <v>3.73E-2</v>
      </c>
      <c r="C741" s="983">
        <v>5.2699999999999997E-2</v>
      </c>
      <c r="D741" s="983">
        <v>7.4999999999999997E-3</v>
      </c>
      <c r="E741" s="983">
        <v>8.0583333333333323E-3</v>
      </c>
      <c r="F741" s="983">
        <v>8.2166666666666673E-3</v>
      </c>
      <c r="G741" s="983">
        <v>8.1374999999999989E-3</v>
      </c>
      <c r="H741" s="983">
        <v>8.7027500000000004E-3</v>
      </c>
      <c r="I741" s="983">
        <v>2.98E-2</v>
      </c>
      <c r="J741" s="983">
        <v>2.9162500000000001E-2</v>
      </c>
      <c r="K741" s="983">
        <v>2.8597249999999998E-2</v>
      </c>
      <c r="L741" s="983">
        <v>4.3997249999999995E-2</v>
      </c>
    </row>
    <row r="742" spans="1:12">
      <c r="A742" s="983">
        <v>32021</v>
      </c>
      <c r="B742" s="983">
        <v>-2.1899999999999999E-2</v>
      </c>
      <c r="C742" s="983">
        <v>2.0999999999999999E-3</v>
      </c>
      <c r="D742" s="983">
        <v>7.4999999999999997E-3</v>
      </c>
      <c r="E742" s="983">
        <v>8.4833333333333323E-3</v>
      </c>
      <c r="F742" s="983">
        <v>8.624999999999999E-3</v>
      </c>
      <c r="G742" s="983">
        <v>8.5541666666666665E-3</v>
      </c>
      <c r="H742" s="983">
        <v>9.3135000000000006E-3</v>
      </c>
      <c r="I742" s="983">
        <v>-2.9399999999999999E-2</v>
      </c>
      <c r="J742" s="983">
        <v>-3.0454166666666664E-2</v>
      </c>
      <c r="K742" s="983">
        <v>-3.1213499999999998E-2</v>
      </c>
      <c r="L742" s="983">
        <v>-7.2135000000000012E-3</v>
      </c>
    </row>
    <row r="743" spans="1:12">
      <c r="A743" s="983">
        <v>32051</v>
      </c>
      <c r="B743" s="983">
        <v>-0.21540000000000001</v>
      </c>
      <c r="C743" s="983">
        <v>-7.0500000000000007E-2</v>
      </c>
      <c r="D743" s="983">
        <v>7.9000000000000008E-3</v>
      </c>
      <c r="E743" s="983">
        <v>8.7666666666666657E-3</v>
      </c>
      <c r="F743" s="983">
        <v>8.9499999999999996E-3</v>
      </c>
      <c r="G743" s="983">
        <v>8.8583333333333326E-3</v>
      </c>
      <c r="H743" s="983">
        <v>9.4654999999999982E-3</v>
      </c>
      <c r="I743" s="983">
        <v>-0.2233</v>
      </c>
      <c r="J743" s="983">
        <v>-0.22425833333333334</v>
      </c>
      <c r="K743" s="983">
        <v>-0.2248655</v>
      </c>
      <c r="L743" s="983">
        <v>-7.9965500000000009E-2</v>
      </c>
    </row>
    <row r="744" spans="1:12">
      <c r="A744" s="983">
        <v>32082</v>
      </c>
      <c r="B744" s="983">
        <v>-8.2400000000000001E-2</v>
      </c>
      <c r="C744" s="983">
        <v>-5.5499999999999987E-2</v>
      </c>
      <c r="D744" s="983">
        <v>7.4999999999999997E-3</v>
      </c>
      <c r="E744" s="983">
        <v>8.3416666666666656E-3</v>
      </c>
      <c r="F744" s="983">
        <v>8.5583333333333327E-3</v>
      </c>
      <c r="G744" s="983">
        <v>8.4499999999999992E-3</v>
      </c>
      <c r="H744" s="983">
        <v>9.0204166666666679E-3</v>
      </c>
      <c r="I744" s="983">
        <v>-8.9900000000000008E-2</v>
      </c>
      <c r="J744" s="983">
        <v>-9.085E-2</v>
      </c>
      <c r="K744" s="983">
        <v>-9.1420416666666671E-2</v>
      </c>
      <c r="L744" s="983">
        <v>-6.452041666666665E-2</v>
      </c>
    </row>
    <row r="745" spans="1:12">
      <c r="A745" s="983">
        <v>32112</v>
      </c>
      <c r="B745" s="983">
        <v>7.6100000000000001E-2</v>
      </c>
      <c r="C745" s="983">
        <v>1.0800000000000001E-2</v>
      </c>
      <c r="D745" s="983">
        <v>7.7999999999999988E-3</v>
      </c>
      <c r="E745" s="983">
        <v>8.4249999999999985E-3</v>
      </c>
      <c r="F745" s="983">
        <v>8.6083333333333342E-3</v>
      </c>
      <c r="G745" s="983">
        <v>8.5166666666666654E-3</v>
      </c>
      <c r="H745" s="983">
        <v>9.1140000000000006E-3</v>
      </c>
      <c r="I745" s="983">
        <v>6.83E-2</v>
      </c>
      <c r="J745" s="983">
        <v>6.7583333333333329E-2</v>
      </c>
      <c r="K745" s="983">
        <v>6.6986000000000004E-2</v>
      </c>
      <c r="L745" s="983">
        <v>1.686E-3</v>
      </c>
    </row>
    <row r="746" spans="1:12">
      <c r="A746" s="983">
        <v>32143</v>
      </c>
      <c r="B746" s="983">
        <v>4.2099999999999999E-2</v>
      </c>
      <c r="C746" s="983">
        <v>0.1153</v>
      </c>
      <c r="D746" s="983">
        <v>7.1999999999999998E-3</v>
      </c>
      <c r="E746" s="983">
        <v>8.2333333333333338E-3</v>
      </c>
      <c r="F746" s="983">
        <v>8.4083333333333336E-3</v>
      </c>
      <c r="G746" s="983">
        <v>8.3208333333333329E-3</v>
      </c>
      <c r="H746" s="983">
        <v>8.9983333333333339E-3</v>
      </c>
      <c r="I746" s="983">
        <v>3.49E-2</v>
      </c>
      <c r="J746" s="983">
        <v>3.3779166666666666E-2</v>
      </c>
      <c r="K746" s="983">
        <v>3.3101666666666668E-2</v>
      </c>
      <c r="L746" s="983">
        <v>0.10630166666666667</v>
      </c>
    </row>
    <row r="747" spans="1:12">
      <c r="A747" s="983">
        <v>32174</v>
      </c>
      <c r="B747" s="983">
        <v>4.6600000000000003E-2</v>
      </c>
      <c r="C747" s="983">
        <v>-1.7500000000000002E-2</v>
      </c>
      <c r="D747" s="983">
        <v>7.1000000000000004E-3</v>
      </c>
      <c r="E747" s="983">
        <v>7.8333333333333328E-3</v>
      </c>
      <c r="F747" s="983">
        <v>8.0000000000000002E-3</v>
      </c>
      <c r="G747" s="983">
        <v>7.9166666666666656E-3</v>
      </c>
      <c r="H747" s="983">
        <v>8.4295833333333341E-3</v>
      </c>
      <c r="I747" s="983">
        <v>3.95E-2</v>
      </c>
      <c r="J747" s="983">
        <v>3.8683333333333333E-2</v>
      </c>
      <c r="K747" s="983">
        <v>3.8170416666666665E-2</v>
      </c>
      <c r="L747" s="983">
        <v>-2.5929583333333336E-2</v>
      </c>
    </row>
    <row r="748" spans="1:12">
      <c r="A748" s="983">
        <v>32203</v>
      </c>
      <c r="B748" s="983">
        <v>-3.09E-2</v>
      </c>
      <c r="C748" s="983">
        <v>-5.2699999999999997E-2</v>
      </c>
      <c r="D748" s="983">
        <v>7.1999999999999998E-3</v>
      </c>
      <c r="E748" s="983">
        <v>7.8250000000000004E-3</v>
      </c>
      <c r="F748" s="983">
        <v>7.9916666666666678E-3</v>
      </c>
      <c r="G748" s="983">
        <v>7.9083333333333332E-3</v>
      </c>
      <c r="H748" s="983">
        <v>8.3956666666666676E-3</v>
      </c>
      <c r="I748" s="983">
        <v>-3.8100000000000002E-2</v>
      </c>
      <c r="J748" s="983">
        <v>-3.8808333333333334E-2</v>
      </c>
      <c r="K748" s="983">
        <v>-3.9295666666666666E-2</v>
      </c>
      <c r="L748" s="983">
        <v>-6.1095666666666666E-2</v>
      </c>
    </row>
    <row r="749" spans="1:12">
      <c r="A749" s="983">
        <v>32234</v>
      </c>
      <c r="B749" s="983">
        <v>1.11E-2</v>
      </c>
      <c r="C749" s="983">
        <v>1.9000000000000006E-3</v>
      </c>
      <c r="D749" s="983">
        <v>7.000000000000001E-3</v>
      </c>
      <c r="E749" s="983">
        <v>8.0583333333333323E-3</v>
      </c>
      <c r="F749" s="983">
        <v>8.2166666666666673E-3</v>
      </c>
      <c r="G749" s="983">
        <v>8.1374999999999989E-3</v>
      </c>
      <c r="H749" s="983">
        <v>8.7683333333333328E-3</v>
      </c>
      <c r="I749" s="983">
        <v>4.0999999999999995E-3</v>
      </c>
      <c r="J749" s="983">
        <v>2.9625000000000016E-3</v>
      </c>
      <c r="K749" s="983">
        <v>2.3316666666666677E-3</v>
      </c>
      <c r="L749" s="983">
        <v>-6.8683333333333322E-3</v>
      </c>
    </row>
    <row r="750" spans="1:12">
      <c r="A750" s="983">
        <v>32264</v>
      </c>
      <c r="B750" s="983">
        <v>8.6E-3</v>
      </c>
      <c r="C750" s="983">
        <v>4.5999999999999999E-2</v>
      </c>
      <c r="D750" s="983">
        <v>7.7999999999999988E-3</v>
      </c>
      <c r="E750" s="983">
        <v>8.2500000000000004E-3</v>
      </c>
      <c r="F750" s="983">
        <v>8.416666666666666E-3</v>
      </c>
      <c r="G750" s="983">
        <v>8.3333333333333332E-3</v>
      </c>
      <c r="H750" s="983">
        <v>8.9932500000000012E-3</v>
      </c>
      <c r="I750" s="983">
        <v>8.0000000000000123E-4</v>
      </c>
      <c r="J750" s="983">
        <v>2.6666666666666679E-4</v>
      </c>
      <c r="K750" s="983">
        <v>-3.9325000000000124E-4</v>
      </c>
      <c r="L750" s="983">
        <v>3.7006749999999998E-2</v>
      </c>
    </row>
    <row r="751" spans="1:12">
      <c r="A751" s="983">
        <v>32295</v>
      </c>
      <c r="B751" s="983">
        <v>4.5900000000000003E-2</v>
      </c>
      <c r="C751" s="983">
        <v>3.15E-2</v>
      </c>
      <c r="D751" s="983">
        <v>7.6E-3</v>
      </c>
      <c r="E751" s="983">
        <v>8.2166666666666673E-3</v>
      </c>
      <c r="F751" s="983">
        <v>8.4416666666666668E-3</v>
      </c>
      <c r="G751" s="983">
        <v>8.329166666666667E-3</v>
      </c>
      <c r="H751" s="983">
        <v>9.0045833333333332E-3</v>
      </c>
      <c r="I751" s="983">
        <v>3.8300000000000001E-2</v>
      </c>
      <c r="J751" s="983">
        <v>3.7570833333333338E-2</v>
      </c>
      <c r="K751" s="983">
        <v>3.6895416666666667E-2</v>
      </c>
      <c r="L751" s="983">
        <v>2.2495416666666667E-2</v>
      </c>
    </row>
    <row r="752" spans="1:12">
      <c r="A752" s="983">
        <v>32325</v>
      </c>
      <c r="B752" s="983">
        <v>-3.8E-3</v>
      </c>
      <c r="C752" s="983">
        <v>1.6999999999999993E-3</v>
      </c>
      <c r="D752" s="983">
        <v>7.1000000000000004E-3</v>
      </c>
      <c r="E752" s="983">
        <v>8.3000000000000001E-3</v>
      </c>
      <c r="F752" s="983">
        <v>8.5500000000000003E-3</v>
      </c>
      <c r="G752" s="983">
        <v>8.4250000000000002E-3</v>
      </c>
      <c r="H752" s="983">
        <v>9.1866666666666659E-3</v>
      </c>
      <c r="I752" s="983">
        <v>-1.09E-2</v>
      </c>
      <c r="J752" s="983">
        <v>-1.2225E-2</v>
      </c>
      <c r="K752" s="983">
        <v>-1.2986666666666665E-2</v>
      </c>
      <c r="L752" s="983">
        <v>-7.4866666666666666E-3</v>
      </c>
    </row>
    <row r="753" spans="1:12">
      <c r="A753" s="983">
        <v>32356</v>
      </c>
      <c r="B753" s="983">
        <v>-3.39E-2</v>
      </c>
      <c r="C753" s="983">
        <v>-1.37E-2</v>
      </c>
      <c r="D753" s="983">
        <v>8.3000000000000001E-3</v>
      </c>
      <c r="E753" s="983">
        <v>8.4249999999999985E-3</v>
      </c>
      <c r="F753" s="983">
        <v>8.6416666666666656E-3</v>
      </c>
      <c r="G753" s="983">
        <v>8.533333333333332E-3</v>
      </c>
      <c r="H753" s="983">
        <v>9.3080000000000003E-3</v>
      </c>
      <c r="I753" s="983">
        <v>-4.2200000000000001E-2</v>
      </c>
      <c r="J753" s="983">
        <v>-4.243333333333333E-2</v>
      </c>
      <c r="K753" s="983">
        <v>-4.3207999999999996E-2</v>
      </c>
      <c r="L753" s="983">
        <v>-2.3008000000000001E-2</v>
      </c>
    </row>
    <row r="754" spans="1:12">
      <c r="A754" s="983">
        <v>32387</v>
      </c>
      <c r="B754" s="983">
        <v>4.2599999999999999E-2</v>
      </c>
      <c r="C754" s="983">
        <v>4.1299999999999996E-2</v>
      </c>
      <c r="D754" s="983">
        <v>7.6E-3</v>
      </c>
      <c r="E754" s="983">
        <v>8.1833333333333341E-3</v>
      </c>
      <c r="F754" s="983">
        <v>8.3833333333333329E-3</v>
      </c>
      <c r="G754" s="983">
        <v>8.2833333333333335E-3</v>
      </c>
      <c r="H754" s="983">
        <v>8.8885000000000006E-3</v>
      </c>
      <c r="I754" s="983">
        <v>3.4999999999999996E-2</v>
      </c>
      <c r="J754" s="983">
        <v>3.4316666666666662E-2</v>
      </c>
      <c r="K754" s="983">
        <v>3.3711499999999998E-2</v>
      </c>
      <c r="L754" s="983">
        <v>3.2411499999999996E-2</v>
      </c>
    </row>
    <row r="755" spans="1:12">
      <c r="A755" s="983">
        <v>32417</v>
      </c>
      <c r="B755" s="983">
        <v>2.7799999999999998E-2</v>
      </c>
      <c r="C755" s="983">
        <v>2.6199999999999998E-2</v>
      </c>
      <c r="D755" s="983">
        <v>7.6E-3</v>
      </c>
      <c r="E755" s="983">
        <v>7.9166666666666656E-3</v>
      </c>
      <c r="F755" s="983">
        <v>8.083333333333333E-3</v>
      </c>
      <c r="G755" s="983">
        <v>8.0000000000000002E-3</v>
      </c>
      <c r="H755" s="983">
        <v>8.3178333333333351E-3</v>
      </c>
      <c r="I755" s="983">
        <v>2.0199999999999999E-2</v>
      </c>
      <c r="J755" s="983">
        <v>1.9799999999999998E-2</v>
      </c>
      <c r="K755" s="983">
        <v>1.9482166666666662E-2</v>
      </c>
      <c r="L755" s="983">
        <v>1.7882166666666664E-2</v>
      </c>
    </row>
    <row r="756" spans="1:12">
      <c r="A756" s="983">
        <v>32448</v>
      </c>
      <c r="B756" s="983">
        <v>-1.43E-2</v>
      </c>
      <c r="C756" s="983">
        <v>-7.899999999999999E-3</v>
      </c>
      <c r="D756" s="983">
        <v>7.000000000000001E-3</v>
      </c>
      <c r="E756" s="983">
        <v>7.8750000000000001E-3</v>
      </c>
      <c r="F756" s="983">
        <v>8.1000000000000013E-3</v>
      </c>
      <c r="G756" s="983">
        <v>7.9875000000000015E-3</v>
      </c>
      <c r="H756" s="983">
        <v>8.241666666666668E-3</v>
      </c>
      <c r="I756" s="983">
        <v>-2.1299999999999999E-2</v>
      </c>
      <c r="J756" s="983">
        <v>-2.2287500000000002E-2</v>
      </c>
      <c r="K756" s="983">
        <v>-2.2541666666666668E-2</v>
      </c>
      <c r="L756" s="983">
        <v>-1.6141666666666665E-2</v>
      </c>
    </row>
    <row r="757" spans="1:12">
      <c r="A757" s="983">
        <v>32478</v>
      </c>
      <c r="B757" s="983">
        <v>1.7399999999999999E-2</v>
      </c>
      <c r="C757" s="983">
        <v>6.3E-3</v>
      </c>
      <c r="D757" s="983">
        <v>7.4999999999999997E-3</v>
      </c>
      <c r="E757" s="983">
        <v>7.9749999999999995E-3</v>
      </c>
      <c r="F757" s="983">
        <v>8.175E-3</v>
      </c>
      <c r="G757" s="983">
        <v>8.0750000000000006E-3</v>
      </c>
      <c r="H757" s="983">
        <v>8.3765833333333331E-3</v>
      </c>
      <c r="I757" s="983">
        <v>9.8999999999999991E-3</v>
      </c>
      <c r="J757" s="983">
        <v>9.3249999999999982E-3</v>
      </c>
      <c r="K757" s="983">
        <v>9.0234166666666657E-3</v>
      </c>
      <c r="L757" s="983">
        <v>-2.0765833333333331E-3</v>
      </c>
    </row>
    <row r="758" spans="1:12">
      <c r="A758" s="983">
        <v>32509</v>
      </c>
      <c r="B758" s="983">
        <v>7.3200000000000001E-2</v>
      </c>
      <c r="C758" s="983">
        <v>5.7100000000000012E-2</v>
      </c>
      <c r="D758" s="983">
        <v>8.0000000000000002E-3</v>
      </c>
      <c r="E758" s="983">
        <v>8.0166666666666667E-3</v>
      </c>
      <c r="F758" s="983">
        <v>8.175E-3</v>
      </c>
      <c r="G758" s="983">
        <v>8.0958333333333334E-3</v>
      </c>
      <c r="H758" s="983">
        <v>8.404E-3</v>
      </c>
      <c r="I758" s="983">
        <v>6.5200000000000008E-2</v>
      </c>
      <c r="J758" s="983">
        <v>6.5104166666666671E-2</v>
      </c>
      <c r="K758" s="983">
        <v>6.4796000000000006E-2</v>
      </c>
      <c r="L758" s="983">
        <v>4.869600000000001E-2</v>
      </c>
    </row>
    <row r="759" spans="1:12">
      <c r="A759" s="983">
        <v>32540</v>
      </c>
      <c r="B759" s="983">
        <v>-2.4899999999999999E-2</v>
      </c>
      <c r="C759" s="983">
        <v>-2.1499999999999998E-2</v>
      </c>
      <c r="D759" s="983">
        <v>6.8999999999999999E-3</v>
      </c>
      <c r="E759" s="983">
        <v>8.0333333333333333E-3</v>
      </c>
      <c r="F759" s="983">
        <v>8.1916666666666665E-3</v>
      </c>
      <c r="G759" s="983">
        <v>8.1124999999999999E-3</v>
      </c>
      <c r="H759" s="983">
        <v>8.382916666666667E-3</v>
      </c>
      <c r="I759" s="983">
        <v>-3.1799999999999995E-2</v>
      </c>
      <c r="J759" s="983">
        <v>-3.30125E-2</v>
      </c>
      <c r="K759" s="983">
        <v>-3.3282916666666662E-2</v>
      </c>
      <c r="L759" s="983">
        <v>-2.9882916666666665E-2</v>
      </c>
    </row>
    <row r="760" spans="1:12">
      <c r="A760" s="983">
        <v>32568</v>
      </c>
      <c r="B760" s="983">
        <v>2.3300000000000001E-2</v>
      </c>
      <c r="C760" s="983">
        <v>2.69E-2</v>
      </c>
      <c r="D760" s="983">
        <v>7.9000000000000008E-3</v>
      </c>
      <c r="E760" s="983">
        <v>8.1666666666666676E-3</v>
      </c>
      <c r="F760" s="983">
        <v>8.3166666666666667E-3</v>
      </c>
      <c r="G760" s="983">
        <v>8.241666666666668E-3</v>
      </c>
      <c r="H760" s="983">
        <v>8.5345000000000004E-3</v>
      </c>
      <c r="I760" s="983">
        <v>1.54E-2</v>
      </c>
      <c r="J760" s="983">
        <v>1.5058333333333333E-2</v>
      </c>
      <c r="K760" s="983">
        <v>1.4765500000000001E-2</v>
      </c>
      <c r="L760" s="983">
        <v>1.83655E-2</v>
      </c>
    </row>
    <row r="761" spans="1:12">
      <c r="A761" s="983">
        <v>32599</v>
      </c>
      <c r="B761" s="983">
        <v>5.1900000000000002E-2</v>
      </c>
      <c r="C761" s="983">
        <v>6.3399999999999998E-2</v>
      </c>
      <c r="D761" s="983">
        <v>7.000000000000001E-3</v>
      </c>
      <c r="E761" s="983">
        <v>8.1583333333333334E-3</v>
      </c>
      <c r="F761" s="983">
        <v>8.2833333333333318E-3</v>
      </c>
      <c r="G761" s="983">
        <v>8.2208333333333335E-3</v>
      </c>
      <c r="H761" s="983">
        <v>8.4920833333333341E-3</v>
      </c>
      <c r="I761" s="983">
        <v>4.4900000000000002E-2</v>
      </c>
      <c r="J761" s="983">
        <v>4.3679166666666672E-2</v>
      </c>
      <c r="K761" s="983">
        <v>4.3407916666666671E-2</v>
      </c>
      <c r="L761" s="983">
        <v>5.4907916666666667E-2</v>
      </c>
    </row>
    <row r="762" spans="1:12">
      <c r="A762" s="983">
        <v>32629</v>
      </c>
      <c r="B762" s="983">
        <v>4.0500000000000001E-2</v>
      </c>
      <c r="C762" s="983">
        <v>5.7999999999999996E-2</v>
      </c>
      <c r="D762" s="983">
        <v>8.0000000000000002E-3</v>
      </c>
      <c r="E762" s="983">
        <v>7.9749999999999995E-3</v>
      </c>
      <c r="F762" s="983">
        <v>8.1250000000000003E-3</v>
      </c>
      <c r="G762" s="983">
        <v>8.0499999999999999E-3</v>
      </c>
      <c r="H762" s="983">
        <v>8.3340833333333322E-3</v>
      </c>
      <c r="I762" s="983">
        <v>3.2500000000000001E-2</v>
      </c>
      <c r="J762" s="983">
        <v>3.245E-2</v>
      </c>
      <c r="K762" s="983">
        <v>3.2165916666666669E-2</v>
      </c>
      <c r="L762" s="983">
        <v>4.9665916666666664E-2</v>
      </c>
    </row>
    <row r="763" spans="1:12">
      <c r="A763" s="983">
        <v>32660</v>
      </c>
      <c r="B763" s="983">
        <v>-5.7000000000000002E-3</v>
      </c>
      <c r="C763" s="983">
        <v>1.61E-2</v>
      </c>
      <c r="D763" s="983">
        <v>7.000000000000001E-3</v>
      </c>
      <c r="E763" s="983">
        <v>7.5833333333333334E-3</v>
      </c>
      <c r="F763" s="983">
        <v>7.7416666666666658E-3</v>
      </c>
      <c r="G763" s="983">
        <v>7.6624999999999992E-3</v>
      </c>
      <c r="H763" s="983">
        <v>8.0485000000000001E-3</v>
      </c>
      <c r="I763" s="983">
        <v>-1.2700000000000001E-2</v>
      </c>
      <c r="J763" s="983">
        <v>-1.3362499999999999E-2</v>
      </c>
      <c r="K763" s="983">
        <v>-1.37485E-2</v>
      </c>
      <c r="L763" s="983">
        <v>8.0514999999999996E-3</v>
      </c>
    </row>
    <row r="764" spans="1:12">
      <c r="A764" s="983">
        <v>32690</v>
      </c>
      <c r="B764" s="983">
        <v>9.0300000000000005E-2</v>
      </c>
      <c r="C764" s="983">
        <v>8.0399999999999985E-2</v>
      </c>
      <c r="D764" s="983">
        <v>6.7999999999999996E-3</v>
      </c>
      <c r="E764" s="983">
        <v>7.4416666666666667E-3</v>
      </c>
      <c r="F764" s="983">
        <v>7.6166666666666674E-3</v>
      </c>
      <c r="G764" s="983">
        <v>7.5291666666666666E-3</v>
      </c>
      <c r="H764" s="983">
        <v>7.9204166666666659E-3</v>
      </c>
      <c r="I764" s="983">
        <v>8.3500000000000005E-2</v>
      </c>
      <c r="J764" s="983">
        <v>8.2770833333333335E-2</v>
      </c>
      <c r="K764" s="983">
        <v>8.2379583333333339E-2</v>
      </c>
      <c r="L764" s="983">
        <v>7.2479583333333319E-2</v>
      </c>
    </row>
    <row r="765" spans="1:12">
      <c r="A765" s="983">
        <v>32721</v>
      </c>
      <c r="B765" s="983">
        <v>1.95E-2</v>
      </c>
      <c r="C765" s="983">
        <v>-5.6999999999999993E-3</v>
      </c>
      <c r="D765" s="983">
        <v>6.6E-3</v>
      </c>
      <c r="E765" s="983">
        <v>7.4666666666666666E-3</v>
      </c>
      <c r="F765" s="983">
        <v>7.6166666666666674E-3</v>
      </c>
      <c r="G765" s="983">
        <v>7.5416666666666661E-3</v>
      </c>
      <c r="H765" s="983">
        <v>7.9289999999999985E-3</v>
      </c>
      <c r="I765" s="983">
        <v>1.29E-2</v>
      </c>
      <c r="J765" s="983">
        <v>1.1958333333333335E-2</v>
      </c>
      <c r="K765" s="983">
        <v>1.1571000000000001E-2</v>
      </c>
      <c r="L765" s="983">
        <v>-1.3628999999999999E-2</v>
      </c>
    </row>
    <row r="766" spans="1:12">
      <c r="A766" s="983">
        <v>32752</v>
      </c>
      <c r="B766" s="983">
        <v>-4.1000000000000003E-3</v>
      </c>
      <c r="C766" s="983">
        <v>1.7000000000000001E-2</v>
      </c>
      <c r="D766" s="983">
        <v>6.5000000000000006E-3</v>
      </c>
      <c r="E766" s="983">
        <v>7.5083333333333339E-3</v>
      </c>
      <c r="F766" s="983">
        <v>7.691666666666667E-3</v>
      </c>
      <c r="G766" s="983">
        <v>7.6E-3</v>
      </c>
      <c r="H766" s="983">
        <v>7.9866666666666662E-3</v>
      </c>
      <c r="I766" s="983">
        <v>-1.0600000000000002E-2</v>
      </c>
      <c r="J766" s="983">
        <v>-1.17E-2</v>
      </c>
      <c r="K766" s="983">
        <v>-1.2086666666666666E-2</v>
      </c>
      <c r="L766" s="983">
        <v>9.013333333333335E-3</v>
      </c>
    </row>
    <row r="767" spans="1:12">
      <c r="A767" s="983">
        <v>32782</v>
      </c>
      <c r="B767" s="983">
        <v>-2.3199999999999998E-2</v>
      </c>
      <c r="C767" s="983">
        <v>4.5000000000000005E-3</v>
      </c>
      <c r="D767" s="983">
        <v>7.1999999999999998E-3</v>
      </c>
      <c r="E767" s="983">
        <v>7.4333333333333326E-3</v>
      </c>
      <c r="F767" s="983">
        <v>7.658333333333333E-3</v>
      </c>
      <c r="G767" s="983">
        <v>7.5458333333333323E-3</v>
      </c>
      <c r="H767" s="983">
        <v>7.948499999999999E-3</v>
      </c>
      <c r="I767" s="983">
        <v>-3.0399999999999996E-2</v>
      </c>
      <c r="J767" s="983">
        <v>-3.074583333333333E-2</v>
      </c>
      <c r="K767" s="983">
        <v>-3.1148499999999996E-2</v>
      </c>
      <c r="L767" s="983">
        <v>-3.4484999999999984E-3</v>
      </c>
    </row>
    <row r="768" spans="1:12">
      <c r="A768" s="983">
        <v>32813</v>
      </c>
      <c r="B768" s="983">
        <v>2.0400000000000001E-2</v>
      </c>
      <c r="C768" s="983">
        <v>3.3599999999999998E-2</v>
      </c>
      <c r="D768" s="983">
        <v>6.4000000000000003E-3</v>
      </c>
      <c r="E768" s="983">
        <v>7.4083333333333336E-3</v>
      </c>
      <c r="F768" s="983">
        <v>7.6166666666666674E-3</v>
      </c>
      <c r="G768" s="983">
        <v>7.5125000000000001E-3</v>
      </c>
      <c r="H768" s="983">
        <v>7.929750000000001E-3</v>
      </c>
      <c r="I768" s="983">
        <v>1.4000000000000002E-2</v>
      </c>
      <c r="J768" s="983">
        <v>1.2887500000000001E-2</v>
      </c>
      <c r="K768" s="983">
        <v>1.247025E-2</v>
      </c>
      <c r="L768" s="983">
        <v>2.5670249999999999E-2</v>
      </c>
    </row>
    <row r="769" spans="1:12">
      <c r="A769" s="983">
        <v>32843</v>
      </c>
      <c r="B769" s="983">
        <v>2.4E-2</v>
      </c>
      <c r="C769" s="983">
        <v>7.3099999999999998E-2</v>
      </c>
      <c r="D769" s="983">
        <v>6.4000000000000003E-3</v>
      </c>
      <c r="E769" s="983">
        <v>7.3833333333333329E-3</v>
      </c>
      <c r="F769" s="983">
        <v>7.5916666666666667E-3</v>
      </c>
      <c r="G769" s="983">
        <v>7.4875000000000002E-3</v>
      </c>
      <c r="H769" s="983">
        <v>7.8612500000000002E-3</v>
      </c>
      <c r="I769" s="983">
        <v>1.7600000000000001E-2</v>
      </c>
      <c r="J769" s="983">
        <v>1.6512499999999999E-2</v>
      </c>
      <c r="K769" s="983">
        <v>1.613875E-2</v>
      </c>
      <c r="L769" s="983">
        <v>6.5238749999999998E-2</v>
      </c>
    </row>
    <row r="770" spans="1:12">
      <c r="A770" s="983">
        <v>32874</v>
      </c>
      <c r="B770" s="983">
        <v>-6.7100000000000007E-2</v>
      </c>
      <c r="C770" s="983">
        <v>-8.09E-2</v>
      </c>
      <c r="D770" s="983">
        <v>7.3000000000000001E-3</v>
      </c>
      <c r="E770" s="983">
        <v>7.4916666666666664E-3</v>
      </c>
      <c r="F770" s="983">
        <v>7.7249999999999992E-3</v>
      </c>
      <c r="G770" s="983">
        <v>7.6083333333333324E-3</v>
      </c>
      <c r="H770" s="983">
        <v>7.9564166666666672E-3</v>
      </c>
      <c r="I770" s="983">
        <v>-7.4400000000000008E-2</v>
      </c>
      <c r="J770" s="983">
        <v>-7.4708333333333335E-2</v>
      </c>
      <c r="K770" s="983">
        <v>-7.5056416666666681E-2</v>
      </c>
      <c r="L770" s="983">
        <v>-8.885641666666666E-2</v>
      </c>
    </row>
    <row r="771" spans="1:12">
      <c r="A771" s="983">
        <v>32905</v>
      </c>
      <c r="B771" s="983">
        <v>1.29E-2</v>
      </c>
      <c r="C771" s="983">
        <v>-1.09E-2</v>
      </c>
      <c r="D771" s="983">
        <v>6.6E-3</v>
      </c>
      <c r="E771" s="983">
        <v>7.6833333333333345E-3</v>
      </c>
      <c r="F771" s="983">
        <v>7.8666666666666659E-3</v>
      </c>
      <c r="G771" s="983">
        <v>7.7750000000000007E-3</v>
      </c>
      <c r="H771" s="983">
        <v>8.1302500000000003E-3</v>
      </c>
      <c r="I771" s="983">
        <v>6.3E-3</v>
      </c>
      <c r="J771" s="983">
        <v>5.1249999999999993E-3</v>
      </c>
      <c r="K771" s="983">
        <v>4.7697499999999997E-3</v>
      </c>
      <c r="L771" s="983">
        <v>-1.9030249999999999E-2</v>
      </c>
    </row>
    <row r="772" spans="1:12">
      <c r="A772" s="983">
        <v>32933</v>
      </c>
      <c r="B772" s="983">
        <v>2.6499999999999999E-2</v>
      </c>
      <c r="C772" s="983">
        <v>1.8700000000000001E-2</v>
      </c>
      <c r="D772" s="983">
        <v>7.1000000000000004E-3</v>
      </c>
      <c r="E772" s="983">
        <v>7.8083333333333329E-3</v>
      </c>
      <c r="F772" s="983">
        <v>7.9249999999999998E-3</v>
      </c>
      <c r="G772" s="983">
        <v>7.8666666666666659E-3</v>
      </c>
      <c r="H772" s="983">
        <v>8.2053333333333318E-3</v>
      </c>
      <c r="I772" s="983">
        <v>1.9400000000000001E-2</v>
      </c>
      <c r="J772" s="983">
        <v>1.8633333333333335E-2</v>
      </c>
      <c r="K772" s="983">
        <v>1.8294666666666667E-2</v>
      </c>
      <c r="L772" s="983">
        <v>1.049466666666667E-2</v>
      </c>
    </row>
    <row r="773" spans="1:12">
      <c r="A773" s="983">
        <v>32964</v>
      </c>
      <c r="B773" s="983">
        <v>-2.4899999999999999E-2</v>
      </c>
      <c r="C773" s="983">
        <v>-3.85E-2</v>
      </c>
      <c r="D773" s="983">
        <v>7.4999999999999997E-3</v>
      </c>
      <c r="E773" s="983">
        <v>7.8833333333333342E-3</v>
      </c>
      <c r="F773" s="983">
        <v>8.0333333333333333E-3</v>
      </c>
      <c r="G773" s="983">
        <v>7.9583333333333346E-3</v>
      </c>
      <c r="H773" s="983">
        <v>8.2587500000000005E-3</v>
      </c>
      <c r="I773" s="983">
        <v>-3.2399999999999998E-2</v>
      </c>
      <c r="J773" s="983">
        <v>-3.2858333333333337E-2</v>
      </c>
      <c r="K773" s="983">
        <v>-3.3158750000000001E-2</v>
      </c>
      <c r="L773" s="983">
        <v>-4.6758750000000002E-2</v>
      </c>
    </row>
    <row r="774" spans="1:12">
      <c r="A774" s="983">
        <v>32994</v>
      </c>
      <c r="B774" s="983">
        <v>9.7500000000000003E-2</v>
      </c>
      <c r="C774" s="983">
        <v>6.8200000000000011E-2</v>
      </c>
      <c r="D774" s="983">
        <v>7.4999999999999997E-3</v>
      </c>
      <c r="E774" s="983">
        <v>7.8916666666666666E-3</v>
      </c>
      <c r="F774" s="983">
        <v>8.083333333333333E-3</v>
      </c>
      <c r="G774" s="983">
        <v>7.9874999999999998E-3</v>
      </c>
      <c r="H774" s="983">
        <v>8.3382500000000002E-3</v>
      </c>
      <c r="I774" s="983">
        <v>0.09</v>
      </c>
      <c r="J774" s="983">
        <v>8.9512500000000009E-2</v>
      </c>
      <c r="K774" s="983">
        <v>8.9161749999999998E-2</v>
      </c>
      <c r="L774" s="983">
        <v>5.9861750000000012E-2</v>
      </c>
    </row>
    <row r="775" spans="1:12">
      <c r="A775" s="983">
        <v>33025</v>
      </c>
      <c r="B775" s="983">
        <v>-6.7000000000000002E-3</v>
      </c>
      <c r="C775" s="983">
        <v>-2.1099999999999997E-2</v>
      </c>
      <c r="D775" s="983">
        <v>6.7999999999999996E-3</v>
      </c>
      <c r="E775" s="983">
        <v>7.7166666666666659E-3</v>
      </c>
      <c r="F775" s="983">
        <v>7.9083333333333332E-3</v>
      </c>
      <c r="G775" s="983">
        <v>7.8125E-3</v>
      </c>
      <c r="H775" s="983">
        <v>8.175E-3</v>
      </c>
      <c r="I775" s="983">
        <v>-1.35E-2</v>
      </c>
      <c r="J775" s="983">
        <v>-1.4512500000000001E-2</v>
      </c>
      <c r="K775" s="983">
        <v>-1.4874999999999999E-2</v>
      </c>
      <c r="L775" s="983">
        <v>-2.9274999999999995E-2</v>
      </c>
    </row>
    <row r="776" spans="1:12">
      <c r="A776" s="983">
        <v>33055</v>
      </c>
      <c r="B776" s="983">
        <v>-3.2000000000000002E-3</v>
      </c>
      <c r="C776" s="983">
        <v>-3.1999999999999997E-3</v>
      </c>
      <c r="D776" s="983">
        <v>7.4000000000000003E-3</v>
      </c>
      <c r="E776" s="983">
        <v>7.7000000000000002E-3</v>
      </c>
      <c r="F776" s="983">
        <v>7.8916666666666666E-3</v>
      </c>
      <c r="G776" s="983">
        <v>7.7958333333333326E-3</v>
      </c>
      <c r="H776" s="983">
        <v>8.1317500000000001E-3</v>
      </c>
      <c r="I776" s="983">
        <v>-1.06E-2</v>
      </c>
      <c r="J776" s="983">
        <v>-1.0995833333333333E-2</v>
      </c>
      <c r="K776" s="983">
        <v>-1.133175E-2</v>
      </c>
      <c r="L776" s="983">
        <v>-1.133175E-2</v>
      </c>
    </row>
    <row r="777" spans="1:12">
      <c r="A777" s="983">
        <v>33086</v>
      </c>
      <c r="B777" s="983">
        <v>-9.0399999999999994E-2</v>
      </c>
      <c r="C777" s="983">
        <v>-7.9199999999999993E-2</v>
      </c>
      <c r="D777" s="983">
        <v>7.1000000000000004E-3</v>
      </c>
      <c r="E777" s="983">
        <v>7.8416666666666669E-3</v>
      </c>
      <c r="F777" s="983">
        <v>8.0250000000000009E-3</v>
      </c>
      <c r="G777" s="983">
        <v>7.9333333333333339E-3</v>
      </c>
      <c r="H777" s="983">
        <v>8.2464166666666658E-3</v>
      </c>
      <c r="I777" s="983">
        <v>-9.7499999999999989E-2</v>
      </c>
      <c r="J777" s="983">
        <v>-9.8333333333333328E-2</v>
      </c>
      <c r="K777" s="983">
        <v>-9.8646416666666653E-2</v>
      </c>
      <c r="L777" s="983">
        <v>-8.7446416666666665E-2</v>
      </c>
    </row>
    <row r="778" spans="1:12">
      <c r="A778" s="983">
        <v>33117</v>
      </c>
      <c r="B778" s="983">
        <v>-4.87E-2</v>
      </c>
      <c r="C778" s="983">
        <v>4.1100000000000005E-2</v>
      </c>
      <c r="D778" s="983">
        <v>6.8999999999999999E-3</v>
      </c>
      <c r="E778" s="983">
        <v>7.966666666666667E-3</v>
      </c>
      <c r="F778" s="983">
        <v>8.1416666666666651E-3</v>
      </c>
      <c r="G778" s="983">
        <v>8.0541666666666661E-3</v>
      </c>
      <c r="H778" s="983">
        <v>8.4306666666666662E-3</v>
      </c>
      <c r="I778" s="983">
        <v>-5.5599999999999997E-2</v>
      </c>
      <c r="J778" s="983">
        <v>-5.6754166666666668E-2</v>
      </c>
      <c r="K778" s="983">
        <v>-5.7130666666666663E-2</v>
      </c>
      <c r="L778" s="983">
        <v>3.2669333333333342E-2</v>
      </c>
    </row>
    <row r="779" spans="1:12">
      <c r="A779" s="983">
        <v>33147</v>
      </c>
      <c r="B779" s="983">
        <v>-4.3E-3</v>
      </c>
      <c r="C779" s="983">
        <v>6.5299999999999997E-2</v>
      </c>
      <c r="D779" s="983">
        <v>8.0999999999999996E-3</v>
      </c>
      <c r="E779" s="983">
        <v>7.9416666666666663E-3</v>
      </c>
      <c r="F779" s="983">
        <v>8.1416666666666651E-3</v>
      </c>
      <c r="G779" s="983">
        <v>8.0416666666666657E-3</v>
      </c>
      <c r="H779" s="983">
        <v>8.3855000000000006E-3</v>
      </c>
      <c r="I779" s="983">
        <v>-1.24E-2</v>
      </c>
      <c r="J779" s="983">
        <v>-1.2341666666666666E-2</v>
      </c>
      <c r="K779" s="983">
        <v>-1.2685500000000001E-2</v>
      </c>
      <c r="L779" s="983">
        <v>5.6914499999999993E-2</v>
      </c>
    </row>
    <row r="780" spans="1:12">
      <c r="A780" s="983">
        <v>33178</v>
      </c>
      <c r="B780" s="983">
        <v>6.4600000000000005E-2</v>
      </c>
      <c r="C780" s="983">
        <v>1.9299999999999998E-2</v>
      </c>
      <c r="D780" s="983">
        <v>7.1000000000000004E-3</v>
      </c>
      <c r="E780" s="983">
        <v>7.7499999999999999E-3</v>
      </c>
      <c r="F780" s="983">
        <v>7.9916666666666678E-3</v>
      </c>
      <c r="G780" s="983">
        <v>7.8708333333333338E-3</v>
      </c>
      <c r="H780" s="983">
        <v>8.2603333333333331E-3</v>
      </c>
      <c r="I780" s="983">
        <v>5.7500000000000002E-2</v>
      </c>
      <c r="J780" s="983">
        <v>5.6729166666666671E-2</v>
      </c>
      <c r="K780" s="983">
        <v>5.633966666666667E-2</v>
      </c>
      <c r="L780" s="983">
        <v>1.1039666666666665E-2</v>
      </c>
    </row>
    <row r="781" spans="1:12">
      <c r="A781" s="983">
        <v>33208</v>
      </c>
      <c r="B781" s="983">
        <v>2.7900000000000001E-2</v>
      </c>
      <c r="C781" s="983">
        <v>8.6E-3</v>
      </c>
      <c r="D781" s="983">
        <v>7.1999999999999998E-3</v>
      </c>
      <c r="E781" s="983">
        <v>7.5416666666666679E-3</v>
      </c>
      <c r="F781" s="983">
        <v>7.8250000000000004E-3</v>
      </c>
      <c r="G781" s="983">
        <v>7.6833333333333345E-3</v>
      </c>
      <c r="H781" s="983">
        <v>8.1091666666666656E-3</v>
      </c>
      <c r="I781" s="983">
        <v>2.0700000000000003E-2</v>
      </c>
      <c r="J781" s="983">
        <v>2.0216666666666668E-2</v>
      </c>
      <c r="K781" s="983">
        <v>1.9790833333333334E-2</v>
      </c>
      <c r="L781" s="983">
        <v>4.9083333333333444E-4</v>
      </c>
    </row>
    <row r="782" spans="1:12">
      <c r="A782" s="983">
        <v>33239</v>
      </c>
      <c r="B782" s="983">
        <v>4.36E-2</v>
      </c>
      <c r="C782" s="983">
        <v>-3.0100000000000002E-2</v>
      </c>
      <c r="D782" s="983">
        <v>7.1000000000000004E-3</v>
      </c>
      <c r="E782" s="983">
        <v>7.5333333333333329E-3</v>
      </c>
      <c r="F782" s="983">
        <v>7.8083333333333329E-3</v>
      </c>
      <c r="G782" s="983">
        <v>7.6708333333333333E-3</v>
      </c>
      <c r="H782" s="983">
        <v>8.0939166666666659E-3</v>
      </c>
      <c r="I782" s="983">
        <v>3.6499999999999998E-2</v>
      </c>
      <c r="J782" s="983">
        <v>3.5929166666666665E-2</v>
      </c>
      <c r="K782" s="983">
        <v>3.5506083333333334E-2</v>
      </c>
      <c r="L782" s="983">
        <v>-3.8193916666666668E-2</v>
      </c>
    </row>
    <row r="783" spans="1:12">
      <c r="A783" s="983">
        <v>33270</v>
      </c>
      <c r="B783" s="983">
        <v>7.1499999999999994E-2</v>
      </c>
      <c r="C783" s="983">
        <v>3.49E-2</v>
      </c>
      <c r="D783" s="983">
        <v>6.4000000000000003E-3</v>
      </c>
      <c r="E783" s="983">
        <v>7.358333333333333E-3</v>
      </c>
      <c r="F783" s="983">
        <v>7.6333333333333331E-3</v>
      </c>
      <c r="G783" s="983">
        <v>7.4958333333333326E-3</v>
      </c>
      <c r="H783" s="983">
        <v>7.8978333333333331E-3</v>
      </c>
      <c r="I783" s="983">
        <v>6.5099999999999991E-2</v>
      </c>
      <c r="J783" s="983">
        <v>6.4004166666666668E-2</v>
      </c>
      <c r="K783" s="983">
        <v>6.3602166666666654E-2</v>
      </c>
      <c r="L783" s="983">
        <v>2.7002166666666667E-2</v>
      </c>
    </row>
    <row r="784" spans="1:12">
      <c r="A784" s="983">
        <v>33298</v>
      </c>
      <c r="B784" s="983">
        <v>2.4199999999999999E-2</v>
      </c>
      <c r="C784" s="983">
        <v>1.9799999999999998E-2</v>
      </c>
      <c r="D784" s="983">
        <v>6.4000000000000003E-3</v>
      </c>
      <c r="E784" s="983">
        <v>7.4416666666666667E-3</v>
      </c>
      <c r="F784" s="983">
        <v>7.6750000000000004E-3</v>
      </c>
      <c r="G784" s="983">
        <v>7.5583333333333336E-3</v>
      </c>
      <c r="H784" s="983">
        <v>7.9608333333333337E-3</v>
      </c>
      <c r="I784" s="983">
        <v>1.78E-2</v>
      </c>
      <c r="J784" s="983">
        <v>1.6641666666666666E-2</v>
      </c>
      <c r="K784" s="983">
        <v>1.6239166666666666E-2</v>
      </c>
      <c r="L784" s="983">
        <v>1.1839166666666665E-2</v>
      </c>
    </row>
    <row r="785" spans="1:12">
      <c r="A785" s="983">
        <v>33329</v>
      </c>
      <c r="B785" s="983">
        <v>2.3999999999999998E-3</v>
      </c>
      <c r="C785" s="983">
        <v>-1.6200000000000003E-2</v>
      </c>
      <c r="D785" s="983">
        <v>7.6E-3</v>
      </c>
      <c r="E785" s="983">
        <v>7.3833333333333329E-3</v>
      </c>
      <c r="F785" s="983">
        <v>7.5999999999999991E-3</v>
      </c>
      <c r="G785" s="983">
        <v>7.4916666666666656E-3</v>
      </c>
      <c r="H785" s="983">
        <v>7.8870833333333328E-3</v>
      </c>
      <c r="I785" s="983">
        <v>-5.1999999999999998E-3</v>
      </c>
      <c r="J785" s="983">
        <v>-5.0916666666666662E-3</v>
      </c>
      <c r="K785" s="983">
        <v>-5.4870833333333334E-3</v>
      </c>
      <c r="L785" s="983">
        <v>-2.4087083333333335E-2</v>
      </c>
    </row>
    <row r="786" spans="1:12">
      <c r="A786" s="983">
        <v>33359</v>
      </c>
      <c r="B786" s="983">
        <v>4.3099999999999999E-2</v>
      </c>
      <c r="C786" s="983">
        <v>-1.2999999999999998E-2</v>
      </c>
      <c r="D786" s="983">
        <v>6.7999999999999996E-3</v>
      </c>
      <c r="E786" s="983">
        <v>7.3833333333333329E-3</v>
      </c>
      <c r="F786" s="983">
        <v>7.6250000000000007E-3</v>
      </c>
      <c r="G786" s="983">
        <v>7.5041666666666677E-3</v>
      </c>
      <c r="H786" s="983">
        <v>7.8602499999999992E-3</v>
      </c>
      <c r="I786" s="983">
        <v>3.6299999999999999E-2</v>
      </c>
      <c r="J786" s="983">
        <v>3.5595833333333333E-2</v>
      </c>
      <c r="K786" s="983">
        <v>3.523975E-2</v>
      </c>
      <c r="L786" s="983">
        <v>-2.0860249999999997E-2</v>
      </c>
    </row>
    <row r="787" spans="1:12">
      <c r="A787" s="983">
        <v>33390</v>
      </c>
      <c r="B787" s="983">
        <v>-4.58E-2</v>
      </c>
      <c r="C787" s="983">
        <v>-1.3899999999999999E-2</v>
      </c>
      <c r="D787" s="983">
        <v>6.3E-3</v>
      </c>
      <c r="E787" s="983">
        <v>7.5083333333333339E-3</v>
      </c>
      <c r="F787" s="983">
        <v>7.7333333333333334E-3</v>
      </c>
      <c r="G787" s="983">
        <v>7.6208333333333336E-3</v>
      </c>
      <c r="H787" s="983">
        <v>7.9862500000000003E-3</v>
      </c>
      <c r="I787" s="983">
        <v>-5.21E-2</v>
      </c>
      <c r="J787" s="983">
        <v>-5.3420833333333334E-2</v>
      </c>
      <c r="K787" s="983">
        <v>-5.3786250000000001E-2</v>
      </c>
      <c r="L787" s="983">
        <v>-2.1886249999999999E-2</v>
      </c>
    </row>
    <row r="788" spans="1:12">
      <c r="A788" s="983">
        <v>33420</v>
      </c>
      <c r="B788" s="983">
        <v>4.6600000000000003E-2</v>
      </c>
      <c r="C788" s="983">
        <v>3.0700000000000002E-2</v>
      </c>
      <c r="D788" s="983">
        <v>7.6E-3</v>
      </c>
      <c r="E788" s="983">
        <v>7.4999999999999997E-3</v>
      </c>
      <c r="F788" s="983">
        <v>7.7083333333333335E-3</v>
      </c>
      <c r="G788" s="983">
        <v>7.6041666666666671E-3</v>
      </c>
      <c r="H788" s="983">
        <v>7.9564166666666672E-3</v>
      </c>
      <c r="I788" s="983">
        <v>3.9E-2</v>
      </c>
      <c r="J788" s="983">
        <v>3.8995833333333334E-2</v>
      </c>
      <c r="K788" s="983">
        <v>3.8643583333333335E-2</v>
      </c>
      <c r="L788" s="983">
        <v>2.2743583333333334E-2</v>
      </c>
    </row>
    <row r="789" spans="1:12">
      <c r="A789" s="983">
        <v>33451</v>
      </c>
      <c r="B789" s="983">
        <v>2.3699999999999999E-2</v>
      </c>
      <c r="C789" s="983">
        <v>2.58E-2</v>
      </c>
      <c r="D789" s="983">
        <v>6.7999999999999996E-3</v>
      </c>
      <c r="E789" s="983">
        <v>7.2916666666666659E-3</v>
      </c>
      <c r="F789" s="983">
        <v>7.4916666666666664E-3</v>
      </c>
      <c r="G789" s="983">
        <v>7.3916666666666662E-3</v>
      </c>
      <c r="H789" s="983">
        <v>7.7541666666666662E-3</v>
      </c>
      <c r="I789" s="983">
        <v>1.6899999999999998E-2</v>
      </c>
      <c r="J789" s="983">
        <v>1.6308333333333334E-2</v>
      </c>
      <c r="K789" s="983">
        <v>1.5945833333333333E-2</v>
      </c>
      <c r="L789" s="983">
        <v>1.8045833333333334E-2</v>
      </c>
    </row>
    <row r="790" spans="1:12">
      <c r="A790" s="983">
        <v>33482</v>
      </c>
      <c r="B790" s="983">
        <v>-1.67E-2</v>
      </c>
      <c r="C790" s="983">
        <v>2.0199999999999999E-2</v>
      </c>
      <c r="D790" s="983">
        <v>6.7999999999999996E-3</v>
      </c>
      <c r="E790" s="983">
        <v>7.1749999999999991E-3</v>
      </c>
      <c r="F790" s="983">
        <v>7.3833333333333329E-3</v>
      </c>
      <c r="G790" s="983">
        <v>7.2791666666666656E-3</v>
      </c>
      <c r="H790" s="983">
        <v>7.6383333333333338E-3</v>
      </c>
      <c r="I790" s="983">
        <v>-2.35E-2</v>
      </c>
      <c r="J790" s="983">
        <v>-2.3979166666666666E-2</v>
      </c>
      <c r="K790" s="983">
        <v>-2.4338333333333333E-2</v>
      </c>
      <c r="L790" s="983">
        <v>1.2561666666666665E-2</v>
      </c>
    </row>
    <row r="791" spans="1:12">
      <c r="A791" s="983">
        <v>33512</v>
      </c>
      <c r="B791" s="983">
        <v>1.34E-2</v>
      </c>
      <c r="C791" s="983">
        <v>0.02</v>
      </c>
      <c r="D791" s="983">
        <v>6.5000000000000006E-3</v>
      </c>
      <c r="E791" s="983">
        <v>7.1250000000000003E-3</v>
      </c>
      <c r="F791" s="983">
        <v>7.358333333333333E-3</v>
      </c>
      <c r="G791" s="983">
        <v>7.2416666666666662E-3</v>
      </c>
      <c r="H791" s="983">
        <v>7.6007500000000007E-3</v>
      </c>
      <c r="I791" s="983">
        <v>6.8999999999999999E-3</v>
      </c>
      <c r="J791" s="983">
        <v>6.1583333333333342E-3</v>
      </c>
      <c r="K791" s="983">
        <v>5.7992499999999997E-3</v>
      </c>
      <c r="L791" s="983">
        <v>1.2399250000000001E-2</v>
      </c>
    </row>
    <row r="792" spans="1:12">
      <c r="A792" s="983">
        <v>33543</v>
      </c>
      <c r="B792" s="983">
        <v>-4.0300000000000002E-2</v>
      </c>
      <c r="C792" s="983">
        <v>-9.7999999999999997E-3</v>
      </c>
      <c r="D792" s="983">
        <v>6.0000000000000001E-3</v>
      </c>
      <c r="E792" s="983">
        <v>7.0666666666666664E-3</v>
      </c>
      <c r="F792" s="983">
        <v>7.3166666666666658E-3</v>
      </c>
      <c r="G792" s="983">
        <v>7.1916666666666665E-3</v>
      </c>
      <c r="H792" s="983">
        <v>7.5445833333333337E-3</v>
      </c>
      <c r="I792" s="983">
        <v>-4.6300000000000001E-2</v>
      </c>
      <c r="J792" s="983">
        <v>-4.7491666666666668E-2</v>
      </c>
      <c r="K792" s="983">
        <v>-4.7844583333333336E-2</v>
      </c>
      <c r="L792" s="983">
        <v>-1.7344583333333333E-2</v>
      </c>
    </row>
    <row r="793" spans="1:12">
      <c r="A793" s="983">
        <v>33573</v>
      </c>
      <c r="B793" s="983">
        <v>0.1144</v>
      </c>
      <c r="C793" s="983">
        <v>7.3300000000000004E-2</v>
      </c>
      <c r="D793" s="983">
        <v>6.7999999999999996E-3</v>
      </c>
      <c r="E793" s="983">
        <v>6.9249999999999997E-3</v>
      </c>
      <c r="F793" s="983">
        <v>7.1749999999999991E-3</v>
      </c>
      <c r="G793" s="983">
        <v>7.0499999999999998E-3</v>
      </c>
      <c r="H793" s="983">
        <v>7.4162500000000001E-3</v>
      </c>
      <c r="I793" s="983">
        <v>0.1076</v>
      </c>
      <c r="J793" s="983">
        <v>0.10735</v>
      </c>
      <c r="K793" s="983">
        <v>0.10698375</v>
      </c>
      <c r="L793" s="983">
        <v>6.5883750000000005E-2</v>
      </c>
    </row>
    <row r="794" spans="1:12">
      <c r="A794" s="983">
        <v>33604</v>
      </c>
      <c r="B794" s="983">
        <v>-1.8599999999999998E-2</v>
      </c>
      <c r="C794" s="983">
        <v>-5.3600000000000002E-2</v>
      </c>
      <c r="D794" s="983">
        <v>6.0999999999999995E-3</v>
      </c>
      <c r="E794" s="983">
        <v>6.8333333333333328E-3</v>
      </c>
      <c r="F794" s="983">
        <v>7.0916666666666663E-3</v>
      </c>
      <c r="G794" s="983">
        <v>6.9624999999999991E-3</v>
      </c>
      <c r="H794" s="983">
        <v>7.3602500000000005E-3</v>
      </c>
      <c r="I794" s="983">
        <v>-2.47E-2</v>
      </c>
      <c r="J794" s="983">
        <v>-2.5562499999999998E-2</v>
      </c>
      <c r="K794" s="983">
        <v>-2.5960249999999997E-2</v>
      </c>
      <c r="L794" s="983">
        <v>-6.0960250000000001E-2</v>
      </c>
    </row>
    <row r="795" spans="1:12">
      <c r="A795" s="983">
        <v>33635</v>
      </c>
      <c r="B795" s="983">
        <v>1.2999999999999999E-2</v>
      </c>
      <c r="C795" s="983">
        <v>-2.7300000000000001E-2</v>
      </c>
      <c r="D795" s="983">
        <v>5.8999999999999999E-3</v>
      </c>
      <c r="E795" s="983">
        <v>6.9083333333333332E-3</v>
      </c>
      <c r="F795" s="983">
        <v>7.2250000000000005E-3</v>
      </c>
      <c r="G795" s="983">
        <v>7.0666666666666664E-3</v>
      </c>
      <c r="H795" s="983">
        <v>7.4420833333333335E-3</v>
      </c>
      <c r="I795" s="983">
        <v>7.0999999999999995E-3</v>
      </c>
      <c r="J795" s="983">
        <v>5.933333333333333E-3</v>
      </c>
      <c r="K795" s="983">
        <v>5.5579166666666659E-3</v>
      </c>
      <c r="L795" s="983">
        <v>-3.4742083333333333E-2</v>
      </c>
    </row>
    <row r="796" spans="1:12">
      <c r="A796" s="983">
        <v>33664</v>
      </c>
      <c r="B796" s="983">
        <v>-1.9400000000000001E-2</v>
      </c>
      <c r="C796" s="983">
        <v>-1.43E-2</v>
      </c>
      <c r="D796" s="983">
        <v>6.7000000000000002E-3</v>
      </c>
      <c r="E796" s="983">
        <v>6.9583333333333329E-3</v>
      </c>
      <c r="F796" s="983">
        <v>7.2750000000000002E-3</v>
      </c>
      <c r="G796" s="983">
        <v>7.116666666666667E-3</v>
      </c>
      <c r="H796" s="983">
        <v>7.4727500000000002E-3</v>
      </c>
      <c r="I796" s="983">
        <v>-2.6100000000000002E-2</v>
      </c>
      <c r="J796" s="983">
        <v>-2.6516666666666668E-2</v>
      </c>
      <c r="K796" s="983">
        <v>-2.6872750000000001E-2</v>
      </c>
      <c r="L796" s="983">
        <v>-2.177275E-2</v>
      </c>
    </row>
    <row r="797" spans="1:12">
      <c r="A797" s="983">
        <v>33695</v>
      </c>
      <c r="B797" s="983">
        <v>2.9399999999999999E-2</v>
      </c>
      <c r="C797" s="983">
        <v>6.4500000000000002E-2</v>
      </c>
      <c r="D797" s="983">
        <v>6.5000000000000006E-3</v>
      </c>
      <c r="E797" s="983">
        <v>6.9416666666666672E-3</v>
      </c>
      <c r="F797" s="983">
        <v>7.2416666666666662E-3</v>
      </c>
      <c r="G797" s="983">
        <v>7.0916666666666671E-3</v>
      </c>
      <c r="H797" s="983">
        <v>7.4380833333333339E-3</v>
      </c>
      <c r="I797" s="983">
        <v>2.2899999999999997E-2</v>
      </c>
      <c r="J797" s="983">
        <v>2.2308333333333333E-2</v>
      </c>
      <c r="K797" s="983">
        <v>2.1961916666666664E-2</v>
      </c>
      <c r="L797" s="983">
        <v>5.7061916666666671E-2</v>
      </c>
    </row>
    <row r="798" spans="1:12">
      <c r="A798" s="983">
        <v>33725</v>
      </c>
      <c r="B798" s="983">
        <v>4.8999999999999998E-3</v>
      </c>
      <c r="C798" s="983">
        <v>-1.5000000000000005E-3</v>
      </c>
      <c r="D798" s="983">
        <v>6.0999999999999995E-3</v>
      </c>
      <c r="E798" s="983">
        <v>6.8999999999999999E-3</v>
      </c>
      <c r="F798" s="983">
        <v>7.1916666666666674E-3</v>
      </c>
      <c r="G798" s="983">
        <v>7.0458333333333336E-3</v>
      </c>
      <c r="H798" s="983">
        <v>7.3995833333333335E-3</v>
      </c>
      <c r="I798" s="983">
        <v>-1.1999999999999997E-3</v>
      </c>
      <c r="J798" s="983">
        <v>-2.1458333333333338E-3</v>
      </c>
      <c r="K798" s="983">
        <v>-2.4995833333333337E-3</v>
      </c>
      <c r="L798" s="983">
        <v>-8.899583333333334E-3</v>
      </c>
    </row>
    <row r="799" spans="1:12">
      <c r="A799" s="983">
        <v>33756</v>
      </c>
      <c r="B799" s="983">
        <v>-1.49E-2</v>
      </c>
      <c r="C799" s="983">
        <v>1.41E-2</v>
      </c>
      <c r="D799" s="983">
        <v>6.7000000000000002E-3</v>
      </c>
      <c r="E799" s="983">
        <v>6.8500000000000002E-3</v>
      </c>
      <c r="F799" s="983">
        <v>7.1333333333333335E-3</v>
      </c>
      <c r="G799" s="983">
        <v>6.9916666666666669E-3</v>
      </c>
      <c r="H799" s="983">
        <v>7.3230833333333325E-3</v>
      </c>
      <c r="I799" s="983">
        <v>-2.1600000000000001E-2</v>
      </c>
      <c r="J799" s="983">
        <v>-2.1891666666666667E-2</v>
      </c>
      <c r="K799" s="983">
        <v>-2.2223083333333331E-2</v>
      </c>
      <c r="L799" s="983">
        <v>6.7769166666666672E-3</v>
      </c>
    </row>
    <row r="800" spans="1:12">
      <c r="A800" s="983">
        <v>33786</v>
      </c>
      <c r="B800" s="983">
        <v>4.0899999999999999E-2</v>
      </c>
      <c r="C800" s="983">
        <v>7.9000000000000001E-2</v>
      </c>
      <c r="D800" s="983">
        <v>6.3E-3</v>
      </c>
      <c r="E800" s="983">
        <v>6.7250000000000001E-3</v>
      </c>
      <c r="F800" s="983">
        <v>6.9749999999999986E-3</v>
      </c>
      <c r="G800" s="983">
        <v>6.8499999999999993E-3</v>
      </c>
      <c r="H800" s="983">
        <v>7.1492500000000002E-3</v>
      </c>
      <c r="I800" s="983">
        <v>3.4599999999999999E-2</v>
      </c>
      <c r="J800" s="983">
        <v>3.4049999999999997E-2</v>
      </c>
      <c r="K800" s="983">
        <v>3.3750749999999996E-2</v>
      </c>
      <c r="L800" s="983">
        <v>7.1850750000000005E-2</v>
      </c>
    </row>
    <row r="801" spans="1:12">
      <c r="A801" s="983">
        <v>33817</v>
      </c>
      <c r="B801" s="983">
        <v>-2.0500000000000001E-2</v>
      </c>
      <c r="C801" s="983">
        <v>-7.4000000000000012E-3</v>
      </c>
      <c r="D801" s="983">
        <v>6.0000000000000001E-3</v>
      </c>
      <c r="E801" s="983">
        <v>6.6249999999999998E-3</v>
      </c>
      <c r="F801" s="983">
        <v>6.8416666666666669E-3</v>
      </c>
      <c r="G801" s="983">
        <v>6.7333333333333334E-3</v>
      </c>
      <c r="H801" s="983">
        <v>7.031333333333333E-3</v>
      </c>
      <c r="I801" s="983">
        <v>-2.6500000000000003E-2</v>
      </c>
      <c r="J801" s="983">
        <v>-2.7233333333333335E-2</v>
      </c>
      <c r="K801" s="983">
        <v>-2.7531333333333335E-2</v>
      </c>
      <c r="L801" s="983">
        <v>-1.4431333333333334E-2</v>
      </c>
    </row>
    <row r="802" spans="1:12">
      <c r="A802" s="983">
        <v>33848</v>
      </c>
      <c r="B802" s="983">
        <v>1.18E-2</v>
      </c>
      <c r="C802" s="983">
        <v>7.2999999999999983E-3</v>
      </c>
      <c r="D802" s="983">
        <v>5.7999999999999996E-3</v>
      </c>
      <c r="E802" s="983">
        <v>6.6E-3</v>
      </c>
      <c r="F802" s="983">
        <v>6.8083333333333329E-3</v>
      </c>
      <c r="G802" s="983">
        <v>6.7041666666666664E-3</v>
      </c>
      <c r="H802" s="983">
        <v>7.0059166666666664E-3</v>
      </c>
      <c r="I802" s="983">
        <v>6.0000000000000001E-3</v>
      </c>
      <c r="J802" s="983">
        <v>5.0958333333333333E-3</v>
      </c>
      <c r="K802" s="983">
        <v>4.7940833333333334E-3</v>
      </c>
      <c r="L802" s="983">
        <v>2.9408333333333196E-4</v>
      </c>
    </row>
    <row r="803" spans="1:12">
      <c r="A803" s="983">
        <v>33878</v>
      </c>
      <c r="B803" s="983">
        <v>3.5000000000000001E-3</v>
      </c>
      <c r="C803" s="983">
        <v>-9.3999999999999986E-3</v>
      </c>
      <c r="D803" s="983">
        <v>5.7000000000000002E-3</v>
      </c>
      <c r="E803" s="983">
        <v>6.6583333333333338E-3</v>
      </c>
      <c r="F803" s="983">
        <v>6.9333333333333339E-3</v>
      </c>
      <c r="G803" s="983">
        <v>6.7958333333333343E-3</v>
      </c>
      <c r="H803" s="983">
        <v>7.1056666666666664E-3</v>
      </c>
      <c r="I803" s="983">
        <v>-2.2000000000000001E-3</v>
      </c>
      <c r="J803" s="983">
        <v>-3.2958333333333342E-3</v>
      </c>
      <c r="K803" s="983">
        <v>-3.6056666666666663E-3</v>
      </c>
      <c r="L803" s="983">
        <v>-1.6505666666666665E-2</v>
      </c>
    </row>
    <row r="804" spans="1:12">
      <c r="A804" s="983">
        <v>33909</v>
      </c>
      <c r="B804" s="983">
        <v>3.4099999999999998E-2</v>
      </c>
      <c r="C804" s="983">
        <v>-1.5000000000000005E-3</v>
      </c>
      <c r="D804" s="983">
        <v>6.0999999999999995E-3</v>
      </c>
      <c r="E804" s="983">
        <v>6.7499999999999991E-3</v>
      </c>
      <c r="F804" s="983">
        <v>7.000000000000001E-3</v>
      </c>
      <c r="G804" s="983">
        <v>6.875E-3</v>
      </c>
      <c r="H804" s="983">
        <v>7.1925833333333329E-3</v>
      </c>
      <c r="I804" s="983">
        <v>2.7999999999999997E-2</v>
      </c>
      <c r="J804" s="983">
        <v>2.7224999999999999E-2</v>
      </c>
      <c r="K804" s="983">
        <v>2.6907416666666666E-2</v>
      </c>
      <c r="L804" s="983">
        <v>-8.6925833333333334E-3</v>
      </c>
    </row>
    <row r="805" spans="1:12">
      <c r="A805" s="983">
        <v>33939</v>
      </c>
      <c r="B805" s="983">
        <v>1.23E-2</v>
      </c>
      <c r="C805" s="983">
        <v>3.5799999999999998E-2</v>
      </c>
      <c r="D805" s="983">
        <v>6.3E-3</v>
      </c>
      <c r="E805" s="983">
        <v>6.6500000000000005E-3</v>
      </c>
      <c r="F805" s="983">
        <v>6.8666666666666668E-3</v>
      </c>
      <c r="G805" s="983">
        <v>6.7583333333333332E-3</v>
      </c>
      <c r="H805" s="983">
        <v>7.0420833333333334E-3</v>
      </c>
      <c r="I805" s="983">
        <v>6.0000000000000001E-3</v>
      </c>
      <c r="J805" s="983">
        <v>5.541666666666667E-3</v>
      </c>
      <c r="K805" s="983">
        <v>5.2579166666666668E-3</v>
      </c>
      <c r="L805" s="983">
        <v>2.8757916666666664E-2</v>
      </c>
    </row>
    <row r="806" spans="1:12">
      <c r="A806" s="983">
        <v>33970</v>
      </c>
      <c r="B806" s="983">
        <v>8.3999999999999995E-3</v>
      </c>
      <c r="C806" s="983">
        <v>1.5699999999999999E-2</v>
      </c>
      <c r="D806" s="983">
        <v>5.8999999999999999E-3</v>
      </c>
      <c r="E806" s="983">
        <v>6.5916666666666667E-3</v>
      </c>
      <c r="F806" s="983">
        <v>6.7583333333333332E-3</v>
      </c>
      <c r="G806" s="983">
        <v>6.6749999999999995E-3</v>
      </c>
      <c r="H806" s="983">
        <v>6.9009166666666663E-3</v>
      </c>
      <c r="I806" s="983">
        <v>2.4999999999999996E-3</v>
      </c>
      <c r="J806" s="983">
        <v>1.725E-3</v>
      </c>
      <c r="K806" s="983">
        <v>1.4990833333333332E-3</v>
      </c>
      <c r="L806" s="983">
        <v>8.7990833333333324E-3</v>
      </c>
    </row>
    <row r="807" spans="1:12">
      <c r="A807" s="983">
        <v>34001</v>
      </c>
      <c r="B807" s="983">
        <v>1.3599999999999999E-2</v>
      </c>
      <c r="C807" s="983">
        <v>7.2099999999999997E-2</v>
      </c>
      <c r="D807" s="983">
        <v>5.4999999999999997E-3</v>
      </c>
      <c r="E807" s="983">
        <v>6.4249999999999993E-3</v>
      </c>
      <c r="F807" s="983">
        <v>6.5833333333333334E-3</v>
      </c>
      <c r="G807" s="983">
        <v>6.5041666666666668E-3</v>
      </c>
      <c r="H807" s="983">
        <v>6.7039166666666671E-3</v>
      </c>
      <c r="I807" s="983">
        <v>8.0999999999999996E-3</v>
      </c>
      <c r="J807" s="983">
        <v>7.0958333333333325E-3</v>
      </c>
      <c r="K807" s="983">
        <v>6.8960833333333322E-3</v>
      </c>
      <c r="L807" s="983">
        <v>6.5396083333333327E-2</v>
      </c>
    </row>
    <row r="808" spans="1:12">
      <c r="A808" s="983">
        <v>34029</v>
      </c>
      <c r="B808" s="983">
        <v>2.1100000000000001E-2</v>
      </c>
      <c r="C808" s="983">
        <v>1.7999999999999999E-2</v>
      </c>
      <c r="D808" s="983">
        <v>6.3E-3</v>
      </c>
      <c r="E808" s="983">
        <v>6.3166666666666675E-3</v>
      </c>
      <c r="F808" s="983">
        <v>6.4333333333333334E-3</v>
      </c>
      <c r="G808" s="983">
        <v>6.3749999999999996E-3</v>
      </c>
      <c r="H808" s="983">
        <v>6.5854999999999993E-3</v>
      </c>
      <c r="I808" s="983">
        <v>1.4800000000000001E-2</v>
      </c>
      <c r="J808" s="983">
        <v>1.4725000000000002E-2</v>
      </c>
      <c r="K808" s="983">
        <v>1.4514500000000001E-2</v>
      </c>
      <c r="L808" s="983">
        <v>1.1414499999999999E-2</v>
      </c>
    </row>
    <row r="809" spans="1:12">
      <c r="A809" s="983">
        <v>34060</v>
      </c>
      <c r="B809" s="983">
        <v>-2.4199999999999999E-2</v>
      </c>
      <c r="C809" s="983">
        <v>-2.6999999999999993E-3</v>
      </c>
      <c r="D809" s="983">
        <v>5.7000000000000002E-3</v>
      </c>
      <c r="E809" s="983">
        <v>6.2166666666666672E-3</v>
      </c>
      <c r="F809" s="983">
        <v>6.3499999999999997E-3</v>
      </c>
      <c r="G809" s="983">
        <v>6.2833333333333343E-3</v>
      </c>
      <c r="H809" s="983">
        <v>6.514666666666666E-3</v>
      </c>
      <c r="I809" s="983">
        <v>-2.9899999999999999E-2</v>
      </c>
      <c r="J809" s="983">
        <v>-3.0483333333333335E-2</v>
      </c>
      <c r="K809" s="983">
        <v>-3.0714666666666664E-2</v>
      </c>
      <c r="L809" s="983">
        <v>-9.2146666666666661E-3</v>
      </c>
    </row>
    <row r="810" spans="1:12">
      <c r="A810" s="983">
        <v>34090</v>
      </c>
      <c r="B810" s="983">
        <v>2.6800000000000001E-2</v>
      </c>
      <c r="C810" s="983">
        <v>-1.9099999999999999E-2</v>
      </c>
      <c r="D810" s="983">
        <v>5.1999999999999998E-3</v>
      </c>
      <c r="E810" s="983">
        <v>6.1916666666666665E-3</v>
      </c>
      <c r="F810" s="983">
        <v>6.3416666666666665E-3</v>
      </c>
      <c r="G810" s="983">
        <v>6.2666666666666669E-3</v>
      </c>
      <c r="H810" s="983">
        <v>6.5491666666666667E-3</v>
      </c>
      <c r="I810" s="983">
        <v>2.1600000000000001E-2</v>
      </c>
      <c r="J810" s="983">
        <v>2.0533333333333334E-2</v>
      </c>
      <c r="K810" s="983">
        <v>2.0250833333333336E-2</v>
      </c>
      <c r="L810" s="983">
        <v>-2.5649166666666667E-2</v>
      </c>
    </row>
    <row r="811" spans="1:12">
      <c r="A811" s="983">
        <v>34121</v>
      </c>
      <c r="B811" s="983">
        <v>2.8999999999999998E-3</v>
      </c>
      <c r="C811" s="983">
        <v>4.6300000000000001E-2</v>
      </c>
      <c r="D811" s="983">
        <v>6.1999999999999998E-3</v>
      </c>
      <c r="E811" s="983">
        <v>6.1083333333333337E-3</v>
      </c>
      <c r="F811" s="983">
        <v>6.2583333333333336E-3</v>
      </c>
      <c r="G811" s="983">
        <v>6.1833333333333341E-3</v>
      </c>
      <c r="H811" s="983">
        <v>6.4693333333333339E-3</v>
      </c>
      <c r="I811" s="983">
        <v>-3.3E-3</v>
      </c>
      <c r="J811" s="983">
        <v>-3.2833333333333343E-3</v>
      </c>
      <c r="K811" s="983">
        <v>-3.5693333333333341E-3</v>
      </c>
      <c r="L811" s="983">
        <v>3.9830666666666667E-2</v>
      </c>
    </row>
    <row r="812" spans="1:12">
      <c r="A812" s="983">
        <v>34151</v>
      </c>
      <c r="B812" s="983">
        <v>-4.0000000000000001E-3</v>
      </c>
      <c r="C812" s="983">
        <v>2.2599999999999999E-2</v>
      </c>
      <c r="D812" s="983">
        <v>5.4000000000000003E-3</v>
      </c>
      <c r="E812" s="983">
        <v>5.9750000000000003E-3</v>
      </c>
      <c r="F812" s="983">
        <v>6.1249999999999994E-3</v>
      </c>
      <c r="G812" s="983">
        <v>6.0499999999999998E-3</v>
      </c>
      <c r="H812" s="983">
        <v>6.284500000000001E-3</v>
      </c>
      <c r="I812" s="983">
        <v>-9.4000000000000004E-3</v>
      </c>
      <c r="J812" s="983">
        <v>-1.005E-2</v>
      </c>
      <c r="K812" s="983">
        <v>-1.0284500000000002E-2</v>
      </c>
      <c r="L812" s="983">
        <v>1.6315499999999997E-2</v>
      </c>
    </row>
    <row r="813" spans="1:12">
      <c r="A813" s="983">
        <v>34182</v>
      </c>
      <c r="B813" s="983">
        <v>3.7900000000000003E-2</v>
      </c>
      <c r="C813" s="983">
        <v>4.8399999999999999E-2</v>
      </c>
      <c r="D813" s="983">
        <v>5.5999999999999991E-3</v>
      </c>
      <c r="E813" s="983">
        <v>5.7083333333333326E-3</v>
      </c>
      <c r="F813" s="983">
        <v>5.8833333333333324E-3</v>
      </c>
      <c r="G813" s="983">
        <v>5.7958333333333334E-3</v>
      </c>
      <c r="H813" s="983">
        <v>6.0587500000000008E-3</v>
      </c>
      <c r="I813" s="983">
        <v>3.2300000000000002E-2</v>
      </c>
      <c r="J813" s="983">
        <v>3.210416666666667E-2</v>
      </c>
      <c r="K813" s="983">
        <v>3.1841250000000001E-2</v>
      </c>
      <c r="L813" s="983">
        <v>4.2341249999999997E-2</v>
      </c>
    </row>
    <row r="814" spans="1:12">
      <c r="A814" s="983">
        <v>34213</v>
      </c>
      <c r="B814" s="983">
        <v>-7.7000000000000002E-3</v>
      </c>
      <c r="C814" s="983">
        <v>-2E-3</v>
      </c>
      <c r="D814" s="983">
        <v>5.0000000000000001E-3</v>
      </c>
      <c r="E814" s="983">
        <v>5.5500000000000002E-3</v>
      </c>
      <c r="F814" s="983">
        <v>5.7083333333333326E-3</v>
      </c>
      <c r="G814" s="983">
        <v>5.6291666666666677E-3</v>
      </c>
      <c r="H814" s="983">
        <v>5.8635000000000007E-3</v>
      </c>
      <c r="I814" s="983">
        <v>-1.2699999999999999E-2</v>
      </c>
      <c r="J814" s="983">
        <v>-1.3329166666666668E-2</v>
      </c>
      <c r="K814" s="983">
        <v>-1.3563500000000001E-2</v>
      </c>
      <c r="L814" s="983">
        <v>-7.8635000000000007E-3</v>
      </c>
    </row>
    <row r="815" spans="1:12">
      <c r="A815" s="983">
        <v>34243</v>
      </c>
      <c r="B815" s="983">
        <v>2.07E-2</v>
      </c>
      <c r="C815" s="983">
        <v>-2.1000000000000003E-3</v>
      </c>
      <c r="D815" s="983">
        <v>4.8999999999999998E-3</v>
      </c>
      <c r="E815" s="983">
        <v>5.5583333333333327E-3</v>
      </c>
      <c r="F815" s="983">
        <v>5.7250000000000001E-3</v>
      </c>
      <c r="G815" s="983">
        <v>5.6416666666666672E-3</v>
      </c>
      <c r="H815" s="983">
        <v>5.8567500000000008E-3</v>
      </c>
      <c r="I815" s="983">
        <v>1.5800000000000002E-2</v>
      </c>
      <c r="J815" s="983">
        <v>1.5058333333333333E-2</v>
      </c>
      <c r="K815" s="983">
        <v>1.4843249999999999E-2</v>
      </c>
      <c r="L815" s="983">
        <v>-7.956750000000002E-3</v>
      </c>
    </row>
    <row r="816" spans="1:12">
      <c r="A816" s="983">
        <v>34274</v>
      </c>
      <c r="B816" s="983">
        <v>-9.4999999999999998E-3</v>
      </c>
      <c r="C816" s="983">
        <v>-5.0700000000000002E-2</v>
      </c>
      <c r="D816" s="983">
        <v>5.3E-3</v>
      </c>
      <c r="E816" s="983">
        <v>5.7749999999999998E-3</v>
      </c>
      <c r="F816" s="983">
        <v>5.9333333333333339E-3</v>
      </c>
      <c r="G816" s="983">
        <v>5.8541666666666672E-3</v>
      </c>
      <c r="H816" s="983">
        <v>6.0670833333333332E-3</v>
      </c>
      <c r="I816" s="983">
        <v>-1.4800000000000001E-2</v>
      </c>
      <c r="J816" s="983">
        <v>-1.5354166666666667E-2</v>
      </c>
      <c r="K816" s="983">
        <v>-1.5567083333333332E-2</v>
      </c>
      <c r="L816" s="983">
        <v>-5.6767083333333336E-2</v>
      </c>
    </row>
    <row r="817" spans="1:12">
      <c r="A817" s="983">
        <v>34304</v>
      </c>
      <c r="B817" s="983">
        <v>1.21E-2</v>
      </c>
      <c r="C817" s="983">
        <v>-5.3E-3</v>
      </c>
      <c r="D817" s="983">
        <v>5.4999999999999997E-3</v>
      </c>
      <c r="E817" s="983">
        <v>5.7749999999999998E-3</v>
      </c>
      <c r="F817" s="983">
        <v>5.9333333333333339E-3</v>
      </c>
      <c r="G817" s="983">
        <v>5.8541666666666672E-3</v>
      </c>
      <c r="H817" s="983">
        <v>6.1131666666666661E-3</v>
      </c>
      <c r="I817" s="983">
        <v>6.6E-3</v>
      </c>
      <c r="J817" s="983">
        <v>6.2458333333333324E-3</v>
      </c>
      <c r="K817" s="983">
        <v>5.9868333333333336E-3</v>
      </c>
      <c r="L817" s="983">
        <v>-1.1413166666666665E-2</v>
      </c>
    </row>
    <row r="818" spans="1:12">
      <c r="A818" s="983">
        <v>34335</v>
      </c>
      <c r="B818" s="983">
        <v>3.4000000000000002E-2</v>
      </c>
      <c r="C818" s="983">
        <v>7.1999999999999998E-3</v>
      </c>
      <c r="D818" s="983">
        <v>5.4999999999999997E-3</v>
      </c>
      <c r="E818" s="983">
        <v>5.7666666666666665E-3</v>
      </c>
      <c r="F818" s="983">
        <v>5.9333333333333339E-3</v>
      </c>
      <c r="G818" s="983">
        <v>5.8499999999999993E-3</v>
      </c>
      <c r="H818" s="983">
        <v>6.1104166666666668E-3</v>
      </c>
      <c r="I818" s="983">
        <v>2.8500000000000004E-2</v>
      </c>
      <c r="J818" s="983">
        <v>2.8150000000000001E-2</v>
      </c>
      <c r="K818" s="983">
        <v>2.7889583333333336E-2</v>
      </c>
      <c r="L818" s="983">
        <v>1.089583333333333E-3</v>
      </c>
    </row>
    <row r="819" spans="1:12">
      <c r="A819" s="983">
        <v>34366</v>
      </c>
      <c r="B819" s="983">
        <v>-2.7099999999999999E-2</v>
      </c>
      <c r="C819" s="983">
        <v>-5.67E-2</v>
      </c>
      <c r="D819" s="983">
        <v>4.8999999999999998E-3</v>
      </c>
      <c r="E819" s="983">
        <v>5.8999999999999999E-3</v>
      </c>
      <c r="F819" s="983">
        <v>6.0750000000000005E-3</v>
      </c>
      <c r="G819" s="983">
        <v>5.9874999999999998E-3</v>
      </c>
      <c r="H819" s="983">
        <v>6.2052499999999998E-3</v>
      </c>
      <c r="I819" s="983">
        <v>-3.2000000000000001E-2</v>
      </c>
      <c r="J819" s="983">
        <v>-3.3087499999999999E-2</v>
      </c>
      <c r="K819" s="983">
        <v>-3.3305250000000002E-2</v>
      </c>
      <c r="L819" s="983">
        <v>-6.2905249999999996E-2</v>
      </c>
    </row>
    <row r="820" spans="1:12">
      <c r="A820" s="983">
        <v>34394</v>
      </c>
      <c r="B820" s="983">
        <v>-4.36E-2</v>
      </c>
      <c r="C820" s="983">
        <v>-3.3800000000000004E-2</v>
      </c>
      <c r="D820" s="983">
        <v>5.7999999999999996E-3</v>
      </c>
      <c r="E820" s="983">
        <v>5.8999999999999999E-3</v>
      </c>
      <c r="F820" s="983">
        <v>6.0750000000000005E-3</v>
      </c>
      <c r="G820" s="983">
        <v>5.9874999999999998E-3</v>
      </c>
      <c r="H820" s="983">
        <v>6.527666666666666E-3</v>
      </c>
      <c r="I820" s="983">
        <v>-4.9399999999999999E-2</v>
      </c>
      <c r="J820" s="983">
        <v>-4.95875E-2</v>
      </c>
      <c r="K820" s="983">
        <v>-5.0127666666666668E-2</v>
      </c>
      <c r="L820" s="983">
        <v>-4.0327666666666671E-2</v>
      </c>
    </row>
    <row r="821" spans="1:12">
      <c r="A821" s="983">
        <v>34425</v>
      </c>
      <c r="B821" s="983">
        <v>1.2800000000000001E-2</v>
      </c>
      <c r="C821" s="983">
        <v>2.46E-2</v>
      </c>
      <c r="D821" s="983">
        <v>5.7000000000000002E-3</v>
      </c>
      <c r="E821" s="983">
        <v>6.2333333333333338E-3</v>
      </c>
      <c r="F821" s="983">
        <v>6.4083333333333336E-3</v>
      </c>
      <c r="G821" s="983">
        <v>6.3208333333333337E-3</v>
      </c>
      <c r="H821" s="983">
        <v>6.8514166666666662E-3</v>
      </c>
      <c r="I821" s="983">
        <v>7.1000000000000004E-3</v>
      </c>
      <c r="J821" s="983">
        <v>6.4791666666666669E-3</v>
      </c>
      <c r="K821" s="983">
        <v>5.9485833333333344E-3</v>
      </c>
      <c r="L821" s="983">
        <v>1.7748583333333335E-2</v>
      </c>
    </row>
    <row r="822" spans="1:12">
      <c r="A822" s="983">
        <v>34455</v>
      </c>
      <c r="B822" s="983">
        <v>1.6400000000000001E-2</v>
      </c>
      <c r="C822" s="983">
        <v>-2.6800000000000001E-2</v>
      </c>
      <c r="D822" s="983">
        <v>6.3E-3</v>
      </c>
      <c r="E822" s="983">
        <v>6.6583333333333338E-3</v>
      </c>
      <c r="F822" s="983">
        <v>6.8250000000000003E-3</v>
      </c>
      <c r="G822" s="983">
        <v>6.7416666666666666E-3</v>
      </c>
      <c r="H822" s="983">
        <v>6.9384999999999994E-3</v>
      </c>
      <c r="I822" s="983">
        <v>1.0100000000000001E-2</v>
      </c>
      <c r="J822" s="983">
        <v>9.6583333333333347E-3</v>
      </c>
      <c r="K822" s="983">
        <v>9.4615000000000012E-3</v>
      </c>
      <c r="L822" s="983">
        <v>-3.3738499999999998E-2</v>
      </c>
    </row>
    <row r="823" spans="1:12">
      <c r="A823" s="983">
        <v>34486</v>
      </c>
      <c r="B823" s="983">
        <v>-2.4500000000000001E-2</v>
      </c>
      <c r="C823" s="983">
        <v>2.0999999999999994E-3</v>
      </c>
      <c r="D823" s="983">
        <v>6.0999999999999995E-3</v>
      </c>
      <c r="E823" s="983">
        <v>6.6416666666666672E-3</v>
      </c>
      <c r="F823" s="983">
        <v>6.8083333333333329E-3</v>
      </c>
      <c r="G823" s="983">
        <v>6.7250000000000001E-3</v>
      </c>
      <c r="H823" s="983">
        <v>6.9234166666666663E-3</v>
      </c>
      <c r="I823" s="983">
        <v>-3.0600000000000002E-2</v>
      </c>
      <c r="J823" s="983">
        <v>-3.1225000000000003E-2</v>
      </c>
      <c r="K823" s="983">
        <v>-3.1423416666666669E-2</v>
      </c>
      <c r="L823" s="983">
        <v>-4.8234166666666668E-3</v>
      </c>
    </row>
    <row r="824" spans="1:12">
      <c r="A824" s="983">
        <v>34516</v>
      </c>
      <c r="B824" s="983">
        <v>3.2800000000000003E-2</v>
      </c>
      <c r="C824" s="983">
        <v>3.3599999999999998E-2</v>
      </c>
      <c r="D824" s="983">
        <v>6.0000000000000001E-3</v>
      </c>
      <c r="E824" s="983">
        <v>6.7583333333333332E-3</v>
      </c>
      <c r="F824" s="983">
        <v>6.9249999999999997E-3</v>
      </c>
      <c r="G824" s="983">
        <v>6.841666666666666E-3</v>
      </c>
      <c r="H824" s="983">
        <v>7.0627500000000013E-3</v>
      </c>
      <c r="I824" s="983">
        <v>2.6800000000000004E-2</v>
      </c>
      <c r="J824" s="983">
        <v>2.5958333333333337E-2</v>
      </c>
      <c r="K824" s="983">
        <v>2.5737250000000003E-2</v>
      </c>
      <c r="L824" s="983">
        <v>2.6537249999999998E-2</v>
      </c>
    </row>
    <row r="825" spans="1:12">
      <c r="A825" s="983">
        <v>34547</v>
      </c>
      <c r="B825" s="983">
        <v>4.1000000000000002E-2</v>
      </c>
      <c r="C825" s="983">
        <v>-2.7999999999999995E-3</v>
      </c>
      <c r="D825" s="983">
        <v>6.6E-3</v>
      </c>
      <c r="E825" s="983">
        <v>6.7250000000000001E-3</v>
      </c>
      <c r="F825" s="983">
        <v>6.875E-3</v>
      </c>
      <c r="G825" s="983">
        <v>6.7999999999999996E-3</v>
      </c>
      <c r="H825" s="983">
        <v>7.0058333333333335E-3</v>
      </c>
      <c r="I825" s="983">
        <v>3.44E-2</v>
      </c>
      <c r="J825" s="983">
        <v>3.4200000000000001E-2</v>
      </c>
      <c r="K825" s="983">
        <v>3.3994166666666666E-2</v>
      </c>
      <c r="L825" s="983">
        <v>-9.8058333333333331E-3</v>
      </c>
    </row>
    <row r="826" spans="1:12">
      <c r="A826" s="983">
        <v>34578</v>
      </c>
      <c r="B826" s="983">
        <v>-2.4500000000000001E-2</v>
      </c>
      <c r="C826" s="983">
        <v>-2.5399999999999999E-2</v>
      </c>
      <c r="D826" s="983">
        <v>6.0999999999999995E-3</v>
      </c>
      <c r="E826" s="983">
        <v>6.9499999999999996E-3</v>
      </c>
      <c r="F826" s="983">
        <v>7.0750000000000006E-3</v>
      </c>
      <c r="G826" s="983">
        <v>7.0124999999999996E-3</v>
      </c>
      <c r="H826" s="983">
        <v>7.1869166666666661E-3</v>
      </c>
      <c r="I826" s="983">
        <v>-3.0600000000000002E-2</v>
      </c>
      <c r="J826" s="983">
        <v>-3.1512499999999999E-2</v>
      </c>
      <c r="K826" s="983">
        <v>-3.1686916666666669E-2</v>
      </c>
      <c r="L826" s="983">
        <v>-3.2586916666666667E-2</v>
      </c>
    </row>
    <row r="827" spans="1:12">
      <c r="A827" s="983">
        <v>34608</v>
      </c>
      <c r="B827" s="983">
        <v>2.2499999999999999E-2</v>
      </c>
      <c r="C827" s="983">
        <v>8.6E-3</v>
      </c>
      <c r="D827" s="983">
        <v>6.6E-3</v>
      </c>
      <c r="E827" s="983">
        <v>7.1416666666666677E-3</v>
      </c>
      <c r="F827" s="983">
        <v>7.2583333333333345E-3</v>
      </c>
      <c r="G827" s="983">
        <v>7.2000000000000007E-3</v>
      </c>
      <c r="H827" s="983">
        <v>7.376999999999999E-3</v>
      </c>
      <c r="I827" s="983">
        <v>1.5899999999999997E-2</v>
      </c>
      <c r="J827" s="983">
        <v>1.5299999999999998E-2</v>
      </c>
      <c r="K827" s="983">
        <v>1.5123000000000001E-2</v>
      </c>
      <c r="L827" s="983">
        <v>1.223000000000001E-3</v>
      </c>
    </row>
    <row r="828" spans="1:12">
      <c r="A828" s="983">
        <v>34639</v>
      </c>
      <c r="B828" s="983">
        <v>-3.6400000000000002E-2</v>
      </c>
      <c r="C828" s="983">
        <v>-1.46E-2</v>
      </c>
      <c r="D828" s="983">
        <v>6.4000000000000003E-3</v>
      </c>
      <c r="E828" s="983">
        <v>7.2333333333333329E-3</v>
      </c>
      <c r="F828" s="983">
        <v>7.358333333333333E-3</v>
      </c>
      <c r="G828" s="983">
        <v>7.2958333333333321E-3</v>
      </c>
      <c r="H828" s="983">
        <v>7.4862499999999998E-3</v>
      </c>
      <c r="I828" s="983">
        <v>-4.2800000000000005E-2</v>
      </c>
      <c r="J828" s="983">
        <v>-4.3695833333333337E-2</v>
      </c>
      <c r="K828" s="983">
        <v>-4.3886250000000002E-2</v>
      </c>
      <c r="L828" s="983">
        <v>-2.2086250000000002E-2</v>
      </c>
    </row>
    <row r="829" spans="1:12">
      <c r="A829" s="983">
        <v>34669</v>
      </c>
      <c r="B829" s="983">
        <v>1.4800000000000001E-2</v>
      </c>
      <c r="C829" s="983">
        <v>5.1999999999999998E-3</v>
      </c>
      <c r="D829" s="983">
        <v>6.6E-3</v>
      </c>
      <c r="E829" s="983">
        <v>7.0500000000000007E-3</v>
      </c>
      <c r="F829" s="983">
        <v>7.1833333333333324E-3</v>
      </c>
      <c r="G829" s="983">
        <v>7.116666666666667E-3</v>
      </c>
      <c r="H829" s="983">
        <v>7.3067500000000007E-3</v>
      </c>
      <c r="I829" s="983">
        <v>8.2000000000000007E-3</v>
      </c>
      <c r="J829" s="983">
        <v>7.6833333333333337E-3</v>
      </c>
      <c r="K829" s="983">
        <v>7.4932499999999999E-3</v>
      </c>
      <c r="L829" s="983">
        <v>-2.106750000000001E-3</v>
      </c>
    </row>
    <row r="830" spans="1:12">
      <c r="A830" s="983">
        <v>34700</v>
      </c>
      <c r="B830" s="983">
        <v>2.5899999999999999E-2</v>
      </c>
      <c r="C830" s="983">
        <v>7.7900000000000011E-2</v>
      </c>
      <c r="D830" s="983">
        <v>7.000000000000001E-3</v>
      </c>
      <c r="E830" s="983">
        <v>7.0500000000000007E-3</v>
      </c>
      <c r="F830" s="983">
        <v>7.1666666666666667E-3</v>
      </c>
      <c r="G830" s="983">
        <v>7.1083333333333346E-3</v>
      </c>
      <c r="H830" s="983">
        <v>7.2879166666666665E-3</v>
      </c>
      <c r="I830" s="983">
        <v>1.89E-2</v>
      </c>
      <c r="J830" s="983">
        <v>1.8791666666666665E-2</v>
      </c>
      <c r="K830" s="983">
        <v>1.8612083333333335E-2</v>
      </c>
      <c r="L830" s="983">
        <v>7.0612083333333339E-2</v>
      </c>
    </row>
    <row r="831" spans="1:12">
      <c r="A831" s="983">
        <v>34731</v>
      </c>
      <c r="B831" s="983">
        <v>3.9E-2</v>
      </c>
      <c r="C831" s="983">
        <v>-1.5000000000000005E-3</v>
      </c>
      <c r="D831" s="983">
        <v>5.8999999999999999E-3</v>
      </c>
      <c r="E831" s="983">
        <v>6.8833333333333333E-3</v>
      </c>
      <c r="F831" s="983">
        <v>6.9916666666666669E-3</v>
      </c>
      <c r="G831" s="983">
        <v>6.937500000000001E-3</v>
      </c>
      <c r="H831" s="983">
        <v>7.1083333333333328E-3</v>
      </c>
      <c r="I831" s="983">
        <v>3.3099999999999997E-2</v>
      </c>
      <c r="J831" s="983">
        <v>3.2062500000000001E-2</v>
      </c>
      <c r="K831" s="983">
        <v>3.1891666666666665E-2</v>
      </c>
      <c r="L831" s="983">
        <v>-8.6083333333333324E-3</v>
      </c>
    </row>
    <row r="832" spans="1:12">
      <c r="A832" s="983">
        <v>34759</v>
      </c>
      <c r="B832" s="983">
        <v>2.9499999999999998E-2</v>
      </c>
      <c r="C832" s="983">
        <v>-6.0000000000000001E-3</v>
      </c>
      <c r="D832" s="983">
        <v>6.4000000000000003E-3</v>
      </c>
      <c r="E832" s="983">
        <v>6.7666666666666665E-3</v>
      </c>
      <c r="F832" s="983">
        <v>6.8666666666666668E-3</v>
      </c>
      <c r="G832" s="983">
        <v>6.8166666666666662E-3</v>
      </c>
      <c r="H832" s="983">
        <v>6.9785833333333332E-3</v>
      </c>
      <c r="I832" s="983">
        <v>2.3099999999999999E-2</v>
      </c>
      <c r="J832" s="983">
        <v>2.2683333333333333E-2</v>
      </c>
      <c r="K832" s="983">
        <v>2.2521416666666665E-2</v>
      </c>
      <c r="L832" s="983">
        <v>-1.2978583333333333E-2</v>
      </c>
    </row>
    <row r="833" spans="1:12">
      <c r="A833" s="983">
        <v>34790</v>
      </c>
      <c r="B833" s="983">
        <v>2.9399999999999999E-2</v>
      </c>
      <c r="C833" s="983">
        <v>3.6500000000000005E-2</v>
      </c>
      <c r="D833" s="983">
        <v>5.7999999999999996E-3</v>
      </c>
      <c r="E833" s="983">
        <v>6.6916666666666661E-3</v>
      </c>
      <c r="F833" s="983">
        <v>6.7666666666666665E-3</v>
      </c>
      <c r="G833" s="983">
        <v>6.7291666666666663E-3</v>
      </c>
      <c r="H833" s="983">
        <v>6.8982499999999999E-3</v>
      </c>
      <c r="I833" s="983">
        <v>2.3599999999999999E-2</v>
      </c>
      <c r="J833" s="983">
        <v>2.2670833333333335E-2</v>
      </c>
      <c r="K833" s="983">
        <v>2.2501750000000001E-2</v>
      </c>
      <c r="L833" s="983">
        <v>2.9601750000000003E-2</v>
      </c>
    </row>
    <row r="834" spans="1:12">
      <c r="A834" s="983">
        <v>34820</v>
      </c>
      <c r="B834" s="983">
        <v>0.04</v>
      </c>
      <c r="C834" s="983">
        <v>3.1600000000000003E-2</v>
      </c>
      <c r="D834" s="983">
        <v>6.5000000000000006E-3</v>
      </c>
      <c r="E834" s="983">
        <v>6.3750000000000005E-3</v>
      </c>
      <c r="F834" s="983">
        <v>6.45E-3</v>
      </c>
      <c r="G834" s="983">
        <v>6.4125000000000007E-3</v>
      </c>
      <c r="H834" s="983">
        <v>6.6102499999999998E-3</v>
      </c>
      <c r="I834" s="983">
        <v>3.3500000000000002E-2</v>
      </c>
      <c r="J834" s="983">
        <v>3.3587499999999999E-2</v>
      </c>
      <c r="K834" s="983">
        <v>3.3389750000000003E-2</v>
      </c>
      <c r="L834" s="983">
        <v>2.4989750000000005E-2</v>
      </c>
    </row>
    <row r="835" spans="1:12">
      <c r="A835" s="983">
        <v>34851</v>
      </c>
      <c r="B835" s="983">
        <v>2.3199999999999998E-2</v>
      </c>
      <c r="C835" s="983">
        <v>4.6999999999999993E-3</v>
      </c>
      <c r="D835" s="983">
        <v>5.4000000000000003E-3</v>
      </c>
      <c r="E835" s="983">
        <v>6.083333333333333E-3</v>
      </c>
      <c r="F835" s="983">
        <v>6.1916666666666665E-3</v>
      </c>
      <c r="G835" s="983">
        <v>6.1375000000000006E-3</v>
      </c>
      <c r="H835" s="983">
        <v>6.3360000000000005E-3</v>
      </c>
      <c r="I835" s="983">
        <v>1.7799999999999996E-2</v>
      </c>
      <c r="J835" s="983">
        <v>1.7062499999999998E-2</v>
      </c>
      <c r="K835" s="983">
        <v>1.6863999999999997E-2</v>
      </c>
      <c r="L835" s="983">
        <v>-1.6360000000000012E-3</v>
      </c>
    </row>
    <row r="836" spans="1:12">
      <c r="A836" s="983">
        <v>34881</v>
      </c>
      <c r="B836" s="983">
        <v>3.32E-2</v>
      </c>
      <c r="C836" s="983">
        <v>2.5500000000000002E-2</v>
      </c>
      <c r="D836" s="983">
        <v>5.5999999999999991E-3</v>
      </c>
      <c r="E836" s="983">
        <v>6.1750000000000008E-3</v>
      </c>
      <c r="F836" s="983">
        <v>6.2833333333333326E-3</v>
      </c>
      <c r="G836" s="983">
        <v>6.2291666666666667E-3</v>
      </c>
      <c r="H836" s="983">
        <v>6.4079166666666668E-3</v>
      </c>
      <c r="I836" s="983">
        <v>2.76E-2</v>
      </c>
      <c r="J836" s="983">
        <v>2.6970833333333333E-2</v>
      </c>
      <c r="K836" s="983">
        <v>2.6792083333333334E-2</v>
      </c>
      <c r="L836" s="983">
        <v>1.9092083333333336E-2</v>
      </c>
    </row>
    <row r="837" spans="1:12">
      <c r="A837" s="983">
        <v>34912</v>
      </c>
      <c r="B837" s="983">
        <v>2.5000000000000001E-3</v>
      </c>
      <c r="C837" s="983">
        <v>2.0200000000000006E-2</v>
      </c>
      <c r="D837" s="983">
        <v>5.7000000000000002E-3</v>
      </c>
      <c r="E837" s="983">
        <v>6.3083333333333333E-3</v>
      </c>
      <c r="F837" s="983">
        <v>6.4083333333333336E-3</v>
      </c>
      <c r="G837" s="983">
        <v>6.3583333333333339E-3</v>
      </c>
      <c r="H837" s="983">
        <v>6.5322500000000007E-3</v>
      </c>
      <c r="I837" s="983">
        <v>-3.2000000000000002E-3</v>
      </c>
      <c r="J837" s="983">
        <v>-3.8583333333333338E-3</v>
      </c>
      <c r="K837" s="983">
        <v>-4.0322500000000011E-3</v>
      </c>
      <c r="L837" s="983">
        <v>1.3667750000000006E-2</v>
      </c>
    </row>
    <row r="838" spans="1:12">
      <c r="A838" s="983">
        <v>34943</v>
      </c>
      <c r="B838" s="983">
        <v>4.2200000000000001E-2</v>
      </c>
      <c r="C838" s="983">
        <v>6.3799999999999996E-2</v>
      </c>
      <c r="D838" s="983">
        <v>5.1999999999999998E-3</v>
      </c>
      <c r="E838" s="983">
        <v>6.0999999999999995E-3</v>
      </c>
      <c r="F838" s="983">
        <v>6.2083333333333331E-3</v>
      </c>
      <c r="G838" s="983">
        <v>6.1541666666666672E-3</v>
      </c>
      <c r="H838" s="983">
        <v>6.3499999999999997E-3</v>
      </c>
      <c r="I838" s="983">
        <v>3.7000000000000005E-2</v>
      </c>
      <c r="J838" s="983">
        <v>3.6045833333333333E-2</v>
      </c>
      <c r="K838" s="983">
        <v>3.585E-2</v>
      </c>
      <c r="L838" s="983">
        <v>5.7449999999999994E-2</v>
      </c>
    </row>
    <row r="839" spans="1:12">
      <c r="A839" s="983">
        <v>34973</v>
      </c>
      <c r="B839" s="983">
        <v>-3.5999999999999999E-3</v>
      </c>
      <c r="C839" s="983">
        <v>2.3799999999999998E-2</v>
      </c>
      <c r="D839" s="983">
        <v>5.7000000000000002E-3</v>
      </c>
      <c r="E839" s="983">
        <v>5.9333333333333339E-3</v>
      </c>
      <c r="F839" s="983">
        <v>6.0583333333333331E-3</v>
      </c>
      <c r="G839" s="983">
        <v>5.9958333333333339E-3</v>
      </c>
      <c r="H839" s="983">
        <v>6.2238333333333338E-3</v>
      </c>
      <c r="I839" s="983">
        <v>-9.2999999999999992E-3</v>
      </c>
      <c r="J839" s="983">
        <v>-9.5958333333333347E-3</v>
      </c>
      <c r="K839" s="983">
        <v>-9.8238333333333337E-3</v>
      </c>
      <c r="L839" s="983">
        <v>1.7576166666666664E-2</v>
      </c>
    </row>
    <row r="840" spans="1:12">
      <c r="A840" s="983">
        <v>35004</v>
      </c>
      <c r="B840" s="983">
        <v>4.3900000000000002E-2</v>
      </c>
      <c r="C840" s="983">
        <v>1.3599999999999999E-2</v>
      </c>
      <c r="D840" s="983">
        <v>5.1000000000000004E-3</v>
      </c>
      <c r="E840" s="983">
        <v>5.8499999999999993E-3</v>
      </c>
      <c r="F840" s="983">
        <v>5.9833333333333327E-3</v>
      </c>
      <c r="G840" s="983">
        <v>5.9166666666666656E-3</v>
      </c>
      <c r="H840" s="983">
        <v>6.1999999999999998E-3</v>
      </c>
      <c r="I840" s="983">
        <v>3.8800000000000001E-2</v>
      </c>
      <c r="J840" s="983">
        <v>3.7983333333333334E-2</v>
      </c>
      <c r="K840" s="983">
        <v>3.7700000000000004E-2</v>
      </c>
      <c r="L840" s="983">
        <v>7.3999999999999995E-3</v>
      </c>
    </row>
    <row r="841" spans="1:12">
      <c r="A841" s="983">
        <v>35034</v>
      </c>
      <c r="B841" s="983">
        <v>1.9300000000000001E-2</v>
      </c>
      <c r="C841" s="983">
        <v>7.0800000000000002E-2</v>
      </c>
      <c r="D841" s="983">
        <v>4.8999999999999998E-3</v>
      </c>
      <c r="E841" s="983">
        <v>5.6833333333333336E-3</v>
      </c>
      <c r="F841" s="983">
        <v>5.8250000000000003E-3</v>
      </c>
      <c r="G841" s="983">
        <v>5.754166666666667E-3</v>
      </c>
      <c r="H841" s="983">
        <v>6.0447499999999998E-3</v>
      </c>
      <c r="I841" s="983">
        <v>1.4400000000000001E-2</v>
      </c>
      <c r="J841" s="983">
        <v>1.3545833333333333E-2</v>
      </c>
      <c r="K841" s="983">
        <v>1.3255250000000001E-2</v>
      </c>
      <c r="L841" s="983">
        <v>6.475525E-2</v>
      </c>
    </row>
    <row r="842" spans="1:12">
      <c r="A842" s="983">
        <v>35065</v>
      </c>
      <c r="B842" s="983">
        <v>3.4000000000000002E-2</v>
      </c>
      <c r="C842" s="983">
        <v>1.29E-2</v>
      </c>
      <c r="D842" s="983">
        <v>5.4000000000000003E-3</v>
      </c>
      <c r="E842" s="983">
        <v>5.6750000000000004E-3</v>
      </c>
      <c r="F842" s="983">
        <v>5.8250000000000003E-3</v>
      </c>
      <c r="G842" s="983">
        <v>5.7499999999999999E-3</v>
      </c>
      <c r="H842" s="983">
        <v>6.005666666666667E-3</v>
      </c>
      <c r="I842" s="983">
        <v>2.86E-2</v>
      </c>
      <c r="J842" s="983">
        <v>2.8250000000000004E-2</v>
      </c>
      <c r="K842" s="983">
        <v>2.7994333333333336E-2</v>
      </c>
      <c r="L842" s="983">
        <v>6.894333333333333E-3</v>
      </c>
    </row>
    <row r="843" spans="1:12">
      <c r="A843" s="983">
        <v>35096</v>
      </c>
      <c r="B843" s="983">
        <v>9.2999999999999992E-3</v>
      </c>
      <c r="C843" s="983">
        <v>-3.95E-2</v>
      </c>
      <c r="D843" s="983">
        <v>4.7999999999999996E-3</v>
      </c>
      <c r="E843" s="983">
        <v>5.8250000000000003E-3</v>
      </c>
      <c r="F843" s="983">
        <v>5.966666666666667E-3</v>
      </c>
      <c r="G843" s="983">
        <v>5.8958333333333337E-3</v>
      </c>
      <c r="H843" s="983">
        <v>6.1250000000000002E-3</v>
      </c>
      <c r="I843" s="983">
        <v>4.4999999999999997E-3</v>
      </c>
      <c r="J843" s="983">
        <v>3.4041666666666656E-3</v>
      </c>
      <c r="K843" s="983">
        <v>3.174999999999999E-3</v>
      </c>
      <c r="L843" s="983">
        <v>-4.5624999999999999E-2</v>
      </c>
    </row>
    <row r="844" spans="1:12">
      <c r="A844" s="983">
        <v>35125</v>
      </c>
      <c r="B844" s="983">
        <v>9.5999999999999992E-3</v>
      </c>
      <c r="C844" s="983">
        <v>-2.0299999999999999E-2</v>
      </c>
      <c r="D844" s="983">
        <v>5.1999999999999998E-3</v>
      </c>
      <c r="E844" s="983">
        <v>6.1249999999999994E-3</v>
      </c>
      <c r="F844" s="983">
        <v>6.266666666666666E-3</v>
      </c>
      <c r="G844" s="983">
        <v>6.1958333333333327E-3</v>
      </c>
      <c r="H844" s="983">
        <v>6.4353333333333337E-3</v>
      </c>
      <c r="I844" s="983">
        <v>4.3999999999999994E-3</v>
      </c>
      <c r="J844" s="983">
        <v>3.4041666666666665E-3</v>
      </c>
      <c r="K844" s="983">
        <v>3.1646666666666655E-3</v>
      </c>
      <c r="L844" s="983">
        <v>-2.6735333333333333E-2</v>
      </c>
    </row>
    <row r="845" spans="1:12">
      <c r="A845" s="983">
        <v>35156</v>
      </c>
      <c r="B845" s="983">
        <v>1.47E-2</v>
      </c>
      <c r="C845" s="983">
        <v>1.0999999999999999E-2</v>
      </c>
      <c r="D845" s="983">
        <v>5.8999999999999999E-3</v>
      </c>
      <c r="E845" s="983">
        <v>6.2500000000000003E-3</v>
      </c>
      <c r="F845" s="983">
        <v>6.4000000000000003E-3</v>
      </c>
      <c r="G845" s="983">
        <v>6.3250000000000008E-3</v>
      </c>
      <c r="H845" s="983">
        <v>6.5698333333333338E-3</v>
      </c>
      <c r="I845" s="983">
        <v>8.7999999999999988E-3</v>
      </c>
      <c r="J845" s="983">
        <v>8.3749999999999988E-3</v>
      </c>
      <c r="K845" s="983">
        <v>8.1301666666666658E-3</v>
      </c>
      <c r="L845" s="983">
        <v>4.4301666666666656E-3</v>
      </c>
    </row>
    <row r="846" spans="1:12">
      <c r="A846" s="983">
        <v>35186</v>
      </c>
      <c r="B846" s="983">
        <v>2.58E-2</v>
      </c>
      <c r="C846" s="983">
        <v>-2.4999999999999996E-3</v>
      </c>
      <c r="D846" s="983">
        <v>5.7999999999999996E-3</v>
      </c>
      <c r="E846" s="983">
        <v>6.3499999999999997E-3</v>
      </c>
      <c r="F846" s="983">
        <v>6.4749999999999999E-3</v>
      </c>
      <c r="G846" s="983">
        <v>6.4124999999999998E-3</v>
      </c>
      <c r="H846" s="983">
        <v>6.6504166666666665E-3</v>
      </c>
      <c r="I846" s="983">
        <v>0.02</v>
      </c>
      <c r="J846" s="983">
        <v>1.9387500000000002E-2</v>
      </c>
      <c r="K846" s="983">
        <v>1.9149583333333334E-2</v>
      </c>
      <c r="L846" s="983">
        <v>-9.1504166666666661E-3</v>
      </c>
    </row>
    <row r="847" spans="1:12">
      <c r="A847" s="983">
        <v>35217</v>
      </c>
      <c r="B847" s="983">
        <v>3.8E-3</v>
      </c>
      <c r="C847" s="983">
        <v>4.1599999999999998E-2</v>
      </c>
      <c r="D847" s="983">
        <v>5.4000000000000003E-3</v>
      </c>
      <c r="E847" s="983">
        <v>6.4249999999999993E-3</v>
      </c>
      <c r="F847" s="983">
        <v>6.5583333333333335E-3</v>
      </c>
      <c r="G847" s="983">
        <v>6.4916666666666664E-3</v>
      </c>
      <c r="H847" s="983">
        <v>6.7200000000000003E-3</v>
      </c>
      <c r="I847" s="983">
        <v>-1.6000000000000003E-3</v>
      </c>
      <c r="J847" s="983">
        <v>-2.6916666666666664E-3</v>
      </c>
      <c r="K847" s="983">
        <v>-2.9200000000000003E-3</v>
      </c>
      <c r="L847" s="983">
        <v>3.4879999999999994E-2</v>
      </c>
    </row>
    <row r="848" spans="1:12">
      <c r="A848" s="983">
        <v>35247</v>
      </c>
      <c r="B848" s="983">
        <v>-4.4200000000000003E-2</v>
      </c>
      <c r="C848" s="983">
        <v>-6.2800000000000009E-2</v>
      </c>
      <c r="D848" s="983">
        <v>6.1999999999999998E-3</v>
      </c>
      <c r="E848" s="983">
        <v>6.3750000000000005E-3</v>
      </c>
      <c r="F848" s="983">
        <v>6.5166666666666671E-3</v>
      </c>
      <c r="G848" s="983">
        <v>6.4458333333333338E-3</v>
      </c>
      <c r="H848" s="983">
        <v>6.6876666666666664E-3</v>
      </c>
      <c r="I848" s="983">
        <v>-5.04E-2</v>
      </c>
      <c r="J848" s="983">
        <v>-5.0645833333333334E-2</v>
      </c>
      <c r="K848" s="983">
        <v>-5.0887666666666671E-2</v>
      </c>
      <c r="L848" s="983">
        <v>-6.948766666666667E-2</v>
      </c>
    </row>
    <row r="849" spans="1:12">
      <c r="A849" s="983">
        <v>35278</v>
      </c>
      <c r="B849" s="983">
        <v>2.1100000000000001E-2</v>
      </c>
      <c r="C849" s="983">
        <v>2.1299999999999999E-2</v>
      </c>
      <c r="D849" s="983">
        <v>5.7000000000000002E-3</v>
      </c>
      <c r="E849" s="983">
        <v>6.2166666666666672E-3</v>
      </c>
      <c r="F849" s="983">
        <v>6.3583333333333339E-3</v>
      </c>
      <c r="G849" s="983">
        <v>6.2875000000000006E-3</v>
      </c>
      <c r="H849" s="983">
        <v>6.5318333333333331E-3</v>
      </c>
      <c r="I849" s="983">
        <v>1.54E-2</v>
      </c>
      <c r="J849" s="983">
        <v>1.4812499999999999E-2</v>
      </c>
      <c r="K849" s="983">
        <v>1.4568166666666667E-2</v>
      </c>
      <c r="L849" s="983">
        <v>1.4768166666666666E-2</v>
      </c>
    </row>
    <row r="850" spans="1:12">
      <c r="A850" s="983">
        <v>35309</v>
      </c>
      <c r="B850" s="983">
        <v>5.6300000000000003E-2</v>
      </c>
      <c r="C850" s="983">
        <v>9.4999999999999998E-3</v>
      </c>
      <c r="D850" s="983">
        <v>6.0000000000000001E-3</v>
      </c>
      <c r="E850" s="983">
        <v>6.3833333333333329E-3</v>
      </c>
      <c r="F850" s="983">
        <v>6.5166666666666671E-3</v>
      </c>
      <c r="G850" s="983">
        <v>6.45E-3</v>
      </c>
      <c r="H850" s="983">
        <v>6.6812499999999997E-3</v>
      </c>
      <c r="I850" s="983">
        <v>5.0300000000000004E-2</v>
      </c>
      <c r="J850" s="983">
        <v>4.9850000000000005E-2</v>
      </c>
      <c r="K850" s="983">
        <v>4.9618750000000003E-2</v>
      </c>
      <c r="L850" s="983">
        <v>2.8187500000000001E-3</v>
      </c>
    </row>
    <row r="851" spans="1:12">
      <c r="A851" s="983">
        <v>35339</v>
      </c>
      <c r="B851" s="983">
        <v>2.76E-2</v>
      </c>
      <c r="C851" s="983">
        <v>5.0799999999999998E-2</v>
      </c>
      <c r="D851" s="983">
        <v>5.7999999999999996E-3</v>
      </c>
      <c r="E851" s="983">
        <v>6.1583333333333334E-3</v>
      </c>
      <c r="F851" s="983">
        <v>6.3166666666666675E-3</v>
      </c>
      <c r="G851" s="983">
        <v>6.2375E-3</v>
      </c>
      <c r="H851" s="983">
        <v>6.4820833333333336E-3</v>
      </c>
      <c r="I851" s="983">
        <v>2.18E-2</v>
      </c>
      <c r="J851" s="983">
        <v>2.13625E-2</v>
      </c>
      <c r="K851" s="983">
        <v>2.1117916666666667E-2</v>
      </c>
      <c r="L851" s="983">
        <v>4.4317916666666665E-2</v>
      </c>
    </row>
    <row r="852" spans="1:12">
      <c r="A852" s="983">
        <v>35370</v>
      </c>
      <c r="B852" s="983">
        <v>7.5600000000000001E-2</v>
      </c>
      <c r="C852" s="983">
        <v>2.1099999999999997E-2</v>
      </c>
      <c r="D852" s="983">
        <v>5.1999999999999998E-3</v>
      </c>
      <c r="E852" s="983">
        <v>5.9166666666666664E-3</v>
      </c>
      <c r="F852" s="983">
        <v>6.0916666666666662E-3</v>
      </c>
      <c r="G852" s="983">
        <v>6.0041666666666663E-3</v>
      </c>
      <c r="H852" s="983">
        <v>6.2527500000000005E-3</v>
      </c>
      <c r="I852" s="983">
        <v>7.0400000000000004E-2</v>
      </c>
      <c r="J852" s="983">
        <v>6.9595833333333329E-2</v>
      </c>
      <c r="K852" s="983">
        <v>6.9347249999999999E-2</v>
      </c>
      <c r="L852" s="983">
        <v>1.4847249999999996E-2</v>
      </c>
    </row>
    <row r="853" spans="1:12">
      <c r="A853" s="983">
        <v>35400</v>
      </c>
      <c r="B853" s="983">
        <v>-1.9800000000000002E-2</v>
      </c>
      <c r="C853" s="983">
        <v>-6.000000000000001E-3</v>
      </c>
      <c r="D853" s="983">
        <v>5.5999999999999991E-3</v>
      </c>
      <c r="E853" s="983">
        <v>6.0000000000000001E-3</v>
      </c>
      <c r="F853" s="983">
        <v>6.1750000000000008E-3</v>
      </c>
      <c r="G853" s="983">
        <v>6.0875E-3</v>
      </c>
      <c r="H853" s="983">
        <v>6.3091666666666669E-3</v>
      </c>
      <c r="I853" s="983">
        <v>-2.5399999999999999E-2</v>
      </c>
      <c r="J853" s="983">
        <v>-2.5887500000000001E-2</v>
      </c>
      <c r="K853" s="983">
        <v>-2.6109166666666669E-2</v>
      </c>
      <c r="L853" s="983">
        <v>-1.2309166666666668E-2</v>
      </c>
    </row>
    <row r="854" spans="1:12">
      <c r="A854" s="983">
        <v>35431</v>
      </c>
      <c r="B854" s="983">
        <v>6.25E-2</v>
      </c>
      <c r="C854" s="983">
        <v>6.6E-3</v>
      </c>
      <c r="D854" s="983">
        <v>5.5999999999999991E-3</v>
      </c>
      <c r="E854" s="983">
        <v>6.1833333333333332E-3</v>
      </c>
      <c r="F854" s="983">
        <v>6.3583333333333339E-3</v>
      </c>
      <c r="G854" s="983">
        <v>6.2708333333333331E-3</v>
      </c>
      <c r="H854" s="983">
        <v>6.4722500000000006E-3</v>
      </c>
      <c r="I854" s="983">
        <v>5.6899999999999999E-2</v>
      </c>
      <c r="J854" s="983">
        <v>5.6229166666666663E-2</v>
      </c>
      <c r="K854" s="983">
        <v>5.6027750000000001E-2</v>
      </c>
      <c r="L854" s="983">
        <v>1.2774999999999939E-4</v>
      </c>
    </row>
    <row r="855" spans="1:12">
      <c r="A855" s="983">
        <v>35462</v>
      </c>
      <c r="B855" s="983">
        <v>7.7999999999999996E-3</v>
      </c>
      <c r="C855" s="983">
        <v>-9.5000000000000015E-3</v>
      </c>
      <c r="D855" s="983">
        <v>5.1000000000000004E-3</v>
      </c>
      <c r="E855" s="983">
        <v>6.0916666666666662E-3</v>
      </c>
      <c r="F855" s="983">
        <v>6.2833333333333326E-3</v>
      </c>
      <c r="G855" s="983">
        <v>6.1874999999999994E-3</v>
      </c>
      <c r="H855" s="983">
        <v>6.368833333333334E-3</v>
      </c>
      <c r="I855" s="983">
        <v>2.6999999999999993E-3</v>
      </c>
      <c r="J855" s="983">
        <v>1.6125000000000002E-3</v>
      </c>
      <c r="K855" s="983">
        <v>1.4311666666666657E-3</v>
      </c>
      <c r="L855" s="983">
        <v>-1.5868833333333335E-2</v>
      </c>
    </row>
    <row r="856" spans="1:12">
      <c r="A856" s="983">
        <v>35490</v>
      </c>
      <c r="B856" s="983">
        <v>-4.1099999999999998E-2</v>
      </c>
      <c r="C856" s="983">
        <v>-3.0099999999999998E-2</v>
      </c>
      <c r="D856" s="983">
        <v>5.8999999999999999E-3</v>
      </c>
      <c r="E856" s="983">
        <v>6.2916666666666668E-3</v>
      </c>
      <c r="F856" s="983">
        <v>6.4749999999999999E-3</v>
      </c>
      <c r="G856" s="983">
        <v>6.3833333333333329E-3</v>
      </c>
      <c r="H856" s="983">
        <v>6.5545833333333333E-3</v>
      </c>
      <c r="I856" s="983">
        <v>-4.7E-2</v>
      </c>
      <c r="J856" s="983">
        <v>-4.7483333333333329E-2</v>
      </c>
      <c r="K856" s="983">
        <v>-4.7654583333333334E-2</v>
      </c>
      <c r="L856" s="983">
        <v>-3.6654583333333331E-2</v>
      </c>
    </row>
    <row r="857" spans="1:12">
      <c r="A857" s="983">
        <v>35521</v>
      </c>
      <c r="B857" s="983">
        <v>5.9700000000000003E-2</v>
      </c>
      <c r="C857" s="983">
        <v>-1.4999999999999999E-2</v>
      </c>
      <c r="D857" s="983">
        <v>5.8999999999999999E-3</v>
      </c>
      <c r="E857" s="983">
        <v>6.4416666666666667E-3</v>
      </c>
      <c r="F857" s="983">
        <v>6.6083333333333324E-3</v>
      </c>
      <c r="G857" s="983">
        <v>6.5249999999999996E-3</v>
      </c>
      <c r="H857" s="983">
        <v>6.6973333333333329E-3</v>
      </c>
      <c r="I857" s="983">
        <v>5.3800000000000001E-2</v>
      </c>
      <c r="J857" s="983">
        <v>5.3175E-2</v>
      </c>
      <c r="K857" s="983">
        <v>5.300266666666667E-2</v>
      </c>
      <c r="L857" s="983">
        <v>-2.1697333333333332E-2</v>
      </c>
    </row>
    <row r="858" spans="1:12">
      <c r="A858" s="983">
        <v>35551</v>
      </c>
      <c r="B858" s="983">
        <v>6.0900000000000003E-2</v>
      </c>
      <c r="C858" s="983">
        <v>4.2299999999999997E-2</v>
      </c>
      <c r="D858" s="983">
        <v>5.7999999999999996E-3</v>
      </c>
      <c r="E858" s="983">
        <v>6.3166666666666675E-3</v>
      </c>
      <c r="F858" s="983">
        <v>6.5000000000000006E-3</v>
      </c>
      <c r="G858" s="983">
        <v>6.4083333333333336E-3</v>
      </c>
      <c r="H858" s="983">
        <v>6.5754166666666669E-3</v>
      </c>
      <c r="I858" s="983">
        <v>5.5100000000000003E-2</v>
      </c>
      <c r="J858" s="983">
        <v>5.4491666666666667E-2</v>
      </c>
      <c r="K858" s="983">
        <v>5.4324583333333336E-2</v>
      </c>
      <c r="L858" s="983">
        <v>3.572458333333333E-2</v>
      </c>
    </row>
    <row r="859" spans="1:12">
      <c r="A859" s="983">
        <v>35582</v>
      </c>
      <c r="B859" s="983">
        <v>4.48E-2</v>
      </c>
      <c r="C859" s="983">
        <v>3.1399999999999997E-2</v>
      </c>
      <c r="D859" s="983">
        <v>5.8999999999999999E-3</v>
      </c>
      <c r="E859" s="983">
        <v>6.1750000000000008E-3</v>
      </c>
      <c r="F859" s="983">
        <v>6.3499999999999997E-3</v>
      </c>
      <c r="G859" s="983">
        <v>6.2624999999999998E-3</v>
      </c>
      <c r="H859" s="983">
        <v>6.437333333333334E-3</v>
      </c>
      <c r="I859" s="983">
        <v>3.8899999999999997E-2</v>
      </c>
      <c r="J859" s="983">
        <v>3.8537500000000002E-2</v>
      </c>
      <c r="K859" s="983">
        <v>3.8362666666666663E-2</v>
      </c>
      <c r="L859" s="983">
        <v>2.4962666666666664E-2</v>
      </c>
    </row>
    <row r="860" spans="1:12">
      <c r="A860" s="983">
        <v>35612</v>
      </c>
      <c r="B860" s="983">
        <v>7.9600000000000004E-2</v>
      </c>
      <c r="C860" s="983">
        <v>2.3E-2</v>
      </c>
      <c r="D860" s="983">
        <v>5.7999999999999996E-3</v>
      </c>
      <c r="E860" s="983">
        <v>5.9499999999999996E-3</v>
      </c>
      <c r="F860" s="983">
        <v>6.1333333333333344E-3</v>
      </c>
      <c r="G860" s="983">
        <v>6.0416666666666674E-3</v>
      </c>
      <c r="H860" s="983">
        <v>6.2409166666666663E-3</v>
      </c>
      <c r="I860" s="983">
        <v>7.3800000000000004E-2</v>
      </c>
      <c r="J860" s="983">
        <v>7.3558333333333337E-2</v>
      </c>
      <c r="K860" s="983">
        <v>7.3359083333333339E-2</v>
      </c>
      <c r="L860" s="983">
        <v>1.6759083333333334E-2</v>
      </c>
    </row>
    <row r="861" spans="1:12">
      <c r="A861" s="983">
        <v>35643</v>
      </c>
      <c r="B861" s="983">
        <v>-5.6000000000000001E-2</v>
      </c>
      <c r="C861" s="983">
        <v>-1.83E-2</v>
      </c>
      <c r="D861" s="983">
        <v>4.8999999999999998E-3</v>
      </c>
      <c r="E861" s="983">
        <v>6.0166666666666667E-3</v>
      </c>
      <c r="F861" s="983">
        <v>6.1666666666666667E-3</v>
      </c>
      <c r="G861" s="983">
        <v>6.0916666666666662E-3</v>
      </c>
      <c r="H861" s="983">
        <v>6.2475833333333333E-3</v>
      </c>
      <c r="I861" s="983">
        <v>-6.0900000000000003E-2</v>
      </c>
      <c r="J861" s="983">
        <v>-6.209166666666667E-2</v>
      </c>
      <c r="K861" s="983">
        <v>-6.2247583333333335E-2</v>
      </c>
      <c r="L861" s="983">
        <v>-2.4547583333333334E-2</v>
      </c>
    </row>
    <row r="862" spans="1:12">
      <c r="A862" s="983">
        <v>35674</v>
      </c>
      <c r="B862" s="983">
        <v>5.4800000000000001E-2</v>
      </c>
      <c r="C862" s="983">
        <v>4.3299999999999998E-2</v>
      </c>
      <c r="D862" s="983">
        <v>5.7999999999999996E-3</v>
      </c>
      <c r="E862" s="983">
        <v>5.9499999999999996E-3</v>
      </c>
      <c r="F862" s="983">
        <v>6.116666666666667E-3</v>
      </c>
      <c r="G862" s="983">
        <v>6.0333333333333324E-3</v>
      </c>
      <c r="H862" s="983">
        <v>6.2285833333333342E-3</v>
      </c>
      <c r="I862" s="983">
        <v>4.9000000000000002E-2</v>
      </c>
      <c r="J862" s="983">
        <v>4.8766666666666666E-2</v>
      </c>
      <c r="K862" s="983">
        <v>4.8571416666666666E-2</v>
      </c>
      <c r="L862" s="983">
        <v>3.7071416666666662E-2</v>
      </c>
    </row>
    <row r="863" spans="1:12">
      <c r="A863" s="983">
        <v>35704</v>
      </c>
      <c r="B863" s="983">
        <v>-3.3399999999999999E-2</v>
      </c>
      <c r="C863" s="983">
        <v>9.7999999999999997E-3</v>
      </c>
      <c r="D863" s="983">
        <v>5.4000000000000003E-3</v>
      </c>
      <c r="E863" s="983">
        <v>5.8333333333333336E-3</v>
      </c>
      <c r="F863" s="983">
        <v>6.0000000000000001E-3</v>
      </c>
      <c r="G863" s="983">
        <v>5.9166666666666664E-3</v>
      </c>
      <c r="H863" s="983">
        <v>6.130416666666666E-3</v>
      </c>
      <c r="I863" s="983">
        <v>-3.8800000000000001E-2</v>
      </c>
      <c r="J863" s="983">
        <v>-3.9316666666666666E-2</v>
      </c>
      <c r="K863" s="983">
        <v>-3.9530416666666665E-2</v>
      </c>
      <c r="L863" s="983">
        <v>3.6695833333333337E-3</v>
      </c>
    </row>
    <row r="864" spans="1:12">
      <c r="A864" s="983">
        <v>35735</v>
      </c>
      <c r="B864" s="983">
        <v>4.6300000000000001E-2</v>
      </c>
      <c r="C864" s="983">
        <v>7.0700000000000013E-2</v>
      </c>
      <c r="D864" s="983">
        <v>4.7000000000000002E-3</v>
      </c>
      <c r="E864" s="983">
        <v>5.7250000000000001E-3</v>
      </c>
      <c r="F864" s="983">
        <v>5.8916666666666674E-3</v>
      </c>
      <c r="G864" s="983">
        <v>5.8083333333333329E-3</v>
      </c>
      <c r="H864" s="983">
        <v>6.0390000000000001E-3</v>
      </c>
      <c r="I864" s="983">
        <v>4.1599999999999998E-2</v>
      </c>
      <c r="J864" s="983">
        <v>4.0491666666666669E-2</v>
      </c>
      <c r="K864" s="983">
        <v>4.0260999999999998E-2</v>
      </c>
      <c r="L864" s="983">
        <v>6.466100000000001E-2</v>
      </c>
    </row>
    <row r="865" spans="1:12">
      <c r="A865" s="983">
        <v>35765</v>
      </c>
      <c r="B865" s="983">
        <v>1.72E-2</v>
      </c>
      <c r="C865" s="983">
        <v>7.5200000000000003E-2</v>
      </c>
      <c r="D865" s="983">
        <v>5.4000000000000003E-3</v>
      </c>
      <c r="E865" s="983">
        <v>5.6333333333333339E-3</v>
      </c>
      <c r="F865" s="983">
        <v>5.8250000000000003E-3</v>
      </c>
      <c r="G865" s="983">
        <v>5.7291666666666671E-3</v>
      </c>
      <c r="H865" s="983">
        <v>5.9696666666666665E-3</v>
      </c>
      <c r="I865" s="983">
        <v>1.18E-2</v>
      </c>
      <c r="J865" s="983">
        <v>1.1470833333333333E-2</v>
      </c>
      <c r="K865" s="983">
        <v>1.1230333333333333E-2</v>
      </c>
      <c r="L865" s="983">
        <v>6.9230333333333338E-2</v>
      </c>
    </row>
    <row r="866" spans="1:12">
      <c r="A866" s="983">
        <v>35796</v>
      </c>
      <c r="B866" s="983">
        <v>1.11E-2</v>
      </c>
      <c r="C866" s="983">
        <v>-3.95E-2</v>
      </c>
      <c r="D866" s="983">
        <v>4.7999999999999996E-3</v>
      </c>
      <c r="E866" s="983">
        <v>5.5083333333333338E-3</v>
      </c>
      <c r="F866" s="983">
        <v>5.6833333333333336E-3</v>
      </c>
      <c r="G866" s="983">
        <v>5.5958333333333329E-3</v>
      </c>
      <c r="H866" s="983">
        <v>5.8783333333333335E-3</v>
      </c>
      <c r="I866" s="983">
        <v>6.3000000000000009E-3</v>
      </c>
      <c r="J866" s="983">
        <v>5.5041666666666676E-3</v>
      </c>
      <c r="K866" s="983">
        <v>5.221666666666667E-3</v>
      </c>
      <c r="L866" s="983">
        <v>-4.5378333333333333E-2</v>
      </c>
    </row>
    <row r="867" spans="1:12">
      <c r="A867" s="983">
        <v>35827</v>
      </c>
      <c r="B867" s="983">
        <v>7.2099999999999997E-2</v>
      </c>
      <c r="C867" s="983">
        <v>3.4099999999999998E-2</v>
      </c>
      <c r="D867" s="983">
        <v>4.4000000000000003E-3</v>
      </c>
      <c r="E867" s="983">
        <v>5.5583333333333327E-3</v>
      </c>
      <c r="F867" s="983">
        <v>5.7333333333333333E-3</v>
      </c>
      <c r="G867" s="983">
        <v>5.6458333333333334E-3</v>
      </c>
      <c r="H867" s="983">
        <v>5.9315833333333338E-3</v>
      </c>
      <c r="I867" s="983">
        <v>6.7699999999999996E-2</v>
      </c>
      <c r="J867" s="983">
        <v>6.6454166666666661E-2</v>
      </c>
      <c r="K867" s="983">
        <v>6.616841666666666E-2</v>
      </c>
      <c r="L867" s="983">
        <v>2.8168416666666665E-2</v>
      </c>
    </row>
    <row r="868" spans="1:12">
      <c r="A868" s="983">
        <v>35855</v>
      </c>
      <c r="B868" s="983">
        <v>5.1200000000000002E-2</v>
      </c>
      <c r="C868" s="983">
        <v>6.4199999999999993E-2</v>
      </c>
      <c r="D868" s="983">
        <v>5.1999999999999998E-3</v>
      </c>
      <c r="E868" s="983">
        <v>5.5916666666666667E-3</v>
      </c>
      <c r="F868" s="983">
        <v>5.7749999999999998E-3</v>
      </c>
      <c r="G868" s="983">
        <v>5.6833333333333336E-3</v>
      </c>
      <c r="H868" s="983">
        <v>5.9681666666666668E-3</v>
      </c>
      <c r="I868" s="983">
        <v>4.5999999999999999E-2</v>
      </c>
      <c r="J868" s="983">
        <v>4.5516666666666671E-2</v>
      </c>
      <c r="K868" s="983">
        <v>4.5231833333333332E-2</v>
      </c>
      <c r="L868" s="983">
        <v>5.823183333333333E-2</v>
      </c>
    </row>
    <row r="869" spans="1:12">
      <c r="A869" s="983">
        <v>35886</v>
      </c>
      <c r="B869" s="983">
        <v>1.01E-2</v>
      </c>
      <c r="C869" s="983">
        <v>-1.9300000000000001E-2</v>
      </c>
      <c r="D869" s="983">
        <v>4.8999999999999998E-3</v>
      </c>
      <c r="E869" s="983">
        <v>5.5750000000000001E-3</v>
      </c>
      <c r="F869" s="983">
        <v>5.7500000000000008E-3</v>
      </c>
      <c r="G869" s="983">
        <v>5.6625E-3</v>
      </c>
      <c r="H869" s="983">
        <v>5.9682500000000005E-3</v>
      </c>
      <c r="I869" s="983">
        <v>5.1999999999999998E-3</v>
      </c>
      <c r="J869" s="983">
        <v>4.4374999999999996E-3</v>
      </c>
      <c r="K869" s="983">
        <v>4.1317499999999991E-3</v>
      </c>
      <c r="L869" s="983">
        <v>-2.5268250000000003E-2</v>
      </c>
    </row>
    <row r="870" spans="1:12">
      <c r="A870" s="983">
        <v>35916</v>
      </c>
      <c r="B870" s="983">
        <v>-1.72E-2</v>
      </c>
      <c r="C870" s="983">
        <v>-5.0000000000000001E-3</v>
      </c>
      <c r="D870" s="983">
        <v>4.7999999999999996E-3</v>
      </c>
      <c r="E870" s="983">
        <v>5.5750000000000001E-3</v>
      </c>
      <c r="F870" s="983">
        <v>5.7583333333333332E-3</v>
      </c>
      <c r="G870" s="983">
        <v>5.6666666666666662E-3</v>
      </c>
      <c r="H870" s="983">
        <v>5.9691666666666669E-3</v>
      </c>
      <c r="I870" s="983">
        <v>-2.1999999999999999E-2</v>
      </c>
      <c r="J870" s="983">
        <v>-2.2866666666666667E-2</v>
      </c>
      <c r="K870" s="983">
        <v>-2.3169166666666668E-2</v>
      </c>
      <c r="L870" s="983">
        <v>-1.0969166666666667E-2</v>
      </c>
    </row>
    <row r="871" spans="1:12">
      <c r="A871" s="983">
        <v>35947</v>
      </c>
      <c r="B871" s="983">
        <v>4.0599999999999997E-2</v>
      </c>
      <c r="C871" s="983">
        <v>3.6900000000000002E-2</v>
      </c>
      <c r="D871" s="983">
        <v>5.1999999999999998E-3</v>
      </c>
      <c r="E871" s="983">
        <v>5.4416666666666667E-3</v>
      </c>
      <c r="F871" s="983">
        <v>5.6500000000000005E-3</v>
      </c>
      <c r="G871" s="983">
        <v>5.545833333333334E-3</v>
      </c>
      <c r="H871" s="983">
        <v>5.8636666666666672E-3</v>
      </c>
      <c r="I871" s="983">
        <v>3.5400000000000001E-2</v>
      </c>
      <c r="J871" s="983">
        <v>3.5054166666666664E-2</v>
      </c>
      <c r="K871" s="983">
        <v>3.4736333333333327E-2</v>
      </c>
      <c r="L871" s="983">
        <v>3.1036333333333336E-2</v>
      </c>
    </row>
    <row r="872" spans="1:12">
      <c r="A872" s="983">
        <v>35977</v>
      </c>
      <c r="B872" s="983">
        <v>-1.06E-2</v>
      </c>
      <c r="C872" s="983">
        <v>-4.9299999999999997E-2</v>
      </c>
      <c r="D872" s="983">
        <v>4.8999999999999998E-3</v>
      </c>
      <c r="E872" s="983">
        <v>5.4583333333333324E-3</v>
      </c>
      <c r="F872" s="983">
        <v>5.6500000000000005E-3</v>
      </c>
      <c r="G872" s="983">
        <v>5.5541666666666665E-3</v>
      </c>
      <c r="H872" s="983">
        <v>5.8534166666666665E-3</v>
      </c>
      <c r="I872" s="983">
        <v>-1.55E-2</v>
      </c>
      <c r="J872" s="983">
        <v>-1.6154166666666667E-2</v>
      </c>
      <c r="K872" s="983">
        <v>-1.6453416666666665E-2</v>
      </c>
      <c r="L872" s="983">
        <v>-5.5153416666666663E-2</v>
      </c>
    </row>
    <row r="873" spans="1:12">
      <c r="A873" s="983">
        <v>36008</v>
      </c>
      <c r="B873" s="983">
        <v>-0.14460000000000001</v>
      </c>
      <c r="C873" s="983">
        <v>1.61E-2</v>
      </c>
      <c r="D873" s="983">
        <v>4.7999999999999996E-3</v>
      </c>
      <c r="E873" s="983">
        <v>5.4333333333333334E-3</v>
      </c>
      <c r="F873" s="983">
        <v>5.6416666666666664E-3</v>
      </c>
      <c r="G873" s="983">
        <v>5.5374999999999999E-3</v>
      </c>
      <c r="H873" s="983">
        <v>5.8349166666666662E-3</v>
      </c>
      <c r="I873" s="983">
        <v>-0.14940000000000001</v>
      </c>
      <c r="J873" s="983">
        <v>-0.15013750000000001</v>
      </c>
      <c r="K873" s="983">
        <v>-0.15043491666666667</v>
      </c>
      <c r="L873" s="983">
        <v>1.0265083333333334E-2</v>
      </c>
    </row>
    <row r="874" spans="1:12">
      <c r="A874" s="983">
        <v>36039</v>
      </c>
      <c r="B874" s="983">
        <v>6.4100000000000004E-2</v>
      </c>
      <c r="C874" s="983">
        <v>8.3499999999999991E-2</v>
      </c>
      <c r="D874" s="983">
        <v>4.4000000000000003E-3</v>
      </c>
      <c r="E874" s="983">
        <v>5.3333333333333332E-3</v>
      </c>
      <c r="F874" s="983">
        <v>5.5666666666666668E-3</v>
      </c>
      <c r="G874" s="983">
        <v>5.4499999999999991E-3</v>
      </c>
      <c r="H874" s="983">
        <v>5.780166666666667E-3</v>
      </c>
      <c r="I874" s="983">
        <v>5.9700000000000003E-2</v>
      </c>
      <c r="J874" s="983">
        <v>5.8650000000000008E-2</v>
      </c>
      <c r="K874" s="983">
        <v>5.8319833333333335E-2</v>
      </c>
      <c r="L874" s="983">
        <v>7.7719833333333321E-2</v>
      </c>
    </row>
    <row r="875" spans="1:12">
      <c r="A875" s="983">
        <v>36069</v>
      </c>
      <c r="B875" s="983">
        <v>8.1299999999999997E-2</v>
      </c>
      <c r="C875" s="983">
        <v>-1.66E-2</v>
      </c>
      <c r="D875" s="983">
        <v>4.1999999999999997E-3</v>
      </c>
      <c r="E875" s="983">
        <v>5.3083333333333342E-3</v>
      </c>
      <c r="F875" s="983">
        <v>5.5833333333333334E-3</v>
      </c>
      <c r="G875" s="983">
        <v>5.4458333333333338E-3</v>
      </c>
      <c r="H875" s="983">
        <v>5.7962499999999993E-3</v>
      </c>
      <c r="I875" s="983">
        <v>7.7100000000000002E-2</v>
      </c>
      <c r="J875" s="983">
        <v>7.5854166666666667E-2</v>
      </c>
      <c r="K875" s="983">
        <v>7.5503749999999994E-2</v>
      </c>
      <c r="L875" s="983">
        <v>-2.2396249999999999E-2</v>
      </c>
    </row>
    <row r="876" spans="1:12">
      <c r="A876" s="983">
        <v>36100</v>
      </c>
      <c r="B876" s="983">
        <v>6.0600000000000001E-2</v>
      </c>
      <c r="C876" s="983">
        <v>1.3399999999999999E-2</v>
      </c>
      <c r="D876" s="983">
        <v>4.4999999999999997E-3</v>
      </c>
      <c r="E876" s="983">
        <v>5.3416666666666664E-3</v>
      </c>
      <c r="F876" s="983">
        <v>5.6583333333333329E-3</v>
      </c>
      <c r="G876" s="983">
        <v>5.5000000000000005E-3</v>
      </c>
      <c r="H876" s="983">
        <v>5.8635833333333335E-3</v>
      </c>
      <c r="I876" s="983">
        <v>5.6100000000000004E-2</v>
      </c>
      <c r="J876" s="983">
        <v>5.5100000000000003E-2</v>
      </c>
      <c r="K876" s="983">
        <v>5.4736416666666669E-2</v>
      </c>
      <c r="L876" s="983">
        <v>7.5364166666666652E-3</v>
      </c>
    </row>
    <row r="877" spans="1:12">
      <c r="A877" s="983">
        <v>36130</v>
      </c>
      <c r="B877" s="983">
        <v>5.7599999999999998E-2</v>
      </c>
      <c r="C877" s="983">
        <v>2.9500000000000002E-2</v>
      </c>
      <c r="D877" s="983">
        <v>4.4999999999999997E-3</v>
      </c>
      <c r="E877" s="983">
        <v>5.1833333333333332E-3</v>
      </c>
      <c r="F877" s="983">
        <v>5.541666666666667E-3</v>
      </c>
      <c r="G877" s="983">
        <v>5.3625000000000001E-3</v>
      </c>
      <c r="H877" s="983">
        <v>5.7568333333333334E-3</v>
      </c>
      <c r="I877" s="983">
        <v>5.3100000000000001E-2</v>
      </c>
      <c r="J877" s="983">
        <v>5.2237499999999999E-2</v>
      </c>
      <c r="K877" s="983">
        <v>5.1843166666666662E-2</v>
      </c>
      <c r="L877" s="983">
        <v>2.3743166666666669E-2</v>
      </c>
    </row>
    <row r="878" spans="1:12">
      <c r="A878" s="983">
        <v>36161</v>
      </c>
      <c r="B878" s="983">
        <v>4.1799999999999997E-2</v>
      </c>
      <c r="C878" s="983">
        <v>-4.5100000000000001E-2</v>
      </c>
      <c r="D878" s="983">
        <v>4.1999999999999997E-3</v>
      </c>
      <c r="E878" s="983">
        <v>5.1999999999999998E-3</v>
      </c>
      <c r="F878" s="983">
        <v>5.5666666666666668E-3</v>
      </c>
      <c r="G878" s="983">
        <v>5.3833333333333337E-3</v>
      </c>
      <c r="H878" s="983">
        <v>5.8083333333333329E-3</v>
      </c>
      <c r="I878" s="983">
        <v>3.7599999999999995E-2</v>
      </c>
      <c r="J878" s="983">
        <v>3.6416666666666667E-2</v>
      </c>
      <c r="K878" s="983">
        <v>3.5991666666666665E-2</v>
      </c>
      <c r="L878" s="983">
        <v>-5.0908333333333333E-2</v>
      </c>
    </row>
    <row r="879" spans="1:12">
      <c r="A879" s="983">
        <v>36192</v>
      </c>
      <c r="B879" s="983">
        <v>-3.1099999999999999E-2</v>
      </c>
      <c r="C879" s="983">
        <v>-3.6400000000000002E-2</v>
      </c>
      <c r="D879" s="983">
        <v>4.0000000000000001E-3</v>
      </c>
      <c r="E879" s="983">
        <v>5.3333333333333332E-3</v>
      </c>
      <c r="F879" s="983">
        <v>5.6583333333333329E-3</v>
      </c>
      <c r="G879" s="983">
        <v>5.4958333333333335E-3</v>
      </c>
      <c r="H879" s="983">
        <v>5.8964999999999998E-3</v>
      </c>
      <c r="I879" s="983">
        <v>-3.5099999999999999E-2</v>
      </c>
      <c r="J879" s="983">
        <v>-3.6595833333333334E-2</v>
      </c>
      <c r="K879" s="983">
        <v>-3.6996500000000002E-2</v>
      </c>
      <c r="L879" s="983">
        <v>-4.2296500000000001E-2</v>
      </c>
    </row>
    <row r="880" spans="1:12">
      <c r="A880" s="983">
        <v>36220</v>
      </c>
      <c r="B880" s="983">
        <v>0.04</v>
      </c>
      <c r="C880" s="983">
        <v>-1.4800000000000001E-2</v>
      </c>
      <c r="D880" s="983">
        <v>5.3E-3</v>
      </c>
      <c r="E880" s="983">
        <v>5.5166666666666662E-3</v>
      </c>
      <c r="F880" s="983">
        <v>5.816666666666667E-3</v>
      </c>
      <c r="G880" s="983">
        <v>5.6666666666666662E-3</v>
      </c>
      <c r="H880" s="983">
        <v>6.0460000000000002E-3</v>
      </c>
      <c r="I880" s="983">
        <v>3.4700000000000002E-2</v>
      </c>
      <c r="J880" s="983">
        <v>3.4333333333333334E-2</v>
      </c>
      <c r="K880" s="983">
        <v>3.3953999999999998E-2</v>
      </c>
      <c r="L880" s="983">
        <v>-2.0846E-2</v>
      </c>
    </row>
    <row r="881" spans="1:12">
      <c r="A881" s="983">
        <v>36251</v>
      </c>
      <c r="B881" s="983">
        <v>3.8699999999999998E-2</v>
      </c>
      <c r="C881" s="983">
        <v>8.8399999999999992E-2</v>
      </c>
      <c r="D881" s="983">
        <v>4.7999999999999996E-3</v>
      </c>
      <c r="E881" s="983">
        <v>5.5333333333333337E-3</v>
      </c>
      <c r="F881" s="983">
        <v>5.7999999999999996E-3</v>
      </c>
      <c r="G881" s="983">
        <v>5.6666666666666662E-3</v>
      </c>
      <c r="H881" s="983">
        <v>6.0119166666666671E-3</v>
      </c>
      <c r="I881" s="983">
        <v>3.39E-2</v>
      </c>
      <c r="J881" s="983">
        <v>3.3033333333333331E-2</v>
      </c>
      <c r="K881" s="983">
        <v>3.2688083333333333E-2</v>
      </c>
      <c r="L881" s="983">
        <v>8.238808333333332E-2</v>
      </c>
    </row>
    <row r="882" spans="1:12">
      <c r="A882" s="983">
        <v>36281</v>
      </c>
      <c r="B882" s="983">
        <v>-2.3599999999999999E-2</v>
      </c>
      <c r="C882" s="983">
        <v>6.0899999999999996E-2</v>
      </c>
      <c r="D882" s="983">
        <v>4.4999999999999997E-3</v>
      </c>
      <c r="E882" s="983">
        <v>5.7749999999999998E-3</v>
      </c>
      <c r="F882" s="983">
        <v>6.025E-3</v>
      </c>
      <c r="G882" s="983">
        <v>5.9000000000000007E-3</v>
      </c>
      <c r="H882" s="983">
        <v>6.2141666666666664E-3</v>
      </c>
      <c r="I882" s="983">
        <v>-2.81E-2</v>
      </c>
      <c r="J882" s="983">
        <v>-2.9499999999999998E-2</v>
      </c>
      <c r="K882" s="983">
        <v>-2.9814166666666666E-2</v>
      </c>
      <c r="L882" s="983">
        <v>5.4685833333333329E-2</v>
      </c>
    </row>
    <row r="883" spans="1:12">
      <c r="A883" s="983">
        <v>36312</v>
      </c>
      <c r="B883" s="983">
        <v>5.5500000000000001E-2</v>
      </c>
      <c r="C883" s="983">
        <v>-3.32E-2</v>
      </c>
      <c r="D883" s="983">
        <v>5.4999999999999997E-3</v>
      </c>
      <c r="E883" s="983">
        <v>6.025E-3</v>
      </c>
      <c r="F883" s="983">
        <v>6.266666666666666E-3</v>
      </c>
      <c r="G883" s="983">
        <v>6.145833333333333E-3</v>
      </c>
      <c r="H883" s="983">
        <v>6.445416666666667E-3</v>
      </c>
      <c r="I883" s="983">
        <v>0.05</v>
      </c>
      <c r="J883" s="983">
        <v>4.9354166666666671E-2</v>
      </c>
      <c r="K883" s="983">
        <v>4.9054583333333332E-2</v>
      </c>
      <c r="L883" s="983">
        <v>-3.9645416666666669E-2</v>
      </c>
    </row>
    <row r="884" spans="1:12">
      <c r="A884" s="983">
        <v>36342</v>
      </c>
      <c r="B884" s="983">
        <v>-3.1199999999999999E-2</v>
      </c>
      <c r="C884" s="983">
        <v>-1.14E-2</v>
      </c>
      <c r="D884" s="983">
        <v>5.1000000000000004E-3</v>
      </c>
      <c r="E884" s="983">
        <v>5.9916666666666677E-3</v>
      </c>
      <c r="F884" s="983">
        <v>6.2333333333333338E-3</v>
      </c>
      <c r="G884" s="983">
        <v>6.1125000000000007E-3</v>
      </c>
      <c r="H884" s="983">
        <v>6.4182499999999995E-3</v>
      </c>
      <c r="I884" s="983">
        <v>-3.6299999999999999E-2</v>
      </c>
      <c r="J884" s="983">
        <v>-3.7312499999999998E-2</v>
      </c>
      <c r="K884" s="983">
        <v>-3.7618249999999999E-2</v>
      </c>
      <c r="L884" s="983">
        <v>-1.7818250000000001E-2</v>
      </c>
    </row>
    <row r="885" spans="1:12">
      <c r="A885" s="983">
        <v>36373</v>
      </c>
      <c r="B885" s="983">
        <v>-4.8999999999999998E-3</v>
      </c>
      <c r="C885" s="983">
        <v>1.1699999999999999E-2</v>
      </c>
      <c r="D885" s="983">
        <v>5.4000000000000003E-3</v>
      </c>
      <c r="E885" s="983">
        <v>6.1666666666666667E-3</v>
      </c>
      <c r="F885" s="983">
        <v>6.4000000000000003E-3</v>
      </c>
      <c r="G885" s="983">
        <v>6.2833333333333343E-3</v>
      </c>
      <c r="H885" s="983">
        <v>6.5894166666666662E-3</v>
      </c>
      <c r="I885" s="983">
        <v>-1.03E-2</v>
      </c>
      <c r="J885" s="983">
        <v>-1.1183333333333333E-2</v>
      </c>
      <c r="K885" s="983">
        <v>-1.1489416666666665E-2</v>
      </c>
      <c r="L885" s="983">
        <v>5.1105833333333324E-3</v>
      </c>
    </row>
    <row r="886" spans="1:12">
      <c r="A886" s="983">
        <v>36404</v>
      </c>
      <c r="B886" s="983">
        <v>-2.7400000000000001E-2</v>
      </c>
      <c r="C886" s="983">
        <v>-4.8000000000000001E-2</v>
      </c>
      <c r="D886" s="983">
        <v>5.1999999999999998E-3</v>
      </c>
      <c r="E886" s="983">
        <v>6.1583333333333334E-3</v>
      </c>
      <c r="F886" s="983">
        <v>6.4000000000000003E-3</v>
      </c>
      <c r="G886" s="983">
        <v>6.2791666666666664E-3</v>
      </c>
      <c r="H886" s="983">
        <v>6.6099166666666667E-3</v>
      </c>
      <c r="I886" s="983">
        <v>-3.2600000000000004E-2</v>
      </c>
      <c r="J886" s="983">
        <v>-3.367916666666667E-2</v>
      </c>
      <c r="K886" s="983">
        <v>-3.4009916666666667E-2</v>
      </c>
      <c r="L886" s="983">
        <v>-5.4609916666666668E-2</v>
      </c>
    </row>
    <row r="887" spans="1:12">
      <c r="A887" s="983">
        <v>36434</v>
      </c>
      <c r="B887" s="983">
        <v>6.3299999999999995E-2</v>
      </c>
      <c r="C887" s="983">
        <v>1.5699999999999999E-2</v>
      </c>
      <c r="D887" s="983">
        <v>5.0000000000000001E-3</v>
      </c>
      <c r="E887" s="983">
        <v>6.2916666666666668E-3</v>
      </c>
      <c r="F887" s="983">
        <v>6.4916666666666664E-3</v>
      </c>
      <c r="G887" s="983">
        <v>6.391666666666667E-3</v>
      </c>
      <c r="H887" s="983">
        <v>6.7205833333333327E-3</v>
      </c>
      <c r="I887" s="983">
        <v>5.8299999999999998E-2</v>
      </c>
      <c r="J887" s="983">
        <v>5.6908333333333325E-2</v>
      </c>
      <c r="K887" s="983">
        <v>5.657941666666666E-2</v>
      </c>
      <c r="L887" s="983">
        <v>8.9794166666666668E-3</v>
      </c>
    </row>
    <row r="888" spans="1:12">
      <c r="A888" s="983">
        <v>36465</v>
      </c>
      <c r="B888" s="983">
        <v>2.0299999999999999E-2</v>
      </c>
      <c r="C888" s="983">
        <v>-7.7300000000000008E-2</v>
      </c>
      <c r="D888" s="983">
        <v>5.5999999999999991E-3</v>
      </c>
      <c r="E888" s="983">
        <v>6.1333333333333344E-3</v>
      </c>
      <c r="F888" s="983">
        <v>6.3499999999999997E-3</v>
      </c>
      <c r="G888" s="983">
        <v>6.2416666666666679E-3</v>
      </c>
      <c r="H888" s="983">
        <v>6.6095833333333328E-3</v>
      </c>
      <c r="I888" s="983">
        <v>1.47E-2</v>
      </c>
      <c r="J888" s="983">
        <v>1.4058333333333331E-2</v>
      </c>
      <c r="K888" s="983">
        <v>1.3690416666666667E-2</v>
      </c>
      <c r="L888" s="983">
        <v>-8.3909583333333343E-2</v>
      </c>
    </row>
    <row r="889" spans="1:12">
      <c r="A889" s="983">
        <v>36495</v>
      </c>
      <c r="B889" s="983">
        <v>5.8900000000000001E-2</v>
      </c>
      <c r="C889" s="983">
        <v>9.2999999999999992E-3</v>
      </c>
      <c r="D889" s="983">
        <v>5.4999999999999997E-3</v>
      </c>
      <c r="E889" s="983">
        <v>6.2916666666666668E-3</v>
      </c>
      <c r="F889" s="983">
        <v>6.4833333333333331E-3</v>
      </c>
      <c r="G889" s="983">
        <v>6.3874999999999991E-3</v>
      </c>
      <c r="H889" s="983">
        <v>6.7658333333333329E-3</v>
      </c>
      <c r="I889" s="983">
        <v>5.3400000000000003E-2</v>
      </c>
      <c r="J889" s="983">
        <v>5.2512500000000004E-2</v>
      </c>
      <c r="K889" s="983">
        <v>5.2134166666666669E-2</v>
      </c>
      <c r="L889" s="983">
        <v>2.5341666666666663E-3</v>
      </c>
    </row>
    <row r="890" spans="1:12">
      <c r="A890" s="983">
        <v>36526</v>
      </c>
      <c r="B890" s="983">
        <v>-5.0200000000000002E-2</v>
      </c>
      <c r="C890" s="983">
        <v>0.1085</v>
      </c>
      <c r="D890" s="983">
        <v>5.7000000000000002E-3</v>
      </c>
      <c r="E890" s="983">
        <v>6.4833333333333331E-3</v>
      </c>
      <c r="F890" s="983">
        <v>6.6333333333333331E-3</v>
      </c>
      <c r="G890" s="983">
        <v>6.5583333333333327E-3</v>
      </c>
      <c r="H890" s="983">
        <v>6.9562500000000006E-3</v>
      </c>
      <c r="I890" s="983">
        <v>-5.5900000000000005E-2</v>
      </c>
      <c r="J890" s="983">
        <v>-5.6758333333333334E-2</v>
      </c>
      <c r="K890" s="983">
        <v>-5.7156250000000006E-2</v>
      </c>
      <c r="L890" s="983">
        <v>0.10154375</v>
      </c>
    </row>
    <row r="891" spans="1:12">
      <c r="A891" s="983">
        <v>36557</v>
      </c>
      <c r="B891" s="983">
        <v>-1.89E-2</v>
      </c>
      <c r="C891" s="983">
        <v>-5.7800000000000004E-2</v>
      </c>
      <c r="D891" s="983">
        <v>5.1000000000000004E-3</v>
      </c>
      <c r="E891" s="983">
        <v>6.4000000000000003E-3</v>
      </c>
      <c r="F891" s="983">
        <v>6.5166666666666671E-3</v>
      </c>
      <c r="G891" s="983">
        <v>6.4583333333333333E-3</v>
      </c>
      <c r="H891" s="983">
        <v>6.8737499999999997E-3</v>
      </c>
      <c r="I891" s="983">
        <v>-2.4E-2</v>
      </c>
      <c r="J891" s="983">
        <v>-2.5358333333333333E-2</v>
      </c>
      <c r="K891" s="983">
        <v>-2.5773749999999998E-2</v>
      </c>
      <c r="L891" s="983">
        <v>-6.4673750000000002E-2</v>
      </c>
    </row>
    <row r="892" spans="1:12">
      <c r="A892" s="983">
        <v>36586</v>
      </c>
      <c r="B892" s="983">
        <v>9.7799999999999998E-2</v>
      </c>
      <c r="C892" s="983">
        <v>3.49E-2</v>
      </c>
      <c r="D892" s="983">
        <v>5.4000000000000003E-3</v>
      </c>
      <c r="E892" s="983">
        <v>6.4000000000000003E-3</v>
      </c>
      <c r="F892" s="983">
        <v>6.5249999999999996E-3</v>
      </c>
      <c r="G892" s="983">
        <v>6.4624999999999995E-3</v>
      </c>
      <c r="H892" s="983">
        <v>6.9058333333333341E-3</v>
      </c>
      <c r="I892" s="983">
        <v>9.2399999999999996E-2</v>
      </c>
      <c r="J892" s="983">
        <v>9.1337500000000002E-2</v>
      </c>
      <c r="K892" s="983">
        <v>9.0894166666666665E-2</v>
      </c>
      <c r="L892" s="983">
        <v>2.7994166666666667E-2</v>
      </c>
    </row>
    <row r="893" spans="1:12">
      <c r="A893" s="983">
        <v>36617</v>
      </c>
      <c r="B893" s="983">
        <v>-3.0099999999999998E-2</v>
      </c>
      <c r="C893" s="983">
        <v>7.9399999999999998E-2</v>
      </c>
      <c r="D893" s="983">
        <v>4.7000000000000002E-3</v>
      </c>
      <c r="E893" s="983">
        <v>6.3666666666666663E-3</v>
      </c>
      <c r="F893" s="983">
        <v>6.5166666666666671E-3</v>
      </c>
      <c r="G893" s="983">
        <v>6.4416666666666667E-3</v>
      </c>
      <c r="H893" s="983">
        <v>6.8982499999999999E-3</v>
      </c>
      <c r="I893" s="983">
        <v>-3.4799999999999998E-2</v>
      </c>
      <c r="J893" s="983">
        <v>-3.6541666666666667E-2</v>
      </c>
      <c r="K893" s="983">
        <v>-3.6998249999999996E-2</v>
      </c>
      <c r="L893" s="983">
        <v>7.2501750000000004E-2</v>
      </c>
    </row>
    <row r="894" spans="1:12">
      <c r="A894" s="983">
        <v>36647</v>
      </c>
      <c r="B894" s="983">
        <v>-2.0500000000000001E-2</v>
      </c>
      <c r="C894" s="983">
        <v>4.8599999999999997E-2</v>
      </c>
      <c r="D894" s="983">
        <v>5.5999999999999991E-3</v>
      </c>
      <c r="E894" s="983">
        <v>6.6583333333333338E-3</v>
      </c>
      <c r="F894" s="983">
        <v>6.8666666666666668E-3</v>
      </c>
      <c r="G894" s="983">
        <v>6.7625000000000003E-3</v>
      </c>
      <c r="H894" s="983">
        <v>7.2435833333333336E-3</v>
      </c>
      <c r="I894" s="983">
        <v>-2.6099999999999998E-2</v>
      </c>
      <c r="J894" s="983">
        <v>-2.7262500000000002E-2</v>
      </c>
      <c r="K894" s="983">
        <v>-2.7743583333333335E-2</v>
      </c>
      <c r="L894" s="983">
        <v>4.1356416666666666E-2</v>
      </c>
    </row>
    <row r="895" spans="1:12">
      <c r="A895" s="983">
        <v>36678</v>
      </c>
      <c r="B895" s="983">
        <v>2.47E-2</v>
      </c>
      <c r="C895" s="983">
        <v>-5.7500000000000002E-2</v>
      </c>
      <c r="D895" s="983">
        <v>5.1999999999999998E-3</v>
      </c>
      <c r="E895" s="983">
        <v>6.391666666666667E-3</v>
      </c>
      <c r="F895" s="983">
        <v>6.5583333333333335E-3</v>
      </c>
      <c r="G895" s="983">
        <v>6.4749999999999999E-3</v>
      </c>
      <c r="H895" s="983">
        <v>6.9795833333333333E-3</v>
      </c>
      <c r="I895" s="983">
        <v>1.95E-2</v>
      </c>
      <c r="J895" s="983">
        <v>1.8224999999999998E-2</v>
      </c>
      <c r="K895" s="983">
        <v>1.7720416666666666E-2</v>
      </c>
      <c r="L895" s="983">
        <v>-6.447958333333334E-2</v>
      </c>
    </row>
    <row r="896" spans="1:12">
      <c r="A896" s="983">
        <v>36708</v>
      </c>
      <c r="B896" s="983">
        <v>-1.5599999999999999E-2</v>
      </c>
      <c r="C896" s="983">
        <v>6.7699999999999996E-2</v>
      </c>
      <c r="D896" s="983">
        <v>5.1999999999999998E-3</v>
      </c>
      <c r="E896" s="983">
        <v>6.3750000000000005E-3</v>
      </c>
      <c r="F896" s="983">
        <v>6.508333333333333E-3</v>
      </c>
      <c r="G896" s="983">
        <v>6.4416666666666667E-3</v>
      </c>
      <c r="H896" s="983">
        <v>6.8820000000000001E-3</v>
      </c>
      <c r="I896" s="983">
        <v>-2.0799999999999999E-2</v>
      </c>
      <c r="J896" s="983">
        <v>-2.2041666666666668E-2</v>
      </c>
      <c r="K896" s="983">
        <v>-2.2481999999999999E-2</v>
      </c>
      <c r="L896" s="983">
        <v>6.0817999999999997E-2</v>
      </c>
    </row>
    <row r="897" spans="1:12">
      <c r="A897" s="983">
        <v>36739</v>
      </c>
      <c r="B897" s="983">
        <v>6.2100000000000002E-2</v>
      </c>
      <c r="C897" s="983">
        <v>0.13720000000000002</v>
      </c>
      <c r="D897" s="983">
        <v>5.0000000000000001E-3</v>
      </c>
      <c r="E897" s="983">
        <v>6.2916666666666668E-3</v>
      </c>
      <c r="F897" s="983">
        <v>6.4166666666666669E-3</v>
      </c>
      <c r="G897" s="983">
        <v>6.3541666666666677E-3</v>
      </c>
      <c r="H897" s="983">
        <v>6.7739166666666677E-3</v>
      </c>
      <c r="I897" s="983">
        <v>5.7100000000000005E-2</v>
      </c>
      <c r="J897" s="983">
        <v>5.5745833333333335E-2</v>
      </c>
      <c r="K897" s="983">
        <v>5.5326083333333331E-2</v>
      </c>
      <c r="L897" s="983">
        <v>0.13042608333333336</v>
      </c>
    </row>
    <row r="898" spans="1:12">
      <c r="A898" s="983">
        <v>36770</v>
      </c>
      <c r="B898" s="983">
        <v>-5.28E-2</v>
      </c>
      <c r="C898" s="983">
        <v>9.1499999999999998E-2</v>
      </c>
      <c r="D898" s="983">
        <v>4.5999999999999999E-3</v>
      </c>
      <c r="E898" s="983">
        <v>6.3499999999999997E-3</v>
      </c>
      <c r="F898" s="983">
        <v>6.5249999999999996E-3</v>
      </c>
      <c r="G898" s="983">
        <v>6.4375000000000005E-3</v>
      </c>
      <c r="H898" s="983">
        <v>6.8533333333333337E-3</v>
      </c>
      <c r="I898" s="983">
        <v>-5.74E-2</v>
      </c>
      <c r="J898" s="983">
        <v>-5.9237499999999998E-2</v>
      </c>
      <c r="K898" s="983">
        <v>-5.9653333333333336E-2</v>
      </c>
      <c r="L898" s="983">
        <v>8.4646666666666662E-2</v>
      </c>
    </row>
    <row r="899" spans="1:12">
      <c r="A899" s="983">
        <v>36800</v>
      </c>
      <c r="B899" s="983">
        <v>-4.1999999999999997E-3</v>
      </c>
      <c r="C899" s="983">
        <v>-3.5699999999999996E-2</v>
      </c>
      <c r="D899" s="983">
        <v>5.3E-3</v>
      </c>
      <c r="E899" s="983">
        <v>6.2916666666666668E-3</v>
      </c>
      <c r="F899" s="983">
        <v>6.508333333333333E-3</v>
      </c>
      <c r="G899" s="983">
        <v>6.3999999999999994E-3</v>
      </c>
      <c r="H899" s="983">
        <v>6.7868333333333331E-3</v>
      </c>
      <c r="I899" s="983">
        <v>-9.4999999999999998E-3</v>
      </c>
      <c r="J899" s="983">
        <v>-1.0599999999999998E-2</v>
      </c>
      <c r="K899" s="983">
        <v>-1.0986833333333333E-2</v>
      </c>
      <c r="L899" s="983">
        <v>-4.2486833333333328E-2</v>
      </c>
    </row>
    <row r="900" spans="1:12">
      <c r="A900" s="983">
        <v>36831</v>
      </c>
      <c r="B900" s="983">
        <v>-7.8799999999999995E-2</v>
      </c>
      <c r="C900" s="983">
        <v>-1.32E-2</v>
      </c>
      <c r="D900" s="983">
        <v>4.7999999999999996E-3</v>
      </c>
      <c r="E900" s="983">
        <v>6.2083333333333331E-3</v>
      </c>
      <c r="F900" s="983">
        <v>6.4583333333333333E-3</v>
      </c>
      <c r="G900" s="983">
        <v>6.3333333333333332E-3</v>
      </c>
      <c r="H900" s="983">
        <v>6.7716666666666654E-3</v>
      </c>
      <c r="I900" s="983">
        <v>-8.3599999999999994E-2</v>
      </c>
      <c r="J900" s="983">
        <v>-8.5133333333333325E-2</v>
      </c>
      <c r="K900" s="983">
        <v>-8.5571666666666657E-2</v>
      </c>
      <c r="L900" s="983">
        <v>-1.9971666666666665E-2</v>
      </c>
    </row>
    <row r="901" spans="1:12">
      <c r="A901" s="983">
        <v>36861</v>
      </c>
      <c r="B901" s="983">
        <v>4.8999999999999998E-3</v>
      </c>
      <c r="C901" s="983">
        <v>9.820000000000001E-2</v>
      </c>
      <c r="D901" s="983">
        <v>4.4999999999999997E-3</v>
      </c>
      <c r="E901" s="983">
        <v>6.0083333333333334E-3</v>
      </c>
      <c r="F901" s="983">
        <v>6.2333333333333338E-3</v>
      </c>
      <c r="G901" s="983">
        <v>6.1208333333333332E-3</v>
      </c>
      <c r="H901" s="983">
        <v>6.5465000000000002E-3</v>
      </c>
      <c r="I901" s="983">
        <v>4.0000000000000018E-4</v>
      </c>
      <c r="J901" s="983">
        <v>-1.2208333333333333E-3</v>
      </c>
      <c r="K901" s="983">
        <v>-1.6465000000000004E-3</v>
      </c>
      <c r="L901" s="983">
        <v>9.1653500000000013E-2</v>
      </c>
    </row>
    <row r="902" spans="1:12">
      <c r="A902" s="983">
        <v>36892</v>
      </c>
      <c r="B902" s="983">
        <v>3.5499999999999997E-2</v>
      </c>
      <c r="C902" s="983">
        <v>-9.6699999999999994E-2</v>
      </c>
      <c r="D902" s="983">
        <v>4.8999999999999998E-3</v>
      </c>
      <c r="E902" s="983">
        <v>5.9583333333333328E-3</v>
      </c>
      <c r="F902" s="983">
        <v>6.1500000000000001E-3</v>
      </c>
      <c r="G902" s="983">
        <v>6.0541666666666669E-3</v>
      </c>
      <c r="H902" s="983">
        <v>6.4988333333333339E-3</v>
      </c>
      <c r="I902" s="983">
        <v>3.0599999999999995E-2</v>
      </c>
      <c r="J902" s="983">
        <v>2.9445833333333331E-2</v>
      </c>
      <c r="K902" s="983">
        <v>2.9001166666666661E-2</v>
      </c>
      <c r="L902" s="983">
        <v>-0.10319883333333332</v>
      </c>
    </row>
    <row r="903" spans="1:12">
      <c r="A903" s="983">
        <v>36923</v>
      </c>
      <c r="B903" s="983">
        <v>-9.1200000000000003E-2</v>
      </c>
      <c r="C903" s="983">
        <v>3.5299999999999998E-2</v>
      </c>
      <c r="D903" s="983">
        <v>4.1999999999999997E-3</v>
      </c>
      <c r="E903" s="983">
        <v>5.9166666666666664E-3</v>
      </c>
      <c r="F903" s="983">
        <v>6.0999999999999995E-3</v>
      </c>
      <c r="G903" s="983">
        <v>6.0083333333333334E-3</v>
      </c>
      <c r="H903" s="983">
        <v>6.4490833333333327E-3</v>
      </c>
      <c r="I903" s="983">
        <v>-9.5399999999999999E-2</v>
      </c>
      <c r="J903" s="983">
        <v>-9.7208333333333341E-2</v>
      </c>
      <c r="K903" s="983">
        <v>-9.7649083333333331E-2</v>
      </c>
      <c r="L903" s="983">
        <v>2.8850916666666664E-2</v>
      </c>
    </row>
    <row r="904" spans="1:12">
      <c r="A904" s="983">
        <v>36951</v>
      </c>
      <c r="B904" s="983">
        <v>-6.3399999999999998E-2</v>
      </c>
      <c r="C904" s="983">
        <v>-6.3E-3</v>
      </c>
      <c r="D904" s="983">
        <v>4.4999999999999997E-3</v>
      </c>
      <c r="E904" s="983">
        <v>5.816666666666667E-3</v>
      </c>
      <c r="F904" s="983">
        <v>6.0166666666666667E-3</v>
      </c>
      <c r="G904" s="983">
        <v>5.9166666666666664E-3</v>
      </c>
      <c r="H904" s="983">
        <v>6.3935833333333336E-3</v>
      </c>
      <c r="I904" s="983">
        <v>-6.7900000000000002E-2</v>
      </c>
      <c r="J904" s="983">
        <v>-6.9316666666666665E-2</v>
      </c>
      <c r="K904" s="983">
        <v>-6.9793583333333326E-2</v>
      </c>
      <c r="L904" s="983">
        <v>-1.2693583333333334E-2</v>
      </c>
    </row>
    <row r="905" spans="1:12">
      <c r="A905" s="983">
        <v>36982</v>
      </c>
      <c r="B905" s="983">
        <v>7.7700000000000005E-2</v>
      </c>
      <c r="C905" s="983">
        <v>6.0499999999999998E-2</v>
      </c>
      <c r="D905" s="983">
        <v>4.7000000000000002E-3</v>
      </c>
      <c r="E905" s="983">
        <v>6.0000000000000001E-3</v>
      </c>
      <c r="F905" s="983">
        <v>6.1916666666666665E-3</v>
      </c>
      <c r="G905" s="983">
        <v>6.0958333333333333E-3</v>
      </c>
      <c r="H905" s="983">
        <v>6.6033333333333335E-3</v>
      </c>
      <c r="I905" s="983">
        <v>7.3000000000000009E-2</v>
      </c>
      <c r="J905" s="983">
        <v>7.1604166666666677E-2</v>
      </c>
      <c r="K905" s="983">
        <v>7.1096666666666669E-2</v>
      </c>
      <c r="L905" s="983">
        <v>5.3896666666666662E-2</v>
      </c>
    </row>
    <row r="906" spans="1:12">
      <c r="A906" s="983">
        <v>37012</v>
      </c>
      <c r="B906" s="983">
        <v>6.7000000000000002E-3</v>
      </c>
      <c r="C906" s="983">
        <v>-3.4300000000000004E-2</v>
      </c>
      <c r="D906" s="983">
        <v>5.0000000000000001E-3</v>
      </c>
      <c r="E906" s="983">
        <v>6.0750000000000005E-3</v>
      </c>
      <c r="F906" s="983">
        <v>6.2500000000000003E-3</v>
      </c>
      <c r="G906" s="983">
        <v>6.1624999999999996E-3</v>
      </c>
      <c r="H906" s="983">
        <v>6.6629166666666659E-3</v>
      </c>
      <c r="I906" s="983">
        <v>1.7000000000000001E-3</v>
      </c>
      <c r="J906" s="983">
        <v>5.3750000000000065E-4</v>
      </c>
      <c r="K906" s="983">
        <v>3.708333333333428E-5</v>
      </c>
      <c r="L906" s="983">
        <v>-4.0962916666666668E-2</v>
      </c>
    </row>
    <row r="907" spans="1:12">
      <c r="A907" s="983">
        <v>37043</v>
      </c>
      <c r="B907" s="983">
        <v>-2.4299999999999999E-2</v>
      </c>
      <c r="C907" s="983">
        <v>-7.9100000000000004E-2</v>
      </c>
      <c r="D907" s="983">
        <v>4.7000000000000002E-3</v>
      </c>
      <c r="E907" s="983">
        <v>5.9833333333333327E-3</v>
      </c>
      <c r="F907" s="983">
        <v>6.116666666666667E-3</v>
      </c>
      <c r="G907" s="983">
        <v>6.0499999999999998E-3</v>
      </c>
      <c r="H907" s="983">
        <v>6.5459999999999997E-3</v>
      </c>
      <c r="I907" s="983">
        <v>-2.8999999999999998E-2</v>
      </c>
      <c r="J907" s="983">
        <v>-3.0349999999999999E-2</v>
      </c>
      <c r="K907" s="983">
        <v>-3.0845999999999998E-2</v>
      </c>
      <c r="L907" s="983">
        <v>-8.5646E-2</v>
      </c>
    </row>
    <row r="908" spans="1:12">
      <c r="A908" s="983">
        <v>37073</v>
      </c>
      <c r="B908" s="983">
        <v>-9.7999999999999997E-3</v>
      </c>
      <c r="C908" s="983">
        <v>-4.4799999999999993E-2</v>
      </c>
      <c r="D908" s="983">
        <v>5.1999999999999998E-3</v>
      </c>
      <c r="E908" s="983">
        <v>5.9416666666666663E-3</v>
      </c>
      <c r="F908" s="983">
        <v>6.0583333333333331E-3</v>
      </c>
      <c r="G908" s="983">
        <v>6.0000000000000001E-3</v>
      </c>
      <c r="H908" s="983">
        <v>6.4940833333333335E-3</v>
      </c>
      <c r="I908" s="983">
        <v>-1.4999999999999999E-2</v>
      </c>
      <c r="J908" s="983">
        <v>-1.5800000000000002E-2</v>
      </c>
      <c r="K908" s="983">
        <v>-1.6294083333333334E-2</v>
      </c>
      <c r="L908" s="983">
        <v>-5.1294083333333323E-2</v>
      </c>
    </row>
    <row r="909" spans="1:12">
      <c r="A909" s="983">
        <v>37104</v>
      </c>
      <c r="B909" s="983">
        <v>-6.2600000000000003E-2</v>
      </c>
      <c r="C909" s="983">
        <v>-2.9000000000000005E-2</v>
      </c>
      <c r="D909" s="983">
        <v>4.5999999999999999E-3</v>
      </c>
      <c r="E909" s="983">
        <v>6.0000000000000001E-3</v>
      </c>
      <c r="F909" s="983">
        <v>5.9250000000000006E-3</v>
      </c>
      <c r="G909" s="983">
        <v>5.9624999999999991E-3</v>
      </c>
      <c r="H909" s="983">
        <v>6.3285833333333328E-3</v>
      </c>
      <c r="I909" s="983">
        <v>-6.720000000000001E-2</v>
      </c>
      <c r="J909" s="983">
        <v>-6.8562499999999998E-2</v>
      </c>
      <c r="K909" s="983">
        <v>-6.8928583333333335E-2</v>
      </c>
      <c r="L909" s="983">
        <v>-3.5328583333333337E-2</v>
      </c>
    </row>
    <row r="910" spans="1:12">
      <c r="A910" s="983">
        <v>37135</v>
      </c>
      <c r="B910" s="983">
        <v>-8.0799999999999997E-2</v>
      </c>
      <c r="C910" s="983">
        <v>-0.1152</v>
      </c>
      <c r="D910" s="983">
        <v>4.1000000000000003E-3</v>
      </c>
      <c r="E910" s="983">
        <v>5.9750000000000003E-3</v>
      </c>
      <c r="F910" s="983">
        <v>6.0583333333333331E-3</v>
      </c>
      <c r="G910" s="983">
        <v>6.0166666666666667E-3</v>
      </c>
      <c r="H910" s="983">
        <v>6.4227500000000005E-3</v>
      </c>
      <c r="I910" s="983">
        <v>-8.4900000000000003E-2</v>
      </c>
      <c r="J910" s="983">
        <v>-8.6816666666666667E-2</v>
      </c>
      <c r="K910" s="983">
        <v>-8.7222750000000002E-2</v>
      </c>
      <c r="L910" s="983">
        <v>-0.12162275</v>
      </c>
    </row>
    <row r="911" spans="1:12">
      <c r="A911" s="983">
        <v>37165</v>
      </c>
      <c r="B911" s="983">
        <v>1.9099999999999999E-2</v>
      </c>
      <c r="C911" s="983">
        <v>-1.7000000000000001E-3</v>
      </c>
      <c r="D911" s="983">
        <v>4.7999999999999996E-3</v>
      </c>
      <c r="E911" s="983">
        <v>5.8583333333333334E-3</v>
      </c>
      <c r="F911" s="983">
        <v>5.9416666666666663E-3</v>
      </c>
      <c r="G911" s="983">
        <v>5.8999999999999999E-3</v>
      </c>
      <c r="H911" s="983">
        <v>6.3725833333333334E-3</v>
      </c>
      <c r="I911" s="983">
        <v>1.43E-2</v>
      </c>
      <c r="J911" s="983">
        <v>1.32E-2</v>
      </c>
      <c r="K911" s="983">
        <v>1.2727416666666665E-2</v>
      </c>
      <c r="L911" s="983">
        <v>-8.0725833333333344E-3</v>
      </c>
    </row>
    <row r="912" spans="1:12">
      <c r="A912" s="983">
        <v>37196</v>
      </c>
      <c r="B912" s="983">
        <v>7.6700000000000004E-2</v>
      </c>
      <c r="C912" s="983">
        <v>-5.5199999999999999E-2</v>
      </c>
      <c r="D912" s="983">
        <v>4.1000000000000003E-3</v>
      </c>
      <c r="E912" s="983">
        <v>5.8083333333333329E-3</v>
      </c>
      <c r="F912" s="983">
        <v>5.841666666666666E-3</v>
      </c>
      <c r="G912" s="983">
        <v>5.8250000000000003E-3</v>
      </c>
      <c r="H912" s="983">
        <v>6.2872499999999994E-3</v>
      </c>
      <c r="I912" s="983">
        <v>7.2599999999999998E-2</v>
      </c>
      <c r="J912" s="983">
        <v>7.0875000000000007E-2</v>
      </c>
      <c r="K912" s="983">
        <v>7.041275000000001E-2</v>
      </c>
      <c r="L912" s="983">
        <v>-6.148725E-2</v>
      </c>
    </row>
    <row r="913" spans="1:12">
      <c r="A913" s="983">
        <v>37226</v>
      </c>
      <c r="B913" s="983">
        <v>8.8000000000000005E-3</v>
      </c>
      <c r="C913" s="983">
        <v>2.6000000000000002E-2</v>
      </c>
      <c r="D913" s="983">
        <v>4.5999999999999999E-3</v>
      </c>
      <c r="E913" s="983">
        <v>5.6333333333333339E-3</v>
      </c>
      <c r="F913" s="983">
        <v>5.9916666666666677E-3</v>
      </c>
      <c r="G913" s="983">
        <v>5.8125000000000008E-3</v>
      </c>
      <c r="H913" s="983">
        <v>6.5259166666666668E-3</v>
      </c>
      <c r="I913" s="983">
        <v>4.2000000000000006E-3</v>
      </c>
      <c r="J913" s="983">
        <v>2.9874999999999997E-3</v>
      </c>
      <c r="K913" s="983">
        <v>2.2740833333333337E-3</v>
      </c>
      <c r="L913" s="983">
        <v>1.9474083333333336E-2</v>
      </c>
    </row>
    <row r="914" spans="1:12">
      <c r="A914" s="983">
        <v>37257</v>
      </c>
      <c r="B914" s="983">
        <v>-1.46E-2</v>
      </c>
      <c r="C914" s="983">
        <v>-5.6499999999999995E-2</v>
      </c>
      <c r="D914" s="983">
        <v>4.7999999999999996E-3</v>
      </c>
      <c r="E914" s="983">
        <v>5.4583333333333324E-3</v>
      </c>
      <c r="F914" s="983">
        <v>5.8583333333333334E-3</v>
      </c>
      <c r="G914" s="983">
        <v>5.6583333333333329E-3</v>
      </c>
      <c r="H914" s="983">
        <v>6.3869166666666666E-3</v>
      </c>
      <c r="I914" s="983">
        <v>-1.9400000000000001E-2</v>
      </c>
      <c r="J914" s="983">
        <v>-2.0258333333333333E-2</v>
      </c>
      <c r="K914" s="983">
        <v>-2.0986916666666668E-2</v>
      </c>
      <c r="L914" s="983">
        <v>-6.2886916666666667E-2</v>
      </c>
    </row>
    <row r="915" spans="1:12">
      <c r="A915" s="983">
        <v>37288</v>
      </c>
      <c r="B915" s="983">
        <v>-1.9300000000000001E-2</v>
      </c>
      <c r="C915" s="983">
        <v>-2.35E-2</v>
      </c>
      <c r="D915" s="983">
        <v>4.3E-3</v>
      </c>
      <c r="E915" s="983">
        <v>5.4250000000000001E-3</v>
      </c>
      <c r="F915" s="983">
        <v>5.7916666666666672E-3</v>
      </c>
      <c r="G915" s="983">
        <v>5.6083333333333332E-3</v>
      </c>
      <c r="H915" s="983">
        <v>6.2833333333333326E-3</v>
      </c>
      <c r="I915" s="983">
        <v>-2.3600000000000003E-2</v>
      </c>
      <c r="J915" s="983">
        <v>-2.4908333333333334E-2</v>
      </c>
      <c r="K915" s="983">
        <v>-2.5583333333333333E-2</v>
      </c>
      <c r="L915" s="983">
        <v>-2.9783333333333332E-2</v>
      </c>
    </row>
    <row r="916" spans="1:12">
      <c r="A916" s="983">
        <v>37316</v>
      </c>
      <c r="B916" s="983">
        <v>3.7600000000000001E-2</v>
      </c>
      <c r="C916" s="983">
        <v>0.12229999999999999</v>
      </c>
      <c r="D916" s="983">
        <v>4.3E-3</v>
      </c>
      <c r="E916" s="983">
        <v>5.6750000000000004E-3</v>
      </c>
      <c r="F916" s="983">
        <v>6.0166666666666667E-3</v>
      </c>
      <c r="G916" s="983">
        <v>5.8458333333333331E-3</v>
      </c>
      <c r="H916" s="983">
        <v>6.4529166666666667E-3</v>
      </c>
      <c r="I916" s="983">
        <v>3.3300000000000003E-2</v>
      </c>
      <c r="J916" s="983">
        <v>3.1754166666666667E-2</v>
      </c>
      <c r="K916" s="983">
        <v>3.1147083333333336E-2</v>
      </c>
      <c r="L916" s="983">
        <v>0.11584708333333332</v>
      </c>
    </row>
    <row r="917" spans="1:12">
      <c r="A917" s="983">
        <v>37347</v>
      </c>
      <c r="B917" s="983">
        <v>-6.0600000000000001E-2</v>
      </c>
      <c r="C917" s="983">
        <v>-1.7100000000000001E-2</v>
      </c>
      <c r="D917" s="983">
        <v>5.4000000000000003E-3</v>
      </c>
      <c r="E917" s="983">
        <v>5.6333333333333339E-3</v>
      </c>
      <c r="F917" s="983">
        <v>5.966666666666667E-3</v>
      </c>
      <c r="G917" s="983">
        <v>5.8000000000000005E-3</v>
      </c>
      <c r="H917" s="983">
        <v>6.3159166666666667E-3</v>
      </c>
      <c r="I917" s="983">
        <v>-6.6000000000000003E-2</v>
      </c>
      <c r="J917" s="983">
        <v>-6.6400000000000001E-2</v>
      </c>
      <c r="K917" s="983">
        <v>-6.6915916666666672E-2</v>
      </c>
      <c r="L917" s="983">
        <v>-2.3415916666666668E-2</v>
      </c>
    </row>
    <row r="918" spans="1:12">
      <c r="A918" s="983">
        <v>37377</v>
      </c>
      <c r="B918" s="983">
        <v>-7.4000000000000003E-3</v>
      </c>
      <c r="C918" s="983">
        <v>-9.0200000000000002E-2</v>
      </c>
      <c r="D918" s="983">
        <v>4.8999999999999998E-3</v>
      </c>
      <c r="E918" s="983">
        <v>5.6249999999999998E-3</v>
      </c>
      <c r="F918" s="983">
        <v>6.0000000000000001E-3</v>
      </c>
      <c r="G918" s="983">
        <v>5.8125000000000008E-3</v>
      </c>
      <c r="H918" s="983">
        <v>6.2723333333333329E-3</v>
      </c>
      <c r="I918" s="983">
        <v>-1.23E-2</v>
      </c>
      <c r="J918" s="983">
        <v>-1.3212500000000002E-2</v>
      </c>
      <c r="K918" s="983">
        <v>-1.3672333333333333E-2</v>
      </c>
      <c r="L918" s="983">
        <v>-9.647233333333334E-2</v>
      </c>
    </row>
    <row r="919" spans="1:12">
      <c r="A919" s="983">
        <v>37408</v>
      </c>
      <c r="B919" s="983">
        <v>-7.1199999999999999E-2</v>
      </c>
      <c r="C919" s="983">
        <v>-7.1000000000000008E-2</v>
      </c>
      <c r="D919" s="983">
        <v>4.4000000000000003E-3</v>
      </c>
      <c r="E919" s="983">
        <v>5.5333333333333337E-3</v>
      </c>
      <c r="F919" s="983">
        <v>5.8999999999999999E-3</v>
      </c>
      <c r="G919" s="983">
        <v>5.7166666666666668E-3</v>
      </c>
      <c r="H919" s="983">
        <v>6.1804166666666674E-3</v>
      </c>
      <c r="I919" s="983">
        <v>-7.5600000000000001E-2</v>
      </c>
      <c r="J919" s="983">
        <v>-7.6916666666666661E-2</v>
      </c>
      <c r="K919" s="983">
        <v>-7.7380416666666674E-2</v>
      </c>
      <c r="L919" s="983">
        <v>-7.7180416666666668E-2</v>
      </c>
    </row>
    <row r="920" spans="1:12">
      <c r="A920" s="983">
        <v>37438</v>
      </c>
      <c r="B920" s="983">
        <v>-7.8E-2</v>
      </c>
      <c r="C920" s="983">
        <v>-0.13799999999999998</v>
      </c>
      <c r="D920" s="983">
        <v>5.1000000000000004E-3</v>
      </c>
      <c r="E920" s="983">
        <v>5.4416666666666667E-3</v>
      </c>
      <c r="F920" s="983">
        <v>5.816666666666667E-3</v>
      </c>
      <c r="G920" s="983">
        <v>5.6291666666666677E-3</v>
      </c>
      <c r="H920" s="983">
        <v>6.1008333333333331E-3</v>
      </c>
      <c r="I920" s="983">
        <v>-8.3100000000000007E-2</v>
      </c>
      <c r="J920" s="983">
        <v>-8.3629166666666671E-2</v>
      </c>
      <c r="K920" s="983">
        <v>-8.4100833333333333E-2</v>
      </c>
      <c r="L920" s="983">
        <v>-0.14410083333333332</v>
      </c>
    </row>
    <row r="921" spans="1:12">
      <c r="A921" s="983">
        <v>37469</v>
      </c>
      <c r="B921" s="983">
        <v>6.6E-3</v>
      </c>
      <c r="C921" s="983">
        <v>3.5000000000000003E-2</v>
      </c>
      <c r="D921" s="983">
        <v>4.4000000000000003E-3</v>
      </c>
      <c r="E921" s="983">
        <v>5.3083333333333342E-3</v>
      </c>
      <c r="F921" s="983">
        <v>5.6999999999999993E-3</v>
      </c>
      <c r="G921" s="983">
        <v>5.5041666666666668E-3</v>
      </c>
      <c r="H921" s="983">
        <v>5.9787500000000006E-3</v>
      </c>
      <c r="I921" s="983">
        <v>2.1999999999999997E-3</v>
      </c>
      <c r="J921" s="983">
        <v>1.0958333333333332E-3</v>
      </c>
      <c r="K921" s="983">
        <v>6.2124999999999941E-4</v>
      </c>
      <c r="L921" s="983">
        <v>2.9021250000000002E-2</v>
      </c>
    </row>
    <row r="922" spans="1:12">
      <c r="A922" s="983">
        <v>37500</v>
      </c>
      <c r="B922" s="983">
        <v>-0.1087</v>
      </c>
      <c r="C922" s="983">
        <v>-0.12830000000000003</v>
      </c>
      <c r="D922" s="983">
        <v>4.1999999999999997E-3</v>
      </c>
      <c r="E922" s="983">
        <v>5.1250000000000011E-3</v>
      </c>
      <c r="F922" s="983">
        <v>5.5249999999999995E-3</v>
      </c>
      <c r="G922" s="983">
        <v>5.3249999999999999E-3</v>
      </c>
      <c r="H922" s="983">
        <v>5.9062500000000009E-3</v>
      </c>
      <c r="I922" s="983">
        <v>-0.1129</v>
      </c>
      <c r="J922" s="983">
        <v>-0.114025</v>
      </c>
      <c r="K922" s="983">
        <v>-0.11460625000000001</v>
      </c>
      <c r="L922" s="983">
        <v>-0.13420625000000003</v>
      </c>
    </row>
    <row r="923" spans="1:12">
      <c r="A923" s="983">
        <v>37530</v>
      </c>
      <c r="B923" s="983">
        <v>8.7999999999999995E-2</v>
      </c>
      <c r="C923" s="983">
        <v>-1.7299999999999999E-2</v>
      </c>
      <c r="D923" s="983">
        <v>4.0000000000000001E-3</v>
      </c>
      <c r="E923" s="983">
        <v>5.2749999999999993E-3</v>
      </c>
      <c r="F923" s="983">
        <v>5.6166666666666665E-3</v>
      </c>
      <c r="G923" s="983">
        <v>5.4458333333333329E-3</v>
      </c>
      <c r="H923" s="983">
        <v>6.0162499999999999E-3</v>
      </c>
      <c r="I923" s="983">
        <v>8.3999999999999991E-2</v>
      </c>
      <c r="J923" s="983">
        <v>8.2554166666666665E-2</v>
      </c>
      <c r="K923" s="983">
        <v>8.1983749999999994E-2</v>
      </c>
      <c r="L923" s="983">
        <v>-2.331625E-2</v>
      </c>
    </row>
    <row r="924" spans="1:12">
      <c r="A924" s="983">
        <v>37561</v>
      </c>
      <c r="B924" s="983">
        <v>5.8900000000000001E-2</v>
      </c>
      <c r="C924" s="983">
        <v>2.4900000000000002E-2</v>
      </c>
      <c r="D924" s="983">
        <v>4.0000000000000001E-3</v>
      </c>
      <c r="E924" s="983">
        <v>5.2583333333333327E-3</v>
      </c>
      <c r="F924" s="983">
        <v>5.5916666666666667E-3</v>
      </c>
      <c r="G924" s="983">
        <v>5.4250000000000001E-3</v>
      </c>
      <c r="H924" s="983">
        <v>5.9523333333333338E-3</v>
      </c>
      <c r="I924" s="983">
        <v>5.4900000000000004E-2</v>
      </c>
      <c r="J924" s="983">
        <v>5.3475000000000002E-2</v>
      </c>
      <c r="K924" s="983">
        <v>5.2947666666666671E-2</v>
      </c>
      <c r="L924" s="983">
        <v>1.8947666666666668E-2</v>
      </c>
    </row>
    <row r="925" spans="1:12">
      <c r="A925" s="983">
        <v>37591</v>
      </c>
      <c r="B925" s="983">
        <v>-5.8700000000000002E-2</v>
      </c>
      <c r="C925" s="983">
        <v>4.1599999999999998E-2</v>
      </c>
      <c r="D925" s="983">
        <v>4.4999999999999997E-3</v>
      </c>
      <c r="E925" s="983">
        <v>5.1749999999999999E-3</v>
      </c>
      <c r="F925" s="983">
        <v>5.5249999999999995E-3</v>
      </c>
      <c r="G925" s="983">
        <v>5.3499999999999989E-3</v>
      </c>
      <c r="H925" s="983">
        <v>5.896416666666667E-3</v>
      </c>
      <c r="I925" s="983">
        <v>-6.3200000000000006E-2</v>
      </c>
      <c r="J925" s="983">
        <v>-6.4049999999999996E-2</v>
      </c>
      <c r="K925" s="983">
        <v>-6.459641666666667E-2</v>
      </c>
      <c r="L925" s="983">
        <v>3.570358333333333E-2</v>
      </c>
    </row>
    <row r="926" spans="1:12">
      <c r="A926" s="983">
        <v>37622</v>
      </c>
      <c r="B926" s="983">
        <v>-2.6200000000000001E-2</v>
      </c>
      <c r="C926" s="983">
        <v>-2.9200000000000004E-2</v>
      </c>
      <c r="D926" s="983">
        <v>4.1000000000000003E-3</v>
      </c>
      <c r="E926" s="983">
        <v>5.1416666666666668E-3</v>
      </c>
      <c r="F926" s="983">
        <v>5.4916666666666673E-3</v>
      </c>
      <c r="G926" s="983">
        <v>5.3166666666666675E-3</v>
      </c>
      <c r="H926" s="983">
        <v>5.886916666666667E-3</v>
      </c>
      <c r="I926" s="983">
        <v>-3.0300000000000001E-2</v>
      </c>
      <c r="J926" s="983">
        <v>-3.1516666666666665E-2</v>
      </c>
      <c r="K926" s="983">
        <v>-3.2086916666666666E-2</v>
      </c>
      <c r="L926" s="983">
        <v>-3.5086916666666669E-2</v>
      </c>
    </row>
    <row r="927" spans="1:12">
      <c r="A927" s="983">
        <v>37653</v>
      </c>
      <c r="B927" s="983">
        <v>-1.4999999999999999E-2</v>
      </c>
      <c r="C927" s="983">
        <v>-4.8999999999999995E-2</v>
      </c>
      <c r="D927" s="983">
        <v>3.8E-3</v>
      </c>
      <c r="E927" s="983">
        <v>4.9583333333333337E-3</v>
      </c>
      <c r="F927" s="983">
        <v>5.2833333333333335E-3</v>
      </c>
      <c r="G927" s="983">
        <v>5.1208333333333331E-3</v>
      </c>
      <c r="H927" s="983">
        <v>5.7775833333333325E-3</v>
      </c>
      <c r="I927" s="983">
        <v>-1.8800000000000001E-2</v>
      </c>
      <c r="J927" s="983">
        <v>-2.0120833333333331E-2</v>
      </c>
      <c r="K927" s="983">
        <v>-2.0777583333333332E-2</v>
      </c>
      <c r="L927" s="983">
        <v>-5.4777583333333324E-2</v>
      </c>
    </row>
    <row r="928" spans="1:12">
      <c r="A928" s="983">
        <v>37681</v>
      </c>
      <c r="B928" s="983">
        <v>9.7000000000000003E-3</v>
      </c>
      <c r="C928" s="983">
        <v>5.050000000000001E-2</v>
      </c>
      <c r="D928" s="983">
        <v>4.0000000000000001E-3</v>
      </c>
      <c r="E928" s="983">
        <v>4.9083333333333331E-3</v>
      </c>
      <c r="F928" s="983">
        <v>5.2333333333333329E-3</v>
      </c>
      <c r="G928" s="983">
        <v>5.0708333333333334E-3</v>
      </c>
      <c r="H928" s="983">
        <v>5.6626666666666665E-3</v>
      </c>
      <c r="I928" s="983">
        <v>5.7000000000000002E-3</v>
      </c>
      <c r="J928" s="983">
        <v>4.6291666666666668E-3</v>
      </c>
      <c r="K928" s="983">
        <v>4.0373333333333337E-3</v>
      </c>
      <c r="L928" s="983">
        <v>4.483733333333334E-2</v>
      </c>
    </row>
    <row r="929" spans="1:12">
      <c r="A929" s="983">
        <v>37712</v>
      </c>
      <c r="B929" s="983">
        <v>8.2400000000000001E-2</v>
      </c>
      <c r="C929" s="983">
        <v>8.8500000000000009E-2</v>
      </c>
      <c r="D929" s="983">
        <v>4.0000000000000001E-3</v>
      </c>
      <c r="E929" s="983">
        <v>4.783333333333333E-3</v>
      </c>
      <c r="F929" s="983">
        <v>5.1833333333333332E-3</v>
      </c>
      <c r="G929" s="983">
        <v>4.9833333333333327E-3</v>
      </c>
      <c r="H929" s="983">
        <v>5.5400833333333335E-3</v>
      </c>
      <c r="I929" s="983">
        <v>7.8399999999999997E-2</v>
      </c>
      <c r="J929" s="983">
        <v>7.7416666666666661E-2</v>
      </c>
      <c r="K929" s="983">
        <v>7.6859916666666667E-2</v>
      </c>
      <c r="L929" s="983">
        <v>8.2959916666666675E-2</v>
      </c>
    </row>
    <row r="930" spans="1:12">
      <c r="A930" s="983">
        <v>37742</v>
      </c>
      <c r="B930" s="983">
        <v>5.2699999999999997E-2</v>
      </c>
      <c r="C930" s="983">
        <v>0.1021</v>
      </c>
      <c r="D930" s="983">
        <v>3.8999999999999994E-3</v>
      </c>
      <c r="E930" s="983">
        <v>4.3499999999999997E-3</v>
      </c>
      <c r="F930" s="983">
        <v>4.875E-3</v>
      </c>
      <c r="G930" s="983">
        <v>4.6125000000000003E-3</v>
      </c>
      <c r="H930" s="983">
        <v>5.3103333333333336E-3</v>
      </c>
      <c r="I930" s="983">
        <v>4.8799999999999996E-2</v>
      </c>
      <c r="J930" s="983">
        <v>4.8087499999999998E-2</v>
      </c>
      <c r="K930" s="983">
        <v>4.7389666666666663E-2</v>
      </c>
      <c r="L930" s="983">
        <v>9.6789666666666663E-2</v>
      </c>
    </row>
    <row r="931" spans="1:12">
      <c r="A931" s="983">
        <v>37773</v>
      </c>
      <c r="B931" s="983">
        <v>1.2800000000000001E-2</v>
      </c>
      <c r="C931" s="983">
        <v>1.1900000000000001E-2</v>
      </c>
      <c r="D931" s="983">
        <v>3.5999999999999999E-3</v>
      </c>
      <c r="E931" s="983">
        <v>4.1416666666666659E-3</v>
      </c>
      <c r="F931" s="983">
        <v>4.7666666666666664E-3</v>
      </c>
      <c r="G931" s="983">
        <v>4.4541666666666662E-3</v>
      </c>
      <c r="H931" s="983">
        <v>5.1729999999999996E-3</v>
      </c>
      <c r="I931" s="983">
        <v>9.1999999999999998E-3</v>
      </c>
      <c r="J931" s="983">
        <v>8.3458333333333336E-3</v>
      </c>
      <c r="K931" s="983">
        <v>7.627000000000001E-3</v>
      </c>
      <c r="L931" s="983">
        <v>6.7270000000000012E-3</v>
      </c>
    </row>
    <row r="932" spans="1:12">
      <c r="A932" s="983">
        <v>37803</v>
      </c>
      <c r="B932" s="983">
        <v>1.7600000000000001E-2</v>
      </c>
      <c r="C932" s="983">
        <v>-6.5000000000000002E-2</v>
      </c>
      <c r="D932" s="983">
        <v>3.8E-3</v>
      </c>
      <c r="E932" s="983">
        <v>4.5750000000000001E-3</v>
      </c>
      <c r="F932" s="983">
        <v>5.058333333333334E-3</v>
      </c>
      <c r="G932" s="983">
        <v>4.816666666666667E-3</v>
      </c>
      <c r="H932" s="983">
        <v>5.4568333333333326E-3</v>
      </c>
      <c r="I932" s="983">
        <v>1.3800000000000002E-2</v>
      </c>
      <c r="J932" s="983">
        <v>1.2783333333333334E-2</v>
      </c>
      <c r="K932" s="983">
        <v>1.2143166666666668E-2</v>
      </c>
      <c r="L932" s="983">
        <v>-7.045683333333333E-2</v>
      </c>
    </row>
    <row r="933" spans="1:12">
      <c r="A933" s="983">
        <v>37834</v>
      </c>
      <c r="B933" s="983">
        <v>1.95E-2</v>
      </c>
      <c r="C933" s="983">
        <v>1.7499999999999998E-2</v>
      </c>
      <c r="D933" s="983">
        <v>4.1999999999999997E-3</v>
      </c>
      <c r="E933" s="983">
        <v>4.8916666666666666E-3</v>
      </c>
      <c r="F933" s="983">
        <v>5.2583333333333327E-3</v>
      </c>
      <c r="G933" s="983">
        <v>5.0749999999999997E-3</v>
      </c>
      <c r="H933" s="983">
        <v>5.6591666666666674E-3</v>
      </c>
      <c r="I933" s="983">
        <v>1.5300000000000001E-2</v>
      </c>
      <c r="J933" s="983">
        <v>1.4425E-2</v>
      </c>
      <c r="K933" s="983">
        <v>1.3840833333333333E-2</v>
      </c>
      <c r="L933" s="983">
        <v>1.1840833333333332E-2</v>
      </c>
    </row>
    <row r="934" spans="1:12">
      <c r="A934" s="983">
        <v>37865</v>
      </c>
      <c r="B934" s="983">
        <v>-1.06E-2</v>
      </c>
      <c r="C934" s="983">
        <v>4.5699999999999991E-2</v>
      </c>
      <c r="D934" s="983">
        <v>4.5999999999999999E-3</v>
      </c>
      <c r="E934" s="983">
        <v>4.7666666666666664E-3</v>
      </c>
      <c r="F934" s="983">
        <v>5.1083333333333336E-3</v>
      </c>
      <c r="G934" s="983">
        <v>4.9375E-3</v>
      </c>
      <c r="H934" s="983">
        <v>5.4869166666666669E-3</v>
      </c>
      <c r="I934" s="983">
        <v>-1.52E-2</v>
      </c>
      <c r="J934" s="983">
        <v>-1.5537499999999999E-2</v>
      </c>
      <c r="K934" s="983">
        <v>-1.6086916666666666E-2</v>
      </c>
      <c r="L934" s="983">
        <v>4.0213083333333323E-2</v>
      </c>
    </row>
    <row r="935" spans="1:12">
      <c r="A935" s="983">
        <v>37895</v>
      </c>
      <c r="B935" s="983">
        <v>5.6599999999999998E-2</v>
      </c>
      <c r="C935" s="983">
        <v>1.1199999999999998E-2</v>
      </c>
      <c r="D935" s="983">
        <v>4.1000000000000003E-3</v>
      </c>
      <c r="E935" s="983">
        <v>4.7500000000000007E-3</v>
      </c>
      <c r="F935" s="983">
        <v>5.0916666666666662E-3</v>
      </c>
      <c r="G935" s="983">
        <v>4.9208333333333335E-3</v>
      </c>
      <c r="H935" s="983">
        <v>5.3500000000000006E-3</v>
      </c>
      <c r="I935" s="983">
        <v>5.2499999999999998E-2</v>
      </c>
      <c r="J935" s="983">
        <v>5.1679166666666665E-2</v>
      </c>
      <c r="K935" s="983">
        <v>5.1249999999999997E-2</v>
      </c>
      <c r="L935" s="983">
        <v>5.8499999999999976E-3</v>
      </c>
    </row>
    <row r="936" spans="1:12">
      <c r="A936" s="983">
        <v>37926</v>
      </c>
      <c r="B936" s="983">
        <v>8.8000000000000005E-3</v>
      </c>
      <c r="C936" s="983">
        <v>-5.0000000000000001E-4</v>
      </c>
      <c r="D936" s="983">
        <v>3.8999999999999994E-3</v>
      </c>
      <c r="E936" s="983">
        <v>4.7083333333333335E-3</v>
      </c>
      <c r="F936" s="983">
        <v>5.0666666666666672E-3</v>
      </c>
      <c r="G936" s="983">
        <v>4.8875000000000004E-3</v>
      </c>
      <c r="H936" s="983">
        <v>5.3093333333333334E-3</v>
      </c>
      <c r="I936" s="983">
        <v>4.9000000000000016E-3</v>
      </c>
      <c r="J936" s="983">
        <v>3.9125000000000002E-3</v>
      </c>
      <c r="K936" s="983">
        <v>3.4906666666666671E-3</v>
      </c>
      <c r="L936" s="983">
        <v>-5.809333333333333E-3</v>
      </c>
    </row>
    <row r="937" spans="1:12">
      <c r="A937" s="983">
        <v>37956</v>
      </c>
      <c r="B937" s="983">
        <v>5.2400000000000002E-2</v>
      </c>
      <c r="C937" s="983">
        <v>6.7499999999999991E-2</v>
      </c>
      <c r="D937" s="983">
        <v>4.7000000000000002E-3</v>
      </c>
      <c r="E937" s="983">
        <v>4.7083333333333335E-3</v>
      </c>
      <c r="F937" s="983">
        <v>5.0166666666666658E-3</v>
      </c>
      <c r="G937" s="983">
        <v>4.8624999999999996E-3</v>
      </c>
      <c r="H937" s="983">
        <v>5.2325000000000002E-3</v>
      </c>
      <c r="I937" s="983">
        <v>4.7699999999999999E-2</v>
      </c>
      <c r="J937" s="983">
        <v>4.7537500000000003E-2</v>
      </c>
      <c r="K937" s="983">
        <v>4.7167500000000001E-2</v>
      </c>
      <c r="L937" s="983">
        <v>6.226749999999999E-2</v>
      </c>
    </row>
    <row r="938" spans="1:12">
      <c r="A938" s="983">
        <v>37987</v>
      </c>
      <c r="B938" s="983">
        <v>1.84E-2</v>
      </c>
      <c r="C938" s="983">
        <v>2.1599999999999998E-2</v>
      </c>
      <c r="D938" s="983">
        <v>4.1999999999999997E-3</v>
      </c>
      <c r="E938" s="983">
        <v>4.6166666666666665E-3</v>
      </c>
      <c r="F938" s="983">
        <v>4.9249999999999997E-3</v>
      </c>
      <c r="G938" s="983">
        <v>4.7708333333333327E-3</v>
      </c>
      <c r="H938" s="983">
        <v>5.1280833333333335E-3</v>
      </c>
      <c r="I938" s="983">
        <v>1.4200000000000001E-2</v>
      </c>
      <c r="J938" s="983">
        <v>1.3629166666666668E-2</v>
      </c>
      <c r="K938" s="983">
        <v>1.3271916666666666E-2</v>
      </c>
      <c r="L938" s="983">
        <v>1.6471916666666662E-2</v>
      </c>
    </row>
    <row r="939" spans="1:12">
      <c r="A939" s="983">
        <v>38018</v>
      </c>
      <c r="B939" s="983">
        <v>1.3899999999999999E-2</v>
      </c>
      <c r="C939" s="983">
        <v>1.8100000000000002E-2</v>
      </c>
      <c r="D939" s="983">
        <v>3.8E-3</v>
      </c>
      <c r="E939" s="983">
        <v>4.5833333333333334E-3</v>
      </c>
      <c r="F939" s="983">
        <v>4.8916666666666666E-3</v>
      </c>
      <c r="G939" s="983">
        <v>4.7375000000000004E-3</v>
      </c>
      <c r="H939" s="983">
        <v>5.1250000000000011E-3</v>
      </c>
      <c r="I939" s="983">
        <v>1.01E-2</v>
      </c>
      <c r="J939" s="983">
        <v>9.1624999999999988E-3</v>
      </c>
      <c r="K939" s="983">
        <v>8.7749999999999981E-3</v>
      </c>
      <c r="L939" s="983">
        <v>1.2975E-2</v>
      </c>
    </row>
    <row r="940" spans="1:12">
      <c r="A940" s="983">
        <v>38047</v>
      </c>
      <c r="B940" s="983">
        <v>-1.5100000000000001E-2</v>
      </c>
      <c r="C940" s="983">
        <v>1.04E-2</v>
      </c>
      <c r="D940" s="983">
        <v>4.3E-3</v>
      </c>
      <c r="E940" s="983">
        <v>4.4416666666666667E-3</v>
      </c>
      <c r="F940" s="983">
        <v>4.7500000000000007E-3</v>
      </c>
      <c r="G940" s="983">
        <v>4.5958333333333337E-3</v>
      </c>
      <c r="H940" s="983">
        <v>4.9753333333333333E-3</v>
      </c>
      <c r="I940" s="983">
        <v>-1.9400000000000001E-2</v>
      </c>
      <c r="J940" s="983">
        <v>-1.9695833333333336E-2</v>
      </c>
      <c r="K940" s="983">
        <v>-2.0075333333333334E-2</v>
      </c>
      <c r="L940" s="983">
        <v>5.4246666666666662E-3</v>
      </c>
    </row>
    <row r="941" spans="1:12">
      <c r="A941" s="983">
        <v>38078</v>
      </c>
      <c r="B941" s="983">
        <v>-1.5699999999999999E-2</v>
      </c>
      <c r="C941" s="983">
        <v>-3.6199999999999996E-2</v>
      </c>
      <c r="D941" s="983">
        <v>3.8999999999999994E-3</v>
      </c>
      <c r="E941" s="983">
        <v>4.7750000000000006E-3</v>
      </c>
      <c r="F941" s="983">
        <v>5.0833333333333329E-3</v>
      </c>
      <c r="G941" s="983">
        <v>4.9291666666666668E-3</v>
      </c>
      <c r="H941" s="983">
        <v>5.2710000000000005E-3</v>
      </c>
      <c r="I941" s="983">
        <v>-1.9599999999999999E-2</v>
      </c>
      <c r="J941" s="983">
        <v>-2.0629166666666664E-2</v>
      </c>
      <c r="K941" s="983">
        <v>-2.0971E-2</v>
      </c>
      <c r="L941" s="983">
        <v>-4.1470999999999994E-2</v>
      </c>
    </row>
    <row r="942" spans="1:12">
      <c r="A942" s="983">
        <v>38108</v>
      </c>
      <c r="B942" s="983">
        <v>1.37E-2</v>
      </c>
      <c r="C942" s="983">
        <v>7.9000000000000008E-3</v>
      </c>
      <c r="D942" s="983">
        <v>4.0000000000000001E-3</v>
      </c>
      <c r="E942" s="983">
        <v>5.0333333333333332E-3</v>
      </c>
      <c r="F942" s="983">
        <v>5.3333333333333332E-3</v>
      </c>
      <c r="G942" s="983">
        <v>5.1833333333333332E-3</v>
      </c>
      <c r="H942" s="983">
        <v>5.5170833333333339E-3</v>
      </c>
      <c r="I942" s="983">
        <v>9.7000000000000003E-3</v>
      </c>
      <c r="J942" s="983">
        <v>8.5166666666666672E-3</v>
      </c>
      <c r="K942" s="983">
        <v>8.1829166666666665E-3</v>
      </c>
      <c r="L942" s="983">
        <v>2.3829166666666669E-3</v>
      </c>
    </row>
    <row r="943" spans="1:12">
      <c r="A943" s="983">
        <v>38139</v>
      </c>
      <c r="B943" s="983">
        <v>1.9400000000000001E-2</v>
      </c>
      <c r="C943" s="983">
        <v>1.55E-2</v>
      </c>
      <c r="D943" s="983">
        <v>4.7999999999999996E-3</v>
      </c>
      <c r="E943" s="983">
        <v>5.0083333333333334E-3</v>
      </c>
      <c r="F943" s="983">
        <v>5.1749999999999999E-3</v>
      </c>
      <c r="G943" s="983">
        <v>5.0916666666666662E-3</v>
      </c>
      <c r="H943" s="983">
        <v>5.3876666666666673E-3</v>
      </c>
      <c r="I943" s="983">
        <v>1.4600000000000002E-2</v>
      </c>
      <c r="J943" s="983">
        <v>1.4308333333333334E-2</v>
      </c>
      <c r="K943" s="983">
        <v>1.4012333333333333E-2</v>
      </c>
      <c r="L943" s="983">
        <v>1.0112333333333333E-2</v>
      </c>
    </row>
    <row r="944" spans="1:12">
      <c r="A944" s="983">
        <v>38169</v>
      </c>
      <c r="B944" s="983">
        <v>-3.3099999999999997E-2</v>
      </c>
      <c r="C944" s="983">
        <v>1.7299999999999999E-2</v>
      </c>
      <c r="D944" s="983">
        <v>4.3E-3</v>
      </c>
      <c r="E944" s="983">
        <v>4.8500000000000001E-3</v>
      </c>
      <c r="F944" s="983">
        <v>5.0166666666666658E-3</v>
      </c>
      <c r="G944" s="983">
        <v>4.933333333333333E-3</v>
      </c>
      <c r="H944" s="983">
        <v>5.2270000000000007E-3</v>
      </c>
      <c r="I944" s="983">
        <v>-3.7399999999999996E-2</v>
      </c>
      <c r="J944" s="983">
        <v>-3.8033333333333329E-2</v>
      </c>
      <c r="K944" s="983">
        <v>-3.8327E-2</v>
      </c>
      <c r="L944" s="983">
        <v>1.2072999999999999E-2</v>
      </c>
    </row>
    <row r="945" spans="1:12">
      <c r="A945" s="983">
        <v>38200</v>
      </c>
      <c r="B945" s="983">
        <v>4.0000000000000001E-3</v>
      </c>
      <c r="C945" s="983">
        <v>3.9300000000000002E-2</v>
      </c>
      <c r="D945" s="983">
        <v>4.4999999999999997E-3</v>
      </c>
      <c r="E945" s="983">
        <v>4.7083333333333335E-3</v>
      </c>
      <c r="F945" s="983">
        <v>4.8916666666666666E-3</v>
      </c>
      <c r="G945" s="983">
        <v>4.8000000000000004E-3</v>
      </c>
      <c r="H945" s="983">
        <v>5.1234999999999996E-3</v>
      </c>
      <c r="I945" s="983">
        <v>-4.9999999999999958E-4</v>
      </c>
      <c r="J945" s="983">
        <v>-8.0000000000000036E-4</v>
      </c>
      <c r="K945" s="983">
        <v>-1.1234999999999995E-3</v>
      </c>
      <c r="L945" s="983">
        <v>3.4176499999999999E-2</v>
      </c>
    </row>
    <row r="946" spans="1:12">
      <c r="A946" s="983">
        <v>38231</v>
      </c>
      <c r="B946" s="983">
        <v>1.0800000000000001E-2</v>
      </c>
      <c r="C946" s="983">
        <v>9.1000000000000004E-3</v>
      </c>
      <c r="D946" s="983">
        <v>4.0000000000000001E-3</v>
      </c>
      <c r="E946" s="983">
        <v>4.5500000000000002E-3</v>
      </c>
      <c r="F946" s="983">
        <v>4.7750000000000006E-3</v>
      </c>
      <c r="G946" s="983">
        <v>4.6625000000000008E-3</v>
      </c>
      <c r="H946" s="983">
        <v>4.9853333333333329E-3</v>
      </c>
      <c r="I946" s="983">
        <v>6.8000000000000005E-3</v>
      </c>
      <c r="J946" s="983">
        <v>6.1374999999999997E-3</v>
      </c>
      <c r="K946" s="983">
        <v>5.8146666666666676E-3</v>
      </c>
      <c r="L946" s="983">
        <v>4.1146666666666675E-3</v>
      </c>
    </row>
    <row r="947" spans="1:12">
      <c r="A947" s="983">
        <v>38261</v>
      </c>
      <c r="B947" s="983">
        <v>1.5299999999999999E-2</v>
      </c>
      <c r="C947" s="983">
        <v>4.9499999999999995E-2</v>
      </c>
      <c r="D947" s="983">
        <v>3.8E-3</v>
      </c>
      <c r="E947" s="983">
        <v>4.5583333333333335E-3</v>
      </c>
      <c r="F947" s="983">
        <v>4.7416666666666666E-3</v>
      </c>
      <c r="G947" s="983">
        <v>4.6499999999999996E-3</v>
      </c>
      <c r="H947" s="983">
        <v>4.9920833333333327E-3</v>
      </c>
      <c r="I947" s="983">
        <v>1.15E-2</v>
      </c>
      <c r="J947" s="983">
        <v>1.065E-2</v>
      </c>
      <c r="K947" s="983">
        <v>1.0307916666666667E-2</v>
      </c>
      <c r="L947" s="983">
        <v>4.4507916666666661E-2</v>
      </c>
    </row>
    <row r="948" spans="1:12">
      <c r="A948" s="983">
        <v>38292</v>
      </c>
      <c r="B948" s="983">
        <v>4.0500000000000001E-2</v>
      </c>
      <c r="C948" s="983">
        <v>4.07E-2</v>
      </c>
      <c r="D948" s="983">
        <v>4.1000000000000003E-3</v>
      </c>
      <c r="E948" s="983">
        <v>4.5999999999999999E-3</v>
      </c>
      <c r="F948" s="983">
        <v>4.7666666666666664E-3</v>
      </c>
      <c r="G948" s="983">
        <v>4.6833333333333328E-3</v>
      </c>
      <c r="H948" s="983">
        <v>4.9627500000000001E-3</v>
      </c>
      <c r="I948" s="983">
        <v>3.6400000000000002E-2</v>
      </c>
      <c r="J948" s="983">
        <v>3.581666666666667E-2</v>
      </c>
      <c r="K948" s="983">
        <v>3.5537249999999999E-2</v>
      </c>
      <c r="L948" s="983">
        <v>3.5737249999999998E-2</v>
      </c>
    </row>
    <row r="949" spans="1:12">
      <c r="A949" s="983">
        <v>38322</v>
      </c>
      <c r="B949" s="983">
        <v>3.4000000000000002E-2</v>
      </c>
      <c r="C949" s="983">
        <v>2.6499999999999999E-2</v>
      </c>
      <c r="D949" s="983">
        <v>4.3E-3</v>
      </c>
      <c r="E949" s="983">
        <v>4.5583333333333335E-3</v>
      </c>
      <c r="F949" s="983">
        <v>4.7416666666666666E-3</v>
      </c>
      <c r="G949" s="983">
        <v>4.6499999999999996E-3</v>
      </c>
      <c r="H949" s="983">
        <v>4.938916666666667E-3</v>
      </c>
      <c r="I949" s="983">
        <v>2.9700000000000004E-2</v>
      </c>
      <c r="J949" s="983">
        <v>2.9350000000000001E-2</v>
      </c>
      <c r="K949" s="983">
        <v>2.9061083333333335E-2</v>
      </c>
      <c r="L949" s="983">
        <v>2.1561083333333331E-2</v>
      </c>
    </row>
    <row r="950" spans="1:12">
      <c r="A950" s="983">
        <v>38353</v>
      </c>
      <c r="B950" s="983">
        <v>-2.4400000000000002E-2</v>
      </c>
      <c r="C950" s="983">
        <v>2.2099999999999998E-2</v>
      </c>
      <c r="D950" s="983">
        <v>4.1000000000000003E-3</v>
      </c>
      <c r="E950" s="983">
        <v>4.4666666666666674E-3</v>
      </c>
      <c r="F950" s="983">
        <v>4.6500000000000005E-3</v>
      </c>
      <c r="G950" s="983">
        <v>4.5583333333333335E-3</v>
      </c>
      <c r="H950" s="983">
        <v>4.827916666666667E-3</v>
      </c>
      <c r="I950" s="983">
        <v>-2.8500000000000001E-2</v>
      </c>
      <c r="J950" s="983">
        <v>-2.8958333333333336E-2</v>
      </c>
      <c r="K950" s="983">
        <v>-2.9227916666666669E-2</v>
      </c>
      <c r="L950" s="983">
        <v>1.727208333333333E-2</v>
      </c>
    </row>
    <row r="951" spans="1:12">
      <c r="A951" s="983">
        <v>38384</v>
      </c>
      <c r="B951" s="983">
        <v>2.1000000000000001E-2</v>
      </c>
      <c r="C951" s="983">
        <v>1.9699999999999999E-2</v>
      </c>
      <c r="D951" s="983">
        <v>3.5000000000000005E-3</v>
      </c>
      <c r="E951" s="983">
        <v>4.3333333333333331E-3</v>
      </c>
      <c r="F951" s="983">
        <v>4.5333333333333337E-3</v>
      </c>
      <c r="G951" s="983">
        <v>4.4333333333333334E-3</v>
      </c>
      <c r="H951" s="983">
        <v>4.6785000000000004E-3</v>
      </c>
      <c r="I951" s="983">
        <v>1.7500000000000002E-2</v>
      </c>
      <c r="J951" s="983">
        <v>1.6566666666666667E-2</v>
      </c>
      <c r="K951" s="983">
        <v>1.6321500000000003E-2</v>
      </c>
      <c r="L951" s="983">
        <v>1.5021499999999998E-2</v>
      </c>
    </row>
    <row r="952" spans="1:12">
      <c r="A952" s="983">
        <v>38412</v>
      </c>
      <c r="B952" s="983">
        <v>-1.77E-2</v>
      </c>
      <c r="C952" s="983">
        <v>1.0800000000000001E-2</v>
      </c>
      <c r="D952" s="983">
        <v>4.1000000000000003E-3</v>
      </c>
      <c r="E952" s="983">
        <v>4.5000000000000005E-3</v>
      </c>
      <c r="F952" s="983">
        <v>4.6999999999999993E-3</v>
      </c>
      <c r="G952" s="983">
        <v>4.5999999999999999E-3</v>
      </c>
      <c r="H952" s="983">
        <v>4.855333333333333E-3</v>
      </c>
      <c r="I952" s="983">
        <v>-2.18E-2</v>
      </c>
      <c r="J952" s="983">
        <v>-2.23E-2</v>
      </c>
      <c r="K952" s="983">
        <v>-2.2555333333333333E-2</v>
      </c>
      <c r="L952" s="983">
        <v>5.9446666666666675E-3</v>
      </c>
    </row>
    <row r="953" spans="1:12">
      <c r="A953" s="983">
        <v>38443</v>
      </c>
      <c r="B953" s="983">
        <v>-1.9E-2</v>
      </c>
      <c r="C953" s="983">
        <v>3.2100000000000004E-2</v>
      </c>
      <c r="D953" s="983">
        <v>3.8999999999999994E-3</v>
      </c>
      <c r="E953" s="983">
        <v>4.4416666666666667E-3</v>
      </c>
      <c r="F953" s="983">
        <v>4.5333333333333337E-3</v>
      </c>
      <c r="G953" s="983">
        <v>4.4875000000000002E-3</v>
      </c>
      <c r="H953" s="983">
        <v>4.7079166666666667E-3</v>
      </c>
      <c r="I953" s="983">
        <v>-2.29E-2</v>
      </c>
      <c r="J953" s="983">
        <v>-2.3487500000000001E-2</v>
      </c>
      <c r="K953" s="983">
        <v>-2.3707916666666665E-2</v>
      </c>
      <c r="L953" s="983">
        <v>2.7392083333333338E-2</v>
      </c>
    </row>
    <row r="954" spans="1:12">
      <c r="A954" s="983">
        <v>38473</v>
      </c>
      <c r="B954" s="983">
        <v>3.1800000000000002E-2</v>
      </c>
      <c r="C954" s="983">
        <v>7.9999999999999993E-4</v>
      </c>
      <c r="D954" s="983">
        <v>4.0000000000000001E-3</v>
      </c>
      <c r="E954" s="983">
        <v>4.2916666666666667E-3</v>
      </c>
      <c r="F954" s="983">
        <v>4.4083333333333335E-3</v>
      </c>
      <c r="G954" s="983">
        <v>4.3500000000000006E-3</v>
      </c>
      <c r="H954" s="983">
        <v>4.6162499999999997E-3</v>
      </c>
      <c r="I954" s="983">
        <v>2.7800000000000002E-2</v>
      </c>
      <c r="J954" s="983">
        <v>2.7450000000000002E-2</v>
      </c>
      <c r="K954" s="983">
        <v>2.7183750000000003E-2</v>
      </c>
      <c r="L954" s="983">
        <v>-3.8162499999999998E-3</v>
      </c>
    </row>
    <row r="955" spans="1:12">
      <c r="A955" s="983">
        <v>38504</v>
      </c>
      <c r="B955" s="983">
        <v>1.4E-3</v>
      </c>
      <c r="C955" s="983">
        <v>5.7599999999999998E-2</v>
      </c>
      <c r="D955" s="983">
        <v>3.5999999999999999E-3</v>
      </c>
      <c r="E955" s="983">
        <v>4.1333333333333335E-3</v>
      </c>
      <c r="F955" s="983">
        <v>4.1833333333333332E-3</v>
      </c>
      <c r="G955" s="983">
        <v>4.1583333333333325E-3</v>
      </c>
      <c r="H955" s="983">
        <v>4.5019166666666671E-3</v>
      </c>
      <c r="I955" s="983">
        <v>-2.1999999999999997E-3</v>
      </c>
      <c r="J955" s="983">
        <v>-2.7583333333333323E-3</v>
      </c>
      <c r="K955" s="983">
        <v>-3.1019166666666669E-3</v>
      </c>
      <c r="L955" s="983">
        <v>5.309808333333333E-2</v>
      </c>
    </row>
    <row r="956" spans="1:12">
      <c r="A956" s="983">
        <v>38534</v>
      </c>
      <c r="B956" s="983">
        <v>3.7199999999999997E-2</v>
      </c>
      <c r="C956" s="983">
        <v>2.3300000000000001E-2</v>
      </c>
      <c r="D956" s="983">
        <v>3.3999999999999998E-3</v>
      </c>
      <c r="E956" s="983">
        <v>4.2166666666666663E-3</v>
      </c>
      <c r="F956" s="983">
        <v>4.2833333333333326E-3</v>
      </c>
      <c r="G956" s="983">
        <v>4.2499999999999994E-3</v>
      </c>
      <c r="H956" s="983">
        <v>4.5829166666666674E-3</v>
      </c>
      <c r="I956" s="983">
        <v>3.3799999999999997E-2</v>
      </c>
      <c r="J956" s="983">
        <v>3.295E-2</v>
      </c>
      <c r="K956" s="983">
        <v>3.2617083333333331E-2</v>
      </c>
      <c r="L956" s="983">
        <v>1.8717083333333336E-2</v>
      </c>
    </row>
    <row r="957" spans="1:12">
      <c r="A957" s="983">
        <v>38565</v>
      </c>
      <c r="B957" s="983">
        <v>-9.1000000000000004E-3</v>
      </c>
      <c r="C957" s="983">
        <v>7.3000000000000001E-3</v>
      </c>
      <c r="D957" s="983">
        <v>4.0000000000000001E-3</v>
      </c>
      <c r="E957" s="983">
        <v>4.2416666666666662E-3</v>
      </c>
      <c r="F957" s="983">
        <v>4.3333333333333331E-3</v>
      </c>
      <c r="G957" s="983">
        <v>4.2874999999999996E-3</v>
      </c>
      <c r="H957" s="983">
        <v>4.5909166666666668E-3</v>
      </c>
      <c r="I957" s="983">
        <v>-1.3100000000000001E-2</v>
      </c>
      <c r="J957" s="983">
        <v>-1.33875E-2</v>
      </c>
      <c r="K957" s="983">
        <v>-1.3690916666666667E-2</v>
      </c>
      <c r="L957" s="983">
        <v>2.7090833333333333E-3</v>
      </c>
    </row>
    <row r="958" spans="1:12">
      <c r="A958" s="983">
        <v>38596</v>
      </c>
      <c r="B958" s="983">
        <v>8.0999999999999996E-3</v>
      </c>
      <c r="C958" s="983">
        <v>4.0199999999999993E-2</v>
      </c>
      <c r="D958" s="983">
        <v>3.5000000000000005E-3</v>
      </c>
      <c r="E958" s="983">
        <v>4.2750000000000002E-3</v>
      </c>
      <c r="F958" s="983">
        <v>4.3666666666666671E-3</v>
      </c>
      <c r="G958" s="983">
        <v>4.3208333333333336E-3</v>
      </c>
      <c r="H958" s="983">
        <v>4.5853333333333328E-3</v>
      </c>
      <c r="I958" s="983">
        <v>4.5999999999999991E-3</v>
      </c>
      <c r="J958" s="983">
        <v>3.7791666666666659E-3</v>
      </c>
      <c r="K958" s="983">
        <v>3.5146666666666668E-3</v>
      </c>
      <c r="L958" s="983">
        <v>3.5614666666666663E-2</v>
      </c>
    </row>
    <row r="959" spans="1:12">
      <c r="A959" s="983">
        <v>38626</v>
      </c>
      <c r="B959" s="983">
        <v>-1.67E-2</v>
      </c>
      <c r="C959" s="983">
        <v>-6.1699999999999998E-2</v>
      </c>
      <c r="D959" s="983">
        <v>3.8999999999999994E-3</v>
      </c>
      <c r="E959" s="983">
        <v>4.45E-3</v>
      </c>
      <c r="F959" s="983">
        <v>4.5500000000000002E-3</v>
      </c>
      <c r="G959" s="983">
        <v>4.5000000000000005E-3</v>
      </c>
      <c r="H959" s="983">
        <v>4.8123333333333334E-3</v>
      </c>
      <c r="I959" s="983">
        <v>-2.06E-2</v>
      </c>
      <c r="J959" s="983">
        <v>-2.12E-2</v>
      </c>
      <c r="K959" s="983">
        <v>-2.1512333333333335E-2</v>
      </c>
      <c r="L959" s="983">
        <v>-6.6512333333333326E-2</v>
      </c>
    </row>
    <row r="960" spans="1:12">
      <c r="A960" s="983">
        <v>38657</v>
      </c>
      <c r="B960" s="983">
        <v>3.78E-2</v>
      </c>
      <c r="C960" s="983">
        <v>-3.8999999999999994E-3</v>
      </c>
      <c r="D960" s="983">
        <v>3.8999999999999994E-3</v>
      </c>
      <c r="E960" s="983">
        <v>4.5208333333333333E-3</v>
      </c>
      <c r="F960" s="983">
        <v>4.6249999999999998E-3</v>
      </c>
      <c r="G960" s="983">
        <v>4.5729166666666661E-3</v>
      </c>
      <c r="H960" s="983">
        <v>4.8986666666666666E-3</v>
      </c>
      <c r="I960" s="983">
        <v>3.39E-2</v>
      </c>
      <c r="J960" s="983">
        <v>3.3227083333333338E-2</v>
      </c>
      <c r="K960" s="983">
        <v>3.2901333333333331E-2</v>
      </c>
      <c r="L960" s="983">
        <v>-8.7986666666666664E-3</v>
      </c>
    </row>
    <row r="961" spans="1:12">
      <c r="A961" s="983">
        <v>38687</v>
      </c>
      <c r="B961" s="983">
        <v>2.9999999999999997E-4</v>
      </c>
      <c r="C961" s="983">
        <v>1.0999999999999999E-2</v>
      </c>
      <c r="D961" s="983">
        <v>3.8999999999999994E-3</v>
      </c>
      <c r="E961" s="983">
        <v>4.4833333333333331E-3</v>
      </c>
      <c r="F961" s="983">
        <v>4.5916666666666666E-3</v>
      </c>
      <c r="G961" s="983">
        <v>4.5374999999999999E-3</v>
      </c>
      <c r="H961" s="983">
        <v>4.8481666666666664E-3</v>
      </c>
      <c r="I961" s="983">
        <v>-3.5999999999999995E-3</v>
      </c>
      <c r="J961" s="983">
        <v>-4.2374999999999999E-3</v>
      </c>
      <c r="K961" s="983">
        <v>-4.5481666666666665E-3</v>
      </c>
      <c r="L961" s="983">
        <v>6.1518333333333329E-3</v>
      </c>
    </row>
    <row r="962" spans="1:12">
      <c r="A962" s="983">
        <v>38718</v>
      </c>
      <c r="B962" s="983">
        <v>2.6499999999999999E-2</v>
      </c>
      <c r="C962" s="983">
        <v>2.6347999999999996E-2</v>
      </c>
      <c r="D962" s="983">
        <v>4.0000000000000001E-3</v>
      </c>
      <c r="E962" s="983">
        <v>4.4083333333333335E-3</v>
      </c>
      <c r="F962" s="983">
        <v>4.5416666666666669E-3</v>
      </c>
      <c r="G962" s="983">
        <v>4.4749999999999998E-3</v>
      </c>
      <c r="H962" s="983">
        <v>4.7916666666666672E-3</v>
      </c>
      <c r="I962" s="983">
        <v>2.2499999999999999E-2</v>
      </c>
      <c r="J962" s="983">
        <v>2.2024999999999999E-2</v>
      </c>
      <c r="K962" s="983">
        <v>2.1708333333333333E-2</v>
      </c>
      <c r="L962" s="983">
        <v>2.155633333333333E-2</v>
      </c>
    </row>
    <row r="963" spans="1:12">
      <c r="A963" s="983">
        <v>38749</v>
      </c>
      <c r="B963" s="983">
        <v>2.7000000000000001E-3</v>
      </c>
      <c r="C963" s="983">
        <v>9.5270000000000007E-3</v>
      </c>
      <c r="D963" s="983">
        <v>3.5999999999999999E-3</v>
      </c>
      <c r="E963" s="983">
        <v>4.4583333333333332E-3</v>
      </c>
      <c r="F963" s="983">
        <v>4.5916666666666666E-3</v>
      </c>
      <c r="G963" s="983">
        <v>4.5250000000000004E-3</v>
      </c>
      <c r="H963" s="983">
        <v>4.8500000000000001E-3</v>
      </c>
      <c r="I963" s="983">
        <v>-8.9999999999999976E-4</v>
      </c>
      <c r="J963" s="983">
        <v>-1.8250000000000002E-3</v>
      </c>
      <c r="K963" s="983">
        <v>-2.15E-3</v>
      </c>
      <c r="L963" s="983">
        <v>4.6770000000000006E-3</v>
      </c>
    </row>
    <row r="964" spans="1:12">
      <c r="A964" s="983">
        <v>38777</v>
      </c>
      <c r="B964" s="983">
        <v>1.24E-2</v>
      </c>
      <c r="C964" s="983">
        <v>-4.6344999999999997E-2</v>
      </c>
      <c r="D964" s="983">
        <v>3.8999999999999994E-3</v>
      </c>
      <c r="E964" s="983">
        <v>4.5999999999999999E-3</v>
      </c>
      <c r="F964" s="983">
        <v>4.725E-3</v>
      </c>
      <c r="G964" s="983">
        <v>4.6624999999999991E-3</v>
      </c>
      <c r="H964" s="983">
        <v>4.9833333333333335E-3</v>
      </c>
      <c r="I964" s="983">
        <v>8.5000000000000006E-3</v>
      </c>
      <c r="J964" s="983">
        <v>7.7375000000000005E-3</v>
      </c>
      <c r="K964" s="983">
        <v>7.416666666666666E-3</v>
      </c>
      <c r="L964" s="983">
        <v>-5.132833333333333E-2</v>
      </c>
    </row>
    <row r="965" spans="1:12">
      <c r="A965" s="983">
        <v>38808</v>
      </c>
      <c r="B965" s="983">
        <v>1.34E-2</v>
      </c>
      <c r="C965" s="983">
        <v>1.7167000000000002E-2</v>
      </c>
      <c r="D965" s="983">
        <v>3.8999999999999994E-3</v>
      </c>
      <c r="E965" s="983">
        <v>4.8666666666666667E-3</v>
      </c>
      <c r="F965" s="983">
        <v>5.0000000000000001E-3</v>
      </c>
      <c r="G965" s="983">
        <v>4.933333333333333E-3</v>
      </c>
      <c r="H965" s="983">
        <v>5.241666666666667E-3</v>
      </c>
      <c r="I965" s="983">
        <v>9.5000000000000015E-3</v>
      </c>
      <c r="J965" s="983">
        <v>8.4666666666666675E-3</v>
      </c>
      <c r="K965" s="983">
        <v>8.1583333333333334E-3</v>
      </c>
      <c r="L965" s="983">
        <v>1.1925333333333335E-2</v>
      </c>
    </row>
    <row r="966" spans="1:12">
      <c r="A966" s="983">
        <v>38838</v>
      </c>
      <c r="B966" s="983">
        <v>-2.8799999999999999E-2</v>
      </c>
      <c r="C966" s="983">
        <v>1.4280999999999999E-2</v>
      </c>
      <c r="D966" s="983">
        <v>4.7999999999999996E-3</v>
      </c>
      <c r="E966" s="983">
        <v>4.9583333333333337E-3</v>
      </c>
      <c r="F966" s="983">
        <v>5.1083333333333336E-3</v>
      </c>
      <c r="G966" s="983">
        <v>5.0333333333333341E-3</v>
      </c>
      <c r="H966" s="983">
        <v>5.3500000000000006E-3</v>
      </c>
      <c r="I966" s="983">
        <v>-3.3599999999999998E-2</v>
      </c>
      <c r="J966" s="983">
        <v>-3.3833333333333333E-2</v>
      </c>
      <c r="K966" s="983">
        <v>-3.415E-2</v>
      </c>
      <c r="L966" s="983">
        <v>8.930999999999998E-3</v>
      </c>
    </row>
    <row r="967" spans="1:12">
      <c r="A967" s="983">
        <v>38869</v>
      </c>
      <c r="B967" s="983">
        <v>1.4E-3</v>
      </c>
      <c r="C967" s="983">
        <v>2.4157999999999999E-2</v>
      </c>
      <c r="D967" s="983">
        <v>4.4000000000000003E-3</v>
      </c>
      <c r="E967" s="983">
        <v>4.9083333333333331E-3</v>
      </c>
      <c r="F967" s="983">
        <v>5.0916666666666662E-3</v>
      </c>
      <c r="G967" s="983">
        <v>5.0000000000000001E-3</v>
      </c>
      <c r="H967" s="983">
        <v>5.3333333333333332E-3</v>
      </c>
      <c r="I967" s="983">
        <v>-3.0000000000000001E-3</v>
      </c>
      <c r="J967" s="983">
        <v>-3.5999999999999999E-3</v>
      </c>
      <c r="K967" s="983">
        <v>-3.933333333333333E-3</v>
      </c>
      <c r="L967" s="983">
        <v>1.8824666666666667E-2</v>
      </c>
    </row>
    <row r="968" spans="1:12">
      <c r="A968" s="983">
        <v>38899</v>
      </c>
      <c r="B968" s="983">
        <v>6.1999999999999998E-3</v>
      </c>
      <c r="C968" s="983">
        <v>5.1109000000000002E-2</v>
      </c>
      <c r="D968" s="983">
        <v>4.4999999999999997E-3</v>
      </c>
      <c r="E968" s="983">
        <v>4.875E-3</v>
      </c>
      <c r="F968" s="983">
        <v>5.0666666666666672E-3</v>
      </c>
      <c r="G968" s="983">
        <v>4.9708333333333332E-3</v>
      </c>
      <c r="H968" s="983">
        <v>5.3083333333333342E-3</v>
      </c>
      <c r="I968" s="983">
        <v>1.7000000000000001E-3</v>
      </c>
      <c r="J968" s="983">
        <v>1.2291666666666666E-3</v>
      </c>
      <c r="K968" s="983">
        <v>8.9166666666666561E-4</v>
      </c>
      <c r="L968" s="983">
        <v>4.580066666666667E-2</v>
      </c>
    </row>
    <row r="969" spans="1:12">
      <c r="A969" s="983">
        <v>38930</v>
      </c>
      <c r="B969" s="983">
        <v>2.3800000000000002E-2</v>
      </c>
      <c r="C969" s="983">
        <v>2.7122E-2</v>
      </c>
      <c r="D969" s="983">
        <v>4.3E-3</v>
      </c>
      <c r="E969" s="983">
        <v>4.7333333333333333E-3</v>
      </c>
      <c r="F969" s="983">
        <v>4.9249999999999997E-3</v>
      </c>
      <c r="G969" s="983">
        <v>4.8291666666666665E-3</v>
      </c>
      <c r="H969" s="983">
        <v>5.1666666666666675E-3</v>
      </c>
      <c r="I969" s="983">
        <v>1.9500000000000003E-2</v>
      </c>
      <c r="J969" s="983">
        <v>1.8970833333333336E-2</v>
      </c>
      <c r="K969" s="983">
        <v>1.8633333333333335E-2</v>
      </c>
      <c r="L969" s="983">
        <v>2.1955333333333334E-2</v>
      </c>
    </row>
    <row r="970" spans="1:12">
      <c r="A970" s="983">
        <v>38961</v>
      </c>
      <c r="B970" s="983">
        <v>2.58E-2</v>
      </c>
      <c r="C970" s="983">
        <v>-1.7362000000000002E-2</v>
      </c>
      <c r="D970" s="983">
        <v>3.8999999999999994E-3</v>
      </c>
      <c r="E970" s="983">
        <v>4.5916666666666666E-3</v>
      </c>
      <c r="F970" s="983">
        <v>4.7916666666666672E-3</v>
      </c>
      <c r="G970" s="983">
        <v>4.6916666666666669E-3</v>
      </c>
      <c r="H970" s="983">
        <v>5.0000000000000001E-3</v>
      </c>
      <c r="I970" s="983">
        <v>2.1899999999999999E-2</v>
      </c>
      <c r="J970" s="983">
        <v>2.1108333333333333E-2</v>
      </c>
      <c r="K970" s="983">
        <v>2.0799999999999999E-2</v>
      </c>
      <c r="L970" s="983">
        <v>-2.2362000000000003E-2</v>
      </c>
    </row>
    <row r="971" spans="1:12">
      <c r="A971" s="983">
        <v>38991</v>
      </c>
      <c r="B971" s="983">
        <v>3.2599999999999997E-2</v>
      </c>
      <c r="C971" s="983">
        <v>5.6025999999999999E-2</v>
      </c>
      <c r="D971" s="983">
        <v>4.1999999999999997E-3</v>
      </c>
      <c r="E971" s="983">
        <v>4.5916666666666666E-3</v>
      </c>
      <c r="F971" s="983">
        <v>4.783333333333333E-3</v>
      </c>
      <c r="G971" s="983">
        <v>4.6874999999999998E-3</v>
      </c>
      <c r="H971" s="983">
        <v>4.9833333333333335E-3</v>
      </c>
      <c r="I971" s="983">
        <v>2.8399999999999998E-2</v>
      </c>
      <c r="J971" s="983">
        <v>2.7912499999999996E-2</v>
      </c>
      <c r="K971" s="983">
        <v>2.7616666666666664E-2</v>
      </c>
      <c r="L971" s="983">
        <v>5.1042666666666667E-2</v>
      </c>
    </row>
    <row r="972" spans="1:12">
      <c r="A972" s="983">
        <v>39022</v>
      </c>
      <c r="B972" s="983">
        <v>1.9E-2</v>
      </c>
      <c r="C972" s="983">
        <v>2.1404999999999997E-2</v>
      </c>
      <c r="D972" s="983">
        <v>3.8999999999999994E-3</v>
      </c>
      <c r="E972" s="983">
        <v>4.4416666666666667E-3</v>
      </c>
      <c r="F972" s="983">
        <v>4.6416666666666663E-3</v>
      </c>
      <c r="G972" s="983">
        <v>4.5416666666666669E-3</v>
      </c>
      <c r="H972" s="983">
        <v>4.8333333333333336E-3</v>
      </c>
      <c r="I972" s="983">
        <v>1.5100000000000001E-2</v>
      </c>
      <c r="J972" s="983">
        <v>1.4458333333333333E-2</v>
      </c>
      <c r="K972" s="983">
        <v>1.4166666666666666E-2</v>
      </c>
      <c r="L972" s="983">
        <v>1.6571666666666665E-2</v>
      </c>
    </row>
    <row r="973" spans="1:12">
      <c r="A973" s="983">
        <v>39052</v>
      </c>
      <c r="B973" s="983">
        <v>1.4E-2</v>
      </c>
      <c r="C973" s="983">
        <v>1.1817000000000001E-2</v>
      </c>
      <c r="D973" s="983">
        <v>3.5999999999999999E-3</v>
      </c>
      <c r="E973" s="983">
        <v>4.4083333333333335E-3</v>
      </c>
      <c r="F973" s="983">
        <v>4.6500000000000005E-3</v>
      </c>
      <c r="G973" s="983">
        <v>4.5291666666666666E-3</v>
      </c>
      <c r="H973" s="983">
        <v>4.8416666666666669E-3</v>
      </c>
      <c r="I973" s="983">
        <v>1.04E-2</v>
      </c>
      <c r="J973" s="983">
        <v>9.4708333333333346E-3</v>
      </c>
      <c r="K973" s="983">
        <v>9.1583333333333343E-3</v>
      </c>
      <c r="L973" s="983">
        <v>6.9753333333333343E-3</v>
      </c>
    </row>
    <row r="974" spans="1:12">
      <c r="A974" s="983">
        <v>39083</v>
      </c>
      <c r="B974" s="983">
        <v>1.5100000000000001E-2</v>
      </c>
      <c r="C974" s="983">
        <v>-1.134E-3</v>
      </c>
      <c r="D974" s="983">
        <v>4.3E-3</v>
      </c>
      <c r="E974" s="983">
        <v>4.5000000000000005E-3</v>
      </c>
      <c r="F974" s="983">
        <v>4.7916666666666672E-3</v>
      </c>
      <c r="G974" s="983">
        <v>4.6458333333333334E-3</v>
      </c>
      <c r="H974" s="983">
        <v>4.9666666666666661E-3</v>
      </c>
      <c r="I974" s="983">
        <v>1.0800000000000001E-2</v>
      </c>
      <c r="J974" s="983">
        <v>1.0454166666666667E-2</v>
      </c>
      <c r="K974" s="983">
        <v>1.0133333333333334E-2</v>
      </c>
      <c r="L974" s="983">
        <v>-6.1006666666666657E-3</v>
      </c>
    </row>
    <row r="975" spans="1:12">
      <c r="A975" s="983">
        <v>39114</v>
      </c>
      <c r="B975" s="983">
        <v>-1.9599999999999999E-2</v>
      </c>
      <c r="C975" s="983">
        <v>5.0340999999999997E-2</v>
      </c>
      <c r="D975" s="983">
        <v>3.8E-3</v>
      </c>
      <c r="E975" s="983">
        <v>4.4916666666666664E-3</v>
      </c>
      <c r="F975" s="983">
        <v>4.7666666666666664E-3</v>
      </c>
      <c r="G975" s="983">
        <v>4.6291666666666668E-3</v>
      </c>
      <c r="H975" s="983">
        <v>4.9166666666666673E-3</v>
      </c>
      <c r="I975" s="983">
        <v>-2.3400000000000001E-2</v>
      </c>
      <c r="J975" s="983">
        <v>-2.4229166666666666E-2</v>
      </c>
      <c r="K975" s="983">
        <v>-2.4516666666666666E-2</v>
      </c>
      <c r="L975" s="983">
        <v>4.542433333333333E-2</v>
      </c>
    </row>
    <row r="976" spans="1:12">
      <c r="A976" s="983">
        <v>39142</v>
      </c>
      <c r="B976" s="983">
        <v>1.12E-2</v>
      </c>
      <c r="C976" s="983">
        <v>4.1373E-2</v>
      </c>
      <c r="D976" s="983">
        <v>3.8999999999999994E-3</v>
      </c>
      <c r="E976" s="983">
        <v>4.4166666666666668E-3</v>
      </c>
      <c r="F976" s="983">
        <v>4.7166666666666668E-3</v>
      </c>
      <c r="G976" s="983">
        <v>4.5666666666666668E-3</v>
      </c>
      <c r="H976" s="983">
        <v>4.8750000000000009E-3</v>
      </c>
      <c r="I976" s="983">
        <v>7.3000000000000009E-3</v>
      </c>
      <c r="J976" s="983">
        <v>6.6333333333333331E-3</v>
      </c>
      <c r="K976" s="983">
        <v>6.324999999999999E-3</v>
      </c>
      <c r="L976" s="983">
        <v>3.6498000000000003E-2</v>
      </c>
    </row>
    <row r="977" spans="1:12">
      <c r="A977" s="983">
        <v>39173</v>
      </c>
      <c r="B977" s="983">
        <v>4.4299999999999999E-2</v>
      </c>
      <c r="C977" s="983">
        <v>4.3758999999999999E-2</v>
      </c>
      <c r="D977" s="983">
        <v>4.1999999999999997E-3</v>
      </c>
      <c r="E977" s="983">
        <v>4.5583333333333335E-3</v>
      </c>
      <c r="F977" s="983">
        <v>4.8583333333333334E-3</v>
      </c>
      <c r="G977" s="983">
        <v>4.7083333333333335E-3</v>
      </c>
      <c r="H977" s="983">
        <v>4.9750000000000003E-3</v>
      </c>
      <c r="I977" s="983">
        <v>4.0099999999999997E-2</v>
      </c>
      <c r="J977" s="983">
        <v>3.9591666666666664E-2</v>
      </c>
      <c r="K977" s="983">
        <v>3.9324999999999999E-2</v>
      </c>
      <c r="L977" s="983">
        <v>3.8783999999999999E-2</v>
      </c>
    </row>
    <row r="978" spans="1:12">
      <c r="A978" s="983">
        <v>39203</v>
      </c>
      <c r="B978" s="983">
        <v>3.49E-2</v>
      </c>
      <c r="C978" s="983">
        <v>5.1450000000000003E-3</v>
      </c>
      <c r="D978" s="983">
        <v>4.1000000000000003E-3</v>
      </c>
      <c r="E978" s="983">
        <v>4.5583333333333335E-3</v>
      </c>
      <c r="F978" s="983">
        <v>4.875E-3</v>
      </c>
      <c r="G978" s="983">
        <v>4.7166666666666668E-3</v>
      </c>
      <c r="H978" s="983">
        <v>4.9916666666666668E-3</v>
      </c>
      <c r="I978" s="983">
        <v>3.0800000000000001E-2</v>
      </c>
      <c r="J978" s="983">
        <v>3.0183333333333333E-2</v>
      </c>
      <c r="K978" s="983">
        <v>2.9908333333333335E-2</v>
      </c>
      <c r="L978" s="983">
        <v>1.5333333333333345E-4</v>
      </c>
    </row>
    <row r="979" spans="1:12">
      <c r="A979" s="983">
        <v>39234</v>
      </c>
      <c r="B979" s="983">
        <v>-1.66E-2</v>
      </c>
      <c r="C979" s="983">
        <v>-5.0620999999999999E-2</v>
      </c>
      <c r="D979" s="983">
        <v>4.0000000000000001E-3</v>
      </c>
      <c r="E979" s="983">
        <v>4.8249999999999996E-4</v>
      </c>
      <c r="F979" s="983">
        <v>5.1416666666666668E-3</v>
      </c>
      <c r="G979" s="983">
        <v>2.8120833333333335E-3</v>
      </c>
      <c r="H979" s="983">
        <v>5.2500000000000003E-3</v>
      </c>
      <c r="I979" s="983">
        <v>-2.06E-2</v>
      </c>
      <c r="J979" s="983">
        <v>-1.9412083333333333E-2</v>
      </c>
      <c r="K979" s="983">
        <v>-2.1850000000000001E-2</v>
      </c>
      <c r="L979" s="983">
        <v>-5.5870999999999997E-2</v>
      </c>
    </row>
    <row r="980" spans="1:12">
      <c r="A980" s="983">
        <v>39264</v>
      </c>
      <c r="B980" s="983">
        <v>-3.1E-2</v>
      </c>
      <c r="C980" s="983">
        <v>-3.5666000000000003E-2</v>
      </c>
      <c r="D980" s="983">
        <v>4.5999999999999999E-3</v>
      </c>
      <c r="E980" s="983">
        <v>4.7750000000000006E-3</v>
      </c>
      <c r="F980" s="983">
        <v>5.0749999999999997E-3</v>
      </c>
      <c r="G980" s="983">
        <v>4.9249999999999997E-3</v>
      </c>
      <c r="H980" s="983">
        <v>5.2083333333333339E-3</v>
      </c>
      <c r="I980" s="983">
        <v>-3.56E-2</v>
      </c>
      <c r="J980" s="983">
        <v>-3.5924999999999999E-2</v>
      </c>
      <c r="K980" s="983">
        <v>-3.6208333333333335E-2</v>
      </c>
      <c r="L980" s="983">
        <v>-4.0874333333333339E-2</v>
      </c>
    </row>
    <row r="981" spans="1:12">
      <c r="A981" s="983">
        <v>39295</v>
      </c>
      <c r="B981" s="983">
        <v>1.4999999999999999E-2</v>
      </c>
      <c r="C981" s="983">
        <v>2.0955999999999995E-2</v>
      </c>
      <c r="D981" s="983">
        <v>4.1999999999999997E-3</v>
      </c>
      <c r="E981" s="983">
        <v>4.8249999999999994E-3</v>
      </c>
      <c r="F981" s="983">
        <v>5.0499999999999998E-3</v>
      </c>
      <c r="G981" s="983">
        <v>4.9375E-3</v>
      </c>
      <c r="H981" s="983">
        <v>5.1999999999999998E-3</v>
      </c>
      <c r="I981" s="983">
        <v>1.0800000000000001E-2</v>
      </c>
      <c r="J981" s="983">
        <v>1.0062499999999999E-2</v>
      </c>
      <c r="K981" s="983">
        <v>9.7999999999999997E-3</v>
      </c>
      <c r="L981" s="983">
        <v>1.5755999999999996E-2</v>
      </c>
    </row>
    <row r="982" spans="1:12">
      <c r="A982" s="983">
        <v>39326</v>
      </c>
      <c r="B982" s="983">
        <v>3.7400000000000003E-2</v>
      </c>
      <c r="C982" s="983">
        <v>3.5427E-2</v>
      </c>
      <c r="D982" s="983">
        <v>3.7000000000000002E-3</v>
      </c>
      <c r="E982" s="983">
        <v>4.783333333333333E-3</v>
      </c>
      <c r="F982" s="983">
        <v>5.0166666666666658E-3</v>
      </c>
      <c r="G982" s="983">
        <v>4.8999999999999998E-3</v>
      </c>
      <c r="H982" s="983">
        <v>5.1500000000000001E-3</v>
      </c>
      <c r="I982" s="983">
        <v>3.3700000000000001E-2</v>
      </c>
      <c r="J982" s="983">
        <v>3.2500000000000001E-2</v>
      </c>
      <c r="K982" s="983">
        <v>3.2250000000000001E-2</v>
      </c>
      <c r="L982" s="983">
        <v>3.0276999999999998E-2</v>
      </c>
    </row>
    <row r="983" spans="1:12">
      <c r="A983" s="983">
        <v>39356</v>
      </c>
      <c r="B983" s="983">
        <v>1.5900000000000001E-2</v>
      </c>
      <c r="C983" s="983">
        <v>6.8641000000000008E-2</v>
      </c>
      <c r="D983" s="983">
        <v>4.3E-3</v>
      </c>
      <c r="E983" s="983">
        <v>4.7166666666666668E-3</v>
      </c>
      <c r="F983" s="983">
        <v>4.9500000000000004E-3</v>
      </c>
      <c r="G983" s="983">
        <v>4.8333333333333336E-3</v>
      </c>
      <c r="H983" s="983">
        <v>5.0916666666666662E-3</v>
      </c>
      <c r="I983" s="983">
        <v>1.1600000000000001E-2</v>
      </c>
      <c r="J983" s="983">
        <v>1.1066666666666667E-2</v>
      </c>
      <c r="K983" s="983">
        <v>1.0808333333333335E-2</v>
      </c>
      <c r="L983" s="983">
        <v>6.3549333333333347E-2</v>
      </c>
    </row>
    <row r="984" spans="1:12">
      <c r="A984" s="983">
        <v>39387</v>
      </c>
      <c r="B984" s="983">
        <v>-4.1799999999999997E-2</v>
      </c>
      <c r="C984" s="983">
        <v>3.405E-3</v>
      </c>
      <c r="D984" s="983">
        <v>3.8999999999999994E-3</v>
      </c>
      <c r="E984" s="983">
        <v>4.5333333333333337E-3</v>
      </c>
      <c r="F984" s="983">
        <v>4.816666666666667E-3</v>
      </c>
      <c r="G984" s="983">
        <v>4.6750000000000003E-3</v>
      </c>
      <c r="H984" s="983">
        <v>4.9750000000000003E-3</v>
      </c>
      <c r="I984" s="983">
        <v>-4.5699999999999998E-2</v>
      </c>
      <c r="J984" s="983">
        <v>-4.6474999999999995E-2</v>
      </c>
      <c r="K984" s="983">
        <v>-4.6774999999999997E-2</v>
      </c>
      <c r="L984" s="983">
        <v>-1.5700000000000002E-3</v>
      </c>
    </row>
    <row r="985" spans="1:12">
      <c r="A985" s="983">
        <v>39417</v>
      </c>
      <c r="B985" s="983">
        <v>-6.8999999999999999E-3</v>
      </c>
      <c r="C985" s="983">
        <v>2.7539999999999999E-3</v>
      </c>
      <c r="D985" s="983">
        <v>3.7000000000000002E-3</v>
      </c>
      <c r="E985" s="983">
        <v>4.5750000000000001E-3</v>
      </c>
      <c r="F985" s="983">
        <v>4.9249999999999997E-3</v>
      </c>
      <c r="G985" s="983">
        <v>4.7499999999999999E-3</v>
      </c>
      <c r="H985" s="983">
        <v>5.1333333333333335E-3</v>
      </c>
      <c r="I985" s="983">
        <v>-1.06E-2</v>
      </c>
      <c r="J985" s="983">
        <v>-1.1650000000000001E-2</v>
      </c>
      <c r="K985" s="983">
        <v>-1.2033333333333333E-2</v>
      </c>
      <c r="L985" s="983">
        <v>-2.3793333333333336E-3</v>
      </c>
    </row>
    <row r="986" spans="1:12">
      <c r="A986" s="983">
        <v>39448</v>
      </c>
      <c r="B986" s="983">
        <v>-0.06</v>
      </c>
      <c r="C986" s="983">
        <v>-6.8132999999999999E-2</v>
      </c>
      <c r="D986" s="983">
        <v>4.0000000000000001E-3</v>
      </c>
      <c r="E986" s="983">
        <v>4.4416666666666667E-3</v>
      </c>
      <c r="F986" s="983">
        <v>4.816666666666667E-3</v>
      </c>
      <c r="G986" s="983">
        <v>4.6291666666666668E-3</v>
      </c>
      <c r="H986" s="983">
        <v>5.0166666666666658E-3</v>
      </c>
      <c r="I986" s="983">
        <v>-6.4000000000000001E-2</v>
      </c>
      <c r="J986" s="983">
        <v>-6.4629166666666668E-2</v>
      </c>
      <c r="K986" s="983">
        <v>-6.5016666666666667E-2</v>
      </c>
      <c r="L986" s="983">
        <v>-7.3149666666666668E-2</v>
      </c>
    </row>
    <row r="987" spans="1:12">
      <c r="A987" s="983">
        <v>39479</v>
      </c>
      <c r="B987" s="983">
        <v>-3.2500000000000001E-2</v>
      </c>
      <c r="C987" s="983">
        <v>-4.9955999999999993E-2</v>
      </c>
      <c r="D987" s="983">
        <v>3.3999999999999998E-3</v>
      </c>
      <c r="E987" s="983">
        <v>4.6083333333333341E-3</v>
      </c>
      <c r="F987" s="983">
        <v>4.9750000000000003E-3</v>
      </c>
      <c r="G987" s="983">
        <v>4.7916666666666672E-3</v>
      </c>
      <c r="H987" s="983">
        <v>5.1749999999999999E-3</v>
      </c>
      <c r="I987" s="983">
        <v>-3.5900000000000001E-2</v>
      </c>
      <c r="J987" s="983">
        <v>-3.7291666666666667E-2</v>
      </c>
      <c r="K987" s="983">
        <v>-3.7675E-2</v>
      </c>
      <c r="L987" s="983">
        <v>-5.5130999999999993E-2</v>
      </c>
    </row>
    <row r="988" spans="1:12">
      <c r="A988" s="983">
        <v>39508</v>
      </c>
      <c r="B988" s="983">
        <v>-4.3E-3</v>
      </c>
      <c r="C988" s="983">
        <v>1.7056000000000002E-2</v>
      </c>
      <c r="D988" s="983">
        <v>3.7000000000000002E-3</v>
      </c>
      <c r="E988" s="983">
        <v>4.5916666666666666E-3</v>
      </c>
      <c r="F988" s="983">
        <v>4.9166666666666673E-3</v>
      </c>
      <c r="G988" s="983">
        <v>4.754166666666667E-3</v>
      </c>
      <c r="H988" s="983">
        <v>5.1749999999999999E-3</v>
      </c>
      <c r="I988" s="983">
        <v>-8.0000000000000002E-3</v>
      </c>
      <c r="J988" s="983">
        <v>-9.054166666666667E-3</v>
      </c>
      <c r="K988" s="983">
        <v>-9.4750000000000008E-3</v>
      </c>
      <c r="L988" s="983">
        <v>1.1881000000000003E-2</v>
      </c>
    </row>
    <row r="989" spans="1:12">
      <c r="A989" s="983">
        <v>39539</v>
      </c>
      <c r="B989" s="983">
        <v>4.87E-2</v>
      </c>
      <c r="C989" s="983">
        <v>5.5163000000000004E-2</v>
      </c>
      <c r="D989" s="983">
        <v>3.5000000000000005E-3</v>
      </c>
      <c r="E989" s="983">
        <v>4.6249999999999998E-3</v>
      </c>
      <c r="F989" s="983">
        <v>4.9416666666666663E-3</v>
      </c>
      <c r="G989" s="983">
        <v>4.783333333333333E-3</v>
      </c>
      <c r="H989" s="983">
        <v>5.241666666666667E-3</v>
      </c>
      <c r="I989" s="983">
        <v>4.5199999999999997E-2</v>
      </c>
      <c r="J989" s="983">
        <v>4.3916666666666666E-2</v>
      </c>
      <c r="K989" s="983">
        <v>4.3458333333333335E-2</v>
      </c>
      <c r="L989" s="983">
        <v>4.9921333333333338E-2</v>
      </c>
    </row>
    <row r="990" spans="1:12">
      <c r="A990" s="983">
        <v>39569</v>
      </c>
      <c r="B990" s="983">
        <v>1.2999999999999999E-2</v>
      </c>
      <c r="C990" s="983">
        <v>3.1987000000000002E-2</v>
      </c>
      <c r="D990" s="983">
        <v>3.7000000000000002E-3</v>
      </c>
      <c r="E990" s="983">
        <v>4.6416666666666663E-3</v>
      </c>
      <c r="F990" s="983">
        <v>5.0000000000000001E-3</v>
      </c>
      <c r="G990" s="983">
        <v>4.8208333333333332E-3</v>
      </c>
      <c r="H990" s="983">
        <v>5.2249999999999996E-3</v>
      </c>
      <c r="I990" s="983">
        <v>9.2999999999999992E-3</v>
      </c>
      <c r="J990" s="983">
        <v>8.1791666666666662E-3</v>
      </c>
      <c r="K990" s="983">
        <v>7.7749999999999998E-3</v>
      </c>
      <c r="L990" s="983">
        <v>2.6762000000000001E-2</v>
      </c>
    </row>
    <row r="991" spans="1:12">
      <c r="A991" s="983">
        <v>39600</v>
      </c>
      <c r="B991" s="983">
        <v>-8.43E-2</v>
      </c>
      <c r="C991" s="983">
        <v>-8.6680000000000004E-3</v>
      </c>
      <c r="D991" s="983">
        <v>4.0000000000000001E-3</v>
      </c>
      <c r="E991" s="983">
        <v>4.7333333333333333E-3</v>
      </c>
      <c r="F991" s="983">
        <v>5.0916666666666662E-3</v>
      </c>
      <c r="G991" s="983">
        <v>4.9124999999999993E-3</v>
      </c>
      <c r="H991" s="983">
        <v>5.3166666666666666E-3</v>
      </c>
      <c r="I991" s="983">
        <v>-8.8300000000000003E-2</v>
      </c>
      <c r="J991" s="983">
        <v>-8.92125E-2</v>
      </c>
      <c r="K991" s="983">
        <v>-8.9616666666666664E-2</v>
      </c>
      <c r="L991" s="983">
        <v>-1.3984666666666666E-2</v>
      </c>
    </row>
    <row r="992" spans="1:12">
      <c r="A992" s="983">
        <v>39630</v>
      </c>
      <c r="B992" s="983">
        <v>-8.3999999999999995E-3</v>
      </c>
      <c r="C992" s="983">
        <v>-6.1108000000000003E-2</v>
      </c>
      <c r="D992" s="983">
        <v>3.8999999999999994E-3</v>
      </c>
      <c r="E992" s="983">
        <v>4.725E-3</v>
      </c>
      <c r="F992" s="983">
        <v>5.0416666666666665E-3</v>
      </c>
      <c r="G992" s="983">
        <v>4.8833333333333333E-3</v>
      </c>
      <c r="H992" s="983">
        <v>5.3333333333333332E-3</v>
      </c>
      <c r="I992" s="983">
        <v>-1.2299999999999998E-2</v>
      </c>
      <c r="J992" s="983">
        <v>-1.3283333333333333E-2</v>
      </c>
      <c r="K992" s="983">
        <v>-1.3733333333333334E-2</v>
      </c>
      <c r="L992" s="983">
        <v>-6.6441333333333338E-2</v>
      </c>
    </row>
    <row r="993" spans="1:12">
      <c r="A993" s="983">
        <v>39661</v>
      </c>
      <c r="B993" s="983">
        <v>1.4500000000000001E-2</v>
      </c>
      <c r="C993" s="983">
        <v>-1.6601999999999999E-2</v>
      </c>
      <c r="D993" s="983">
        <v>3.5999999999999999E-3</v>
      </c>
      <c r="E993" s="983">
        <v>4.6999999999999993E-3</v>
      </c>
      <c r="F993" s="983">
        <v>5.0083333333333334E-3</v>
      </c>
      <c r="G993" s="983">
        <v>4.8541666666666664E-3</v>
      </c>
      <c r="H993" s="983">
        <v>5.3083333333333342E-3</v>
      </c>
      <c r="I993" s="983">
        <v>1.09E-2</v>
      </c>
      <c r="J993" s="983">
        <v>9.6458333333333344E-3</v>
      </c>
      <c r="K993" s="983">
        <v>9.1916666666666674E-3</v>
      </c>
      <c r="L993" s="983">
        <v>-2.1910333333333334E-2</v>
      </c>
    </row>
    <row r="994" spans="1:12">
      <c r="A994" s="983">
        <v>39692</v>
      </c>
      <c r="B994" s="983">
        <v>-8.9099999999999999E-2</v>
      </c>
      <c r="C994" s="983">
        <v>-0.11482300000000001</v>
      </c>
      <c r="D994" s="983">
        <v>3.8999999999999994E-3</v>
      </c>
      <c r="E994" s="983">
        <v>4.7083333333333335E-3</v>
      </c>
      <c r="F994" s="983">
        <v>5.0250000000000008E-3</v>
      </c>
      <c r="G994" s="983">
        <v>4.8666666666666667E-3</v>
      </c>
      <c r="H994" s="983">
        <v>5.4083333333333336E-3</v>
      </c>
      <c r="I994" s="983">
        <v>-9.2999999999999999E-2</v>
      </c>
      <c r="J994" s="983">
        <v>-9.3966666666666671E-2</v>
      </c>
      <c r="K994" s="983">
        <v>-9.4508333333333333E-2</v>
      </c>
      <c r="L994" s="983">
        <v>-0.12023133333333334</v>
      </c>
    </row>
    <row r="995" spans="1:12">
      <c r="A995" s="983">
        <v>39722</v>
      </c>
      <c r="B995" s="983">
        <v>-0.16789999999999999</v>
      </c>
      <c r="C995" s="983">
        <v>-0.116128</v>
      </c>
      <c r="D995" s="983">
        <v>3.7000000000000002E-3</v>
      </c>
      <c r="E995" s="983">
        <v>5.2333333333333329E-3</v>
      </c>
      <c r="F995" s="983">
        <v>5.6583333333333329E-3</v>
      </c>
      <c r="G995" s="983">
        <v>5.4458333333333329E-3</v>
      </c>
      <c r="H995" s="983">
        <v>6.3E-3</v>
      </c>
      <c r="I995" s="983">
        <v>-0.1716</v>
      </c>
      <c r="J995" s="983">
        <v>-0.17334583333333334</v>
      </c>
      <c r="K995" s="983">
        <v>-0.17419999999999999</v>
      </c>
      <c r="L995" s="983">
        <v>-0.122428</v>
      </c>
    </row>
    <row r="996" spans="1:12">
      <c r="A996" s="983">
        <v>39753</v>
      </c>
      <c r="B996" s="983">
        <v>-7.1800000000000003E-2</v>
      </c>
      <c r="C996" s="983">
        <v>2.7894000000000002E-2</v>
      </c>
      <c r="D996" s="983">
        <v>3.5999999999999999E-3</v>
      </c>
      <c r="E996" s="983">
        <v>5.1000000000000004E-3</v>
      </c>
      <c r="F996" s="983">
        <v>5.6083333333333341E-3</v>
      </c>
      <c r="G996" s="983">
        <v>5.3541666666666668E-3</v>
      </c>
      <c r="H996" s="983">
        <v>6.3333333333333332E-3</v>
      </c>
      <c r="I996" s="983">
        <v>-7.5400000000000009E-2</v>
      </c>
      <c r="J996" s="983">
        <v>-7.7154166666666663E-2</v>
      </c>
      <c r="K996" s="983">
        <v>-7.8133333333333332E-2</v>
      </c>
      <c r="L996" s="983">
        <v>2.1560666666666669E-2</v>
      </c>
    </row>
    <row r="997" spans="1:12">
      <c r="A997" s="983">
        <v>39783</v>
      </c>
      <c r="B997" s="983">
        <v>1.06E-2</v>
      </c>
      <c r="C997" s="983">
        <v>-1.6796999999999999E-2</v>
      </c>
      <c r="D997" s="983">
        <v>3.3E-3</v>
      </c>
      <c r="E997" s="983">
        <v>4.2166666666666663E-3</v>
      </c>
      <c r="F997" s="983">
        <v>4.841666666666666E-3</v>
      </c>
      <c r="G997" s="983">
        <v>4.5291666666666666E-3</v>
      </c>
      <c r="H997" s="983">
        <v>5.45E-3</v>
      </c>
      <c r="I997" s="983">
        <v>7.3000000000000001E-3</v>
      </c>
      <c r="J997" s="983">
        <v>6.0708333333333335E-3</v>
      </c>
      <c r="K997" s="983">
        <v>5.1500000000000001E-3</v>
      </c>
      <c r="L997" s="983">
        <v>-2.2246999999999999E-2</v>
      </c>
    </row>
    <row r="998" spans="1:12">
      <c r="A998" s="983">
        <v>39814</v>
      </c>
      <c r="B998" s="983">
        <v>-8.43E-2</v>
      </c>
      <c r="C998" s="983">
        <v>-4.5409999999999999E-3</v>
      </c>
      <c r="D998" s="983">
        <v>2.3999999999999998E-3</v>
      </c>
      <c r="E998" s="983">
        <v>4.208333333333333E-3</v>
      </c>
      <c r="F998" s="983">
        <v>4.8666666666666667E-3</v>
      </c>
      <c r="G998" s="983">
        <v>4.5374999999999999E-3</v>
      </c>
      <c r="H998" s="983">
        <v>5.3249999999999999E-3</v>
      </c>
      <c r="I998" s="983">
        <v>-8.6699999999999999E-2</v>
      </c>
      <c r="J998" s="983">
        <v>-8.88375E-2</v>
      </c>
      <c r="K998" s="983">
        <v>-8.9624999999999996E-2</v>
      </c>
      <c r="L998" s="983">
        <v>-9.8659999999999998E-3</v>
      </c>
    </row>
    <row r="999" spans="1:12">
      <c r="A999" s="983">
        <v>39845</v>
      </c>
      <c r="B999" s="983">
        <v>-0.1065</v>
      </c>
      <c r="C999" s="983">
        <v>-0.12570800000000001</v>
      </c>
      <c r="D999" s="983">
        <v>3.0000000000000001E-3</v>
      </c>
      <c r="E999" s="983">
        <v>4.3916666666666661E-3</v>
      </c>
      <c r="F999" s="983">
        <v>5.0166666666666658E-3</v>
      </c>
      <c r="G999" s="983">
        <v>4.7041666666666655E-3</v>
      </c>
      <c r="H999" s="983">
        <v>5.2500000000000003E-3</v>
      </c>
      <c r="I999" s="983">
        <v>-0.1095</v>
      </c>
      <c r="J999" s="983">
        <v>-0.11120416666666666</v>
      </c>
      <c r="K999" s="983">
        <v>-0.11175</v>
      </c>
      <c r="L999" s="983">
        <v>-0.13095800000000002</v>
      </c>
    </row>
    <row r="1000" spans="1:12">
      <c r="A1000" s="983">
        <v>39873</v>
      </c>
      <c r="B1000" s="983">
        <v>8.7599999999999997E-2</v>
      </c>
      <c r="C1000" s="983">
        <v>2.5255E-2</v>
      </c>
      <c r="D1000" s="983">
        <v>3.5000000000000005E-3</v>
      </c>
      <c r="E1000" s="983">
        <v>4.5833333333333334E-3</v>
      </c>
      <c r="F1000" s="983">
        <v>5.0916666666666662E-3</v>
      </c>
      <c r="G1000" s="983">
        <v>4.8374999999999998E-3</v>
      </c>
      <c r="H1000" s="983">
        <v>5.3500000000000006E-3</v>
      </c>
      <c r="I1000" s="983">
        <v>8.4099999999999994E-2</v>
      </c>
      <c r="J1000" s="983">
        <v>8.2762500000000003E-2</v>
      </c>
      <c r="K1000" s="983">
        <v>8.224999999999999E-2</v>
      </c>
      <c r="L1000" s="983">
        <v>1.9904999999999999E-2</v>
      </c>
    </row>
    <row r="1001" spans="1:12">
      <c r="A1001" s="983">
        <v>39904</v>
      </c>
      <c r="B1001" s="983">
        <v>9.5699999999999993E-2</v>
      </c>
      <c r="C1001" s="983">
        <v>8.4620000000000008E-3</v>
      </c>
      <c r="D1001" s="983">
        <v>2.8999999999999998E-3</v>
      </c>
      <c r="E1001" s="983">
        <v>4.4916666666666664E-3</v>
      </c>
      <c r="F1001" s="983">
        <v>5.1416666666666668E-3</v>
      </c>
      <c r="G1001" s="983">
        <v>4.816666666666667E-3</v>
      </c>
      <c r="H1001" s="983">
        <v>5.4000000000000003E-3</v>
      </c>
      <c r="I1001" s="983">
        <v>9.2799999999999994E-2</v>
      </c>
      <c r="J1001" s="983">
        <v>9.088333333333333E-2</v>
      </c>
      <c r="K1001" s="983">
        <v>9.0299999999999991E-2</v>
      </c>
      <c r="L1001" s="983">
        <v>3.0620000000000005E-3</v>
      </c>
    </row>
    <row r="1002" spans="1:12">
      <c r="A1002" s="983">
        <v>39934</v>
      </c>
      <c r="B1002" s="983">
        <v>5.5899999999999998E-2</v>
      </c>
      <c r="C1002" s="983">
        <v>3.5286999999999999E-2</v>
      </c>
      <c r="D1002" s="983">
        <v>3.3E-3</v>
      </c>
      <c r="E1002" s="983">
        <v>4.6166666666666665E-3</v>
      </c>
      <c r="F1002" s="983">
        <v>5.1999999999999998E-3</v>
      </c>
      <c r="G1002" s="983">
        <v>4.9083333333333331E-3</v>
      </c>
      <c r="H1002" s="983">
        <v>5.4083333333333336E-3</v>
      </c>
      <c r="I1002" s="983">
        <v>5.2600000000000001E-2</v>
      </c>
      <c r="J1002" s="983">
        <v>5.0991666666666664E-2</v>
      </c>
      <c r="K1002" s="983">
        <v>5.0491666666666664E-2</v>
      </c>
      <c r="L1002" s="983">
        <v>2.9878666666666664E-2</v>
      </c>
    </row>
    <row r="1003" spans="1:12">
      <c r="A1003" s="983">
        <v>39965</v>
      </c>
      <c r="B1003" s="983">
        <v>2E-3</v>
      </c>
      <c r="C1003" s="983">
        <v>5.5202000000000001E-2</v>
      </c>
      <c r="D1003" s="983">
        <v>3.8E-3</v>
      </c>
      <c r="E1003" s="983">
        <v>4.6750000000000003E-3</v>
      </c>
      <c r="F1003" s="983">
        <v>5.1000000000000004E-3</v>
      </c>
      <c r="G1003" s="983">
        <v>4.8875000000000004E-3</v>
      </c>
      <c r="H1003" s="983">
        <v>5.1666666666666675E-3</v>
      </c>
      <c r="I1003" s="983">
        <v>-1.8E-3</v>
      </c>
      <c r="J1003" s="983">
        <v>-2.8875000000000003E-3</v>
      </c>
      <c r="K1003" s="983">
        <v>-3.1666666666666675E-3</v>
      </c>
      <c r="L1003" s="983">
        <v>5.0035333333333334E-2</v>
      </c>
    </row>
    <row r="1004" spans="1:12">
      <c r="A1004" s="983">
        <v>39995</v>
      </c>
      <c r="B1004" s="983">
        <v>7.5600000000000001E-2</v>
      </c>
      <c r="C1004" s="983">
        <v>4.0755E-2</v>
      </c>
      <c r="D1004" s="983">
        <v>3.5999999999999999E-3</v>
      </c>
      <c r="E1004" s="983">
        <v>4.5083333333333338E-3</v>
      </c>
      <c r="F1004" s="983">
        <v>4.7583333333333332E-3</v>
      </c>
      <c r="G1004" s="983">
        <v>4.6333333333333339E-3</v>
      </c>
      <c r="H1004" s="983">
        <v>4.9750000000000003E-3</v>
      </c>
      <c r="I1004" s="983">
        <v>7.1999999999999995E-2</v>
      </c>
      <c r="J1004" s="983">
        <v>7.0966666666666664E-2</v>
      </c>
      <c r="K1004" s="983">
        <v>7.0624999999999993E-2</v>
      </c>
      <c r="L1004" s="983">
        <v>3.5779999999999999E-2</v>
      </c>
    </row>
    <row r="1005" spans="1:12">
      <c r="A1005" s="983">
        <v>40026</v>
      </c>
      <c r="B1005" s="983">
        <v>3.61E-2</v>
      </c>
      <c r="C1005" s="983">
        <v>5.4599999999999996E-3</v>
      </c>
      <c r="D1005" s="983">
        <v>3.5999999999999999E-3</v>
      </c>
      <c r="E1005" s="983">
        <v>4.3833333333333328E-3</v>
      </c>
      <c r="F1005" s="983">
        <v>4.5416666666666669E-3</v>
      </c>
      <c r="G1005" s="983">
        <v>4.4624999999999995E-3</v>
      </c>
      <c r="H1005" s="983">
        <v>4.7583333333333332E-3</v>
      </c>
      <c r="I1005" s="983">
        <v>3.2500000000000001E-2</v>
      </c>
      <c r="J1005" s="983">
        <v>3.1637499999999999E-2</v>
      </c>
      <c r="K1005" s="983">
        <v>3.134166666666667E-2</v>
      </c>
      <c r="L1005" s="983">
        <v>7.0166666666666641E-4</v>
      </c>
    </row>
    <row r="1006" spans="1:12">
      <c r="A1006" s="983">
        <v>40057</v>
      </c>
      <c r="B1006" s="983">
        <v>3.73E-2</v>
      </c>
      <c r="C1006" s="983">
        <v>1.4283999999999998E-2</v>
      </c>
      <c r="D1006" s="983">
        <v>3.3999999999999998E-3</v>
      </c>
      <c r="E1006" s="983">
        <v>4.2750000000000002E-3</v>
      </c>
      <c r="F1006" s="983">
        <v>4.3416666666666664E-3</v>
      </c>
      <c r="G1006" s="983">
        <v>4.3083333333333333E-3</v>
      </c>
      <c r="H1006" s="983">
        <v>4.6083333333333341E-3</v>
      </c>
      <c r="I1006" s="983">
        <v>3.39E-2</v>
      </c>
      <c r="J1006" s="983">
        <v>3.2991666666666669E-2</v>
      </c>
      <c r="K1006" s="983">
        <v>3.2691666666666667E-2</v>
      </c>
      <c r="L1006" s="983">
        <v>9.675666666666664E-3</v>
      </c>
    </row>
    <row r="1007" spans="1:12">
      <c r="A1007" s="983">
        <v>40087</v>
      </c>
      <c r="B1007" s="983">
        <v>-1.8599999999999998E-2</v>
      </c>
      <c r="C1007" s="983">
        <v>-2.8427000000000001E-2</v>
      </c>
      <c r="D1007" s="983">
        <v>3.3E-3</v>
      </c>
      <c r="E1007" s="983">
        <v>4.2916666666666667E-3</v>
      </c>
      <c r="F1007" s="983">
        <v>4.3666666666666671E-3</v>
      </c>
      <c r="G1007" s="983">
        <v>4.3291666666666669E-3</v>
      </c>
      <c r="H1007" s="983">
        <v>4.6249999999999998E-3</v>
      </c>
      <c r="I1007" s="983">
        <v>-2.1899999999999999E-2</v>
      </c>
      <c r="J1007" s="983">
        <v>-2.2929166666666667E-2</v>
      </c>
      <c r="K1007" s="983">
        <v>-2.3224999999999999E-2</v>
      </c>
      <c r="L1007" s="983">
        <v>-3.3051999999999998E-2</v>
      </c>
    </row>
    <row r="1008" spans="1:12">
      <c r="A1008" s="983">
        <v>40118</v>
      </c>
      <c r="B1008" s="983">
        <v>0.06</v>
      </c>
      <c r="C1008" s="983">
        <v>4.5586000000000002E-2</v>
      </c>
      <c r="D1008" s="983">
        <v>3.5000000000000005E-3</v>
      </c>
      <c r="E1008" s="983">
        <v>4.3250000000000007E-3</v>
      </c>
      <c r="F1008" s="983">
        <v>4.4083333333333335E-3</v>
      </c>
      <c r="G1008" s="983">
        <v>4.3666666666666671E-3</v>
      </c>
      <c r="H1008" s="983">
        <v>4.6999999999999993E-3</v>
      </c>
      <c r="I1008" s="983">
        <v>5.6499999999999995E-2</v>
      </c>
      <c r="J1008" s="983">
        <v>5.5633333333333333E-2</v>
      </c>
      <c r="K1008" s="983">
        <v>5.5300000000000002E-2</v>
      </c>
      <c r="L1008" s="983">
        <v>4.0886000000000006E-2</v>
      </c>
    </row>
    <row r="1009" spans="1:12">
      <c r="A1009" s="983">
        <v>40148</v>
      </c>
      <c r="B1009" s="983">
        <v>1.9300000000000001E-2</v>
      </c>
      <c r="C1009" s="983">
        <v>5.5813000000000008E-2</v>
      </c>
      <c r="D1009" s="983">
        <v>3.3999999999999998E-3</v>
      </c>
      <c r="E1009" s="983">
        <v>4.3833333333333328E-3</v>
      </c>
      <c r="F1009" s="983">
        <v>4.5333333333333337E-3</v>
      </c>
      <c r="G1009" s="983">
        <v>4.4583333333333332E-3</v>
      </c>
      <c r="H1009" s="983">
        <v>4.8249999999999994E-3</v>
      </c>
      <c r="I1009" s="983">
        <v>1.5900000000000001E-2</v>
      </c>
      <c r="J1009" s="983">
        <v>1.4841666666666668E-2</v>
      </c>
      <c r="K1009" s="983">
        <v>1.4475000000000002E-2</v>
      </c>
      <c r="L1009" s="983">
        <v>5.0988000000000006E-2</v>
      </c>
    </row>
    <row r="1010" spans="1:12">
      <c r="A1010" s="983">
        <v>40179</v>
      </c>
      <c r="B1010" s="983">
        <v>-3.5999999999999997E-2</v>
      </c>
      <c r="C1010" s="983">
        <v>-4.7493E-2</v>
      </c>
      <c r="D1010" s="983">
        <v>3.5999999999999999E-3</v>
      </c>
      <c r="E1010" s="983">
        <v>4.3833333333333328E-3</v>
      </c>
      <c r="F1010" s="983">
        <v>4.5833333333333334E-3</v>
      </c>
      <c r="G1010" s="983">
        <v>4.4833333333333331E-3</v>
      </c>
      <c r="H1010" s="983">
        <v>4.8083333333333329E-3</v>
      </c>
      <c r="I1010" s="983">
        <v>-3.9599999999999996E-2</v>
      </c>
      <c r="J1010" s="983">
        <v>-4.048333333333333E-2</v>
      </c>
      <c r="K1010" s="983">
        <v>-4.0808333333333328E-2</v>
      </c>
      <c r="L1010" s="983">
        <v>-5.2301333333333332E-2</v>
      </c>
    </row>
    <row r="1011" spans="1:12">
      <c r="A1011" s="983">
        <v>40210</v>
      </c>
      <c r="B1011" s="983">
        <v>3.1E-2</v>
      </c>
      <c r="C1011" s="983">
        <v>-1.4896E-2</v>
      </c>
      <c r="D1011" s="983">
        <v>3.3E-3</v>
      </c>
      <c r="E1011" s="983">
        <v>4.4583333333333332E-3</v>
      </c>
      <c r="F1011" s="983">
        <v>4.6833333333333336E-3</v>
      </c>
      <c r="G1011" s="983">
        <v>4.570833333333333E-3</v>
      </c>
      <c r="H1011" s="983">
        <v>4.8916666666666666E-3</v>
      </c>
      <c r="I1011" s="983">
        <v>2.7699999999999999E-2</v>
      </c>
      <c r="J1011" s="983">
        <v>2.6429166666666667E-2</v>
      </c>
      <c r="K1011" s="983">
        <v>2.6108333333333334E-2</v>
      </c>
      <c r="L1011" s="983">
        <v>-1.9787666666666665E-2</v>
      </c>
    </row>
    <row r="1012" spans="1:12">
      <c r="A1012" s="983">
        <v>40238</v>
      </c>
      <c r="B1012" s="983">
        <v>6.0299999999999999E-2</v>
      </c>
      <c r="C1012" s="983">
        <v>2.7978000000000006E-2</v>
      </c>
      <c r="D1012" s="983">
        <v>4.0000000000000001E-3</v>
      </c>
      <c r="E1012" s="983">
        <v>4.3916666666666661E-3</v>
      </c>
      <c r="F1012" s="983">
        <v>4.6416666666666663E-3</v>
      </c>
      <c r="G1012" s="983">
        <v>4.5166666666666662E-3</v>
      </c>
      <c r="H1012" s="983">
        <v>4.8666666666666667E-3</v>
      </c>
      <c r="I1012" s="983">
        <v>5.6300000000000003E-2</v>
      </c>
      <c r="J1012" s="983">
        <v>5.5783333333333331E-2</v>
      </c>
      <c r="K1012" s="983">
        <v>5.5433333333333334E-2</v>
      </c>
      <c r="L1012" s="983">
        <v>2.3111333333333338E-2</v>
      </c>
    </row>
    <row r="1013" spans="1:12">
      <c r="A1013" s="983">
        <v>40269</v>
      </c>
      <c r="B1013" s="983">
        <v>1.5800000000000002E-2</v>
      </c>
      <c r="C1013" s="983">
        <v>2.8058E-2</v>
      </c>
      <c r="D1013" s="983">
        <v>3.8E-3</v>
      </c>
      <c r="E1013" s="983">
        <v>4.4083333333333335E-3</v>
      </c>
      <c r="F1013" s="983">
        <v>4.6416666666666663E-3</v>
      </c>
      <c r="G1013" s="983">
        <v>4.5250000000000004E-3</v>
      </c>
      <c r="H1013" s="983">
        <v>4.841666666666666E-3</v>
      </c>
      <c r="I1013" s="983">
        <v>1.2000000000000002E-2</v>
      </c>
      <c r="J1013" s="983">
        <v>1.1275E-2</v>
      </c>
      <c r="K1013" s="983">
        <v>1.0958333333333336E-2</v>
      </c>
      <c r="L1013" s="983">
        <v>2.3216333333333332E-2</v>
      </c>
    </row>
    <row r="1014" spans="1:12">
      <c r="A1014" s="983">
        <v>40299</v>
      </c>
      <c r="B1014" s="983">
        <v>-7.9899999999999999E-2</v>
      </c>
      <c r="C1014" s="983">
        <v>-5.7599999999999998E-2</v>
      </c>
      <c r="D1014" s="983">
        <v>3.3999999999999998E-3</v>
      </c>
      <c r="E1014" s="983">
        <v>4.1333333333333335E-3</v>
      </c>
      <c r="F1014" s="983">
        <v>4.3750000000000004E-3</v>
      </c>
      <c r="G1014" s="983">
        <v>4.2541666666666665E-3</v>
      </c>
      <c r="H1014" s="983">
        <v>4.5833333333333334E-3</v>
      </c>
      <c r="I1014" s="983">
        <v>-8.3299999999999999E-2</v>
      </c>
      <c r="J1014" s="983">
        <v>-8.4154166666666669E-2</v>
      </c>
      <c r="K1014" s="983">
        <v>-8.4483333333333327E-2</v>
      </c>
      <c r="L1014" s="983">
        <v>-6.2183333333333334E-2</v>
      </c>
    </row>
    <row r="1015" spans="1:12">
      <c r="A1015" s="983">
        <v>40330</v>
      </c>
      <c r="B1015" s="983">
        <v>-5.2299999999999999E-2</v>
      </c>
      <c r="C1015" s="983">
        <v>-6.3599999999999993E-3</v>
      </c>
      <c r="D1015" s="983">
        <v>3.7000000000000002E-3</v>
      </c>
      <c r="E1015" s="983">
        <v>4.0666666666666663E-3</v>
      </c>
      <c r="F1015" s="983">
        <v>4.3E-3</v>
      </c>
      <c r="G1015" s="983">
        <v>4.1833333333333332E-3</v>
      </c>
      <c r="H1015" s="983">
        <v>4.5500000000000002E-3</v>
      </c>
      <c r="I1015" s="983">
        <v>-5.6000000000000001E-2</v>
      </c>
      <c r="J1015" s="983">
        <v>-5.648333333333333E-2</v>
      </c>
      <c r="K1015" s="983">
        <v>-5.6849999999999998E-2</v>
      </c>
      <c r="L1015" s="983">
        <v>-1.091E-2</v>
      </c>
    </row>
    <row r="1016" spans="1:12">
      <c r="A1016" s="983">
        <v>40360</v>
      </c>
      <c r="B1016" s="983">
        <v>7.0099999999999996E-2</v>
      </c>
      <c r="C1016" s="983">
        <v>7.741300000000001E-2</v>
      </c>
      <c r="D1016" s="983">
        <v>3.0999999999999999E-3</v>
      </c>
      <c r="E1016" s="983">
        <v>3.933333333333333E-3</v>
      </c>
      <c r="F1016" s="983">
        <v>4.1333333333333335E-3</v>
      </c>
      <c r="G1016" s="983">
        <v>4.0333333333333332E-3</v>
      </c>
      <c r="H1016" s="983">
        <v>4.3833333333333328E-3</v>
      </c>
      <c r="I1016" s="983">
        <v>6.699999999999999E-2</v>
      </c>
      <c r="J1016" s="983">
        <v>6.6066666666666662E-2</v>
      </c>
      <c r="K1016" s="983">
        <v>6.5716666666666659E-2</v>
      </c>
      <c r="L1016" s="983">
        <v>7.3029666666666673E-2</v>
      </c>
    </row>
    <row r="1017" spans="1:12">
      <c r="A1017" s="983">
        <v>40391</v>
      </c>
      <c r="B1017" s="983">
        <v>-4.5100000000000001E-2</v>
      </c>
      <c r="C1017" s="983">
        <v>1.2496E-2</v>
      </c>
      <c r="D1017" s="983">
        <v>3.2000000000000002E-3</v>
      </c>
      <c r="E1017" s="983">
        <v>3.741666666666667E-3</v>
      </c>
      <c r="F1017" s="983">
        <v>3.933333333333333E-3</v>
      </c>
      <c r="G1017" s="983">
        <v>3.8375000000000002E-3</v>
      </c>
      <c r="H1017" s="983">
        <v>4.1749999999999999E-3</v>
      </c>
      <c r="I1017" s="983">
        <v>-4.8300000000000003E-2</v>
      </c>
      <c r="J1017" s="983">
        <v>-4.8937500000000002E-2</v>
      </c>
      <c r="K1017" s="983">
        <v>-4.9274999999999999E-2</v>
      </c>
      <c r="L1017" s="983">
        <v>8.3210000000000003E-3</v>
      </c>
    </row>
    <row r="1018" spans="1:12">
      <c r="A1018" s="983">
        <v>40422</v>
      </c>
      <c r="B1018" s="983">
        <v>8.9200000000000002E-2</v>
      </c>
      <c r="C1018" s="983">
        <v>2.9575000000000001E-2</v>
      </c>
      <c r="D1018" s="983">
        <v>2.5999999999999999E-3</v>
      </c>
      <c r="E1018" s="983">
        <v>3.7750000000000001E-3</v>
      </c>
      <c r="F1018" s="983">
        <v>3.933333333333333E-3</v>
      </c>
      <c r="G1018" s="983">
        <v>3.8541666666666663E-3</v>
      </c>
      <c r="H1018" s="983">
        <v>4.1749999999999999E-3</v>
      </c>
      <c r="I1018" s="983">
        <v>8.6599999999999996E-2</v>
      </c>
      <c r="J1018" s="983">
        <v>8.5345833333333329E-2</v>
      </c>
      <c r="K1018" s="983">
        <v>8.5025000000000003E-2</v>
      </c>
      <c r="L1018" s="983">
        <v>2.5399999999999999E-2</v>
      </c>
    </row>
    <row r="1019" spans="1:12">
      <c r="A1019" s="983">
        <v>40452</v>
      </c>
      <c r="B1019" s="983">
        <v>3.7999999999999999E-2</v>
      </c>
      <c r="C1019" s="983">
        <v>1.2868999999999998E-2</v>
      </c>
      <c r="D1019" s="983">
        <v>2.7000000000000001E-3</v>
      </c>
      <c r="E1019" s="983">
        <v>3.8999999999999994E-3</v>
      </c>
      <c r="F1019" s="983">
        <v>4.0249999999999999E-3</v>
      </c>
      <c r="G1019" s="983">
        <v>3.9624999999999999E-3</v>
      </c>
      <c r="H1019" s="983">
        <v>4.2500000000000003E-3</v>
      </c>
      <c r="I1019" s="983">
        <v>3.5299999999999998E-2</v>
      </c>
      <c r="J1019" s="983">
        <v>3.4037499999999998E-2</v>
      </c>
      <c r="K1019" s="983">
        <v>3.3750000000000002E-2</v>
      </c>
      <c r="L1019" s="983">
        <v>8.6189999999999982E-3</v>
      </c>
    </row>
    <row r="1020" spans="1:12">
      <c r="A1020" s="983">
        <v>40483</v>
      </c>
      <c r="B1020" s="983">
        <v>1E-4</v>
      </c>
      <c r="C1020" s="983">
        <v>-3.2323000000000005E-2</v>
      </c>
      <c r="D1020" s="983">
        <v>3.2000000000000002E-3</v>
      </c>
      <c r="E1020" s="983">
        <v>4.0583333333333331E-3</v>
      </c>
      <c r="F1020" s="983">
        <v>4.2250000000000005E-3</v>
      </c>
      <c r="G1020" s="983">
        <v>4.1416666666666668E-3</v>
      </c>
      <c r="H1020" s="983">
        <v>4.4749999999999998E-3</v>
      </c>
      <c r="I1020" s="983">
        <v>-3.1000000000000003E-3</v>
      </c>
      <c r="J1020" s="983">
        <v>-4.0416666666666665E-3</v>
      </c>
      <c r="K1020" s="983">
        <v>-4.3749999999999995E-3</v>
      </c>
      <c r="L1020" s="983">
        <v>-3.6798000000000004E-2</v>
      </c>
    </row>
    <row r="1021" spans="1:12">
      <c r="A1021" s="983">
        <v>40513</v>
      </c>
      <c r="B1021" s="983">
        <v>6.6799999999999998E-2</v>
      </c>
      <c r="C1021" s="983">
        <v>3.1150999999999998E-2</v>
      </c>
      <c r="D1021" s="983">
        <v>3.2000000000000002E-3</v>
      </c>
      <c r="E1021" s="983">
        <v>4.1833333333333332E-3</v>
      </c>
      <c r="F1021" s="983">
        <v>4.3833333333333328E-3</v>
      </c>
      <c r="G1021" s="983">
        <v>4.2833333333333326E-3</v>
      </c>
      <c r="H1021" s="983">
        <v>4.6333333333333331E-3</v>
      </c>
      <c r="I1021" s="983">
        <v>6.3600000000000004E-2</v>
      </c>
      <c r="J1021" s="983">
        <v>6.2516666666666665E-2</v>
      </c>
      <c r="K1021" s="983">
        <v>6.2166666666666662E-2</v>
      </c>
      <c r="L1021" s="983">
        <v>2.6517666666666665E-2</v>
      </c>
    </row>
    <row r="1022" spans="1:12">
      <c r="A1022" s="983">
        <v>40544</v>
      </c>
      <c r="B1022" s="983">
        <v>2.3699999999999999E-2</v>
      </c>
      <c r="C1022" s="983">
        <v>1.4241E-2</v>
      </c>
      <c r="D1022" s="983">
        <v>3.5000000000000001E-3</v>
      </c>
      <c r="E1022" s="983">
        <v>4.1999999999999997E-3</v>
      </c>
      <c r="F1022" s="983">
        <v>4.3833333333333328E-3</v>
      </c>
      <c r="G1022" s="983">
        <v>4.2916666666666667E-3</v>
      </c>
      <c r="H1022" s="983">
        <v>4.6416666666666663E-3</v>
      </c>
      <c r="I1022" s="983">
        <v>2.0199999999999999E-2</v>
      </c>
      <c r="J1022" s="983">
        <v>1.9408333333333333E-2</v>
      </c>
      <c r="K1022" s="983">
        <v>1.9058333333333333E-2</v>
      </c>
      <c r="L1022" s="983">
        <v>9.5993333333333347E-3</v>
      </c>
    </row>
    <row r="1023" spans="1:12">
      <c r="A1023" s="983">
        <v>40575</v>
      </c>
      <c r="B1023" s="983">
        <v>3.4299999999999997E-2</v>
      </c>
      <c r="C1023" s="983">
        <v>1.1235E-2</v>
      </c>
      <c r="D1023" s="983">
        <v>3.2000000000000002E-3</v>
      </c>
      <c r="E1023" s="983">
        <v>4.3499999999999997E-3</v>
      </c>
      <c r="F1023" s="983">
        <v>4.4749999999999998E-3</v>
      </c>
      <c r="G1023" s="983">
        <v>4.4125000000000006E-3</v>
      </c>
      <c r="H1023" s="983">
        <v>4.7333333333333333E-3</v>
      </c>
      <c r="I1023" s="983">
        <v>3.1099999999999996E-2</v>
      </c>
      <c r="J1023" s="983">
        <v>2.9887499999999997E-2</v>
      </c>
      <c r="K1023" s="983">
        <v>2.9566666666666665E-2</v>
      </c>
      <c r="L1023" s="983">
        <v>6.5016666666666669E-3</v>
      </c>
    </row>
    <row r="1024" spans="1:12">
      <c r="A1024" s="983">
        <v>40603</v>
      </c>
      <c r="B1024" s="983">
        <v>4.0000000000000002E-4</v>
      </c>
      <c r="C1024" s="983">
        <v>1.474E-3</v>
      </c>
      <c r="D1024" s="983">
        <v>3.5999999999999999E-3</v>
      </c>
      <c r="E1024" s="983">
        <v>4.2750000000000002E-3</v>
      </c>
      <c r="F1024" s="983">
        <v>4.4000000000000003E-3</v>
      </c>
      <c r="G1024" s="983">
        <v>4.3374999999999993E-3</v>
      </c>
      <c r="H1024" s="983">
        <v>4.6333333333333331E-3</v>
      </c>
      <c r="I1024" s="983">
        <v>-3.1999999999999997E-3</v>
      </c>
      <c r="J1024" s="983">
        <v>-3.9374999999999992E-3</v>
      </c>
      <c r="K1024" s="983">
        <v>-4.2333333333333329E-3</v>
      </c>
      <c r="L1024" s="983">
        <v>-3.159333333333333E-3</v>
      </c>
    </row>
    <row r="1025" spans="1:12">
      <c r="A1025" s="983">
        <v>40634</v>
      </c>
      <c r="B1025" s="983">
        <v>2.9600000000000001E-2</v>
      </c>
      <c r="C1025" s="983">
        <v>4.1877999999999999E-2</v>
      </c>
      <c r="D1025" s="983">
        <v>3.3999999999999998E-3</v>
      </c>
      <c r="E1025" s="983">
        <v>4.3E-3</v>
      </c>
      <c r="F1025" s="983">
        <v>4.4083333333333335E-3</v>
      </c>
      <c r="G1025" s="983">
        <v>4.3541666666666668E-3</v>
      </c>
      <c r="H1025" s="983">
        <v>4.6249999999999998E-3</v>
      </c>
      <c r="I1025" s="983">
        <v>2.6200000000000001E-2</v>
      </c>
      <c r="J1025" s="983">
        <v>2.5245833333333335E-2</v>
      </c>
      <c r="K1025" s="983">
        <v>2.4975000000000001E-2</v>
      </c>
      <c r="L1025" s="983">
        <v>3.7253000000000001E-2</v>
      </c>
    </row>
    <row r="1026" spans="1:12">
      <c r="A1026" s="983">
        <v>40664</v>
      </c>
      <c r="B1026" s="983">
        <v>-1.1299999999999999E-2</v>
      </c>
      <c r="C1026" s="983">
        <v>1.9754000000000001E-2</v>
      </c>
      <c r="D1026" s="983">
        <v>3.5999999999999999E-3</v>
      </c>
      <c r="E1026" s="983">
        <v>4.1333333333333335E-3</v>
      </c>
      <c r="F1026" s="983">
        <v>4.2166666666666663E-3</v>
      </c>
      <c r="G1026" s="983">
        <v>4.1749999999999999E-3</v>
      </c>
      <c r="H1026" s="983">
        <v>4.4333333333333334E-3</v>
      </c>
      <c r="I1026" s="983">
        <v>-1.49E-2</v>
      </c>
      <c r="J1026" s="983">
        <v>-1.5474999999999999E-2</v>
      </c>
      <c r="K1026" s="983">
        <v>-1.5733333333333332E-2</v>
      </c>
      <c r="L1026" s="983">
        <v>1.5320666666666666E-2</v>
      </c>
    </row>
    <row r="1027" spans="1:12">
      <c r="A1027" s="983">
        <v>40695</v>
      </c>
      <c r="B1027" s="983">
        <v>-1.67E-2</v>
      </c>
      <c r="C1027" s="983">
        <v>-1.2830000000000003E-3</v>
      </c>
      <c r="D1027" s="983">
        <v>3.2000000000000002E-3</v>
      </c>
      <c r="E1027" s="983">
        <v>4.1583333333333333E-3</v>
      </c>
      <c r="F1027" s="983">
        <v>4.1999999999999997E-3</v>
      </c>
      <c r="G1027" s="983">
        <v>4.179166666666667E-3</v>
      </c>
      <c r="H1027" s="983">
        <v>4.3833333333333328E-3</v>
      </c>
      <c r="I1027" s="983">
        <v>-1.9900000000000001E-2</v>
      </c>
      <c r="J1027" s="983">
        <v>-2.0879166666666667E-2</v>
      </c>
      <c r="K1027" s="983">
        <v>-2.1083333333333332E-2</v>
      </c>
      <c r="L1027" s="983">
        <v>-5.6663333333333331E-3</v>
      </c>
    </row>
    <row r="1028" spans="1:12">
      <c r="A1028" s="983">
        <v>40725</v>
      </c>
      <c r="B1028" s="983">
        <v>-2.0299999999999999E-2</v>
      </c>
      <c r="C1028" s="983">
        <v>-7.5380000000000013E-3</v>
      </c>
      <c r="D1028" s="983">
        <v>3.2000000000000002E-3</v>
      </c>
      <c r="E1028" s="983">
        <v>4.1083333333333336E-3</v>
      </c>
      <c r="F1028" s="983">
        <v>4.1916666666666665E-3</v>
      </c>
      <c r="G1028" s="983">
        <v>4.15E-3</v>
      </c>
      <c r="H1028" s="983">
        <v>4.3916666666666661E-3</v>
      </c>
      <c r="I1028" s="983">
        <v>-2.35E-2</v>
      </c>
      <c r="J1028" s="983">
        <v>-2.445E-2</v>
      </c>
      <c r="K1028" s="983">
        <v>-2.4691666666666664E-2</v>
      </c>
      <c r="L1028" s="983">
        <v>-1.1929666666666668E-2</v>
      </c>
    </row>
    <row r="1029" spans="1:12">
      <c r="A1029" s="983">
        <v>40756</v>
      </c>
      <c r="B1029" s="983">
        <v>-5.4300000000000001E-2</v>
      </c>
      <c r="C1029" s="983">
        <v>2.0388E-2</v>
      </c>
      <c r="D1029" s="983">
        <v>3.3999999999999998E-3</v>
      </c>
      <c r="E1029" s="983">
        <v>3.6416666666666667E-3</v>
      </c>
      <c r="F1029" s="983">
        <v>3.725E-3</v>
      </c>
      <c r="G1029" s="983">
        <v>3.6833333333333336E-3</v>
      </c>
      <c r="H1029" s="983">
        <v>3.908333333333334E-3</v>
      </c>
      <c r="I1029" s="983">
        <v>-5.7700000000000001E-2</v>
      </c>
      <c r="J1029" s="983">
        <v>-5.7983333333333331E-2</v>
      </c>
      <c r="K1029" s="983">
        <v>-5.8208333333333334E-2</v>
      </c>
      <c r="L1029" s="983">
        <v>1.6479666666666667E-2</v>
      </c>
    </row>
    <row r="1030" spans="1:12">
      <c r="A1030" s="983">
        <v>40787</v>
      </c>
      <c r="B1030" s="983">
        <v>-7.0300000000000001E-2</v>
      </c>
      <c r="C1030" s="983">
        <v>2.271E-3</v>
      </c>
      <c r="D1030" s="983">
        <v>2.5999999999999999E-3</v>
      </c>
      <c r="E1030" s="983">
        <v>3.4083333333333331E-3</v>
      </c>
      <c r="F1030" s="983">
        <v>3.5250000000000004E-3</v>
      </c>
      <c r="G1030" s="983">
        <v>3.4666666666666669E-3</v>
      </c>
      <c r="H1030" s="983">
        <v>3.7333333333333333E-3</v>
      </c>
      <c r="I1030" s="983">
        <v>-7.2900000000000006E-2</v>
      </c>
      <c r="J1030" s="983">
        <v>-7.3766666666666675E-2</v>
      </c>
      <c r="K1030" s="983">
        <v>-7.403333333333334E-2</v>
      </c>
      <c r="L1030" s="983">
        <v>-1.4623333333333333E-3</v>
      </c>
    </row>
    <row r="1031" spans="1:12">
      <c r="A1031" s="983">
        <v>40817</v>
      </c>
      <c r="B1031" s="983">
        <v>0.10929999999999999</v>
      </c>
      <c r="C1031" s="983">
        <v>3.8747000000000004E-2</v>
      </c>
      <c r="D1031" s="983">
        <v>2.2000000000000001E-3</v>
      </c>
      <c r="E1031" s="983">
        <v>3.3166666666666665E-3</v>
      </c>
      <c r="F1031" s="983">
        <v>3.4666666666666669E-3</v>
      </c>
      <c r="G1031" s="983">
        <v>3.3916666666666665E-3</v>
      </c>
      <c r="H1031" s="983">
        <v>3.7666666666666664E-3</v>
      </c>
      <c r="I1031" s="983">
        <v>0.1071</v>
      </c>
      <c r="J1031" s="983">
        <v>0.10590833333333333</v>
      </c>
      <c r="K1031" s="983">
        <v>0.10553333333333333</v>
      </c>
      <c r="L1031" s="983">
        <v>3.4980333333333335E-2</v>
      </c>
    </row>
    <row r="1032" spans="1:12">
      <c r="A1032" s="983">
        <v>40848</v>
      </c>
      <c r="B1032" s="983">
        <v>-2.2000000000000001E-3</v>
      </c>
      <c r="C1032" s="983">
        <v>8.0140000000000003E-3</v>
      </c>
      <c r="D1032" s="983">
        <v>2.3999999999999998E-3</v>
      </c>
      <c r="E1032" s="983">
        <v>3.225E-3</v>
      </c>
      <c r="F1032" s="983">
        <v>3.3083333333333337E-3</v>
      </c>
      <c r="G1032" s="983">
        <v>3.2666666666666664E-3</v>
      </c>
      <c r="H1032" s="983">
        <v>3.5416666666666669E-3</v>
      </c>
      <c r="I1032" s="983">
        <v>-4.5999999999999999E-3</v>
      </c>
      <c r="J1032" s="983">
        <v>-5.4666666666666665E-3</v>
      </c>
      <c r="K1032" s="983">
        <v>-5.7416666666666675E-3</v>
      </c>
      <c r="L1032" s="983">
        <v>4.4723333333333334E-3</v>
      </c>
    </row>
    <row r="1033" spans="1:12">
      <c r="A1033" s="983">
        <v>40878</v>
      </c>
      <c r="B1033" s="983">
        <v>1.0200000000000001E-2</v>
      </c>
      <c r="C1033" s="983">
        <v>3.3766999999999998E-2</v>
      </c>
      <c r="D1033" s="983">
        <v>2.2000000000000001E-3</v>
      </c>
      <c r="E1033" s="983">
        <v>3.2750000000000001E-3</v>
      </c>
      <c r="F1033" s="983">
        <v>3.3583333333333338E-3</v>
      </c>
      <c r="G1033" s="983">
        <v>3.3166666666666665E-3</v>
      </c>
      <c r="H1033" s="983">
        <v>3.6083333333333332E-3</v>
      </c>
      <c r="I1033" s="983">
        <v>8.0000000000000002E-3</v>
      </c>
      <c r="J1033" s="983">
        <v>6.8833333333333342E-3</v>
      </c>
      <c r="K1033" s="983">
        <v>6.5916666666666675E-3</v>
      </c>
      <c r="L1033" s="983">
        <v>3.0158666666666667E-2</v>
      </c>
    </row>
    <row r="1034" spans="1:12">
      <c r="A1034" s="983">
        <v>40909</v>
      </c>
      <c r="B1034" s="983">
        <v>4.48E-2</v>
      </c>
      <c r="C1034" s="983">
        <v>-3.3237000000000003E-2</v>
      </c>
      <c r="D1034" s="983">
        <v>2.0999999999999999E-3</v>
      </c>
      <c r="E1034" s="983">
        <v>3.3416666666666668E-3</v>
      </c>
      <c r="F1034" s="983">
        <v>3.3416666666666668E-3</v>
      </c>
      <c r="G1034" s="983">
        <v>3.3416666666666668E-3</v>
      </c>
      <c r="H1034" s="983">
        <v>3.6166666666666665E-3</v>
      </c>
      <c r="I1034" s="983">
        <v>4.2700000000000002E-2</v>
      </c>
      <c r="J1034" s="983">
        <v>4.1458333333333333E-2</v>
      </c>
      <c r="K1034" s="983">
        <v>4.1183333333333336E-2</v>
      </c>
      <c r="L1034" s="983">
        <v>-3.6853666666666667E-2</v>
      </c>
    </row>
    <row r="1035" spans="1:12">
      <c r="A1035" s="983">
        <v>40940</v>
      </c>
      <c r="B1035" s="983">
        <v>4.3200000000000002E-2</v>
      </c>
      <c r="C1035" s="983">
        <v>3.4509999999999996E-3</v>
      </c>
      <c r="D1035" s="983">
        <v>2E-3</v>
      </c>
      <c r="E1035" s="983">
        <v>3.3250000000000003E-3</v>
      </c>
      <c r="F1035" s="983">
        <v>3.3250000000000003E-3</v>
      </c>
      <c r="G1035" s="983">
        <v>3.3250000000000003E-3</v>
      </c>
      <c r="H1035" s="983">
        <v>3.6333333333333335E-3</v>
      </c>
      <c r="I1035" s="983">
        <v>4.1200000000000001E-2</v>
      </c>
      <c r="J1035" s="983">
        <v>3.9875000000000001E-2</v>
      </c>
      <c r="K1035" s="983">
        <v>3.9566666666666667E-2</v>
      </c>
      <c r="L1035" s="983">
        <v>-1.8233333333333383E-4</v>
      </c>
    </row>
    <row r="1036" spans="1:12">
      <c r="A1036" s="983">
        <v>40969</v>
      </c>
      <c r="B1036" s="983">
        <v>3.2899999999999999E-2</v>
      </c>
      <c r="C1036" s="983">
        <v>1.372E-2</v>
      </c>
      <c r="D1036" s="983">
        <v>2.2000000000000001E-3</v>
      </c>
      <c r="E1036" s="983">
        <v>3.3249999999999998E-3</v>
      </c>
      <c r="F1036" s="983">
        <v>3.4499999999999999E-3</v>
      </c>
      <c r="G1036" s="983">
        <v>3.3874999999999999E-3</v>
      </c>
      <c r="H1036" s="983">
        <v>3.7333333333333333E-3</v>
      </c>
      <c r="I1036" s="983">
        <v>3.0699999999999998E-2</v>
      </c>
      <c r="J1036" s="983">
        <v>2.9512499999999997E-2</v>
      </c>
      <c r="K1036" s="983">
        <v>2.9166666666666667E-2</v>
      </c>
      <c r="L1036" s="983">
        <v>9.9866666666666663E-3</v>
      </c>
    </row>
    <row r="1037" spans="1:12">
      <c r="A1037" s="983">
        <v>41000</v>
      </c>
      <c r="B1037" s="983">
        <v>-6.3E-3</v>
      </c>
      <c r="C1037" s="983">
        <v>2.1237000000000002E-2</v>
      </c>
      <c r="D1037" s="983">
        <v>2.5000000000000001E-3</v>
      </c>
      <c r="E1037" s="983">
        <v>3.3000000000000004E-3</v>
      </c>
      <c r="F1037" s="983">
        <v>3.4000000000000002E-3</v>
      </c>
      <c r="G1037" s="983">
        <v>3.3500000000000005E-3</v>
      </c>
      <c r="H1037" s="983">
        <v>3.6666666666666666E-3</v>
      </c>
      <c r="I1037" s="983">
        <v>-8.8000000000000005E-3</v>
      </c>
      <c r="J1037" s="983">
        <v>-9.6500000000000006E-3</v>
      </c>
      <c r="K1037" s="983">
        <v>-9.9666666666666671E-3</v>
      </c>
      <c r="L1037" s="983">
        <v>1.7570333333333337E-2</v>
      </c>
    </row>
    <row r="1038" spans="1:12">
      <c r="A1038" s="983">
        <v>41030</v>
      </c>
      <c r="B1038" s="983">
        <v>-6.0100000000000001E-2</v>
      </c>
      <c r="C1038" s="983">
        <v>2.1609999999999997E-3</v>
      </c>
      <c r="D1038" s="983">
        <v>2.3E-3</v>
      </c>
      <c r="E1038" s="983">
        <v>3.1666666666666666E-3</v>
      </c>
      <c r="F1038" s="983">
        <v>3.2583333333333336E-3</v>
      </c>
      <c r="G1038" s="983">
        <v>3.2125000000000001E-3</v>
      </c>
      <c r="H1038" s="983">
        <v>3.5000000000000001E-3</v>
      </c>
      <c r="I1038" s="983">
        <v>-6.2399999999999997E-2</v>
      </c>
      <c r="J1038" s="983">
        <v>-6.3312499999999994E-2</v>
      </c>
      <c r="K1038" s="983">
        <v>-6.3600000000000004E-2</v>
      </c>
      <c r="L1038" s="983">
        <v>-1.3390000000000003E-3</v>
      </c>
    </row>
    <row r="1039" spans="1:12">
      <c r="A1039" s="983">
        <v>41061</v>
      </c>
      <c r="B1039" s="983">
        <v>4.1200000000000001E-2</v>
      </c>
      <c r="C1039" s="983">
        <v>4.1003999999999999E-2</v>
      </c>
      <c r="D1039" s="983">
        <v>1.8E-3</v>
      </c>
      <c r="E1039" s="983">
        <v>3.0333333333333336E-3</v>
      </c>
      <c r="F1039" s="983">
        <v>3.15E-3</v>
      </c>
      <c r="G1039" s="983">
        <v>3.091666666666667E-3</v>
      </c>
      <c r="H1039" s="983">
        <v>3.4000000000000002E-3</v>
      </c>
      <c r="I1039" s="983">
        <v>3.9399999999999998E-2</v>
      </c>
      <c r="J1039" s="983">
        <v>3.8108333333333334E-2</v>
      </c>
      <c r="K1039" s="983">
        <v>3.78E-2</v>
      </c>
      <c r="L1039" s="983">
        <v>3.7603999999999999E-2</v>
      </c>
    </row>
    <row r="1040" spans="1:12">
      <c r="A1040" s="983">
        <v>41091</v>
      </c>
      <c r="B1040" s="983">
        <v>1.3899999999999999E-2</v>
      </c>
      <c r="C1040" s="983">
        <v>2.8439000000000002E-2</v>
      </c>
      <c r="D1040" s="983">
        <v>2E-3</v>
      </c>
      <c r="E1040" s="983">
        <v>2.8333333333333335E-3</v>
      </c>
      <c r="F1040" s="983">
        <v>2.9499999999999999E-3</v>
      </c>
      <c r="G1040" s="983">
        <v>2.8916666666666665E-3</v>
      </c>
      <c r="H1040" s="983">
        <v>3.2750000000000001E-3</v>
      </c>
      <c r="I1040" s="983">
        <v>1.1899999999999999E-2</v>
      </c>
      <c r="J1040" s="983">
        <v>1.1008333333333332E-2</v>
      </c>
      <c r="K1040" s="983">
        <v>1.0624999999999999E-2</v>
      </c>
      <c r="L1040" s="983">
        <v>2.5164000000000002E-2</v>
      </c>
    </row>
    <row r="1041" spans="1:12">
      <c r="A1041" s="983">
        <v>41122</v>
      </c>
      <c r="B1041" s="983">
        <v>2.2499999999999999E-2</v>
      </c>
      <c r="C1041" s="983">
        <v>-4.4720999999999997E-2</v>
      </c>
      <c r="D1041" s="983">
        <v>1.8E-3</v>
      </c>
      <c r="E1041" s="983">
        <v>2.8999999999999998E-3</v>
      </c>
      <c r="F1041" s="983">
        <v>3.0083333333333333E-3</v>
      </c>
      <c r="G1041" s="983">
        <v>2.9541666666666666E-3</v>
      </c>
      <c r="H1041" s="983">
        <v>3.3333333333333335E-3</v>
      </c>
      <c r="I1041" s="983">
        <v>2.07E-2</v>
      </c>
      <c r="J1041" s="983">
        <v>1.9545833333333332E-2</v>
      </c>
      <c r="K1041" s="983">
        <v>1.9166666666666665E-2</v>
      </c>
      <c r="L1041" s="983">
        <v>-4.8054333333333331E-2</v>
      </c>
    </row>
    <row r="1042" spans="1:12">
      <c r="A1042" s="983">
        <v>41153</v>
      </c>
      <c r="B1042" s="983">
        <v>2.58E-2</v>
      </c>
      <c r="C1042" s="983">
        <v>1.2281E-2</v>
      </c>
      <c r="D1042" s="983">
        <v>1.6999999999999999E-3</v>
      </c>
      <c r="E1042" s="983">
        <v>2.9083333333333335E-3</v>
      </c>
      <c r="F1042" s="983">
        <v>3.0666666666666668E-3</v>
      </c>
      <c r="G1042" s="983">
        <v>2.9875000000000001E-3</v>
      </c>
      <c r="H1042" s="983">
        <v>3.3500000000000001E-3</v>
      </c>
      <c r="I1042" s="983">
        <v>2.41E-2</v>
      </c>
      <c r="J1042" s="983">
        <v>2.2812499999999999E-2</v>
      </c>
      <c r="K1042" s="983">
        <v>2.2450000000000001E-2</v>
      </c>
      <c r="L1042" s="983">
        <v>8.9309999999999997E-3</v>
      </c>
    </row>
    <row r="1043" spans="1:12">
      <c r="A1043" s="983">
        <v>41183</v>
      </c>
      <c r="B1043" s="983">
        <v>-1.8499999999999999E-2</v>
      </c>
      <c r="C1043" s="983">
        <v>1.7240000000000002E-2</v>
      </c>
      <c r="D1043" s="983">
        <v>2.0999999999999999E-3</v>
      </c>
      <c r="E1043" s="983">
        <v>2.891666666666667E-3</v>
      </c>
      <c r="F1043" s="983">
        <v>3.0249999999999999E-3</v>
      </c>
      <c r="G1043" s="983">
        <v>2.9583333333333336E-3</v>
      </c>
      <c r="H1043" s="983">
        <v>3.2583333333333336E-3</v>
      </c>
      <c r="I1043" s="983">
        <v>-2.06E-2</v>
      </c>
      <c r="J1043" s="983">
        <v>-2.1458333333333333E-2</v>
      </c>
      <c r="K1043" s="983">
        <v>-2.1758333333333331E-2</v>
      </c>
      <c r="L1043" s="983">
        <v>1.3981666666666668E-2</v>
      </c>
    </row>
    <row r="1044" spans="1:12">
      <c r="A1044" s="983">
        <v>41214</v>
      </c>
      <c r="B1044" s="983">
        <v>5.7999999999999996E-3</v>
      </c>
      <c r="C1044" s="983">
        <v>-4.6427999999999997E-2</v>
      </c>
      <c r="D1044" s="983">
        <v>1.9E-3</v>
      </c>
      <c r="E1044" s="983">
        <v>2.9166666666666668E-3</v>
      </c>
      <c r="F1044" s="983">
        <v>2.9750000000000002E-3</v>
      </c>
      <c r="G1044" s="983">
        <v>2.9458333333333333E-3</v>
      </c>
      <c r="H1044" s="983">
        <v>3.1999999999999997E-3</v>
      </c>
      <c r="I1044" s="983">
        <v>3.8999999999999998E-3</v>
      </c>
      <c r="J1044" s="983">
        <v>2.8541666666666663E-3</v>
      </c>
      <c r="K1044" s="983">
        <v>2.5999999999999999E-3</v>
      </c>
      <c r="L1044" s="983">
        <v>-4.9627999999999999E-2</v>
      </c>
    </row>
    <row r="1045" spans="1:12">
      <c r="A1045" s="983">
        <v>41244</v>
      </c>
      <c r="B1045" s="983">
        <v>9.1000000000000004E-3</v>
      </c>
      <c r="C1045" s="983">
        <v>1.108E-3</v>
      </c>
      <c r="D1045" s="983">
        <v>1.9E-3</v>
      </c>
      <c r="E1045" s="983">
        <v>3.0416666666666665E-3</v>
      </c>
      <c r="F1045" s="983">
        <v>3.0833333333333333E-3</v>
      </c>
      <c r="G1045" s="983">
        <v>3.0625000000000001E-3</v>
      </c>
      <c r="H1045" s="983">
        <v>3.3333333333333335E-3</v>
      </c>
      <c r="I1045" s="983">
        <v>7.2000000000000007E-3</v>
      </c>
      <c r="J1045" s="983">
        <v>6.0375000000000003E-3</v>
      </c>
      <c r="K1045" s="983">
        <v>5.7666666666666665E-3</v>
      </c>
      <c r="L1045" s="983">
        <v>-2.2253333333333335E-3</v>
      </c>
    </row>
    <row r="1046" spans="1:12">
      <c r="A1046" s="983">
        <v>41275</v>
      </c>
      <c r="B1046" s="983">
        <v>5.1799999999999999E-2</v>
      </c>
      <c r="C1046" s="983">
        <v>3.5099999999999999E-2</v>
      </c>
      <c r="D1046" s="983">
        <v>2.2000000000000001E-3</v>
      </c>
      <c r="E1046" s="983">
        <v>3.1666666666666666E-3</v>
      </c>
      <c r="F1046" s="983">
        <v>3.225E-3</v>
      </c>
      <c r="G1046" s="983">
        <v>3.1958333333333335E-3</v>
      </c>
      <c r="H1046" s="983">
        <v>3.4583333333333337E-3</v>
      </c>
      <c r="I1046" s="983">
        <v>4.9599999999999998E-2</v>
      </c>
      <c r="J1046" s="983">
        <v>4.8604166666666664E-2</v>
      </c>
      <c r="K1046" s="983">
        <v>4.8341666666666665E-2</v>
      </c>
      <c r="L1046" s="983">
        <v>3.1641666666666665E-2</v>
      </c>
    </row>
    <row r="1047" spans="1:12">
      <c r="A1047" s="983">
        <v>41306</v>
      </c>
      <c r="B1047" s="983">
        <v>1.3599999999999999E-2</v>
      </c>
      <c r="C1047" s="983">
        <v>3.39E-2</v>
      </c>
      <c r="D1047" s="983">
        <v>2.2000000000000001E-3</v>
      </c>
      <c r="E1047" s="983">
        <v>3.2499999999999999E-3</v>
      </c>
      <c r="F1047" s="983">
        <v>3.2916666666666667E-3</v>
      </c>
      <c r="G1047" s="983">
        <v>3.2708333333333331E-3</v>
      </c>
      <c r="H1047" s="983">
        <v>3.4833333333333331E-3</v>
      </c>
      <c r="I1047" s="983">
        <v>1.1399999999999999E-2</v>
      </c>
      <c r="J1047" s="983">
        <v>1.0329166666666667E-2</v>
      </c>
      <c r="K1047" s="983">
        <v>1.0116666666666666E-2</v>
      </c>
      <c r="L1047" s="983">
        <v>3.0416666666666668E-2</v>
      </c>
    </row>
    <row r="1048" spans="1:12">
      <c r="A1048" s="983">
        <v>41334</v>
      </c>
      <c r="B1048" s="983">
        <v>3.7499999999999999E-2</v>
      </c>
      <c r="C1048" s="983">
        <v>5.3999999999999999E-2</v>
      </c>
      <c r="D1048" s="983">
        <v>2.0999999999999999E-3</v>
      </c>
      <c r="E1048" s="983">
        <v>3.1666666666666666E-3</v>
      </c>
      <c r="F1048" s="983">
        <v>3.225E-3</v>
      </c>
      <c r="G1048" s="983">
        <v>3.1958333333333335E-3</v>
      </c>
      <c r="H1048" s="983">
        <v>3.4583333333333337E-3</v>
      </c>
      <c r="I1048" s="983">
        <v>3.5400000000000001E-2</v>
      </c>
      <c r="J1048" s="983">
        <v>3.4304166666666663E-2</v>
      </c>
      <c r="K1048" s="983">
        <v>3.4041666666666665E-2</v>
      </c>
      <c r="L1048" s="983">
        <v>5.0541666666666665E-2</v>
      </c>
    </row>
    <row r="1049" spans="1:12">
      <c r="A1049" s="983">
        <v>41365</v>
      </c>
      <c r="B1049" s="983">
        <v>1.9300000000000001E-2</v>
      </c>
      <c r="C1049" s="983">
        <v>5.8999999999999997E-2</v>
      </c>
      <c r="D1049" s="983">
        <v>2.5999999999999999E-3</v>
      </c>
      <c r="E1049" s="983">
        <v>3.1083333333333332E-3</v>
      </c>
      <c r="F1049" s="983">
        <v>3.1416666666666663E-3</v>
      </c>
      <c r="G1049" s="983">
        <v>3.1249999999999997E-3</v>
      </c>
      <c r="H1049" s="983">
        <v>3.3333333333333335E-3</v>
      </c>
      <c r="I1049" s="983">
        <v>1.67E-2</v>
      </c>
      <c r="J1049" s="983">
        <v>1.6175000000000002E-2</v>
      </c>
      <c r="K1049" s="983">
        <v>1.5966666666666667E-2</v>
      </c>
      <c r="L1049" s="983">
        <v>5.5666666666666663E-2</v>
      </c>
    </row>
    <row r="1050" spans="1:12">
      <c r="A1050" s="983">
        <v>41395</v>
      </c>
      <c r="B1050" s="983">
        <v>2.3400000000000001E-2</v>
      </c>
      <c r="C1050" s="983">
        <v>-8.9599999999999999E-2</v>
      </c>
      <c r="D1050" s="983">
        <v>2.3E-3</v>
      </c>
      <c r="E1050" s="983">
        <v>3.2416666666666666E-3</v>
      </c>
      <c r="F1050" s="983">
        <v>3.283333333333333E-3</v>
      </c>
      <c r="G1050" s="983">
        <v>3.2624999999999998E-3</v>
      </c>
      <c r="H1050" s="983">
        <v>3.4750000000000002E-3</v>
      </c>
      <c r="I1050" s="983">
        <v>2.1100000000000001E-2</v>
      </c>
      <c r="J1050" s="983">
        <v>2.0137500000000003E-2</v>
      </c>
      <c r="K1050" s="983">
        <v>1.9925000000000002E-2</v>
      </c>
      <c r="L1050" s="983">
        <v>-9.3075000000000005E-2</v>
      </c>
    </row>
    <row r="1051" spans="1:12">
      <c r="A1051" s="983">
        <v>41426</v>
      </c>
      <c r="B1051" s="983">
        <v>-1.34E-2</v>
      </c>
      <c r="C1051" s="983">
        <v>1.14E-2</v>
      </c>
      <c r="D1051" s="983">
        <v>2.3999999999999998E-3</v>
      </c>
      <c r="E1051" s="983">
        <v>3.5583333333333335E-3</v>
      </c>
      <c r="F1051" s="983">
        <v>3.6000000000000003E-3</v>
      </c>
      <c r="G1051" s="983">
        <v>3.5791666666666671E-3</v>
      </c>
      <c r="H1051" s="983">
        <v>3.7750000000000001E-3</v>
      </c>
      <c r="I1051" s="983">
        <v>-1.5800000000000002E-2</v>
      </c>
      <c r="J1051" s="983">
        <v>-1.6979166666666667E-2</v>
      </c>
      <c r="K1051" s="983">
        <v>-1.7174999999999999E-2</v>
      </c>
      <c r="L1051" s="983">
        <v>7.6249999999999998E-3</v>
      </c>
    </row>
    <row r="1052" spans="1:12">
      <c r="A1052" s="983">
        <v>41456</v>
      </c>
      <c r="B1052" s="983">
        <v>5.0900000000000001E-2</v>
      </c>
      <c r="C1052" s="983">
        <v>3.85E-2</v>
      </c>
      <c r="D1052" s="983">
        <v>3.0000000000000001E-3</v>
      </c>
      <c r="E1052" s="983">
        <v>3.6166666666666669E-3</v>
      </c>
      <c r="F1052" s="983">
        <v>3.7166666666666667E-3</v>
      </c>
      <c r="G1052" s="983">
        <v>3.666666666666667E-3</v>
      </c>
      <c r="H1052" s="983">
        <v>3.9000000000000003E-3</v>
      </c>
      <c r="I1052" s="983">
        <v>4.7899999999999998E-2</v>
      </c>
      <c r="J1052" s="983">
        <v>4.7233333333333336E-2</v>
      </c>
      <c r="K1052" s="983">
        <v>4.7E-2</v>
      </c>
      <c r="L1052" s="983">
        <v>3.4599999999999999E-2</v>
      </c>
    </row>
    <row r="1053" spans="1:12">
      <c r="A1053" s="983">
        <v>41487</v>
      </c>
      <c r="B1053" s="983">
        <v>-2.9000000000000001E-2</v>
      </c>
      <c r="C1053" s="983">
        <v>-0.05</v>
      </c>
      <c r="D1053" s="983">
        <v>2.8E-3</v>
      </c>
      <c r="E1053" s="983">
        <v>3.7833333333333334E-3</v>
      </c>
      <c r="F1053" s="983">
        <v>3.8583333333333334E-3</v>
      </c>
      <c r="G1053" s="983">
        <v>3.8208333333333332E-3</v>
      </c>
      <c r="H1053" s="983">
        <v>3.9416666666666671E-3</v>
      </c>
      <c r="I1053" s="983">
        <v>-3.1800000000000002E-2</v>
      </c>
      <c r="J1053" s="983">
        <v>-3.2820833333333334E-2</v>
      </c>
      <c r="K1053" s="983">
        <v>-3.2941666666666668E-2</v>
      </c>
      <c r="L1053" s="983">
        <v>-5.3941666666666672E-2</v>
      </c>
    </row>
    <row r="1054" spans="1:12">
      <c r="A1054" s="983">
        <v>41518</v>
      </c>
      <c r="B1054" s="983">
        <v>3.1399999999999997E-2</v>
      </c>
      <c r="C1054" s="983">
        <v>1.0800000000000001E-2</v>
      </c>
      <c r="D1054" s="983">
        <v>2.8999999999999998E-3</v>
      </c>
      <c r="E1054" s="983">
        <v>3.8666666666666663E-3</v>
      </c>
      <c r="F1054" s="983">
        <v>3.9083333333333331E-3</v>
      </c>
      <c r="G1054" s="983">
        <v>3.8874999999999995E-3</v>
      </c>
      <c r="H1054" s="983">
        <v>4.0000000000000001E-3</v>
      </c>
      <c r="I1054" s="983">
        <v>2.8499999999999998E-2</v>
      </c>
      <c r="J1054" s="983">
        <v>2.7512499999999999E-2</v>
      </c>
      <c r="K1054" s="983">
        <v>2.7399999999999997E-2</v>
      </c>
      <c r="L1054" s="983">
        <v>6.8000000000000005E-3</v>
      </c>
    </row>
    <row r="1055" spans="1:12">
      <c r="A1055" s="983">
        <v>41548</v>
      </c>
      <c r="B1055" s="983">
        <v>4.5999999999999999E-2</v>
      </c>
      <c r="C1055" s="983">
        <v>3.7699999999999997E-2</v>
      </c>
      <c r="D1055" s="983">
        <v>2.8999999999999998E-3</v>
      </c>
      <c r="E1055" s="983">
        <v>3.7750000000000001E-3</v>
      </c>
      <c r="F1055" s="983">
        <v>3.8250000000000003E-3</v>
      </c>
      <c r="G1055" s="983">
        <v>3.8000000000000004E-3</v>
      </c>
      <c r="H1055" s="983">
        <v>3.9166666666666664E-3</v>
      </c>
      <c r="I1055" s="983">
        <v>4.3099999999999999E-2</v>
      </c>
      <c r="J1055" s="983">
        <v>4.2200000000000001E-2</v>
      </c>
      <c r="K1055" s="983">
        <v>4.2083333333333334E-2</v>
      </c>
      <c r="L1055" s="983">
        <v>3.3783333333333332E-2</v>
      </c>
    </row>
    <row r="1056" spans="1:12">
      <c r="A1056" s="983">
        <v>41579</v>
      </c>
      <c r="B1056" s="983">
        <v>3.0499999999999999E-2</v>
      </c>
      <c r="C1056" s="983">
        <v>-1.9900000000000001E-2</v>
      </c>
      <c r="D1056" s="983">
        <v>2.7000000000000001E-3</v>
      </c>
      <c r="E1056" s="983">
        <v>3.8583333333333334E-3</v>
      </c>
      <c r="F1056" s="983">
        <v>3.8916666666666665E-3</v>
      </c>
      <c r="G1056" s="983">
        <v>3.875E-3</v>
      </c>
      <c r="H1056" s="983">
        <v>3.9750000000000002E-3</v>
      </c>
      <c r="I1056" s="983">
        <v>2.7799999999999998E-2</v>
      </c>
      <c r="J1056" s="983">
        <v>2.6624999999999999E-2</v>
      </c>
      <c r="K1056" s="983">
        <v>2.6525E-2</v>
      </c>
      <c r="L1056" s="983">
        <v>-2.3875E-2</v>
      </c>
    </row>
    <row r="1057" spans="1:12">
      <c r="A1057" s="983">
        <v>41609</v>
      </c>
      <c r="B1057" s="983">
        <v>2.53E-2</v>
      </c>
      <c r="C1057" s="983">
        <v>7.6E-3</v>
      </c>
      <c r="D1057" s="983">
        <v>3.0999999999999999E-3</v>
      </c>
      <c r="E1057" s="983">
        <v>3.8499999999999997E-3</v>
      </c>
      <c r="F1057" s="983">
        <v>3.9000000000000003E-3</v>
      </c>
      <c r="G1057" s="983">
        <v>3.875E-3</v>
      </c>
      <c r="H1057" s="983">
        <v>4.0083333333333334E-3</v>
      </c>
      <c r="I1057" s="983">
        <v>2.2200000000000001E-2</v>
      </c>
      <c r="J1057" s="983">
        <v>2.1425E-2</v>
      </c>
      <c r="K1057" s="983">
        <v>2.1291666666666667E-2</v>
      </c>
      <c r="L1057" s="983">
        <v>3.5916666666666666E-3</v>
      </c>
    </row>
    <row r="1058" spans="1:12">
      <c r="A1058" s="983">
        <v>41640</v>
      </c>
      <c r="B1058" s="983">
        <v>-3.4599999999999999E-2</v>
      </c>
      <c r="C1058" s="983">
        <v>2.81E-2</v>
      </c>
      <c r="D1058" s="983">
        <v>3.2000000000000002E-3</v>
      </c>
      <c r="E1058" s="983">
        <v>3.741666666666667E-3</v>
      </c>
      <c r="F1058" s="983">
        <v>3.7750000000000001E-3</v>
      </c>
      <c r="G1058" s="983">
        <v>3.7583333333333336E-3</v>
      </c>
      <c r="H1058" s="983">
        <v>3.8583333333333334E-3</v>
      </c>
      <c r="I1058" s="983">
        <v>-3.78E-2</v>
      </c>
      <c r="J1058" s="983">
        <v>-3.8358333333333335E-2</v>
      </c>
      <c r="K1058" s="983">
        <v>-3.845833333333333E-2</v>
      </c>
      <c r="L1058" s="983">
        <v>2.4241666666666668E-2</v>
      </c>
    </row>
    <row r="1059" spans="1:12">
      <c r="A1059" s="983">
        <v>41671</v>
      </c>
      <c r="B1059" s="983">
        <v>4.5699999999999998E-2</v>
      </c>
      <c r="C1059" s="983">
        <v>3.3500000000000002E-2</v>
      </c>
      <c r="D1059" s="983">
        <v>2.5999999999999999E-3</v>
      </c>
      <c r="E1059" s="983">
        <v>3.708333333333333E-3</v>
      </c>
      <c r="F1059" s="983">
        <v>3.7166666666666667E-3</v>
      </c>
      <c r="G1059" s="983">
        <v>3.7124999999999997E-3</v>
      </c>
      <c r="H1059" s="983">
        <v>3.7750000000000001E-3</v>
      </c>
      <c r="I1059" s="983">
        <v>4.3099999999999999E-2</v>
      </c>
      <c r="J1059" s="983">
        <v>4.1987499999999997E-2</v>
      </c>
      <c r="K1059" s="983">
        <v>4.1924999999999997E-2</v>
      </c>
      <c r="L1059" s="983">
        <v>2.9725000000000001E-2</v>
      </c>
    </row>
    <row r="1060" spans="1:12">
      <c r="A1060" s="983">
        <v>41699</v>
      </c>
      <c r="B1060" s="983">
        <v>8.3999999999999995E-3</v>
      </c>
      <c r="C1060" s="983">
        <v>3.3700000000000001E-2</v>
      </c>
      <c r="D1060" s="983">
        <v>2.8999999999999998E-3</v>
      </c>
      <c r="E1060" s="983">
        <v>3.65E-3</v>
      </c>
      <c r="F1060" s="983">
        <v>3.7000000000000002E-3</v>
      </c>
      <c r="G1060" s="983">
        <v>3.6750000000000003E-3</v>
      </c>
      <c r="H1060" s="983">
        <v>3.7583333333333336E-3</v>
      </c>
      <c r="I1060" s="983">
        <v>5.4999999999999997E-3</v>
      </c>
      <c r="J1060" s="983">
        <v>4.7249999999999992E-3</v>
      </c>
      <c r="K1060" s="983">
        <v>4.6416666666666655E-3</v>
      </c>
      <c r="L1060" s="983">
        <v>2.9941666666666669E-2</v>
      </c>
    </row>
    <row r="1061" spans="1:12">
      <c r="A1061" s="983">
        <v>41730</v>
      </c>
      <c r="B1061" s="983">
        <v>7.4000000000000003E-3</v>
      </c>
      <c r="C1061" s="983">
        <v>4.2599999999999999E-2</v>
      </c>
      <c r="D1061" s="983">
        <v>2.8E-3</v>
      </c>
      <c r="E1061" s="983">
        <v>3.5333333333333332E-3</v>
      </c>
      <c r="F1061" s="983">
        <v>3.6083333333333332E-3</v>
      </c>
      <c r="G1061" s="983">
        <v>3.570833333333333E-3</v>
      </c>
      <c r="H1061" s="983">
        <v>3.6749999999999999E-3</v>
      </c>
      <c r="I1061" s="983">
        <v>4.5999999999999999E-3</v>
      </c>
      <c r="J1061" s="983">
        <v>3.8291666666666673E-3</v>
      </c>
      <c r="K1061" s="983">
        <v>3.7250000000000004E-3</v>
      </c>
      <c r="L1061" s="983">
        <v>3.8925000000000001E-2</v>
      </c>
    </row>
    <row r="1062" spans="1:12">
      <c r="A1062" s="983">
        <v>41760</v>
      </c>
      <c r="B1062" s="983">
        <v>2.35E-2</v>
      </c>
      <c r="C1062" s="983">
        <v>-1.0500000000000001E-2</v>
      </c>
      <c r="D1062" s="983">
        <v>2.8E-3</v>
      </c>
      <c r="E1062" s="983">
        <v>3.4666666666666665E-3</v>
      </c>
      <c r="F1062" s="983">
        <v>3.5000000000000001E-3</v>
      </c>
      <c r="G1062" s="983">
        <v>3.4833333333333331E-3</v>
      </c>
      <c r="H1062" s="983">
        <v>3.5499999999999998E-3</v>
      </c>
      <c r="I1062" s="983">
        <v>2.07E-2</v>
      </c>
      <c r="J1062" s="983">
        <v>2.0016666666666669E-2</v>
      </c>
      <c r="K1062" s="983">
        <v>1.9949999999999999E-2</v>
      </c>
      <c r="L1062" s="983">
        <v>-1.405E-2</v>
      </c>
    </row>
    <row r="1063" spans="1:12">
      <c r="A1063" s="983">
        <v>41791</v>
      </c>
      <c r="B1063" s="983">
        <v>2.07E-2</v>
      </c>
      <c r="C1063" s="983">
        <v>4.48E-2</v>
      </c>
      <c r="D1063" s="983">
        <v>2.5000000000000001E-3</v>
      </c>
      <c r="E1063" s="983">
        <v>3.5416666666666669E-3</v>
      </c>
      <c r="F1063" s="983">
        <v>3.5499999999999998E-3</v>
      </c>
      <c r="G1063" s="983">
        <v>3.5458333333333331E-3</v>
      </c>
      <c r="H1063" s="983">
        <v>3.5750000000000001E-3</v>
      </c>
      <c r="I1063" s="983">
        <v>1.8200000000000001E-2</v>
      </c>
      <c r="J1063" s="983">
        <v>1.7154166666666665E-2</v>
      </c>
      <c r="K1063" s="983">
        <v>1.7125000000000001E-2</v>
      </c>
      <c r="L1063" s="983">
        <v>4.1224999999999998E-2</v>
      </c>
    </row>
    <row r="1064" spans="1:12">
      <c r="A1064" s="983">
        <v>41821</v>
      </c>
      <c r="B1064" s="983">
        <v>-1.38E-2</v>
      </c>
      <c r="C1064" s="983">
        <v>-6.8000000000000005E-2</v>
      </c>
      <c r="D1064" s="983">
        <v>2.7000000000000001E-3</v>
      </c>
      <c r="E1064" s="983">
        <v>3.4666666666666665E-3</v>
      </c>
      <c r="F1064" s="983">
        <v>3.5000000000000001E-3</v>
      </c>
      <c r="G1064" s="983">
        <v>3.4833333333333331E-3</v>
      </c>
      <c r="H1064" s="983">
        <v>3.5249999999999999E-3</v>
      </c>
      <c r="I1064" s="983">
        <v>-1.6500000000000001E-2</v>
      </c>
      <c r="J1064" s="983">
        <v>-1.7283333333333331E-2</v>
      </c>
      <c r="K1064" s="983">
        <v>-1.7325E-2</v>
      </c>
      <c r="L1064" s="983">
        <v>-7.1525000000000005E-2</v>
      </c>
    </row>
    <row r="1065" spans="1:12">
      <c r="A1065" s="983">
        <v>41852</v>
      </c>
      <c r="B1065" s="983">
        <v>0.04</v>
      </c>
      <c r="C1065" s="983">
        <v>4.9500000000000002E-2</v>
      </c>
      <c r="D1065" s="983">
        <v>2.5999999999999999E-3</v>
      </c>
      <c r="E1065" s="983">
        <v>3.4000000000000002E-3</v>
      </c>
      <c r="F1065" s="983">
        <v>3.4166666666666668E-3</v>
      </c>
      <c r="G1065" s="983">
        <v>3.4083333333333335E-3</v>
      </c>
      <c r="H1065" s="983">
        <v>3.4416666666666671E-3</v>
      </c>
      <c r="I1065" s="983">
        <v>3.7400000000000003E-2</v>
      </c>
      <c r="J1065" s="983">
        <v>3.6591666666666668E-2</v>
      </c>
      <c r="K1065" s="983">
        <v>3.6558333333333332E-2</v>
      </c>
      <c r="L1065" s="983">
        <v>4.6058333333333333E-2</v>
      </c>
    </row>
    <row r="1066" spans="1:12">
      <c r="A1066" s="983">
        <v>41883</v>
      </c>
      <c r="B1066" s="983">
        <v>-1.4E-2</v>
      </c>
      <c r="C1066" s="983">
        <v>-1.8599999999999998E-2</v>
      </c>
      <c r="D1066" s="983">
        <v>2.3E-3</v>
      </c>
      <c r="E1066" s="983">
        <v>3.4249999999999997E-3</v>
      </c>
      <c r="F1066" s="983">
        <v>3.4916666666666668E-3</v>
      </c>
      <c r="G1066" s="983">
        <v>3.4583333333333332E-3</v>
      </c>
      <c r="H1066" s="983">
        <v>3.5333333333333332E-3</v>
      </c>
      <c r="I1066" s="983">
        <v>-1.6300000000000002E-2</v>
      </c>
      <c r="J1066" s="983">
        <v>-1.7458333333333333E-2</v>
      </c>
      <c r="K1066" s="983">
        <v>-1.7533333333333335E-2</v>
      </c>
      <c r="L1066" s="983">
        <v>-2.2133333333333331E-2</v>
      </c>
    </row>
    <row r="1067" spans="1:12">
      <c r="A1067" s="983">
        <v>41913</v>
      </c>
      <c r="B1067" s="983">
        <v>2.4400000000000002E-2</v>
      </c>
      <c r="C1067" s="983">
        <v>8.0199999999999994E-2</v>
      </c>
      <c r="D1067" s="983">
        <v>2.5000000000000001E-3</v>
      </c>
      <c r="E1067" s="983">
        <v>3.2666666666666664E-3</v>
      </c>
      <c r="F1067" s="983">
        <v>3.3249999999999998E-3</v>
      </c>
      <c r="G1067" s="983">
        <v>3.2958333333333329E-3</v>
      </c>
      <c r="H1067" s="983">
        <v>3.3833333333333332E-3</v>
      </c>
      <c r="I1067" s="983">
        <v>2.1900000000000003E-2</v>
      </c>
      <c r="J1067" s="983">
        <v>2.1104166666666667E-2</v>
      </c>
      <c r="K1067" s="983">
        <v>2.101666666666667E-2</v>
      </c>
      <c r="L1067" s="983">
        <v>7.6816666666666658E-2</v>
      </c>
    </row>
    <row r="1068" spans="1:12">
      <c r="A1068" s="983">
        <v>41944</v>
      </c>
      <c r="B1068" s="983">
        <v>2.69E-2</v>
      </c>
      <c r="C1068" s="983">
        <v>1.2E-2</v>
      </c>
      <c r="D1068" s="983">
        <v>2.3E-3</v>
      </c>
      <c r="E1068" s="983">
        <v>3.2666666666666664E-3</v>
      </c>
      <c r="F1068" s="983">
        <v>3.3666666666666667E-3</v>
      </c>
      <c r="G1068" s="983">
        <v>3.3166666666666665E-3</v>
      </c>
      <c r="H1068" s="983">
        <v>3.4083333333333331E-3</v>
      </c>
      <c r="I1068" s="983">
        <v>2.46E-2</v>
      </c>
      <c r="J1068" s="983">
        <v>2.3583333333333335E-2</v>
      </c>
      <c r="K1068" s="983">
        <v>2.3491666666666668E-2</v>
      </c>
      <c r="L1068" s="983">
        <v>8.5916666666666676E-3</v>
      </c>
    </row>
    <row r="1069" spans="1:12">
      <c r="A1069" s="983">
        <v>41974</v>
      </c>
      <c r="B1069" s="983">
        <v>-2.5000000000000001E-3</v>
      </c>
      <c r="C1069" s="983">
        <v>3.5000000000000003E-2</v>
      </c>
      <c r="D1069" s="983">
        <v>2.2000000000000001E-3</v>
      </c>
      <c r="E1069" s="983">
        <v>3.1583333333333337E-3</v>
      </c>
      <c r="F1069" s="983">
        <v>3.2416666666666666E-3</v>
      </c>
      <c r="G1069" s="983">
        <v>3.2000000000000002E-3</v>
      </c>
      <c r="H1069" s="983">
        <v>3.2916666666666667E-3</v>
      </c>
      <c r="I1069" s="983">
        <v>-4.7000000000000002E-3</v>
      </c>
      <c r="J1069" s="983">
        <v>-5.7000000000000002E-3</v>
      </c>
      <c r="K1069" s="983">
        <v>-5.7916666666666672E-3</v>
      </c>
      <c r="L1069" s="983">
        <v>3.1708333333333338E-2</v>
      </c>
    </row>
    <row r="1070" spans="1:12">
      <c r="A1070" s="983">
        <v>42005</v>
      </c>
      <c r="B1070" s="983">
        <v>-0.03</v>
      </c>
      <c r="C1070" s="983">
        <v>2.3300000000000001E-2</v>
      </c>
      <c r="D1070" s="983">
        <v>2E-3</v>
      </c>
      <c r="E1070" s="983">
        <v>2.8833333333333332E-3</v>
      </c>
      <c r="F1070" s="983">
        <v>2.9499999999999999E-3</v>
      </c>
      <c r="G1070" s="983">
        <v>2.9166666666666664E-3</v>
      </c>
      <c r="H1070" s="983">
        <v>2.9833333333333331E-3</v>
      </c>
      <c r="I1070" s="983">
        <v>-3.2000000000000001E-2</v>
      </c>
      <c r="J1070" s="983">
        <v>-3.2916666666666664E-2</v>
      </c>
      <c r="K1070" s="983">
        <v>-3.298333333333333E-2</v>
      </c>
      <c r="L1070" s="983">
        <v>2.0316666666666667E-2</v>
      </c>
    </row>
    <row r="1071" spans="1:12">
      <c r="A1071" s="983">
        <v>42036</v>
      </c>
      <c r="B1071" s="983">
        <v>5.7500000000000002E-2</v>
      </c>
      <c r="C1071" s="983">
        <v>-6.3299999999999995E-2</v>
      </c>
      <c r="D1071" s="983">
        <v>1.5E-3</v>
      </c>
      <c r="E1071" s="983">
        <v>3.0083333333333333E-3</v>
      </c>
      <c r="F1071" s="983">
        <v>3.0333333333333336E-3</v>
      </c>
      <c r="G1071" s="983">
        <v>3.0208333333333337E-3</v>
      </c>
      <c r="H1071" s="983">
        <v>3.0583333333333335E-3</v>
      </c>
      <c r="I1071" s="983">
        <v>5.6000000000000001E-2</v>
      </c>
      <c r="J1071" s="983">
        <v>5.4479166666666669E-2</v>
      </c>
      <c r="K1071" s="983">
        <v>5.4441666666666666E-2</v>
      </c>
      <c r="L1071" s="983">
        <v>-6.6358333333333325E-2</v>
      </c>
    </row>
    <row r="1072" spans="1:12">
      <c r="A1072" s="983">
        <v>42064</v>
      </c>
      <c r="B1072" s="983">
        <v>-1.5800000000000002E-2</v>
      </c>
      <c r="C1072" s="983">
        <v>-4.8999999999999998E-3</v>
      </c>
      <c r="D1072" s="983">
        <v>2.0999999999999999E-3</v>
      </c>
      <c r="E1072" s="983">
        <v>3.0333333333333336E-3</v>
      </c>
      <c r="F1072" s="983">
        <v>3.0833333333333333E-3</v>
      </c>
      <c r="G1072" s="983">
        <v>3.0583333333333335E-3</v>
      </c>
      <c r="H1072" s="983">
        <v>3.1166666666666669E-3</v>
      </c>
      <c r="I1072" s="983">
        <v>-1.7900000000000003E-2</v>
      </c>
      <c r="J1072" s="983">
        <v>-1.8858333333333335E-2</v>
      </c>
      <c r="K1072" s="983">
        <v>-1.8916666666666668E-2</v>
      </c>
      <c r="L1072" s="983">
        <v>-8.0166666666666667E-3</v>
      </c>
    </row>
    <row r="1073" spans="1:12">
      <c r="A1073" s="983">
        <v>42095</v>
      </c>
      <c r="B1073" s="983">
        <v>9.5999999999999992E-3</v>
      </c>
      <c r="C1073" s="983">
        <v>-1.29E-2</v>
      </c>
      <c r="D1073" s="983">
        <v>1.9E-3</v>
      </c>
      <c r="E1073" s="983">
        <v>2.9333333333333334E-3</v>
      </c>
      <c r="F1073" s="983">
        <v>3.0333333333333336E-3</v>
      </c>
      <c r="G1073" s="983">
        <v>2.9833333333333335E-3</v>
      </c>
      <c r="H1073" s="983">
        <v>3.1249999999999997E-3</v>
      </c>
      <c r="I1073" s="983">
        <v>7.6999999999999994E-3</v>
      </c>
      <c r="J1073" s="983">
        <v>6.6166666666666657E-3</v>
      </c>
      <c r="K1073" s="983">
        <v>6.4749999999999999E-3</v>
      </c>
      <c r="L1073" s="983">
        <v>-1.6025000000000001E-2</v>
      </c>
    </row>
    <row r="1074" spans="1:12">
      <c r="A1074" s="983">
        <v>42125</v>
      </c>
      <c r="B1074" s="983">
        <v>1.29E-2</v>
      </c>
      <c r="C1074" s="983">
        <v>6.4999999999999997E-3</v>
      </c>
      <c r="D1074" s="983">
        <v>2E-3</v>
      </c>
      <c r="E1074" s="983">
        <v>3.316666666666667E-3</v>
      </c>
      <c r="F1074" s="983">
        <v>3.4000000000000002E-3</v>
      </c>
      <c r="G1074" s="983">
        <v>3.3583333333333338E-3</v>
      </c>
      <c r="H1074" s="983">
        <v>3.4750000000000002E-3</v>
      </c>
      <c r="I1074" s="983">
        <v>1.09E-2</v>
      </c>
      <c r="J1074" s="983">
        <v>9.541666666666667E-3</v>
      </c>
      <c r="K1074" s="983">
        <v>9.4249999999999994E-3</v>
      </c>
      <c r="L1074" s="983">
        <v>3.0249999999999995E-3</v>
      </c>
    </row>
    <row r="1075" spans="1:12">
      <c r="A1075" s="983">
        <v>42156</v>
      </c>
      <c r="B1075" s="983">
        <v>-1.9400000000000001E-2</v>
      </c>
      <c r="C1075" s="983">
        <v>-0.06</v>
      </c>
      <c r="D1075" s="983">
        <v>2.3E-3</v>
      </c>
      <c r="E1075" s="983">
        <v>3.4916666666666668E-3</v>
      </c>
      <c r="F1075" s="983">
        <v>3.5583333333333326E-3</v>
      </c>
      <c r="G1075" s="983">
        <v>3.5249999999999995E-3</v>
      </c>
      <c r="H1075" s="983">
        <v>3.6583333333333329E-3</v>
      </c>
      <c r="I1075" s="983">
        <v>-2.1700000000000001E-2</v>
      </c>
      <c r="J1075" s="983">
        <v>-2.2925000000000001E-2</v>
      </c>
      <c r="K1075" s="983">
        <v>-2.3058333333333333E-2</v>
      </c>
      <c r="L1075" s="983">
        <v>-6.3658333333333331E-2</v>
      </c>
    </row>
    <row r="1076" spans="1:12">
      <c r="A1076" s="983">
        <v>42186</v>
      </c>
      <c r="B1076" s="983">
        <v>2.1000000000000001E-2</v>
      </c>
      <c r="C1076" s="983">
        <v>4.8099999999999997E-2</v>
      </c>
      <c r="D1076" s="983">
        <v>2.3999999999999998E-3</v>
      </c>
      <c r="E1076" s="983">
        <v>3.4583333333333337E-3</v>
      </c>
      <c r="F1076" s="983">
        <v>3.5416666666666669E-3</v>
      </c>
      <c r="G1076" s="983">
        <v>3.5000000000000005E-3</v>
      </c>
      <c r="H1076" s="983">
        <v>3.666666666666667E-3</v>
      </c>
      <c r="I1076" s="983">
        <v>1.8600000000000002E-2</v>
      </c>
      <c r="J1076" s="983">
        <v>1.7500000000000002E-2</v>
      </c>
      <c r="K1076" s="983">
        <v>1.7333333333333333E-2</v>
      </c>
      <c r="L1076" s="983">
        <v>4.4433333333333332E-2</v>
      </c>
    </row>
    <row r="1077" spans="1:12">
      <c r="A1077" s="983">
        <v>42217</v>
      </c>
      <c r="B1077" s="983">
        <v>-6.0299999999999999E-2</v>
      </c>
      <c r="C1077" s="983">
        <v>-3.9699999999999999E-2</v>
      </c>
      <c r="D1077" s="983">
        <v>2.2000000000000001E-3</v>
      </c>
      <c r="E1077" s="983">
        <v>3.3666666666666667E-3</v>
      </c>
      <c r="F1077" s="983">
        <v>3.4416666666666667E-3</v>
      </c>
      <c r="G1077" s="983">
        <v>3.4041666666666665E-3</v>
      </c>
      <c r="H1077" s="983">
        <v>3.5416666666666669E-3</v>
      </c>
      <c r="I1077" s="983">
        <v>-6.25E-2</v>
      </c>
      <c r="J1077" s="983">
        <v>-6.3704166666666673E-2</v>
      </c>
      <c r="K1077" s="983">
        <v>-6.3841666666666672E-2</v>
      </c>
      <c r="L1077" s="983">
        <v>-4.3241666666666664E-2</v>
      </c>
    </row>
    <row r="1078" spans="1:12">
      <c r="A1078" s="983">
        <v>42248</v>
      </c>
      <c r="B1078" s="983">
        <v>-2.47E-2</v>
      </c>
      <c r="C1078" s="983">
        <v>2.9000000000000001E-2</v>
      </c>
      <c r="D1078" s="983">
        <v>2.0999999999999999E-3</v>
      </c>
      <c r="E1078" s="983">
        <v>3.3916666666666665E-3</v>
      </c>
      <c r="F1078" s="983">
        <v>3.5083333333333334E-3</v>
      </c>
      <c r="G1078" s="983">
        <v>3.4499999999999999E-3</v>
      </c>
      <c r="H1078" s="983">
        <v>3.6583333333333329E-3</v>
      </c>
      <c r="I1078" s="983">
        <v>-2.6800000000000001E-2</v>
      </c>
      <c r="J1078" s="983">
        <v>-2.8150000000000001E-2</v>
      </c>
      <c r="K1078" s="983">
        <v>-2.8358333333333333E-2</v>
      </c>
      <c r="L1078" s="983">
        <v>2.5341666666666669E-2</v>
      </c>
    </row>
    <row r="1079" spans="1:12">
      <c r="A1079" s="983">
        <v>42278</v>
      </c>
      <c r="B1079" s="983">
        <v>8.4400000000000003E-2</v>
      </c>
      <c r="C1079" s="983">
        <v>1.0800000000000001E-2</v>
      </c>
      <c r="D1079" s="983">
        <v>2.0999999999999999E-3</v>
      </c>
      <c r="E1079" s="983">
        <v>3.2916666666666667E-3</v>
      </c>
      <c r="F1079" s="983">
        <v>3.4250000000000001E-3</v>
      </c>
      <c r="G1079" s="983">
        <v>3.3583333333333334E-3</v>
      </c>
      <c r="H1079" s="983">
        <v>3.5750000000000001E-3</v>
      </c>
      <c r="I1079" s="983">
        <v>8.2299999999999998E-2</v>
      </c>
      <c r="J1079" s="983">
        <v>8.1041666666666665E-2</v>
      </c>
      <c r="K1079" s="983">
        <v>8.0825000000000008E-2</v>
      </c>
      <c r="L1079" s="983">
        <v>7.2250000000000005E-3</v>
      </c>
    </row>
    <row r="1080" spans="1:12">
      <c r="A1080" s="983">
        <v>42309</v>
      </c>
      <c r="B1080" s="983">
        <v>3.0000000000000001E-3</v>
      </c>
      <c r="C1080" s="983">
        <v>-2.1299999999999999E-2</v>
      </c>
      <c r="D1080" s="983">
        <v>2.2000000000000001E-3</v>
      </c>
      <c r="E1080" s="983">
        <v>3.3833333333333332E-3</v>
      </c>
      <c r="F1080" s="983">
        <v>3.5083333333333334E-3</v>
      </c>
      <c r="G1080" s="983">
        <v>3.4458333333333333E-3</v>
      </c>
      <c r="H1080" s="983">
        <v>3.666666666666667E-3</v>
      </c>
      <c r="I1080" s="983">
        <v>7.9999999999999993E-4</v>
      </c>
      <c r="J1080" s="983">
        <v>-4.4583333333333324E-4</v>
      </c>
      <c r="K1080" s="983">
        <v>-6.6666666666666697E-4</v>
      </c>
      <c r="L1080" s="983">
        <v>-2.4966666666666665E-2</v>
      </c>
    </row>
    <row r="1081" spans="1:12">
      <c r="A1081" s="983">
        <v>42339</v>
      </c>
      <c r="B1081" s="983">
        <v>-1.5800000000000002E-2</v>
      </c>
      <c r="C1081" s="983">
        <v>2.1600000000000001E-2</v>
      </c>
      <c r="D1081" s="983">
        <v>2.2000000000000001E-3</v>
      </c>
      <c r="E1081" s="983">
        <v>3.3083333333333333E-3</v>
      </c>
      <c r="F1081" s="983">
        <v>3.4666666666666669E-3</v>
      </c>
      <c r="G1081" s="983">
        <v>3.3874999999999999E-3</v>
      </c>
      <c r="H1081" s="983">
        <v>3.6249999999999998E-3</v>
      </c>
      <c r="I1081" s="983">
        <v>-1.8000000000000002E-2</v>
      </c>
      <c r="J1081" s="983">
        <v>-1.9187500000000003E-2</v>
      </c>
      <c r="K1081" s="983">
        <v>-1.9425000000000001E-2</v>
      </c>
      <c r="L1081" s="983">
        <v>1.7975000000000001E-2</v>
      </c>
    </row>
    <row r="1082" spans="1:12">
      <c r="A1082" s="983">
        <v>42370</v>
      </c>
      <c r="B1082" s="983">
        <v>-4.9599999999999998E-2</v>
      </c>
      <c r="C1082" s="983">
        <v>4.9222952667868664E-2</v>
      </c>
      <c r="D1082" s="983">
        <v>2.0999999999999999E-3</v>
      </c>
      <c r="E1082" s="983">
        <v>3.3333333333333331E-3</v>
      </c>
      <c r="F1082" s="983">
        <v>3.4333333333333334E-3</v>
      </c>
      <c r="G1082" s="983">
        <v>3.3833333333333332E-3</v>
      </c>
      <c r="H1082" s="983">
        <v>3.5583333333333326E-3</v>
      </c>
      <c r="I1082" s="983">
        <v>-5.1699999999999996E-2</v>
      </c>
      <c r="J1082" s="983">
        <v>-5.2983333333333334E-2</v>
      </c>
      <c r="K1082" s="983">
        <v>-5.3158333333333328E-2</v>
      </c>
      <c r="L1082" s="983">
        <v>4.5664619334535334E-2</v>
      </c>
    </row>
    <row r="1083" spans="1:12">
      <c r="A1083" s="983">
        <v>42401</v>
      </c>
      <c r="B1083" s="983">
        <v>-1.2999999999999999E-3</v>
      </c>
      <c r="C1083" s="983">
        <v>1.94081804074543E-2</v>
      </c>
      <c r="D1083" s="983">
        <v>2E-3</v>
      </c>
      <c r="E1083" s="983">
        <v>3.3E-3</v>
      </c>
      <c r="F1083" s="983">
        <v>3.3166666666666665E-3</v>
      </c>
      <c r="G1083" s="983">
        <v>3.3083333333333333E-3</v>
      </c>
      <c r="H1083" s="983">
        <v>3.4250000000000001E-3</v>
      </c>
      <c r="I1083" s="983">
        <v>-3.3E-3</v>
      </c>
      <c r="J1083" s="983">
        <v>-4.6083333333333332E-3</v>
      </c>
      <c r="K1083" s="983">
        <v>-4.725E-3</v>
      </c>
      <c r="L1083" s="983">
        <v>1.5983180407454299E-2</v>
      </c>
    </row>
    <row r="1084" spans="1:12">
      <c r="A1084" s="983">
        <v>42430</v>
      </c>
      <c r="B1084" s="983">
        <v>6.7799999999999999E-2</v>
      </c>
      <c r="C1084" s="983">
        <v>8.14E-2</v>
      </c>
      <c r="D1084" s="983">
        <v>1.8E-3</v>
      </c>
      <c r="E1084" s="983">
        <v>3.1833333333333332E-3</v>
      </c>
      <c r="F1084" s="983">
        <v>3.2583333333333336E-3</v>
      </c>
      <c r="G1084" s="983">
        <v>3.2208333333333334E-3</v>
      </c>
      <c r="H1084" s="983">
        <v>3.4666666666666669E-3</v>
      </c>
      <c r="I1084" s="983">
        <v>6.6000000000000003E-2</v>
      </c>
      <c r="J1084" s="983">
        <v>6.457916666666666E-2</v>
      </c>
      <c r="K1084" s="983">
        <v>6.4333333333333326E-2</v>
      </c>
      <c r="L1084" s="983">
        <v>7.7933333333333327E-2</v>
      </c>
    </row>
    <row r="1085" spans="1:12">
      <c r="A1085" s="983">
        <v>42461</v>
      </c>
      <c r="B1085" s="983">
        <v>3.8999999999999998E-3</v>
      </c>
      <c r="C1085" s="983">
        <v>-2.41E-2</v>
      </c>
      <c r="D1085" s="983">
        <v>1.6999999999999999E-3</v>
      </c>
      <c r="E1085" s="983">
        <v>3.1833333333333332E-3</v>
      </c>
      <c r="F1085" s="983">
        <v>3.2583333333333336E-3</v>
      </c>
      <c r="G1085" s="983">
        <v>3.2208333333333334E-3</v>
      </c>
      <c r="H1085" s="983">
        <v>3.4666666666666669E-3</v>
      </c>
      <c r="I1085" s="983">
        <v>2.1999999999999997E-3</v>
      </c>
      <c r="J1085" s="983">
        <v>6.7916666666666646E-4</v>
      </c>
      <c r="K1085" s="983">
        <v>4.3333333333333288E-4</v>
      </c>
      <c r="L1085" s="983">
        <v>-2.7566666666666666E-2</v>
      </c>
    </row>
    <row r="1086" spans="1:12">
      <c r="A1086" s="983">
        <v>42491</v>
      </c>
      <c r="B1086" s="983">
        <v>1.7999999999999999E-2</v>
      </c>
      <c r="C1086" s="983">
        <v>1.5100000000000001E-2</v>
      </c>
      <c r="D1086" s="983">
        <v>2E-3</v>
      </c>
      <c r="E1086" s="983">
        <v>3.0416666666666665E-3</v>
      </c>
      <c r="F1086" s="983">
        <v>3.0833333333333333E-3</v>
      </c>
      <c r="G1086" s="983">
        <v>3.0625000000000001E-3</v>
      </c>
      <c r="H1086" s="983">
        <v>3.2750000000000001E-3</v>
      </c>
      <c r="I1086" s="983">
        <v>1.6E-2</v>
      </c>
      <c r="J1086" s="983">
        <v>1.4937499999999999E-2</v>
      </c>
      <c r="K1086" s="983">
        <v>1.4724999999999999E-2</v>
      </c>
      <c r="L1086" s="983">
        <v>1.1825E-2</v>
      </c>
    </row>
    <row r="1087" spans="1:12">
      <c r="A1087" s="983">
        <v>42522</v>
      </c>
      <c r="B1087" s="983">
        <v>2.5999999999999999E-3</v>
      </c>
      <c r="C1087" s="983">
        <v>7.7899999999999997E-2</v>
      </c>
      <c r="D1087" s="983">
        <v>1.8E-3</v>
      </c>
      <c r="E1087" s="983">
        <v>2.9166666666666668E-3</v>
      </c>
      <c r="F1087" s="983">
        <v>3.0000000000000001E-3</v>
      </c>
      <c r="G1087" s="983">
        <v>2.9583333333333336E-3</v>
      </c>
      <c r="H1087" s="983">
        <v>3.15E-3</v>
      </c>
      <c r="I1087" s="983">
        <v>7.9999999999999993E-4</v>
      </c>
      <c r="J1087" s="983">
        <v>-3.5833333333333377E-4</v>
      </c>
      <c r="K1087" s="983">
        <v>-5.5000000000000014E-4</v>
      </c>
      <c r="L1087" s="983">
        <v>7.4749999999999997E-2</v>
      </c>
    </row>
    <row r="1088" spans="1:12">
      <c r="A1088" s="983">
        <v>42552</v>
      </c>
      <c r="B1088" s="983">
        <v>3.6900000000000002E-2</v>
      </c>
      <c r="C1088" s="983">
        <v>-8.0000000000000002E-3</v>
      </c>
      <c r="D1088" s="983">
        <v>1.4E-3</v>
      </c>
      <c r="E1088" s="983">
        <v>2.7333333333333337E-3</v>
      </c>
      <c r="F1088" s="983">
        <v>2.8250000000000003E-3</v>
      </c>
      <c r="G1088" s="983">
        <v>2.7791666666666668E-3</v>
      </c>
      <c r="H1088" s="983">
        <v>2.9749999999999998E-3</v>
      </c>
      <c r="I1088" s="983">
        <v>3.5500000000000004E-2</v>
      </c>
      <c r="J1088" s="983">
        <v>3.4120833333333336E-2</v>
      </c>
      <c r="K1088" s="983">
        <v>3.3925000000000004E-2</v>
      </c>
      <c r="L1088" s="983">
        <v>-1.0975E-2</v>
      </c>
    </row>
    <row r="1089" spans="1:12">
      <c r="A1089" s="983">
        <v>42583</v>
      </c>
      <c r="B1089" s="983">
        <v>1.4E-3</v>
      </c>
      <c r="C1089" s="983">
        <v>-5.5100000000000003E-2</v>
      </c>
      <c r="D1089" s="983">
        <v>1.6000000000000001E-3</v>
      </c>
      <c r="E1089" s="983">
        <v>2.7666666666666668E-3</v>
      </c>
      <c r="F1089" s="983">
        <v>2.8499999999999997E-3</v>
      </c>
      <c r="G1089" s="983">
        <v>2.8083333333333333E-3</v>
      </c>
      <c r="H1089" s="983">
        <v>2.9916666666666663E-3</v>
      </c>
      <c r="I1089" s="983">
        <v>-2.0000000000000009E-4</v>
      </c>
      <c r="J1089" s="983">
        <v>-1.4083333333333333E-3</v>
      </c>
      <c r="K1089" s="983">
        <v>-1.5916666666666664E-3</v>
      </c>
      <c r="L1089" s="983">
        <v>-5.8091666666666666E-2</v>
      </c>
    </row>
    <row r="1090" spans="1:12">
      <c r="A1090" s="983">
        <v>42614</v>
      </c>
      <c r="B1090" s="983">
        <v>2.0000000000000001E-4</v>
      </c>
      <c r="C1090" s="983">
        <v>4.0000000000000001E-3</v>
      </c>
      <c r="D1090" s="983">
        <v>1.5E-3</v>
      </c>
      <c r="E1090" s="983">
        <v>2.8416666666666668E-3</v>
      </c>
      <c r="F1090" s="983">
        <v>2.9166666666666668E-3</v>
      </c>
      <c r="G1090" s="983">
        <v>2.879166666666667E-3</v>
      </c>
      <c r="H1090" s="983">
        <v>3.0499999999999998E-3</v>
      </c>
      <c r="I1090" s="983">
        <v>-1.2999999999999999E-3</v>
      </c>
      <c r="J1090" s="983">
        <v>-2.6791666666666669E-3</v>
      </c>
      <c r="K1090" s="983">
        <v>-2.8499999999999997E-3</v>
      </c>
      <c r="L1090" s="983">
        <v>9.5000000000000032E-4</v>
      </c>
    </row>
    <row r="1091" spans="1:12">
      <c r="A1091" s="983">
        <v>42644</v>
      </c>
      <c r="B1091" s="983">
        <v>-1.8200000000000001E-2</v>
      </c>
      <c r="C1091" s="983">
        <v>8.6E-3</v>
      </c>
      <c r="D1091" s="983">
        <v>1.6000000000000001E-3</v>
      </c>
      <c r="E1091" s="983">
        <v>2.8416666666666668E-3</v>
      </c>
      <c r="F1091" s="983">
        <v>2.9166666666666668E-3</v>
      </c>
      <c r="G1091" s="983">
        <v>2.879166666666667E-3</v>
      </c>
      <c r="H1091" s="983">
        <v>3.0499999999999998E-3</v>
      </c>
      <c r="I1091" s="983">
        <v>-1.9800000000000002E-2</v>
      </c>
      <c r="J1091" s="983">
        <v>-2.107916666666667E-2</v>
      </c>
      <c r="K1091" s="983">
        <v>-2.1250000000000002E-2</v>
      </c>
      <c r="L1091" s="983">
        <v>5.5500000000000002E-3</v>
      </c>
    </row>
    <row r="1092" spans="1:12">
      <c r="A1092" s="983">
        <v>42675</v>
      </c>
      <c r="B1092" s="983">
        <v>3.6999999999999998E-2</v>
      </c>
      <c r="C1092" s="983">
        <v>-5.3900000000000003E-2</v>
      </c>
      <c r="D1092" s="983">
        <v>1.8E-3</v>
      </c>
      <c r="E1092" s="983">
        <v>3.2166666666666667E-3</v>
      </c>
      <c r="F1092" s="983">
        <v>3.2750000000000001E-3</v>
      </c>
      <c r="G1092" s="983">
        <v>3.2458333333333332E-3</v>
      </c>
      <c r="H1092" s="983">
        <v>3.4000000000000002E-3</v>
      </c>
      <c r="I1092" s="983">
        <v>3.5199999999999995E-2</v>
      </c>
      <c r="J1092" s="983">
        <v>3.3754166666666668E-2</v>
      </c>
      <c r="K1092" s="983">
        <v>3.3599999999999998E-2</v>
      </c>
      <c r="L1092" s="983">
        <v>-5.7300000000000004E-2</v>
      </c>
    </row>
    <row r="1093" spans="1:12">
      <c r="A1093" s="983">
        <v>42705</v>
      </c>
      <c r="B1093" s="983">
        <v>1.9800000000000002E-2</v>
      </c>
      <c r="C1093" s="983">
        <v>4.9399999999999999E-2</v>
      </c>
      <c r="D1093" s="983">
        <v>2.2000000000000001E-3</v>
      </c>
      <c r="E1093" s="983">
        <v>3.3833333333333332E-3</v>
      </c>
      <c r="F1093" s="983">
        <v>3.4333333333333334E-3</v>
      </c>
      <c r="G1093" s="983">
        <v>3.4083333333333335E-3</v>
      </c>
      <c r="H1093" s="983">
        <v>3.5583333333333326E-3</v>
      </c>
      <c r="I1093" s="983">
        <v>1.7600000000000001E-2</v>
      </c>
      <c r="J1093" s="983">
        <v>1.6391666666666669E-2</v>
      </c>
      <c r="K1093" s="983">
        <v>1.6241666666666668E-2</v>
      </c>
      <c r="L1093" s="983">
        <v>4.5841666666666669E-2</v>
      </c>
    </row>
    <row r="1094" spans="1:12">
      <c r="A1094" s="983">
        <v>42736</v>
      </c>
      <c r="B1094" s="983">
        <v>1.9E-2</v>
      </c>
      <c r="C1094" s="983">
        <v>1.26E-2</v>
      </c>
      <c r="D1094" s="983">
        <v>2.3999999999999998E-3</v>
      </c>
      <c r="E1094" s="983">
        <v>3.2666666666666664E-3</v>
      </c>
      <c r="F1094" s="983">
        <v>3.3166666666666665E-3</v>
      </c>
      <c r="G1094" s="983">
        <v>3.2916666666666667E-3</v>
      </c>
      <c r="H1094" s="983">
        <v>3.4499999999999999E-3</v>
      </c>
      <c r="I1094" s="983">
        <v>1.66E-2</v>
      </c>
      <c r="J1094" s="983">
        <v>1.5708333333333331E-2</v>
      </c>
      <c r="K1094" s="983">
        <v>1.555E-2</v>
      </c>
      <c r="L1094" s="983">
        <v>9.1500000000000001E-3</v>
      </c>
    </row>
    <row r="1095" spans="1:12">
      <c r="A1095" s="983">
        <v>42767</v>
      </c>
      <c r="B1095" s="983">
        <v>3.9699999999999999E-2</v>
      </c>
      <c r="C1095" s="983">
        <v>5.2600000000000001E-2</v>
      </c>
      <c r="D1095" s="983">
        <v>2.0999999999999999E-3</v>
      </c>
      <c r="E1095" s="983">
        <v>3.2916666666666667E-3</v>
      </c>
      <c r="F1095" s="983">
        <v>3.3416666666666668E-3</v>
      </c>
      <c r="G1095" s="983">
        <v>3.3166666666666665E-3</v>
      </c>
      <c r="H1095" s="983">
        <v>3.4250000000000001E-3</v>
      </c>
      <c r="I1095" s="983">
        <v>3.7600000000000001E-2</v>
      </c>
      <c r="J1095" s="983">
        <v>3.638333333333333E-2</v>
      </c>
      <c r="K1095" s="983">
        <v>3.6275000000000002E-2</v>
      </c>
      <c r="L1095" s="983">
        <v>4.9175000000000003E-2</v>
      </c>
    </row>
    <row r="1096" spans="1:12">
      <c r="A1096" s="983">
        <v>42795</v>
      </c>
      <c r="B1096" s="983">
        <v>1.1999999999999999E-3</v>
      </c>
      <c r="C1096" s="983">
        <v>2.98E-2</v>
      </c>
      <c r="D1096" s="983">
        <v>2.3E-3</v>
      </c>
      <c r="E1096" s="983">
        <v>3.2916666666666667E-3</v>
      </c>
      <c r="F1096" s="983">
        <v>3.3416666666666668E-3</v>
      </c>
      <c r="G1096" s="983">
        <v>3.3166666666666665E-3</v>
      </c>
      <c r="H1096" s="983">
        <v>3.4833333333333331E-3</v>
      </c>
      <c r="I1096" s="983">
        <v>-1.1000000000000001E-3</v>
      </c>
      <c r="J1096" s="983">
        <v>-2.1166666666666669E-3</v>
      </c>
      <c r="K1096" s="983">
        <v>-2.2833333333333334E-3</v>
      </c>
      <c r="L1096" s="983">
        <v>2.6316666666666669E-2</v>
      </c>
    </row>
    <row r="1097" spans="1:12">
      <c r="A1097" s="983">
        <v>42826</v>
      </c>
      <c r="B1097" s="983">
        <v>1.03E-2</v>
      </c>
      <c r="C1097" s="983">
        <v>7.7999999999999996E-3</v>
      </c>
      <c r="D1097" s="983">
        <v>2.0999999999999999E-3</v>
      </c>
      <c r="E1097" s="983">
        <v>3.225E-3</v>
      </c>
      <c r="F1097" s="983">
        <v>3.2750000000000001E-3</v>
      </c>
      <c r="G1097" s="983">
        <v>3.2500000000000003E-3</v>
      </c>
      <c r="H1097" s="983">
        <v>3.4333333333333334E-3</v>
      </c>
      <c r="I1097" s="983">
        <v>8.2000000000000007E-3</v>
      </c>
      <c r="J1097" s="983">
        <v>7.0499999999999998E-3</v>
      </c>
      <c r="K1097" s="983">
        <v>6.8666666666666668E-3</v>
      </c>
      <c r="L1097" s="983">
        <v>4.3666666666666663E-3</v>
      </c>
    </row>
    <row r="1098" spans="1:12">
      <c r="A1098" s="983">
        <v>42856</v>
      </c>
      <c r="B1098" s="983">
        <v>1.41E-2</v>
      </c>
      <c r="C1098" s="983">
        <v>4.2200000000000001E-2</v>
      </c>
      <c r="D1098" s="983">
        <v>2.3999999999999998E-3</v>
      </c>
      <c r="E1098" s="983">
        <v>3.2083333333333334E-3</v>
      </c>
      <c r="F1098" s="983">
        <v>3.2750000000000001E-3</v>
      </c>
      <c r="G1098" s="983">
        <v>3.241666666666667E-3</v>
      </c>
      <c r="H1098" s="983">
        <v>3.4416666666666667E-3</v>
      </c>
      <c r="I1098" s="983">
        <v>1.17E-2</v>
      </c>
      <c r="J1098" s="983">
        <v>1.0858333333333333E-2</v>
      </c>
      <c r="K1098" s="983">
        <v>1.0658333333333332E-2</v>
      </c>
      <c r="L1098" s="983">
        <v>3.8758333333333332E-2</v>
      </c>
    </row>
    <row r="1099" spans="1:12">
      <c r="A1099" s="983">
        <v>42887</v>
      </c>
      <c r="B1099" s="983">
        <v>6.1999999999999998E-3</v>
      </c>
      <c r="C1099" s="983">
        <v>-2.7E-2</v>
      </c>
      <c r="D1099" s="983">
        <v>2.0999999999999999E-3</v>
      </c>
      <c r="E1099" s="983">
        <v>3.0666666666666672E-3</v>
      </c>
      <c r="F1099" s="983">
        <v>3.1416666666666663E-3</v>
      </c>
      <c r="G1099" s="983">
        <v>3.1041666666666665E-3</v>
      </c>
      <c r="H1099" s="983">
        <v>3.283333333333333E-3</v>
      </c>
      <c r="I1099" s="983">
        <v>4.0999999999999995E-3</v>
      </c>
      <c r="J1099" s="983">
        <v>3.0958333333333332E-3</v>
      </c>
      <c r="K1099" s="983">
        <v>2.9166666666666668E-3</v>
      </c>
      <c r="L1099" s="983">
        <v>-3.0283333333333332E-2</v>
      </c>
    </row>
    <row r="1100" spans="1:12">
      <c r="A1100" s="983">
        <v>42917</v>
      </c>
      <c r="B1100" s="983">
        <v>2.06E-2</v>
      </c>
      <c r="C1100" s="983">
        <v>2.4400000000000002E-2</v>
      </c>
      <c r="D1100" s="983">
        <v>2.2000000000000001E-3</v>
      </c>
      <c r="E1100" s="983">
        <v>3.15E-3</v>
      </c>
      <c r="F1100" s="983">
        <v>3.225E-3</v>
      </c>
      <c r="G1100" s="983">
        <v>3.1875000000000002E-3</v>
      </c>
      <c r="H1100" s="983">
        <v>3.3749999999999995E-3</v>
      </c>
      <c r="I1100" s="983">
        <v>1.84E-2</v>
      </c>
      <c r="J1100" s="983">
        <v>1.7412500000000001E-2</v>
      </c>
      <c r="K1100" s="983">
        <v>1.7225000000000001E-2</v>
      </c>
      <c r="L1100" s="983">
        <v>2.1025000000000002E-2</v>
      </c>
    </row>
    <row r="1101" spans="1:12">
      <c r="A1101" s="983">
        <v>42948</v>
      </c>
      <c r="B1101" s="983">
        <v>3.0999999999999999E-3</v>
      </c>
      <c r="C1101" s="983">
        <v>3.2399999999999998E-2</v>
      </c>
      <c r="D1101" s="983">
        <v>2.2000000000000001E-3</v>
      </c>
      <c r="E1101" s="983">
        <v>3.0833333333333333E-3</v>
      </c>
      <c r="F1101" s="983">
        <v>3.1666666666666666E-3</v>
      </c>
      <c r="G1101" s="983">
        <v>3.1250000000000002E-3</v>
      </c>
      <c r="H1101" s="983">
        <v>3.3250000000000003E-3</v>
      </c>
      <c r="I1101" s="983">
        <v>8.9999999999999976E-4</v>
      </c>
      <c r="J1101" s="983">
        <v>-2.5000000000000282E-5</v>
      </c>
      <c r="K1101" s="983">
        <v>-2.2500000000000037E-4</v>
      </c>
      <c r="L1101" s="983">
        <v>2.9074999999999997E-2</v>
      </c>
    </row>
    <row r="1102" spans="1:12">
      <c r="A1102" s="983">
        <v>42979</v>
      </c>
      <c r="B1102" s="983">
        <v>2.06E-2</v>
      </c>
      <c r="C1102" s="983">
        <v>-2.7300000000000001E-2</v>
      </c>
      <c r="D1102" s="983">
        <v>1.9E-3</v>
      </c>
      <c r="E1102" s="983">
        <v>3.0249999999999999E-3</v>
      </c>
      <c r="F1102" s="983">
        <v>3.0999999999999999E-3</v>
      </c>
      <c r="G1102" s="983">
        <v>3.0625000000000001E-3</v>
      </c>
      <c r="H1102" s="983">
        <v>3.2166666666666667E-3</v>
      </c>
      <c r="I1102" s="983">
        <v>1.8700000000000001E-2</v>
      </c>
      <c r="J1102" s="983">
        <v>1.7537500000000001E-2</v>
      </c>
      <c r="K1102" s="983">
        <v>1.7383333333333334E-2</v>
      </c>
      <c r="L1102" s="983">
        <v>-3.0516666666666668E-2</v>
      </c>
    </row>
    <row r="1103" spans="1:12">
      <c r="A1103" s="983">
        <v>43009</v>
      </c>
      <c r="B1103" s="983">
        <v>2.3300000000000001E-2</v>
      </c>
      <c r="C1103" s="983">
        <v>3.9E-2</v>
      </c>
      <c r="D1103" s="983">
        <v>2.2000000000000001E-3</v>
      </c>
      <c r="E1103" s="983">
        <v>3.0000000000000001E-3</v>
      </c>
      <c r="F1103" s="983">
        <v>3.1166666666666669E-3</v>
      </c>
      <c r="G1103" s="983">
        <v>3.0583333333333335E-3</v>
      </c>
      <c r="H1103" s="983">
        <v>3.2583333333333336E-3</v>
      </c>
      <c r="I1103" s="983">
        <v>2.1100000000000001E-2</v>
      </c>
      <c r="J1103" s="983">
        <v>2.0241666666666668E-2</v>
      </c>
      <c r="K1103" s="983">
        <v>2.0041666666666666E-2</v>
      </c>
      <c r="L1103" s="983">
        <v>3.5741666666666665E-2</v>
      </c>
    </row>
    <row r="1104" spans="1:12">
      <c r="A1104" s="983">
        <v>43040</v>
      </c>
      <c r="B1104" s="983">
        <v>3.0700000000000002E-2</v>
      </c>
      <c r="C1104" s="983">
        <v>2.75E-2</v>
      </c>
      <c r="D1104" s="983">
        <v>2.0999999999999999E-3</v>
      </c>
      <c r="E1104" s="983">
        <v>3.0000000000000001E-3</v>
      </c>
      <c r="F1104" s="983">
        <v>3.1166666666666669E-3</v>
      </c>
      <c r="G1104" s="983">
        <v>3.0583333333333335E-3</v>
      </c>
      <c r="H1104" s="983">
        <v>3.2583333333333336E-3</v>
      </c>
      <c r="I1104" s="983">
        <v>2.86E-2</v>
      </c>
      <c r="J1104" s="983">
        <v>2.7641666666666669E-2</v>
      </c>
      <c r="K1104" s="983">
        <v>2.744166666666667E-2</v>
      </c>
      <c r="L1104" s="983">
        <v>2.4241666666666668E-2</v>
      </c>
    </row>
    <row r="1105" spans="1:12">
      <c r="A1105" s="983">
        <v>43070</v>
      </c>
      <c r="B1105" s="983">
        <v>1.11E-2</v>
      </c>
      <c r="C1105" s="983">
        <v>-6.13E-2</v>
      </c>
      <c r="D1105" s="983">
        <v>2E-3</v>
      </c>
      <c r="E1105" s="983">
        <v>2.9249999999999996E-3</v>
      </c>
      <c r="F1105" s="983">
        <v>3.0083333333333333E-3</v>
      </c>
      <c r="G1105" s="983">
        <v>2.9666666666666665E-3</v>
      </c>
      <c r="H1105" s="983">
        <v>3.1583333333333337E-3</v>
      </c>
      <c r="I1105" s="983">
        <v>9.1000000000000004E-3</v>
      </c>
      <c r="J1105" s="983">
        <v>8.1333333333333344E-3</v>
      </c>
      <c r="K1105" s="983">
        <v>7.9416666666666663E-3</v>
      </c>
      <c r="L1105" s="983">
        <v>-6.445833333333334E-2</v>
      </c>
    </row>
    <row r="1106" spans="1:12">
      <c r="A1106" s="983">
        <v>43101</v>
      </c>
      <c r="B1106" s="983">
        <v>5.7299999999999997E-2</v>
      </c>
      <c r="C1106" s="983">
        <v>-3.0700000000000002E-2</v>
      </c>
      <c r="D1106" s="983">
        <v>2.3999999999999998E-3</v>
      </c>
      <c r="E1106" s="983">
        <v>2.9249999999999996E-3</v>
      </c>
      <c r="F1106" s="983">
        <v>3.0083333333333333E-3</v>
      </c>
      <c r="G1106" s="983">
        <v>2.9666666666666665E-3</v>
      </c>
      <c r="H1106" s="983">
        <v>3.1583333333333337E-3</v>
      </c>
      <c r="I1106" s="983">
        <v>5.4899999999999997E-2</v>
      </c>
      <c r="J1106" s="983">
        <v>5.4333333333333331E-2</v>
      </c>
      <c r="K1106" s="983">
        <v>5.4141666666666664E-2</v>
      </c>
      <c r="L1106" s="983">
        <v>-3.3858333333333338E-2</v>
      </c>
    </row>
    <row r="1107" spans="1:12">
      <c r="A1107" s="983">
        <v>43132</v>
      </c>
      <c r="B1107" s="983">
        <v>-3.6900000000000002E-2</v>
      </c>
      <c r="C1107" s="983">
        <v>-3.8399999999999997E-2</v>
      </c>
      <c r="D1107" s="983">
        <v>2.2000000000000001E-3</v>
      </c>
      <c r="E1107" s="983">
        <v>2.9583333333333332E-3</v>
      </c>
      <c r="F1107" s="983">
        <v>3.0666666666666672E-3</v>
      </c>
      <c r="G1107" s="983">
        <v>3.0125000000000004E-3</v>
      </c>
      <c r="H1107" s="983">
        <v>3.2166666666666667E-3</v>
      </c>
      <c r="I1107" s="983">
        <v>-3.9100000000000003E-2</v>
      </c>
      <c r="J1107" s="983">
        <v>-3.9912500000000004E-2</v>
      </c>
      <c r="K1107" s="983">
        <v>-4.0116666666666669E-2</v>
      </c>
      <c r="L1107" s="983">
        <v>-4.1616666666666663E-2</v>
      </c>
    </row>
    <row r="1108" spans="1:12">
      <c r="A1108" s="983">
        <v>43160</v>
      </c>
      <c r="B1108" s="983">
        <v>-2.5399999999999999E-2</v>
      </c>
      <c r="C1108" s="983">
        <v>3.7699999999999997E-2</v>
      </c>
      <c r="D1108" s="983">
        <v>2.3999999999999998E-3</v>
      </c>
      <c r="E1108" s="983">
        <v>3.225E-3</v>
      </c>
      <c r="F1108" s="983">
        <v>3.3250000000000003E-3</v>
      </c>
      <c r="G1108" s="983">
        <v>3.2750000000000001E-3</v>
      </c>
      <c r="H1108" s="983">
        <v>3.4416666666666667E-3</v>
      </c>
      <c r="I1108" s="983">
        <v>-2.7799999999999998E-2</v>
      </c>
      <c r="J1108" s="983">
        <v>-2.8674999999999999E-2</v>
      </c>
      <c r="K1108" s="983">
        <v>-2.8841666666666665E-2</v>
      </c>
      <c r="L1108" s="983">
        <v>3.4258333333333328E-2</v>
      </c>
    </row>
    <row r="1109" spans="1:12">
      <c r="A1109" s="983">
        <v>43191</v>
      </c>
      <c r="B1109" s="983">
        <v>3.8E-3</v>
      </c>
      <c r="C1109" s="983">
        <v>2.1000000000000001E-2</v>
      </c>
      <c r="D1109" s="983">
        <v>2.5000000000000001E-3</v>
      </c>
      <c r="E1109" s="983">
        <v>3.2083333333333334E-3</v>
      </c>
      <c r="F1109" s="983">
        <v>3.3416666666666668E-3</v>
      </c>
      <c r="G1109" s="983">
        <v>3.2750000000000001E-3</v>
      </c>
      <c r="H1109" s="983">
        <v>3.4749999999999998E-3</v>
      </c>
      <c r="I1109" s="983">
        <v>1.2999999999999999E-3</v>
      </c>
      <c r="J1109" s="983">
        <v>5.2499999999999986E-4</v>
      </c>
      <c r="K1109" s="983">
        <v>3.250000000000002E-4</v>
      </c>
      <c r="L1109" s="983">
        <v>1.7525000000000002E-2</v>
      </c>
    </row>
    <row r="1110" spans="1:12">
      <c r="A1110" s="983">
        <v>43221</v>
      </c>
      <c r="B1110" s="983">
        <v>2.41E-2</v>
      </c>
      <c r="C1110" s="983">
        <v>-1.14E-2</v>
      </c>
      <c r="D1110" s="983">
        <v>2.5000000000000001E-3</v>
      </c>
      <c r="E1110" s="983">
        <v>3.3250000000000003E-3</v>
      </c>
      <c r="F1110" s="983">
        <v>3.4333333333333334E-3</v>
      </c>
      <c r="G1110" s="983">
        <v>3.3791666666666666E-3</v>
      </c>
      <c r="H1110" s="983">
        <v>3.5666666666666668E-3</v>
      </c>
      <c r="I1110" s="983">
        <v>2.1600000000000001E-2</v>
      </c>
      <c r="J1110" s="983">
        <v>2.0720833333333334E-2</v>
      </c>
      <c r="K1110" s="983">
        <v>2.0533333333333334E-2</v>
      </c>
      <c r="L1110" s="983">
        <v>-1.4966666666666666E-2</v>
      </c>
    </row>
    <row r="1111" spans="1:12">
      <c r="A1111" s="983">
        <v>43252</v>
      </c>
      <c r="B1111" s="983">
        <v>6.1999999999999998E-3</v>
      </c>
      <c r="C1111" s="983">
        <v>2.7300000000000001E-2</v>
      </c>
      <c r="D1111" s="983">
        <v>2.3E-3</v>
      </c>
      <c r="E1111" s="983">
        <v>3.3E-3</v>
      </c>
      <c r="F1111" s="983">
        <v>3.4250000000000001E-3</v>
      </c>
      <c r="G1111" s="983">
        <v>3.3625E-3</v>
      </c>
      <c r="H1111" s="983">
        <v>3.5583333333333326E-3</v>
      </c>
      <c r="I1111" s="983">
        <v>3.8999999999999998E-3</v>
      </c>
      <c r="J1111" s="983">
        <v>2.8374999999999997E-3</v>
      </c>
      <c r="K1111" s="983">
        <v>2.6416666666666672E-3</v>
      </c>
      <c r="L1111" s="983">
        <v>2.3741666666666668E-2</v>
      </c>
    </row>
    <row r="1112" spans="1:12">
      <c r="A1112" s="983">
        <v>43282</v>
      </c>
      <c r="B1112" s="983">
        <v>3.7199999999999997E-2</v>
      </c>
      <c r="C1112" s="983">
        <v>1.8599999999999998E-2</v>
      </c>
      <c r="D1112" s="983">
        <v>2.5000000000000001E-3</v>
      </c>
      <c r="E1112" s="983">
        <v>3.225E-3</v>
      </c>
      <c r="F1112" s="983">
        <v>3.3916666666666665E-3</v>
      </c>
      <c r="G1112" s="983">
        <v>3.3083333333333333E-3</v>
      </c>
      <c r="H1112" s="983">
        <v>3.5583333333333326E-3</v>
      </c>
      <c r="I1112" s="983">
        <v>3.4699999999999995E-2</v>
      </c>
      <c r="J1112" s="983">
        <v>3.3891666666666667E-2</v>
      </c>
      <c r="K1112" s="983">
        <v>3.3641666666666667E-2</v>
      </c>
      <c r="L1112" s="983">
        <v>1.5041666666666665E-2</v>
      </c>
    </row>
    <row r="1113" spans="1:12">
      <c r="A1113" s="983">
        <v>43313</v>
      </c>
      <c r="B1113" s="983">
        <v>3.2599999999999997E-2</v>
      </c>
      <c r="C1113" s="983">
        <v>1.1299999999999999E-2</v>
      </c>
      <c r="D1113" s="983">
        <v>2.5000000000000001E-3</v>
      </c>
      <c r="E1113" s="983">
        <v>3.2333333333333329E-3</v>
      </c>
      <c r="F1113" s="983">
        <v>3.3749999999999995E-3</v>
      </c>
      <c r="G1113" s="983">
        <v>3.3041666666666662E-3</v>
      </c>
      <c r="H1113" s="983">
        <v>3.5499999999999998E-3</v>
      </c>
      <c r="I1113" s="983">
        <v>3.0099999999999998E-2</v>
      </c>
      <c r="J1113" s="983">
        <v>2.929583333333333E-2</v>
      </c>
      <c r="K1113" s="983">
        <v>2.9049999999999996E-2</v>
      </c>
      <c r="L1113" s="983">
        <v>7.7499999999999999E-3</v>
      </c>
    </row>
    <row r="1114" spans="1:12">
      <c r="A1114" s="983">
        <v>43344</v>
      </c>
      <c r="B1114" s="983">
        <v>5.7000000000000002E-3</v>
      </c>
      <c r="C1114" s="983">
        <v>-6.0000000000000001E-3</v>
      </c>
      <c r="D1114" s="983">
        <v>2.2000000000000001E-3</v>
      </c>
      <c r="E1114" s="983">
        <v>3.2333333333333329E-3</v>
      </c>
      <c r="F1114" s="983">
        <v>3.3749999999999995E-3</v>
      </c>
      <c r="G1114" s="983">
        <v>3.3041666666666662E-3</v>
      </c>
      <c r="H1114" s="983">
        <v>3.5499999999999998E-3</v>
      </c>
      <c r="I1114" s="983">
        <v>3.5000000000000001E-3</v>
      </c>
      <c r="J1114" s="983">
        <v>2.395833333333334E-3</v>
      </c>
      <c r="K1114" s="983">
        <v>2.1500000000000004E-3</v>
      </c>
      <c r="L1114" s="983">
        <v>-9.5499999999999995E-3</v>
      </c>
    </row>
    <row r="1115" spans="1:12">
      <c r="A1115" s="983">
        <v>43374</v>
      </c>
      <c r="B1115" s="983">
        <v>-6.8400000000000002E-2</v>
      </c>
      <c r="C1115" s="983">
        <v>1.95E-2</v>
      </c>
      <c r="D1115" s="983">
        <v>3.0000000000000001E-3</v>
      </c>
      <c r="E1115" s="983">
        <v>3.4499999999999999E-3</v>
      </c>
      <c r="F1115" s="983">
        <v>0</v>
      </c>
      <c r="G1115" s="983">
        <v>1.725E-3</v>
      </c>
      <c r="H1115" s="983">
        <v>3.7083333333333334E-3</v>
      </c>
      <c r="I1115" s="983">
        <v>-7.1400000000000005E-2</v>
      </c>
      <c r="J1115" s="983">
        <v>-7.0125000000000007E-2</v>
      </c>
      <c r="K1115" s="983">
        <v>-7.210833333333333E-2</v>
      </c>
      <c r="L1115" s="983">
        <v>1.5791666666666666E-2</v>
      </c>
    </row>
    <row r="1116" spans="1:12">
      <c r="A1116" s="983">
        <v>43405</v>
      </c>
      <c r="B1116" s="983">
        <v>2.0400000000000001E-2</v>
      </c>
      <c r="C1116" s="983">
        <v>3.5499999999999997E-2</v>
      </c>
      <c r="D1116" s="983">
        <v>2.8E-3</v>
      </c>
      <c r="E1116" s="983">
        <v>3.5166666666666662E-3</v>
      </c>
      <c r="F1116" s="983">
        <v>3.6416666666666667E-3</v>
      </c>
      <c r="G1116" s="983">
        <v>3.5791666666666663E-3</v>
      </c>
      <c r="H1116" s="983">
        <v>3.7666666666666664E-3</v>
      </c>
      <c r="I1116" s="983">
        <v>1.7600000000000001E-2</v>
      </c>
      <c r="J1116" s="983">
        <v>1.6820833333333333E-2</v>
      </c>
      <c r="K1116" s="983">
        <v>1.6633333333333333E-2</v>
      </c>
      <c r="L1116" s="983">
        <v>3.1733333333333329E-2</v>
      </c>
    </row>
    <row r="1117" spans="1:12">
      <c r="A1117" s="983">
        <v>43435</v>
      </c>
      <c r="B1117" s="983">
        <v>-9.0300000000000005E-2</v>
      </c>
      <c r="C1117" s="983">
        <v>-4.0099999999999997E-2</v>
      </c>
      <c r="D1117" s="983">
        <v>2.7000000000000001E-3</v>
      </c>
      <c r="E1117" s="983">
        <v>3.3499999999999997E-3</v>
      </c>
      <c r="F1117" s="983">
        <v>3.5000000000000005E-3</v>
      </c>
      <c r="G1117" s="983">
        <v>3.4250000000000001E-3</v>
      </c>
      <c r="H1117" s="983">
        <v>3.6416666666666667E-3</v>
      </c>
      <c r="I1117" s="983">
        <v>-9.2999999999999999E-2</v>
      </c>
      <c r="J1117" s="983">
        <v>-9.3725000000000003E-2</v>
      </c>
      <c r="K1117" s="983">
        <v>-9.3941666666666673E-2</v>
      </c>
      <c r="L1117" s="983">
        <v>-4.3741666666666665E-2</v>
      </c>
    </row>
    <row r="1118" spans="1:12">
      <c r="A1118" s="983">
        <v>43466</v>
      </c>
      <c r="B1118" s="983">
        <v>8.0100000000000005E-2</v>
      </c>
      <c r="C1118" s="983">
        <v>4.8399999999999999E-2</v>
      </c>
      <c r="D1118" s="983">
        <v>2.5000000000000001E-3</v>
      </c>
      <c r="E1118" s="983">
        <v>3.2750000000000001E-3</v>
      </c>
      <c r="F1118" s="983">
        <v>3.4499999999999999E-3</v>
      </c>
      <c r="G1118" s="983">
        <v>3.3625E-3</v>
      </c>
      <c r="H1118" s="983">
        <v>3.6249999999999998E-3</v>
      </c>
      <c r="I1118" s="983">
        <v>7.7600000000000002E-2</v>
      </c>
      <c r="J1118" s="983">
        <v>7.67375E-2</v>
      </c>
      <c r="K1118" s="983">
        <v>7.6475000000000001E-2</v>
      </c>
      <c r="L1118" s="983">
        <v>4.4774999999999995E-2</v>
      </c>
    </row>
    <row r="1119" spans="1:12">
      <c r="A1119" s="983">
        <v>43497</v>
      </c>
      <c r="B1119" s="983">
        <v>3.2099999999999997E-2</v>
      </c>
      <c r="C1119" s="983">
        <v>4.1099999999999998E-2</v>
      </c>
      <c r="D1119" s="983">
        <v>2.2000000000000001E-3</v>
      </c>
      <c r="E1119" s="983">
        <v>3.1583333333333337E-3</v>
      </c>
      <c r="F1119" s="983">
        <v>3.3250000000000003E-3</v>
      </c>
      <c r="G1119" s="983">
        <v>3.241666666666667E-3</v>
      </c>
      <c r="H1119" s="983">
        <v>3.5416666666666669E-3</v>
      </c>
      <c r="I1119" s="983">
        <v>2.9899999999999996E-2</v>
      </c>
      <c r="J1119" s="983">
        <v>2.885833333333333E-2</v>
      </c>
      <c r="K1119" s="983">
        <v>2.8558333333333331E-2</v>
      </c>
      <c r="L1119" s="983">
        <v>3.7558333333333332E-2</v>
      </c>
    </row>
    <row r="1120" spans="1:12">
      <c r="A1120" s="983">
        <v>43525</v>
      </c>
      <c r="B1120" s="983">
        <v>1.9400000000000001E-2</v>
      </c>
      <c r="C1120" s="983">
        <v>2.8799999999999999E-2</v>
      </c>
      <c r="D1120" s="983">
        <v>2.3E-3</v>
      </c>
      <c r="E1120" s="983">
        <v>3.1583333333333337E-3</v>
      </c>
      <c r="F1120" s="983">
        <v>3.3250000000000003E-3</v>
      </c>
      <c r="G1120" s="983">
        <v>3.241666666666667E-3</v>
      </c>
      <c r="H1120" s="983">
        <v>3.5416666666666669E-3</v>
      </c>
      <c r="I1120" s="983">
        <v>1.7100000000000001E-2</v>
      </c>
      <c r="J1120" s="983">
        <v>1.6158333333333334E-2</v>
      </c>
      <c r="K1120" s="983">
        <v>1.5858333333333335E-2</v>
      </c>
      <c r="L1120" s="983">
        <v>2.5258333333333334E-2</v>
      </c>
    </row>
    <row r="1121" spans="1:12">
      <c r="A1121" s="983">
        <v>43556</v>
      </c>
      <c r="B1121" s="983">
        <v>4.0500000000000001E-2</v>
      </c>
      <c r="C1121" s="983">
        <v>9.2999999999999992E-3</v>
      </c>
      <c r="D1121" s="983">
        <v>2.3E-3</v>
      </c>
      <c r="E1121" s="983">
        <v>3.075E-3</v>
      </c>
      <c r="F1121" s="983">
        <v>3.2083333333333334E-3</v>
      </c>
      <c r="G1121" s="983">
        <v>3.1416666666666667E-3</v>
      </c>
      <c r="H1121" s="983">
        <v>3.4000000000000002E-3</v>
      </c>
      <c r="I1121" s="983">
        <v>3.8199999999999998E-2</v>
      </c>
      <c r="J1121" s="983">
        <v>3.7358333333333334E-2</v>
      </c>
      <c r="K1121" s="983">
        <v>3.7100000000000001E-2</v>
      </c>
      <c r="L1121" s="983">
        <v>5.899999999999999E-3</v>
      </c>
    </row>
    <row r="1122" spans="1:12">
      <c r="A1122" s="983">
        <v>43586</v>
      </c>
      <c r="B1122" s="983">
        <v>-6.3500000000000001E-2</v>
      </c>
      <c r="C1122" s="983">
        <v>-7.7999999999999996E-3</v>
      </c>
      <c r="D1122" s="983">
        <v>2.3E-3</v>
      </c>
      <c r="E1122" s="983">
        <v>3.0583333333333335E-3</v>
      </c>
      <c r="F1122" s="983">
        <v>3.1666666666666666E-3</v>
      </c>
      <c r="G1122" s="983">
        <v>3.1124999999999998E-3</v>
      </c>
      <c r="H1122" s="983">
        <v>3.3166666666666665E-3</v>
      </c>
      <c r="I1122" s="983">
        <v>-6.5799999999999997E-2</v>
      </c>
      <c r="J1122" s="983">
        <v>-6.6612500000000005E-2</v>
      </c>
      <c r="K1122" s="983">
        <v>-6.6816666666666663E-2</v>
      </c>
      <c r="L1122" s="983">
        <v>-1.1116666666666667E-2</v>
      </c>
    </row>
    <row r="1123" spans="1:12">
      <c r="A1123" s="983">
        <v>43617</v>
      </c>
      <c r="B1123" s="983">
        <v>7.0499999999999993E-2</v>
      </c>
      <c r="C1123" s="983">
        <v>3.2199999999999999E-2</v>
      </c>
      <c r="D1123" s="983">
        <v>1.8E-3</v>
      </c>
      <c r="E1123" s="983">
        <v>3.0583333333333335E-3</v>
      </c>
      <c r="F1123" s="983">
        <v>3.1666666666666666E-3</v>
      </c>
      <c r="G1123" s="983">
        <v>3.1124999999999998E-3</v>
      </c>
      <c r="H1123" s="983">
        <v>3.3166666666666665E-3</v>
      </c>
      <c r="I1123" s="983">
        <v>6.8699999999999997E-2</v>
      </c>
      <c r="J1123" s="983">
        <v>6.7387499999999989E-2</v>
      </c>
      <c r="K1123" s="983">
        <v>6.7183333333333331E-2</v>
      </c>
      <c r="L1123" s="983">
        <v>2.8883333333333334E-2</v>
      </c>
    </row>
    <row r="1124" spans="1:12">
      <c r="A1124" s="983">
        <v>43647</v>
      </c>
      <c r="B1124" s="983">
        <v>1.44E-2</v>
      </c>
      <c r="C1124" s="983">
        <v>-2.7000000000000001E-3</v>
      </c>
      <c r="D1124" s="983">
        <v>2.0999999999999999E-3</v>
      </c>
      <c r="E1124" s="983">
        <v>2.7416666666666666E-3</v>
      </c>
      <c r="F1124" s="983">
        <v>2.8833333333333332E-3</v>
      </c>
      <c r="G1124" s="983">
        <v>2.8124999999999999E-3</v>
      </c>
      <c r="H1124" s="983">
        <v>3.075E-3</v>
      </c>
      <c r="I1124" s="983">
        <v>1.23E-2</v>
      </c>
      <c r="J1124" s="983">
        <v>1.1587500000000001E-2</v>
      </c>
      <c r="K1124" s="983">
        <v>1.1325E-2</v>
      </c>
      <c r="L1124" s="983">
        <v>-5.7750000000000006E-3</v>
      </c>
    </row>
    <row r="1125" spans="1:12">
      <c r="A1125" s="983">
        <v>43678</v>
      </c>
      <c r="B1125" s="983">
        <v>-1.5800000000000002E-2</v>
      </c>
      <c r="C1125" s="983">
        <v>5.1299999999999998E-2</v>
      </c>
      <c r="D1125" s="983">
        <v>1.9E-3</v>
      </c>
      <c r="E1125" s="983">
        <v>2.7416666666666666E-3</v>
      </c>
      <c r="F1125" s="983">
        <v>2.8833333333333332E-3</v>
      </c>
      <c r="G1125" s="983">
        <v>2.8124999999999999E-3</v>
      </c>
      <c r="H1125" s="983">
        <v>3.075E-3</v>
      </c>
      <c r="I1125" s="983">
        <v>-1.77E-2</v>
      </c>
      <c r="J1125" s="983">
        <v>-1.8612500000000001E-2</v>
      </c>
      <c r="K1125" s="983">
        <v>-1.8875000000000003E-2</v>
      </c>
      <c r="L1125" s="983">
        <v>4.8224999999999997E-2</v>
      </c>
    </row>
    <row r="1126" spans="1:12">
      <c r="A1126" s="983">
        <v>43709</v>
      </c>
      <c r="B1126" s="983">
        <v>1.8700000000000001E-2</v>
      </c>
      <c r="C1126" s="983">
        <v>4.2500000000000003E-2</v>
      </c>
      <c r="D1126" s="983">
        <v>1.5E-3</v>
      </c>
      <c r="E1126" s="983">
        <v>2.4833333333333331E-3</v>
      </c>
      <c r="F1126" s="983">
        <v>2.5666666666666667E-3</v>
      </c>
      <c r="G1126" s="983">
        <v>2.5249999999999999E-3</v>
      </c>
      <c r="H1126" s="983">
        <v>2.7416666666666666E-3</v>
      </c>
      <c r="I1126" s="983">
        <v>1.72E-2</v>
      </c>
      <c r="J1126" s="983">
        <v>1.6175000000000002E-2</v>
      </c>
      <c r="K1126" s="983">
        <v>1.5958333333333335E-2</v>
      </c>
      <c r="L1126" s="983">
        <v>3.975833333333334E-2</v>
      </c>
    </row>
    <row r="1127" spans="1:12">
      <c r="A1127" s="983">
        <v>43739</v>
      </c>
      <c r="B1127" s="983">
        <v>2.1700000000000001E-2</v>
      </c>
      <c r="C1127" s="983">
        <v>-7.7000000000000002E-3</v>
      </c>
      <c r="D1127" s="983">
        <v>1.6000000000000001E-3</v>
      </c>
      <c r="E1127" s="983">
        <v>2.5249999999999999E-3</v>
      </c>
      <c r="F1127" s="983">
        <v>2.6083333333333332E-3</v>
      </c>
      <c r="G1127" s="983">
        <v>2.5666666666666667E-3</v>
      </c>
      <c r="H1127" s="983">
        <v>2.8083333333333333E-3</v>
      </c>
      <c r="I1127" s="983">
        <v>2.01E-2</v>
      </c>
      <c r="J1127" s="983">
        <v>1.9133333333333336E-2</v>
      </c>
      <c r="K1127" s="983">
        <v>1.8891666666666668E-2</v>
      </c>
      <c r="L1127" s="983">
        <v>-1.0508333333333333E-2</v>
      </c>
    </row>
    <row r="1128" spans="1:12">
      <c r="A1128" s="983">
        <v>43770</v>
      </c>
      <c r="B1128" s="983">
        <v>3.6299999999999999E-2</v>
      </c>
      <c r="C1128" s="983">
        <v>-1.8599999999999998E-2</v>
      </c>
      <c r="D1128" s="983">
        <v>1.6000000000000001E-3</v>
      </c>
      <c r="E1128" s="983">
        <v>2.558333333333333E-3</v>
      </c>
      <c r="F1128" s="983">
        <v>2.6416666666666667E-3</v>
      </c>
      <c r="G1128" s="983">
        <v>2.5999999999999999E-3</v>
      </c>
      <c r="H1128" s="983">
        <v>2.8583333333333334E-3</v>
      </c>
      <c r="I1128" s="983">
        <v>3.4700000000000002E-2</v>
      </c>
      <c r="J1128" s="983">
        <v>3.3700000000000001E-2</v>
      </c>
      <c r="K1128" s="983">
        <v>3.3441666666666668E-2</v>
      </c>
      <c r="L1128" s="983">
        <v>-2.1458333333333333E-2</v>
      </c>
    </row>
    <row r="1129" spans="1:12">
      <c r="A1129" s="983">
        <v>43800</v>
      </c>
      <c r="B1129" s="983">
        <v>3.0200000000000001E-2</v>
      </c>
      <c r="C1129" s="983">
        <v>3.4299999999999997E-2</v>
      </c>
      <c r="D1129" s="983">
        <v>1.8E-3</v>
      </c>
      <c r="E1129" s="983">
        <v>2.5083333333333329E-3</v>
      </c>
      <c r="F1129" s="983">
        <v>2.5916666666666666E-3</v>
      </c>
      <c r="G1129" s="983">
        <v>2.5499999999999997E-3</v>
      </c>
      <c r="H1129" s="983">
        <v>2.8333333333333331E-3</v>
      </c>
      <c r="I1129" s="983">
        <v>2.8400000000000002E-2</v>
      </c>
      <c r="J1129" s="983">
        <v>2.7650000000000001E-2</v>
      </c>
      <c r="K1129" s="983">
        <v>2.7366666666666668E-2</v>
      </c>
      <c r="L1129" s="983">
        <v>3.1466666666666664E-2</v>
      </c>
    </row>
    <row r="1130" spans="1:12">
      <c r="A1130" s="983">
        <v>43831</v>
      </c>
      <c r="B1130" s="983">
        <v>-4.0000000000000002E-4</v>
      </c>
      <c r="C1130" s="983">
        <v>6.6500000000000004E-2</v>
      </c>
      <c r="D1130" s="983">
        <v>2E-3</v>
      </c>
      <c r="E1130" s="983">
        <v>2.3499999999999997E-3</v>
      </c>
      <c r="F1130" s="983">
        <v>2.3916666666666665E-3</v>
      </c>
      <c r="G1130" s="983">
        <v>2.3708333333333333E-3</v>
      </c>
      <c r="H1130" s="983">
        <v>2.6083333333333332E-3</v>
      </c>
      <c r="I1130" s="983">
        <v>-2.4000000000000002E-3</v>
      </c>
      <c r="J1130" s="983">
        <v>-2.7708333333333335E-3</v>
      </c>
      <c r="K1130" s="983">
        <v>-3.0083333333333333E-3</v>
      </c>
      <c r="L1130" s="983">
        <v>6.3891666666666666E-2</v>
      </c>
    </row>
    <row r="1131" spans="1:12">
      <c r="A1131" s="983">
        <v>43862</v>
      </c>
      <c r="B1131" s="983">
        <v>-8.2299999999999998E-2</v>
      </c>
      <c r="C1131" s="983">
        <v>-9.8500000000000004E-2</v>
      </c>
      <c r="D1131" s="983">
        <v>1.5E-3</v>
      </c>
      <c r="E1131" s="983">
        <v>2.4499999999999999E-3</v>
      </c>
      <c r="F1131" s="983">
        <v>2.5166666666666666E-3</v>
      </c>
      <c r="G1131" s="983">
        <v>2.4833333333333331E-3</v>
      </c>
      <c r="H1131" s="983">
        <v>2.7416666666666666E-3</v>
      </c>
      <c r="I1131" s="983">
        <v>-8.3799999999999999E-2</v>
      </c>
      <c r="J1131" s="983">
        <v>-8.4783333333333336E-2</v>
      </c>
      <c r="K1131" s="983">
        <v>-8.5041666666666668E-2</v>
      </c>
      <c r="L1131" s="983">
        <v>-0.10124166666666667</v>
      </c>
    </row>
    <row r="1132" spans="1:12">
      <c r="A1132" s="983">
        <v>43891</v>
      </c>
      <c r="B1132" s="983">
        <v>-0.1235</v>
      </c>
      <c r="C1132" s="983">
        <v>-9.9900000000000003E-2</v>
      </c>
      <c r="D1132" s="983">
        <v>1.23E-3</v>
      </c>
      <c r="E1132" s="983">
        <v>2.316666666666667E-3</v>
      </c>
      <c r="F1132" s="983">
        <v>2.3750000000000004E-3</v>
      </c>
      <c r="G1132" s="983">
        <v>2.3458333333333335E-3</v>
      </c>
      <c r="H1132" s="983">
        <v>2.5916666666666666E-3</v>
      </c>
      <c r="I1132" s="983">
        <v>-0.12472999999999999</v>
      </c>
      <c r="J1132" s="983">
        <v>-0.12584583333333332</v>
      </c>
      <c r="K1132" s="983">
        <v>-0.12609166666666666</v>
      </c>
      <c r="L1132" s="983">
        <v>-0.10249166666666668</v>
      </c>
    </row>
    <row r="1133" spans="1:12">
      <c r="A1133" s="983">
        <v>43922</v>
      </c>
      <c r="B1133" s="983">
        <v>0.12820000000000001</v>
      </c>
      <c r="C1133" s="983">
        <v>3.2300000000000002E-2</v>
      </c>
      <c r="D1133" s="983">
        <v>8.9999999999999998E-4</v>
      </c>
      <c r="E1133" s="983">
        <v>2.0250000000000003E-3</v>
      </c>
      <c r="F1133" s="983">
        <v>2.2916666666666667E-3</v>
      </c>
      <c r="G1133" s="983">
        <v>2.1583333333333333E-3</v>
      </c>
      <c r="H1133" s="983">
        <v>2.6583333333333333E-3</v>
      </c>
      <c r="I1133" s="983">
        <v>0.1273</v>
      </c>
      <c r="J1133" s="983">
        <v>0.12604166666666666</v>
      </c>
      <c r="K1133" s="983">
        <v>0.12554166666666666</v>
      </c>
      <c r="L1133" s="983">
        <v>2.964166666666667E-2</v>
      </c>
    </row>
    <row r="1134" spans="1:12">
      <c r="A1134" s="983">
        <v>43952</v>
      </c>
      <c r="B1134" s="983">
        <v>4.7600000000000003E-2</v>
      </c>
      <c r="C1134" s="983">
        <v>4.3499999999999997E-2</v>
      </c>
      <c r="D1134" s="983">
        <v>8.9999999999999998E-4</v>
      </c>
      <c r="E1134" s="983">
        <v>2.075E-3</v>
      </c>
      <c r="F1134" s="983">
        <v>2.2666666666666668E-3</v>
      </c>
      <c r="G1134" s="983">
        <v>2.1708333333333336E-3</v>
      </c>
      <c r="H1134" s="983">
        <v>2.6166666666666664E-3</v>
      </c>
      <c r="I1134" s="983">
        <v>4.6700000000000005E-2</v>
      </c>
      <c r="J1134" s="983">
        <v>4.5429166666666673E-2</v>
      </c>
      <c r="K1134" s="983">
        <v>4.4983333333333334E-2</v>
      </c>
      <c r="L1134" s="983">
        <v>4.0883333333333327E-2</v>
      </c>
    </row>
    <row r="1135" spans="1:12">
      <c r="A1135" s="983">
        <v>43983</v>
      </c>
      <c r="B1135" s="983">
        <v>1.9900000000000001E-2</v>
      </c>
      <c r="C1135" s="983">
        <v>-4.65E-2</v>
      </c>
      <c r="D1135" s="983">
        <v>8.9999999999999998E-4</v>
      </c>
      <c r="E1135" s="983">
        <v>2.0083333333333333E-3</v>
      </c>
      <c r="F1135" s="983">
        <v>2.1916666666666664E-3</v>
      </c>
      <c r="G1135" s="983">
        <v>2.0999999999999999E-3</v>
      </c>
      <c r="H1135" s="983">
        <v>2.558333333333333E-3</v>
      </c>
      <c r="I1135" s="983">
        <v>1.9E-2</v>
      </c>
      <c r="J1135" s="983">
        <v>1.78E-2</v>
      </c>
      <c r="K1135" s="983">
        <v>1.7341666666666668E-2</v>
      </c>
      <c r="L1135" s="983">
        <v>-4.9058333333333336E-2</v>
      </c>
    </row>
    <row r="1136" spans="1:12">
      <c r="A1136" s="983">
        <v>44013</v>
      </c>
      <c r="B1136" s="983">
        <v>5.6399999999999999E-2</v>
      </c>
      <c r="C1136" s="983">
        <v>7.8200000000000006E-2</v>
      </c>
      <c r="D1136" s="983">
        <v>1E-3</v>
      </c>
      <c r="E1136" s="983">
        <v>1.6916666666666666E-3</v>
      </c>
      <c r="F1136" s="983">
        <v>1.8166666666666667E-3</v>
      </c>
      <c r="G1136" s="983">
        <v>1.7541666666666667E-3</v>
      </c>
      <c r="H1136" s="983">
        <v>2.1333333333333334E-3</v>
      </c>
      <c r="I1136" s="983">
        <v>5.5399999999999998E-2</v>
      </c>
      <c r="J1136" s="983">
        <v>5.4645833333333331E-2</v>
      </c>
      <c r="K1136" s="983">
        <v>5.4266666666666664E-2</v>
      </c>
      <c r="L1136" s="983">
        <v>7.6066666666666671E-2</v>
      </c>
    </row>
    <row r="1137" spans="1:12">
      <c r="A1137" s="983">
        <v>44044</v>
      </c>
      <c r="B1137" s="983">
        <v>7.1900000000000006E-2</v>
      </c>
      <c r="C1137" s="983">
        <v>-2.6499999999999999E-2</v>
      </c>
      <c r="D1137" s="983">
        <v>8.0000000000000004E-4</v>
      </c>
      <c r="E1137" s="983">
        <v>1.8749999999999999E-3</v>
      </c>
      <c r="F1137" s="983">
        <v>1.9750000000000002E-3</v>
      </c>
      <c r="G1137" s="983">
        <v>1.9250000000000001E-3</v>
      </c>
      <c r="H1137" s="983">
        <v>2.2750000000000001E-3</v>
      </c>
      <c r="I1137" s="983">
        <v>7.110000000000001E-2</v>
      </c>
      <c r="J1137" s="983">
        <v>6.9975000000000009E-2</v>
      </c>
      <c r="K1137" s="983">
        <v>6.9625000000000006E-2</v>
      </c>
      <c r="L1137" s="983">
        <v>-2.8774999999999998E-2</v>
      </c>
    </row>
    <row r="1138" spans="1:12">
      <c r="A1138" s="983">
        <v>44075</v>
      </c>
      <c r="B1138" s="983">
        <v>-3.7999999999999999E-2</v>
      </c>
      <c r="C1138" s="983">
        <v>1.1208634977297001E-2</v>
      </c>
      <c r="D1138" s="983">
        <v>0</v>
      </c>
      <c r="E1138" s="983">
        <v>1.9250000000000001E-3</v>
      </c>
      <c r="F1138" s="983">
        <v>2.0583333333333335E-3</v>
      </c>
      <c r="G1138" s="983">
        <v>1.9916666666666668E-3</v>
      </c>
      <c r="H1138" s="983">
        <v>2.3666666666666667E-3</v>
      </c>
      <c r="I1138" s="983">
        <v>-3.7999999999999999E-2</v>
      </c>
      <c r="J1138" s="983">
        <v>-3.9991666666666668E-2</v>
      </c>
      <c r="K1138" s="983">
        <v>-4.0366666666666669E-2</v>
      </c>
      <c r="L1138" s="983">
        <v>8.8419683106303344E-3</v>
      </c>
    </row>
    <row r="1139" spans="1:12">
      <c r="A1139" s="983">
        <v>44105</v>
      </c>
      <c r="B1139" s="983">
        <v>-2.6599999999999999E-2</v>
      </c>
      <c r="C1139" s="983">
        <v>5.04E-2</v>
      </c>
      <c r="D1139" s="983">
        <v>8.9999999999999998E-4</v>
      </c>
      <c r="E1139" s="983">
        <v>1.9583333333333332E-3</v>
      </c>
      <c r="F1139" s="983">
        <v>2.1250000000000002E-3</v>
      </c>
      <c r="G1139" s="983">
        <v>2.0416666666666665E-3</v>
      </c>
      <c r="H1139" s="983">
        <v>2.4583333333333336E-3</v>
      </c>
      <c r="I1139" s="983">
        <v>-2.75E-2</v>
      </c>
      <c r="J1139" s="983">
        <v>-2.8641666666666666E-2</v>
      </c>
      <c r="K1139" s="983">
        <v>-2.9058333333333332E-2</v>
      </c>
      <c r="L1139" s="983">
        <v>4.7941666666666667E-2</v>
      </c>
    </row>
    <row r="1140" spans="1:12">
      <c r="A1140" s="983">
        <v>44136</v>
      </c>
      <c r="B1140" s="983">
        <v>0.1095</v>
      </c>
      <c r="C1140" s="983">
        <v>7.3522810716743856E-3</v>
      </c>
      <c r="D1140" s="983">
        <v>1.1000000000000001E-3</v>
      </c>
      <c r="E1140" s="983">
        <v>1.9166666666666666E-3</v>
      </c>
      <c r="F1140" s="983">
        <v>2.0583333333333335E-3</v>
      </c>
      <c r="G1140" s="983">
        <v>1.9875000000000001E-3</v>
      </c>
      <c r="H1140" s="983">
        <v>2.3750000000000004E-3</v>
      </c>
      <c r="I1140" s="983">
        <v>0.1084</v>
      </c>
      <c r="J1140" s="983">
        <v>0.1075125</v>
      </c>
      <c r="K1140" s="983">
        <v>0.107125</v>
      </c>
      <c r="L1140" s="983">
        <v>4.9772810716743852E-3</v>
      </c>
    </row>
    <row r="1141" spans="1:12">
      <c r="A1141" s="983">
        <v>44166</v>
      </c>
      <c r="B1141" s="983">
        <v>3.8399999999999997E-2</v>
      </c>
      <c r="C1141" s="983">
        <v>7.0325529758781969E-3</v>
      </c>
      <c r="D1141" s="983">
        <v>1.1000000000000001E-3</v>
      </c>
      <c r="E1141" s="983">
        <v>1.8833333333333332E-3</v>
      </c>
      <c r="F1141" s="983">
        <v>2.0333333333333332E-3</v>
      </c>
      <c r="G1141" s="983">
        <v>1.9583333333333332E-3</v>
      </c>
      <c r="H1141" s="983">
        <v>2.3083333333333332E-3</v>
      </c>
      <c r="I1141" s="983">
        <v>3.73E-2</v>
      </c>
      <c r="J1141" s="983">
        <v>3.6441666666666664E-2</v>
      </c>
      <c r="K1141" s="983">
        <v>3.6091666666666661E-2</v>
      </c>
      <c r="L1141" s="983">
        <v>4.7242196425448637E-3</v>
      </c>
    </row>
    <row r="1142" spans="1:12">
      <c r="A1142" s="983">
        <v>44197</v>
      </c>
      <c r="B1142" s="983">
        <v>-1.01E-2</v>
      </c>
      <c r="C1142" s="983">
        <v>-9.1490879490143378E-3</v>
      </c>
      <c r="D1142" s="983">
        <v>1.1000000000000001E-3</v>
      </c>
      <c r="E1142" s="983">
        <v>2.0416666666666669E-3</v>
      </c>
      <c r="F1142" s="983">
        <v>2.1749999999999999E-3</v>
      </c>
      <c r="G1142" s="983">
        <v>2.1083333333333336E-3</v>
      </c>
      <c r="H1142" s="983">
        <v>2.4250000000000001E-3</v>
      </c>
      <c r="I1142" s="983">
        <v>-1.12E-2</v>
      </c>
      <c r="J1142" s="983">
        <v>-1.2208333333333333E-2</v>
      </c>
      <c r="K1142" s="983">
        <v>-1.2525E-2</v>
      </c>
      <c r="L1142" s="983">
        <v>-1.1574087949014338E-2</v>
      </c>
    </row>
    <row r="1143" spans="1:12">
      <c r="A1143" s="983">
        <v>44228</v>
      </c>
      <c r="B1143" s="983">
        <v>2.76E-2</v>
      </c>
      <c r="C1143" s="983">
        <v>-6.0949635783169254E-2</v>
      </c>
      <c r="D1143" s="983">
        <v>1.1999999999999999E-3</v>
      </c>
      <c r="E1143" s="983">
        <v>2.2500000000000003E-3</v>
      </c>
      <c r="F1143" s="983">
        <v>2.3583333333333334E-3</v>
      </c>
      <c r="G1143" s="983">
        <v>2.304166666666667E-3</v>
      </c>
      <c r="H1143" s="983">
        <v>2.575E-3</v>
      </c>
      <c r="I1143" s="983">
        <v>2.64E-2</v>
      </c>
      <c r="J1143" s="983">
        <v>2.5295833333333333E-2</v>
      </c>
      <c r="K1143" s="983">
        <v>2.5024999999999999E-2</v>
      </c>
      <c r="L1143" s="983">
        <v>-6.3524635783169248E-2</v>
      </c>
    </row>
    <row r="1144" spans="1:12">
      <c r="A1144" s="983">
        <v>44256</v>
      </c>
      <c r="B1144" s="983">
        <v>4.3799999999999999E-2</v>
      </c>
      <c r="C1144" s="983">
        <v>0.10498835014976989</v>
      </c>
      <c r="D1144" s="983">
        <v>1.8E-3</v>
      </c>
      <c r="E1144" s="983">
        <v>2.5333333333333336E-3</v>
      </c>
      <c r="F1144" s="983">
        <v>2.6416666666666667E-3</v>
      </c>
      <c r="G1144" s="983">
        <v>2.5875000000000004E-3</v>
      </c>
      <c r="H1144" s="983">
        <v>2.8666666666666667E-3</v>
      </c>
      <c r="I1144" s="983">
        <v>4.1999999999999996E-2</v>
      </c>
      <c r="J1144" s="983">
        <v>4.1212499999999999E-2</v>
      </c>
      <c r="K1144" s="983">
        <v>4.0933333333333335E-2</v>
      </c>
      <c r="L1144" s="983">
        <v>0.10212168348310321</v>
      </c>
    </row>
    <row r="1145" spans="1:12">
      <c r="A1145" s="983">
        <v>44287</v>
      </c>
      <c r="B1145" s="983">
        <v>5.3400000000000003E-2</v>
      </c>
      <c r="C1145" s="983">
        <v>4.2771092437836097E-2</v>
      </c>
      <c r="D1145" s="983">
        <v>1.9E-3</v>
      </c>
      <c r="E1145" s="983">
        <v>2.4166666666666668E-3</v>
      </c>
      <c r="F1145" s="983">
        <v>2.5249999999999999E-3</v>
      </c>
      <c r="G1145" s="983">
        <v>2.4708333333333336E-3</v>
      </c>
      <c r="H1145" s="983">
        <v>2.7499999999999998E-3</v>
      </c>
      <c r="I1145" s="983">
        <v>5.1500000000000004E-2</v>
      </c>
      <c r="J1145" s="983">
        <v>5.0929166666666671E-2</v>
      </c>
      <c r="K1145" s="983">
        <v>5.0650000000000001E-2</v>
      </c>
      <c r="L1145" s="983">
        <v>4.0021092437836095E-2</v>
      </c>
    </row>
    <row r="1146" spans="1:12">
      <c r="A1146" s="983">
        <v>44317</v>
      </c>
      <c r="B1146" s="983">
        <v>7.0000000000000001E-3</v>
      </c>
      <c r="C1146" s="983">
        <v>-2.3727991736619838E-2</v>
      </c>
      <c r="D1146" s="983">
        <v>1.8E-3</v>
      </c>
      <c r="E1146" s="983">
        <v>2.4666666666666669E-3</v>
      </c>
      <c r="F1146" s="983">
        <v>2.558333333333333E-3</v>
      </c>
      <c r="G1146" s="983">
        <v>2.5125E-3</v>
      </c>
      <c r="H1146" s="983">
        <v>2.7750000000000001E-3</v>
      </c>
      <c r="I1146" s="983">
        <v>5.1999999999999998E-3</v>
      </c>
      <c r="J1146" s="983">
        <v>4.4875000000000002E-3</v>
      </c>
      <c r="K1146" s="983">
        <v>4.2249999999999996E-3</v>
      </c>
      <c r="L1146" s="983">
        <v>-2.6502991736619838E-2</v>
      </c>
    </row>
    <row r="1147" spans="1:12">
      <c r="A1147" s="983">
        <v>44348</v>
      </c>
      <c r="B1147" s="983">
        <v>2.3300000000000001E-2</v>
      </c>
      <c r="C1147" s="983">
        <v>-2.1629631904666716E-2</v>
      </c>
      <c r="D1147" s="983">
        <v>1.6999999999999999E-3</v>
      </c>
      <c r="E1147" s="983">
        <v>2.3250000000000002E-3</v>
      </c>
      <c r="F1147" s="983">
        <v>2.4250000000000001E-3</v>
      </c>
      <c r="G1147" s="983">
        <v>2.3750000000000004E-3</v>
      </c>
      <c r="H1147" s="983">
        <v>2.6333333333333334E-3</v>
      </c>
      <c r="I1147" s="983">
        <v>2.1600000000000001E-2</v>
      </c>
      <c r="J1147" s="983">
        <v>2.0924999999999999E-2</v>
      </c>
      <c r="K1147" s="983">
        <v>2.0666666666666667E-2</v>
      </c>
      <c r="L1147" s="983">
        <v>-2.4262965238000051E-2</v>
      </c>
    </row>
    <row r="1148" spans="1:12">
      <c r="A1148" s="983">
        <v>44378</v>
      </c>
      <c r="B1148" s="983">
        <v>2.3800000000000002E-2</v>
      </c>
      <c r="C1148" s="983">
        <v>3.8580129254477007E-2</v>
      </c>
      <c r="D1148" s="983">
        <v>1.6000000000000001E-3</v>
      </c>
      <c r="E1148" s="983">
        <v>2.1416666666666663E-3</v>
      </c>
      <c r="F1148" s="983">
        <v>2.2583333333333331E-3</v>
      </c>
      <c r="G1148" s="983">
        <v>2.1999999999999997E-3</v>
      </c>
      <c r="H1148" s="983">
        <v>2.4583333333333336E-3</v>
      </c>
      <c r="I1148" s="983">
        <v>2.2200000000000001E-2</v>
      </c>
      <c r="J1148" s="983">
        <v>2.1600000000000001E-2</v>
      </c>
      <c r="K1148" s="983">
        <v>2.1341666666666669E-2</v>
      </c>
      <c r="L1148" s="983">
        <v>3.6121795921143673E-2</v>
      </c>
    </row>
    <row r="1149" spans="1:12">
      <c r="A1149" s="983">
        <v>44409</v>
      </c>
      <c r="B1149" s="983">
        <v>3.04E-2</v>
      </c>
      <c r="C1149" s="983">
        <v>3.9754994769648354E-2</v>
      </c>
      <c r="D1149" s="983">
        <v>1.5E-3</v>
      </c>
      <c r="E1149" s="983">
        <v>2.1250000000000002E-3</v>
      </c>
      <c r="F1149" s="983">
        <v>2.2750000000000001E-3</v>
      </c>
      <c r="G1149" s="983">
        <v>2.2000000000000001E-3</v>
      </c>
      <c r="H1149" s="983">
        <v>2.4583333333333336E-3</v>
      </c>
      <c r="I1149" s="983">
        <v>2.8899999999999999E-2</v>
      </c>
      <c r="J1149" s="983">
        <v>2.8199999999999999E-2</v>
      </c>
      <c r="K1149" s="983">
        <v>2.7941666666666667E-2</v>
      </c>
      <c r="L1149" s="983">
        <v>3.7296661436315021E-2</v>
      </c>
    </row>
    <row r="1150" spans="1:12">
      <c r="A1150" s="983">
        <v>44440</v>
      </c>
      <c r="B1150" s="983">
        <v>-4.65E-2</v>
      </c>
      <c r="C1150" s="983">
        <v>-6.1694618844009501E-2</v>
      </c>
      <c r="D1150" s="983">
        <v>1.4E-3</v>
      </c>
      <c r="E1150" s="983">
        <v>2.1083333333333332E-3</v>
      </c>
      <c r="F1150" s="983">
        <v>2.2750000000000001E-3</v>
      </c>
      <c r="G1150" s="983">
        <v>2.1916666666666664E-3</v>
      </c>
      <c r="H1150" s="983">
        <v>2.4666666666666669E-3</v>
      </c>
      <c r="I1150" s="983">
        <v>-4.7899999999999998E-2</v>
      </c>
      <c r="J1150" s="983">
        <v>-4.8691666666666668E-2</v>
      </c>
      <c r="K1150" s="983">
        <v>-4.8966666666666665E-2</v>
      </c>
      <c r="L1150" s="983">
        <v>-6.4161285510676166E-2</v>
      </c>
    </row>
    <row r="1151" spans="1:12">
      <c r="A1151" s="983">
        <v>44470</v>
      </c>
      <c r="B1151" s="983">
        <v>7.0099999999999996E-2</v>
      </c>
      <c r="C1151" s="983">
        <v>4.7338249999999998E-2</v>
      </c>
      <c r="D1151" s="983">
        <v>1.5E-3</v>
      </c>
      <c r="E1151" s="983">
        <v>2.2333333333333337E-3</v>
      </c>
      <c r="F1151" s="983">
        <v>2.3833333333333332E-3</v>
      </c>
      <c r="G1151" s="983">
        <v>2.3083333333333332E-3</v>
      </c>
      <c r="H1151" s="983">
        <v>2.575E-3</v>
      </c>
      <c r="I1151" s="983">
        <v>6.8599999999999994E-2</v>
      </c>
      <c r="J1151" s="983">
        <v>6.7791666666666667E-2</v>
      </c>
      <c r="K1151" s="983">
        <v>6.7525000000000002E-2</v>
      </c>
      <c r="L1151" s="983">
        <v>4.4763249999999997E-2</v>
      </c>
    </row>
    <row r="1152" spans="1:12">
      <c r="A1152" s="983">
        <v>44501</v>
      </c>
      <c r="B1152" s="983">
        <v>-6.8999999999999999E-3</v>
      </c>
      <c r="C1152" s="983">
        <v>-1.6393896390234163E-2</v>
      </c>
      <c r="D1152" s="983">
        <v>1.6999999999999999E-3</v>
      </c>
      <c r="E1152" s="983">
        <v>2.1833333333333336E-3</v>
      </c>
      <c r="F1152" s="983">
        <v>2.3083333333333332E-3</v>
      </c>
      <c r="G1152" s="983">
        <v>2.2458333333333332E-3</v>
      </c>
      <c r="H1152" s="983">
        <v>2.5166666666666666E-3</v>
      </c>
      <c r="I1152" s="983">
        <v>-8.6E-3</v>
      </c>
      <c r="J1152" s="983">
        <v>-9.1458333333333322E-3</v>
      </c>
      <c r="K1152" s="983">
        <v>-9.4166666666666669E-3</v>
      </c>
      <c r="L1152" s="983">
        <v>-1.891056305690083E-2</v>
      </c>
    </row>
    <row r="1153" spans="1:12">
      <c r="A1153" s="983">
        <v>44531</v>
      </c>
      <c r="B1153" s="983">
        <v>4.48E-2</v>
      </c>
      <c r="C1153" s="983">
        <v>9.6216364270722721E-2</v>
      </c>
      <c r="D1153" s="983">
        <v>1.5E-3</v>
      </c>
      <c r="E1153" s="983">
        <v>2.2000000000000001E-3</v>
      </c>
      <c r="F1153" s="983">
        <v>2.3083333333333332E-3</v>
      </c>
      <c r="G1153" s="983">
        <v>2.2541666666666665E-3</v>
      </c>
      <c r="H1153" s="983">
        <v>2.5333333333333336E-3</v>
      </c>
      <c r="I1153" s="983">
        <v>4.3299999999999998E-2</v>
      </c>
      <c r="J1153" s="983">
        <v>4.2545833333333331E-2</v>
      </c>
      <c r="K1153" s="983">
        <v>4.2266666666666668E-2</v>
      </c>
      <c r="L1153" s="983">
        <v>9.3683030937389389E-2</v>
      </c>
    </row>
    <row r="1154" spans="1:12">
      <c r="A1154" s="983">
        <v>44562</v>
      </c>
      <c r="B1154" s="983">
        <v>-5.174682327495575E-2</v>
      </c>
      <c r="C1154" s="983">
        <v>-3.2749444684625581E-2</v>
      </c>
      <c r="D1154" s="983">
        <v>1.7500000000000003E-3</v>
      </c>
      <c r="E1154" s="983">
        <v>2.4416666666666666E-3</v>
      </c>
      <c r="F1154" s="983">
        <v>2.5166666666666666E-3</v>
      </c>
      <c r="G1154" s="983">
        <v>2.4791666666666668E-3</v>
      </c>
      <c r="H1154" s="983">
        <v>2.7750000000000001E-3</v>
      </c>
      <c r="I1154" s="983">
        <v>-5.3496823274955752E-2</v>
      </c>
      <c r="J1154" s="983">
        <v>-5.4225989941622414E-2</v>
      </c>
      <c r="K1154" s="983">
        <v>-5.452182327495575E-2</v>
      </c>
      <c r="L1154" s="983">
        <v>-3.5524444684625581E-2</v>
      </c>
    </row>
    <row r="1155" spans="1:12">
      <c r="A1155" s="983">
        <v>44593</v>
      </c>
      <c r="B1155" s="983">
        <v>-2.7673940223359828E-2</v>
      </c>
      <c r="C1155" s="983">
        <v>-3.4091901875676428E-2</v>
      </c>
      <c r="D1155" s="983">
        <v>1.8749999999999999E-3</v>
      </c>
      <c r="E1155" s="983">
        <v>2.708333333333333E-3</v>
      </c>
      <c r="F1155" s="983">
        <v>2.7999999999999995E-3</v>
      </c>
      <c r="G1155" s="983">
        <v>2.754166666666666E-3</v>
      </c>
      <c r="H1155" s="983">
        <v>3.0666666666666672E-3</v>
      </c>
      <c r="I1155" s="983">
        <v>-2.9548940223359826E-2</v>
      </c>
      <c r="J1155" s="983">
        <v>-3.0428106890026493E-2</v>
      </c>
      <c r="K1155" s="983">
        <v>-3.0740606890026494E-2</v>
      </c>
      <c r="L1155" s="983">
        <v>-3.7158568542343097E-2</v>
      </c>
    </row>
    <row r="1156" spans="1:12">
      <c r="A1156" s="983">
        <v>44621</v>
      </c>
      <c r="B1156" s="983">
        <v>5.3549987644738721E-2</v>
      </c>
      <c r="C1156" s="983">
        <v>0.1034017927240516</v>
      </c>
      <c r="D1156" s="983">
        <v>2.0083333333333333E-3</v>
      </c>
      <c r="E1156" s="983">
        <v>2.8583333333333334E-3</v>
      </c>
      <c r="F1156" s="983">
        <v>3.0166666666666671E-3</v>
      </c>
      <c r="G1156" s="983">
        <v>2.9375E-3</v>
      </c>
      <c r="H1156" s="983">
        <v>3.3166666666666665E-3</v>
      </c>
      <c r="I1156" s="983">
        <v>5.1541654311405387E-2</v>
      </c>
      <c r="J1156" s="983">
        <v>5.0612487644738718E-2</v>
      </c>
      <c r="K1156" s="983">
        <v>5.0233320978072052E-2</v>
      </c>
      <c r="L1156" s="983">
        <v>0.10008512605738494</v>
      </c>
    </row>
    <row r="1157" spans="1:12">
      <c r="A1157" s="983">
        <v>44652</v>
      </c>
      <c r="B1157" s="983">
        <v>-5.290392192672539E-2</v>
      </c>
      <c r="C1157" s="983">
        <v>-4.2501222696682647E-2</v>
      </c>
      <c r="D1157" s="983">
        <v>2.3416666666666668E-3</v>
      </c>
      <c r="E1157" s="983">
        <v>3.1250000000000002E-3</v>
      </c>
      <c r="F1157" s="983">
        <v>3.2666666666666664E-3</v>
      </c>
      <c r="G1157" s="983">
        <v>3.1958333333333335E-3</v>
      </c>
      <c r="H1157" s="983">
        <v>3.5833333333333333E-3</v>
      </c>
      <c r="I1157" s="983">
        <v>-5.5245588593392056E-2</v>
      </c>
      <c r="J1157" s="983">
        <v>-5.6099755260058726E-2</v>
      </c>
      <c r="K1157" s="983">
        <v>-5.6487255260058725E-2</v>
      </c>
      <c r="L1157" s="983">
        <v>-4.6084556030015981E-2</v>
      </c>
    </row>
    <row r="1158" spans="1:12">
      <c r="A1158" s="983">
        <v>44682</v>
      </c>
      <c r="B1158" s="983">
        <v>8.0697739934342868E-3</v>
      </c>
      <c r="C1158" s="983">
        <v>4.3040973370551114E-2</v>
      </c>
      <c r="D1158" s="983">
        <v>2.558333333333333E-3</v>
      </c>
      <c r="E1158" s="983">
        <v>3.4416666666666667E-3</v>
      </c>
      <c r="F1158" s="983">
        <v>3.6333333333333335E-3</v>
      </c>
      <c r="G1158" s="983">
        <v>3.5374999999999998E-3</v>
      </c>
      <c r="H1158" s="983">
        <v>3.9583333333333328E-3</v>
      </c>
      <c r="I1158" s="983">
        <v>5.5114406601009542E-3</v>
      </c>
      <c r="J1158" s="983">
        <v>4.5322739934342869E-3</v>
      </c>
      <c r="K1158" s="983">
        <v>4.111440660100954E-3</v>
      </c>
      <c r="L1158" s="983">
        <v>3.9082640037217779E-2</v>
      </c>
    </row>
    <row r="1159" spans="1:12">
      <c r="A1159" s="983">
        <v>44713</v>
      </c>
      <c r="B1159" s="983">
        <v>-7.4590822486972894E-2</v>
      </c>
      <c r="C1159" s="983">
        <v>-4.972550324722623E-2</v>
      </c>
      <c r="D1159" s="983">
        <v>2.708333333333333E-3</v>
      </c>
      <c r="E1159" s="983">
        <v>3.5333333333333332E-3</v>
      </c>
      <c r="F1159" s="983">
        <v>3.741666666666667E-3</v>
      </c>
      <c r="G1159" s="983">
        <v>3.6375000000000001E-3</v>
      </c>
      <c r="H1159" s="983">
        <v>4.0500000000000006E-3</v>
      </c>
      <c r="I1159" s="983">
        <v>-7.729915582030622E-2</v>
      </c>
      <c r="J1159" s="983">
        <v>-7.8228322486972895E-2</v>
      </c>
      <c r="K1159" s="983">
        <v>-7.8640822486972892E-2</v>
      </c>
      <c r="L1159" s="983">
        <v>-5.3775503247226228E-2</v>
      </c>
    </row>
    <row r="1160" spans="1:12">
      <c r="A1160" s="983">
        <v>44743</v>
      </c>
      <c r="B1160" s="983">
        <v>9.2204472923388181E-2</v>
      </c>
      <c r="C1160" s="983">
        <v>5.4986062858527911E-2</v>
      </c>
      <c r="D1160" s="983">
        <v>2.5833333333333337E-3</v>
      </c>
      <c r="E1160" s="983">
        <v>3.3833333333333332E-3</v>
      </c>
      <c r="F1160" s="983">
        <v>3.6416666666666667E-3</v>
      </c>
      <c r="G1160" s="983">
        <v>3.5125E-3</v>
      </c>
      <c r="H1160" s="983">
        <v>3.9833333333333335E-3</v>
      </c>
      <c r="I1160" s="983">
        <v>8.9621139590054841E-2</v>
      </c>
      <c r="J1160" s="983">
        <v>8.8691972923388179E-2</v>
      </c>
      <c r="K1160" s="983">
        <v>8.8221139590054842E-2</v>
      </c>
      <c r="L1160" s="983">
        <v>5.1002729525194579E-2</v>
      </c>
    </row>
    <row r="1161" spans="1:12">
      <c r="A1161" s="983">
        <v>44774</v>
      </c>
      <c r="B1161" s="983">
        <v>-4.0781356308831278E-2</v>
      </c>
      <c r="C1161" s="983">
        <v>5.1000000000000004E-3</v>
      </c>
      <c r="D1161" s="983">
        <v>2.6083333333333332E-3</v>
      </c>
      <c r="E1161" s="983">
        <v>3.3916666666666665E-3</v>
      </c>
      <c r="F1161" s="983">
        <v>3.6333333333333335E-3</v>
      </c>
      <c r="G1161" s="983">
        <v>3.5125E-3</v>
      </c>
      <c r="H1161" s="983">
        <v>3.966666666666667E-3</v>
      </c>
      <c r="I1161" s="983">
        <v>-4.3389689642164608E-2</v>
      </c>
      <c r="J1161" s="983">
        <v>-4.429385630883128E-2</v>
      </c>
      <c r="K1161" s="983">
        <v>-4.4748022975497945E-2</v>
      </c>
      <c r="L1161" s="983">
        <v>1.1333333333333334E-3</v>
      </c>
    </row>
    <row r="1162" spans="1:12">
      <c r="A1162" s="983">
        <v>44805</v>
      </c>
      <c r="B1162" s="983">
        <v>-9.2099512563258087E-2</v>
      </c>
      <c r="C1162" s="983">
        <v>-0.1131647994987349</v>
      </c>
      <c r="D1162" s="983">
        <v>2.9666666666666669E-3</v>
      </c>
      <c r="E1162" s="983">
        <v>3.8083333333333337E-3</v>
      </c>
      <c r="F1162" s="983">
        <v>4.0500000000000006E-3</v>
      </c>
      <c r="G1162" s="983">
        <v>3.9291666666666676E-3</v>
      </c>
      <c r="H1162" s="983">
        <v>4.3833333333333328E-3</v>
      </c>
      <c r="I1162" s="983">
        <v>-9.506617922992476E-2</v>
      </c>
      <c r="J1162" s="983">
        <v>-9.6028679229924752E-2</v>
      </c>
      <c r="K1162" s="983">
        <v>-9.6482845896591424E-2</v>
      </c>
      <c r="L1162" s="983">
        <v>-0.11754813283206823</v>
      </c>
    </row>
    <row r="1163" spans="1:12">
      <c r="A1163" s="983">
        <v>44835</v>
      </c>
      <c r="B1163" s="983">
        <v>8.9038213159300009E-2</v>
      </c>
      <c r="C1163" s="983">
        <v>1.6754063521819712E-2</v>
      </c>
      <c r="D1163" s="983">
        <v>3.3666666666666667E-3</v>
      </c>
      <c r="E1163" s="983">
        <v>4.2500000000000003E-3</v>
      </c>
      <c r="F1163" s="983">
        <v>4.5000000000000005E-3</v>
      </c>
      <c r="G1163" s="983">
        <v>4.3750000000000004E-3</v>
      </c>
      <c r="H1163" s="983">
        <v>4.8999999999999998E-3</v>
      </c>
      <c r="I1163" s="983">
        <v>8.5671546492633338E-2</v>
      </c>
      <c r="J1163" s="983">
        <v>8.4663213159300005E-2</v>
      </c>
      <c r="K1163" s="983">
        <v>8.4138213159300007E-2</v>
      </c>
      <c r="L1163" s="983">
        <v>1.1854063521819712E-2</v>
      </c>
    </row>
    <row r="1164" spans="1:12">
      <c r="A1164" s="983">
        <v>44866</v>
      </c>
      <c r="B1164" s="983">
        <v>5.5884750629661535E-2</v>
      </c>
      <c r="C1164" s="983">
        <v>6.9878999321193083E-2</v>
      </c>
      <c r="D1164" s="983">
        <v>3.3333333333333331E-3</v>
      </c>
      <c r="E1164" s="983">
        <v>4.0833333333333338E-3</v>
      </c>
      <c r="F1164" s="983">
        <v>4.3583333333333339E-3</v>
      </c>
      <c r="G1164" s="983">
        <v>4.2208333333333334E-3</v>
      </c>
      <c r="H1164" s="983">
        <v>4.7916666666666672E-3</v>
      </c>
      <c r="I1164" s="983">
        <v>5.2551417296328201E-2</v>
      </c>
      <c r="J1164" s="983">
        <v>5.1663917296328202E-2</v>
      </c>
      <c r="K1164" s="983">
        <v>5.1093083962994869E-2</v>
      </c>
      <c r="L1164" s="983">
        <v>6.5087332654526417E-2</v>
      </c>
    </row>
    <row r="1165" spans="1:12">
      <c r="A1165" s="983">
        <v>44896</v>
      </c>
      <c r="B1165" s="983">
        <v>-5.5270799723438513E-2</v>
      </c>
      <c r="C1165" s="983">
        <v>-4.9005438196876444E-3</v>
      </c>
      <c r="D1165" s="983">
        <v>3.0499999999999998E-3</v>
      </c>
      <c r="E1165" s="983">
        <v>3.6749999999999999E-3</v>
      </c>
      <c r="F1165" s="983">
        <v>3.9583333333333328E-3</v>
      </c>
      <c r="G1165" s="983">
        <v>3.8166666666666661E-3</v>
      </c>
      <c r="H1165" s="983">
        <v>4.3916666666666661E-3</v>
      </c>
      <c r="I1165" s="983">
        <v>-5.832079972343851E-2</v>
      </c>
      <c r="J1165" s="983">
        <v>-5.9087466390105176E-2</v>
      </c>
      <c r="K1165" s="983">
        <v>-5.9662466390105182E-2</v>
      </c>
      <c r="L1165" s="983">
        <v>-9.2922104863543097E-3</v>
      </c>
    </row>
  </sheetData>
  <pageMargins left="0.70000000000000007" right="0.70000000000000007" top="0.75" bottom="0.75" header="0.30000000000000004" footer="0.3000000000000000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5"/>
  <sheetViews>
    <sheetView workbookViewId="0"/>
  </sheetViews>
  <sheetFormatPr defaultColWidth="11" defaultRowHeight="13.2"/>
  <cols>
    <col min="1" max="1" width="12" style="987" customWidth="1"/>
    <col min="2" max="2" width="12" style="988" customWidth="1"/>
    <col min="3" max="3" width="30.5546875" style="987" customWidth="1"/>
    <col min="4" max="4" width="8.33203125" style="987" customWidth="1"/>
    <col min="5" max="5" width="9.5546875" style="987" customWidth="1"/>
    <col min="6" max="6" width="10.44140625" style="987" customWidth="1"/>
    <col min="7" max="7" width="11.5546875" style="987" customWidth="1"/>
    <col min="8" max="9" width="11" style="987" customWidth="1"/>
    <col min="10" max="10" width="11.44140625" style="988" customWidth="1"/>
    <col min="11" max="11" width="11" style="987" customWidth="1"/>
    <col min="12" max="16384" width="11" style="987"/>
  </cols>
  <sheetData>
    <row r="1" spans="1:10" ht="26.4">
      <c r="A1" s="984" t="s">
        <v>4619</v>
      </c>
      <c r="B1" s="985" t="s">
        <v>4620</v>
      </c>
      <c r="C1" s="984" t="s">
        <v>4621</v>
      </c>
      <c r="D1" s="984" t="s">
        <v>181</v>
      </c>
      <c r="E1" s="984" t="s">
        <v>4622</v>
      </c>
      <c r="F1" s="984" t="s">
        <v>4623</v>
      </c>
      <c r="G1" s="984" t="s">
        <v>4624</v>
      </c>
      <c r="H1" s="986" t="s">
        <v>4625</v>
      </c>
      <c r="I1" s="987" t="s">
        <v>1482</v>
      </c>
      <c r="J1" s="985" t="s">
        <v>4620</v>
      </c>
    </row>
    <row r="2" spans="1:10">
      <c r="B2" s="988">
        <v>9498</v>
      </c>
      <c r="C2" s="987" t="s">
        <v>4626</v>
      </c>
      <c r="F2" s="989">
        <v>0</v>
      </c>
      <c r="H2" s="986">
        <v>3.0999999999999999E-3</v>
      </c>
      <c r="I2" s="986">
        <f t="shared" ref="I2:I65" si="0">F2-H2</f>
        <v>-3.0999999999999999E-3</v>
      </c>
      <c r="J2" s="988">
        <v>9498</v>
      </c>
    </row>
    <row r="3" spans="1:10">
      <c r="B3" s="988">
        <v>9529</v>
      </c>
      <c r="C3" s="987" t="s">
        <v>4626</v>
      </c>
      <c r="F3" s="989">
        <v>-3.85E-2</v>
      </c>
      <c r="H3" s="986">
        <v>2.8E-3</v>
      </c>
      <c r="I3" s="986">
        <f t="shared" si="0"/>
        <v>-4.1299999999999996E-2</v>
      </c>
      <c r="J3" s="988">
        <v>9529</v>
      </c>
    </row>
    <row r="4" spans="1:10">
      <c r="B4" s="988">
        <v>9557</v>
      </c>
      <c r="C4" s="987" t="s">
        <v>4626</v>
      </c>
      <c r="F4" s="989">
        <v>-5.7500000000000002E-2</v>
      </c>
      <c r="H4" s="986">
        <v>3.2000000000000002E-3</v>
      </c>
      <c r="I4" s="986">
        <f t="shared" si="0"/>
        <v>-6.0700000000000004E-2</v>
      </c>
      <c r="J4" s="988">
        <v>9557</v>
      </c>
    </row>
    <row r="5" spans="1:10">
      <c r="B5" s="988">
        <v>9588</v>
      </c>
      <c r="C5" s="987" t="s">
        <v>4626</v>
      </c>
      <c r="F5" s="989">
        <v>2.53E-2</v>
      </c>
      <c r="H5" s="986">
        <v>3.0000000000000001E-3</v>
      </c>
      <c r="I5" s="986">
        <f t="shared" si="0"/>
        <v>2.23E-2</v>
      </c>
      <c r="J5" s="988">
        <v>9588</v>
      </c>
    </row>
    <row r="6" spans="1:10">
      <c r="B6" s="988">
        <v>9618</v>
      </c>
      <c r="C6" s="987" t="s">
        <v>4626</v>
      </c>
      <c r="F6" s="989">
        <v>1.7899999999999999E-2</v>
      </c>
      <c r="H6" s="986">
        <v>2.8E-3</v>
      </c>
      <c r="I6" s="986">
        <f t="shared" si="0"/>
        <v>1.5099999999999999E-2</v>
      </c>
      <c r="J6" s="988">
        <v>9618</v>
      </c>
    </row>
    <row r="7" spans="1:10">
      <c r="B7" s="988">
        <v>9649</v>
      </c>
      <c r="C7" s="987" t="s">
        <v>4626</v>
      </c>
      <c r="F7" s="989">
        <v>4.5699999999999998E-2</v>
      </c>
      <c r="H7" s="986">
        <v>3.3E-3</v>
      </c>
      <c r="I7" s="986">
        <f t="shared" si="0"/>
        <v>4.24E-2</v>
      </c>
      <c r="J7" s="988">
        <v>9649</v>
      </c>
    </row>
    <row r="8" spans="1:10">
      <c r="B8" s="988">
        <v>9679</v>
      </c>
      <c r="C8" s="987" t="s">
        <v>4626</v>
      </c>
      <c r="F8" s="989">
        <v>4.7899999999999998E-2</v>
      </c>
      <c r="H8" s="986">
        <v>3.0999999999999999E-3</v>
      </c>
      <c r="I8" s="986">
        <f t="shared" si="0"/>
        <v>4.48E-2</v>
      </c>
      <c r="J8" s="988">
        <v>9679</v>
      </c>
    </row>
    <row r="9" spans="1:10">
      <c r="B9" s="988">
        <v>9710</v>
      </c>
      <c r="C9" s="987" t="s">
        <v>4626</v>
      </c>
      <c r="F9" s="989">
        <v>2.4799999999999999E-2</v>
      </c>
      <c r="H9" s="986">
        <v>3.0999999999999999E-3</v>
      </c>
      <c r="I9" s="986">
        <f t="shared" si="0"/>
        <v>2.1700000000000001E-2</v>
      </c>
      <c r="J9" s="988">
        <v>9710</v>
      </c>
    </row>
    <row r="10" spans="1:10">
      <c r="B10" s="988">
        <v>9741</v>
      </c>
      <c r="C10" s="987" t="s">
        <v>4626</v>
      </c>
      <c r="F10" s="989">
        <v>2.52E-2</v>
      </c>
      <c r="H10" s="986">
        <v>3.0000000000000001E-3</v>
      </c>
      <c r="I10" s="986">
        <f t="shared" si="0"/>
        <v>2.2200000000000001E-2</v>
      </c>
      <c r="J10" s="988">
        <v>9741</v>
      </c>
    </row>
    <row r="11" spans="1:10">
      <c r="B11" s="988">
        <v>9771</v>
      </c>
      <c r="C11" s="987" t="s">
        <v>4626</v>
      </c>
      <c r="F11" s="989">
        <v>-2.8400000000000002E-2</v>
      </c>
      <c r="H11" s="986">
        <v>3.0000000000000001E-3</v>
      </c>
      <c r="I11" s="986">
        <f t="shared" si="0"/>
        <v>-3.1400000000000004E-2</v>
      </c>
      <c r="J11" s="988">
        <v>9771</v>
      </c>
    </row>
    <row r="12" spans="1:10">
      <c r="B12" s="988">
        <v>9802</v>
      </c>
      <c r="C12" s="987" t="s">
        <v>4626</v>
      </c>
      <c r="F12" s="989">
        <v>3.4700000000000002E-2</v>
      </c>
      <c r="H12" s="986">
        <v>3.0999999999999999E-3</v>
      </c>
      <c r="I12" s="986">
        <f t="shared" si="0"/>
        <v>3.1600000000000003E-2</v>
      </c>
      <c r="J12" s="988">
        <v>9802</v>
      </c>
    </row>
    <row r="13" spans="1:10">
      <c r="B13" s="988">
        <v>9832</v>
      </c>
      <c r="C13" s="987" t="s">
        <v>4626</v>
      </c>
      <c r="F13" s="989">
        <v>1.9599999999999999E-2</v>
      </c>
      <c r="H13" s="986">
        <v>3.0000000000000001E-3</v>
      </c>
      <c r="I13" s="986">
        <f t="shared" si="0"/>
        <v>1.66E-2</v>
      </c>
      <c r="J13" s="988">
        <v>9832</v>
      </c>
    </row>
    <row r="14" spans="1:10">
      <c r="B14" s="988">
        <v>9863</v>
      </c>
      <c r="C14" s="987" t="s">
        <v>4626</v>
      </c>
      <c r="F14" s="989">
        <v>-1.9300000000000001E-2</v>
      </c>
      <c r="H14" s="986">
        <v>3.0000000000000001E-3</v>
      </c>
      <c r="I14" s="986">
        <f t="shared" si="0"/>
        <v>-2.23E-2</v>
      </c>
      <c r="J14" s="988">
        <v>9863</v>
      </c>
    </row>
    <row r="15" spans="1:10">
      <c r="B15" s="988">
        <v>9894</v>
      </c>
      <c r="C15" s="987" t="s">
        <v>4626</v>
      </c>
      <c r="F15" s="989">
        <v>5.3699999999999998E-2</v>
      </c>
      <c r="H15" s="986">
        <v>2.7000000000000001E-3</v>
      </c>
      <c r="I15" s="986">
        <f t="shared" si="0"/>
        <v>5.0999999999999997E-2</v>
      </c>
      <c r="J15" s="988">
        <v>9894</v>
      </c>
    </row>
    <row r="16" spans="1:10">
      <c r="B16" s="988">
        <v>9922</v>
      </c>
      <c r="C16" s="987" t="s">
        <v>4626</v>
      </c>
      <c r="F16" s="989">
        <v>8.6999999999999994E-3</v>
      </c>
      <c r="H16" s="986">
        <v>2.8999999999999998E-3</v>
      </c>
      <c r="I16" s="986">
        <f t="shared" si="0"/>
        <v>5.7999999999999996E-3</v>
      </c>
      <c r="J16" s="988">
        <v>9922</v>
      </c>
    </row>
    <row r="17" spans="2:10">
      <c r="B17" s="988">
        <v>9953</v>
      </c>
      <c r="C17" s="987" t="s">
        <v>4626</v>
      </c>
      <c r="F17" s="989">
        <v>2.01E-2</v>
      </c>
      <c r="H17" s="986">
        <v>2.7000000000000001E-3</v>
      </c>
      <c r="I17" s="986">
        <f t="shared" si="0"/>
        <v>1.7399999999999999E-2</v>
      </c>
      <c r="J17" s="988">
        <v>9953</v>
      </c>
    </row>
    <row r="18" spans="2:10">
      <c r="B18" s="988">
        <v>9983</v>
      </c>
      <c r="C18" s="987" t="s">
        <v>4626</v>
      </c>
      <c r="F18" s="989">
        <v>6.0699999999999997E-2</v>
      </c>
      <c r="H18" s="986">
        <v>2.8E-3</v>
      </c>
      <c r="I18" s="986">
        <f t="shared" si="0"/>
        <v>5.79E-2</v>
      </c>
      <c r="J18" s="988">
        <v>9983</v>
      </c>
    </row>
    <row r="19" spans="2:10">
      <c r="B19" s="988">
        <v>10014</v>
      </c>
      <c r="C19" s="987" t="s">
        <v>4626</v>
      </c>
      <c r="F19" s="989">
        <v>-6.7000000000000002E-3</v>
      </c>
      <c r="H19" s="986">
        <v>2.7000000000000001E-3</v>
      </c>
      <c r="I19" s="986">
        <f t="shared" si="0"/>
        <v>-9.4000000000000004E-3</v>
      </c>
      <c r="J19" s="988">
        <v>10014</v>
      </c>
    </row>
    <row r="20" spans="2:10">
      <c r="B20" s="988">
        <v>10044</v>
      </c>
      <c r="C20" s="987" t="s">
        <v>4626</v>
      </c>
      <c r="F20" s="989">
        <v>6.7000000000000004E-2</v>
      </c>
      <c r="H20" s="986">
        <v>2.7000000000000001E-3</v>
      </c>
      <c r="I20" s="986">
        <f t="shared" si="0"/>
        <v>6.430000000000001E-2</v>
      </c>
      <c r="J20" s="988">
        <v>10044</v>
      </c>
    </row>
    <row r="21" spans="2:10">
      <c r="B21" s="988">
        <v>10075</v>
      </c>
      <c r="C21" s="987" t="s">
        <v>4626</v>
      </c>
      <c r="F21" s="989">
        <v>5.1499999999999997E-2</v>
      </c>
      <c r="H21" s="986">
        <v>2.8999999999999998E-3</v>
      </c>
      <c r="I21" s="986">
        <f t="shared" si="0"/>
        <v>4.8599999999999997E-2</v>
      </c>
      <c r="J21" s="988">
        <v>10075</v>
      </c>
    </row>
    <row r="22" spans="2:10">
      <c r="B22" s="988">
        <v>10106</v>
      </c>
      <c r="C22" s="987" t="s">
        <v>4626</v>
      </c>
      <c r="F22" s="989">
        <v>4.4999999999999998E-2</v>
      </c>
      <c r="H22" s="986">
        <v>2.7000000000000001E-3</v>
      </c>
      <c r="I22" s="986">
        <f t="shared" si="0"/>
        <v>4.2299999999999997E-2</v>
      </c>
      <c r="J22" s="988">
        <v>10106</v>
      </c>
    </row>
    <row r="23" spans="2:10">
      <c r="B23" s="988">
        <v>10136</v>
      </c>
      <c r="C23" s="987" t="s">
        <v>4626</v>
      </c>
      <c r="F23" s="989">
        <v>-5.0200000000000002E-2</v>
      </c>
      <c r="H23" s="986">
        <v>2.8E-3</v>
      </c>
      <c r="I23" s="986">
        <f t="shared" si="0"/>
        <v>-5.2999999999999999E-2</v>
      </c>
      <c r="J23" s="988">
        <v>10136</v>
      </c>
    </row>
    <row r="24" spans="2:10">
      <c r="B24" s="988">
        <v>10167</v>
      </c>
      <c r="C24" s="987" t="s">
        <v>4626</v>
      </c>
      <c r="F24" s="989">
        <v>7.2099999999999997E-2</v>
      </c>
      <c r="H24" s="986">
        <v>2.7000000000000001E-3</v>
      </c>
      <c r="I24" s="986">
        <f t="shared" si="0"/>
        <v>6.9400000000000003E-2</v>
      </c>
      <c r="J24" s="988">
        <v>10167</v>
      </c>
    </row>
    <row r="25" spans="2:10">
      <c r="B25" s="988">
        <v>10197</v>
      </c>
      <c r="C25" s="987" t="s">
        <v>4626</v>
      </c>
      <c r="F25" s="989">
        <v>2.7900000000000001E-2</v>
      </c>
      <c r="H25" s="986">
        <v>2.7000000000000001E-3</v>
      </c>
      <c r="I25" s="986">
        <f t="shared" si="0"/>
        <v>2.52E-2</v>
      </c>
      <c r="J25" s="988">
        <v>10197</v>
      </c>
    </row>
    <row r="26" spans="2:10">
      <c r="B26" s="988">
        <v>10228</v>
      </c>
      <c r="C26" s="987" t="s">
        <v>4626</v>
      </c>
      <c r="F26" s="989">
        <v>-4.0000000000000001E-3</v>
      </c>
      <c r="H26" s="986">
        <v>2.7000000000000001E-3</v>
      </c>
      <c r="I26" s="986">
        <f t="shared" si="0"/>
        <v>-6.7000000000000002E-3</v>
      </c>
      <c r="J26" s="988">
        <v>10228</v>
      </c>
    </row>
    <row r="27" spans="2:10">
      <c r="B27" s="988">
        <v>10259</v>
      </c>
      <c r="C27" s="987" t="s">
        <v>4626</v>
      </c>
      <c r="F27" s="989">
        <v>-1.2500000000000001E-2</v>
      </c>
      <c r="H27" s="986">
        <v>2.5000000000000001E-3</v>
      </c>
      <c r="I27" s="986">
        <f t="shared" si="0"/>
        <v>-1.5000000000000001E-2</v>
      </c>
      <c r="J27" s="988">
        <v>10259</v>
      </c>
    </row>
    <row r="28" spans="2:10">
      <c r="B28" s="988">
        <v>10288</v>
      </c>
      <c r="C28" s="987" t="s">
        <v>4626</v>
      </c>
      <c r="F28" s="989">
        <v>0.1101</v>
      </c>
      <c r="H28" s="986">
        <v>2.7000000000000001E-3</v>
      </c>
      <c r="I28" s="986">
        <f t="shared" si="0"/>
        <v>0.10740000000000001</v>
      </c>
      <c r="J28" s="988">
        <v>10288</v>
      </c>
    </row>
    <row r="29" spans="2:10">
      <c r="B29" s="988">
        <v>10319</v>
      </c>
      <c r="C29" s="987" t="s">
        <v>4626</v>
      </c>
      <c r="F29" s="989">
        <v>3.4500000000000003E-2</v>
      </c>
      <c r="H29" s="986">
        <v>2.5999999999999999E-3</v>
      </c>
      <c r="I29" s="986">
        <f t="shared" si="0"/>
        <v>3.1900000000000005E-2</v>
      </c>
      <c r="J29" s="988">
        <v>10319</v>
      </c>
    </row>
    <row r="30" spans="2:10">
      <c r="B30" s="988">
        <v>10349</v>
      </c>
      <c r="C30" s="987" t="s">
        <v>4626</v>
      </c>
      <c r="F30" s="989">
        <v>1.9699999999999999E-2</v>
      </c>
      <c r="H30" s="986">
        <v>2.7000000000000001E-3</v>
      </c>
      <c r="I30" s="986">
        <f t="shared" si="0"/>
        <v>1.6999999999999998E-2</v>
      </c>
      <c r="J30" s="988">
        <v>10349</v>
      </c>
    </row>
    <row r="31" spans="2:10">
      <c r="B31" s="988">
        <v>10380</v>
      </c>
      <c r="C31" s="987" t="s">
        <v>4626</v>
      </c>
      <c r="F31" s="989">
        <v>-3.85E-2</v>
      </c>
      <c r="H31" s="986">
        <v>2.7000000000000001E-3</v>
      </c>
      <c r="I31" s="986">
        <f t="shared" si="0"/>
        <v>-4.1200000000000001E-2</v>
      </c>
      <c r="J31" s="988">
        <v>10380</v>
      </c>
    </row>
    <row r="32" spans="2:10">
      <c r="B32" s="988">
        <v>10410</v>
      </c>
      <c r="C32" s="987" t="s">
        <v>4626</v>
      </c>
      <c r="F32" s="989">
        <v>1.41E-2</v>
      </c>
      <c r="H32" s="986">
        <v>2.7000000000000001E-3</v>
      </c>
      <c r="I32" s="986">
        <f t="shared" si="0"/>
        <v>1.14E-2</v>
      </c>
      <c r="J32" s="988">
        <v>10410</v>
      </c>
    </row>
    <row r="33" spans="2:10">
      <c r="B33" s="988">
        <v>10441</v>
      </c>
      <c r="C33" s="987" t="s">
        <v>4626</v>
      </c>
      <c r="F33" s="989">
        <v>8.0299999999999996E-2</v>
      </c>
      <c r="H33" s="986">
        <v>2.8999999999999998E-3</v>
      </c>
      <c r="I33" s="986">
        <f t="shared" si="0"/>
        <v>7.7399999999999997E-2</v>
      </c>
      <c r="J33" s="988">
        <v>10441</v>
      </c>
    </row>
    <row r="34" spans="2:10">
      <c r="B34" s="988">
        <v>10472</v>
      </c>
      <c r="C34" s="987" t="s">
        <v>4626</v>
      </c>
      <c r="F34" s="989">
        <v>2.5899999999999999E-2</v>
      </c>
      <c r="H34" s="986">
        <v>2.7000000000000001E-3</v>
      </c>
      <c r="I34" s="986">
        <f t="shared" si="0"/>
        <v>2.3199999999999998E-2</v>
      </c>
      <c r="J34" s="988">
        <v>10472</v>
      </c>
    </row>
    <row r="35" spans="2:10">
      <c r="B35" s="988">
        <v>10502</v>
      </c>
      <c r="C35" s="987" t="s">
        <v>4626</v>
      </c>
      <c r="F35" s="989">
        <v>1.6799999999999999E-2</v>
      </c>
      <c r="H35" s="986">
        <v>3.0000000000000001E-3</v>
      </c>
      <c r="I35" s="986">
        <f t="shared" si="0"/>
        <v>1.38E-2</v>
      </c>
      <c r="J35" s="988">
        <v>10502</v>
      </c>
    </row>
    <row r="36" spans="2:10">
      <c r="B36" s="988">
        <v>10533</v>
      </c>
      <c r="C36" s="987" t="s">
        <v>4626</v>
      </c>
      <c r="F36" s="989">
        <v>0.12920000000000001</v>
      </c>
      <c r="H36" s="986">
        <v>2.7000000000000001E-3</v>
      </c>
      <c r="I36" s="986">
        <f t="shared" si="0"/>
        <v>0.1265</v>
      </c>
      <c r="J36" s="988">
        <v>10533</v>
      </c>
    </row>
    <row r="37" spans="2:10">
      <c r="B37" s="988">
        <v>10563</v>
      </c>
      <c r="C37" s="987" t="s">
        <v>4626</v>
      </c>
      <c r="F37" s="989">
        <v>4.8999999999999998E-3</v>
      </c>
      <c r="H37" s="986">
        <v>2.8999999999999998E-3</v>
      </c>
      <c r="I37" s="986">
        <f t="shared" si="0"/>
        <v>2E-3</v>
      </c>
      <c r="J37" s="988">
        <v>10563</v>
      </c>
    </row>
    <row r="38" spans="2:10">
      <c r="B38" s="988">
        <v>10594</v>
      </c>
      <c r="C38" s="987" t="s">
        <v>4626</v>
      </c>
      <c r="F38" s="989">
        <v>5.8299999999999998E-2</v>
      </c>
      <c r="H38" s="986">
        <v>2.8999999999999998E-3</v>
      </c>
      <c r="I38" s="986">
        <f t="shared" si="0"/>
        <v>5.5399999999999998E-2</v>
      </c>
      <c r="J38" s="988">
        <v>10594</v>
      </c>
    </row>
    <row r="39" spans="2:10">
      <c r="B39" s="988">
        <v>10625</v>
      </c>
      <c r="C39" s="987" t="s">
        <v>4626</v>
      </c>
      <c r="F39" s="989">
        <v>-1.9E-3</v>
      </c>
      <c r="H39" s="986">
        <v>2.7000000000000001E-3</v>
      </c>
      <c r="I39" s="986">
        <f t="shared" si="0"/>
        <v>-4.5999999999999999E-3</v>
      </c>
      <c r="J39" s="988">
        <v>10625</v>
      </c>
    </row>
    <row r="40" spans="2:10">
      <c r="B40" s="988">
        <v>10653</v>
      </c>
      <c r="C40" s="987" t="s">
        <v>4626</v>
      </c>
      <c r="F40" s="989">
        <v>-1.1999999999999999E-3</v>
      </c>
      <c r="H40" s="986">
        <v>2.8E-3</v>
      </c>
      <c r="I40" s="986">
        <f t="shared" si="0"/>
        <v>-4.0000000000000001E-3</v>
      </c>
      <c r="J40" s="988">
        <v>10653</v>
      </c>
    </row>
    <row r="41" spans="2:10">
      <c r="B41" s="988">
        <v>10684</v>
      </c>
      <c r="C41" s="987" t="s">
        <v>4626</v>
      </c>
      <c r="F41" s="989">
        <v>1.7600000000000001E-2</v>
      </c>
      <c r="H41" s="986">
        <v>3.3999999999999998E-3</v>
      </c>
      <c r="I41" s="986">
        <f t="shared" si="0"/>
        <v>1.4200000000000001E-2</v>
      </c>
      <c r="J41" s="988">
        <v>10684</v>
      </c>
    </row>
    <row r="42" spans="2:10">
      <c r="B42" s="988">
        <v>10714</v>
      </c>
      <c r="C42" s="987" t="s">
        <v>4626</v>
      </c>
      <c r="F42" s="989">
        <v>-3.6200000000000003E-2</v>
      </c>
      <c r="H42" s="986">
        <v>3.0000000000000001E-3</v>
      </c>
      <c r="I42" s="986">
        <f t="shared" si="0"/>
        <v>-3.9200000000000006E-2</v>
      </c>
      <c r="J42" s="988">
        <v>10714</v>
      </c>
    </row>
    <row r="43" spans="2:10">
      <c r="B43" s="988">
        <v>10745</v>
      </c>
      <c r="C43" s="987" t="s">
        <v>4626</v>
      </c>
      <c r="F43" s="989">
        <v>0.114</v>
      </c>
      <c r="H43" s="986">
        <v>2.8999999999999998E-3</v>
      </c>
      <c r="I43" s="986">
        <f t="shared" si="0"/>
        <v>0.1111</v>
      </c>
      <c r="J43" s="988">
        <v>10745</v>
      </c>
    </row>
    <row r="44" spans="2:10">
      <c r="B44" s="988">
        <v>10775</v>
      </c>
      <c r="C44" s="987" t="s">
        <v>4626</v>
      </c>
      <c r="F44" s="989">
        <v>4.7100000000000003E-2</v>
      </c>
      <c r="H44" s="986">
        <v>3.2000000000000002E-3</v>
      </c>
      <c r="I44" s="986">
        <f t="shared" si="0"/>
        <v>4.3900000000000002E-2</v>
      </c>
      <c r="J44" s="988">
        <v>10775</v>
      </c>
    </row>
    <row r="45" spans="2:10">
      <c r="B45" s="988">
        <v>10806</v>
      </c>
      <c r="C45" s="987" t="s">
        <v>4626</v>
      </c>
      <c r="F45" s="989">
        <v>0.1028</v>
      </c>
      <c r="H45" s="986">
        <v>3.0000000000000001E-3</v>
      </c>
      <c r="I45" s="986">
        <f t="shared" si="0"/>
        <v>9.98E-2</v>
      </c>
      <c r="J45" s="988">
        <v>10806</v>
      </c>
    </row>
    <row r="46" spans="2:10">
      <c r="B46" s="988">
        <v>10837</v>
      </c>
      <c r="C46" s="987" t="s">
        <v>4626</v>
      </c>
      <c r="F46" s="989">
        <v>-4.7600000000000003E-2</v>
      </c>
      <c r="H46" s="986">
        <v>3.2000000000000002E-3</v>
      </c>
      <c r="I46" s="986">
        <f t="shared" si="0"/>
        <v>-5.0800000000000005E-2</v>
      </c>
      <c r="J46" s="988">
        <v>10837</v>
      </c>
    </row>
    <row r="47" spans="2:10">
      <c r="B47" s="988">
        <v>10867</v>
      </c>
      <c r="C47" s="987" t="s">
        <v>4626</v>
      </c>
      <c r="F47" s="989">
        <v>-0.1973</v>
      </c>
      <c r="H47" s="986">
        <v>3.0999999999999999E-3</v>
      </c>
      <c r="I47" s="986">
        <f t="shared" si="0"/>
        <v>-0.20039999999999999</v>
      </c>
      <c r="J47" s="988">
        <v>10867</v>
      </c>
    </row>
    <row r="48" spans="2:10">
      <c r="B48" s="988">
        <v>10898</v>
      </c>
      <c r="C48" s="987" t="s">
        <v>4626</v>
      </c>
      <c r="F48" s="989">
        <v>-0.1246</v>
      </c>
      <c r="H48" s="986">
        <v>2.5999999999999999E-3</v>
      </c>
      <c r="I48" s="986">
        <f t="shared" si="0"/>
        <v>-0.12720000000000001</v>
      </c>
      <c r="J48" s="988">
        <v>10898</v>
      </c>
    </row>
    <row r="49" spans="2:10">
      <c r="B49" s="988">
        <v>10928</v>
      </c>
      <c r="C49" s="987" t="s">
        <v>4626</v>
      </c>
      <c r="F49" s="989">
        <v>2.8199999999999999E-2</v>
      </c>
      <c r="H49" s="986">
        <v>3.0999999999999999E-3</v>
      </c>
      <c r="I49" s="986">
        <f t="shared" si="0"/>
        <v>2.5100000000000001E-2</v>
      </c>
      <c r="J49" s="988">
        <v>10928</v>
      </c>
    </row>
    <row r="50" spans="2:10">
      <c r="B50" s="988">
        <v>10959</v>
      </c>
      <c r="C50" s="987" t="s">
        <v>4626</v>
      </c>
      <c r="F50" s="989">
        <v>6.3899999999999998E-2</v>
      </c>
      <c r="H50" s="986">
        <v>2.8999999999999998E-3</v>
      </c>
      <c r="I50" s="986">
        <f t="shared" si="0"/>
        <v>6.0999999999999999E-2</v>
      </c>
      <c r="J50" s="988">
        <v>10959</v>
      </c>
    </row>
    <row r="51" spans="2:10">
      <c r="B51" s="988">
        <v>10990</v>
      </c>
      <c r="C51" s="987" t="s">
        <v>4626</v>
      </c>
      <c r="F51" s="989">
        <v>2.5899999999999999E-2</v>
      </c>
      <c r="H51" s="986">
        <v>2.5999999999999999E-3</v>
      </c>
      <c r="I51" s="986">
        <f t="shared" si="0"/>
        <v>2.3300000000000001E-2</v>
      </c>
      <c r="J51" s="988">
        <v>10990</v>
      </c>
    </row>
    <row r="52" spans="2:10">
      <c r="B52" s="988">
        <v>11018</v>
      </c>
      <c r="C52" s="987" t="s">
        <v>4626</v>
      </c>
      <c r="F52" s="989">
        <v>8.1199999999999994E-2</v>
      </c>
      <c r="H52" s="986">
        <v>2.8999999999999998E-3</v>
      </c>
      <c r="I52" s="986">
        <f t="shared" si="0"/>
        <v>7.8299999999999995E-2</v>
      </c>
      <c r="J52" s="988">
        <v>11018</v>
      </c>
    </row>
    <row r="53" spans="2:10">
      <c r="B53" s="988">
        <v>11049</v>
      </c>
      <c r="C53" s="987" t="s">
        <v>4626</v>
      </c>
      <c r="F53" s="989">
        <v>-8.0000000000000002E-3</v>
      </c>
      <c r="H53" s="986">
        <v>2.7000000000000001E-3</v>
      </c>
      <c r="I53" s="986">
        <f t="shared" si="0"/>
        <v>-1.0700000000000001E-2</v>
      </c>
      <c r="J53" s="988">
        <v>11049</v>
      </c>
    </row>
    <row r="54" spans="2:10">
      <c r="B54" s="988">
        <v>11079</v>
      </c>
      <c r="C54" s="987" t="s">
        <v>4626</v>
      </c>
      <c r="F54" s="989">
        <v>-9.5999999999999992E-3</v>
      </c>
      <c r="H54" s="986">
        <v>2.7000000000000001E-3</v>
      </c>
      <c r="I54" s="986">
        <f t="shared" si="0"/>
        <v>-1.2299999999999998E-2</v>
      </c>
      <c r="J54" s="988">
        <v>11079</v>
      </c>
    </row>
    <row r="55" spans="2:10">
      <c r="B55" s="988">
        <v>11110</v>
      </c>
      <c r="C55" s="987" t="s">
        <v>4626</v>
      </c>
      <c r="F55" s="989">
        <v>-0.16250000000000001</v>
      </c>
      <c r="H55" s="986">
        <v>2.8999999999999998E-3</v>
      </c>
      <c r="I55" s="986">
        <f t="shared" si="0"/>
        <v>-0.16539999999999999</v>
      </c>
      <c r="J55" s="988">
        <v>11110</v>
      </c>
    </row>
    <row r="56" spans="2:10">
      <c r="B56" s="988">
        <v>11140</v>
      </c>
      <c r="C56" s="987" t="s">
        <v>4626</v>
      </c>
      <c r="F56" s="989">
        <v>3.8600000000000002E-2</v>
      </c>
      <c r="H56" s="986">
        <v>2.8E-3</v>
      </c>
      <c r="I56" s="986">
        <f t="shared" si="0"/>
        <v>3.5800000000000005E-2</v>
      </c>
      <c r="J56" s="988">
        <v>11140</v>
      </c>
    </row>
    <row r="57" spans="2:10">
      <c r="B57" s="988">
        <v>11171</v>
      </c>
      <c r="C57" s="987" t="s">
        <v>4626</v>
      </c>
      <c r="F57" s="989">
        <v>1.41E-2</v>
      </c>
      <c r="H57" s="986">
        <v>2.5999999999999999E-3</v>
      </c>
      <c r="I57" s="986">
        <f t="shared" si="0"/>
        <v>1.15E-2</v>
      </c>
      <c r="J57" s="988">
        <v>11171</v>
      </c>
    </row>
    <row r="58" spans="2:10">
      <c r="B58" s="988">
        <v>11202</v>
      </c>
      <c r="C58" s="987" t="s">
        <v>4626</v>
      </c>
      <c r="F58" s="989">
        <v>-0.12820000000000001</v>
      </c>
      <c r="H58" s="986">
        <v>2.8999999999999998E-3</v>
      </c>
      <c r="I58" s="986">
        <f t="shared" si="0"/>
        <v>-0.13109999999999999</v>
      </c>
      <c r="J58" s="988">
        <v>11202</v>
      </c>
    </row>
    <row r="59" spans="2:10">
      <c r="B59" s="988">
        <v>11232</v>
      </c>
      <c r="C59" s="987" t="s">
        <v>4626</v>
      </c>
      <c r="F59" s="989">
        <v>-8.5500000000000007E-2</v>
      </c>
      <c r="H59" s="986">
        <v>2.7000000000000001E-3</v>
      </c>
      <c r="I59" s="986">
        <f t="shared" si="0"/>
        <v>-8.8200000000000001E-2</v>
      </c>
      <c r="J59" s="988">
        <v>11232</v>
      </c>
    </row>
    <row r="60" spans="2:10">
      <c r="B60" s="988">
        <v>11263</v>
      </c>
      <c r="C60" s="987" t="s">
        <v>4626</v>
      </c>
      <c r="F60" s="989">
        <v>-8.8999999999999999E-3</v>
      </c>
      <c r="H60" s="986">
        <v>2.5999999999999999E-3</v>
      </c>
      <c r="I60" s="986">
        <f t="shared" si="0"/>
        <v>-1.15E-2</v>
      </c>
      <c r="J60" s="988">
        <v>11263</v>
      </c>
    </row>
    <row r="61" spans="2:10">
      <c r="B61" s="988">
        <v>11293</v>
      </c>
      <c r="C61" s="987" t="s">
        <v>4626</v>
      </c>
      <c r="F61" s="989">
        <v>-7.0599999999999996E-2</v>
      </c>
      <c r="H61" s="986">
        <v>2.8E-3</v>
      </c>
      <c r="I61" s="986">
        <f t="shared" si="0"/>
        <v>-7.3399999999999993E-2</v>
      </c>
      <c r="J61" s="988">
        <v>11293</v>
      </c>
    </row>
    <row r="62" spans="2:10">
      <c r="B62" s="988">
        <v>11324</v>
      </c>
      <c r="C62" s="987" t="s">
        <v>4626</v>
      </c>
      <c r="F62" s="989">
        <v>5.0200000000000002E-2</v>
      </c>
      <c r="H62" s="986">
        <v>2.8E-3</v>
      </c>
      <c r="I62" s="986">
        <f t="shared" si="0"/>
        <v>4.7400000000000005E-2</v>
      </c>
      <c r="J62" s="988">
        <v>11324</v>
      </c>
    </row>
    <row r="63" spans="2:10">
      <c r="B63" s="988">
        <v>11355</v>
      </c>
      <c r="C63" s="987" t="s">
        <v>4626</v>
      </c>
      <c r="F63" s="989">
        <v>0.1193</v>
      </c>
      <c r="H63" s="986">
        <v>2.5999999999999999E-3</v>
      </c>
      <c r="I63" s="986">
        <f t="shared" si="0"/>
        <v>0.1167</v>
      </c>
      <c r="J63" s="988">
        <v>11355</v>
      </c>
    </row>
    <row r="64" spans="2:10">
      <c r="B64" s="988">
        <v>11383</v>
      </c>
      <c r="C64" s="987" t="s">
        <v>4626</v>
      </c>
      <c r="F64" s="989">
        <v>-6.7500000000000004E-2</v>
      </c>
      <c r="H64" s="986">
        <v>2.8999999999999998E-3</v>
      </c>
      <c r="I64" s="986">
        <f t="shared" si="0"/>
        <v>-7.0400000000000004E-2</v>
      </c>
      <c r="J64" s="988">
        <v>11383</v>
      </c>
    </row>
    <row r="65" spans="2:10">
      <c r="B65" s="988">
        <v>11414</v>
      </c>
      <c r="C65" s="987" t="s">
        <v>4626</v>
      </c>
      <c r="F65" s="989">
        <v>-9.35E-2</v>
      </c>
      <c r="H65" s="986">
        <v>2.7000000000000001E-3</v>
      </c>
      <c r="I65" s="986">
        <f t="shared" si="0"/>
        <v>-9.6199999999999994E-2</v>
      </c>
      <c r="J65" s="988">
        <v>11414</v>
      </c>
    </row>
    <row r="66" spans="2:10">
      <c r="B66" s="988">
        <v>11444</v>
      </c>
      <c r="C66" s="987" t="s">
        <v>4626</v>
      </c>
      <c r="F66" s="989">
        <v>-0.12790000000000001</v>
      </c>
      <c r="H66" s="986">
        <v>2.5999999999999999E-3</v>
      </c>
      <c r="I66" s="986">
        <f t="shared" ref="I66:I129" si="1">F66-H66</f>
        <v>-0.1305</v>
      </c>
      <c r="J66" s="988">
        <v>11444</v>
      </c>
    </row>
    <row r="67" spans="2:10">
      <c r="B67" s="988">
        <v>11475</v>
      </c>
      <c r="C67" s="987" t="s">
        <v>4626</v>
      </c>
      <c r="F67" s="989">
        <v>0.1421</v>
      </c>
      <c r="H67" s="986">
        <v>2.8E-3</v>
      </c>
      <c r="I67" s="986">
        <f t="shared" si="1"/>
        <v>0.13930000000000001</v>
      </c>
      <c r="J67" s="988">
        <v>11475</v>
      </c>
    </row>
    <row r="68" spans="2:10">
      <c r="B68" s="988">
        <v>11505</v>
      </c>
      <c r="C68" s="987" t="s">
        <v>4626</v>
      </c>
      <c r="F68" s="989">
        <v>-7.22E-2</v>
      </c>
      <c r="H68" s="986">
        <v>2.7000000000000001E-3</v>
      </c>
      <c r="I68" s="986">
        <f t="shared" si="1"/>
        <v>-7.4899999999999994E-2</v>
      </c>
      <c r="J68" s="988">
        <v>11505</v>
      </c>
    </row>
    <row r="69" spans="2:10">
      <c r="B69" s="988">
        <v>11536</v>
      </c>
      <c r="C69" s="987" t="s">
        <v>4626</v>
      </c>
      <c r="F69" s="989">
        <v>1.8200000000000001E-2</v>
      </c>
      <c r="H69" s="986">
        <v>2.7000000000000001E-3</v>
      </c>
      <c r="I69" s="986">
        <f t="shared" si="1"/>
        <v>1.55E-2</v>
      </c>
      <c r="J69" s="988">
        <v>11536</v>
      </c>
    </row>
    <row r="70" spans="2:10">
      <c r="B70" s="988">
        <v>11567</v>
      </c>
      <c r="C70" s="987" t="s">
        <v>4626</v>
      </c>
      <c r="F70" s="989">
        <v>-0.29730000000000001</v>
      </c>
      <c r="H70" s="986">
        <v>2.7000000000000001E-3</v>
      </c>
      <c r="I70" s="986">
        <f t="shared" si="1"/>
        <v>-0.3</v>
      </c>
      <c r="J70" s="988">
        <v>11567</v>
      </c>
    </row>
    <row r="71" spans="2:10">
      <c r="B71" s="988">
        <v>11597</v>
      </c>
      <c r="C71" s="987" t="s">
        <v>4626</v>
      </c>
      <c r="F71" s="989">
        <v>8.9599999999999999E-2</v>
      </c>
      <c r="H71" s="986">
        <v>2.8999999999999998E-3</v>
      </c>
      <c r="I71" s="986">
        <f t="shared" si="1"/>
        <v>8.6699999999999999E-2</v>
      </c>
      <c r="J71" s="988">
        <v>11597</v>
      </c>
    </row>
    <row r="72" spans="2:10">
      <c r="B72" s="988">
        <v>11628</v>
      </c>
      <c r="C72" s="987" t="s">
        <v>4626</v>
      </c>
      <c r="F72" s="989">
        <v>-7.9799999999999996E-2</v>
      </c>
      <c r="H72" s="986">
        <v>3.0999999999999999E-3</v>
      </c>
      <c r="I72" s="986">
        <f t="shared" si="1"/>
        <v>-8.2900000000000001E-2</v>
      </c>
      <c r="J72" s="988">
        <v>11628</v>
      </c>
    </row>
    <row r="73" spans="2:10">
      <c r="B73" s="988">
        <v>11658</v>
      </c>
      <c r="C73" s="987" t="s">
        <v>4626</v>
      </c>
      <c r="F73" s="989">
        <v>-0.14000000000000001</v>
      </c>
      <c r="H73" s="986">
        <v>3.2000000000000002E-3</v>
      </c>
      <c r="I73" s="986">
        <f t="shared" si="1"/>
        <v>-0.14320000000000002</v>
      </c>
      <c r="J73" s="988">
        <v>11658</v>
      </c>
    </row>
    <row r="74" spans="2:10">
      <c r="B74" s="988">
        <v>11689</v>
      </c>
      <c r="C74" s="987" t="s">
        <v>4626</v>
      </c>
      <c r="F74" s="989">
        <v>-2.7099999999999999E-2</v>
      </c>
      <c r="H74" s="986">
        <v>3.2000000000000002E-3</v>
      </c>
      <c r="I74" s="986">
        <f t="shared" si="1"/>
        <v>-3.0300000000000001E-2</v>
      </c>
      <c r="J74" s="988">
        <v>11689</v>
      </c>
    </row>
    <row r="75" spans="2:10">
      <c r="B75" s="988">
        <v>11720</v>
      </c>
      <c r="C75" s="987" t="s">
        <v>4626</v>
      </c>
      <c r="F75" s="989">
        <v>5.7000000000000002E-2</v>
      </c>
      <c r="H75" s="986">
        <v>3.2000000000000002E-3</v>
      </c>
      <c r="I75" s="986">
        <f t="shared" si="1"/>
        <v>5.3800000000000001E-2</v>
      </c>
      <c r="J75" s="988">
        <v>11720</v>
      </c>
    </row>
    <row r="76" spans="2:10">
      <c r="B76" s="988">
        <v>11749</v>
      </c>
      <c r="C76" s="987" t="s">
        <v>4626</v>
      </c>
      <c r="F76" s="989">
        <v>-0.1158</v>
      </c>
      <c r="H76" s="986">
        <v>3.0999999999999999E-3</v>
      </c>
      <c r="I76" s="986">
        <f t="shared" si="1"/>
        <v>-0.11890000000000001</v>
      </c>
      <c r="J76" s="988">
        <v>11749</v>
      </c>
    </row>
    <row r="77" spans="2:10">
      <c r="B77" s="988">
        <v>11780</v>
      </c>
      <c r="C77" s="987" t="s">
        <v>4626</v>
      </c>
      <c r="F77" s="989">
        <v>-0.19969999999999999</v>
      </c>
      <c r="H77" s="986">
        <v>3.0000000000000001E-3</v>
      </c>
      <c r="I77" s="986">
        <f t="shared" si="1"/>
        <v>-0.20269999999999999</v>
      </c>
      <c r="J77" s="988">
        <v>11780</v>
      </c>
    </row>
    <row r="78" spans="2:10">
      <c r="B78" s="988">
        <v>11810</v>
      </c>
      <c r="C78" s="987" t="s">
        <v>4626</v>
      </c>
      <c r="F78" s="989">
        <v>-0.21959999999999999</v>
      </c>
      <c r="H78" s="986">
        <v>2.8E-3</v>
      </c>
      <c r="I78" s="986">
        <f t="shared" si="1"/>
        <v>-0.22239999999999999</v>
      </c>
      <c r="J78" s="988">
        <v>11810</v>
      </c>
    </row>
    <row r="79" spans="2:10">
      <c r="B79" s="988">
        <v>11841</v>
      </c>
      <c r="C79" s="987" t="s">
        <v>4626</v>
      </c>
      <c r="F79" s="989">
        <v>-2.2000000000000001E-3</v>
      </c>
      <c r="H79" s="986">
        <v>2.8E-3</v>
      </c>
      <c r="I79" s="986">
        <f t="shared" si="1"/>
        <v>-5.0000000000000001E-3</v>
      </c>
      <c r="J79" s="988">
        <v>11841</v>
      </c>
    </row>
    <row r="80" spans="2:10">
      <c r="B80" s="988">
        <v>11871</v>
      </c>
      <c r="C80" s="987" t="s">
        <v>4626</v>
      </c>
      <c r="F80" s="989">
        <v>0.38150000000000001</v>
      </c>
      <c r="H80" s="986">
        <v>2.8E-3</v>
      </c>
      <c r="I80" s="986">
        <f t="shared" si="1"/>
        <v>0.37869999999999998</v>
      </c>
      <c r="J80" s="988">
        <v>11871</v>
      </c>
    </row>
    <row r="81" spans="2:10">
      <c r="B81" s="988">
        <v>11902</v>
      </c>
      <c r="C81" s="987" t="s">
        <v>4626</v>
      </c>
      <c r="F81" s="989">
        <v>0.38690000000000002</v>
      </c>
      <c r="H81" s="986">
        <v>2.8E-3</v>
      </c>
      <c r="I81" s="986">
        <f t="shared" si="1"/>
        <v>0.3841</v>
      </c>
      <c r="J81" s="988">
        <v>11902</v>
      </c>
    </row>
    <row r="82" spans="2:10">
      <c r="B82" s="988">
        <v>11933</v>
      </c>
      <c r="C82" s="987" t="s">
        <v>4626</v>
      </c>
      <c r="F82" s="989">
        <v>-3.4599999999999999E-2</v>
      </c>
      <c r="H82" s="986">
        <v>2.5999999999999999E-3</v>
      </c>
      <c r="I82" s="986">
        <f t="shared" si="1"/>
        <v>-3.7199999999999997E-2</v>
      </c>
      <c r="J82" s="988">
        <v>11933</v>
      </c>
    </row>
    <row r="83" spans="2:10">
      <c r="B83" s="988">
        <v>11963</v>
      </c>
      <c r="C83" s="987" t="s">
        <v>4626</v>
      </c>
      <c r="F83" s="989">
        <v>-0.13489999999999999</v>
      </c>
      <c r="H83" s="986">
        <v>2.7000000000000001E-3</v>
      </c>
      <c r="I83" s="986">
        <f t="shared" si="1"/>
        <v>-0.1376</v>
      </c>
      <c r="J83" s="988">
        <v>11963</v>
      </c>
    </row>
    <row r="84" spans="2:10">
      <c r="B84" s="988">
        <v>11994</v>
      </c>
      <c r="C84" s="987" t="s">
        <v>4626</v>
      </c>
      <c r="F84" s="989">
        <v>-4.1700000000000001E-2</v>
      </c>
      <c r="H84" s="986">
        <v>2.5999999999999999E-3</v>
      </c>
      <c r="I84" s="986">
        <f t="shared" si="1"/>
        <v>-4.4299999999999999E-2</v>
      </c>
      <c r="J84" s="988">
        <v>11994</v>
      </c>
    </row>
    <row r="85" spans="2:10">
      <c r="B85" s="988">
        <v>12024</v>
      </c>
      <c r="C85" s="987" t="s">
        <v>4626</v>
      </c>
      <c r="F85" s="989">
        <v>5.6500000000000002E-2</v>
      </c>
      <c r="H85" s="986">
        <v>2.7000000000000001E-3</v>
      </c>
      <c r="I85" s="986">
        <f t="shared" si="1"/>
        <v>5.3800000000000001E-2</v>
      </c>
      <c r="J85" s="988">
        <v>12024</v>
      </c>
    </row>
    <row r="86" spans="2:10" ht="13.8">
      <c r="B86" s="988">
        <v>12055</v>
      </c>
      <c r="C86" s="987" t="s">
        <v>4626</v>
      </c>
      <c r="F86" s="990">
        <v>8.6999999999999994E-3</v>
      </c>
      <c r="H86" s="986">
        <v>2.7000000000000001E-3</v>
      </c>
      <c r="I86" s="986">
        <f t="shared" si="1"/>
        <v>5.9999999999999993E-3</v>
      </c>
      <c r="J86" s="988">
        <v>12055</v>
      </c>
    </row>
    <row r="87" spans="2:10" ht="13.8">
      <c r="B87" s="988">
        <v>12086</v>
      </c>
      <c r="C87" s="987" t="s">
        <v>4626</v>
      </c>
      <c r="F87" s="990">
        <v>-0.1772</v>
      </c>
      <c r="H87" s="986">
        <v>2.3E-3</v>
      </c>
      <c r="I87" s="986">
        <f t="shared" si="1"/>
        <v>-0.17949999999999999</v>
      </c>
      <c r="J87" s="988">
        <v>12086</v>
      </c>
    </row>
    <row r="88" spans="2:10" ht="13.8">
      <c r="B88" s="988">
        <v>12114</v>
      </c>
      <c r="C88" s="987" t="s">
        <v>4626</v>
      </c>
      <c r="F88" s="990">
        <v>3.5299999999999998E-2</v>
      </c>
      <c r="H88" s="986">
        <v>2.7000000000000001E-3</v>
      </c>
      <c r="I88" s="986">
        <f t="shared" si="1"/>
        <v>3.2599999999999997E-2</v>
      </c>
      <c r="J88" s="988">
        <v>12114</v>
      </c>
    </row>
    <row r="89" spans="2:10" ht="13.8">
      <c r="B89" s="988">
        <v>12145</v>
      </c>
      <c r="C89" s="987" t="s">
        <v>4626</v>
      </c>
      <c r="F89" s="990">
        <v>0.42559999999999998</v>
      </c>
      <c r="H89" s="986">
        <v>2.5000000000000001E-3</v>
      </c>
      <c r="I89" s="986">
        <f t="shared" si="1"/>
        <v>0.42309999999999998</v>
      </c>
      <c r="J89" s="988">
        <v>12145</v>
      </c>
    </row>
    <row r="90" spans="2:10" ht="13.8">
      <c r="B90" s="988">
        <v>12175</v>
      </c>
      <c r="C90" s="987" t="s">
        <v>4626</v>
      </c>
      <c r="F90" s="990">
        <v>0.16830000000000001</v>
      </c>
      <c r="H90" s="986">
        <v>2.8E-3</v>
      </c>
      <c r="I90" s="986">
        <f t="shared" si="1"/>
        <v>0.16550000000000001</v>
      </c>
      <c r="J90" s="988">
        <v>12175</v>
      </c>
    </row>
    <row r="91" spans="2:10" ht="13.8">
      <c r="B91" s="988">
        <v>12206</v>
      </c>
      <c r="C91" s="987" t="s">
        <v>4626</v>
      </c>
      <c r="F91" s="990">
        <v>0.1338</v>
      </c>
      <c r="H91" s="986">
        <v>2.5000000000000001E-3</v>
      </c>
      <c r="I91" s="986">
        <f t="shared" si="1"/>
        <v>0.1313</v>
      </c>
      <c r="J91" s="988">
        <v>12206</v>
      </c>
    </row>
    <row r="92" spans="2:10" ht="13.8">
      <c r="B92" s="988">
        <v>12236</v>
      </c>
      <c r="C92" s="987" t="s">
        <v>4626</v>
      </c>
      <c r="F92" s="990">
        <v>-8.6199999999999999E-2</v>
      </c>
      <c r="H92" s="986">
        <v>2.5999999999999999E-3</v>
      </c>
      <c r="I92" s="986">
        <f t="shared" si="1"/>
        <v>-8.8800000000000004E-2</v>
      </c>
      <c r="J92" s="988">
        <v>12236</v>
      </c>
    </row>
    <row r="93" spans="2:10" ht="13.8">
      <c r="B93" s="988">
        <v>12267</v>
      </c>
      <c r="C93" s="987" t="s">
        <v>4626</v>
      </c>
      <c r="F93" s="990">
        <v>0.1206</v>
      </c>
      <c r="H93" s="986">
        <v>2.5999999999999999E-3</v>
      </c>
      <c r="I93" s="986">
        <f t="shared" si="1"/>
        <v>0.11799999999999999</v>
      </c>
      <c r="J93" s="988">
        <v>12267</v>
      </c>
    </row>
    <row r="94" spans="2:10" ht="13.8">
      <c r="B94" s="988">
        <v>12298</v>
      </c>
      <c r="C94" s="987" t="s">
        <v>4626</v>
      </c>
      <c r="F94" s="990">
        <v>-0.1118</v>
      </c>
      <c r="H94" s="986">
        <v>2.5000000000000001E-3</v>
      </c>
      <c r="I94" s="986">
        <f t="shared" si="1"/>
        <v>-0.1143</v>
      </c>
      <c r="J94" s="988">
        <v>12298</v>
      </c>
    </row>
    <row r="95" spans="2:10" ht="13.8">
      <c r="B95" s="988">
        <v>12328</v>
      </c>
      <c r="C95" s="987" t="s">
        <v>4626</v>
      </c>
      <c r="F95" s="990">
        <v>-8.5500000000000007E-2</v>
      </c>
      <c r="H95" s="986">
        <v>2.5999999999999999E-3</v>
      </c>
      <c r="I95" s="986">
        <f t="shared" si="1"/>
        <v>-8.8100000000000012E-2</v>
      </c>
      <c r="J95" s="988">
        <v>12328</v>
      </c>
    </row>
    <row r="96" spans="2:10" ht="13.8">
      <c r="B96" s="988">
        <v>12359</v>
      </c>
      <c r="C96" s="987" t="s">
        <v>4626</v>
      </c>
      <c r="F96" s="990">
        <v>0.11269999999999999</v>
      </c>
      <c r="H96" s="986">
        <v>2.5000000000000001E-3</v>
      </c>
      <c r="I96" s="986">
        <f t="shared" si="1"/>
        <v>0.11019999999999999</v>
      </c>
      <c r="J96" s="988">
        <v>12359</v>
      </c>
    </row>
    <row r="97" spans="2:10" ht="13.8">
      <c r="B97" s="988">
        <v>12389</v>
      </c>
      <c r="C97" s="987" t="s">
        <v>4626</v>
      </c>
      <c r="F97" s="990">
        <v>2.53E-2</v>
      </c>
      <c r="H97" s="986">
        <v>2.8E-3</v>
      </c>
      <c r="I97" s="986">
        <f t="shared" si="1"/>
        <v>2.2499999999999999E-2</v>
      </c>
      <c r="J97" s="988">
        <v>12389</v>
      </c>
    </row>
    <row r="98" spans="2:10" ht="13.8">
      <c r="B98" s="988">
        <v>12420</v>
      </c>
      <c r="C98" s="987" t="s">
        <v>4626</v>
      </c>
      <c r="F98" s="990">
        <v>0.1069</v>
      </c>
      <c r="H98" s="986">
        <v>2.8999999999999998E-3</v>
      </c>
      <c r="I98" s="986">
        <f t="shared" si="1"/>
        <v>0.104</v>
      </c>
      <c r="J98" s="988">
        <v>12420</v>
      </c>
    </row>
    <row r="99" spans="2:10" ht="13.8">
      <c r="B99" s="988">
        <v>12451</v>
      </c>
      <c r="C99" s="987" t="s">
        <v>4626</v>
      </c>
      <c r="F99" s="990">
        <v>-3.2199999999999999E-2</v>
      </c>
      <c r="H99" s="986">
        <v>2.3999999999999998E-3</v>
      </c>
      <c r="I99" s="986">
        <f t="shared" si="1"/>
        <v>-3.4599999999999999E-2</v>
      </c>
      <c r="J99" s="988">
        <v>12451</v>
      </c>
    </row>
    <row r="100" spans="2:10" ht="13.8">
      <c r="B100" s="988">
        <v>12479</v>
      </c>
      <c r="C100" s="987" t="s">
        <v>4626</v>
      </c>
      <c r="F100" s="990">
        <v>0</v>
      </c>
      <c r="H100" s="986">
        <v>2.7000000000000001E-3</v>
      </c>
      <c r="I100" s="986">
        <f t="shared" si="1"/>
        <v>-2.7000000000000001E-3</v>
      </c>
      <c r="J100" s="988">
        <v>12479</v>
      </c>
    </row>
    <row r="101" spans="2:10" ht="13.8">
      <c r="B101" s="988">
        <v>12510</v>
      </c>
      <c r="C101" s="987" t="s">
        <v>4626</v>
      </c>
      <c r="F101" s="990">
        <v>-2.5100000000000001E-2</v>
      </c>
      <c r="H101" s="986">
        <v>2.5000000000000001E-3</v>
      </c>
      <c r="I101" s="986">
        <f t="shared" si="1"/>
        <v>-2.76E-2</v>
      </c>
      <c r="J101" s="988">
        <v>12510</v>
      </c>
    </row>
    <row r="102" spans="2:10" ht="13.8">
      <c r="B102" s="988">
        <v>12540</v>
      </c>
      <c r="C102" s="987" t="s">
        <v>4626</v>
      </c>
      <c r="F102" s="990">
        <v>-7.3599999999999999E-2</v>
      </c>
      <c r="H102" s="986">
        <v>2.5000000000000001E-3</v>
      </c>
      <c r="I102" s="986">
        <f t="shared" si="1"/>
        <v>-7.6100000000000001E-2</v>
      </c>
      <c r="J102" s="988">
        <v>12540</v>
      </c>
    </row>
    <row r="103" spans="2:10" ht="13.8">
      <c r="B103" s="988">
        <v>12571</v>
      </c>
      <c r="C103" s="987" t="s">
        <v>4626</v>
      </c>
      <c r="F103" s="990">
        <v>2.29E-2</v>
      </c>
      <c r="H103" s="986">
        <v>2.3999999999999998E-3</v>
      </c>
      <c r="I103" s="986">
        <f t="shared" si="1"/>
        <v>2.0500000000000001E-2</v>
      </c>
      <c r="J103" s="988">
        <v>12571</v>
      </c>
    </row>
    <row r="104" spans="2:10" ht="13.8">
      <c r="B104" s="988">
        <v>12601</v>
      </c>
      <c r="C104" s="987" t="s">
        <v>4626</v>
      </c>
      <c r="F104" s="990">
        <v>-0.1132</v>
      </c>
      <c r="H104" s="986">
        <v>2.3999999999999998E-3</v>
      </c>
      <c r="I104" s="986">
        <f t="shared" si="1"/>
        <v>-0.11559999999999999</v>
      </c>
      <c r="J104" s="988">
        <v>12601</v>
      </c>
    </row>
    <row r="105" spans="2:10" ht="13.8">
      <c r="B105" s="988">
        <v>12632</v>
      </c>
      <c r="C105" s="987" t="s">
        <v>4626</v>
      </c>
      <c r="F105" s="990">
        <v>6.1100000000000002E-2</v>
      </c>
      <c r="H105" s="986">
        <v>2.3999999999999998E-3</v>
      </c>
      <c r="I105" s="986">
        <f t="shared" si="1"/>
        <v>5.8700000000000002E-2</v>
      </c>
      <c r="J105" s="988">
        <v>12632</v>
      </c>
    </row>
    <row r="106" spans="2:10" ht="13.8">
      <c r="B106" s="988">
        <v>12663</v>
      </c>
      <c r="C106" s="987" t="s">
        <v>4626</v>
      </c>
      <c r="F106" s="990">
        <v>-3.3E-3</v>
      </c>
      <c r="H106" s="986">
        <v>2.3E-3</v>
      </c>
      <c r="I106" s="986">
        <f t="shared" si="1"/>
        <v>-5.5999999999999999E-3</v>
      </c>
      <c r="J106" s="988">
        <v>12663</v>
      </c>
    </row>
    <row r="107" spans="2:10" ht="13.8">
      <c r="B107" s="988">
        <v>12693</v>
      </c>
      <c r="C107" s="987" t="s">
        <v>4626</v>
      </c>
      <c r="F107" s="990">
        <v>-2.86E-2</v>
      </c>
      <c r="H107" s="986">
        <v>2.7000000000000001E-3</v>
      </c>
      <c r="I107" s="986">
        <f t="shared" si="1"/>
        <v>-3.1300000000000001E-2</v>
      </c>
      <c r="J107" s="988">
        <v>12693</v>
      </c>
    </row>
    <row r="108" spans="2:10" ht="13.8">
      <c r="B108" s="988">
        <v>12724</v>
      </c>
      <c r="C108" s="987" t="s">
        <v>4626</v>
      </c>
      <c r="F108" s="990">
        <v>9.4200000000000006E-2</v>
      </c>
      <c r="H108" s="986">
        <v>2.5000000000000001E-3</v>
      </c>
      <c r="I108" s="986">
        <f t="shared" si="1"/>
        <v>9.1700000000000004E-2</v>
      </c>
      <c r="J108" s="988">
        <v>12724</v>
      </c>
    </row>
    <row r="109" spans="2:10" ht="13.8">
      <c r="B109" s="988">
        <v>12754</v>
      </c>
      <c r="C109" s="987" t="s">
        <v>4626</v>
      </c>
      <c r="F109" s="990">
        <v>-1E-3</v>
      </c>
      <c r="H109" s="986">
        <v>2.5000000000000001E-3</v>
      </c>
      <c r="I109" s="986">
        <f t="shared" si="1"/>
        <v>-3.5000000000000001E-3</v>
      </c>
      <c r="J109" s="988">
        <v>12754</v>
      </c>
    </row>
    <row r="110" spans="2:10" ht="13.8">
      <c r="B110" s="988">
        <v>12785</v>
      </c>
      <c r="C110" s="987" t="s">
        <v>4626</v>
      </c>
      <c r="F110" s="990">
        <v>-4.1099999999999998E-2</v>
      </c>
      <c r="H110" s="986">
        <v>2.5000000000000001E-3</v>
      </c>
      <c r="I110" s="986">
        <f t="shared" si="1"/>
        <v>-4.36E-2</v>
      </c>
      <c r="J110" s="988">
        <v>12785</v>
      </c>
    </row>
    <row r="111" spans="2:10" ht="13.8">
      <c r="B111" s="988">
        <v>12816</v>
      </c>
      <c r="C111" s="987" t="s">
        <v>4626</v>
      </c>
      <c r="F111" s="990">
        <v>-3.4099999999999998E-2</v>
      </c>
      <c r="H111" s="986">
        <v>2.0999999999999999E-3</v>
      </c>
      <c r="I111" s="986">
        <f t="shared" si="1"/>
        <v>-3.6199999999999996E-2</v>
      </c>
      <c r="J111" s="988">
        <v>12816</v>
      </c>
    </row>
    <row r="112" spans="2:10" ht="13.8">
      <c r="B112" s="988">
        <v>12844</v>
      </c>
      <c r="C112" s="987" t="s">
        <v>4626</v>
      </c>
      <c r="F112" s="990">
        <v>-2.86E-2</v>
      </c>
      <c r="H112" s="986">
        <v>2.2000000000000001E-3</v>
      </c>
      <c r="I112" s="986">
        <f t="shared" si="1"/>
        <v>-3.0800000000000001E-2</v>
      </c>
      <c r="J112" s="988">
        <v>12844</v>
      </c>
    </row>
    <row r="113" spans="2:10" ht="13.8">
      <c r="B113" s="988">
        <v>12875</v>
      </c>
      <c r="C113" s="987" t="s">
        <v>4626</v>
      </c>
      <c r="F113" s="990">
        <v>9.8000000000000004E-2</v>
      </c>
      <c r="H113" s="986">
        <v>2.3E-3</v>
      </c>
      <c r="I113" s="986">
        <f t="shared" si="1"/>
        <v>9.5700000000000007E-2</v>
      </c>
      <c r="J113" s="988">
        <v>12875</v>
      </c>
    </row>
    <row r="114" spans="2:10" ht="13.8">
      <c r="B114" s="988">
        <v>12905</v>
      </c>
      <c r="C114" s="987" t="s">
        <v>4626</v>
      </c>
      <c r="F114" s="990">
        <v>4.0899999999999999E-2</v>
      </c>
      <c r="H114" s="986">
        <v>2.3E-3</v>
      </c>
      <c r="I114" s="986">
        <f t="shared" si="1"/>
        <v>3.8599999999999995E-2</v>
      </c>
      <c r="J114" s="988">
        <v>12905</v>
      </c>
    </row>
    <row r="115" spans="2:10" ht="13.8">
      <c r="B115" s="988">
        <v>12936</v>
      </c>
      <c r="C115" s="987" t="s">
        <v>4626</v>
      </c>
      <c r="F115" s="990">
        <v>6.9900000000000004E-2</v>
      </c>
      <c r="H115" s="986">
        <v>2.2000000000000001E-3</v>
      </c>
      <c r="I115" s="986">
        <f t="shared" si="1"/>
        <v>6.770000000000001E-2</v>
      </c>
      <c r="J115" s="988">
        <v>12936</v>
      </c>
    </row>
    <row r="116" spans="2:10" ht="13.8">
      <c r="B116" s="988">
        <v>12966</v>
      </c>
      <c r="C116" s="987" t="s">
        <v>4626</v>
      </c>
      <c r="F116" s="990">
        <v>8.5000000000000006E-2</v>
      </c>
      <c r="H116" s="986">
        <v>2.3999999999999998E-3</v>
      </c>
      <c r="I116" s="986">
        <f t="shared" si="1"/>
        <v>8.2600000000000007E-2</v>
      </c>
      <c r="J116" s="988">
        <v>12966</v>
      </c>
    </row>
    <row r="117" spans="2:10" ht="13.8">
      <c r="B117" s="988">
        <v>12997</v>
      </c>
      <c r="C117" s="987" t="s">
        <v>4626</v>
      </c>
      <c r="F117" s="990">
        <v>2.8000000000000001E-2</v>
      </c>
      <c r="H117" s="986">
        <v>2.3E-3</v>
      </c>
      <c r="I117" s="986">
        <f t="shared" si="1"/>
        <v>2.5700000000000001E-2</v>
      </c>
      <c r="J117" s="988">
        <v>12997</v>
      </c>
    </row>
    <row r="118" spans="2:10" ht="13.8">
      <c r="B118" s="988">
        <v>13028</v>
      </c>
      <c r="C118" s="987" t="s">
        <v>4626</v>
      </c>
      <c r="F118" s="990">
        <v>2.5600000000000001E-2</v>
      </c>
      <c r="H118" s="986">
        <v>2.3E-3</v>
      </c>
      <c r="I118" s="986">
        <f t="shared" si="1"/>
        <v>2.3300000000000001E-2</v>
      </c>
      <c r="J118" s="988">
        <v>13028</v>
      </c>
    </row>
    <row r="119" spans="2:10" ht="13.8">
      <c r="B119" s="988">
        <v>13058</v>
      </c>
      <c r="C119" s="987" t="s">
        <v>4626</v>
      </c>
      <c r="F119" s="990">
        <v>7.7700000000000005E-2</v>
      </c>
      <c r="H119" s="986">
        <v>2.3E-3</v>
      </c>
      <c r="I119" s="986">
        <f t="shared" si="1"/>
        <v>7.5400000000000009E-2</v>
      </c>
      <c r="J119" s="988">
        <v>13058</v>
      </c>
    </row>
    <row r="120" spans="2:10" ht="13.8">
      <c r="B120" s="988">
        <v>13089</v>
      </c>
      <c r="C120" s="987" t="s">
        <v>4626</v>
      </c>
      <c r="F120" s="990">
        <v>4.7399999999999998E-2</v>
      </c>
      <c r="H120" s="986">
        <v>2.3999999999999998E-3</v>
      </c>
      <c r="I120" s="986">
        <f t="shared" si="1"/>
        <v>4.4999999999999998E-2</v>
      </c>
      <c r="J120" s="988">
        <v>13089</v>
      </c>
    </row>
    <row r="121" spans="2:10" ht="13.8">
      <c r="B121" s="988">
        <v>13119</v>
      </c>
      <c r="C121" s="987" t="s">
        <v>4626</v>
      </c>
      <c r="F121" s="990">
        <v>3.9399999999999998E-2</v>
      </c>
      <c r="H121" s="986">
        <v>2.3999999999999998E-3</v>
      </c>
      <c r="I121" s="986">
        <f t="shared" si="1"/>
        <v>3.6999999999999998E-2</v>
      </c>
      <c r="J121" s="988">
        <v>13119</v>
      </c>
    </row>
    <row r="122" spans="2:10" ht="13.8">
      <c r="B122" s="988">
        <v>13150</v>
      </c>
      <c r="C122" s="987" t="s">
        <v>4626</v>
      </c>
      <c r="F122" s="990">
        <v>6.7000000000000004E-2</v>
      </c>
      <c r="H122" s="986">
        <v>2.3999999999999998E-3</v>
      </c>
      <c r="I122" s="986">
        <f t="shared" si="1"/>
        <v>6.4600000000000005E-2</v>
      </c>
      <c r="J122" s="988">
        <v>13150</v>
      </c>
    </row>
    <row r="123" spans="2:10" ht="13.8">
      <c r="B123" s="988">
        <v>13181</v>
      </c>
      <c r="C123" s="987" t="s">
        <v>4626</v>
      </c>
      <c r="F123" s="990">
        <v>2.24E-2</v>
      </c>
      <c r="H123" s="986">
        <v>2.3E-3</v>
      </c>
      <c r="I123" s="986">
        <f t="shared" si="1"/>
        <v>2.01E-2</v>
      </c>
      <c r="J123" s="988">
        <v>13181</v>
      </c>
    </row>
    <row r="124" spans="2:10" ht="13.8">
      <c r="B124" s="988">
        <v>13210</v>
      </c>
      <c r="C124" s="987" t="s">
        <v>4626</v>
      </c>
      <c r="F124" s="990">
        <v>2.6800000000000001E-2</v>
      </c>
      <c r="H124" s="986">
        <v>2.3999999999999998E-3</v>
      </c>
      <c r="I124" s="986">
        <f t="shared" si="1"/>
        <v>2.4400000000000002E-2</v>
      </c>
      <c r="J124" s="988">
        <v>13210</v>
      </c>
    </row>
    <row r="125" spans="2:10" ht="13.8">
      <c r="B125" s="988">
        <v>13241</v>
      </c>
      <c r="C125" s="987" t="s">
        <v>4626</v>
      </c>
      <c r="F125" s="990">
        <v>-7.51E-2</v>
      </c>
      <c r="H125" s="986">
        <v>2.2000000000000001E-3</v>
      </c>
      <c r="I125" s="986">
        <f t="shared" si="1"/>
        <v>-7.7299999999999994E-2</v>
      </c>
      <c r="J125" s="988">
        <v>13241</v>
      </c>
    </row>
    <row r="126" spans="2:10" ht="13.8">
      <c r="B126" s="988">
        <v>13271</v>
      </c>
      <c r="C126" s="987" t="s">
        <v>4626</v>
      </c>
      <c r="F126" s="990">
        <v>5.45E-2</v>
      </c>
      <c r="H126" s="986">
        <v>2.2000000000000001E-3</v>
      </c>
      <c r="I126" s="986">
        <f t="shared" si="1"/>
        <v>5.2299999999999999E-2</v>
      </c>
      <c r="J126" s="988">
        <v>13271</v>
      </c>
    </row>
    <row r="127" spans="2:10" ht="13.8">
      <c r="B127" s="988">
        <v>13302</v>
      </c>
      <c r="C127" s="987" t="s">
        <v>4626</v>
      </c>
      <c r="F127" s="990">
        <v>3.3300000000000003E-2</v>
      </c>
      <c r="H127" s="986">
        <v>2.3999999999999998E-3</v>
      </c>
      <c r="I127" s="986">
        <f t="shared" si="1"/>
        <v>3.0900000000000004E-2</v>
      </c>
      <c r="J127" s="988">
        <v>13302</v>
      </c>
    </row>
    <row r="128" spans="2:10" ht="13.8">
      <c r="B128" s="988">
        <v>13332</v>
      </c>
      <c r="C128" s="987" t="s">
        <v>4626</v>
      </c>
      <c r="F128" s="990">
        <v>7.0099999999999996E-2</v>
      </c>
      <c r="H128" s="986">
        <v>2.3E-3</v>
      </c>
      <c r="I128" s="986">
        <f t="shared" si="1"/>
        <v>6.7799999999999999E-2</v>
      </c>
      <c r="J128" s="988">
        <v>13332</v>
      </c>
    </row>
    <row r="129" spans="2:10" ht="13.8">
      <c r="B129" s="988">
        <v>13363</v>
      </c>
      <c r="C129" s="987" t="s">
        <v>4626</v>
      </c>
      <c r="F129" s="990">
        <v>1.5100000000000001E-2</v>
      </c>
      <c r="H129" s="986">
        <v>2.3E-3</v>
      </c>
      <c r="I129" s="986">
        <f t="shared" si="1"/>
        <v>1.2800000000000001E-2</v>
      </c>
      <c r="J129" s="988">
        <v>13363</v>
      </c>
    </row>
    <row r="130" spans="2:10" ht="13.8">
      <c r="B130" s="988">
        <v>13394</v>
      </c>
      <c r="C130" s="987" t="s">
        <v>4626</v>
      </c>
      <c r="F130" s="990">
        <v>3.0999999999999999E-3</v>
      </c>
      <c r="H130" s="986">
        <v>2.0999999999999999E-3</v>
      </c>
      <c r="I130" s="986">
        <f t="shared" ref="I130:I193" si="2">F130-H130</f>
        <v>1E-3</v>
      </c>
      <c r="J130" s="988">
        <v>13394</v>
      </c>
    </row>
    <row r="131" spans="2:10" ht="13.8">
      <c r="B131" s="988">
        <v>13424</v>
      </c>
      <c r="C131" s="987" t="s">
        <v>4626</v>
      </c>
      <c r="F131" s="990">
        <v>7.7499999999999999E-2</v>
      </c>
      <c r="H131" s="986">
        <v>2.3E-3</v>
      </c>
      <c r="I131" s="986">
        <f t="shared" si="2"/>
        <v>7.5200000000000003E-2</v>
      </c>
      <c r="J131" s="988">
        <v>13424</v>
      </c>
    </row>
    <row r="132" spans="2:10" ht="13.8">
      <c r="B132" s="988">
        <v>13455</v>
      </c>
      <c r="C132" s="987" t="s">
        <v>4626</v>
      </c>
      <c r="F132" s="990">
        <v>1.34E-2</v>
      </c>
      <c r="H132" s="986">
        <v>2.2000000000000001E-3</v>
      </c>
      <c r="I132" s="986">
        <f t="shared" si="2"/>
        <v>1.12E-2</v>
      </c>
      <c r="J132" s="988">
        <v>13455</v>
      </c>
    </row>
    <row r="133" spans="2:10" ht="13.8">
      <c r="B133" s="988">
        <v>13485</v>
      </c>
      <c r="C133" s="987" t="s">
        <v>4626</v>
      </c>
      <c r="F133" s="990">
        <v>-2.8999999999999998E-3</v>
      </c>
      <c r="H133" s="986">
        <v>2.2000000000000001E-3</v>
      </c>
      <c r="I133" s="986">
        <f t="shared" si="2"/>
        <v>-5.1000000000000004E-3</v>
      </c>
      <c r="J133" s="988">
        <v>13485</v>
      </c>
    </row>
    <row r="134" spans="2:10" ht="13.8">
      <c r="B134" s="988">
        <v>13516</v>
      </c>
      <c r="C134" s="987" t="s">
        <v>4626</v>
      </c>
      <c r="F134" s="990">
        <v>3.9E-2</v>
      </c>
      <c r="H134" s="986">
        <v>2.0999999999999999E-3</v>
      </c>
      <c r="I134" s="986">
        <f t="shared" si="2"/>
        <v>3.6900000000000002E-2</v>
      </c>
      <c r="J134" s="988">
        <v>13516</v>
      </c>
    </row>
    <row r="135" spans="2:10" ht="13.8">
      <c r="B135" s="988">
        <v>13547</v>
      </c>
      <c r="C135" s="987" t="s">
        <v>4626</v>
      </c>
      <c r="F135" s="990">
        <v>1.9099999999999999E-2</v>
      </c>
      <c r="H135" s="986">
        <v>2E-3</v>
      </c>
      <c r="I135" s="986">
        <f t="shared" si="2"/>
        <v>1.7099999999999997E-2</v>
      </c>
      <c r="J135" s="988">
        <v>13547</v>
      </c>
    </row>
    <row r="136" spans="2:10" ht="13.8">
      <c r="B136" s="988">
        <v>13575</v>
      </c>
      <c r="C136" s="987" t="s">
        <v>4626</v>
      </c>
      <c r="F136" s="990">
        <v>-7.7000000000000002E-3</v>
      </c>
      <c r="H136" s="986">
        <v>2.2000000000000001E-3</v>
      </c>
      <c r="I136" s="986">
        <f t="shared" si="2"/>
        <v>-9.9000000000000008E-3</v>
      </c>
      <c r="J136" s="988">
        <v>13575</v>
      </c>
    </row>
    <row r="137" spans="2:10" ht="13.8">
      <c r="B137" s="988">
        <v>13606</v>
      </c>
      <c r="C137" s="987" t="s">
        <v>4626</v>
      </c>
      <c r="F137" s="990">
        <v>-8.09E-2</v>
      </c>
      <c r="H137" s="986">
        <v>2.3E-3</v>
      </c>
      <c r="I137" s="986">
        <f t="shared" si="2"/>
        <v>-8.3199999999999996E-2</v>
      </c>
      <c r="J137" s="988">
        <v>13606</v>
      </c>
    </row>
    <row r="138" spans="2:10" ht="13.8">
      <c r="B138" s="988">
        <v>13636</v>
      </c>
      <c r="C138" s="987" t="s">
        <v>4626</v>
      </c>
      <c r="F138" s="990">
        <v>-2.3999999999999998E-3</v>
      </c>
      <c r="H138" s="986">
        <v>2.2000000000000001E-3</v>
      </c>
      <c r="I138" s="986">
        <f t="shared" si="2"/>
        <v>-4.5999999999999999E-3</v>
      </c>
      <c r="J138" s="988">
        <v>13636</v>
      </c>
    </row>
    <row r="139" spans="2:10" ht="13.8">
      <c r="B139" s="988">
        <v>13667</v>
      </c>
      <c r="C139" s="987" t="s">
        <v>4626</v>
      </c>
      <c r="F139" s="990">
        <v>-5.04E-2</v>
      </c>
      <c r="H139" s="986">
        <v>2.5000000000000001E-3</v>
      </c>
      <c r="I139" s="986">
        <f t="shared" si="2"/>
        <v>-5.2900000000000003E-2</v>
      </c>
      <c r="J139" s="988">
        <v>13667</v>
      </c>
    </row>
    <row r="140" spans="2:10" ht="13.8">
      <c r="B140" s="988">
        <v>13697</v>
      </c>
      <c r="C140" s="987" t="s">
        <v>4626</v>
      </c>
      <c r="F140" s="990">
        <v>0.1045</v>
      </c>
      <c r="H140" s="986">
        <v>2.3999999999999998E-3</v>
      </c>
      <c r="I140" s="986">
        <f t="shared" si="2"/>
        <v>0.1021</v>
      </c>
      <c r="J140" s="988">
        <v>13697</v>
      </c>
    </row>
    <row r="141" spans="2:10" ht="13.8">
      <c r="B141" s="988">
        <v>13728</v>
      </c>
      <c r="C141" s="987" t="s">
        <v>4626</v>
      </c>
      <c r="F141" s="990">
        <v>-4.8300000000000003E-2</v>
      </c>
      <c r="H141" s="986">
        <v>2.3E-3</v>
      </c>
      <c r="I141" s="986">
        <f t="shared" si="2"/>
        <v>-5.0600000000000006E-2</v>
      </c>
      <c r="J141" s="988">
        <v>13728</v>
      </c>
    </row>
    <row r="142" spans="2:10" ht="13.8">
      <c r="B142" s="988">
        <v>13759</v>
      </c>
      <c r="C142" s="987" t="s">
        <v>4626</v>
      </c>
      <c r="F142" s="990">
        <v>-0.14030000000000001</v>
      </c>
      <c r="H142" s="986">
        <v>2.3E-3</v>
      </c>
      <c r="I142" s="986">
        <f t="shared" si="2"/>
        <v>-0.1426</v>
      </c>
      <c r="J142" s="988">
        <v>13759</v>
      </c>
    </row>
    <row r="143" spans="2:10" ht="13.8">
      <c r="B143" s="988">
        <v>13789</v>
      </c>
      <c r="C143" s="987" t="s">
        <v>4626</v>
      </c>
      <c r="F143" s="990">
        <v>-9.8100000000000007E-2</v>
      </c>
      <c r="H143" s="986">
        <v>2.3E-3</v>
      </c>
      <c r="I143" s="986">
        <f t="shared" si="2"/>
        <v>-0.1004</v>
      </c>
      <c r="J143" s="988">
        <v>13789</v>
      </c>
    </row>
    <row r="144" spans="2:10" ht="13.8">
      <c r="B144" s="988">
        <v>13820</v>
      </c>
      <c r="C144" s="987" t="s">
        <v>4626</v>
      </c>
      <c r="F144" s="990">
        <v>-8.6599999999999996E-2</v>
      </c>
      <c r="H144" s="986">
        <v>2.3999999999999998E-3</v>
      </c>
      <c r="I144" s="986">
        <f t="shared" si="2"/>
        <v>-8.8999999999999996E-2</v>
      </c>
      <c r="J144" s="988">
        <v>13820</v>
      </c>
    </row>
    <row r="145" spans="2:10" ht="13.8">
      <c r="B145" s="988">
        <v>13850</v>
      </c>
      <c r="C145" s="987" t="s">
        <v>4626</v>
      </c>
      <c r="F145" s="990">
        <v>-4.5900000000000003E-2</v>
      </c>
      <c r="H145" s="986">
        <v>2.3E-3</v>
      </c>
      <c r="I145" s="986">
        <f t="shared" si="2"/>
        <v>-4.8200000000000007E-2</v>
      </c>
      <c r="J145" s="988">
        <v>13850</v>
      </c>
    </row>
    <row r="146" spans="2:10" ht="13.8">
      <c r="B146" s="988">
        <v>13881</v>
      </c>
      <c r="C146" s="987" t="s">
        <v>4626</v>
      </c>
      <c r="F146" s="990">
        <v>1.52E-2</v>
      </c>
      <c r="H146" s="986">
        <v>2.3E-3</v>
      </c>
      <c r="I146" s="986">
        <f t="shared" si="2"/>
        <v>1.29E-2</v>
      </c>
      <c r="J146" s="988">
        <v>13881</v>
      </c>
    </row>
    <row r="147" spans="2:10" ht="13.8">
      <c r="B147" s="988">
        <v>13912</v>
      </c>
      <c r="C147" s="987" t="s">
        <v>4626</v>
      </c>
      <c r="F147" s="990">
        <v>6.7400000000000002E-2</v>
      </c>
      <c r="H147" s="986">
        <v>2.0999999999999999E-3</v>
      </c>
      <c r="I147" s="986">
        <f t="shared" si="2"/>
        <v>6.5299999999999997E-2</v>
      </c>
      <c r="J147" s="988">
        <v>13912</v>
      </c>
    </row>
    <row r="148" spans="2:10" ht="13.8">
      <c r="B148" s="988">
        <v>13940</v>
      </c>
      <c r="C148" s="987" t="s">
        <v>4626</v>
      </c>
      <c r="F148" s="990">
        <v>-0.2487</v>
      </c>
      <c r="H148" s="986">
        <v>2.3E-3</v>
      </c>
      <c r="I148" s="986">
        <f t="shared" si="2"/>
        <v>-0.251</v>
      </c>
      <c r="J148" s="988">
        <v>13940</v>
      </c>
    </row>
    <row r="149" spans="2:10" ht="13.8">
      <c r="B149" s="988">
        <v>13971</v>
      </c>
      <c r="C149" s="987" t="s">
        <v>4626</v>
      </c>
      <c r="F149" s="990">
        <v>0.1447</v>
      </c>
      <c r="H149" s="986">
        <v>2.2000000000000001E-3</v>
      </c>
      <c r="I149" s="986">
        <f t="shared" si="2"/>
        <v>0.14249999999999999</v>
      </c>
      <c r="J149" s="988">
        <v>13971</v>
      </c>
    </row>
    <row r="150" spans="2:10" ht="13.8">
      <c r="B150" s="988">
        <v>14001</v>
      </c>
      <c r="C150" s="987" t="s">
        <v>4626</v>
      </c>
      <c r="F150" s="990">
        <v>-3.3000000000000002E-2</v>
      </c>
      <c r="H150" s="986">
        <v>2.2000000000000001E-3</v>
      </c>
      <c r="I150" s="986">
        <f t="shared" si="2"/>
        <v>-3.5200000000000002E-2</v>
      </c>
      <c r="J150" s="988">
        <v>14001</v>
      </c>
    </row>
    <row r="151" spans="2:10" ht="13.8">
      <c r="B151" s="988">
        <v>14032</v>
      </c>
      <c r="C151" s="987" t="s">
        <v>4626</v>
      </c>
      <c r="F151" s="990">
        <v>0.25030000000000002</v>
      </c>
      <c r="H151" s="986">
        <v>2.0999999999999999E-3</v>
      </c>
      <c r="I151" s="986">
        <f t="shared" si="2"/>
        <v>0.24820000000000003</v>
      </c>
      <c r="J151" s="988">
        <v>14032</v>
      </c>
    </row>
    <row r="152" spans="2:10" ht="13.8">
      <c r="B152" s="988">
        <v>14062</v>
      </c>
      <c r="C152" s="987" t="s">
        <v>4626</v>
      </c>
      <c r="F152" s="990">
        <v>7.4399999999999994E-2</v>
      </c>
      <c r="H152" s="986">
        <v>2.0999999999999999E-3</v>
      </c>
      <c r="I152" s="986">
        <f t="shared" si="2"/>
        <v>7.2299999999999989E-2</v>
      </c>
      <c r="J152" s="988">
        <v>14062</v>
      </c>
    </row>
    <row r="153" spans="2:10" ht="13.8">
      <c r="B153" s="988">
        <v>14093</v>
      </c>
      <c r="C153" s="987" t="s">
        <v>4626</v>
      </c>
      <c r="F153" s="990">
        <v>-2.2599999999999999E-2</v>
      </c>
      <c r="H153" s="986">
        <v>2.2000000000000001E-3</v>
      </c>
      <c r="I153" s="986">
        <f t="shared" si="2"/>
        <v>-2.4799999999999999E-2</v>
      </c>
      <c r="J153" s="988">
        <v>14093</v>
      </c>
    </row>
    <row r="154" spans="2:10" ht="13.8">
      <c r="B154" s="988">
        <v>14124</v>
      </c>
      <c r="C154" s="987" t="s">
        <v>4626</v>
      </c>
      <c r="F154" s="990">
        <v>1.66E-2</v>
      </c>
      <c r="H154" s="986">
        <v>2.0999999999999999E-3</v>
      </c>
      <c r="I154" s="986">
        <f t="shared" si="2"/>
        <v>1.4500000000000001E-2</v>
      </c>
      <c r="J154" s="988">
        <v>14124</v>
      </c>
    </row>
    <row r="155" spans="2:10" ht="13.8">
      <c r="B155" s="988">
        <v>14154</v>
      </c>
      <c r="C155" s="987" t="s">
        <v>4626</v>
      </c>
      <c r="F155" s="990">
        <v>7.7600000000000002E-2</v>
      </c>
      <c r="H155" s="986">
        <v>2.2000000000000001E-3</v>
      </c>
      <c r="I155" s="986">
        <f t="shared" si="2"/>
        <v>7.5400000000000009E-2</v>
      </c>
      <c r="J155" s="988">
        <v>14154</v>
      </c>
    </row>
    <row r="156" spans="2:10" ht="13.8">
      <c r="B156" s="988">
        <v>14185</v>
      </c>
      <c r="C156" s="987" t="s">
        <v>4626</v>
      </c>
      <c r="F156" s="990">
        <v>-2.7300000000000001E-2</v>
      </c>
      <c r="H156" s="986">
        <v>2.0999999999999999E-3</v>
      </c>
      <c r="I156" s="986">
        <f t="shared" si="2"/>
        <v>-2.9400000000000003E-2</v>
      </c>
      <c r="J156" s="988">
        <v>14185</v>
      </c>
    </row>
    <row r="157" spans="2:10" ht="13.8">
      <c r="B157" s="988">
        <v>14215</v>
      </c>
      <c r="C157" s="987" t="s">
        <v>4626</v>
      </c>
      <c r="F157" s="990">
        <v>4.0099999999999997E-2</v>
      </c>
      <c r="H157" s="986">
        <v>2.2000000000000001E-3</v>
      </c>
      <c r="I157" s="986">
        <f t="shared" si="2"/>
        <v>3.7899999999999996E-2</v>
      </c>
      <c r="J157" s="988">
        <v>14215</v>
      </c>
    </row>
    <row r="158" spans="2:10" ht="13.8">
      <c r="B158" s="988">
        <v>14246</v>
      </c>
      <c r="C158" s="987" t="s">
        <v>4626</v>
      </c>
      <c r="F158" s="990">
        <v>-6.7400000000000002E-2</v>
      </c>
      <c r="H158" s="986">
        <v>2.0999999999999999E-3</v>
      </c>
      <c r="I158" s="986">
        <f t="shared" si="2"/>
        <v>-6.9500000000000006E-2</v>
      </c>
      <c r="J158" s="988">
        <v>14246</v>
      </c>
    </row>
    <row r="159" spans="2:10" ht="13.8">
      <c r="B159" s="988">
        <v>14277</v>
      </c>
      <c r="C159" s="987" t="s">
        <v>4626</v>
      </c>
      <c r="F159" s="990">
        <v>3.9E-2</v>
      </c>
      <c r="H159" s="986">
        <v>1.9E-3</v>
      </c>
      <c r="I159" s="986">
        <f t="shared" si="2"/>
        <v>3.7100000000000001E-2</v>
      </c>
      <c r="J159" s="988">
        <v>14277</v>
      </c>
    </row>
    <row r="160" spans="2:10" ht="13.8">
      <c r="B160" s="988">
        <v>14305</v>
      </c>
      <c r="C160" s="987" t="s">
        <v>4626</v>
      </c>
      <c r="F160" s="990">
        <v>-0.13389999999999999</v>
      </c>
      <c r="H160" s="986">
        <v>2.0999999999999999E-3</v>
      </c>
      <c r="I160" s="986">
        <f t="shared" si="2"/>
        <v>-0.13599999999999998</v>
      </c>
      <c r="J160" s="988">
        <v>14305</v>
      </c>
    </row>
    <row r="161" spans="2:10" ht="13.8">
      <c r="B161" s="988">
        <v>14336</v>
      </c>
      <c r="C161" s="987" t="s">
        <v>4626</v>
      </c>
      <c r="F161" s="990">
        <v>-2.7000000000000001E-3</v>
      </c>
      <c r="H161" s="986">
        <v>1.9E-3</v>
      </c>
      <c r="I161" s="986">
        <f t="shared" si="2"/>
        <v>-4.5999999999999999E-3</v>
      </c>
      <c r="J161" s="988">
        <v>14336</v>
      </c>
    </row>
    <row r="162" spans="2:10" ht="13.8">
      <c r="B162" s="988">
        <v>14366</v>
      </c>
      <c r="C162" s="987" t="s">
        <v>4626</v>
      </c>
      <c r="F162" s="990">
        <v>7.3300000000000004E-2</v>
      </c>
      <c r="H162" s="986">
        <v>2E-3</v>
      </c>
      <c r="I162" s="986">
        <f t="shared" si="2"/>
        <v>7.1300000000000002E-2</v>
      </c>
      <c r="J162" s="988">
        <v>14366</v>
      </c>
    </row>
    <row r="163" spans="2:10" ht="13.8">
      <c r="B163" s="988">
        <v>14397</v>
      </c>
      <c r="C163" s="987" t="s">
        <v>4626</v>
      </c>
      <c r="F163" s="990">
        <v>-6.1199999999999997E-2</v>
      </c>
      <c r="H163" s="986">
        <v>1.8E-3</v>
      </c>
      <c r="I163" s="986">
        <f t="shared" si="2"/>
        <v>-6.3E-2</v>
      </c>
      <c r="J163" s="988">
        <v>14397</v>
      </c>
    </row>
    <row r="164" spans="2:10" ht="13.8">
      <c r="B164" s="988">
        <v>14427</v>
      </c>
      <c r="C164" s="987" t="s">
        <v>4626</v>
      </c>
      <c r="F164" s="990">
        <v>0.1105</v>
      </c>
      <c r="H164" s="986">
        <v>1.9E-3</v>
      </c>
      <c r="I164" s="986">
        <f t="shared" si="2"/>
        <v>0.1086</v>
      </c>
      <c r="J164" s="988">
        <v>14427</v>
      </c>
    </row>
    <row r="165" spans="2:10" ht="13.8">
      <c r="B165" s="988">
        <v>14458</v>
      </c>
      <c r="C165" s="987" t="s">
        <v>4626</v>
      </c>
      <c r="F165" s="990">
        <v>-6.4799999999999996E-2</v>
      </c>
      <c r="H165" s="986">
        <v>1.8E-3</v>
      </c>
      <c r="I165" s="986">
        <f t="shared" si="2"/>
        <v>-6.6599999999999993E-2</v>
      </c>
      <c r="J165" s="988">
        <v>14458</v>
      </c>
    </row>
    <row r="166" spans="2:10" ht="13.8">
      <c r="B166" s="988">
        <v>14489</v>
      </c>
      <c r="C166" s="987" t="s">
        <v>4626</v>
      </c>
      <c r="F166" s="990">
        <v>0.1673</v>
      </c>
      <c r="H166" s="986">
        <v>1.9E-3</v>
      </c>
      <c r="I166" s="986">
        <f t="shared" si="2"/>
        <v>0.16539999999999999</v>
      </c>
      <c r="J166" s="988">
        <v>14489</v>
      </c>
    </row>
    <row r="167" spans="2:10" ht="13.8">
      <c r="B167" s="988">
        <v>14519</v>
      </c>
      <c r="C167" s="987" t="s">
        <v>4626</v>
      </c>
      <c r="F167" s="990">
        <v>-1.23E-2</v>
      </c>
      <c r="H167" s="986">
        <v>2.3E-3</v>
      </c>
      <c r="I167" s="986">
        <f t="shared" si="2"/>
        <v>-1.46E-2</v>
      </c>
      <c r="J167" s="988">
        <v>14519</v>
      </c>
    </row>
    <row r="168" spans="2:10" ht="13.8">
      <c r="B168" s="988">
        <v>14550</v>
      </c>
      <c r="C168" s="987" t="s">
        <v>4626</v>
      </c>
      <c r="F168" s="990">
        <v>-3.9800000000000002E-2</v>
      </c>
      <c r="H168" s="986">
        <v>2E-3</v>
      </c>
      <c r="I168" s="986">
        <f t="shared" si="2"/>
        <v>-4.1800000000000004E-2</v>
      </c>
      <c r="J168" s="988">
        <v>14550</v>
      </c>
    </row>
    <row r="169" spans="2:10" ht="13.8">
      <c r="B169" s="988">
        <v>14580</v>
      </c>
      <c r="C169" s="987" t="s">
        <v>4626</v>
      </c>
      <c r="F169" s="990">
        <v>2.7E-2</v>
      </c>
      <c r="H169" s="986">
        <v>1.9E-3</v>
      </c>
      <c r="I169" s="986">
        <f t="shared" si="2"/>
        <v>2.5100000000000001E-2</v>
      </c>
      <c r="J169" s="988">
        <v>14580</v>
      </c>
    </row>
    <row r="170" spans="2:10" ht="13.8">
      <c r="B170" s="988">
        <v>14611</v>
      </c>
      <c r="C170" s="987" t="s">
        <v>4626</v>
      </c>
      <c r="F170" s="990">
        <v>-3.3599999999999998E-2</v>
      </c>
      <c r="H170" s="986">
        <v>2E-3</v>
      </c>
      <c r="I170" s="986">
        <f t="shared" si="2"/>
        <v>-3.56E-2</v>
      </c>
      <c r="J170" s="988">
        <v>14611</v>
      </c>
    </row>
    <row r="171" spans="2:10" ht="13.8">
      <c r="B171" s="988">
        <v>14642</v>
      </c>
      <c r="C171" s="987" t="s">
        <v>4626</v>
      </c>
      <c r="F171" s="990">
        <v>1.3299999999999999E-2</v>
      </c>
      <c r="H171" s="986">
        <v>1.8E-3</v>
      </c>
      <c r="I171" s="986">
        <f t="shared" si="2"/>
        <v>1.15E-2</v>
      </c>
      <c r="J171" s="988">
        <v>14642</v>
      </c>
    </row>
    <row r="172" spans="2:10" ht="13.8">
      <c r="B172" s="988">
        <v>14671</v>
      </c>
      <c r="C172" s="987" t="s">
        <v>4626</v>
      </c>
      <c r="F172" s="990">
        <v>1.24E-2</v>
      </c>
      <c r="H172" s="986">
        <v>1.9E-3</v>
      </c>
      <c r="I172" s="986">
        <f t="shared" si="2"/>
        <v>1.0499999999999999E-2</v>
      </c>
      <c r="J172" s="988">
        <v>14671</v>
      </c>
    </row>
    <row r="173" spans="2:10" ht="13.8">
      <c r="B173" s="988">
        <v>14702</v>
      </c>
      <c r="C173" s="987" t="s">
        <v>4626</v>
      </c>
      <c r="F173" s="990">
        <v>-2.3999999999999998E-3</v>
      </c>
      <c r="H173" s="986">
        <v>1.8E-3</v>
      </c>
      <c r="I173" s="986">
        <f t="shared" si="2"/>
        <v>-4.1999999999999997E-3</v>
      </c>
      <c r="J173" s="988">
        <v>14702</v>
      </c>
    </row>
    <row r="174" spans="2:10" ht="13.8">
      <c r="B174" s="988">
        <v>14732</v>
      </c>
      <c r="C174" s="987" t="s">
        <v>4626</v>
      </c>
      <c r="F174" s="990">
        <v>-0.22889999999999999</v>
      </c>
      <c r="H174" s="986">
        <v>1.9E-3</v>
      </c>
      <c r="I174" s="986">
        <f t="shared" si="2"/>
        <v>-0.23080000000000001</v>
      </c>
      <c r="J174" s="988">
        <v>14732</v>
      </c>
    </row>
    <row r="175" spans="2:10" ht="13.8">
      <c r="B175" s="988">
        <v>14763</v>
      </c>
      <c r="C175" s="987" t="s">
        <v>4626</v>
      </c>
      <c r="F175" s="990">
        <v>8.09E-2</v>
      </c>
      <c r="H175" s="986">
        <v>1.9E-3</v>
      </c>
      <c r="I175" s="986">
        <f t="shared" si="2"/>
        <v>7.9000000000000001E-2</v>
      </c>
      <c r="J175" s="988">
        <v>14763</v>
      </c>
    </row>
    <row r="176" spans="2:10" ht="13.8">
      <c r="B176" s="988">
        <v>14793</v>
      </c>
      <c r="C176" s="987" t="s">
        <v>4626</v>
      </c>
      <c r="F176" s="990">
        <v>3.4099999999999998E-2</v>
      </c>
      <c r="H176" s="986">
        <v>2E-3</v>
      </c>
      <c r="I176" s="986">
        <f t="shared" si="2"/>
        <v>3.2099999999999997E-2</v>
      </c>
      <c r="J176" s="988">
        <v>14793</v>
      </c>
    </row>
    <row r="177" spans="2:10" ht="13.8">
      <c r="B177" s="988">
        <v>14824</v>
      </c>
      <c r="C177" s="987" t="s">
        <v>4626</v>
      </c>
      <c r="F177" s="990">
        <v>3.5000000000000003E-2</v>
      </c>
      <c r="H177" s="986">
        <v>1.9E-3</v>
      </c>
      <c r="I177" s="986">
        <f t="shared" si="2"/>
        <v>3.3100000000000004E-2</v>
      </c>
      <c r="J177" s="988">
        <v>14824</v>
      </c>
    </row>
    <row r="178" spans="2:10" ht="13.8">
      <c r="B178" s="988">
        <v>14855</v>
      </c>
      <c r="C178" s="987" t="s">
        <v>4626</v>
      </c>
      <c r="F178" s="990">
        <v>1.23E-2</v>
      </c>
      <c r="H178" s="986">
        <v>1.8E-3</v>
      </c>
      <c r="I178" s="986">
        <f t="shared" si="2"/>
        <v>1.0500000000000001E-2</v>
      </c>
      <c r="J178" s="988">
        <v>14855</v>
      </c>
    </row>
    <row r="179" spans="2:10" ht="13.8">
      <c r="B179" s="988">
        <v>14885</v>
      </c>
      <c r="C179" s="987" t="s">
        <v>4626</v>
      </c>
      <c r="F179" s="990">
        <v>4.2200000000000001E-2</v>
      </c>
      <c r="H179" s="986">
        <v>1.8E-3</v>
      </c>
      <c r="I179" s="986">
        <f t="shared" si="2"/>
        <v>4.0399999999999998E-2</v>
      </c>
      <c r="J179" s="988">
        <v>14885</v>
      </c>
    </row>
    <row r="180" spans="2:10" ht="13.8">
      <c r="B180" s="988">
        <v>14916</v>
      </c>
      <c r="C180" s="987" t="s">
        <v>4626</v>
      </c>
      <c r="F180" s="990">
        <v>-3.1600000000000003E-2</v>
      </c>
      <c r="H180" s="986">
        <v>1.8E-3</v>
      </c>
      <c r="I180" s="986">
        <f t="shared" si="2"/>
        <v>-3.3400000000000006E-2</v>
      </c>
      <c r="J180" s="988">
        <v>14916</v>
      </c>
    </row>
    <row r="181" spans="2:10" ht="13.8">
      <c r="B181" s="988">
        <v>14946</v>
      </c>
      <c r="C181" s="987" t="s">
        <v>4626</v>
      </c>
      <c r="F181" s="990">
        <v>8.9999999999999998E-4</v>
      </c>
      <c r="H181" s="986">
        <v>1.6999999999999999E-3</v>
      </c>
      <c r="I181" s="986">
        <f t="shared" si="2"/>
        <v>-7.9999999999999993E-4</v>
      </c>
      <c r="J181" s="988">
        <v>14946</v>
      </c>
    </row>
    <row r="182" spans="2:10" ht="13.8">
      <c r="B182" s="988">
        <v>14977</v>
      </c>
      <c r="C182" s="987" t="s">
        <v>4626</v>
      </c>
      <c r="F182" s="990">
        <v>-4.6300000000000001E-2</v>
      </c>
      <c r="H182" s="986">
        <v>1.6000000000000001E-3</v>
      </c>
      <c r="I182" s="986">
        <f t="shared" si="2"/>
        <v>-4.7899999999999998E-2</v>
      </c>
      <c r="J182" s="988">
        <v>14977</v>
      </c>
    </row>
    <row r="183" spans="2:10" ht="13.8">
      <c r="B183" s="988">
        <v>15008</v>
      </c>
      <c r="C183" s="987" t="s">
        <v>4626</v>
      </c>
      <c r="F183" s="990">
        <v>-6.0000000000000001E-3</v>
      </c>
      <c r="H183" s="986">
        <v>1.6000000000000001E-3</v>
      </c>
      <c r="I183" s="986">
        <f t="shared" si="2"/>
        <v>-7.6E-3</v>
      </c>
      <c r="J183" s="988">
        <v>15008</v>
      </c>
    </row>
    <row r="184" spans="2:10" ht="13.8">
      <c r="B184" s="988">
        <v>15036</v>
      </c>
      <c r="C184" s="987" t="s">
        <v>4626</v>
      </c>
      <c r="F184" s="990">
        <v>7.1000000000000004E-3</v>
      </c>
      <c r="H184" s="986">
        <v>1.8E-3</v>
      </c>
      <c r="I184" s="986">
        <f t="shared" si="2"/>
        <v>5.3000000000000009E-3</v>
      </c>
      <c r="J184" s="988">
        <v>15036</v>
      </c>
    </row>
    <row r="185" spans="2:10" ht="13.8">
      <c r="B185" s="988">
        <v>15067</v>
      </c>
      <c r="C185" s="987" t="s">
        <v>4626</v>
      </c>
      <c r="F185" s="990">
        <v>-6.1199999999999997E-2</v>
      </c>
      <c r="H185" s="986">
        <v>1.6999999999999999E-3</v>
      </c>
      <c r="I185" s="986">
        <f t="shared" si="2"/>
        <v>-6.2899999999999998E-2</v>
      </c>
      <c r="J185" s="988">
        <v>15067</v>
      </c>
    </row>
    <row r="186" spans="2:10" ht="13.8">
      <c r="B186" s="988">
        <v>15097</v>
      </c>
      <c r="C186" s="987" t="s">
        <v>4626</v>
      </c>
      <c r="F186" s="990">
        <v>1.83E-2</v>
      </c>
      <c r="H186" s="986">
        <v>1.6999999999999999E-3</v>
      </c>
      <c r="I186" s="986">
        <f t="shared" si="2"/>
        <v>1.66E-2</v>
      </c>
      <c r="J186" s="988">
        <v>15097</v>
      </c>
    </row>
    <row r="187" spans="2:10" ht="13.8">
      <c r="B187" s="988">
        <v>15128</v>
      </c>
      <c r="C187" s="987" t="s">
        <v>4626</v>
      </c>
      <c r="F187" s="990">
        <v>5.7799999999999997E-2</v>
      </c>
      <c r="H187" s="986">
        <v>1.6000000000000001E-3</v>
      </c>
      <c r="I187" s="986">
        <f t="shared" si="2"/>
        <v>5.62E-2</v>
      </c>
      <c r="J187" s="988">
        <v>15128</v>
      </c>
    </row>
    <row r="188" spans="2:10" ht="13.8">
      <c r="B188" s="988">
        <v>15158</v>
      </c>
      <c r="C188" s="987" t="s">
        <v>4626</v>
      </c>
      <c r="F188" s="990">
        <v>5.79E-2</v>
      </c>
      <c r="H188" s="986">
        <v>1.6000000000000001E-3</v>
      </c>
      <c r="I188" s="986">
        <f t="shared" si="2"/>
        <v>5.6300000000000003E-2</v>
      </c>
      <c r="J188" s="988">
        <v>15158</v>
      </c>
    </row>
    <row r="189" spans="2:10" ht="13.8">
      <c r="B189" s="988">
        <v>15189</v>
      </c>
      <c r="C189" s="987" t="s">
        <v>4626</v>
      </c>
      <c r="F189" s="990">
        <v>1E-3</v>
      </c>
      <c r="H189" s="986">
        <v>1.6000000000000001E-3</v>
      </c>
      <c r="I189" s="986">
        <f t="shared" si="2"/>
        <v>-6.0000000000000006E-4</v>
      </c>
      <c r="J189" s="988">
        <v>15189</v>
      </c>
    </row>
    <row r="190" spans="2:10" ht="13.8">
      <c r="B190" s="988">
        <v>15220</v>
      </c>
      <c r="C190" s="987" t="s">
        <v>4626</v>
      </c>
      <c r="F190" s="990">
        <v>-6.7999999999999996E-3</v>
      </c>
      <c r="H190" s="986">
        <v>1.6000000000000001E-3</v>
      </c>
      <c r="I190" s="986">
        <f t="shared" si="2"/>
        <v>-8.3999999999999995E-3</v>
      </c>
      <c r="J190" s="988">
        <v>15220</v>
      </c>
    </row>
    <row r="191" spans="2:10" ht="13.8">
      <c r="B191" s="988">
        <v>15250</v>
      </c>
      <c r="C191" s="987" t="s">
        <v>4626</v>
      </c>
      <c r="F191" s="990">
        <v>-6.5699999999999995E-2</v>
      </c>
      <c r="H191" s="986">
        <v>1.6000000000000001E-3</v>
      </c>
      <c r="I191" s="986">
        <f t="shared" si="2"/>
        <v>-6.7299999999999999E-2</v>
      </c>
      <c r="J191" s="988">
        <v>15250</v>
      </c>
    </row>
    <row r="192" spans="2:10" ht="13.8">
      <c r="B192" s="988">
        <v>15281</v>
      </c>
      <c r="C192" s="987" t="s">
        <v>4626</v>
      </c>
      <c r="F192" s="990">
        <v>-2.8400000000000002E-2</v>
      </c>
      <c r="H192" s="986">
        <v>1.4E-3</v>
      </c>
      <c r="I192" s="986">
        <f t="shared" si="2"/>
        <v>-2.98E-2</v>
      </c>
      <c r="J192" s="988">
        <v>15281</v>
      </c>
    </row>
    <row r="193" spans="2:10" ht="13.8">
      <c r="B193" s="988">
        <v>15311</v>
      </c>
      <c r="C193" s="987" t="s">
        <v>4626</v>
      </c>
      <c r="F193" s="990">
        <v>-4.07E-2</v>
      </c>
      <c r="H193" s="986">
        <v>1.6000000000000001E-3</v>
      </c>
      <c r="I193" s="986">
        <f t="shared" si="2"/>
        <v>-4.2299999999999997E-2</v>
      </c>
      <c r="J193" s="988">
        <v>15311</v>
      </c>
    </row>
    <row r="194" spans="2:10" ht="13.8">
      <c r="B194" s="988">
        <v>15342</v>
      </c>
      <c r="C194" s="987" t="s">
        <v>4626</v>
      </c>
      <c r="F194" s="990">
        <v>1.61E-2</v>
      </c>
      <c r="H194" s="986">
        <v>2.0999999999999999E-3</v>
      </c>
      <c r="I194" s="986">
        <f t="shared" ref="I194:I257" si="3">F194-H194</f>
        <v>1.4E-2</v>
      </c>
      <c r="J194" s="988">
        <v>15342</v>
      </c>
    </row>
    <row r="195" spans="2:10" ht="13.8">
      <c r="B195" s="988">
        <v>15373</v>
      </c>
      <c r="C195" s="987" t="s">
        <v>4626</v>
      </c>
      <c r="F195" s="990">
        <v>-1.5900000000000001E-2</v>
      </c>
      <c r="H195" s="986">
        <v>1.9E-3</v>
      </c>
      <c r="I195" s="986">
        <f t="shared" si="3"/>
        <v>-1.78E-2</v>
      </c>
      <c r="J195" s="988">
        <v>15373</v>
      </c>
    </row>
    <row r="196" spans="2:10" ht="13.8">
      <c r="B196" s="988">
        <v>15401</v>
      </c>
      <c r="C196" s="987" t="s">
        <v>4626</v>
      </c>
      <c r="F196" s="990">
        <v>-6.5199999999999994E-2</v>
      </c>
      <c r="H196" s="986">
        <v>2.0999999999999999E-3</v>
      </c>
      <c r="I196" s="986">
        <f t="shared" si="3"/>
        <v>-6.7299999999999999E-2</v>
      </c>
      <c r="J196" s="988">
        <v>15401</v>
      </c>
    </row>
    <row r="197" spans="2:10" ht="13.8">
      <c r="B197" s="988">
        <v>15432</v>
      </c>
      <c r="C197" s="987" t="s">
        <v>4626</v>
      </c>
      <c r="F197" s="990">
        <v>-3.9899999999999998E-2</v>
      </c>
      <c r="H197" s="986">
        <v>2E-3</v>
      </c>
      <c r="I197" s="986">
        <f t="shared" si="3"/>
        <v>-4.19E-2</v>
      </c>
      <c r="J197" s="988">
        <v>15432</v>
      </c>
    </row>
    <row r="198" spans="2:10" ht="13.8">
      <c r="B198" s="988">
        <v>15462</v>
      </c>
      <c r="C198" s="987" t="s">
        <v>4626</v>
      </c>
      <c r="F198" s="990">
        <v>7.9600000000000004E-2</v>
      </c>
      <c r="H198" s="986">
        <v>1.9E-3</v>
      </c>
      <c r="I198" s="986">
        <f t="shared" si="3"/>
        <v>7.7700000000000005E-2</v>
      </c>
      <c r="J198" s="988">
        <v>15462</v>
      </c>
    </row>
    <row r="199" spans="2:10" ht="13.8">
      <c r="B199" s="988">
        <v>15493</v>
      </c>
      <c r="C199" s="987" t="s">
        <v>4626</v>
      </c>
      <c r="F199" s="990">
        <v>2.2100000000000002E-2</v>
      </c>
      <c r="H199" s="986">
        <v>2.0999999999999999E-3</v>
      </c>
      <c r="I199" s="986">
        <f t="shared" si="3"/>
        <v>0.02</v>
      </c>
      <c r="J199" s="988">
        <v>15493</v>
      </c>
    </row>
    <row r="200" spans="2:10" ht="13.8">
      <c r="B200" s="988">
        <v>15523</v>
      </c>
      <c r="C200" s="987" t="s">
        <v>4626</v>
      </c>
      <c r="F200" s="990">
        <v>3.3700000000000001E-2</v>
      </c>
      <c r="H200" s="986">
        <v>2.0999999999999999E-3</v>
      </c>
      <c r="I200" s="986">
        <f t="shared" si="3"/>
        <v>3.1600000000000003E-2</v>
      </c>
      <c r="J200" s="988">
        <v>15523</v>
      </c>
    </row>
    <row r="201" spans="2:10" ht="13.8">
      <c r="B201" s="988">
        <v>15554</v>
      </c>
      <c r="C201" s="987" t="s">
        <v>4626</v>
      </c>
      <c r="F201" s="990">
        <v>1.6400000000000001E-2</v>
      </c>
      <c r="H201" s="986">
        <v>2.0999999999999999E-3</v>
      </c>
      <c r="I201" s="986">
        <f t="shared" si="3"/>
        <v>1.4300000000000002E-2</v>
      </c>
      <c r="J201" s="988">
        <v>15554</v>
      </c>
    </row>
    <row r="202" spans="2:10" ht="13.8">
      <c r="B202" s="988">
        <v>15585</v>
      </c>
      <c r="C202" s="987" t="s">
        <v>4626</v>
      </c>
      <c r="F202" s="990">
        <v>2.9000000000000001E-2</v>
      </c>
      <c r="H202" s="986">
        <v>2E-3</v>
      </c>
      <c r="I202" s="986">
        <f t="shared" si="3"/>
        <v>2.7000000000000003E-2</v>
      </c>
      <c r="J202" s="988">
        <v>15585</v>
      </c>
    </row>
    <row r="203" spans="2:10" ht="13.8">
      <c r="B203" s="988">
        <v>15615</v>
      </c>
      <c r="C203" s="987" t="s">
        <v>4626</v>
      </c>
      <c r="F203" s="990">
        <v>6.7799999999999999E-2</v>
      </c>
      <c r="H203" s="986">
        <v>2.0999999999999999E-3</v>
      </c>
      <c r="I203" s="986">
        <f t="shared" si="3"/>
        <v>6.5699999999999995E-2</v>
      </c>
      <c r="J203" s="988">
        <v>15615</v>
      </c>
    </row>
    <row r="204" spans="2:10" ht="13.8">
      <c r="B204" s="988">
        <v>15646</v>
      </c>
      <c r="C204" s="987" t="s">
        <v>4626</v>
      </c>
      <c r="F204" s="990">
        <v>-2.0999999999999999E-3</v>
      </c>
      <c r="H204" s="986">
        <v>2E-3</v>
      </c>
      <c r="I204" s="986">
        <f t="shared" si="3"/>
        <v>-4.0999999999999995E-3</v>
      </c>
      <c r="J204" s="988">
        <v>15646</v>
      </c>
    </row>
    <row r="205" spans="2:10" ht="13.8">
      <c r="B205" s="988">
        <v>15676</v>
      </c>
      <c r="C205" s="987" t="s">
        <v>4626</v>
      </c>
      <c r="F205" s="990">
        <v>5.4899999999999997E-2</v>
      </c>
      <c r="H205" s="986">
        <v>2.0999999999999999E-3</v>
      </c>
      <c r="I205" s="986">
        <f t="shared" si="3"/>
        <v>5.28E-2</v>
      </c>
      <c r="J205" s="988">
        <v>15676</v>
      </c>
    </row>
    <row r="206" spans="2:10" ht="13.8">
      <c r="B206" s="988">
        <v>15707</v>
      </c>
      <c r="C206" s="987" t="s">
        <v>4626</v>
      </c>
      <c r="F206" s="990">
        <v>7.3700000000000002E-2</v>
      </c>
      <c r="H206" s="986">
        <v>2E-3</v>
      </c>
      <c r="I206" s="986">
        <f t="shared" si="3"/>
        <v>7.17E-2</v>
      </c>
      <c r="J206" s="988">
        <v>15707</v>
      </c>
    </row>
    <row r="207" spans="2:10" ht="13.8">
      <c r="B207" s="988">
        <v>15738</v>
      </c>
      <c r="C207" s="987" t="s">
        <v>4626</v>
      </c>
      <c r="F207" s="990">
        <v>5.8299999999999998E-2</v>
      </c>
      <c r="H207" s="986">
        <v>1.9E-3</v>
      </c>
      <c r="I207" s="986">
        <f t="shared" si="3"/>
        <v>5.6399999999999999E-2</v>
      </c>
      <c r="J207" s="988">
        <v>15738</v>
      </c>
    </row>
    <row r="208" spans="2:10" ht="13.8">
      <c r="B208" s="988">
        <v>15766</v>
      </c>
      <c r="C208" s="987" t="s">
        <v>4626</v>
      </c>
      <c r="F208" s="990">
        <v>5.45E-2</v>
      </c>
      <c r="H208" s="986">
        <v>2.0999999999999999E-3</v>
      </c>
      <c r="I208" s="986">
        <f t="shared" si="3"/>
        <v>5.2400000000000002E-2</v>
      </c>
      <c r="J208" s="988">
        <v>15766</v>
      </c>
    </row>
    <row r="209" spans="2:10" ht="13.8">
      <c r="B209" s="988">
        <v>15797</v>
      </c>
      <c r="C209" s="987" t="s">
        <v>4626</v>
      </c>
      <c r="F209" s="990">
        <v>3.5000000000000001E-3</v>
      </c>
      <c r="H209" s="986">
        <v>2E-3</v>
      </c>
      <c r="I209" s="986">
        <f t="shared" si="3"/>
        <v>1.5E-3</v>
      </c>
      <c r="J209" s="988">
        <v>15797</v>
      </c>
    </row>
    <row r="210" spans="2:10" ht="13.8">
      <c r="B210" s="988">
        <v>15827</v>
      </c>
      <c r="C210" s="987" t="s">
        <v>4626</v>
      </c>
      <c r="F210" s="990">
        <v>5.5199999999999999E-2</v>
      </c>
      <c r="H210" s="986">
        <v>1.9E-3</v>
      </c>
      <c r="I210" s="986">
        <f t="shared" si="3"/>
        <v>5.33E-2</v>
      </c>
      <c r="J210" s="988">
        <v>15827</v>
      </c>
    </row>
    <row r="211" spans="2:10" ht="13.8">
      <c r="B211" s="988">
        <v>15858</v>
      </c>
      <c r="C211" s="987" t="s">
        <v>4626</v>
      </c>
      <c r="F211" s="990">
        <v>2.23E-2</v>
      </c>
      <c r="H211" s="986">
        <v>2.0999999999999999E-3</v>
      </c>
      <c r="I211" s="986">
        <f t="shared" si="3"/>
        <v>2.0199999999999999E-2</v>
      </c>
      <c r="J211" s="988">
        <v>15858</v>
      </c>
    </row>
    <row r="212" spans="2:10" ht="13.8">
      <c r="B212" s="988">
        <v>15888</v>
      </c>
      <c r="C212" s="987" t="s">
        <v>4626</v>
      </c>
      <c r="F212" s="990">
        <v>-5.2600000000000001E-2</v>
      </c>
      <c r="H212" s="986">
        <v>2.0999999999999999E-3</v>
      </c>
      <c r="I212" s="986">
        <f t="shared" si="3"/>
        <v>-5.4699999999999999E-2</v>
      </c>
      <c r="J212" s="988">
        <v>15888</v>
      </c>
    </row>
    <row r="213" spans="2:10" ht="13.8">
      <c r="B213" s="988">
        <v>15919</v>
      </c>
      <c r="C213" s="987" t="s">
        <v>4626</v>
      </c>
      <c r="F213" s="990">
        <v>1.7100000000000001E-2</v>
      </c>
      <c r="H213" s="986">
        <v>2.0999999999999999E-3</v>
      </c>
      <c r="I213" s="986">
        <f t="shared" si="3"/>
        <v>1.5000000000000001E-2</v>
      </c>
      <c r="J213" s="988">
        <v>15919</v>
      </c>
    </row>
    <row r="214" spans="2:10" ht="13.8">
      <c r="B214" s="988">
        <v>15950</v>
      </c>
      <c r="C214" s="987" t="s">
        <v>4626</v>
      </c>
      <c r="F214" s="990">
        <v>2.63E-2</v>
      </c>
      <c r="H214" s="986">
        <v>2E-3</v>
      </c>
      <c r="I214" s="986">
        <f t="shared" si="3"/>
        <v>2.4300000000000002E-2</v>
      </c>
      <c r="J214" s="988">
        <v>15950</v>
      </c>
    </row>
    <row r="215" spans="2:10" ht="13.8">
      <c r="B215" s="988">
        <v>15980</v>
      </c>
      <c r="C215" s="987" t="s">
        <v>4626</v>
      </c>
      <c r="F215" s="990">
        <v>-1.0800000000000001E-2</v>
      </c>
      <c r="H215" s="986">
        <v>2E-3</v>
      </c>
      <c r="I215" s="986">
        <f t="shared" si="3"/>
        <v>-1.2800000000000001E-2</v>
      </c>
      <c r="J215" s="988">
        <v>15980</v>
      </c>
    </row>
    <row r="216" spans="2:10" ht="13.8">
      <c r="B216" s="988">
        <v>16011</v>
      </c>
      <c r="C216" s="987" t="s">
        <v>4626</v>
      </c>
      <c r="F216" s="990">
        <v>-6.54E-2</v>
      </c>
      <c r="H216" s="986">
        <v>2.0999999999999999E-3</v>
      </c>
      <c r="I216" s="986">
        <f t="shared" si="3"/>
        <v>-6.7500000000000004E-2</v>
      </c>
      <c r="J216" s="988">
        <v>16011</v>
      </c>
    </row>
    <row r="217" spans="2:10" ht="13.8">
      <c r="B217" s="988">
        <v>16041</v>
      </c>
      <c r="C217" s="987" t="s">
        <v>4626</v>
      </c>
      <c r="F217" s="990">
        <v>6.1699999999999998E-2</v>
      </c>
      <c r="H217" s="986">
        <v>2.0999999999999999E-3</v>
      </c>
      <c r="I217" s="986">
        <f t="shared" si="3"/>
        <v>5.96E-2</v>
      </c>
      <c r="J217" s="988">
        <v>16041</v>
      </c>
    </row>
    <row r="218" spans="2:10" ht="13.8">
      <c r="B218" s="988">
        <v>16072</v>
      </c>
      <c r="C218" s="987" t="s">
        <v>4626</v>
      </c>
      <c r="F218" s="990">
        <v>1.7100000000000001E-2</v>
      </c>
      <c r="H218" s="986">
        <v>2.0999999999999999E-3</v>
      </c>
      <c r="I218" s="986">
        <f t="shared" si="3"/>
        <v>1.5000000000000001E-2</v>
      </c>
      <c r="J218" s="988">
        <v>16072</v>
      </c>
    </row>
    <row r="219" spans="2:10" ht="13.8">
      <c r="B219" s="988">
        <v>16103</v>
      </c>
      <c r="C219" s="987" t="s">
        <v>4626</v>
      </c>
      <c r="F219" s="990">
        <v>4.1999999999999997E-3</v>
      </c>
      <c r="H219" s="986">
        <v>2E-3</v>
      </c>
      <c r="I219" s="986">
        <f t="shared" si="3"/>
        <v>2.1999999999999997E-3</v>
      </c>
      <c r="J219" s="988">
        <v>16103</v>
      </c>
    </row>
    <row r="220" spans="2:10" ht="13.8">
      <c r="B220" s="988">
        <v>16132</v>
      </c>
      <c r="C220" s="987" t="s">
        <v>4626</v>
      </c>
      <c r="F220" s="990">
        <v>1.95E-2</v>
      </c>
      <c r="H220" s="986">
        <v>2.0999999999999999E-3</v>
      </c>
      <c r="I220" s="986">
        <f t="shared" si="3"/>
        <v>1.7399999999999999E-2</v>
      </c>
      <c r="J220" s="988">
        <v>16132</v>
      </c>
    </row>
    <row r="221" spans="2:10" ht="13.8">
      <c r="B221" s="988">
        <v>16163</v>
      </c>
      <c r="C221" s="987" t="s">
        <v>4626</v>
      </c>
      <c r="F221" s="990">
        <v>-0.01</v>
      </c>
      <c r="H221" s="986">
        <v>2E-3</v>
      </c>
      <c r="I221" s="986">
        <f t="shared" si="3"/>
        <v>-1.2E-2</v>
      </c>
      <c r="J221" s="988">
        <v>16163</v>
      </c>
    </row>
    <row r="222" spans="2:10" ht="13.8">
      <c r="B222" s="988">
        <v>16193</v>
      </c>
      <c r="C222" s="987" t="s">
        <v>4626</v>
      </c>
      <c r="F222" s="990">
        <v>5.0500000000000003E-2</v>
      </c>
      <c r="H222" s="986">
        <v>2.2000000000000001E-3</v>
      </c>
      <c r="I222" s="986">
        <f t="shared" si="3"/>
        <v>4.8300000000000003E-2</v>
      </c>
      <c r="J222" s="988">
        <v>16193</v>
      </c>
    </row>
    <row r="223" spans="2:10" ht="13.8">
      <c r="B223" s="988">
        <v>16224</v>
      </c>
      <c r="C223" s="987" t="s">
        <v>4626</v>
      </c>
      <c r="F223" s="990">
        <v>5.4300000000000001E-2</v>
      </c>
      <c r="H223" s="986">
        <v>2E-3</v>
      </c>
      <c r="I223" s="986">
        <f t="shared" si="3"/>
        <v>5.2299999999999999E-2</v>
      </c>
      <c r="J223" s="988">
        <v>16224</v>
      </c>
    </row>
    <row r="224" spans="2:10" ht="13.8">
      <c r="B224" s="988">
        <v>16254</v>
      </c>
      <c r="C224" s="987" t="s">
        <v>4626</v>
      </c>
      <c r="F224" s="990">
        <v>-1.9300000000000001E-2</v>
      </c>
      <c r="H224" s="986">
        <v>2.0999999999999999E-3</v>
      </c>
      <c r="I224" s="986">
        <f t="shared" si="3"/>
        <v>-2.1400000000000002E-2</v>
      </c>
      <c r="J224" s="988">
        <v>16254</v>
      </c>
    </row>
    <row r="225" spans="2:10" ht="13.8">
      <c r="B225" s="988">
        <v>16285</v>
      </c>
      <c r="C225" s="987" t="s">
        <v>4626</v>
      </c>
      <c r="F225" s="990">
        <v>1.5699999999999999E-2</v>
      </c>
      <c r="H225" s="986">
        <v>2.0999999999999999E-3</v>
      </c>
      <c r="I225" s="986">
        <f t="shared" si="3"/>
        <v>1.3599999999999999E-2</v>
      </c>
      <c r="J225" s="988">
        <v>16285</v>
      </c>
    </row>
    <row r="226" spans="2:10" ht="13.8">
      <c r="B226" s="988">
        <v>16316</v>
      </c>
      <c r="C226" s="987" t="s">
        <v>4626</v>
      </c>
      <c r="F226" s="990">
        <v>-8.0000000000000004E-4</v>
      </c>
      <c r="H226" s="986">
        <v>2E-3</v>
      </c>
      <c r="I226" s="986">
        <f t="shared" si="3"/>
        <v>-2.8E-3</v>
      </c>
      <c r="J226" s="988">
        <v>16316</v>
      </c>
    </row>
    <row r="227" spans="2:10" ht="13.8">
      <c r="B227" s="988">
        <v>16346</v>
      </c>
      <c r="C227" s="987" t="s">
        <v>4626</v>
      </c>
      <c r="F227" s="990">
        <v>2.3E-3</v>
      </c>
      <c r="H227" s="986">
        <v>2.0999999999999999E-3</v>
      </c>
      <c r="I227" s="986">
        <f t="shared" si="3"/>
        <v>2.0000000000000009E-4</v>
      </c>
      <c r="J227" s="988">
        <v>16346</v>
      </c>
    </row>
    <row r="228" spans="2:10" ht="13.8">
      <c r="B228" s="988">
        <v>16377</v>
      </c>
      <c r="C228" s="987" t="s">
        <v>4626</v>
      </c>
      <c r="F228" s="990">
        <v>1.3299999999999999E-2</v>
      </c>
      <c r="H228" s="986">
        <v>2E-3</v>
      </c>
      <c r="I228" s="986">
        <f t="shared" si="3"/>
        <v>1.1299999999999999E-2</v>
      </c>
      <c r="J228" s="988">
        <v>16377</v>
      </c>
    </row>
    <row r="229" spans="2:10" ht="13.8">
      <c r="B229" s="988">
        <v>16407</v>
      </c>
      <c r="C229" s="987" t="s">
        <v>4626</v>
      </c>
      <c r="F229" s="990">
        <v>3.7400000000000003E-2</v>
      </c>
      <c r="H229" s="986">
        <v>2E-3</v>
      </c>
      <c r="I229" s="986">
        <f t="shared" si="3"/>
        <v>3.5400000000000001E-2</v>
      </c>
      <c r="J229" s="988">
        <v>16407</v>
      </c>
    </row>
    <row r="230" spans="2:10" ht="13.8">
      <c r="B230" s="988">
        <v>16438</v>
      </c>
      <c r="C230" s="987" t="s">
        <v>4626</v>
      </c>
      <c r="F230" s="990">
        <v>1.5800000000000002E-2</v>
      </c>
      <c r="H230" s="986">
        <v>2.0999999999999999E-3</v>
      </c>
      <c r="I230" s="986">
        <f t="shared" si="3"/>
        <v>1.3700000000000002E-2</v>
      </c>
      <c r="J230" s="988">
        <v>16438</v>
      </c>
    </row>
    <row r="231" spans="2:10" ht="13.8">
      <c r="B231" s="988">
        <v>16469</v>
      </c>
      <c r="C231" s="987" t="s">
        <v>4626</v>
      </c>
      <c r="F231" s="990">
        <v>6.83E-2</v>
      </c>
      <c r="H231" s="986">
        <v>1.8E-3</v>
      </c>
      <c r="I231" s="986">
        <f t="shared" si="3"/>
        <v>6.6500000000000004E-2</v>
      </c>
      <c r="J231" s="988">
        <v>16469</v>
      </c>
    </row>
    <row r="232" spans="2:10" ht="13.8">
      <c r="B232" s="988">
        <v>16497</v>
      </c>
      <c r="C232" s="987" t="s">
        <v>4626</v>
      </c>
      <c r="F232" s="990">
        <v>-4.41E-2</v>
      </c>
      <c r="H232" s="986">
        <v>2E-3</v>
      </c>
      <c r="I232" s="986">
        <f t="shared" si="3"/>
        <v>-4.6100000000000002E-2</v>
      </c>
      <c r="J232" s="988">
        <v>16497</v>
      </c>
    </row>
    <row r="233" spans="2:10" ht="13.8">
      <c r="B233" s="988">
        <v>16528</v>
      </c>
      <c r="C233" s="987" t="s">
        <v>4626</v>
      </c>
      <c r="F233" s="990">
        <v>9.0200000000000002E-2</v>
      </c>
      <c r="H233" s="986">
        <v>1.9E-3</v>
      </c>
      <c r="I233" s="986">
        <f t="shared" si="3"/>
        <v>8.8300000000000003E-2</v>
      </c>
      <c r="J233" s="988">
        <v>16528</v>
      </c>
    </row>
    <row r="234" spans="2:10" ht="13.8">
      <c r="B234" s="988">
        <v>16558</v>
      </c>
      <c r="C234" s="987" t="s">
        <v>4626</v>
      </c>
      <c r="F234" s="990">
        <v>1.95E-2</v>
      </c>
      <c r="H234" s="986">
        <v>1.9E-3</v>
      </c>
      <c r="I234" s="986">
        <f t="shared" si="3"/>
        <v>1.7600000000000001E-2</v>
      </c>
      <c r="J234" s="988">
        <v>16558</v>
      </c>
    </row>
    <row r="235" spans="2:10" ht="13.8">
      <c r="B235" s="988">
        <v>16589</v>
      </c>
      <c r="C235" s="987" t="s">
        <v>4626</v>
      </c>
      <c r="F235" s="990">
        <v>-6.9999999999999999E-4</v>
      </c>
      <c r="H235" s="986">
        <v>1.9E-3</v>
      </c>
      <c r="I235" s="986">
        <f t="shared" si="3"/>
        <v>-2.5999999999999999E-3</v>
      </c>
      <c r="J235" s="988">
        <v>16589</v>
      </c>
    </row>
    <row r="236" spans="2:10" ht="13.8">
      <c r="B236" s="988">
        <v>16619</v>
      </c>
      <c r="C236" s="987" t="s">
        <v>4626</v>
      </c>
      <c r="F236" s="990">
        <v>-1.7999999999999999E-2</v>
      </c>
      <c r="H236" s="986">
        <v>1.8E-3</v>
      </c>
      <c r="I236" s="986">
        <f t="shared" si="3"/>
        <v>-1.9799999999999998E-2</v>
      </c>
      <c r="J236" s="988">
        <v>16619</v>
      </c>
    </row>
    <row r="237" spans="2:10" ht="13.8">
      <c r="B237" s="988">
        <v>16650</v>
      </c>
      <c r="C237" s="987" t="s">
        <v>4626</v>
      </c>
      <c r="F237" s="990">
        <v>6.4100000000000004E-2</v>
      </c>
      <c r="H237" s="986">
        <v>1.9E-3</v>
      </c>
      <c r="I237" s="986">
        <f t="shared" si="3"/>
        <v>6.2200000000000005E-2</v>
      </c>
      <c r="J237" s="988">
        <v>16650</v>
      </c>
    </row>
    <row r="238" spans="2:10" ht="13.8">
      <c r="B238" s="988">
        <v>16681</v>
      </c>
      <c r="C238" s="987" t="s">
        <v>4626</v>
      </c>
      <c r="F238" s="990">
        <v>4.3799999999999999E-2</v>
      </c>
      <c r="H238" s="986">
        <v>1.8E-3</v>
      </c>
      <c r="I238" s="986">
        <f t="shared" si="3"/>
        <v>4.1999999999999996E-2</v>
      </c>
      <c r="J238" s="988">
        <v>16681</v>
      </c>
    </row>
    <row r="239" spans="2:10" ht="13.8">
      <c r="B239" s="988">
        <v>16711</v>
      </c>
      <c r="C239" s="987" t="s">
        <v>4626</v>
      </c>
      <c r="F239" s="990">
        <v>3.2199999999999999E-2</v>
      </c>
      <c r="H239" s="986">
        <v>1.9E-3</v>
      </c>
      <c r="I239" s="986">
        <f t="shared" si="3"/>
        <v>3.0300000000000001E-2</v>
      </c>
      <c r="J239" s="988">
        <v>16711</v>
      </c>
    </row>
    <row r="240" spans="2:10" ht="13.8">
      <c r="B240" s="988">
        <v>16742</v>
      </c>
      <c r="C240" s="987" t="s">
        <v>4626</v>
      </c>
      <c r="F240" s="990">
        <v>3.9600000000000003E-2</v>
      </c>
      <c r="H240" s="986">
        <v>1.8E-3</v>
      </c>
      <c r="I240" s="986">
        <f t="shared" si="3"/>
        <v>3.78E-2</v>
      </c>
      <c r="J240" s="988">
        <v>16742</v>
      </c>
    </row>
    <row r="241" spans="2:10" ht="13.8">
      <c r="B241" s="988">
        <v>16772</v>
      </c>
      <c r="C241" s="987" t="s">
        <v>4626</v>
      </c>
      <c r="F241" s="990">
        <v>1.1599999999999999E-2</v>
      </c>
      <c r="H241" s="986">
        <v>1.8E-3</v>
      </c>
      <c r="I241" s="986">
        <f t="shared" si="3"/>
        <v>9.7999999999999997E-3</v>
      </c>
      <c r="J241" s="988">
        <v>16772</v>
      </c>
    </row>
    <row r="242" spans="2:10" ht="13.8">
      <c r="B242" s="988">
        <v>16803</v>
      </c>
      <c r="C242" s="987" t="s">
        <v>4626</v>
      </c>
      <c r="F242" s="990">
        <v>7.1400000000000005E-2</v>
      </c>
      <c r="H242" s="986">
        <v>1.6999999999999999E-3</v>
      </c>
      <c r="I242" s="986">
        <f t="shared" si="3"/>
        <v>6.9700000000000012E-2</v>
      </c>
      <c r="J242" s="988">
        <v>16803</v>
      </c>
    </row>
    <row r="243" spans="2:10" ht="13.8">
      <c r="B243" s="988">
        <v>16834</v>
      </c>
      <c r="C243" s="987" t="s">
        <v>4626</v>
      </c>
      <c r="F243" s="990">
        <v>-6.4100000000000004E-2</v>
      </c>
      <c r="H243" s="986">
        <v>1.5E-3</v>
      </c>
      <c r="I243" s="986">
        <f t="shared" si="3"/>
        <v>-6.5600000000000006E-2</v>
      </c>
      <c r="J243" s="988">
        <v>16834</v>
      </c>
    </row>
    <row r="244" spans="2:10" ht="13.8">
      <c r="B244" s="988">
        <v>16862</v>
      </c>
      <c r="C244" s="987" t="s">
        <v>4626</v>
      </c>
      <c r="F244" s="990">
        <v>4.8000000000000001E-2</v>
      </c>
      <c r="H244" s="986">
        <v>1.6000000000000001E-3</v>
      </c>
      <c r="I244" s="986">
        <f t="shared" si="3"/>
        <v>4.6400000000000004E-2</v>
      </c>
      <c r="J244" s="988">
        <v>16862</v>
      </c>
    </row>
    <row r="245" spans="2:10" ht="13.8">
      <c r="B245" s="988">
        <v>16893</v>
      </c>
      <c r="C245" s="987" t="s">
        <v>4626</v>
      </c>
      <c r="F245" s="990">
        <v>3.9300000000000002E-2</v>
      </c>
      <c r="H245" s="986">
        <v>1.6999999999999999E-3</v>
      </c>
      <c r="I245" s="986">
        <f t="shared" si="3"/>
        <v>3.7600000000000001E-2</v>
      </c>
      <c r="J245" s="988">
        <v>16893</v>
      </c>
    </row>
    <row r="246" spans="2:10" ht="13.8">
      <c r="B246" s="988">
        <v>16923</v>
      </c>
      <c r="C246" s="987" t="s">
        <v>4626</v>
      </c>
      <c r="F246" s="990">
        <v>2.8799999999999999E-2</v>
      </c>
      <c r="H246" s="986">
        <v>1.8E-3</v>
      </c>
      <c r="I246" s="986">
        <f t="shared" si="3"/>
        <v>2.7E-2</v>
      </c>
      <c r="J246" s="988">
        <v>16923</v>
      </c>
    </row>
    <row r="247" spans="2:10" ht="13.8">
      <c r="B247" s="988">
        <v>16954</v>
      </c>
      <c r="C247" s="987" t="s">
        <v>4626</v>
      </c>
      <c r="F247" s="990">
        <v>-3.6999999999999998E-2</v>
      </c>
      <c r="H247" s="986">
        <v>1.6000000000000001E-3</v>
      </c>
      <c r="I247" s="986">
        <f t="shared" si="3"/>
        <v>-3.8599999999999995E-2</v>
      </c>
      <c r="J247" s="988">
        <v>16954</v>
      </c>
    </row>
    <row r="248" spans="2:10" ht="13.8">
      <c r="B248" s="988">
        <v>16984</v>
      </c>
      <c r="C248" s="987" t="s">
        <v>4626</v>
      </c>
      <c r="F248" s="990">
        <v>-2.3900000000000001E-2</v>
      </c>
      <c r="H248" s="986">
        <v>1.9E-3</v>
      </c>
      <c r="I248" s="986">
        <f t="shared" si="3"/>
        <v>-2.58E-2</v>
      </c>
      <c r="J248" s="988">
        <v>16984</v>
      </c>
    </row>
    <row r="249" spans="2:10" ht="13.8">
      <c r="B249" s="988">
        <v>17015</v>
      </c>
      <c r="C249" s="987" t="s">
        <v>4626</v>
      </c>
      <c r="F249" s="990">
        <v>-6.7400000000000002E-2</v>
      </c>
      <c r="H249" s="986">
        <v>1.6999999999999999E-3</v>
      </c>
      <c r="I249" s="986">
        <f t="shared" si="3"/>
        <v>-6.9099999999999995E-2</v>
      </c>
      <c r="J249" s="988">
        <v>17015</v>
      </c>
    </row>
    <row r="250" spans="2:10" ht="13.8">
      <c r="B250" s="988">
        <v>17046</v>
      </c>
      <c r="C250" s="987" t="s">
        <v>4626</v>
      </c>
      <c r="F250" s="990">
        <v>-9.9699999999999997E-2</v>
      </c>
      <c r="H250" s="986">
        <v>1.8E-3</v>
      </c>
      <c r="I250" s="986">
        <f t="shared" si="3"/>
        <v>-0.10149999999999999</v>
      </c>
      <c r="J250" s="988">
        <v>17046</v>
      </c>
    </row>
    <row r="251" spans="2:10" ht="13.8">
      <c r="B251" s="988">
        <v>17076</v>
      </c>
      <c r="C251" s="987" t="s">
        <v>4626</v>
      </c>
      <c r="F251" s="990">
        <v>-6.0000000000000001E-3</v>
      </c>
      <c r="H251" s="986">
        <v>1.9E-3</v>
      </c>
      <c r="I251" s="986">
        <f t="shared" si="3"/>
        <v>-7.9000000000000008E-3</v>
      </c>
      <c r="J251" s="988">
        <v>17076</v>
      </c>
    </row>
    <row r="252" spans="2:10" ht="13.8">
      <c r="B252" s="988">
        <v>17107</v>
      </c>
      <c r="C252" s="987" t="s">
        <v>4626</v>
      </c>
      <c r="F252" s="990">
        <v>-2.7000000000000001E-3</v>
      </c>
      <c r="H252" s="986">
        <v>1.8E-3</v>
      </c>
      <c r="I252" s="986">
        <f t="shared" si="3"/>
        <v>-4.5000000000000005E-3</v>
      </c>
      <c r="J252" s="988">
        <v>17107</v>
      </c>
    </row>
    <row r="253" spans="2:10" ht="13.8">
      <c r="B253" s="988">
        <v>17137</v>
      </c>
      <c r="C253" s="987" t="s">
        <v>4626</v>
      </c>
      <c r="F253" s="990">
        <v>4.5699999999999998E-2</v>
      </c>
      <c r="H253" s="986">
        <v>1.9E-3</v>
      </c>
      <c r="I253" s="986">
        <f t="shared" si="3"/>
        <v>4.3799999999999999E-2</v>
      </c>
      <c r="J253" s="988">
        <v>17137</v>
      </c>
    </row>
    <row r="254" spans="2:10" ht="13.8">
      <c r="B254" s="988">
        <v>17168</v>
      </c>
      <c r="C254" s="987" t="s">
        <v>4626</v>
      </c>
      <c r="F254" s="990">
        <v>2.5499999999999998E-2</v>
      </c>
      <c r="H254" s="986">
        <v>1.8E-3</v>
      </c>
      <c r="I254" s="986">
        <f t="shared" si="3"/>
        <v>2.3699999999999999E-2</v>
      </c>
      <c r="J254" s="988">
        <v>17168</v>
      </c>
    </row>
    <row r="255" spans="2:10" ht="13.8">
      <c r="B255" s="988">
        <v>17199</v>
      </c>
      <c r="C255" s="987" t="s">
        <v>4626</v>
      </c>
      <c r="F255" s="990">
        <v>-7.7000000000000002E-3</v>
      </c>
      <c r="H255" s="986">
        <v>1.6000000000000001E-3</v>
      </c>
      <c r="I255" s="986">
        <f t="shared" si="3"/>
        <v>-9.300000000000001E-3</v>
      </c>
      <c r="J255" s="988">
        <v>17199</v>
      </c>
    </row>
    <row r="256" spans="2:10" ht="13.8">
      <c r="B256" s="988">
        <v>17227</v>
      </c>
      <c r="C256" s="987" t="s">
        <v>4626</v>
      </c>
      <c r="F256" s="990">
        <v>-1.49E-2</v>
      </c>
      <c r="H256" s="986">
        <v>1.8E-3</v>
      </c>
      <c r="I256" s="986">
        <f t="shared" si="3"/>
        <v>-1.67E-2</v>
      </c>
      <c r="J256" s="988">
        <v>17227</v>
      </c>
    </row>
    <row r="257" spans="2:10" ht="13.8">
      <c r="B257" s="988">
        <v>17258</v>
      </c>
      <c r="C257" s="987" t="s">
        <v>4626</v>
      </c>
      <c r="F257" s="990">
        <v>-3.6299999999999999E-2</v>
      </c>
      <c r="H257" s="986">
        <v>1.6999999999999999E-3</v>
      </c>
      <c r="I257" s="986">
        <f t="shared" si="3"/>
        <v>-3.7999999999999999E-2</v>
      </c>
      <c r="J257" s="988">
        <v>17258</v>
      </c>
    </row>
    <row r="258" spans="2:10" ht="13.8">
      <c r="B258" s="988">
        <v>17288</v>
      </c>
      <c r="C258" s="987" t="s">
        <v>4626</v>
      </c>
      <c r="F258" s="990">
        <v>1.4E-3</v>
      </c>
      <c r="H258" s="986">
        <v>1.6999999999999999E-3</v>
      </c>
      <c r="I258" s="986">
        <f t="shared" ref="I258:I321" si="4">F258-H258</f>
        <v>-2.9999999999999992E-4</v>
      </c>
      <c r="J258" s="988">
        <v>17288</v>
      </c>
    </row>
    <row r="259" spans="2:10" ht="13.8">
      <c r="B259" s="988">
        <v>17319</v>
      </c>
      <c r="C259" s="987" t="s">
        <v>4626</v>
      </c>
      <c r="F259" s="990">
        <v>5.5399999999999998E-2</v>
      </c>
      <c r="H259" s="986">
        <v>1.9E-3</v>
      </c>
      <c r="I259" s="986">
        <f t="shared" si="4"/>
        <v>5.3499999999999999E-2</v>
      </c>
      <c r="J259" s="988">
        <v>17319</v>
      </c>
    </row>
    <row r="260" spans="2:10" ht="13.8">
      <c r="B260" s="988">
        <v>17349</v>
      </c>
      <c r="C260" s="987" t="s">
        <v>4626</v>
      </c>
      <c r="F260" s="990">
        <v>3.8100000000000002E-2</v>
      </c>
      <c r="H260" s="986">
        <v>1.8E-3</v>
      </c>
      <c r="I260" s="986">
        <f t="shared" si="4"/>
        <v>3.6299999999999999E-2</v>
      </c>
      <c r="J260" s="988">
        <v>17349</v>
      </c>
    </row>
    <row r="261" spans="2:10" ht="13.8">
      <c r="B261" s="988">
        <v>17380</v>
      </c>
      <c r="C261" s="987" t="s">
        <v>4626</v>
      </c>
      <c r="F261" s="990">
        <v>-2.0299999999999999E-2</v>
      </c>
      <c r="H261" s="986">
        <v>1.6999999999999999E-3</v>
      </c>
      <c r="I261" s="986">
        <f t="shared" si="4"/>
        <v>-2.1999999999999999E-2</v>
      </c>
      <c r="J261" s="988">
        <v>17380</v>
      </c>
    </row>
    <row r="262" spans="2:10" ht="13.8">
      <c r="B262" s="988">
        <v>17411</v>
      </c>
      <c r="C262" s="987" t="s">
        <v>4626</v>
      </c>
      <c r="F262" s="990">
        <v>-1.11E-2</v>
      </c>
      <c r="H262" s="986">
        <v>1.8E-3</v>
      </c>
      <c r="I262" s="986">
        <f t="shared" si="4"/>
        <v>-1.29E-2</v>
      </c>
      <c r="J262" s="988">
        <v>17411</v>
      </c>
    </row>
    <row r="263" spans="2:10" ht="13.8">
      <c r="B263" s="988">
        <v>17441</v>
      </c>
      <c r="C263" s="987" t="s">
        <v>4626</v>
      </c>
      <c r="F263" s="990">
        <v>2.3800000000000002E-2</v>
      </c>
      <c r="H263" s="986">
        <v>1.8E-3</v>
      </c>
      <c r="I263" s="986">
        <f t="shared" si="4"/>
        <v>2.2000000000000002E-2</v>
      </c>
      <c r="J263" s="988">
        <v>17441</v>
      </c>
    </row>
    <row r="264" spans="2:10" ht="13.8">
      <c r="B264" s="988">
        <v>17472</v>
      </c>
      <c r="C264" s="987" t="s">
        <v>4626</v>
      </c>
      <c r="F264" s="990">
        <v>-1.7500000000000002E-2</v>
      </c>
      <c r="H264" s="986">
        <v>1.6999999999999999E-3</v>
      </c>
      <c r="I264" s="986">
        <f t="shared" si="4"/>
        <v>-1.9200000000000002E-2</v>
      </c>
      <c r="J264" s="988">
        <v>17472</v>
      </c>
    </row>
    <row r="265" spans="2:10" ht="13.8">
      <c r="B265" s="988">
        <v>17502</v>
      </c>
      <c r="C265" s="987" t="s">
        <v>4626</v>
      </c>
      <c r="F265" s="990">
        <v>2.3300000000000001E-2</v>
      </c>
      <c r="H265" s="986">
        <v>2.0999999999999999E-3</v>
      </c>
      <c r="I265" s="986">
        <f t="shared" si="4"/>
        <v>2.12E-2</v>
      </c>
      <c r="J265" s="988">
        <v>17502</v>
      </c>
    </row>
    <row r="266" spans="2:10" ht="13.8">
      <c r="B266" s="988">
        <v>17533</v>
      </c>
      <c r="C266" s="987" t="s">
        <v>4626</v>
      </c>
      <c r="F266" s="990">
        <v>-3.7900000000000003E-2</v>
      </c>
      <c r="H266" s="986">
        <v>2E-3</v>
      </c>
      <c r="I266" s="986">
        <f t="shared" si="4"/>
        <v>-3.9900000000000005E-2</v>
      </c>
      <c r="J266" s="988">
        <v>17533</v>
      </c>
    </row>
    <row r="267" spans="2:10" ht="13.8">
      <c r="B267" s="988">
        <v>17564</v>
      </c>
      <c r="C267" s="987" t="s">
        <v>4626</v>
      </c>
      <c r="F267" s="990">
        <v>-3.8800000000000001E-2</v>
      </c>
      <c r="H267" s="986">
        <v>1.9E-3</v>
      </c>
      <c r="I267" s="986">
        <f t="shared" si="4"/>
        <v>-4.07E-2</v>
      </c>
      <c r="J267" s="988">
        <v>17564</v>
      </c>
    </row>
    <row r="268" spans="2:10" ht="13.8">
      <c r="B268" s="988">
        <v>17593</v>
      </c>
      <c r="C268" s="987" t="s">
        <v>4626</v>
      </c>
      <c r="F268" s="990">
        <v>7.9299999999999995E-2</v>
      </c>
      <c r="H268" s="986">
        <v>2.2000000000000001E-3</v>
      </c>
      <c r="I268" s="986">
        <f t="shared" si="4"/>
        <v>7.7100000000000002E-2</v>
      </c>
      <c r="J268" s="988">
        <v>17593</v>
      </c>
    </row>
    <row r="269" spans="2:10" ht="13.8">
      <c r="B269" s="988">
        <v>17624</v>
      </c>
      <c r="C269" s="987" t="s">
        <v>4626</v>
      </c>
      <c r="F269" s="990">
        <v>2.92E-2</v>
      </c>
      <c r="H269" s="986">
        <v>2E-3</v>
      </c>
      <c r="I269" s="986">
        <f t="shared" si="4"/>
        <v>2.7200000000000002E-2</v>
      </c>
      <c r="J269" s="988">
        <v>17624</v>
      </c>
    </row>
    <row r="270" spans="2:10" ht="13.8">
      <c r="B270" s="988">
        <v>17654</v>
      </c>
      <c r="C270" s="987" t="s">
        <v>4626</v>
      </c>
      <c r="F270" s="990">
        <v>8.7900000000000006E-2</v>
      </c>
      <c r="H270" s="986">
        <v>1.8E-3</v>
      </c>
      <c r="I270" s="986">
        <f t="shared" si="4"/>
        <v>8.610000000000001E-2</v>
      </c>
      <c r="J270" s="988">
        <v>17654</v>
      </c>
    </row>
    <row r="271" spans="2:10" ht="13.8">
      <c r="B271" s="988">
        <v>17685</v>
      </c>
      <c r="C271" s="987" t="s">
        <v>4626</v>
      </c>
      <c r="F271" s="990">
        <v>5.4000000000000003E-3</v>
      </c>
      <c r="H271" s="986">
        <v>2.0999999999999999E-3</v>
      </c>
      <c r="I271" s="986">
        <f t="shared" si="4"/>
        <v>3.3000000000000004E-3</v>
      </c>
      <c r="J271" s="988">
        <v>17685</v>
      </c>
    </row>
    <row r="272" spans="2:10" ht="13.8">
      <c r="B272" s="988">
        <v>17715</v>
      </c>
      <c r="C272" s="987" t="s">
        <v>4626</v>
      </c>
      <c r="F272" s="990">
        <v>-5.0799999999999998E-2</v>
      </c>
      <c r="H272" s="986">
        <v>1.9E-3</v>
      </c>
      <c r="I272" s="986">
        <f t="shared" si="4"/>
        <v>-5.2699999999999997E-2</v>
      </c>
      <c r="J272" s="988">
        <v>17715</v>
      </c>
    </row>
    <row r="273" spans="2:10" ht="13.8">
      <c r="B273" s="988">
        <v>17746</v>
      </c>
      <c r="C273" s="987" t="s">
        <v>4626</v>
      </c>
      <c r="F273" s="990">
        <v>1.5800000000000002E-2</v>
      </c>
      <c r="H273" s="986">
        <v>2.0999999999999999E-3</v>
      </c>
      <c r="I273" s="986">
        <f t="shared" si="4"/>
        <v>1.3700000000000002E-2</v>
      </c>
      <c r="J273" s="988">
        <v>17746</v>
      </c>
    </row>
    <row r="274" spans="2:10" ht="13.8">
      <c r="B274" s="988">
        <v>17777</v>
      </c>
      <c r="C274" s="987" t="s">
        <v>4626</v>
      </c>
      <c r="F274" s="990">
        <v>-2.76E-2</v>
      </c>
      <c r="H274" s="986">
        <v>2E-3</v>
      </c>
      <c r="I274" s="986">
        <f t="shared" si="4"/>
        <v>-2.9600000000000001E-2</v>
      </c>
      <c r="J274" s="988">
        <v>17777</v>
      </c>
    </row>
    <row r="275" spans="2:10" ht="13.8">
      <c r="B275" s="988">
        <v>17807</v>
      </c>
      <c r="C275" s="987" t="s">
        <v>4626</v>
      </c>
      <c r="F275" s="990">
        <v>7.0999999999999994E-2</v>
      </c>
      <c r="H275" s="986">
        <v>1.9E-3</v>
      </c>
      <c r="I275" s="986">
        <f t="shared" si="4"/>
        <v>6.9099999999999995E-2</v>
      </c>
      <c r="J275" s="988">
        <v>17807</v>
      </c>
    </row>
    <row r="276" spans="2:10" ht="13.8">
      <c r="B276" s="988">
        <v>17838</v>
      </c>
      <c r="C276" s="987" t="s">
        <v>4626</v>
      </c>
      <c r="F276" s="990">
        <v>-9.6100000000000005E-2</v>
      </c>
      <c r="H276" s="986">
        <v>2.0999999999999999E-3</v>
      </c>
      <c r="I276" s="986">
        <f t="shared" si="4"/>
        <v>-9.820000000000001E-2</v>
      </c>
      <c r="J276" s="988">
        <v>17838</v>
      </c>
    </row>
    <row r="277" spans="2:10" ht="13.8">
      <c r="B277" s="988">
        <v>17868</v>
      </c>
      <c r="C277" s="987" t="s">
        <v>4626</v>
      </c>
      <c r="F277" s="990">
        <v>3.4599999999999999E-2</v>
      </c>
      <c r="H277" s="986">
        <v>2E-3</v>
      </c>
      <c r="I277" s="986">
        <f t="shared" si="4"/>
        <v>3.2599999999999997E-2</v>
      </c>
      <c r="J277" s="988">
        <v>17868</v>
      </c>
    </row>
    <row r="278" spans="2:10" ht="13.8">
      <c r="B278" s="988">
        <v>17899</v>
      </c>
      <c r="C278" s="987" t="s">
        <v>4626</v>
      </c>
      <c r="F278" s="990">
        <v>3.8999999999999998E-3</v>
      </c>
      <c r="H278" s="986">
        <v>2E-3</v>
      </c>
      <c r="I278" s="986">
        <f t="shared" si="4"/>
        <v>1.8999999999999998E-3</v>
      </c>
      <c r="J278" s="988">
        <v>17899</v>
      </c>
    </row>
    <row r="279" spans="2:10" ht="13.8">
      <c r="B279" s="988">
        <v>17930</v>
      </c>
      <c r="C279" s="987" t="s">
        <v>4626</v>
      </c>
      <c r="F279" s="990">
        <v>-2.9600000000000001E-2</v>
      </c>
      <c r="H279" s="986">
        <v>1.8E-3</v>
      </c>
      <c r="I279" s="986">
        <f t="shared" si="4"/>
        <v>-3.1400000000000004E-2</v>
      </c>
      <c r="J279" s="988">
        <v>17930</v>
      </c>
    </row>
    <row r="280" spans="2:10" ht="13.8">
      <c r="B280" s="988">
        <v>17958</v>
      </c>
      <c r="C280" s="987" t="s">
        <v>4626</v>
      </c>
      <c r="F280" s="990">
        <v>3.2800000000000003E-2</v>
      </c>
      <c r="H280" s="986">
        <v>1.9E-3</v>
      </c>
      <c r="I280" s="986">
        <f t="shared" si="4"/>
        <v>3.0900000000000004E-2</v>
      </c>
      <c r="J280" s="988">
        <v>17958</v>
      </c>
    </row>
    <row r="281" spans="2:10" ht="13.8">
      <c r="B281" s="988">
        <v>17989</v>
      </c>
      <c r="C281" s="987" t="s">
        <v>4626</v>
      </c>
      <c r="F281" s="990">
        <v>-1.7899999999999999E-2</v>
      </c>
      <c r="H281" s="986">
        <v>1.8E-3</v>
      </c>
      <c r="I281" s="986">
        <f t="shared" si="4"/>
        <v>-1.9699999999999999E-2</v>
      </c>
      <c r="J281" s="988">
        <v>17989</v>
      </c>
    </row>
    <row r="282" spans="2:10" ht="13.8">
      <c r="B282" s="988">
        <v>18019</v>
      </c>
      <c r="C282" s="987" t="s">
        <v>4626</v>
      </c>
      <c r="F282" s="990">
        <v>-2.58E-2</v>
      </c>
      <c r="H282" s="986">
        <v>2E-3</v>
      </c>
      <c r="I282" s="986">
        <f t="shared" si="4"/>
        <v>-2.7799999999999998E-2</v>
      </c>
      <c r="J282" s="988">
        <v>18019</v>
      </c>
    </row>
    <row r="283" spans="2:10" ht="13.8">
      <c r="B283" s="988">
        <v>18050</v>
      </c>
      <c r="C283" s="987" t="s">
        <v>4626</v>
      </c>
      <c r="F283" s="990">
        <v>1.4E-3</v>
      </c>
      <c r="H283" s="986">
        <v>1.9E-3</v>
      </c>
      <c r="I283" s="986">
        <f t="shared" si="4"/>
        <v>-5.0000000000000001E-4</v>
      </c>
      <c r="J283" s="988">
        <v>18050</v>
      </c>
    </row>
    <row r="284" spans="2:10" ht="13.8">
      <c r="B284" s="988">
        <v>18080</v>
      </c>
      <c r="C284" s="987" t="s">
        <v>4626</v>
      </c>
      <c r="F284" s="990">
        <v>6.5000000000000002E-2</v>
      </c>
      <c r="H284" s="986">
        <v>1.6999999999999999E-3</v>
      </c>
      <c r="I284" s="986">
        <f t="shared" si="4"/>
        <v>6.3300000000000009E-2</v>
      </c>
      <c r="J284" s="988">
        <v>18080</v>
      </c>
    </row>
    <row r="285" spans="2:10" ht="13.8">
      <c r="B285" s="988">
        <v>18111</v>
      </c>
      <c r="C285" s="987" t="s">
        <v>4626</v>
      </c>
      <c r="F285" s="990">
        <v>2.1899999999999999E-2</v>
      </c>
      <c r="H285" s="986">
        <v>1.9E-3</v>
      </c>
      <c r="I285" s="986">
        <f t="shared" si="4"/>
        <v>0.02</v>
      </c>
      <c r="J285" s="988">
        <v>18111</v>
      </c>
    </row>
    <row r="286" spans="2:10" ht="13.8">
      <c r="B286" s="988">
        <v>18142</v>
      </c>
      <c r="C286" s="987" t="s">
        <v>4626</v>
      </c>
      <c r="F286" s="990">
        <v>2.63E-2</v>
      </c>
      <c r="H286" s="986">
        <v>1.6999999999999999E-3</v>
      </c>
      <c r="I286" s="986">
        <f t="shared" si="4"/>
        <v>2.46E-2</v>
      </c>
      <c r="J286" s="988">
        <v>18142</v>
      </c>
    </row>
    <row r="287" spans="2:10" ht="13.8">
      <c r="B287" s="988">
        <v>18172</v>
      </c>
      <c r="C287" s="987" t="s">
        <v>4626</v>
      </c>
      <c r="F287" s="990">
        <v>3.4000000000000002E-2</v>
      </c>
      <c r="H287" s="986">
        <v>1.8E-3</v>
      </c>
      <c r="I287" s="986">
        <f t="shared" si="4"/>
        <v>3.2199999999999999E-2</v>
      </c>
      <c r="J287" s="988">
        <v>18172</v>
      </c>
    </row>
    <row r="288" spans="2:10" ht="13.8">
      <c r="B288" s="988">
        <v>18203</v>
      </c>
      <c r="C288" s="987" t="s">
        <v>4626</v>
      </c>
      <c r="F288" s="990">
        <v>1.7500000000000002E-2</v>
      </c>
      <c r="H288" s="986">
        <v>1.6999999999999999E-3</v>
      </c>
      <c r="I288" s="986">
        <f t="shared" si="4"/>
        <v>1.5800000000000002E-2</v>
      </c>
      <c r="J288" s="988">
        <v>18203</v>
      </c>
    </row>
    <row r="289" spans="2:10" ht="13.8">
      <c r="B289" s="988">
        <v>18233</v>
      </c>
      <c r="C289" s="987" t="s">
        <v>4626</v>
      </c>
      <c r="F289" s="990">
        <v>4.8599999999999997E-2</v>
      </c>
      <c r="H289" s="986">
        <v>1.6999999999999999E-3</v>
      </c>
      <c r="I289" s="986">
        <f t="shared" si="4"/>
        <v>4.6899999999999997E-2</v>
      </c>
      <c r="J289" s="988">
        <v>18233</v>
      </c>
    </row>
    <row r="290" spans="2:10" ht="13.8">
      <c r="B290" s="988">
        <v>18264</v>
      </c>
      <c r="C290" s="987" t="s">
        <v>4626</v>
      </c>
      <c r="F290" s="990">
        <v>1.9699999999999999E-2</v>
      </c>
      <c r="H290" s="986">
        <v>1.8E-3</v>
      </c>
      <c r="I290" s="986">
        <f t="shared" si="4"/>
        <v>1.7899999999999999E-2</v>
      </c>
      <c r="J290" s="988">
        <v>18264</v>
      </c>
    </row>
    <row r="291" spans="2:10" ht="13.8">
      <c r="B291" s="988">
        <v>18295</v>
      </c>
      <c r="C291" s="987" t="s">
        <v>4626</v>
      </c>
      <c r="F291" s="990">
        <v>1.9900000000000001E-2</v>
      </c>
      <c r="H291" s="986">
        <v>1.6000000000000001E-3</v>
      </c>
      <c r="I291" s="986">
        <f t="shared" si="4"/>
        <v>1.83E-2</v>
      </c>
      <c r="J291" s="988">
        <v>18295</v>
      </c>
    </row>
    <row r="292" spans="2:10" ht="13.8">
      <c r="B292" s="988">
        <v>18323</v>
      </c>
      <c r="C292" s="987" t="s">
        <v>4626</v>
      </c>
      <c r="F292" s="990">
        <v>7.0000000000000001E-3</v>
      </c>
      <c r="H292" s="986">
        <v>1.8E-3</v>
      </c>
      <c r="I292" s="986">
        <f t="shared" si="4"/>
        <v>5.1999999999999998E-3</v>
      </c>
      <c r="J292" s="988">
        <v>18323</v>
      </c>
    </row>
    <row r="293" spans="2:10" ht="13.8">
      <c r="B293" s="988">
        <v>18354</v>
      </c>
      <c r="C293" s="987" t="s">
        <v>4626</v>
      </c>
      <c r="F293" s="990">
        <v>4.8599999999999997E-2</v>
      </c>
      <c r="H293" s="986">
        <v>1.6000000000000001E-3</v>
      </c>
      <c r="I293" s="986">
        <f t="shared" si="4"/>
        <v>4.7E-2</v>
      </c>
      <c r="J293" s="988">
        <v>18354</v>
      </c>
    </row>
    <row r="294" spans="2:10" ht="13.8">
      <c r="B294" s="988">
        <v>18384</v>
      </c>
      <c r="C294" s="987" t="s">
        <v>4626</v>
      </c>
      <c r="F294" s="990">
        <v>5.0900000000000001E-2</v>
      </c>
      <c r="H294" s="986">
        <v>1.9E-3</v>
      </c>
      <c r="I294" s="986">
        <f t="shared" si="4"/>
        <v>4.9000000000000002E-2</v>
      </c>
      <c r="J294" s="988">
        <v>18384</v>
      </c>
    </row>
    <row r="295" spans="2:10" ht="13.8">
      <c r="B295" s="988">
        <v>18415</v>
      </c>
      <c r="C295" s="987" t="s">
        <v>4626</v>
      </c>
      <c r="F295" s="990">
        <v>-5.4800000000000001E-2</v>
      </c>
      <c r="H295" s="986">
        <v>1.6999999999999999E-3</v>
      </c>
      <c r="I295" s="986">
        <f t="shared" si="4"/>
        <v>-5.6500000000000002E-2</v>
      </c>
      <c r="J295" s="988">
        <v>18415</v>
      </c>
    </row>
    <row r="296" spans="2:10" ht="13.8">
      <c r="B296" s="988">
        <v>18445</v>
      </c>
      <c r="C296" s="987" t="s">
        <v>4626</v>
      </c>
      <c r="F296" s="990">
        <v>1.1900000000000001E-2</v>
      </c>
      <c r="H296" s="986">
        <v>1.8E-3</v>
      </c>
      <c r="I296" s="986">
        <f t="shared" si="4"/>
        <v>1.0100000000000001E-2</v>
      </c>
      <c r="J296" s="988">
        <v>18445</v>
      </c>
    </row>
    <row r="297" spans="2:10" ht="13.8">
      <c r="B297" s="988">
        <v>18476</v>
      </c>
      <c r="C297" s="987" t="s">
        <v>4626</v>
      </c>
      <c r="F297" s="990">
        <v>4.4299999999999999E-2</v>
      </c>
      <c r="H297" s="986">
        <v>1.8E-3</v>
      </c>
      <c r="I297" s="986">
        <f t="shared" si="4"/>
        <v>4.2499999999999996E-2</v>
      </c>
      <c r="J297" s="988">
        <v>18476</v>
      </c>
    </row>
    <row r="298" spans="2:10" ht="13.8">
      <c r="B298" s="988">
        <v>18507</v>
      </c>
      <c r="C298" s="987" t="s">
        <v>4626</v>
      </c>
      <c r="F298" s="990">
        <v>5.9200000000000003E-2</v>
      </c>
      <c r="H298" s="986">
        <v>1.6999999999999999E-3</v>
      </c>
      <c r="I298" s="986">
        <f t="shared" si="4"/>
        <v>5.7500000000000002E-2</v>
      </c>
      <c r="J298" s="988">
        <v>18507</v>
      </c>
    </row>
    <row r="299" spans="2:10" ht="13.8">
      <c r="B299" s="988">
        <v>18537</v>
      </c>
      <c r="C299" s="987" t="s">
        <v>4626</v>
      </c>
      <c r="F299" s="990">
        <v>9.2999999999999992E-3</v>
      </c>
      <c r="H299" s="986">
        <v>1.9E-3</v>
      </c>
      <c r="I299" s="986">
        <f t="shared" si="4"/>
        <v>7.3999999999999995E-3</v>
      </c>
      <c r="J299" s="988">
        <v>18537</v>
      </c>
    </row>
    <row r="300" spans="2:10" ht="13.8">
      <c r="B300" s="988">
        <v>18568</v>
      </c>
      <c r="C300" s="987" t="s">
        <v>4626</v>
      </c>
      <c r="F300" s="990">
        <v>1.6899999999999998E-2</v>
      </c>
      <c r="H300" s="986">
        <v>1.8E-3</v>
      </c>
      <c r="I300" s="986">
        <f t="shared" si="4"/>
        <v>1.5099999999999999E-2</v>
      </c>
      <c r="J300" s="988">
        <v>18568</v>
      </c>
    </row>
    <row r="301" spans="2:10" ht="13.8">
      <c r="B301" s="988">
        <v>18598</v>
      </c>
      <c r="C301" s="987" t="s">
        <v>4626</v>
      </c>
      <c r="F301" s="990">
        <v>5.1299999999999998E-2</v>
      </c>
      <c r="H301" s="986">
        <v>1.8E-3</v>
      </c>
      <c r="I301" s="986">
        <f t="shared" si="4"/>
        <v>4.9499999999999995E-2</v>
      </c>
      <c r="J301" s="988">
        <v>18598</v>
      </c>
    </row>
    <row r="302" spans="2:10" ht="13.8">
      <c r="B302" s="988">
        <v>18629</v>
      </c>
      <c r="C302" s="987" t="s">
        <v>4626</v>
      </c>
      <c r="F302" s="990">
        <v>6.3700000000000007E-2</v>
      </c>
      <c r="H302" s="986">
        <v>2E-3</v>
      </c>
      <c r="I302" s="986">
        <f t="shared" si="4"/>
        <v>6.1700000000000005E-2</v>
      </c>
      <c r="J302" s="988">
        <v>18629</v>
      </c>
    </row>
    <row r="303" spans="2:10" ht="13.8">
      <c r="B303" s="988">
        <v>18660</v>
      </c>
      <c r="C303" s="987" t="s">
        <v>4626</v>
      </c>
      <c r="F303" s="990">
        <v>1.5699999999999999E-2</v>
      </c>
      <c r="H303" s="986">
        <v>1.6999999999999999E-3</v>
      </c>
      <c r="I303" s="986">
        <f t="shared" si="4"/>
        <v>1.3999999999999999E-2</v>
      </c>
      <c r="J303" s="988">
        <v>18660</v>
      </c>
    </row>
    <row r="304" spans="2:10" ht="13.8">
      <c r="B304" s="988">
        <v>18688</v>
      </c>
      <c r="C304" s="987" t="s">
        <v>4626</v>
      </c>
      <c r="F304" s="990">
        <v>-1.5599999999999999E-2</v>
      </c>
      <c r="H304" s="986">
        <v>1.9E-3</v>
      </c>
      <c r="I304" s="986">
        <f t="shared" si="4"/>
        <v>-1.7499999999999998E-2</v>
      </c>
      <c r="J304" s="988">
        <v>18688</v>
      </c>
    </row>
    <row r="305" spans="2:10" ht="13.8">
      <c r="B305" s="988">
        <v>18719</v>
      </c>
      <c r="C305" s="987" t="s">
        <v>4626</v>
      </c>
      <c r="F305" s="990">
        <v>5.0900000000000001E-2</v>
      </c>
      <c r="H305" s="986">
        <v>2E-3</v>
      </c>
      <c r="I305" s="986">
        <f t="shared" si="4"/>
        <v>4.8899999999999999E-2</v>
      </c>
      <c r="J305" s="988">
        <v>18719</v>
      </c>
    </row>
    <row r="306" spans="2:10" ht="13.8">
      <c r="B306" s="988">
        <v>18749</v>
      </c>
      <c r="C306" s="987" t="s">
        <v>4626</v>
      </c>
      <c r="F306" s="990">
        <v>-2.9899999999999999E-2</v>
      </c>
      <c r="H306" s="986">
        <v>2.0999999999999999E-3</v>
      </c>
      <c r="I306" s="986">
        <f t="shared" si="4"/>
        <v>-3.2000000000000001E-2</v>
      </c>
      <c r="J306" s="988">
        <v>18749</v>
      </c>
    </row>
    <row r="307" spans="2:10" ht="13.8">
      <c r="B307" s="988">
        <v>18780</v>
      </c>
      <c r="C307" s="987" t="s">
        <v>4626</v>
      </c>
      <c r="F307" s="990">
        <v>-2.2800000000000001E-2</v>
      </c>
      <c r="H307" s="986">
        <v>2E-3</v>
      </c>
      <c r="I307" s="986">
        <f t="shared" si="4"/>
        <v>-2.4800000000000003E-2</v>
      </c>
      <c r="J307" s="988">
        <v>18780</v>
      </c>
    </row>
    <row r="308" spans="2:10" ht="13.8">
      <c r="B308" s="988">
        <v>18810</v>
      </c>
      <c r="C308" s="987" t="s">
        <v>4626</v>
      </c>
      <c r="F308" s="990">
        <v>7.1099999999999997E-2</v>
      </c>
      <c r="H308" s="986">
        <v>2.3E-3</v>
      </c>
      <c r="I308" s="986">
        <f t="shared" si="4"/>
        <v>6.88E-2</v>
      </c>
      <c r="J308" s="988">
        <v>18810</v>
      </c>
    </row>
    <row r="309" spans="2:10" ht="13.8">
      <c r="B309" s="988">
        <v>18841</v>
      </c>
      <c r="C309" s="987" t="s">
        <v>4626</v>
      </c>
      <c r="F309" s="990">
        <v>4.7800000000000002E-2</v>
      </c>
      <c r="H309" s="986">
        <v>2.0999999999999999E-3</v>
      </c>
      <c r="I309" s="986">
        <f t="shared" si="4"/>
        <v>4.5700000000000005E-2</v>
      </c>
      <c r="J309" s="988">
        <v>18841</v>
      </c>
    </row>
    <row r="310" spans="2:10" ht="13.8">
      <c r="B310" s="988">
        <v>18872</v>
      </c>
      <c r="C310" s="987" t="s">
        <v>4626</v>
      </c>
      <c r="F310" s="990">
        <v>1.2999999999999999E-3</v>
      </c>
      <c r="H310" s="986">
        <v>1.9E-3</v>
      </c>
      <c r="I310" s="986">
        <f t="shared" si="4"/>
        <v>-6.0000000000000006E-4</v>
      </c>
      <c r="J310" s="988">
        <v>18872</v>
      </c>
    </row>
    <row r="311" spans="2:10" ht="13.8">
      <c r="B311" s="988">
        <v>18902</v>
      </c>
      <c r="C311" s="987" t="s">
        <v>4626</v>
      </c>
      <c r="F311" s="990">
        <v>-1.03E-2</v>
      </c>
      <c r="H311" s="986">
        <v>2.3E-3</v>
      </c>
      <c r="I311" s="986">
        <f t="shared" si="4"/>
        <v>-1.26E-2</v>
      </c>
      <c r="J311" s="988">
        <v>18902</v>
      </c>
    </row>
    <row r="312" spans="2:10" ht="13.8">
      <c r="B312" s="988">
        <v>18933</v>
      </c>
      <c r="C312" s="987" t="s">
        <v>4626</v>
      </c>
      <c r="F312" s="990">
        <v>9.5999999999999992E-3</v>
      </c>
      <c r="H312" s="986">
        <v>2.0999999999999999E-3</v>
      </c>
      <c r="I312" s="986">
        <f t="shared" si="4"/>
        <v>7.4999999999999997E-3</v>
      </c>
      <c r="J312" s="988">
        <v>18933</v>
      </c>
    </row>
    <row r="313" spans="2:10" ht="13.8">
      <c r="B313" s="988">
        <v>18963</v>
      </c>
      <c r="C313" s="987" t="s">
        <v>4626</v>
      </c>
      <c r="F313" s="990">
        <v>4.24E-2</v>
      </c>
      <c r="H313" s="986">
        <v>2.2000000000000001E-3</v>
      </c>
      <c r="I313" s="986">
        <f t="shared" si="4"/>
        <v>4.02E-2</v>
      </c>
      <c r="J313" s="988">
        <v>18963</v>
      </c>
    </row>
    <row r="314" spans="2:10" ht="13.8">
      <c r="B314" s="988">
        <v>18994</v>
      </c>
      <c r="C314" s="987" t="s">
        <v>4626</v>
      </c>
      <c r="F314" s="990">
        <v>1.8100000000000002E-2</v>
      </c>
      <c r="H314" s="986">
        <v>2.3E-3</v>
      </c>
      <c r="I314" s="986">
        <f t="shared" si="4"/>
        <v>1.5800000000000002E-2</v>
      </c>
      <c r="J314" s="988">
        <v>18994</v>
      </c>
    </row>
    <row r="315" spans="2:10" ht="13.8">
      <c r="B315" s="988">
        <v>19025</v>
      </c>
      <c r="C315" s="987" t="s">
        <v>4626</v>
      </c>
      <c r="F315" s="990">
        <v>-2.8199999999999999E-2</v>
      </c>
      <c r="H315" s="986">
        <v>2.0999999999999999E-3</v>
      </c>
      <c r="I315" s="986">
        <f t="shared" si="4"/>
        <v>-3.0300000000000001E-2</v>
      </c>
      <c r="J315" s="988">
        <v>19025</v>
      </c>
    </row>
    <row r="316" spans="2:10" ht="13.8">
      <c r="B316" s="988">
        <v>19054</v>
      </c>
      <c r="C316" s="987" t="s">
        <v>4626</v>
      </c>
      <c r="F316" s="990">
        <v>5.0299999999999997E-2</v>
      </c>
      <c r="H316" s="986">
        <v>2.3E-3</v>
      </c>
      <c r="I316" s="986">
        <f t="shared" si="4"/>
        <v>4.8000000000000001E-2</v>
      </c>
      <c r="J316" s="988">
        <v>19054</v>
      </c>
    </row>
    <row r="317" spans="2:10" ht="13.8">
      <c r="B317" s="988">
        <v>19085</v>
      </c>
      <c r="C317" s="987" t="s">
        <v>4626</v>
      </c>
      <c r="F317" s="990">
        <v>-4.02E-2</v>
      </c>
      <c r="H317" s="986">
        <v>2.2000000000000001E-3</v>
      </c>
      <c r="I317" s="986">
        <f t="shared" si="4"/>
        <v>-4.24E-2</v>
      </c>
      <c r="J317" s="988">
        <v>19085</v>
      </c>
    </row>
    <row r="318" spans="2:10" ht="13.8">
      <c r="B318" s="988">
        <v>19115</v>
      </c>
      <c r="C318" s="987" t="s">
        <v>4626</v>
      </c>
      <c r="F318" s="990">
        <v>3.4299999999999997E-2</v>
      </c>
      <c r="H318" s="986">
        <v>2E-3</v>
      </c>
      <c r="I318" s="986">
        <f t="shared" si="4"/>
        <v>3.2299999999999995E-2</v>
      </c>
      <c r="J318" s="988">
        <v>19115</v>
      </c>
    </row>
    <row r="319" spans="2:10" ht="13.8">
      <c r="B319" s="988">
        <v>19146</v>
      </c>
      <c r="C319" s="987" t="s">
        <v>4626</v>
      </c>
      <c r="F319" s="990">
        <v>4.9000000000000002E-2</v>
      </c>
      <c r="H319" s="986">
        <v>2.2000000000000001E-3</v>
      </c>
      <c r="I319" s="986">
        <f t="shared" si="4"/>
        <v>4.6800000000000001E-2</v>
      </c>
      <c r="J319" s="988">
        <v>19146</v>
      </c>
    </row>
    <row r="320" spans="2:10" ht="13.8">
      <c r="B320" s="988">
        <v>19176</v>
      </c>
      <c r="C320" s="987" t="s">
        <v>4626</v>
      </c>
      <c r="F320" s="990">
        <v>1.9599999999999999E-2</v>
      </c>
      <c r="H320" s="986">
        <v>2.2000000000000001E-3</v>
      </c>
      <c r="I320" s="986">
        <f t="shared" si="4"/>
        <v>1.7399999999999999E-2</v>
      </c>
      <c r="J320" s="988">
        <v>19176</v>
      </c>
    </row>
    <row r="321" spans="2:10" ht="13.8">
      <c r="B321" s="988">
        <v>19207</v>
      </c>
      <c r="C321" s="987" t="s">
        <v>4626</v>
      </c>
      <c r="F321" s="990">
        <v>-7.1000000000000004E-3</v>
      </c>
      <c r="H321" s="986">
        <v>2.0999999999999999E-3</v>
      </c>
      <c r="I321" s="986">
        <f t="shared" si="4"/>
        <v>-9.1999999999999998E-3</v>
      </c>
      <c r="J321" s="988">
        <v>19207</v>
      </c>
    </row>
    <row r="322" spans="2:10" ht="13.8">
      <c r="B322" s="988">
        <v>19238</v>
      </c>
      <c r="C322" s="987" t="s">
        <v>4626</v>
      </c>
      <c r="F322" s="990">
        <v>-1.7600000000000001E-2</v>
      </c>
      <c r="H322" s="986">
        <v>2.3E-3</v>
      </c>
      <c r="I322" s="986">
        <f t="shared" ref="I322:I385" si="5">F322-H322</f>
        <v>-1.9900000000000001E-2</v>
      </c>
      <c r="J322" s="988">
        <v>19238</v>
      </c>
    </row>
    <row r="323" spans="2:10" ht="13.8">
      <c r="B323" s="988">
        <v>19268</v>
      </c>
      <c r="C323" s="987" t="s">
        <v>4626</v>
      </c>
      <c r="F323" s="990">
        <v>2E-3</v>
      </c>
      <c r="H323" s="986">
        <v>2.3E-3</v>
      </c>
      <c r="I323" s="986">
        <f t="shared" si="5"/>
        <v>-2.9999999999999992E-4</v>
      </c>
      <c r="J323" s="988">
        <v>19268</v>
      </c>
    </row>
    <row r="324" spans="2:10" ht="13.8">
      <c r="B324" s="988">
        <v>19299</v>
      </c>
      <c r="C324" s="987" t="s">
        <v>4626</v>
      </c>
      <c r="F324" s="990">
        <v>5.7099999999999998E-2</v>
      </c>
      <c r="H324" s="986">
        <v>2.0999999999999999E-3</v>
      </c>
      <c r="I324" s="986">
        <f t="shared" si="5"/>
        <v>5.5E-2</v>
      </c>
      <c r="J324" s="988">
        <v>19299</v>
      </c>
    </row>
    <row r="325" spans="2:10" ht="13.8">
      <c r="B325" s="988">
        <v>19329</v>
      </c>
      <c r="C325" s="987" t="s">
        <v>4626</v>
      </c>
      <c r="F325" s="990">
        <v>3.8199999999999998E-2</v>
      </c>
      <c r="H325" s="986">
        <v>2.3999999999999998E-3</v>
      </c>
      <c r="I325" s="986">
        <f t="shared" si="5"/>
        <v>3.5799999999999998E-2</v>
      </c>
      <c r="J325" s="988">
        <v>19329</v>
      </c>
    </row>
    <row r="326" spans="2:10" ht="13.8">
      <c r="B326" s="988">
        <v>19360</v>
      </c>
      <c r="C326" s="987" t="s">
        <v>4626</v>
      </c>
      <c r="F326" s="990">
        <v>-4.8999999999999998E-3</v>
      </c>
      <c r="H326" s="986">
        <v>2.3E-3</v>
      </c>
      <c r="I326" s="986">
        <f t="shared" si="5"/>
        <v>-7.1999999999999998E-3</v>
      </c>
      <c r="J326" s="988">
        <v>19360</v>
      </c>
    </row>
    <row r="327" spans="2:10" ht="13.8">
      <c r="B327" s="988">
        <v>19391</v>
      </c>
      <c r="C327" s="987" t="s">
        <v>4626</v>
      </c>
      <c r="F327" s="990">
        <v>-1.06E-2</v>
      </c>
      <c r="H327" s="986">
        <v>2.0999999999999999E-3</v>
      </c>
      <c r="I327" s="986">
        <f t="shared" si="5"/>
        <v>-1.2699999999999999E-2</v>
      </c>
      <c r="J327" s="988">
        <v>19391</v>
      </c>
    </row>
    <row r="328" spans="2:10" ht="13.8">
      <c r="B328" s="988">
        <v>19419</v>
      </c>
      <c r="C328" s="987" t="s">
        <v>4626</v>
      </c>
      <c r="F328" s="990">
        <v>-2.12E-2</v>
      </c>
      <c r="H328" s="986">
        <v>2.5000000000000001E-3</v>
      </c>
      <c r="I328" s="986">
        <f t="shared" si="5"/>
        <v>-2.3699999999999999E-2</v>
      </c>
      <c r="J328" s="988">
        <v>19419</v>
      </c>
    </row>
    <row r="329" spans="2:10" ht="13.8">
      <c r="B329" s="988">
        <v>19450</v>
      </c>
      <c r="C329" s="987" t="s">
        <v>4626</v>
      </c>
      <c r="F329" s="990">
        <v>-2.3699999999999999E-2</v>
      </c>
      <c r="H329" s="986">
        <v>2.3999999999999998E-3</v>
      </c>
      <c r="I329" s="986">
        <f t="shared" si="5"/>
        <v>-2.6099999999999998E-2</v>
      </c>
      <c r="J329" s="988">
        <v>19450</v>
      </c>
    </row>
    <row r="330" spans="2:10" ht="13.8">
      <c r="B330" s="988">
        <v>19480</v>
      </c>
      <c r="C330" s="987" t="s">
        <v>4626</v>
      </c>
      <c r="F330" s="990">
        <v>7.7000000000000002E-3</v>
      </c>
      <c r="H330" s="986">
        <v>2.3999999999999998E-3</v>
      </c>
      <c r="I330" s="986">
        <f t="shared" si="5"/>
        <v>5.3000000000000009E-3</v>
      </c>
      <c r="J330" s="988">
        <v>19480</v>
      </c>
    </row>
    <row r="331" spans="2:10" ht="13.8">
      <c r="B331" s="988">
        <v>19511</v>
      </c>
      <c r="C331" s="987" t="s">
        <v>4626</v>
      </c>
      <c r="F331" s="990">
        <v>-1.34E-2</v>
      </c>
      <c r="H331" s="986">
        <v>2.7000000000000001E-3</v>
      </c>
      <c r="I331" s="986">
        <f t="shared" si="5"/>
        <v>-1.61E-2</v>
      </c>
      <c r="J331" s="988">
        <v>19511</v>
      </c>
    </row>
    <row r="332" spans="2:10" ht="13.8">
      <c r="B332" s="988">
        <v>19541</v>
      </c>
      <c r="C332" s="987" t="s">
        <v>4626</v>
      </c>
      <c r="F332" s="990">
        <v>2.7300000000000001E-2</v>
      </c>
      <c r="H332" s="986">
        <v>2.5000000000000001E-3</v>
      </c>
      <c r="I332" s="986">
        <f t="shared" si="5"/>
        <v>2.4800000000000003E-2</v>
      </c>
      <c r="J332" s="988">
        <v>19541</v>
      </c>
    </row>
    <row r="333" spans="2:10" ht="13.8">
      <c r="B333" s="988">
        <v>19572</v>
      </c>
      <c r="C333" s="987" t="s">
        <v>4626</v>
      </c>
      <c r="F333" s="990">
        <v>-5.0099999999999999E-2</v>
      </c>
      <c r="H333" s="986">
        <v>2.5000000000000001E-3</v>
      </c>
      <c r="I333" s="986">
        <f t="shared" si="5"/>
        <v>-5.2600000000000001E-2</v>
      </c>
      <c r="J333" s="988">
        <v>19572</v>
      </c>
    </row>
    <row r="334" spans="2:10" ht="13.8">
      <c r="B334" s="988">
        <v>19603</v>
      </c>
      <c r="C334" s="987" t="s">
        <v>4626</v>
      </c>
      <c r="F334" s="990">
        <v>3.3999999999999998E-3</v>
      </c>
      <c r="H334" s="986">
        <v>2.5000000000000001E-3</v>
      </c>
      <c r="I334" s="986">
        <f t="shared" si="5"/>
        <v>8.9999999999999976E-4</v>
      </c>
      <c r="J334" s="988">
        <v>19603</v>
      </c>
    </row>
    <row r="335" spans="2:10" ht="13.8">
      <c r="B335" s="988">
        <v>19633</v>
      </c>
      <c r="C335" s="987" t="s">
        <v>4626</v>
      </c>
      <c r="F335" s="990">
        <v>5.3999999999999999E-2</v>
      </c>
      <c r="H335" s="986">
        <v>2.3E-3</v>
      </c>
      <c r="I335" s="986">
        <f t="shared" si="5"/>
        <v>5.1699999999999996E-2</v>
      </c>
      <c r="J335" s="988">
        <v>19633</v>
      </c>
    </row>
    <row r="336" spans="2:10" ht="13.8">
      <c r="B336" s="988">
        <v>19664</v>
      </c>
      <c r="C336" s="987" t="s">
        <v>4626</v>
      </c>
      <c r="F336" s="990">
        <v>2.0400000000000001E-2</v>
      </c>
      <c r="H336" s="986">
        <v>2.3999999999999998E-3</v>
      </c>
      <c r="I336" s="986">
        <f t="shared" si="5"/>
        <v>1.8000000000000002E-2</v>
      </c>
      <c r="J336" s="988">
        <v>19664</v>
      </c>
    </row>
    <row r="337" spans="2:10" ht="13.8">
      <c r="B337" s="988">
        <v>19694</v>
      </c>
      <c r="C337" s="987" t="s">
        <v>4626</v>
      </c>
      <c r="F337" s="990">
        <v>5.1999999999999998E-3</v>
      </c>
      <c r="H337" s="986">
        <v>2.3999999999999998E-3</v>
      </c>
      <c r="I337" s="986">
        <f t="shared" si="5"/>
        <v>2.8E-3</v>
      </c>
      <c r="J337" s="988">
        <v>19694</v>
      </c>
    </row>
    <row r="338" spans="2:10" ht="13.8">
      <c r="B338" s="988">
        <v>19725</v>
      </c>
      <c r="C338" s="987" t="s">
        <v>4626</v>
      </c>
      <c r="F338" s="990">
        <v>5.3600000000000002E-2</v>
      </c>
      <c r="H338" s="986">
        <v>2.3E-3</v>
      </c>
      <c r="I338" s="986">
        <f t="shared" si="5"/>
        <v>5.1299999999999998E-2</v>
      </c>
      <c r="J338" s="988">
        <v>19725</v>
      </c>
    </row>
    <row r="339" spans="2:10" ht="13.8">
      <c r="B339" s="988">
        <v>19756</v>
      </c>
      <c r="C339" s="987" t="s">
        <v>4626</v>
      </c>
      <c r="F339" s="990">
        <v>1.11E-2</v>
      </c>
      <c r="H339" s="986">
        <v>2.2000000000000001E-3</v>
      </c>
      <c r="I339" s="986">
        <f t="shared" si="5"/>
        <v>8.8999999999999999E-3</v>
      </c>
      <c r="J339" s="988">
        <v>19756</v>
      </c>
    </row>
    <row r="340" spans="2:10" ht="13.8">
      <c r="B340" s="988">
        <v>19784</v>
      </c>
      <c r="C340" s="987" t="s">
        <v>4626</v>
      </c>
      <c r="F340" s="990">
        <v>3.2500000000000001E-2</v>
      </c>
      <c r="H340" s="986">
        <v>2.5000000000000001E-3</v>
      </c>
      <c r="I340" s="986">
        <f t="shared" si="5"/>
        <v>3.0000000000000002E-2</v>
      </c>
      <c r="J340" s="988">
        <v>19784</v>
      </c>
    </row>
    <row r="341" spans="2:10" ht="13.8">
      <c r="B341" s="988">
        <v>19815</v>
      </c>
      <c r="C341" s="987" t="s">
        <v>4626</v>
      </c>
      <c r="F341" s="990">
        <v>5.16E-2</v>
      </c>
      <c r="H341" s="986">
        <v>2.2000000000000001E-3</v>
      </c>
      <c r="I341" s="986">
        <f t="shared" si="5"/>
        <v>4.9399999999999999E-2</v>
      </c>
      <c r="J341" s="988">
        <v>19815</v>
      </c>
    </row>
    <row r="342" spans="2:10" ht="13.8">
      <c r="B342" s="988">
        <v>19845</v>
      </c>
      <c r="C342" s="987" t="s">
        <v>4626</v>
      </c>
      <c r="F342" s="990">
        <v>4.1799999999999997E-2</v>
      </c>
      <c r="H342" s="986">
        <v>2E-3</v>
      </c>
      <c r="I342" s="986">
        <f t="shared" si="5"/>
        <v>3.9799999999999995E-2</v>
      </c>
      <c r="J342" s="988">
        <v>19845</v>
      </c>
    </row>
    <row r="343" spans="2:10" ht="13.8">
      <c r="B343" s="988">
        <v>19876</v>
      </c>
      <c r="C343" s="987" t="s">
        <v>4626</v>
      </c>
      <c r="F343" s="990">
        <v>3.0999999999999999E-3</v>
      </c>
      <c r="H343" s="986">
        <v>2.5000000000000001E-3</v>
      </c>
      <c r="I343" s="986">
        <f t="shared" si="5"/>
        <v>5.9999999999999984E-4</v>
      </c>
      <c r="J343" s="988">
        <v>19876</v>
      </c>
    </row>
    <row r="344" spans="2:10" ht="13.8">
      <c r="B344" s="988">
        <v>19906</v>
      </c>
      <c r="C344" s="987" t="s">
        <v>4626</v>
      </c>
      <c r="F344" s="990">
        <v>5.8900000000000001E-2</v>
      </c>
      <c r="H344" s="986">
        <v>2.2000000000000001E-3</v>
      </c>
      <c r="I344" s="986">
        <f t="shared" si="5"/>
        <v>5.67E-2</v>
      </c>
      <c r="J344" s="988">
        <v>19906</v>
      </c>
    </row>
    <row r="345" spans="2:10" ht="13.8">
      <c r="B345" s="988">
        <v>19937</v>
      </c>
      <c r="C345" s="987" t="s">
        <v>4626</v>
      </c>
      <c r="F345" s="990">
        <v>-2.75E-2</v>
      </c>
      <c r="H345" s="986">
        <v>2.3E-3</v>
      </c>
      <c r="I345" s="986">
        <f t="shared" si="5"/>
        <v>-2.98E-2</v>
      </c>
      <c r="J345" s="988">
        <v>19937</v>
      </c>
    </row>
    <row r="346" spans="2:10" ht="13.8">
      <c r="B346" s="988">
        <v>19968</v>
      </c>
      <c r="C346" s="987" t="s">
        <v>4626</v>
      </c>
      <c r="F346" s="990">
        <v>8.5099999999999995E-2</v>
      </c>
      <c r="H346" s="986">
        <v>2.2000000000000001E-3</v>
      </c>
      <c r="I346" s="986">
        <f t="shared" si="5"/>
        <v>8.2900000000000001E-2</v>
      </c>
      <c r="J346" s="988">
        <v>19968</v>
      </c>
    </row>
    <row r="347" spans="2:10" ht="13.8">
      <c r="B347" s="988">
        <v>19998</v>
      </c>
      <c r="C347" s="987" t="s">
        <v>4626</v>
      </c>
      <c r="F347" s="990">
        <v>-1.67E-2</v>
      </c>
      <c r="H347" s="986">
        <v>2.0999999999999999E-3</v>
      </c>
      <c r="I347" s="986">
        <f t="shared" si="5"/>
        <v>-1.8800000000000001E-2</v>
      </c>
      <c r="J347" s="988">
        <v>19998</v>
      </c>
    </row>
    <row r="348" spans="2:10" ht="13.8">
      <c r="B348" s="988">
        <v>20029</v>
      </c>
      <c r="C348" s="987" t="s">
        <v>4626</v>
      </c>
      <c r="F348" s="990">
        <v>9.0899999999999995E-2</v>
      </c>
      <c r="H348" s="986">
        <v>2.3E-3</v>
      </c>
      <c r="I348" s="986">
        <f t="shared" si="5"/>
        <v>8.8599999999999998E-2</v>
      </c>
      <c r="J348" s="988">
        <v>20029</v>
      </c>
    </row>
    <row r="349" spans="2:10" ht="13.8">
      <c r="B349" s="988">
        <v>20059</v>
      </c>
      <c r="C349" s="987" t="s">
        <v>4626</v>
      </c>
      <c r="F349" s="990">
        <v>5.3400000000000003E-2</v>
      </c>
      <c r="H349" s="986">
        <v>2.3E-3</v>
      </c>
      <c r="I349" s="986">
        <f t="shared" si="5"/>
        <v>5.1100000000000007E-2</v>
      </c>
      <c r="J349" s="988">
        <v>20059</v>
      </c>
    </row>
    <row r="350" spans="2:10" ht="13.8">
      <c r="B350" s="988">
        <v>20090</v>
      </c>
      <c r="C350" s="987" t="s">
        <v>4626</v>
      </c>
      <c r="F350" s="990">
        <v>1.9699999999999999E-2</v>
      </c>
      <c r="H350" s="986">
        <v>2.2000000000000001E-3</v>
      </c>
      <c r="I350" s="986">
        <f t="shared" si="5"/>
        <v>1.7499999999999998E-2</v>
      </c>
      <c r="J350" s="988">
        <v>20090</v>
      </c>
    </row>
    <row r="351" spans="2:10" ht="13.8">
      <c r="B351" s="988">
        <v>20121</v>
      </c>
      <c r="C351" s="987" t="s">
        <v>4626</v>
      </c>
      <c r="F351" s="990">
        <v>9.7999999999999997E-3</v>
      </c>
      <c r="H351" s="986">
        <v>2.2000000000000001E-3</v>
      </c>
      <c r="I351" s="986">
        <f t="shared" si="5"/>
        <v>7.5999999999999991E-3</v>
      </c>
      <c r="J351" s="988">
        <v>20121</v>
      </c>
    </row>
    <row r="352" spans="2:10" ht="13.8">
      <c r="B352" s="988">
        <v>20149</v>
      </c>
      <c r="C352" s="987" t="s">
        <v>4626</v>
      </c>
      <c r="F352" s="990">
        <v>-3.0000000000000001E-3</v>
      </c>
      <c r="H352" s="986">
        <v>2.3999999999999998E-3</v>
      </c>
      <c r="I352" s="986">
        <f t="shared" si="5"/>
        <v>-5.4000000000000003E-3</v>
      </c>
      <c r="J352" s="988">
        <v>20149</v>
      </c>
    </row>
    <row r="353" spans="2:10" ht="13.8">
      <c r="B353" s="988">
        <v>20180</v>
      </c>
      <c r="C353" s="987" t="s">
        <v>4626</v>
      </c>
      <c r="F353" s="990">
        <v>3.9600000000000003E-2</v>
      </c>
      <c r="H353" s="986">
        <v>2.2000000000000001E-3</v>
      </c>
      <c r="I353" s="986">
        <f t="shared" si="5"/>
        <v>3.7400000000000003E-2</v>
      </c>
      <c r="J353" s="988">
        <v>20180</v>
      </c>
    </row>
    <row r="354" spans="2:10" ht="13.8">
      <c r="B354" s="988">
        <v>20210</v>
      </c>
      <c r="C354" s="987" t="s">
        <v>4626</v>
      </c>
      <c r="F354" s="990">
        <v>5.4999999999999997E-3</v>
      </c>
      <c r="H354" s="986">
        <v>2.5000000000000001E-3</v>
      </c>
      <c r="I354" s="986">
        <f t="shared" si="5"/>
        <v>2.9999999999999996E-3</v>
      </c>
      <c r="J354" s="988">
        <v>20210</v>
      </c>
    </row>
    <row r="355" spans="2:10" ht="13.8">
      <c r="B355" s="988">
        <v>20241</v>
      </c>
      <c r="C355" s="987" t="s">
        <v>4626</v>
      </c>
      <c r="F355" s="990">
        <v>8.4099999999999994E-2</v>
      </c>
      <c r="H355" s="986">
        <v>2.3E-3</v>
      </c>
      <c r="I355" s="986">
        <f t="shared" si="5"/>
        <v>8.1799999999999998E-2</v>
      </c>
      <c r="J355" s="988">
        <v>20241</v>
      </c>
    </row>
    <row r="356" spans="2:10" ht="13.8">
      <c r="B356" s="988">
        <v>20271</v>
      </c>
      <c r="C356" s="987" t="s">
        <v>4626</v>
      </c>
      <c r="F356" s="990">
        <v>6.2199999999999998E-2</v>
      </c>
      <c r="H356" s="986">
        <v>2.3E-3</v>
      </c>
      <c r="I356" s="986">
        <f t="shared" si="5"/>
        <v>5.9899999999999995E-2</v>
      </c>
      <c r="J356" s="988">
        <v>20271</v>
      </c>
    </row>
    <row r="357" spans="2:10" ht="13.8">
      <c r="B357" s="988">
        <v>20302</v>
      </c>
      <c r="C357" s="987" t="s">
        <v>4626</v>
      </c>
      <c r="F357" s="990">
        <v>-2.5000000000000001E-3</v>
      </c>
      <c r="H357" s="986">
        <v>2.7000000000000001E-3</v>
      </c>
      <c r="I357" s="986">
        <f t="shared" si="5"/>
        <v>-5.1999999999999998E-3</v>
      </c>
      <c r="J357" s="988">
        <v>20302</v>
      </c>
    </row>
    <row r="358" spans="2:10" ht="13.8">
      <c r="B358" s="988">
        <v>20333</v>
      </c>
      <c r="C358" s="987" t="s">
        <v>4626</v>
      </c>
      <c r="F358" s="990">
        <v>1.2999999999999999E-2</v>
      </c>
      <c r="H358" s="986">
        <v>2.3999999999999998E-3</v>
      </c>
      <c r="I358" s="986">
        <f t="shared" si="5"/>
        <v>1.06E-2</v>
      </c>
      <c r="J358" s="988">
        <v>20333</v>
      </c>
    </row>
    <row r="359" spans="2:10" ht="13.8">
      <c r="B359" s="988">
        <v>20363</v>
      </c>
      <c r="C359" s="987" t="s">
        <v>4626</v>
      </c>
      <c r="F359" s="990">
        <v>-2.8400000000000002E-2</v>
      </c>
      <c r="H359" s="986">
        <v>2.5000000000000001E-3</v>
      </c>
      <c r="I359" s="986">
        <f t="shared" si="5"/>
        <v>-3.09E-2</v>
      </c>
      <c r="J359" s="988">
        <v>20363</v>
      </c>
    </row>
    <row r="360" spans="2:10" ht="13.8">
      <c r="B360" s="988">
        <v>20394</v>
      </c>
      <c r="C360" s="987" t="s">
        <v>4626</v>
      </c>
      <c r="F360" s="990">
        <v>8.2699999999999996E-2</v>
      </c>
      <c r="H360" s="986">
        <v>2.3999999999999998E-3</v>
      </c>
      <c r="I360" s="986">
        <f t="shared" si="5"/>
        <v>8.0299999999999996E-2</v>
      </c>
      <c r="J360" s="988">
        <v>20394</v>
      </c>
    </row>
    <row r="361" spans="2:10" ht="13.8">
      <c r="B361" s="988">
        <v>20424</v>
      </c>
      <c r="C361" s="987" t="s">
        <v>4626</v>
      </c>
      <c r="F361" s="990">
        <v>1.5E-3</v>
      </c>
      <c r="H361" s="986">
        <v>2.3999999999999998E-3</v>
      </c>
      <c r="I361" s="986">
        <f t="shared" si="5"/>
        <v>-8.9999999999999976E-4</v>
      </c>
      <c r="J361" s="988">
        <v>20424</v>
      </c>
    </row>
    <row r="362" spans="2:10" ht="13.8">
      <c r="B362" s="988">
        <v>20455</v>
      </c>
      <c r="C362" s="987" t="s">
        <v>4626</v>
      </c>
      <c r="F362" s="990">
        <v>-3.4700000000000002E-2</v>
      </c>
      <c r="H362" s="986">
        <v>2.5000000000000001E-3</v>
      </c>
      <c r="I362" s="986">
        <f t="shared" si="5"/>
        <v>-3.7200000000000004E-2</v>
      </c>
      <c r="J362" s="988">
        <v>20455</v>
      </c>
    </row>
    <row r="363" spans="2:10" ht="13.8">
      <c r="B363" s="988">
        <v>20486</v>
      </c>
      <c r="C363" s="987" t="s">
        <v>4626</v>
      </c>
      <c r="F363" s="990">
        <v>4.1300000000000003E-2</v>
      </c>
      <c r="H363" s="986">
        <v>2.3E-3</v>
      </c>
      <c r="I363" s="986">
        <f t="shared" si="5"/>
        <v>3.9000000000000007E-2</v>
      </c>
      <c r="J363" s="988">
        <v>20486</v>
      </c>
    </row>
    <row r="364" spans="2:10" ht="13.8">
      <c r="B364" s="988">
        <v>20515</v>
      </c>
      <c r="C364" s="987" t="s">
        <v>4626</v>
      </c>
      <c r="F364" s="990">
        <v>7.0999999999999994E-2</v>
      </c>
      <c r="H364" s="986">
        <v>2.3E-3</v>
      </c>
      <c r="I364" s="986">
        <f t="shared" si="5"/>
        <v>6.8699999999999997E-2</v>
      </c>
      <c r="J364" s="988">
        <v>20515</v>
      </c>
    </row>
    <row r="365" spans="2:10" ht="13.8">
      <c r="B365" s="988">
        <v>20546</v>
      </c>
      <c r="C365" s="987" t="s">
        <v>4626</v>
      </c>
      <c r="F365" s="990">
        <v>-4.0000000000000002E-4</v>
      </c>
      <c r="H365" s="986">
        <v>2.5999999999999999E-3</v>
      </c>
      <c r="I365" s="986">
        <f t="shared" si="5"/>
        <v>-3.0000000000000001E-3</v>
      </c>
      <c r="J365" s="988">
        <v>20546</v>
      </c>
    </row>
    <row r="366" spans="2:10" ht="13.8">
      <c r="B366" s="988">
        <v>20576</v>
      </c>
      <c r="C366" s="987" t="s">
        <v>4626</v>
      </c>
      <c r="F366" s="990">
        <v>-5.9299999999999999E-2</v>
      </c>
      <c r="H366" s="986">
        <v>2.5999999999999999E-3</v>
      </c>
      <c r="I366" s="986">
        <f t="shared" si="5"/>
        <v>-6.1899999999999997E-2</v>
      </c>
      <c r="J366" s="988">
        <v>20576</v>
      </c>
    </row>
    <row r="367" spans="2:10" ht="13.8">
      <c r="B367" s="988">
        <v>20607</v>
      </c>
      <c r="C367" s="987" t="s">
        <v>4626</v>
      </c>
      <c r="F367" s="990">
        <v>4.0899999999999999E-2</v>
      </c>
      <c r="H367" s="986">
        <v>2.3E-3</v>
      </c>
      <c r="I367" s="986">
        <f t="shared" si="5"/>
        <v>3.8599999999999995E-2</v>
      </c>
      <c r="J367" s="988">
        <v>20607</v>
      </c>
    </row>
    <row r="368" spans="2:10" ht="13.8">
      <c r="B368" s="988">
        <v>20637</v>
      </c>
      <c r="C368" s="987" t="s">
        <v>4626</v>
      </c>
      <c r="F368" s="990">
        <v>5.2999999999999999E-2</v>
      </c>
      <c r="H368" s="986">
        <v>2.5999999999999999E-3</v>
      </c>
      <c r="I368" s="986">
        <f t="shared" si="5"/>
        <v>5.04E-2</v>
      </c>
      <c r="J368" s="988">
        <v>20637</v>
      </c>
    </row>
    <row r="369" spans="2:10" ht="13.8">
      <c r="B369" s="988">
        <v>20668</v>
      </c>
      <c r="C369" s="987" t="s">
        <v>4626</v>
      </c>
      <c r="F369" s="990">
        <v>-3.2800000000000003E-2</v>
      </c>
      <c r="H369" s="986">
        <v>2.5999999999999999E-3</v>
      </c>
      <c r="I369" s="986">
        <f t="shared" si="5"/>
        <v>-3.5400000000000001E-2</v>
      </c>
      <c r="J369" s="988">
        <v>20668</v>
      </c>
    </row>
    <row r="370" spans="2:10" ht="13.8">
      <c r="B370" s="988">
        <v>20699</v>
      </c>
      <c r="C370" s="987" t="s">
        <v>4626</v>
      </c>
      <c r="F370" s="990">
        <v>-4.3999999999999997E-2</v>
      </c>
      <c r="H370" s="986">
        <v>2.5000000000000001E-3</v>
      </c>
      <c r="I370" s="986">
        <f t="shared" si="5"/>
        <v>-4.65E-2</v>
      </c>
      <c r="J370" s="988">
        <v>20699</v>
      </c>
    </row>
    <row r="371" spans="2:10" ht="13.8">
      <c r="B371" s="988">
        <v>20729</v>
      </c>
      <c r="C371" s="987" t="s">
        <v>4626</v>
      </c>
      <c r="F371" s="990">
        <v>6.6E-3</v>
      </c>
      <c r="H371" s="986">
        <v>2.8999999999999998E-3</v>
      </c>
      <c r="I371" s="986">
        <f t="shared" si="5"/>
        <v>3.7000000000000002E-3</v>
      </c>
      <c r="J371" s="988">
        <v>20729</v>
      </c>
    </row>
    <row r="372" spans="2:10" ht="13.8">
      <c r="B372" s="988">
        <v>20760</v>
      </c>
      <c r="C372" s="987" t="s">
        <v>4626</v>
      </c>
      <c r="F372" s="990">
        <v>-5.0000000000000001E-3</v>
      </c>
      <c r="H372" s="986">
        <v>2.7000000000000001E-3</v>
      </c>
      <c r="I372" s="986">
        <f t="shared" si="5"/>
        <v>-7.7000000000000002E-3</v>
      </c>
      <c r="J372" s="988">
        <v>20760</v>
      </c>
    </row>
    <row r="373" spans="2:10" ht="13.8">
      <c r="B373" s="988">
        <v>20790</v>
      </c>
      <c r="C373" s="987" t="s">
        <v>4626</v>
      </c>
      <c r="F373" s="990">
        <v>3.6999999999999998E-2</v>
      </c>
      <c r="H373" s="986">
        <v>2.8E-3</v>
      </c>
      <c r="I373" s="986">
        <f t="shared" si="5"/>
        <v>3.4200000000000001E-2</v>
      </c>
      <c r="J373" s="988">
        <v>20790</v>
      </c>
    </row>
    <row r="374" spans="2:10" ht="13.8">
      <c r="B374" s="988">
        <v>20821</v>
      </c>
      <c r="C374" s="987" t="s">
        <v>4626</v>
      </c>
      <c r="F374" s="990">
        <v>-4.0099999999999997E-2</v>
      </c>
      <c r="H374" s="986">
        <v>2.8999999999999998E-3</v>
      </c>
      <c r="I374" s="986">
        <f t="shared" si="5"/>
        <v>-4.2999999999999997E-2</v>
      </c>
      <c r="J374" s="988">
        <v>20821</v>
      </c>
    </row>
    <row r="375" spans="2:10" ht="13.8">
      <c r="B375" s="988">
        <v>20852</v>
      </c>
      <c r="C375" s="987" t="s">
        <v>4626</v>
      </c>
      <c r="F375" s="990">
        <v>-2.64E-2</v>
      </c>
      <c r="H375" s="986">
        <v>2.5000000000000001E-3</v>
      </c>
      <c r="I375" s="986">
        <f t="shared" si="5"/>
        <v>-2.8899999999999999E-2</v>
      </c>
      <c r="J375" s="988">
        <v>20852</v>
      </c>
    </row>
    <row r="376" spans="2:10" ht="13.8">
      <c r="B376" s="988">
        <v>20880</v>
      </c>
      <c r="C376" s="987" t="s">
        <v>4626</v>
      </c>
      <c r="F376" s="990">
        <v>2.1499999999999998E-2</v>
      </c>
      <c r="H376" s="986">
        <v>2.5999999999999999E-3</v>
      </c>
      <c r="I376" s="986">
        <f t="shared" si="5"/>
        <v>1.89E-2</v>
      </c>
      <c r="J376" s="988">
        <v>20880</v>
      </c>
    </row>
    <row r="377" spans="2:10" ht="13.8">
      <c r="B377" s="988">
        <v>20911</v>
      </c>
      <c r="C377" s="987" t="s">
        <v>4626</v>
      </c>
      <c r="F377" s="990">
        <v>3.8800000000000001E-2</v>
      </c>
      <c r="H377" s="986">
        <v>2.8999999999999998E-3</v>
      </c>
      <c r="I377" s="986">
        <f t="shared" si="5"/>
        <v>3.5900000000000001E-2</v>
      </c>
      <c r="J377" s="988">
        <v>20911</v>
      </c>
    </row>
    <row r="378" spans="2:10" ht="13.8">
      <c r="B378" s="988">
        <v>20941</v>
      </c>
      <c r="C378" s="987" t="s">
        <v>4626</v>
      </c>
      <c r="F378" s="990">
        <v>4.3700000000000003E-2</v>
      </c>
      <c r="H378" s="986">
        <v>2.8999999999999998E-3</v>
      </c>
      <c r="I378" s="986">
        <f t="shared" si="5"/>
        <v>4.0800000000000003E-2</v>
      </c>
      <c r="J378" s="988">
        <v>20941</v>
      </c>
    </row>
    <row r="379" spans="2:10" ht="13.8">
      <c r="B379" s="988">
        <v>20972</v>
      </c>
      <c r="C379" s="987" t="s">
        <v>4626</v>
      </c>
      <c r="F379" s="990">
        <v>4.0000000000000002E-4</v>
      </c>
      <c r="H379" s="986">
        <v>2.5000000000000001E-3</v>
      </c>
      <c r="I379" s="986">
        <f t="shared" si="5"/>
        <v>-2.0999999999999999E-3</v>
      </c>
      <c r="J379" s="988">
        <v>20972</v>
      </c>
    </row>
    <row r="380" spans="2:10" ht="13.8">
      <c r="B380" s="988">
        <v>21002</v>
      </c>
      <c r="C380" s="987" t="s">
        <v>4626</v>
      </c>
      <c r="F380" s="990">
        <v>1.3100000000000001E-2</v>
      </c>
      <c r="H380" s="986">
        <v>3.3E-3</v>
      </c>
      <c r="I380" s="986">
        <f t="shared" si="5"/>
        <v>9.7999999999999997E-3</v>
      </c>
      <c r="J380" s="988">
        <v>21002</v>
      </c>
    </row>
    <row r="381" spans="2:10" ht="13.8">
      <c r="B381" s="988">
        <v>21033</v>
      </c>
      <c r="C381" s="987" t="s">
        <v>4626</v>
      </c>
      <c r="F381" s="990">
        <v>-5.0500000000000003E-2</v>
      </c>
      <c r="H381" s="986">
        <v>3.0000000000000001E-3</v>
      </c>
      <c r="I381" s="986">
        <f t="shared" si="5"/>
        <v>-5.3500000000000006E-2</v>
      </c>
      <c r="J381" s="988">
        <v>21033</v>
      </c>
    </row>
    <row r="382" spans="2:10" ht="13.8">
      <c r="B382" s="988">
        <v>21064</v>
      </c>
      <c r="C382" s="987" t="s">
        <v>4626</v>
      </c>
      <c r="F382" s="990">
        <v>-6.0199999999999997E-2</v>
      </c>
      <c r="H382" s="986">
        <v>3.0999999999999999E-3</v>
      </c>
      <c r="I382" s="986">
        <f t="shared" si="5"/>
        <v>-6.3299999999999995E-2</v>
      </c>
      <c r="J382" s="988">
        <v>21064</v>
      </c>
    </row>
    <row r="383" spans="2:10" ht="13.8">
      <c r="B383" s="988">
        <v>21094</v>
      </c>
      <c r="C383" s="987" t="s">
        <v>4626</v>
      </c>
      <c r="F383" s="990">
        <v>-3.0200000000000001E-2</v>
      </c>
      <c r="H383" s="986">
        <v>3.0999999999999999E-3</v>
      </c>
      <c r="I383" s="986">
        <f t="shared" si="5"/>
        <v>-3.3300000000000003E-2</v>
      </c>
      <c r="J383" s="988">
        <v>21094</v>
      </c>
    </row>
    <row r="384" spans="2:10" ht="13.8">
      <c r="B384" s="988">
        <v>21125</v>
      </c>
      <c r="C384" s="987" t="s">
        <v>4626</v>
      </c>
      <c r="F384" s="990">
        <v>2.3099999999999999E-2</v>
      </c>
      <c r="H384" s="986">
        <v>2.8999999999999998E-3</v>
      </c>
      <c r="I384" s="986">
        <f t="shared" si="5"/>
        <v>2.0199999999999999E-2</v>
      </c>
      <c r="J384" s="988">
        <v>21125</v>
      </c>
    </row>
    <row r="385" spans="2:10" ht="13.8">
      <c r="B385" s="988">
        <v>21155</v>
      </c>
      <c r="C385" s="987" t="s">
        <v>4626</v>
      </c>
      <c r="F385" s="990">
        <v>-3.95E-2</v>
      </c>
      <c r="H385" s="986">
        <v>2.8999999999999998E-3</v>
      </c>
      <c r="I385" s="986">
        <f t="shared" si="5"/>
        <v>-4.24E-2</v>
      </c>
      <c r="J385" s="988">
        <v>21155</v>
      </c>
    </row>
    <row r="386" spans="2:10" ht="13.8">
      <c r="B386" s="988">
        <v>21186</v>
      </c>
      <c r="C386" s="987" t="s">
        <v>4626</v>
      </c>
      <c r="F386" s="990">
        <v>4.4499999999999998E-2</v>
      </c>
      <c r="H386" s="986">
        <v>2.7000000000000001E-3</v>
      </c>
      <c r="I386" s="986">
        <f t="shared" ref="I386:I449" si="6">F386-H386</f>
        <v>4.1799999999999997E-2</v>
      </c>
      <c r="J386" s="988">
        <v>21186</v>
      </c>
    </row>
    <row r="387" spans="2:10" ht="13.8">
      <c r="B387" s="988">
        <v>21217</v>
      </c>
      <c r="C387" s="987" t="s">
        <v>4626</v>
      </c>
      <c r="F387" s="990">
        <v>-1.41E-2</v>
      </c>
      <c r="H387" s="986">
        <v>2.5000000000000001E-3</v>
      </c>
      <c r="I387" s="986">
        <f t="shared" si="6"/>
        <v>-1.66E-2</v>
      </c>
      <c r="J387" s="988">
        <v>21217</v>
      </c>
    </row>
    <row r="388" spans="2:10" ht="13.8">
      <c r="B388" s="988">
        <v>21245</v>
      </c>
      <c r="C388" s="987" t="s">
        <v>4626</v>
      </c>
      <c r="F388" s="990">
        <v>3.2800000000000003E-2</v>
      </c>
      <c r="H388" s="986">
        <v>2.7000000000000001E-3</v>
      </c>
      <c r="I388" s="986">
        <f t="shared" si="6"/>
        <v>3.0100000000000002E-2</v>
      </c>
      <c r="J388" s="988">
        <v>21245</v>
      </c>
    </row>
    <row r="389" spans="2:10" ht="13.8">
      <c r="B389" s="988">
        <v>21276</v>
      </c>
      <c r="C389" s="987" t="s">
        <v>4626</v>
      </c>
      <c r="F389" s="990">
        <v>3.3700000000000001E-2</v>
      </c>
      <c r="H389" s="986">
        <v>2.5999999999999999E-3</v>
      </c>
      <c r="I389" s="986">
        <f t="shared" si="6"/>
        <v>3.1100000000000003E-2</v>
      </c>
      <c r="J389" s="988">
        <v>21276</v>
      </c>
    </row>
    <row r="390" spans="2:10" ht="13.8">
      <c r="B390" s="988">
        <v>21306</v>
      </c>
      <c r="C390" s="987" t="s">
        <v>4626</v>
      </c>
      <c r="F390" s="990">
        <v>2.12E-2</v>
      </c>
      <c r="H390" s="986">
        <v>2.3999999999999998E-3</v>
      </c>
      <c r="I390" s="986">
        <f t="shared" si="6"/>
        <v>1.8800000000000001E-2</v>
      </c>
      <c r="J390" s="988">
        <v>21306</v>
      </c>
    </row>
    <row r="391" spans="2:10" ht="13.8">
      <c r="B391" s="988">
        <v>21337</v>
      </c>
      <c r="C391" s="987" t="s">
        <v>4626</v>
      </c>
      <c r="F391" s="990">
        <v>2.7900000000000001E-2</v>
      </c>
      <c r="H391" s="986">
        <v>2.7000000000000001E-3</v>
      </c>
      <c r="I391" s="986">
        <f t="shared" si="6"/>
        <v>2.52E-2</v>
      </c>
      <c r="J391" s="988">
        <v>21337</v>
      </c>
    </row>
    <row r="392" spans="2:10" ht="13.8">
      <c r="B392" s="988">
        <v>21367</v>
      </c>
      <c r="C392" s="987" t="s">
        <v>4626</v>
      </c>
      <c r="F392" s="990">
        <v>4.4900000000000002E-2</v>
      </c>
      <c r="H392" s="986">
        <v>2.7000000000000001E-3</v>
      </c>
      <c r="I392" s="986">
        <f t="shared" si="6"/>
        <v>4.2200000000000001E-2</v>
      </c>
      <c r="J392" s="988">
        <v>21367</v>
      </c>
    </row>
    <row r="393" spans="2:10" ht="13.8">
      <c r="B393" s="988">
        <v>21398</v>
      </c>
      <c r="C393" s="987" t="s">
        <v>4626</v>
      </c>
      <c r="F393" s="990">
        <v>1.7600000000000001E-2</v>
      </c>
      <c r="H393" s="986">
        <v>2.7000000000000001E-3</v>
      </c>
      <c r="I393" s="986">
        <f t="shared" si="6"/>
        <v>1.49E-2</v>
      </c>
      <c r="J393" s="988">
        <v>21398</v>
      </c>
    </row>
    <row r="394" spans="2:10" ht="13.8">
      <c r="B394" s="988">
        <v>21429</v>
      </c>
      <c r="C394" s="987" t="s">
        <v>4626</v>
      </c>
      <c r="F394" s="990">
        <v>5.0099999999999999E-2</v>
      </c>
      <c r="H394" s="986">
        <v>3.2000000000000002E-3</v>
      </c>
      <c r="I394" s="986">
        <f t="shared" si="6"/>
        <v>4.6899999999999997E-2</v>
      </c>
      <c r="J394" s="988">
        <v>21429</v>
      </c>
    </row>
    <row r="395" spans="2:10" ht="13.8">
      <c r="B395" s="988">
        <v>21459</v>
      </c>
      <c r="C395" s="987" t="s">
        <v>4626</v>
      </c>
      <c r="F395" s="990">
        <v>2.7E-2</v>
      </c>
      <c r="H395" s="986">
        <v>3.2000000000000002E-3</v>
      </c>
      <c r="I395" s="986">
        <f t="shared" si="6"/>
        <v>2.3799999999999998E-2</v>
      </c>
      <c r="J395" s="988">
        <v>21459</v>
      </c>
    </row>
    <row r="396" spans="2:10" ht="13.8">
      <c r="B396" s="988">
        <v>21490</v>
      </c>
      <c r="C396" s="987" t="s">
        <v>4626</v>
      </c>
      <c r="F396" s="990">
        <v>2.8400000000000002E-2</v>
      </c>
      <c r="H396" s="986">
        <v>2.8E-3</v>
      </c>
      <c r="I396" s="986">
        <f t="shared" si="6"/>
        <v>2.5600000000000001E-2</v>
      </c>
      <c r="J396" s="988">
        <v>21490</v>
      </c>
    </row>
    <row r="397" spans="2:10" ht="13.8">
      <c r="B397" s="988">
        <v>21520</v>
      </c>
      <c r="C397" s="987" t="s">
        <v>4626</v>
      </c>
      <c r="F397" s="990">
        <v>5.3499999999999999E-2</v>
      </c>
      <c r="H397" s="986">
        <v>3.3E-3</v>
      </c>
      <c r="I397" s="986">
        <f t="shared" si="6"/>
        <v>5.0200000000000002E-2</v>
      </c>
      <c r="J397" s="988">
        <v>21520</v>
      </c>
    </row>
    <row r="398" spans="2:10" ht="13.8">
      <c r="B398" s="988">
        <v>21551</v>
      </c>
      <c r="C398" s="987" t="s">
        <v>4626</v>
      </c>
      <c r="F398" s="990">
        <v>5.3E-3</v>
      </c>
      <c r="H398" s="986">
        <v>3.0999999999999999E-3</v>
      </c>
      <c r="I398" s="986">
        <f t="shared" si="6"/>
        <v>2.2000000000000001E-3</v>
      </c>
      <c r="J398" s="988">
        <v>21551</v>
      </c>
    </row>
    <row r="399" spans="2:10" ht="13.8">
      <c r="B399" s="988">
        <v>21582</v>
      </c>
      <c r="C399" s="987" t="s">
        <v>4626</v>
      </c>
      <c r="F399" s="990">
        <v>4.8999999999999998E-3</v>
      </c>
      <c r="H399" s="986">
        <v>3.0999999999999999E-3</v>
      </c>
      <c r="I399" s="986">
        <f t="shared" si="6"/>
        <v>1.8E-3</v>
      </c>
      <c r="J399" s="988">
        <v>21582</v>
      </c>
    </row>
    <row r="400" spans="2:10" ht="13.8">
      <c r="B400" s="988">
        <v>21610</v>
      </c>
      <c r="C400" s="987" t="s">
        <v>4626</v>
      </c>
      <c r="F400" s="990">
        <v>2E-3</v>
      </c>
      <c r="H400" s="986">
        <v>3.5000000000000001E-3</v>
      </c>
      <c r="I400" s="986">
        <f t="shared" si="6"/>
        <v>-1.5E-3</v>
      </c>
      <c r="J400" s="988">
        <v>21610</v>
      </c>
    </row>
    <row r="401" spans="2:10" ht="13.8">
      <c r="B401" s="988">
        <v>21641</v>
      </c>
      <c r="C401" s="987" t="s">
        <v>4626</v>
      </c>
      <c r="F401" s="990">
        <v>4.02E-2</v>
      </c>
      <c r="H401" s="986">
        <v>3.3E-3</v>
      </c>
      <c r="I401" s="986">
        <f t="shared" si="6"/>
        <v>3.6900000000000002E-2</v>
      </c>
      <c r="J401" s="988">
        <v>21641</v>
      </c>
    </row>
    <row r="402" spans="2:10" ht="13.8">
      <c r="B402" s="988">
        <v>21671</v>
      </c>
      <c r="C402" s="987" t="s">
        <v>4626</v>
      </c>
      <c r="F402" s="990">
        <v>2.4E-2</v>
      </c>
      <c r="H402" s="986">
        <v>3.3E-3</v>
      </c>
      <c r="I402" s="986">
        <f t="shared" si="6"/>
        <v>2.07E-2</v>
      </c>
      <c r="J402" s="988">
        <v>21671</v>
      </c>
    </row>
    <row r="403" spans="2:10" ht="13.8">
      <c r="B403" s="988">
        <v>21702</v>
      </c>
      <c r="C403" s="987" t="s">
        <v>4626</v>
      </c>
      <c r="F403" s="990">
        <v>-2.2000000000000001E-3</v>
      </c>
      <c r="H403" s="986">
        <v>3.5999999999999999E-3</v>
      </c>
      <c r="I403" s="986">
        <f t="shared" si="6"/>
        <v>-5.7999999999999996E-3</v>
      </c>
      <c r="J403" s="988">
        <v>21702</v>
      </c>
    </row>
    <row r="404" spans="2:10" ht="13.8">
      <c r="B404" s="988">
        <v>21732</v>
      </c>
      <c r="C404" s="987" t="s">
        <v>4626</v>
      </c>
      <c r="F404" s="990">
        <v>3.6299999999999999E-2</v>
      </c>
      <c r="H404" s="986">
        <v>3.5000000000000001E-3</v>
      </c>
      <c r="I404" s="986">
        <f t="shared" si="6"/>
        <v>3.2799999999999996E-2</v>
      </c>
      <c r="J404" s="988">
        <v>21732</v>
      </c>
    </row>
    <row r="405" spans="2:10" ht="13.8">
      <c r="B405" s="988">
        <v>21763</v>
      </c>
      <c r="C405" s="987" t="s">
        <v>4626</v>
      </c>
      <c r="F405" s="990">
        <v>-1.0200000000000001E-2</v>
      </c>
      <c r="H405" s="986">
        <v>3.5000000000000001E-3</v>
      </c>
      <c r="I405" s="986">
        <f t="shared" si="6"/>
        <v>-1.37E-2</v>
      </c>
      <c r="J405" s="988">
        <v>21763</v>
      </c>
    </row>
    <row r="406" spans="2:10" ht="13.8">
      <c r="B406" s="988">
        <v>21794</v>
      </c>
      <c r="C406" s="987" t="s">
        <v>4626</v>
      </c>
      <c r="F406" s="990">
        <v>-4.4299999999999999E-2</v>
      </c>
      <c r="H406" s="986">
        <v>3.3999999999999998E-3</v>
      </c>
      <c r="I406" s="986">
        <f t="shared" si="6"/>
        <v>-4.7699999999999999E-2</v>
      </c>
      <c r="J406" s="988">
        <v>21794</v>
      </c>
    </row>
    <row r="407" spans="2:10" ht="13.8">
      <c r="B407" s="988">
        <v>21824</v>
      </c>
      <c r="C407" s="987" t="s">
        <v>4626</v>
      </c>
      <c r="F407" s="990">
        <v>1.2800000000000001E-2</v>
      </c>
      <c r="H407" s="986">
        <v>3.5000000000000001E-3</v>
      </c>
      <c r="I407" s="986">
        <f t="shared" si="6"/>
        <v>9.300000000000001E-3</v>
      </c>
      <c r="J407" s="988">
        <v>21824</v>
      </c>
    </row>
    <row r="408" spans="2:10" ht="13.8">
      <c r="B408" s="988">
        <v>21855</v>
      </c>
      <c r="C408" s="987" t="s">
        <v>4626</v>
      </c>
      <c r="F408" s="990">
        <v>1.8599999999999998E-2</v>
      </c>
      <c r="H408" s="986">
        <v>3.5000000000000001E-3</v>
      </c>
      <c r="I408" s="986">
        <f t="shared" si="6"/>
        <v>1.5099999999999999E-2</v>
      </c>
      <c r="J408" s="988">
        <v>21855</v>
      </c>
    </row>
    <row r="409" spans="2:10" ht="13.8">
      <c r="B409" s="988">
        <v>21885</v>
      </c>
      <c r="C409" s="987" t="s">
        <v>4626</v>
      </c>
      <c r="F409" s="990">
        <v>2.92E-2</v>
      </c>
      <c r="H409" s="986">
        <v>3.5999999999999999E-3</v>
      </c>
      <c r="I409" s="986">
        <f t="shared" si="6"/>
        <v>2.5600000000000001E-2</v>
      </c>
      <c r="J409" s="988">
        <v>21885</v>
      </c>
    </row>
    <row r="410" spans="2:10" ht="13.8">
      <c r="B410" s="988">
        <v>21916</v>
      </c>
      <c r="C410" s="987" t="s">
        <v>4626</v>
      </c>
      <c r="F410" s="990">
        <v>-7.0000000000000007E-2</v>
      </c>
      <c r="H410" s="986">
        <v>3.5000000000000001E-3</v>
      </c>
      <c r="I410" s="986">
        <f t="shared" si="6"/>
        <v>-7.350000000000001E-2</v>
      </c>
      <c r="J410" s="988">
        <v>21916</v>
      </c>
    </row>
    <row r="411" spans="2:10" ht="13.8">
      <c r="B411" s="988">
        <v>21947</v>
      </c>
      <c r="C411" s="987" t="s">
        <v>4626</v>
      </c>
      <c r="F411" s="990">
        <v>1.47E-2</v>
      </c>
      <c r="H411" s="986">
        <v>3.7000000000000002E-3</v>
      </c>
      <c r="I411" s="986">
        <f t="shared" si="6"/>
        <v>1.0999999999999999E-2</v>
      </c>
      <c r="J411" s="988">
        <v>21947</v>
      </c>
    </row>
    <row r="412" spans="2:10" ht="13.8">
      <c r="B412" s="988">
        <v>21976</v>
      </c>
      <c r="C412" s="987" t="s">
        <v>4626</v>
      </c>
      <c r="F412" s="990">
        <v>-1.23E-2</v>
      </c>
      <c r="H412" s="986">
        <v>3.5999999999999999E-3</v>
      </c>
      <c r="I412" s="986">
        <f t="shared" si="6"/>
        <v>-1.5900000000000001E-2</v>
      </c>
      <c r="J412" s="988">
        <v>21976</v>
      </c>
    </row>
    <row r="413" spans="2:10" ht="13.8">
      <c r="B413" s="988">
        <v>22007</v>
      </c>
      <c r="C413" s="987" t="s">
        <v>4626</v>
      </c>
      <c r="F413" s="990">
        <v>-1.61E-2</v>
      </c>
      <c r="H413" s="986">
        <v>3.2000000000000002E-3</v>
      </c>
      <c r="I413" s="986">
        <f t="shared" si="6"/>
        <v>-1.9300000000000001E-2</v>
      </c>
      <c r="J413" s="988">
        <v>22007</v>
      </c>
    </row>
    <row r="414" spans="2:10" ht="13.8">
      <c r="B414" s="988">
        <v>22037</v>
      </c>
      <c r="C414" s="987" t="s">
        <v>4626</v>
      </c>
      <c r="F414" s="990">
        <v>3.2599999999999997E-2</v>
      </c>
      <c r="H414" s="986">
        <v>3.7000000000000002E-3</v>
      </c>
      <c r="I414" s="986">
        <f t="shared" si="6"/>
        <v>2.8899999999999995E-2</v>
      </c>
      <c r="J414" s="988">
        <v>22037</v>
      </c>
    </row>
    <row r="415" spans="2:10" ht="13.8">
      <c r="B415" s="988">
        <v>22068</v>
      </c>
      <c r="C415" s="987" t="s">
        <v>4626</v>
      </c>
      <c r="F415" s="990">
        <v>2.1100000000000001E-2</v>
      </c>
      <c r="H415" s="986">
        <v>3.3999999999999998E-3</v>
      </c>
      <c r="I415" s="986">
        <f t="shared" si="6"/>
        <v>1.77E-2</v>
      </c>
      <c r="J415" s="988">
        <v>22068</v>
      </c>
    </row>
    <row r="416" spans="2:10" ht="13.8">
      <c r="B416" s="988">
        <v>22098</v>
      </c>
      <c r="C416" s="987" t="s">
        <v>4626</v>
      </c>
      <c r="F416" s="990">
        <v>-2.3400000000000001E-2</v>
      </c>
      <c r="H416" s="986">
        <v>3.2000000000000002E-3</v>
      </c>
      <c r="I416" s="986">
        <f t="shared" si="6"/>
        <v>-2.6600000000000002E-2</v>
      </c>
      <c r="J416" s="988">
        <v>22098</v>
      </c>
    </row>
    <row r="417" spans="2:10" ht="13.8">
      <c r="B417" s="988">
        <v>22129</v>
      </c>
      <c r="C417" s="987" t="s">
        <v>4626</v>
      </c>
      <c r="F417" s="990">
        <v>3.1699999999999999E-2</v>
      </c>
      <c r="H417" s="986">
        <v>3.3999999999999998E-3</v>
      </c>
      <c r="I417" s="986">
        <f t="shared" si="6"/>
        <v>2.8299999999999999E-2</v>
      </c>
      <c r="J417" s="988">
        <v>22129</v>
      </c>
    </row>
    <row r="418" spans="2:10" ht="13.8">
      <c r="B418" s="988">
        <v>22160</v>
      </c>
      <c r="C418" s="987" t="s">
        <v>4626</v>
      </c>
      <c r="F418" s="990">
        <v>-5.8999999999999997E-2</v>
      </c>
      <c r="H418" s="986">
        <v>3.2000000000000002E-3</v>
      </c>
      <c r="I418" s="986">
        <f t="shared" si="6"/>
        <v>-6.2199999999999998E-2</v>
      </c>
      <c r="J418" s="988">
        <v>22160</v>
      </c>
    </row>
    <row r="419" spans="2:10" ht="13.8">
      <c r="B419" s="988">
        <v>22190</v>
      </c>
      <c r="C419" s="987" t="s">
        <v>4626</v>
      </c>
      <c r="F419" s="990">
        <v>-6.9999999999999999E-4</v>
      </c>
      <c r="H419" s="986">
        <v>3.3E-3</v>
      </c>
      <c r="I419" s="986">
        <f t="shared" si="6"/>
        <v>-4.0000000000000001E-3</v>
      </c>
      <c r="J419" s="988">
        <v>22190</v>
      </c>
    </row>
    <row r="420" spans="2:10" ht="13.8">
      <c r="B420" s="988">
        <v>22221</v>
      </c>
      <c r="C420" s="987" t="s">
        <v>4626</v>
      </c>
      <c r="F420" s="990">
        <v>4.65E-2</v>
      </c>
      <c r="H420" s="986">
        <v>3.2000000000000002E-3</v>
      </c>
      <c r="I420" s="986">
        <f t="shared" si="6"/>
        <v>4.3299999999999998E-2</v>
      </c>
      <c r="J420" s="988">
        <v>22221</v>
      </c>
    </row>
    <row r="421" spans="2:10" ht="13.8">
      <c r="B421" s="988">
        <v>22251</v>
      </c>
      <c r="C421" s="987" t="s">
        <v>4626</v>
      </c>
      <c r="F421" s="990">
        <v>4.7899999999999998E-2</v>
      </c>
      <c r="H421" s="986">
        <v>3.3E-3</v>
      </c>
      <c r="I421" s="986">
        <f t="shared" si="6"/>
        <v>4.4600000000000001E-2</v>
      </c>
      <c r="J421" s="988">
        <v>22251</v>
      </c>
    </row>
    <row r="422" spans="2:10" ht="13.8">
      <c r="B422" s="988">
        <v>22282</v>
      </c>
      <c r="C422" s="987" t="s">
        <v>4626</v>
      </c>
      <c r="F422" s="990">
        <v>6.4500000000000002E-2</v>
      </c>
      <c r="H422" s="986">
        <v>3.3E-3</v>
      </c>
      <c r="I422" s="986">
        <f t="shared" si="6"/>
        <v>6.1200000000000004E-2</v>
      </c>
      <c r="J422" s="988">
        <v>22282</v>
      </c>
    </row>
    <row r="423" spans="2:10" ht="13.8">
      <c r="B423" s="988">
        <v>22313</v>
      </c>
      <c r="C423" s="987" t="s">
        <v>4626</v>
      </c>
      <c r="F423" s="990">
        <v>3.1899999999999998E-2</v>
      </c>
      <c r="H423" s="986">
        <v>3.0000000000000001E-3</v>
      </c>
      <c r="I423" s="986">
        <f t="shared" si="6"/>
        <v>2.8899999999999999E-2</v>
      </c>
      <c r="J423" s="988">
        <v>22313</v>
      </c>
    </row>
    <row r="424" spans="2:10" ht="13.8">
      <c r="B424" s="988">
        <v>22341</v>
      </c>
      <c r="C424" s="987" t="s">
        <v>4626</v>
      </c>
      <c r="F424" s="990">
        <v>2.7E-2</v>
      </c>
      <c r="H424" s="986">
        <v>3.0999999999999999E-3</v>
      </c>
      <c r="I424" s="986">
        <f t="shared" si="6"/>
        <v>2.3900000000000001E-2</v>
      </c>
      <c r="J424" s="988">
        <v>22341</v>
      </c>
    </row>
    <row r="425" spans="2:10" ht="13.8">
      <c r="B425" s="988">
        <v>22372</v>
      </c>
      <c r="C425" s="987" t="s">
        <v>4626</v>
      </c>
      <c r="F425" s="990">
        <v>5.1000000000000004E-3</v>
      </c>
      <c r="H425" s="986">
        <v>3.0999999999999999E-3</v>
      </c>
      <c r="I425" s="986">
        <f t="shared" si="6"/>
        <v>2.0000000000000005E-3</v>
      </c>
      <c r="J425" s="988">
        <v>22372</v>
      </c>
    </row>
    <row r="426" spans="2:10" ht="13.8">
      <c r="B426" s="988">
        <v>22402</v>
      </c>
      <c r="C426" s="987" t="s">
        <v>4626</v>
      </c>
      <c r="F426" s="990">
        <v>2.3900000000000001E-2</v>
      </c>
      <c r="H426" s="986">
        <v>3.3999999999999998E-3</v>
      </c>
      <c r="I426" s="986">
        <f t="shared" si="6"/>
        <v>2.0500000000000001E-2</v>
      </c>
      <c r="J426" s="988">
        <v>22402</v>
      </c>
    </row>
    <row r="427" spans="2:10" ht="13.8">
      <c r="B427" s="988">
        <v>22433</v>
      </c>
      <c r="C427" s="987" t="s">
        <v>4626</v>
      </c>
      <c r="F427" s="990">
        <v>-2.75E-2</v>
      </c>
      <c r="H427" s="986">
        <v>3.2000000000000002E-3</v>
      </c>
      <c r="I427" s="986">
        <f t="shared" si="6"/>
        <v>-3.0700000000000002E-2</v>
      </c>
      <c r="J427" s="988">
        <v>22433</v>
      </c>
    </row>
    <row r="428" spans="2:10" ht="13.8">
      <c r="B428" s="988">
        <v>22463</v>
      </c>
      <c r="C428" s="987" t="s">
        <v>4626</v>
      </c>
      <c r="F428" s="990">
        <v>3.4200000000000001E-2</v>
      </c>
      <c r="H428" s="986">
        <v>3.3E-3</v>
      </c>
      <c r="I428" s="986">
        <f t="shared" si="6"/>
        <v>3.09E-2</v>
      </c>
      <c r="J428" s="988">
        <v>22463</v>
      </c>
    </row>
    <row r="429" spans="2:10" ht="13.8">
      <c r="B429" s="988">
        <v>22494</v>
      </c>
      <c r="C429" s="987" t="s">
        <v>4626</v>
      </c>
      <c r="F429" s="990">
        <v>2.4299999999999999E-2</v>
      </c>
      <c r="H429" s="986">
        <v>3.3E-3</v>
      </c>
      <c r="I429" s="986">
        <f t="shared" si="6"/>
        <v>2.0999999999999998E-2</v>
      </c>
      <c r="J429" s="988">
        <v>22494</v>
      </c>
    </row>
    <row r="430" spans="2:10" ht="13.8">
      <c r="B430" s="988">
        <v>22525</v>
      </c>
      <c r="C430" s="987" t="s">
        <v>4626</v>
      </c>
      <c r="F430" s="990">
        <v>-1.84E-2</v>
      </c>
      <c r="H430" s="986">
        <v>3.2000000000000002E-3</v>
      </c>
      <c r="I430" s="986">
        <f t="shared" si="6"/>
        <v>-2.1600000000000001E-2</v>
      </c>
      <c r="J430" s="988">
        <v>22525</v>
      </c>
    </row>
    <row r="431" spans="2:10" ht="13.8">
      <c r="B431" s="988">
        <v>22555</v>
      </c>
      <c r="C431" s="987" t="s">
        <v>4626</v>
      </c>
      <c r="F431" s="990">
        <v>2.98E-2</v>
      </c>
      <c r="H431" s="986">
        <v>3.3999999999999998E-3</v>
      </c>
      <c r="I431" s="986">
        <f t="shared" si="6"/>
        <v>2.64E-2</v>
      </c>
      <c r="J431" s="988">
        <v>22555</v>
      </c>
    </row>
    <row r="432" spans="2:10" ht="13.8">
      <c r="B432" s="988">
        <v>22586</v>
      </c>
      <c r="C432" s="987" t="s">
        <v>4626</v>
      </c>
      <c r="F432" s="990">
        <v>4.4699999999999997E-2</v>
      </c>
      <c r="H432" s="986">
        <v>3.2000000000000002E-3</v>
      </c>
      <c r="I432" s="986">
        <f t="shared" si="6"/>
        <v>4.1499999999999995E-2</v>
      </c>
      <c r="J432" s="988">
        <v>22586</v>
      </c>
    </row>
    <row r="433" spans="2:10" ht="13.8">
      <c r="B433" s="988">
        <v>22616</v>
      </c>
      <c r="C433" s="987" t="s">
        <v>4626</v>
      </c>
      <c r="F433" s="990">
        <v>4.5999999999999999E-3</v>
      </c>
      <c r="H433" s="986">
        <v>3.0999999999999999E-3</v>
      </c>
      <c r="I433" s="986">
        <f t="shared" si="6"/>
        <v>1.5E-3</v>
      </c>
      <c r="J433" s="988">
        <v>22616</v>
      </c>
    </row>
    <row r="434" spans="2:10" ht="13.8">
      <c r="B434" s="988">
        <v>22647</v>
      </c>
      <c r="C434" s="987" t="s">
        <v>4626</v>
      </c>
      <c r="F434" s="990">
        <v>-3.6600000000000001E-2</v>
      </c>
      <c r="H434" s="986">
        <v>3.7000000000000002E-3</v>
      </c>
      <c r="I434" s="986">
        <f t="shared" si="6"/>
        <v>-4.0300000000000002E-2</v>
      </c>
      <c r="J434" s="988">
        <v>22647</v>
      </c>
    </row>
    <row r="435" spans="2:10" ht="13.8">
      <c r="B435" s="988">
        <v>22678</v>
      </c>
      <c r="C435" s="987" t="s">
        <v>4626</v>
      </c>
      <c r="F435" s="990">
        <v>2.0899999999999998E-2</v>
      </c>
      <c r="H435" s="986">
        <v>3.2000000000000002E-3</v>
      </c>
      <c r="I435" s="986">
        <f t="shared" si="6"/>
        <v>1.7699999999999997E-2</v>
      </c>
      <c r="J435" s="988">
        <v>22678</v>
      </c>
    </row>
    <row r="436" spans="2:10" ht="13.8">
      <c r="B436" s="988">
        <v>22706</v>
      </c>
      <c r="C436" s="987" t="s">
        <v>4626</v>
      </c>
      <c r="F436" s="990">
        <v>-4.5999999999999999E-3</v>
      </c>
      <c r="H436" s="986">
        <v>3.3E-3</v>
      </c>
      <c r="I436" s="986">
        <f t="shared" si="6"/>
        <v>-7.9000000000000008E-3</v>
      </c>
      <c r="J436" s="988">
        <v>22706</v>
      </c>
    </row>
    <row r="437" spans="2:10" ht="13.8">
      <c r="B437" s="988">
        <v>22737</v>
      </c>
      <c r="C437" s="987" t="s">
        <v>4626</v>
      </c>
      <c r="F437" s="990">
        <v>-6.0699999999999997E-2</v>
      </c>
      <c r="H437" s="986">
        <v>3.3E-3</v>
      </c>
      <c r="I437" s="986">
        <f t="shared" si="6"/>
        <v>-6.4000000000000001E-2</v>
      </c>
      <c r="J437" s="988">
        <v>22737</v>
      </c>
    </row>
    <row r="438" spans="2:10" ht="13.8">
      <c r="B438" s="988">
        <v>22767</v>
      </c>
      <c r="C438" s="987" t="s">
        <v>4626</v>
      </c>
      <c r="F438" s="990">
        <v>-8.1100000000000005E-2</v>
      </c>
      <c r="H438" s="986">
        <v>3.2000000000000002E-3</v>
      </c>
      <c r="I438" s="986">
        <f t="shared" si="6"/>
        <v>-8.43E-2</v>
      </c>
      <c r="J438" s="988">
        <v>22767</v>
      </c>
    </row>
    <row r="439" spans="2:10" ht="13.8">
      <c r="B439" s="988">
        <v>22798</v>
      </c>
      <c r="C439" s="987" t="s">
        <v>4626</v>
      </c>
      <c r="F439" s="990">
        <v>-8.0299999999999996E-2</v>
      </c>
      <c r="H439" s="986">
        <v>3.0000000000000001E-3</v>
      </c>
      <c r="I439" s="986">
        <f t="shared" si="6"/>
        <v>-8.3299999999999999E-2</v>
      </c>
      <c r="J439" s="988">
        <v>22798</v>
      </c>
    </row>
    <row r="440" spans="2:10" ht="13.8">
      <c r="B440" s="988">
        <v>22828</v>
      </c>
      <c r="C440" s="987" t="s">
        <v>4626</v>
      </c>
      <c r="F440" s="990">
        <v>6.5199999999999994E-2</v>
      </c>
      <c r="H440" s="986">
        <v>3.3999999999999998E-3</v>
      </c>
      <c r="I440" s="986">
        <f t="shared" si="6"/>
        <v>6.1799999999999994E-2</v>
      </c>
      <c r="J440" s="988">
        <v>22828</v>
      </c>
    </row>
    <row r="441" spans="2:10" ht="13.8">
      <c r="B441" s="988">
        <v>22859</v>
      </c>
      <c r="C441" s="987" t="s">
        <v>4626</v>
      </c>
      <c r="F441" s="990">
        <v>2.0799999999999999E-2</v>
      </c>
      <c r="H441" s="986">
        <v>3.3999999999999998E-3</v>
      </c>
      <c r="I441" s="986">
        <f t="shared" si="6"/>
        <v>1.7399999999999999E-2</v>
      </c>
      <c r="J441" s="988">
        <v>22859</v>
      </c>
    </row>
    <row r="442" spans="2:10" ht="13.8">
      <c r="B442" s="988">
        <v>22890</v>
      </c>
      <c r="C442" s="987" t="s">
        <v>4626</v>
      </c>
      <c r="F442" s="990">
        <v>-4.65E-2</v>
      </c>
      <c r="H442" s="986">
        <v>3.0000000000000001E-3</v>
      </c>
      <c r="I442" s="986">
        <f t="shared" si="6"/>
        <v>-4.9500000000000002E-2</v>
      </c>
      <c r="J442" s="988">
        <v>22890</v>
      </c>
    </row>
    <row r="443" spans="2:10" ht="13.8">
      <c r="B443" s="988">
        <v>22920</v>
      </c>
      <c r="C443" s="987" t="s">
        <v>4626</v>
      </c>
      <c r="F443" s="990">
        <v>6.4000000000000003E-3</v>
      </c>
      <c r="H443" s="986">
        <v>3.5000000000000001E-3</v>
      </c>
      <c r="I443" s="986">
        <f t="shared" si="6"/>
        <v>2.9000000000000002E-3</v>
      </c>
      <c r="J443" s="988">
        <v>22920</v>
      </c>
    </row>
    <row r="444" spans="2:10" ht="13.8">
      <c r="B444" s="988">
        <v>22951</v>
      </c>
      <c r="C444" s="987" t="s">
        <v>4626</v>
      </c>
      <c r="F444" s="990">
        <v>0.1086</v>
      </c>
      <c r="H444" s="986">
        <v>3.0999999999999999E-3</v>
      </c>
      <c r="I444" s="986">
        <f t="shared" si="6"/>
        <v>0.1055</v>
      </c>
      <c r="J444" s="988">
        <v>22951</v>
      </c>
    </row>
    <row r="445" spans="2:10" ht="13.8">
      <c r="B445" s="988">
        <v>22981</v>
      </c>
      <c r="C445" s="987" t="s">
        <v>4626</v>
      </c>
      <c r="F445" s="990">
        <v>1.5299999999999999E-2</v>
      </c>
      <c r="H445" s="986">
        <v>3.2000000000000002E-3</v>
      </c>
      <c r="I445" s="986">
        <f t="shared" si="6"/>
        <v>1.21E-2</v>
      </c>
      <c r="J445" s="988">
        <v>22981</v>
      </c>
    </row>
    <row r="446" spans="2:10" ht="13.8">
      <c r="B446" s="988">
        <v>23012</v>
      </c>
      <c r="C446" s="987" t="s">
        <v>4626</v>
      </c>
      <c r="F446" s="990">
        <v>5.0599999999999999E-2</v>
      </c>
      <c r="H446" s="986">
        <v>3.2000000000000002E-3</v>
      </c>
      <c r="I446" s="986">
        <f t="shared" si="6"/>
        <v>4.7399999999999998E-2</v>
      </c>
      <c r="J446" s="988">
        <v>23012</v>
      </c>
    </row>
    <row r="447" spans="2:10" ht="13.8">
      <c r="B447" s="988">
        <v>23043</v>
      </c>
      <c r="C447" s="987" t="s">
        <v>4626</v>
      </c>
      <c r="F447" s="990">
        <v>-2.3900000000000001E-2</v>
      </c>
      <c r="H447" s="986">
        <v>2.8999999999999998E-3</v>
      </c>
      <c r="I447" s="986">
        <f t="shared" si="6"/>
        <v>-2.6800000000000001E-2</v>
      </c>
      <c r="J447" s="988">
        <v>23043</v>
      </c>
    </row>
    <row r="448" spans="2:10" ht="13.8">
      <c r="B448" s="988">
        <v>23071</v>
      </c>
      <c r="C448" s="987" t="s">
        <v>4626</v>
      </c>
      <c r="F448" s="990">
        <v>3.6999999999999998E-2</v>
      </c>
      <c r="H448" s="986">
        <v>3.0999999999999999E-3</v>
      </c>
      <c r="I448" s="986">
        <f t="shared" si="6"/>
        <v>3.39E-2</v>
      </c>
      <c r="J448" s="988">
        <v>23071</v>
      </c>
    </row>
    <row r="449" spans="2:10" ht="13.8">
      <c r="B449" s="988">
        <v>23102</v>
      </c>
      <c r="C449" s="987" t="s">
        <v>4626</v>
      </c>
      <c r="F449" s="990">
        <v>0.05</v>
      </c>
      <c r="H449" s="986">
        <v>3.3999999999999998E-3</v>
      </c>
      <c r="I449" s="986">
        <f t="shared" si="6"/>
        <v>4.6600000000000003E-2</v>
      </c>
      <c r="J449" s="988">
        <v>23102</v>
      </c>
    </row>
    <row r="450" spans="2:10" ht="13.8">
      <c r="B450" s="988">
        <v>23132</v>
      </c>
      <c r="C450" s="987" t="s">
        <v>4626</v>
      </c>
      <c r="F450" s="990">
        <v>1.9300000000000001E-2</v>
      </c>
      <c r="H450" s="986">
        <v>3.3E-3</v>
      </c>
      <c r="I450" s="986">
        <f t="shared" ref="I450:I513" si="7">F450-H450</f>
        <v>1.6E-2</v>
      </c>
      <c r="J450" s="988">
        <v>23132</v>
      </c>
    </row>
    <row r="451" spans="2:10" ht="13.8">
      <c r="B451" s="988">
        <v>23163</v>
      </c>
      <c r="C451" s="987" t="s">
        <v>4626</v>
      </c>
      <c r="F451" s="990">
        <v>-1.8800000000000001E-2</v>
      </c>
      <c r="H451" s="986">
        <v>3.0000000000000001E-3</v>
      </c>
      <c r="I451" s="986">
        <f t="shared" si="7"/>
        <v>-2.18E-2</v>
      </c>
      <c r="J451" s="988">
        <v>23163</v>
      </c>
    </row>
    <row r="452" spans="2:10" ht="13.8">
      <c r="B452" s="988">
        <v>23193</v>
      </c>
      <c r="C452" s="987" t="s">
        <v>4626</v>
      </c>
      <c r="F452" s="990">
        <v>-2.2000000000000001E-3</v>
      </c>
      <c r="H452" s="986">
        <v>3.5999999999999999E-3</v>
      </c>
      <c r="I452" s="986">
        <f t="shared" si="7"/>
        <v>-5.7999999999999996E-3</v>
      </c>
      <c r="J452" s="988">
        <v>23193</v>
      </c>
    </row>
    <row r="453" spans="2:10" ht="13.8">
      <c r="B453" s="988">
        <v>23224</v>
      </c>
      <c r="C453" s="987" t="s">
        <v>4626</v>
      </c>
      <c r="F453" s="990">
        <v>5.3499999999999999E-2</v>
      </c>
      <c r="H453" s="986">
        <v>3.3E-3</v>
      </c>
      <c r="I453" s="986">
        <f t="shared" si="7"/>
        <v>5.0200000000000002E-2</v>
      </c>
      <c r="J453" s="988">
        <v>23224</v>
      </c>
    </row>
    <row r="454" spans="2:10" ht="13.8">
      <c r="B454" s="988">
        <v>23255</v>
      </c>
      <c r="C454" s="987" t="s">
        <v>4626</v>
      </c>
      <c r="F454" s="990">
        <v>-9.7000000000000003E-3</v>
      </c>
      <c r="H454" s="986">
        <v>3.3999999999999998E-3</v>
      </c>
      <c r="I454" s="986">
        <f t="shared" si="7"/>
        <v>-1.3100000000000001E-2</v>
      </c>
      <c r="J454" s="988">
        <v>23255</v>
      </c>
    </row>
    <row r="455" spans="2:10" ht="13.8">
      <c r="B455" s="988">
        <v>23285</v>
      </c>
      <c r="C455" s="987" t="s">
        <v>4626</v>
      </c>
      <c r="F455" s="990">
        <v>3.39E-2</v>
      </c>
      <c r="H455" s="986">
        <v>3.3999999999999998E-3</v>
      </c>
      <c r="I455" s="986">
        <f t="shared" si="7"/>
        <v>3.0499999999999999E-2</v>
      </c>
      <c r="J455" s="988">
        <v>23285</v>
      </c>
    </row>
    <row r="456" spans="2:10" ht="13.8">
      <c r="B456" s="988">
        <v>23316</v>
      </c>
      <c r="C456" s="987" t="s">
        <v>4626</v>
      </c>
      <c r="F456" s="990">
        <v>-4.5999999999999999E-3</v>
      </c>
      <c r="H456" s="986">
        <v>3.2000000000000002E-3</v>
      </c>
      <c r="I456" s="986">
        <f t="shared" si="7"/>
        <v>-7.7999999999999996E-3</v>
      </c>
      <c r="J456" s="988">
        <v>23316</v>
      </c>
    </row>
    <row r="457" spans="2:10" ht="13.8">
      <c r="B457" s="988">
        <v>23346</v>
      </c>
      <c r="C457" s="987" t="s">
        <v>4626</v>
      </c>
      <c r="F457" s="990">
        <v>2.6200000000000001E-2</v>
      </c>
      <c r="H457" s="986">
        <v>3.5999999999999999E-3</v>
      </c>
      <c r="I457" s="986">
        <f t="shared" si="7"/>
        <v>2.2600000000000002E-2</v>
      </c>
      <c r="J457" s="988">
        <v>23346</v>
      </c>
    </row>
    <row r="458" spans="2:10" ht="13.8">
      <c r="B458" s="988">
        <v>23377</v>
      </c>
      <c r="C458" s="987" t="s">
        <v>4626</v>
      </c>
      <c r="F458" s="990">
        <v>2.8299999999999999E-2</v>
      </c>
      <c r="H458" s="986">
        <v>3.5000000000000001E-3</v>
      </c>
      <c r="I458" s="986">
        <f t="shared" si="7"/>
        <v>2.4799999999999999E-2</v>
      </c>
      <c r="J458" s="988">
        <v>23377</v>
      </c>
    </row>
    <row r="459" spans="2:10" ht="13.8">
      <c r="B459" s="988">
        <v>23408</v>
      </c>
      <c r="C459" s="987" t="s">
        <v>4626</v>
      </c>
      <c r="F459" s="990">
        <v>1.47E-2</v>
      </c>
      <c r="H459" s="986">
        <v>3.2000000000000002E-3</v>
      </c>
      <c r="I459" s="986">
        <f t="shared" si="7"/>
        <v>1.15E-2</v>
      </c>
      <c r="J459" s="988">
        <v>23408</v>
      </c>
    </row>
    <row r="460" spans="2:10" ht="13.8">
      <c r="B460" s="988">
        <v>23437</v>
      </c>
      <c r="C460" s="987" t="s">
        <v>4626</v>
      </c>
      <c r="F460" s="990">
        <v>1.6500000000000001E-2</v>
      </c>
      <c r="H460" s="986">
        <v>3.7000000000000002E-3</v>
      </c>
      <c r="I460" s="986">
        <f t="shared" si="7"/>
        <v>1.2800000000000001E-2</v>
      </c>
      <c r="J460" s="988">
        <v>23437</v>
      </c>
    </row>
    <row r="461" spans="2:10" ht="13.8">
      <c r="B461" s="988">
        <v>23468</v>
      </c>
      <c r="C461" s="987" t="s">
        <v>4626</v>
      </c>
      <c r="F461" s="990">
        <v>7.4999999999999997E-3</v>
      </c>
      <c r="H461" s="986">
        <v>3.5000000000000001E-3</v>
      </c>
      <c r="I461" s="986">
        <f t="shared" si="7"/>
        <v>4.0000000000000001E-3</v>
      </c>
      <c r="J461" s="988">
        <v>23468</v>
      </c>
    </row>
    <row r="462" spans="2:10" ht="13.8">
      <c r="B462" s="988">
        <v>23498</v>
      </c>
      <c r="C462" s="987" t="s">
        <v>4626</v>
      </c>
      <c r="F462" s="990">
        <v>1.6199999999999999E-2</v>
      </c>
      <c r="H462" s="986">
        <v>3.2000000000000002E-3</v>
      </c>
      <c r="I462" s="986">
        <f t="shared" si="7"/>
        <v>1.2999999999999999E-2</v>
      </c>
      <c r="J462" s="988">
        <v>23498</v>
      </c>
    </row>
    <row r="463" spans="2:10" ht="13.8">
      <c r="B463" s="988">
        <v>23529</v>
      </c>
      <c r="C463" s="987" t="s">
        <v>4626</v>
      </c>
      <c r="F463" s="990">
        <v>1.78E-2</v>
      </c>
      <c r="H463" s="986">
        <v>3.8E-3</v>
      </c>
      <c r="I463" s="986">
        <f t="shared" si="7"/>
        <v>1.4E-2</v>
      </c>
      <c r="J463" s="988">
        <v>23529</v>
      </c>
    </row>
    <row r="464" spans="2:10" ht="13.8">
      <c r="B464" s="988">
        <v>23559</v>
      </c>
      <c r="C464" s="987" t="s">
        <v>4626</v>
      </c>
      <c r="F464" s="990">
        <v>1.95E-2</v>
      </c>
      <c r="H464" s="986">
        <v>3.5000000000000001E-3</v>
      </c>
      <c r="I464" s="986">
        <f t="shared" si="7"/>
        <v>1.6E-2</v>
      </c>
      <c r="J464" s="988">
        <v>23559</v>
      </c>
    </row>
    <row r="465" spans="2:10" ht="13.8">
      <c r="B465" s="988">
        <v>23590</v>
      </c>
      <c r="C465" s="987" t="s">
        <v>4626</v>
      </c>
      <c r="F465" s="990">
        <v>-1.18E-2</v>
      </c>
      <c r="H465" s="986">
        <v>3.5000000000000001E-3</v>
      </c>
      <c r="I465" s="986">
        <f t="shared" si="7"/>
        <v>-1.5299999999999999E-2</v>
      </c>
      <c r="J465" s="988">
        <v>23590</v>
      </c>
    </row>
    <row r="466" spans="2:10" ht="13.8">
      <c r="B466" s="988">
        <v>23621</v>
      </c>
      <c r="C466" s="987" t="s">
        <v>4626</v>
      </c>
      <c r="F466" s="990">
        <v>3.0099999999999998E-2</v>
      </c>
      <c r="H466" s="986">
        <v>3.3999999999999998E-3</v>
      </c>
      <c r="I466" s="986">
        <f t="shared" si="7"/>
        <v>2.6699999999999998E-2</v>
      </c>
      <c r="J466" s="988">
        <v>23621</v>
      </c>
    </row>
    <row r="467" spans="2:10" ht="13.8">
      <c r="B467" s="988">
        <v>23651</v>
      </c>
      <c r="C467" s="987" t="s">
        <v>4626</v>
      </c>
      <c r="F467" s="990">
        <v>9.5999999999999992E-3</v>
      </c>
      <c r="H467" s="986">
        <v>3.3999999999999998E-3</v>
      </c>
      <c r="I467" s="986">
        <f t="shared" si="7"/>
        <v>6.1999999999999989E-3</v>
      </c>
      <c r="J467" s="988">
        <v>23651</v>
      </c>
    </row>
    <row r="468" spans="2:10" ht="13.8">
      <c r="B468" s="988">
        <v>23682</v>
      </c>
      <c r="C468" s="987" t="s">
        <v>4626</v>
      </c>
      <c r="F468" s="990">
        <v>5.0000000000000001E-4</v>
      </c>
      <c r="H468" s="986">
        <v>3.5000000000000001E-3</v>
      </c>
      <c r="I468" s="986">
        <f t="shared" si="7"/>
        <v>-3.0000000000000001E-3</v>
      </c>
      <c r="J468" s="988">
        <v>23682</v>
      </c>
    </row>
    <row r="469" spans="2:10" ht="13.8">
      <c r="B469" s="988">
        <v>23712</v>
      </c>
      <c r="C469" s="987" t="s">
        <v>4626</v>
      </c>
      <c r="F469" s="990">
        <v>5.5999999999999999E-3</v>
      </c>
      <c r="H469" s="986">
        <v>3.5000000000000001E-3</v>
      </c>
      <c r="I469" s="986">
        <f t="shared" si="7"/>
        <v>2.0999999999999999E-3</v>
      </c>
      <c r="J469" s="988">
        <v>23712</v>
      </c>
    </row>
    <row r="470" spans="2:10" ht="13.8">
      <c r="B470" s="988">
        <v>23743</v>
      </c>
      <c r="C470" s="987" t="s">
        <v>4626</v>
      </c>
      <c r="F470" s="990">
        <v>3.4500000000000003E-2</v>
      </c>
      <c r="H470" s="986">
        <v>3.3E-3</v>
      </c>
      <c r="I470" s="986">
        <f t="shared" si="7"/>
        <v>3.1200000000000002E-2</v>
      </c>
      <c r="J470" s="988">
        <v>23743</v>
      </c>
    </row>
    <row r="471" spans="2:10" ht="13.8">
      <c r="B471" s="988">
        <v>23774</v>
      </c>
      <c r="C471" s="987" t="s">
        <v>4626</v>
      </c>
      <c r="F471" s="990">
        <v>3.0999999999999999E-3</v>
      </c>
      <c r="H471" s="986">
        <v>3.2000000000000002E-3</v>
      </c>
      <c r="I471" s="986">
        <f t="shared" si="7"/>
        <v>-1.0000000000000026E-4</v>
      </c>
      <c r="J471" s="988">
        <v>23774</v>
      </c>
    </row>
    <row r="472" spans="2:10" ht="13.8">
      <c r="B472" s="988">
        <v>23802</v>
      </c>
      <c r="C472" s="987" t="s">
        <v>4626</v>
      </c>
      <c r="F472" s="990">
        <v>-1.3299999999999999E-2</v>
      </c>
      <c r="H472" s="986">
        <v>3.8E-3</v>
      </c>
      <c r="I472" s="986">
        <f t="shared" si="7"/>
        <v>-1.7100000000000001E-2</v>
      </c>
      <c r="J472" s="988">
        <v>23802</v>
      </c>
    </row>
    <row r="473" spans="2:10" ht="13.8">
      <c r="B473" s="988">
        <v>23833</v>
      </c>
      <c r="C473" s="987" t="s">
        <v>4626</v>
      </c>
      <c r="F473" s="990">
        <v>3.56E-2</v>
      </c>
      <c r="H473" s="986">
        <v>3.3E-3</v>
      </c>
      <c r="I473" s="986">
        <f t="shared" si="7"/>
        <v>3.2300000000000002E-2</v>
      </c>
      <c r="J473" s="988">
        <v>23833</v>
      </c>
    </row>
    <row r="474" spans="2:10" ht="13.8">
      <c r="B474" s="988">
        <v>23863</v>
      </c>
      <c r="C474" s="987" t="s">
        <v>4626</v>
      </c>
      <c r="F474" s="990">
        <v>-3.0000000000000001E-3</v>
      </c>
      <c r="H474" s="986">
        <v>3.3E-3</v>
      </c>
      <c r="I474" s="986">
        <f t="shared" si="7"/>
        <v>-6.3E-3</v>
      </c>
      <c r="J474" s="988">
        <v>23863</v>
      </c>
    </row>
    <row r="475" spans="2:10" ht="13.8">
      <c r="B475" s="988">
        <v>23894</v>
      </c>
      <c r="C475" s="987" t="s">
        <v>4626</v>
      </c>
      <c r="F475" s="990">
        <v>-4.7300000000000002E-2</v>
      </c>
      <c r="H475" s="986">
        <v>3.8E-3</v>
      </c>
      <c r="I475" s="986">
        <f t="shared" si="7"/>
        <v>-5.11E-2</v>
      </c>
      <c r="J475" s="988">
        <v>23894</v>
      </c>
    </row>
    <row r="476" spans="2:10" ht="13.8">
      <c r="B476" s="988">
        <v>23924</v>
      </c>
      <c r="C476" s="987" t="s">
        <v>4626</v>
      </c>
      <c r="F476" s="990">
        <v>1.47E-2</v>
      </c>
      <c r="H476" s="986">
        <v>3.3999999999999998E-3</v>
      </c>
      <c r="I476" s="986">
        <f t="shared" si="7"/>
        <v>1.1299999999999999E-2</v>
      </c>
      <c r="J476" s="988">
        <v>23924</v>
      </c>
    </row>
    <row r="477" spans="2:10" ht="13.8">
      <c r="B477" s="988">
        <v>23955</v>
      </c>
      <c r="C477" s="987" t="s">
        <v>4626</v>
      </c>
      <c r="F477" s="990">
        <v>2.7199999999999998E-2</v>
      </c>
      <c r="H477" s="986">
        <v>3.7000000000000002E-3</v>
      </c>
      <c r="I477" s="986">
        <f t="shared" si="7"/>
        <v>2.35E-2</v>
      </c>
      <c r="J477" s="988">
        <v>23955</v>
      </c>
    </row>
    <row r="478" spans="2:10" ht="13.8">
      <c r="B478" s="988">
        <v>23986</v>
      </c>
      <c r="C478" s="987" t="s">
        <v>4626</v>
      </c>
      <c r="F478" s="990">
        <v>3.3399999999999999E-2</v>
      </c>
      <c r="H478" s="986">
        <v>3.5000000000000001E-3</v>
      </c>
      <c r="I478" s="986">
        <f t="shared" si="7"/>
        <v>2.9899999999999999E-2</v>
      </c>
      <c r="J478" s="988">
        <v>23986</v>
      </c>
    </row>
    <row r="479" spans="2:10" ht="13.8">
      <c r="B479" s="988">
        <v>24016</v>
      </c>
      <c r="C479" s="987" t="s">
        <v>4626</v>
      </c>
      <c r="F479" s="990">
        <v>2.8899999999999999E-2</v>
      </c>
      <c r="H479" s="986">
        <v>3.3999999999999998E-3</v>
      </c>
      <c r="I479" s="986">
        <f t="shared" si="7"/>
        <v>2.5499999999999998E-2</v>
      </c>
      <c r="J479" s="988">
        <v>24016</v>
      </c>
    </row>
    <row r="480" spans="2:10" ht="13.8">
      <c r="B480" s="988">
        <v>24047</v>
      </c>
      <c r="C480" s="987" t="s">
        <v>4626</v>
      </c>
      <c r="F480" s="990">
        <v>-3.0999999999999999E-3</v>
      </c>
      <c r="H480" s="986">
        <v>3.7000000000000002E-3</v>
      </c>
      <c r="I480" s="986">
        <f t="shared" si="7"/>
        <v>-6.8000000000000005E-3</v>
      </c>
      <c r="J480" s="988">
        <v>24047</v>
      </c>
    </row>
    <row r="481" spans="2:10" ht="13.8">
      <c r="B481" s="988">
        <v>24077</v>
      </c>
      <c r="C481" s="987" t="s">
        <v>4626</v>
      </c>
      <c r="F481" s="990">
        <v>1.06E-2</v>
      </c>
      <c r="H481" s="986">
        <v>3.7000000000000002E-3</v>
      </c>
      <c r="I481" s="986">
        <f t="shared" si="7"/>
        <v>6.8999999999999999E-3</v>
      </c>
      <c r="J481" s="988">
        <v>24077</v>
      </c>
    </row>
    <row r="482" spans="2:10" ht="13.8">
      <c r="B482" s="988">
        <v>24108</v>
      </c>
      <c r="C482" s="987" t="s">
        <v>4626</v>
      </c>
      <c r="F482" s="990">
        <v>6.1999999999999998E-3</v>
      </c>
      <c r="H482" s="986">
        <v>3.8E-3</v>
      </c>
      <c r="I482" s="986">
        <f t="shared" si="7"/>
        <v>2.3999999999999998E-3</v>
      </c>
      <c r="J482" s="988">
        <v>24108</v>
      </c>
    </row>
    <row r="483" spans="2:10" ht="13.8">
      <c r="B483" s="988">
        <v>24139</v>
      </c>
      <c r="C483" s="987" t="s">
        <v>4626</v>
      </c>
      <c r="F483" s="990">
        <v>-1.3100000000000001E-2</v>
      </c>
      <c r="H483" s="986">
        <v>3.3999999999999998E-3</v>
      </c>
      <c r="I483" s="986">
        <f t="shared" si="7"/>
        <v>-1.6500000000000001E-2</v>
      </c>
      <c r="J483" s="988">
        <v>24139</v>
      </c>
    </row>
    <row r="484" spans="2:10" ht="13.8">
      <c r="B484" s="988">
        <v>24167</v>
      </c>
      <c r="C484" s="987" t="s">
        <v>4626</v>
      </c>
      <c r="F484" s="990">
        <v>-2.0500000000000001E-2</v>
      </c>
      <c r="H484" s="986">
        <v>4.0000000000000001E-3</v>
      </c>
      <c r="I484" s="986">
        <f t="shared" si="7"/>
        <v>-2.4500000000000001E-2</v>
      </c>
      <c r="J484" s="988">
        <v>24167</v>
      </c>
    </row>
    <row r="485" spans="2:10" ht="13.8">
      <c r="B485" s="988">
        <v>24198</v>
      </c>
      <c r="C485" s="987" t="s">
        <v>4626</v>
      </c>
      <c r="F485" s="990">
        <v>2.1999999999999999E-2</v>
      </c>
      <c r="H485" s="986">
        <v>3.5999999999999999E-3</v>
      </c>
      <c r="I485" s="986">
        <f t="shared" si="7"/>
        <v>1.84E-2</v>
      </c>
      <c r="J485" s="988">
        <v>24198</v>
      </c>
    </row>
    <row r="486" spans="2:10" ht="13.8">
      <c r="B486" s="988">
        <v>24228</v>
      </c>
      <c r="C486" s="987" t="s">
        <v>4626</v>
      </c>
      <c r="F486" s="990">
        <v>-4.9200000000000001E-2</v>
      </c>
      <c r="H486" s="986">
        <v>4.1000000000000003E-3</v>
      </c>
      <c r="I486" s="986">
        <f t="shared" si="7"/>
        <v>-5.33E-2</v>
      </c>
      <c r="J486" s="988">
        <v>24228</v>
      </c>
    </row>
    <row r="487" spans="2:10" ht="13.8">
      <c r="B487" s="988">
        <v>24259</v>
      </c>
      <c r="C487" s="987" t="s">
        <v>4626</v>
      </c>
      <c r="F487" s="990">
        <v>-1.46E-2</v>
      </c>
      <c r="H487" s="986">
        <v>3.8999999999999998E-3</v>
      </c>
      <c r="I487" s="986">
        <f t="shared" si="7"/>
        <v>-1.8499999999999999E-2</v>
      </c>
      <c r="J487" s="988">
        <v>24259</v>
      </c>
    </row>
    <row r="488" spans="2:10" ht="13.8">
      <c r="B488" s="988">
        <v>24289</v>
      </c>
      <c r="C488" s="987" t="s">
        <v>4626</v>
      </c>
      <c r="F488" s="990">
        <v>-1.2E-2</v>
      </c>
      <c r="H488" s="986">
        <v>3.8E-3</v>
      </c>
      <c r="I488" s="986">
        <f t="shared" si="7"/>
        <v>-1.5800000000000002E-2</v>
      </c>
      <c r="J488" s="988">
        <v>24289</v>
      </c>
    </row>
    <row r="489" spans="2:10" ht="13.8">
      <c r="B489" s="988">
        <v>24320</v>
      </c>
      <c r="C489" s="987" t="s">
        <v>4626</v>
      </c>
      <c r="F489" s="990">
        <v>-7.2499999999999995E-2</v>
      </c>
      <c r="H489" s="986">
        <v>4.3E-3</v>
      </c>
      <c r="I489" s="986">
        <f t="shared" si="7"/>
        <v>-7.6799999999999993E-2</v>
      </c>
      <c r="J489" s="988">
        <v>24320</v>
      </c>
    </row>
    <row r="490" spans="2:10" ht="13.8">
      <c r="B490" s="988">
        <v>24351</v>
      </c>
      <c r="C490" s="987" t="s">
        <v>4626</v>
      </c>
      <c r="F490" s="990">
        <v>-5.3E-3</v>
      </c>
      <c r="H490" s="986">
        <v>4.1000000000000003E-3</v>
      </c>
      <c r="I490" s="986">
        <f t="shared" si="7"/>
        <v>-9.4000000000000004E-3</v>
      </c>
      <c r="J490" s="988">
        <v>24351</v>
      </c>
    </row>
    <row r="491" spans="2:10" ht="13.8">
      <c r="B491" s="988">
        <v>24381</v>
      </c>
      <c r="C491" s="987" t="s">
        <v>4626</v>
      </c>
      <c r="F491" s="990">
        <v>4.9399999999999999E-2</v>
      </c>
      <c r="H491" s="986">
        <v>4.0000000000000001E-3</v>
      </c>
      <c r="I491" s="986">
        <f t="shared" si="7"/>
        <v>4.5399999999999996E-2</v>
      </c>
      <c r="J491" s="988">
        <v>24381</v>
      </c>
    </row>
    <row r="492" spans="2:10" ht="13.8">
      <c r="B492" s="988">
        <v>24412</v>
      </c>
      <c r="C492" s="987" t="s">
        <v>4626</v>
      </c>
      <c r="F492" s="990">
        <v>9.4999999999999998E-3</v>
      </c>
      <c r="H492" s="986">
        <v>3.8E-3</v>
      </c>
      <c r="I492" s="986">
        <f t="shared" si="7"/>
        <v>5.7000000000000002E-3</v>
      </c>
      <c r="J492" s="988">
        <v>24412</v>
      </c>
    </row>
    <row r="493" spans="2:10" ht="13.8">
      <c r="B493" s="988">
        <v>24442</v>
      </c>
      <c r="C493" s="987" t="s">
        <v>4626</v>
      </c>
      <c r="F493" s="990">
        <v>2.0000000000000001E-4</v>
      </c>
      <c r="H493" s="986">
        <v>3.8999999999999998E-3</v>
      </c>
      <c r="I493" s="986">
        <f t="shared" si="7"/>
        <v>-3.6999999999999997E-3</v>
      </c>
      <c r="J493" s="988">
        <v>24442</v>
      </c>
    </row>
    <row r="494" spans="2:10" ht="13.8">
      <c r="B494" s="988">
        <v>24473</v>
      </c>
      <c r="C494" s="987" t="s">
        <v>4626</v>
      </c>
      <c r="F494" s="990">
        <v>7.9799999999999996E-2</v>
      </c>
      <c r="H494" s="986">
        <v>4.0000000000000001E-3</v>
      </c>
      <c r="I494" s="986">
        <f t="shared" si="7"/>
        <v>7.5799999999999992E-2</v>
      </c>
      <c r="J494" s="988">
        <v>24473</v>
      </c>
    </row>
    <row r="495" spans="2:10" ht="13.8">
      <c r="B495" s="988">
        <v>24504</v>
      </c>
      <c r="C495" s="987" t="s">
        <v>4626</v>
      </c>
      <c r="F495" s="990">
        <v>7.1999999999999998E-3</v>
      </c>
      <c r="H495" s="986">
        <v>3.3999999999999998E-3</v>
      </c>
      <c r="I495" s="986">
        <f t="shared" si="7"/>
        <v>3.8E-3</v>
      </c>
      <c r="J495" s="988">
        <v>24504</v>
      </c>
    </row>
    <row r="496" spans="2:10" ht="13.8">
      <c r="B496" s="988">
        <v>24532</v>
      </c>
      <c r="C496" s="987" t="s">
        <v>4626</v>
      </c>
      <c r="F496" s="990">
        <v>4.0899999999999999E-2</v>
      </c>
      <c r="H496" s="986">
        <v>3.8999999999999998E-3</v>
      </c>
      <c r="I496" s="986">
        <f t="shared" si="7"/>
        <v>3.6999999999999998E-2</v>
      </c>
      <c r="J496" s="988">
        <v>24532</v>
      </c>
    </row>
    <row r="497" spans="2:10" ht="13.8">
      <c r="B497" s="988">
        <v>24563</v>
      </c>
      <c r="C497" s="987" t="s">
        <v>4626</v>
      </c>
      <c r="F497" s="990">
        <v>4.3700000000000003E-2</v>
      </c>
      <c r="H497" s="986">
        <v>3.5000000000000001E-3</v>
      </c>
      <c r="I497" s="986">
        <f t="shared" si="7"/>
        <v>4.02E-2</v>
      </c>
      <c r="J497" s="988">
        <v>24563</v>
      </c>
    </row>
    <row r="498" spans="2:10" ht="13.8">
      <c r="B498" s="988">
        <v>24593</v>
      </c>
      <c r="C498" s="987" t="s">
        <v>4626</v>
      </c>
      <c r="F498" s="990">
        <v>-4.7699999999999999E-2</v>
      </c>
      <c r="H498" s="986">
        <v>4.3E-3</v>
      </c>
      <c r="I498" s="986">
        <f t="shared" si="7"/>
        <v>-5.1999999999999998E-2</v>
      </c>
      <c r="J498" s="988">
        <v>24593</v>
      </c>
    </row>
    <row r="499" spans="2:10" ht="13.8">
      <c r="B499" s="988">
        <v>24624</v>
      </c>
      <c r="C499" s="987" t="s">
        <v>4626</v>
      </c>
      <c r="F499" s="990">
        <v>1.9E-2</v>
      </c>
      <c r="H499" s="986">
        <v>3.8999999999999998E-3</v>
      </c>
      <c r="I499" s="986">
        <f t="shared" si="7"/>
        <v>1.5099999999999999E-2</v>
      </c>
      <c r="J499" s="988">
        <v>24624</v>
      </c>
    </row>
    <row r="500" spans="2:10" ht="13.8">
      <c r="B500" s="988">
        <v>24654</v>
      </c>
      <c r="C500" s="987" t="s">
        <v>4626</v>
      </c>
      <c r="F500" s="990">
        <v>4.6800000000000001E-2</v>
      </c>
      <c r="H500" s="986">
        <v>4.3E-3</v>
      </c>
      <c r="I500" s="986">
        <f t="shared" si="7"/>
        <v>4.2500000000000003E-2</v>
      </c>
      <c r="J500" s="988">
        <v>24654</v>
      </c>
    </row>
    <row r="501" spans="2:10" ht="13.8">
      <c r="B501" s="988">
        <v>24685</v>
      </c>
      <c r="C501" s="987" t="s">
        <v>4626</v>
      </c>
      <c r="F501" s="990">
        <v>-7.0000000000000001E-3</v>
      </c>
      <c r="H501" s="986">
        <v>4.1999999999999997E-3</v>
      </c>
      <c r="I501" s="986">
        <f t="shared" si="7"/>
        <v>-1.12E-2</v>
      </c>
      <c r="J501" s="988">
        <v>24685</v>
      </c>
    </row>
    <row r="502" spans="2:10" ht="13.8">
      <c r="B502" s="988">
        <v>24716</v>
      </c>
      <c r="C502" s="987" t="s">
        <v>4626</v>
      </c>
      <c r="F502" s="990">
        <v>3.4200000000000001E-2</v>
      </c>
      <c r="H502" s="986">
        <v>4.0000000000000001E-3</v>
      </c>
      <c r="I502" s="986">
        <f t="shared" si="7"/>
        <v>3.0200000000000001E-2</v>
      </c>
      <c r="J502" s="988">
        <v>24716</v>
      </c>
    </row>
    <row r="503" spans="2:10" ht="13.8">
      <c r="B503" s="988">
        <v>24746</v>
      </c>
      <c r="C503" s="987" t="s">
        <v>4626</v>
      </c>
      <c r="F503" s="990">
        <v>-2.76E-2</v>
      </c>
      <c r="H503" s="986">
        <v>4.4999999999999997E-3</v>
      </c>
      <c r="I503" s="986">
        <f t="shared" si="7"/>
        <v>-3.2099999999999997E-2</v>
      </c>
      <c r="J503" s="988">
        <v>24746</v>
      </c>
    </row>
    <row r="504" spans="2:10" ht="13.8">
      <c r="B504" s="988">
        <v>24777</v>
      </c>
      <c r="C504" s="987" t="s">
        <v>4626</v>
      </c>
      <c r="F504" s="990">
        <v>6.4999999999999997E-3</v>
      </c>
      <c r="H504" s="986">
        <v>4.4999999999999997E-3</v>
      </c>
      <c r="I504" s="986">
        <f t="shared" si="7"/>
        <v>2E-3</v>
      </c>
      <c r="J504" s="988">
        <v>24777</v>
      </c>
    </row>
    <row r="505" spans="2:10" ht="13.8">
      <c r="B505" s="988">
        <v>24807</v>
      </c>
      <c r="C505" s="987" t="s">
        <v>4626</v>
      </c>
      <c r="F505" s="990">
        <v>2.7799999999999998E-2</v>
      </c>
      <c r="H505" s="986">
        <v>4.4000000000000003E-3</v>
      </c>
      <c r="I505" s="986">
        <f t="shared" si="7"/>
        <v>2.3399999999999997E-2</v>
      </c>
      <c r="J505" s="988">
        <v>24807</v>
      </c>
    </row>
    <row r="506" spans="2:10" ht="13.8">
      <c r="B506" s="988">
        <v>24838</v>
      </c>
      <c r="C506" s="987" t="s">
        <v>4626</v>
      </c>
      <c r="F506" s="990">
        <v>-4.2500000000000003E-2</v>
      </c>
      <c r="H506" s="986">
        <v>5.0000000000000001E-3</v>
      </c>
      <c r="I506" s="986">
        <f t="shared" si="7"/>
        <v>-4.7500000000000001E-2</v>
      </c>
      <c r="J506" s="988">
        <v>24838</v>
      </c>
    </row>
    <row r="507" spans="2:10" ht="13.8">
      <c r="B507" s="988">
        <v>24869</v>
      </c>
      <c r="C507" s="987" t="s">
        <v>4626</v>
      </c>
      <c r="F507" s="990">
        <v>-2.6100000000000002E-2</v>
      </c>
      <c r="H507" s="986">
        <v>4.1999999999999997E-3</v>
      </c>
      <c r="I507" s="986">
        <f t="shared" si="7"/>
        <v>-3.0300000000000001E-2</v>
      </c>
      <c r="J507" s="988">
        <v>24869</v>
      </c>
    </row>
    <row r="508" spans="2:10" ht="13.8">
      <c r="B508" s="988">
        <v>24898</v>
      </c>
      <c r="C508" s="987" t="s">
        <v>4626</v>
      </c>
      <c r="F508" s="990">
        <v>1.0999999999999999E-2</v>
      </c>
      <c r="H508" s="986">
        <v>4.3E-3</v>
      </c>
      <c r="I508" s="986">
        <f t="shared" si="7"/>
        <v>6.6999999999999994E-3</v>
      </c>
      <c r="J508" s="988">
        <v>24898</v>
      </c>
    </row>
    <row r="509" spans="2:10" ht="13.8">
      <c r="B509" s="988">
        <v>24929</v>
      </c>
      <c r="C509" s="987" t="s">
        <v>4626</v>
      </c>
      <c r="F509" s="990">
        <v>8.3400000000000002E-2</v>
      </c>
      <c r="H509" s="986">
        <v>4.8999999999999998E-3</v>
      </c>
      <c r="I509" s="986">
        <f t="shared" si="7"/>
        <v>7.85E-2</v>
      </c>
      <c r="J509" s="988">
        <v>24929</v>
      </c>
    </row>
    <row r="510" spans="2:10" ht="13.8">
      <c r="B510" s="988">
        <v>24959</v>
      </c>
      <c r="C510" s="987" t="s">
        <v>4626</v>
      </c>
      <c r="F510" s="990">
        <v>1.61E-2</v>
      </c>
      <c r="H510" s="986">
        <v>4.5999999999999999E-3</v>
      </c>
      <c r="I510" s="986">
        <f t="shared" si="7"/>
        <v>1.15E-2</v>
      </c>
      <c r="J510" s="988">
        <v>24959</v>
      </c>
    </row>
    <row r="511" spans="2:10" ht="13.8">
      <c r="B511" s="988">
        <v>24990</v>
      </c>
      <c r="C511" s="987" t="s">
        <v>4626</v>
      </c>
      <c r="F511" s="990">
        <v>1.0500000000000001E-2</v>
      </c>
      <c r="H511" s="986">
        <v>4.1999999999999997E-3</v>
      </c>
      <c r="I511" s="986">
        <f t="shared" si="7"/>
        <v>6.3000000000000009E-3</v>
      </c>
      <c r="J511" s="988">
        <v>24990</v>
      </c>
    </row>
    <row r="512" spans="2:10" ht="13.8">
      <c r="B512" s="988">
        <v>25020</v>
      </c>
      <c r="C512" s="987" t="s">
        <v>4626</v>
      </c>
      <c r="F512" s="990">
        <v>-1.72E-2</v>
      </c>
      <c r="H512" s="986">
        <v>4.7999999999999996E-3</v>
      </c>
      <c r="I512" s="986">
        <f t="shared" si="7"/>
        <v>-2.1999999999999999E-2</v>
      </c>
      <c r="J512" s="988">
        <v>25020</v>
      </c>
    </row>
    <row r="513" spans="2:10" ht="13.8">
      <c r="B513" s="988">
        <v>25051</v>
      </c>
      <c r="C513" s="987" t="s">
        <v>4626</v>
      </c>
      <c r="F513" s="990">
        <v>1.6400000000000001E-2</v>
      </c>
      <c r="H513" s="986">
        <v>4.1999999999999997E-3</v>
      </c>
      <c r="I513" s="986">
        <f t="shared" si="7"/>
        <v>1.2200000000000003E-2</v>
      </c>
      <c r="J513" s="988">
        <v>25051</v>
      </c>
    </row>
    <row r="514" spans="2:10" ht="13.8">
      <c r="B514" s="988">
        <v>25082</v>
      </c>
      <c r="C514" s="987" t="s">
        <v>4626</v>
      </c>
      <c r="F514" s="990">
        <v>0.04</v>
      </c>
      <c r="H514" s="986">
        <v>4.4000000000000003E-3</v>
      </c>
      <c r="I514" s="986">
        <f t="shared" ref="I514:I577" si="8">F514-H514</f>
        <v>3.56E-2</v>
      </c>
      <c r="J514" s="988">
        <v>25082</v>
      </c>
    </row>
    <row r="515" spans="2:10" ht="13.8">
      <c r="B515" s="988">
        <v>25112</v>
      </c>
      <c r="C515" s="987" t="s">
        <v>4626</v>
      </c>
      <c r="F515" s="990">
        <v>8.6999999999999994E-3</v>
      </c>
      <c r="H515" s="986">
        <v>4.4999999999999997E-3</v>
      </c>
      <c r="I515" s="986">
        <f t="shared" si="8"/>
        <v>4.1999999999999997E-3</v>
      </c>
      <c r="J515" s="988">
        <v>25112</v>
      </c>
    </row>
    <row r="516" spans="2:10" ht="13.8">
      <c r="B516" s="988">
        <v>25143</v>
      </c>
      <c r="C516" s="987" t="s">
        <v>4626</v>
      </c>
      <c r="F516" s="990">
        <v>5.3100000000000001E-2</v>
      </c>
      <c r="H516" s="986">
        <v>4.3E-3</v>
      </c>
      <c r="I516" s="986">
        <f t="shared" si="8"/>
        <v>4.8800000000000003E-2</v>
      </c>
      <c r="J516" s="988">
        <v>25143</v>
      </c>
    </row>
    <row r="517" spans="2:10" ht="13.8">
      <c r="B517" s="988">
        <v>25173</v>
      </c>
      <c r="C517" s="987" t="s">
        <v>4626</v>
      </c>
      <c r="F517" s="990">
        <v>-4.02E-2</v>
      </c>
      <c r="H517" s="986">
        <v>4.8999999999999998E-3</v>
      </c>
      <c r="I517" s="986">
        <f t="shared" si="8"/>
        <v>-4.5100000000000001E-2</v>
      </c>
      <c r="J517" s="988">
        <v>25173</v>
      </c>
    </row>
    <row r="518" spans="2:10" ht="13.8">
      <c r="B518" s="988">
        <v>25204</v>
      </c>
      <c r="C518" s="987" t="s">
        <v>4626</v>
      </c>
      <c r="F518" s="990">
        <v>-6.7999999999999996E-3</v>
      </c>
      <c r="H518" s="986">
        <v>5.0000000000000001E-3</v>
      </c>
      <c r="I518" s="986">
        <f t="shared" si="8"/>
        <v>-1.18E-2</v>
      </c>
      <c r="J518" s="988">
        <v>25204</v>
      </c>
    </row>
    <row r="519" spans="2:10" ht="13.8">
      <c r="B519" s="988">
        <v>25235</v>
      </c>
      <c r="C519" s="987" t="s">
        <v>4626</v>
      </c>
      <c r="F519" s="990">
        <v>-4.2599999999999999E-2</v>
      </c>
      <c r="H519" s="986">
        <v>4.5999999999999999E-3</v>
      </c>
      <c r="I519" s="986">
        <f t="shared" si="8"/>
        <v>-4.7199999999999999E-2</v>
      </c>
      <c r="J519" s="988">
        <v>25235</v>
      </c>
    </row>
    <row r="520" spans="2:10" ht="13.8">
      <c r="B520" s="988">
        <v>25263</v>
      </c>
      <c r="C520" s="987" t="s">
        <v>4626</v>
      </c>
      <c r="F520" s="990">
        <v>3.5900000000000001E-2</v>
      </c>
      <c r="H520" s="986">
        <v>4.7000000000000002E-3</v>
      </c>
      <c r="I520" s="986">
        <f t="shared" si="8"/>
        <v>3.1200000000000002E-2</v>
      </c>
      <c r="J520" s="988">
        <v>25263</v>
      </c>
    </row>
    <row r="521" spans="2:10" ht="13.8">
      <c r="B521" s="988">
        <v>25294</v>
      </c>
      <c r="C521" s="987" t="s">
        <v>4626</v>
      </c>
      <c r="F521" s="990">
        <v>2.29E-2</v>
      </c>
      <c r="H521" s="986">
        <v>5.4999999999999997E-3</v>
      </c>
      <c r="I521" s="986">
        <f t="shared" si="8"/>
        <v>1.7399999999999999E-2</v>
      </c>
      <c r="J521" s="988">
        <v>25294</v>
      </c>
    </row>
    <row r="522" spans="2:10" ht="13.8">
      <c r="B522" s="988">
        <v>25324</v>
      </c>
      <c r="C522" s="987" t="s">
        <v>4626</v>
      </c>
      <c r="F522" s="990">
        <v>2.5999999999999999E-3</v>
      </c>
      <c r="H522" s="986">
        <v>4.7000000000000002E-3</v>
      </c>
      <c r="I522" s="986">
        <f t="shared" si="8"/>
        <v>-2.1000000000000003E-3</v>
      </c>
      <c r="J522" s="988">
        <v>25324</v>
      </c>
    </row>
    <row r="523" spans="2:10" ht="13.8">
      <c r="B523" s="988">
        <v>25355</v>
      </c>
      <c r="C523" s="987" t="s">
        <v>4626</v>
      </c>
      <c r="F523" s="990">
        <v>-5.4199999999999998E-2</v>
      </c>
      <c r="H523" s="986">
        <v>5.4999999999999997E-3</v>
      </c>
      <c r="I523" s="986">
        <f t="shared" si="8"/>
        <v>-5.9699999999999996E-2</v>
      </c>
      <c r="J523" s="988">
        <v>25355</v>
      </c>
    </row>
    <row r="524" spans="2:10" ht="13.8">
      <c r="B524" s="988">
        <v>25385</v>
      </c>
      <c r="C524" s="987" t="s">
        <v>4626</v>
      </c>
      <c r="F524" s="990">
        <v>-5.8700000000000002E-2</v>
      </c>
      <c r="H524" s="986">
        <v>5.1999999999999998E-3</v>
      </c>
      <c r="I524" s="986">
        <f t="shared" si="8"/>
        <v>-6.3899999999999998E-2</v>
      </c>
      <c r="J524" s="988">
        <v>25385</v>
      </c>
    </row>
    <row r="525" spans="2:10" ht="13.8">
      <c r="B525" s="988">
        <v>25416</v>
      </c>
      <c r="C525" s="987" t="s">
        <v>4626</v>
      </c>
      <c r="F525" s="990">
        <v>4.5400000000000003E-2</v>
      </c>
      <c r="H525" s="986">
        <v>4.7999999999999996E-3</v>
      </c>
      <c r="I525" s="986">
        <f t="shared" si="8"/>
        <v>4.0600000000000004E-2</v>
      </c>
      <c r="J525" s="988">
        <v>25416</v>
      </c>
    </row>
    <row r="526" spans="2:10" ht="13.8">
      <c r="B526" s="988">
        <v>25447</v>
      </c>
      <c r="C526" s="987" t="s">
        <v>4626</v>
      </c>
      <c r="F526" s="990">
        <v>-2.3599999999999999E-2</v>
      </c>
      <c r="H526" s="986">
        <v>5.4999999999999997E-3</v>
      </c>
      <c r="I526" s="986">
        <f t="shared" si="8"/>
        <v>-2.9100000000000001E-2</v>
      </c>
      <c r="J526" s="988">
        <v>25447</v>
      </c>
    </row>
    <row r="527" spans="2:10" ht="13.8">
      <c r="B527" s="988">
        <v>25477</v>
      </c>
      <c r="C527" s="987" t="s">
        <v>4626</v>
      </c>
      <c r="F527" s="990">
        <v>4.5900000000000003E-2</v>
      </c>
      <c r="H527" s="986">
        <v>5.7000000000000002E-3</v>
      </c>
      <c r="I527" s="986">
        <f t="shared" si="8"/>
        <v>4.02E-2</v>
      </c>
      <c r="J527" s="988">
        <v>25477</v>
      </c>
    </row>
    <row r="528" spans="2:10" ht="13.8">
      <c r="B528" s="988">
        <v>25508</v>
      </c>
      <c r="C528" s="987" t="s">
        <v>4626</v>
      </c>
      <c r="F528" s="990">
        <v>-2.9700000000000001E-2</v>
      </c>
      <c r="H528" s="986">
        <v>4.8999999999999998E-3</v>
      </c>
      <c r="I528" s="986">
        <f t="shared" si="8"/>
        <v>-3.4599999999999999E-2</v>
      </c>
      <c r="J528" s="988">
        <v>25508</v>
      </c>
    </row>
    <row r="529" spans="2:10" ht="13.8">
      <c r="B529" s="988">
        <v>25538</v>
      </c>
      <c r="C529" s="987" t="s">
        <v>4626</v>
      </c>
      <c r="F529" s="990">
        <v>-1.77E-2</v>
      </c>
      <c r="H529" s="986">
        <v>6.0000000000000001E-3</v>
      </c>
      <c r="I529" s="986">
        <f t="shared" si="8"/>
        <v>-2.3699999999999999E-2</v>
      </c>
      <c r="J529" s="988">
        <v>25538</v>
      </c>
    </row>
    <row r="530" spans="2:10" ht="13.8">
      <c r="B530" s="988">
        <v>25569</v>
      </c>
      <c r="C530" s="987" t="s">
        <v>4626</v>
      </c>
      <c r="F530" s="990">
        <v>-7.4300000000000005E-2</v>
      </c>
      <c r="H530" s="986">
        <v>5.5999999999999999E-3</v>
      </c>
      <c r="I530" s="986">
        <f t="shared" si="8"/>
        <v>-7.9899999999999999E-2</v>
      </c>
      <c r="J530" s="988">
        <v>25569</v>
      </c>
    </row>
    <row r="531" spans="2:10" ht="13.8">
      <c r="B531" s="988">
        <v>25600</v>
      </c>
      <c r="C531" s="987" t="s">
        <v>4626</v>
      </c>
      <c r="F531" s="990">
        <v>5.8599999999999999E-2</v>
      </c>
      <c r="H531" s="986">
        <v>5.1999999999999998E-3</v>
      </c>
      <c r="I531" s="986">
        <f t="shared" si="8"/>
        <v>5.3400000000000003E-2</v>
      </c>
      <c r="J531" s="988">
        <v>25600</v>
      </c>
    </row>
    <row r="532" spans="2:10" ht="13.8">
      <c r="B532" s="988">
        <v>25628</v>
      </c>
      <c r="C532" s="987" t="s">
        <v>4626</v>
      </c>
      <c r="F532" s="990">
        <v>3.0000000000000001E-3</v>
      </c>
      <c r="H532" s="986">
        <v>5.5999999999999999E-3</v>
      </c>
      <c r="I532" s="986">
        <f t="shared" si="8"/>
        <v>-2.5999999999999999E-3</v>
      </c>
      <c r="J532" s="988">
        <v>25628</v>
      </c>
    </row>
    <row r="533" spans="2:10" ht="13.8">
      <c r="B533" s="988">
        <v>25659</v>
      </c>
      <c r="C533" s="987" t="s">
        <v>4626</v>
      </c>
      <c r="F533" s="990">
        <v>-8.8900000000000007E-2</v>
      </c>
      <c r="H533" s="986">
        <v>5.4000000000000003E-3</v>
      </c>
      <c r="I533" s="986">
        <f t="shared" si="8"/>
        <v>-9.4300000000000009E-2</v>
      </c>
      <c r="J533" s="988">
        <v>25659</v>
      </c>
    </row>
    <row r="534" spans="2:10" ht="13.8">
      <c r="B534" s="988">
        <v>25689</v>
      </c>
      <c r="C534" s="987" t="s">
        <v>4626</v>
      </c>
      <c r="F534" s="990">
        <v>-5.4699999999999999E-2</v>
      </c>
      <c r="H534" s="986">
        <v>5.4999999999999997E-3</v>
      </c>
      <c r="I534" s="986">
        <f t="shared" si="8"/>
        <v>-6.0199999999999997E-2</v>
      </c>
      <c r="J534" s="988">
        <v>25689</v>
      </c>
    </row>
    <row r="535" spans="2:10" ht="13.8">
      <c r="B535" s="988">
        <v>25720</v>
      </c>
      <c r="C535" s="987" t="s">
        <v>4626</v>
      </c>
      <c r="F535" s="990">
        <v>-4.82E-2</v>
      </c>
      <c r="H535" s="986">
        <v>6.4000000000000003E-3</v>
      </c>
      <c r="I535" s="986">
        <f t="shared" si="8"/>
        <v>-5.4600000000000003E-2</v>
      </c>
      <c r="J535" s="988">
        <v>25720</v>
      </c>
    </row>
    <row r="536" spans="2:10" ht="13.8">
      <c r="B536" s="988">
        <v>25750</v>
      </c>
      <c r="C536" s="987" t="s">
        <v>4626</v>
      </c>
      <c r="F536" s="990">
        <v>7.5200000000000003E-2</v>
      </c>
      <c r="H536" s="986">
        <v>5.8999999999999999E-3</v>
      </c>
      <c r="I536" s="986">
        <f t="shared" si="8"/>
        <v>6.93E-2</v>
      </c>
      <c r="J536" s="988">
        <v>25750</v>
      </c>
    </row>
    <row r="537" spans="2:10" ht="13.8">
      <c r="B537" s="988">
        <v>25781</v>
      </c>
      <c r="C537" s="987" t="s">
        <v>4626</v>
      </c>
      <c r="F537" s="990">
        <v>5.0900000000000001E-2</v>
      </c>
      <c r="H537" s="986">
        <v>5.7000000000000002E-3</v>
      </c>
      <c r="I537" s="986">
        <f t="shared" si="8"/>
        <v>4.5200000000000004E-2</v>
      </c>
      <c r="J537" s="988">
        <v>25781</v>
      </c>
    </row>
    <row r="538" spans="2:10" ht="13.8">
      <c r="B538" s="988">
        <v>25812</v>
      </c>
      <c r="C538" s="987" t="s">
        <v>4626</v>
      </c>
      <c r="F538" s="990">
        <v>3.4700000000000002E-2</v>
      </c>
      <c r="H538" s="986">
        <v>5.5999999999999999E-3</v>
      </c>
      <c r="I538" s="986">
        <f t="shared" si="8"/>
        <v>2.9100000000000001E-2</v>
      </c>
      <c r="J538" s="988">
        <v>25812</v>
      </c>
    </row>
    <row r="539" spans="2:10" ht="13.8">
      <c r="B539" s="988">
        <v>25842</v>
      </c>
      <c r="C539" s="987" t="s">
        <v>4626</v>
      </c>
      <c r="F539" s="990">
        <v>-9.7000000000000003E-3</v>
      </c>
      <c r="H539" s="986">
        <v>5.4999999999999997E-3</v>
      </c>
      <c r="I539" s="986">
        <f t="shared" si="8"/>
        <v>-1.52E-2</v>
      </c>
      <c r="J539" s="988">
        <v>25842</v>
      </c>
    </row>
    <row r="540" spans="2:10" ht="13.8">
      <c r="B540" s="988">
        <v>25873</v>
      </c>
      <c r="C540" s="987" t="s">
        <v>4626</v>
      </c>
      <c r="F540" s="990">
        <v>5.3600000000000002E-2</v>
      </c>
      <c r="H540" s="986">
        <v>5.7999999999999996E-3</v>
      </c>
      <c r="I540" s="986">
        <f t="shared" si="8"/>
        <v>4.7800000000000002E-2</v>
      </c>
      <c r="J540" s="988">
        <v>25873</v>
      </c>
    </row>
    <row r="541" spans="2:10" ht="13.8">
      <c r="B541" s="988">
        <v>25903</v>
      </c>
      <c r="C541" s="987" t="s">
        <v>4626</v>
      </c>
      <c r="F541" s="990">
        <v>5.8400000000000001E-2</v>
      </c>
      <c r="H541" s="986">
        <v>5.3E-3</v>
      </c>
      <c r="I541" s="986">
        <f t="shared" si="8"/>
        <v>5.3100000000000001E-2</v>
      </c>
      <c r="J541" s="988">
        <v>25903</v>
      </c>
    </row>
    <row r="542" spans="2:10" ht="13.8">
      <c r="B542" s="988">
        <v>25934</v>
      </c>
      <c r="C542" s="987" t="s">
        <v>4626</v>
      </c>
      <c r="F542" s="990">
        <v>4.19E-2</v>
      </c>
      <c r="H542" s="986">
        <v>5.1000000000000004E-3</v>
      </c>
      <c r="I542" s="986">
        <f t="shared" si="8"/>
        <v>3.6799999999999999E-2</v>
      </c>
      <c r="J542" s="988">
        <v>25934</v>
      </c>
    </row>
    <row r="543" spans="2:10" ht="13.8">
      <c r="B543" s="988">
        <v>25965</v>
      </c>
      <c r="C543" s="987" t="s">
        <v>4626</v>
      </c>
      <c r="F543" s="990">
        <v>1.41E-2</v>
      </c>
      <c r="H543" s="986">
        <v>4.5999999999999999E-3</v>
      </c>
      <c r="I543" s="986">
        <f t="shared" si="8"/>
        <v>9.4999999999999998E-3</v>
      </c>
      <c r="J543" s="988">
        <v>25965</v>
      </c>
    </row>
    <row r="544" spans="2:10" ht="13.8">
      <c r="B544" s="988">
        <v>25993</v>
      </c>
      <c r="C544" s="987" t="s">
        <v>4626</v>
      </c>
      <c r="F544" s="990">
        <v>3.8199999999999998E-2</v>
      </c>
      <c r="H544" s="986">
        <v>5.5999999999999999E-3</v>
      </c>
      <c r="I544" s="986">
        <f t="shared" si="8"/>
        <v>3.2599999999999997E-2</v>
      </c>
      <c r="J544" s="988">
        <v>25993</v>
      </c>
    </row>
    <row r="545" spans="2:10" ht="13.8">
      <c r="B545" s="988">
        <v>26024</v>
      </c>
      <c r="C545" s="987" t="s">
        <v>4626</v>
      </c>
      <c r="F545" s="990">
        <v>3.7699999999999997E-2</v>
      </c>
      <c r="H545" s="986">
        <v>4.7999999999999996E-3</v>
      </c>
      <c r="I545" s="986">
        <f t="shared" si="8"/>
        <v>3.2899999999999999E-2</v>
      </c>
      <c r="J545" s="988">
        <v>26024</v>
      </c>
    </row>
    <row r="546" spans="2:10" ht="13.8">
      <c r="B546" s="988">
        <v>26054</v>
      </c>
      <c r="C546" s="987" t="s">
        <v>4626</v>
      </c>
      <c r="F546" s="990">
        <v>-3.6700000000000003E-2</v>
      </c>
      <c r="H546" s="986">
        <v>4.7000000000000002E-3</v>
      </c>
      <c r="I546" s="986">
        <f t="shared" si="8"/>
        <v>-4.1400000000000006E-2</v>
      </c>
      <c r="J546" s="988">
        <v>26054</v>
      </c>
    </row>
    <row r="547" spans="2:10" ht="13.8">
      <c r="B547" s="988">
        <v>26085</v>
      </c>
      <c r="C547" s="987" t="s">
        <v>4626</v>
      </c>
      <c r="F547" s="990">
        <v>2.0999999999999999E-3</v>
      </c>
      <c r="H547" s="986">
        <v>5.5999999999999999E-3</v>
      </c>
      <c r="I547" s="986">
        <f t="shared" si="8"/>
        <v>-3.5000000000000001E-3</v>
      </c>
      <c r="J547" s="988">
        <v>26085</v>
      </c>
    </row>
    <row r="548" spans="2:10" ht="13.8">
      <c r="B548" s="988">
        <v>26115</v>
      </c>
      <c r="C548" s="987" t="s">
        <v>4626</v>
      </c>
      <c r="F548" s="990">
        <v>-3.9899999999999998E-2</v>
      </c>
      <c r="H548" s="986">
        <v>5.1999999999999998E-3</v>
      </c>
      <c r="I548" s="986">
        <f t="shared" si="8"/>
        <v>-4.5100000000000001E-2</v>
      </c>
      <c r="J548" s="988">
        <v>26115</v>
      </c>
    </row>
    <row r="549" spans="2:10" ht="13.8">
      <c r="B549" s="988">
        <v>26146</v>
      </c>
      <c r="C549" s="987" t="s">
        <v>4626</v>
      </c>
      <c r="F549" s="990">
        <v>4.1200000000000001E-2</v>
      </c>
      <c r="H549" s="986">
        <v>5.4999999999999997E-3</v>
      </c>
      <c r="I549" s="986">
        <f t="shared" si="8"/>
        <v>3.5700000000000003E-2</v>
      </c>
      <c r="J549" s="988">
        <v>26146</v>
      </c>
    </row>
    <row r="550" spans="2:10" ht="13.8">
      <c r="B550" s="988">
        <v>26177</v>
      </c>
      <c r="C550" s="987" t="s">
        <v>4626</v>
      </c>
      <c r="F550" s="990">
        <v>-5.5999999999999999E-3</v>
      </c>
      <c r="H550" s="986">
        <v>4.8999999999999998E-3</v>
      </c>
      <c r="I550" s="986">
        <f t="shared" si="8"/>
        <v>-1.0499999999999999E-2</v>
      </c>
      <c r="J550" s="988">
        <v>26177</v>
      </c>
    </row>
    <row r="551" spans="2:10" ht="13.8">
      <c r="B551" s="988">
        <v>26207</v>
      </c>
      <c r="C551" s="987" t="s">
        <v>4626</v>
      </c>
      <c r="F551" s="990">
        <v>-4.0399999999999998E-2</v>
      </c>
      <c r="H551" s="986">
        <v>4.7000000000000002E-3</v>
      </c>
      <c r="I551" s="986">
        <f t="shared" si="8"/>
        <v>-4.5100000000000001E-2</v>
      </c>
      <c r="J551" s="988">
        <v>26207</v>
      </c>
    </row>
    <row r="552" spans="2:10" ht="13.8">
      <c r="B552" s="988">
        <v>26238</v>
      </c>
      <c r="C552" s="987" t="s">
        <v>4626</v>
      </c>
      <c r="F552" s="990">
        <v>2.7000000000000001E-3</v>
      </c>
      <c r="H552" s="986">
        <v>5.1000000000000004E-3</v>
      </c>
      <c r="I552" s="986">
        <f t="shared" si="8"/>
        <v>-2.4000000000000002E-3</v>
      </c>
      <c r="J552" s="988">
        <v>26238</v>
      </c>
    </row>
    <row r="553" spans="2:10" ht="13.8">
      <c r="B553" s="988">
        <v>26268</v>
      </c>
      <c r="C553" s="987" t="s">
        <v>4626</v>
      </c>
      <c r="F553" s="990">
        <v>8.77E-2</v>
      </c>
      <c r="H553" s="986">
        <v>5.0000000000000001E-3</v>
      </c>
      <c r="I553" s="986">
        <f t="shared" si="8"/>
        <v>8.2699999999999996E-2</v>
      </c>
      <c r="J553" s="988">
        <v>26268</v>
      </c>
    </row>
    <row r="554" spans="2:10" ht="13.8">
      <c r="B554" s="988">
        <v>26299</v>
      </c>
      <c r="C554" s="987" t="s">
        <v>4626</v>
      </c>
      <c r="F554" s="990">
        <v>1.9400000000000001E-2</v>
      </c>
      <c r="H554" s="986">
        <v>5.0000000000000001E-3</v>
      </c>
      <c r="I554" s="986">
        <f t="shared" si="8"/>
        <v>1.44E-2</v>
      </c>
      <c r="J554" s="988">
        <v>26299</v>
      </c>
    </row>
    <row r="555" spans="2:10" ht="13.8">
      <c r="B555" s="988">
        <v>26330</v>
      </c>
      <c r="C555" s="987" t="s">
        <v>4626</v>
      </c>
      <c r="F555" s="990">
        <v>2.9899999999999999E-2</v>
      </c>
      <c r="H555" s="986">
        <v>4.7000000000000002E-3</v>
      </c>
      <c r="I555" s="986">
        <f t="shared" si="8"/>
        <v>2.52E-2</v>
      </c>
      <c r="J555" s="988">
        <v>26330</v>
      </c>
    </row>
    <row r="556" spans="2:10" ht="13.8">
      <c r="B556" s="988">
        <v>26359</v>
      </c>
      <c r="C556" s="987" t="s">
        <v>4626</v>
      </c>
      <c r="F556" s="990">
        <v>7.1999999999999998E-3</v>
      </c>
      <c r="H556" s="986">
        <v>4.8999999999999998E-3</v>
      </c>
      <c r="I556" s="986">
        <f t="shared" si="8"/>
        <v>2.3E-3</v>
      </c>
      <c r="J556" s="988">
        <v>26359</v>
      </c>
    </row>
    <row r="557" spans="2:10" ht="13.8">
      <c r="B557" s="988">
        <v>26390</v>
      </c>
      <c r="C557" s="987" t="s">
        <v>4626</v>
      </c>
      <c r="F557" s="990">
        <v>5.7000000000000002E-3</v>
      </c>
      <c r="H557" s="986">
        <v>4.7999999999999996E-3</v>
      </c>
      <c r="I557" s="986">
        <f t="shared" si="8"/>
        <v>9.0000000000000063E-4</v>
      </c>
      <c r="J557" s="988">
        <v>26390</v>
      </c>
    </row>
    <row r="558" spans="2:10" ht="13.8">
      <c r="B558" s="988">
        <v>26420</v>
      </c>
      <c r="C558" s="987" t="s">
        <v>4626</v>
      </c>
      <c r="F558" s="990">
        <v>2.1899999999999999E-2</v>
      </c>
      <c r="H558" s="986">
        <v>5.4999999999999997E-3</v>
      </c>
      <c r="I558" s="986">
        <f t="shared" si="8"/>
        <v>1.6399999999999998E-2</v>
      </c>
      <c r="J558" s="988">
        <v>26420</v>
      </c>
    </row>
    <row r="559" spans="2:10" ht="13.8">
      <c r="B559" s="988">
        <v>26451</v>
      </c>
      <c r="C559" s="987" t="s">
        <v>4626</v>
      </c>
      <c r="F559" s="990">
        <v>-2.0500000000000001E-2</v>
      </c>
      <c r="H559" s="986">
        <v>4.8999999999999998E-3</v>
      </c>
      <c r="I559" s="986">
        <f t="shared" si="8"/>
        <v>-2.5399999999999999E-2</v>
      </c>
      <c r="J559" s="988">
        <v>26451</v>
      </c>
    </row>
    <row r="560" spans="2:10" ht="13.8">
      <c r="B560" s="988">
        <v>26481</v>
      </c>
      <c r="C560" s="987" t="s">
        <v>4626</v>
      </c>
      <c r="F560" s="990">
        <v>3.5999999999999999E-3</v>
      </c>
      <c r="H560" s="986">
        <v>5.1000000000000004E-3</v>
      </c>
      <c r="I560" s="986">
        <f t="shared" si="8"/>
        <v>-1.5000000000000005E-3</v>
      </c>
      <c r="J560" s="988">
        <v>26481</v>
      </c>
    </row>
    <row r="561" spans="2:10" ht="13.8">
      <c r="B561" s="988">
        <v>26512</v>
      </c>
      <c r="C561" s="987" t="s">
        <v>4626</v>
      </c>
      <c r="F561" s="990">
        <v>3.9100000000000003E-2</v>
      </c>
      <c r="H561" s="986">
        <v>4.8999999999999998E-3</v>
      </c>
      <c r="I561" s="986">
        <f t="shared" si="8"/>
        <v>3.4200000000000001E-2</v>
      </c>
      <c r="J561" s="988">
        <v>26512</v>
      </c>
    </row>
    <row r="562" spans="2:10" ht="13.8">
      <c r="B562" s="988">
        <v>26543</v>
      </c>
      <c r="C562" s="987" t="s">
        <v>4626</v>
      </c>
      <c r="F562" s="990">
        <v>-3.5999999999999999E-3</v>
      </c>
      <c r="H562" s="986">
        <v>4.7000000000000002E-3</v>
      </c>
      <c r="I562" s="986">
        <f t="shared" si="8"/>
        <v>-8.3000000000000001E-3</v>
      </c>
      <c r="J562" s="988">
        <v>26543</v>
      </c>
    </row>
    <row r="563" spans="2:10" ht="13.8">
      <c r="B563" s="988">
        <v>26573</v>
      </c>
      <c r="C563" s="987" t="s">
        <v>4626</v>
      </c>
      <c r="F563" s="990">
        <v>1.0699999999999999E-2</v>
      </c>
      <c r="H563" s="986">
        <v>5.1999999999999998E-3</v>
      </c>
      <c r="I563" s="986">
        <f t="shared" si="8"/>
        <v>5.4999999999999997E-3</v>
      </c>
      <c r="J563" s="988">
        <v>26573</v>
      </c>
    </row>
    <row r="564" spans="2:10" ht="13.8">
      <c r="B564" s="988">
        <v>26604</v>
      </c>
      <c r="C564" s="987" t="s">
        <v>4626</v>
      </c>
      <c r="F564" s="990">
        <v>5.0500000000000003E-2</v>
      </c>
      <c r="H564" s="986">
        <v>4.7999999999999996E-3</v>
      </c>
      <c r="I564" s="986">
        <f t="shared" si="8"/>
        <v>4.5700000000000005E-2</v>
      </c>
      <c r="J564" s="988">
        <v>26604</v>
      </c>
    </row>
    <row r="565" spans="2:10" ht="13.8">
      <c r="B565" s="988">
        <v>26634</v>
      </c>
      <c r="C565" s="987" t="s">
        <v>4626</v>
      </c>
      <c r="F565" s="990">
        <v>1.3100000000000001E-2</v>
      </c>
      <c r="H565" s="986">
        <v>4.4999999999999997E-3</v>
      </c>
      <c r="I565" s="986">
        <f t="shared" si="8"/>
        <v>8.6E-3</v>
      </c>
      <c r="J565" s="988">
        <v>26634</v>
      </c>
    </row>
    <row r="566" spans="2:10" ht="13.8">
      <c r="B566" s="988">
        <v>26665</v>
      </c>
      <c r="C566" s="987" t="s">
        <v>4626</v>
      </c>
      <c r="F566" s="990">
        <v>-1.5900000000000001E-2</v>
      </c>
      <c r="H566" s="986">
        <v>5.4000000000000003E-3</v>
      </c>
      <c r="I566" s="986">
        <f t="shared" si="8"/>
        <v>-2.1299999999999999E-2</v>
      </c>
      <c r="J566" s="988">
        <v>26665</v>
      </c>
    </row>
    <row r="567" spans="2:10" ht="13.8">
      <c r="B567" s="988">
        <v>26696</v>
      </c>
      <c r="C567" s="987" t="s">
        <v>4626</v>
      </c>
      <c r="F567" s="990">
        <v>-3.3300000000000003E-2</v>
      </c>
      <c r="H567" s="986">
        <v>5.1000000000000004E-3</v>
      </c>
      <c r="I567" s="986">
        <f t="shared" si="8"/>
        <v>-3.8400000000000004E-2</v>
      </c>
      <c r="J567" s="988">
        <v>26696</v>
      </c>
    </row>
    <row r="568" spans="2:10" ht="13.8">
      <c r="B568" s="988">
        <v>26724</v>
      </c>
      <c r="C568" s="987" t="s">
        <v>4626</v>
      </c>
      <c r="F568" s="990">
        <v>-2.0000000000000001E-4</v>
      </c>
      <c r="H568" s="986">
        <v>5.5999999999999999E-3</v>
      </c>
      <c r="I568" s="986">
        <f t="shared" si="8"/>
        <v>-5.7999999999999996E-3</v>
      </c>
      <c r="J568" s="988">
        <v>26724</v>
      </c>
    </row>
    <row r="569" spans="2:10" ht="13.8">
      <c r="B569" s="988">
        <v>26755</v>
      </c>
      <c r="C569" s="987" t="s">
        <v>4626</v>
      </c>
      <c r="F569" s="990">
        <v>-3.95E-2</v>
      </c>
      <c r="H569" s="986">
        <v>5.7000000000000002E-3</v>
      </c>
      <c r="I569" s="986">
        <f t="shared" si="8"/>
        <v>-4.5200000000000004E-2</v>
      </c>
      <c r="J569" s="988">
        <v>26755</v>
      </c>
    </row>
    <row r="570" spans="2:10" ht="13.8">
      <c r="B570" s="988">
        <v>26785</v>
      </c>
      <c r="C570" s="987" t="s">
        <v>4626</v>
      </c>
      <c r="F570" s="990">
        <v>-1.3899999999999999E-2</v>
      </c>
      <c r="H570" s="986">
        <v>5.7999999999999996E-3</v>
      </c>
      <c r="I570" s="986">
        <f t="shared" si="8"/>
        <v>-1.9699999999999999E-2</v>
      </c>
      <c r="J570" s="988">
        <v>26785</v>
      </c>
    </row>
    <row r="571" spans="2:10" ht="13.8">
      <c r="B571" s="988">
        <v>26816</v>
      </c>
      <c r="C571" s="987" t="s">
        <v>4626</v>
      </c>
      <c r="F571" s="990">
        <v>-5.1000000000000004E-3</v>
      </c>
      <c r="H571" s="986">
        <v>5.4999999999999997E-3</v>
      </c>
      <c r="I571" s="986">
        <f t="shared" si="8"/>
        <v>-1.06E-2</v>
      </c>
      <c r="J571" s="988">
        <v>26816</v>
      </c>
    </row>
    <row r="572" spans="2:10" ht="13.8">
      <c r="B572" s="988">
        <v>26846</v>
      </c>
      <c r="C572" s="987" t="s">
        <v>4626</v>
      </c>
      <c r="F572" s="990">
        <v>3.9399999999999998E-2</v>
      </c>
      <c r="H572" s="986">
        <v>6.1000000000000004E-3</v>
      </c>
      <c r="I572" s="986">
        <f t="shared" si="8"/>
        <v>3.3299999999999996E-2</v>
      </c>
      <c r="J572" s="988">
        <v>26846</v>
      </c>
    </row>
    <row r="573" spans="2:10" ht="13.8">
      <c r="B573" s="988">
        <v>26877</v>
      </c>
      <c r="C573" s="987" t="s">
        <v>4626</v>
      </c>
      <c r="F573" s="990">
        <v>-3.1800000000000002E-2</v>
      </c>
      <c r="H573" s="986">
        <v>6.1999999999999998E-3</v>
      </c>
      <c r="I573" s="986">
        <f t="shared" si="8"/>
        <v>-3.7999999999999999E-2</v>
      </c>
      <c r="J573" s="988">
        <v>26877</v>
      </c>
    </row>
    <row r="574" spans="2:10" ht="13.8">
      <c r="B574" s="988">
        <v>26908</v>
      </c>
      <c r="C574" s="987" t="s">
        <v>4626</v>
      </c>
      <c r="F574" s="990">
        <v>4.1500000000000002E-2</v>
      </c>
      <c r="H574" s="986">
        <v>5.4999999999999997E-3</v>
      </c>
      <c r="I574" s="986">
        <f t="shared" si="8"/>
        <v>3.6000000000000004E-2</v>
      </c>
      <c r="J574" s="988">
        <v>26908</v>
      </c>
    </row>
    <row r="575" spans="2:10" ht="13.8">
      <c r="B575" s="988">
        <v>26938</v>
      </c>
      <c r="C575" s="987" t="s">
        <v>4626</v>
      </c>
      <c r="F575" s="990">
        <v>2.9999999999999997E-4</v>
      </c>
      <c r="H575" s="986">
        <v>6.3E-3</v>
      </c>
      <c r="I575" s="986">
        <f t="shared" si="8"/>
        <v>-6.0000000000000001E-3</v>
      </c>
      <c r="J575" s="988">
        <v>26938</v>
      </c>
    </row>
    <row r="576" spans="2:10" ht="13.8">
      <c r="B576" s="988">
        <v>26969</v>
      </c>
      <c r="C576" s="987" t="s">
        <v>4626</v>
      </c>
      <c r="F576" s="990">
        <v>-0.1082</v>
      </c>
      <c r="H576" s="986">
        <v>5.5999999999999999E-3</v>
      </c>
      <c r="I576" s="986">
        <f t="shared" si="8"/>
        <v>-0.1138</v>
      </c>
      <c r="J576" s="988">
        <v>26969</v>
      </c>
    </row>
    <row r="577" spans="2:10" ht="13.8">
      <c r="B577" s="988">
        <v>26999</v>
      </c>
      <c r="C577" s="987" t="s">
        <v>4626</v>
      </c>
      <c r="F577" s="990">
        <v>1.83E-2</v>
      </c>
      <c r="H577" s="986">
        <v>6.0000000000000001E-3</v>
      </c>
      <c r="I577" s="986">
        <f t="shared" si="8"/>
        <v>1.23E-2</v>
      </c>
      <c r="J577" s="988">
        <v>26999</v>
      </c>
    </row>
    <row r="578" spans="2:10" ht="13.8">
      <c r="B578" s="988">
        <v>27030</v>
      </c>
      <c r="C578" s="987" t="s">
        <v>4626</v>
      </c>
      <c r="F578" s="990">
        <v>-8.5000000000000006E-3</v>
      </c>
      <c r="H578" s="986">
        <v>6.1000000000000004E-3</v>
      </c>
      <c r="I578" s="986">
        <f t="shared" ref="I578:I641" si="9">F578-H578</f>
        <v>-1.4600000000000002E-2</v>
      </c>
      <c r="J578" s="988">
        <v>27030</v>
      </c>
    </row>
    <row r="579" spans="2:10" ht="13.8">
      <c r="B579" s="988">
        <v>27061</v>
      </c>
      <c r="C579" s="987" t="s">
        <v>4626</v>
      </c>
      <c r="F579" s="990">
        <v>1.9E-3</v>
      </c>
      <c r="H579" s="986">
        <v>5.4999999999999997E-3</v>
      </c>
      <c r="I579" s="986">
        <f t="shared" si="9"/>
        <v>-3.5999999999999999E-3</v>
      </c>
      <c r="J579" s="988">
        <v>27061</v>
      </c>
    </row>
    <row r="580" spans="2:10" ht="13.8">
      <c r="B580" s="988">
        <v>27089</v>
      </c>
      <c r="C580" s="987" t="s">
        <v>4626</v>
      </c>
      <c r="F580" s="990">
        <v>-2.1700000000000001E-2</v>
      </c>
      <c r="H580" s="986">
        <v>5.7999999999999996E-3</v>
      </c>
      <c r="I580" s="986">
        <f t="shared" si="9"/>
        <v>-2.75E-2</v>
      </c>
      <c r="J580" s="988">
        <v>27089</v>
      </c>
    </row>
    <row r="581" spans="2:10" ht="13.8">
      <c r="B581" s="988">
        <v>27120</v>
      </c>
      <c r="C581" s="987" t="s">
        <v>4626</v>
      </c>
      <c r="F581" s="990">
        <v>-3.73E-2</v>
      </c>
      <c r="H581" s="986">
        <v>6.7999999999999996E-3</v>
      </c>
      <c r="I581" s="986">
        <f t="shared" si="9"/>
        <v>-4.41E-2</v>
      </c>
      <c r="J581" s="988">
        <v>27120</v>
      </c>
    </row>
    <row r="582" spans="2:10" ht="13.8">
      <c r="B582" s="988">
        <v>27150</v>
      </c>
      <c r="C582" s="987" t="s">
        <v>4626</v>
      </c>
      <c r="F582" s="990">
        <v>-2.7199999999999998E-2</v>
      </c>
      <c r="H582" s="986">
        <v>6.7999999999999996E-3</v>
      </c>
      <c r="I582" s="986">
        <f t="shared" si="9"/>
        <v>-3.3999999999999996E-2</v>
      </c>
      <c r="J582" s="988">
        <v>27150</v>
      </c>
    </row>
    <row r="583" spans="2:10" ht="13.8">
      <c r="B583" s="988">
        <v>27181</v>
      </c>
      <c r="C583" s="987" t="s">
        <v>4626</v>
      </c>
      <c r="F583" s="990">
        <v>-1.2800000000000001E-2</v>
      </c>
      <c r="H583" s="986">
        <v>6.1000000000000004E-3</v>
      </c>
      <c r="I583" s="986">
        <f t="shared" si="9"/>
        <v>-1.89E-2</v>
      </c>
      <c r="J583" s="988">
        <v>27181</v>
      </c>
    </row>
    <row r="584" spans="2:10" ht="13.8">
      <c r="B584" s="988">
        <v>27211</v>
      </c>
      <c r="C584" s="987" t="s">
        <v>4626</v>
      </c>
      <c r="F584" s="990">
        <v>-7.5899999999999995E-2</v>
      </c>
      <c r="H584" s="986">
        <v>7.1999999999999998E-3</v>
      </c>
      <c r="I584" s="986">
        <f t="shared" si="9"/>
        <v>-8.3099999999999993E-2</v>
      </c>
      <c r="J584" s="988">
        <v>27211</v>
      </c>
    </row>
    <row r="585" spans="2:10" ht="13.8">
      <c r="B585" s="988">
        <v>27242</v>
      </c>
      <c r="C585" s="987" t="s">
        <v>4626</v>
      </c>
      <c r="F585" s="990">
        <v>-8.2799999999999999E-2</v>
      </c>
      <c r="H585" s="986">
        <v>6.4999999999999997E-3</v>
      </c>
      <c r="I585" s="986">
        <f t="shared" si="9"/>
        <v>-8.9300000000000004E-2</v>
      </c>
      <c r="J585" s="988">
        <v>27242</v>
      </c>
    </row>
    <row r="586" spans="2:10" ht="13.8">
      <c r="B586" s="988">
        <v>27273</v>
      </c>
      <c r="C586" s="987" t="s">
        <v>4626</v>
      </c>
      <c r="F586" s="990">
        <v>-0.11700000000000001</v>
      </c>
      <c r="H586" s="986">
        <v>7.1000000000000004E-3</v>
      </c>
      <c r="I586" s="986">
        <f t="shared" si="9"/>
        <v>-0.1241</v>
      </c>
      <c r="J586" s="988">
        <v>27273</v>
      </c>
    </row>
    <row r="587" spans="2:10" ht="13.8">
      <c r="B587" s="988">
        <v>27303</v>
      </c>
      <c r="C587" s="987" t="s">
        <v>4626</v>
      </c>
      <c r="F587" s="990">
        <v>0.16569999999999999</v>
      </c>
      <c r="H587" s="986">
        <v>7.0000000000000001E-3</v>
      </c>
      <c r="I587" s="986">
        <f t="shared" si="9"/>
        <v>0.15869999999999998</v>
      </c>
      <c r="J587" s="988">
        <v>27303</v>
      </c>
    </row>
    <row r="588" spans="2:10" ht="13.8">
      <c r="B588" s="988">
        <v>27334</v>
      </c>
      <c r="C588" s="987" t="s">
        <v>4626</v>
      </c>
      <c r="F588" s="990">
        <v>-4.48E-2</v>
      </c>
      <c r="H588" s="986">
        <v>6.1999999999999998E-3</v>
      </c>
      <c r="I588" s="986">
        <f t="shared" si="9"/>
        <v>-5.0999999999999997E-2</v>
      </c>
      <c r="J588" s="988">
        <v>27334</v>
      </c>
    </row>
    <row r="589" spans="2:10" ht="13.8">
      <c r="B589" s="988">
        <v>27364</v>
      </c>
      <c r="C589" s="987" t="s">
        <v>4626</v>
      </c>
      <c r="F589" s="990">
        <v>-1.77E-2</v>
      </c>
      <c r="H589" s="986">
        <v>6.7000000000000002E-3</v>
      </c>
      <c r="I589" s="986">
        <f t="shared" si="9"/>
        <v>-2.4400000000000002E-2</v>
      </c>
      <c r="J589" s="988">
        <v>27364</v>
      </c>
    </row>
    <row r="590" spans="2:10" ht="13.8">
      <c r="B590" s="988">
        <v>27395</v>
      </c>
      <c r="C590" s="987" t="s">
        <v>4626</v>
      </c>
      <c r="F590" s="990">
        <v>0.12509999999999999</v>
      </c>
      <c r="H590" s="986">
        <v>6.7999999999999996E-3</v>
      </c>
      <c r="I590" s="986">
        <f t="shared" si="9"/>
        <v>0.11829999999999999</v>
      </c>
      <c r="J590" s="988">
        <v>27395</v>
      </c>
    </row>
    <row r="591" spans="2:10" ht="13.8">
      <c r="B591" s="988">
        <v>27426</v>
      </c>
      <c r="C591" s="987" t="s">
        <v>4626</v>
      </c>
      <c r="F591" s="990">
        <v>6.7400000000000002E-2</v>
      </c>
      <c r="H591" s="986">
        <v>6.0000000000000001E-3</v>
      </c>
      <c r="I591" s="986">
        <f t="shared" si="9"/>
        <v>6.1400000000000003E-2</v>
      </c>
      <c r="J591" s="988">
        <v>27426</v>
      </c>
    </row>
    <row r="592" spans="2:10" ht="13.8">
      <c r="B592" s="988">
        <v>27454</v>
      </c>
      <c r="C592" s="987" t="s">
        <v>4626</v>
      </c>
      <c r="F592" s="990">
        <v>2.3699999999999999E-2</v>
      </c>
      <c r="H592" s="986">
        <v>6.6E-3</v>
      </c>
      <c r="I592" s="986">
        <f t="shared" si="9"/>
        <v>1.7099999999999997E-2</v>
      </c>
      <c r="J592" s="988">
        <v>27454</v>
      </c>
    </row>
    <row r="593" spans="2:10" ht="13.8">
      <c r="B593" s="988">
        <v>27485</v>
      </c>
      <c r="C593" s="987" t="s">
        <v>4626</v>
      </c>
      <c r="F593" s="990">
        <v>4.9299999999999997E-2</v>
      </c>
      <c r="H593" s="986">
        <v>6.7000000000000002E-3</v>
      </c>
      <c r="I593" s="986">
        <f t="shared" si="9"/>
        <v>4.2599999999999999E-2</v>
      </c>
      <c r="J593" s="988">
        <v>27485</v>
      </c>
    </row>
    <row r="594" spans="2:10" ht="13.8">
      <c r="B594" s="988">
        <v>27515</v>
      </c>
      <c r="C594" s="987" t="s">
        <v>4626</v>
      </c>
      <c r="F594" s="990">
        <v>5.0900000000000001E-2</v>
      </c>
      <c r="H594" s="986">
        <v>6.7000000000000002E-3</v>
      </c>
      <c r="I594" s="986">
        <f t="shared" si="9"/>
        <v>4.4200000000000003E-2</v>
      </c>
      <c r="J594" s="988">
        <v>27515</v>
      </c>
    </row>
    <row r="595" spans="2:10" ht="13.8">
      <c r="B595" s="988">
        <v>27546</v>
      </c>
      <c r="C595" s="987" t="s">
        <v>4626</v>
      </c>
      <c r="F595" s="990">
        <v>4.6199999999999998E-2</v>
      </c>
      <c r="H595" s="986">
        <v>7.0000000000000001E-3</v>
      </c>
      <c r="I595" s="986">
        <f t="shared" si="9"/>
        <v>3.9199999999999999E-2</v>
      </c>
      <c r="J595" s="988">
        <v>27546</v>
      </c>
    </row>
    <row r="596" spans="2:10" ht="13.8">
      <c r="B596" s="988">
        <v>27576</v>
      </c>
      <c r="C596" s="987" t="s">
        <v>4626</v>
      </c>
      <c r="F596" s="990">
        <v>-6.59E-2</v>
      </c>
      <c r="H596" s="986">
        <v>6.7999999999999996E-3</v>
      </c>
      <c r="I596" s="986">
        <f t="shared" si="9"/>
        <v>-7.2700000000000001E-2</v>
      </c>
      <c r="J596" s="988">
        <v>27576</v>
      </c>
    </row>
    <row r="597" spans="2:10" ht="13.8">
      <c r="B597" s="988">
        <v>27607</v>
      </c>
      <c r="C597" s="987" t="s">
        <v>4626</v>
      </c>
      <c r="F597" s="990">
        <v>-1.44E-2</v>
      </c>
      <c r="H597" s="986">
        <v>6.4999999999999997E-3</v>
      </c>
      <c r="I597" s="986">
        <f t="shared" si="9"/>
        <v>-2.0899999999999998E-2</v>
      </c>
      <c r="J597" s="988">
        <v>27607</v>
      </c>
    </row>
    <row r="598" spans="2:10" ht="13.8">
      <c r="B598" s="988">
        <v>27638</v>
      </c>
      <c r="C598" s="987" t="s">
        <v>4626</v>
      </c>
      <c r="F598" s="990">
        <v>-3.2800000000000003E-2</v>
      </c>
      <c r="H598" s="986">
        <v>7.3000000000000001E-3</v>
      </c>
      <c r="I598" s="986">
        <f t="shared" si="9"/>
        <v>-4.0100000000000004E-2</v>
      </c>
      <c r="J598" s="988">
        <v>27638</v>
      </c>
    </row>
    <row r="599" spans="2:10" ht="13.8">
      <c r="B599" s="988">
        <v>27668</v>
      </c>
      <c r="C599" s="987" t="s">
        <v>4626</v>
      </c>
      <c r="F599" s="990">
        <v>6.3700000000000007E-2</v>
      </c>
      <c r="H599" s="986">
        <v>7.1999999999999998E-3</v>
      </c>
      <c r="I599" s="986">
        <f t="shared" si="9"/>
        <v>5.6500000000000009E-2</v>
      </c>
      <c r="J599" s="988">
        <v>27668</v>
      </c>
    </row>
    <row r="600" spans="2:10" ht="13.8">
      <c r="B600" s="988">
        <v>27699</v>
      </c>
      <c r="C600" s="987" t="s">
        <v>4626</v>
      </c>
      <c r="F600" s="990">
        <v>3.1300000000000001E-2</v>
      </c>
      <c r="H600" s="986">
        <v>6.1000000000000004E-3</v>
      </c>
      <c r="I600" s="986">
        <f t="shared" si="9"/>
        <v>2.52E-2</v>
      </c>
      <c r="J600" s="988">
        <v>27699</v>
      </c>
    </row>
    <row r="601" spans="2:10" ht="13.8">
      <c r="B601" s="988">
        <v>27729</v>
      </c>
      <c r="C601" s="987" t="s">
        <v>4626</v>
      </c>
      <c r="F601" s="990">
        <v>-9.5999999999999992E-3</v>
      </c>
      <c r="H601" s="986">
        <v>7.4000000000000003E-3</v>
      </c>
      <c r="I601" s="986">
        <f t="shared" si="9"/>
        <v>-1.7000000000000001E-2</v>
      </c>
      <c r="J601" s="988">
        <v>27729</v>
      </c>
    </row>
    <row r="602" spans="2:10" ht="13.8">
      <c r="B602" s="988">
        <v>27760</v>
      </c>
      <c r="C602" s="987" t="s">
        <v>4626</v>
      </c>
      <c r="F602" s="990">
        <v>0.11990000000000001</v>
      </c>
      <c r="H602" s="986">
        <v>6.4999999999999997E-3</v>
      </c>
      <c r="I602" s="986">
        <f t="shared" si="9"/>
        <v>0.1134</v>
      </c>
      <c r="J602" s="988">
        <v>27760</v>
      </c>
    </row>
    <row r="603" spans="2:10" ht="13.8">
      <c r="B603" s="988">
        <v>27791</v>
      </c>
      <c r="C603" s="987" t="s">
        <v>4626</v>
      </c>
      <c r="F603" s="990">
        <v>-5.7999999999999996E-3</v>
      </c>
      <c r="H603" s="986">
        <v>6.0000000000000001E-3</v>
      </c>
      <c r="I603" s="986">
        <f t="shared" si="9"/>
        <v>-1.18E-2</v>
      </c>
      <c r="J603" s="988">
        <v>27791</v>
      </c>
    </row>
    <row r="604" spans="2:10" ht="13.8">
      <c r="B604" s="988">
        <v>27820</v>
      </c>
      <c r="C604" s="987" t="s">
        <v>4626</v>
      </c>
      <c r="F604" s="990">
        <v>3.2599999999999997E-2</v>
      </c>
      <c r="H604" s="986">
        <v>7.1000000000000004E-3</v>
      </c>
      <c r="I604" s="986">
        <f t="shared" si="9"/>
        <v>2.5499999999999995E-2</v>
      </c>
      <c r="J604" s="988">
        <v>27820</v>
      </c>
    </row>
    <row r="605" spans="2:10" ht="13.8">
      <c r="B605" s="988">
        <v>27851</v>
      </c>
      <c r="C605" s="987" t="s">
        <v>4626</v>
      </c>
      <c r="F605" s="990">
        <v>-9.9000000000000008E-3</v>
      </c>
      <c r="H605" s="986">
        <v>6.4000000000000003E-3</v>
      </c>
      <c r="I605" s="986">
        <f t="shared" si="9"/>
        <v>-1.6300000000000002E-2</v>
      </c>
      <c r="J605" s="988">
        <v>27851</v>
      </c>
    </row>
    <row r="606" spans="2:10" ht="13.8">
      <c r="B606" s="988">
        <v>27881</v>
      </c>
      <c r="C606" s="987" t="s">
        <v>4626</v>
      </c>
      <c r="F606" s="990">
        <v>-7.3000000000000001E-3</v>
      </c>
      <c r="H606" s="986">
        <v>5.8999999999999999E-3</v>
      </c>
      <c r="I606" s="986">
        <f t="shared" si="9"/>
        <v>-1.32E-2</v>
      </c>
      <c r="J606" s="988">
        <v>27881</v>
      </c>
    </row>
    <row r="607" spans="2:10" ht="13.8">
      <c r="B607" s="988">
        <v>27912</v>
      </c>
      <c r="C607" s="987" t="s">
        <v>4626</v>
      </c>
      <c r="F607" s="990">
        <v>4.2700000000000002E-2</v>
      </c>
      <c r="H607" s="986">
        <v>7.3000000000000001E-3</v>
      </c>
      <c r="I607" s="986">
        <f t="shared" si="9"/>
        <v>3.5400000000000001E-2</v>
      </c>
      <c r="J607" s="988">
        <v>27912</v>
      </c>
    </row>
    <row r="608" spans="2:10" ht="13.8">
      <c r="B608" s="988">
        <v>27942</v>
      </c>
      <c r="C608" s="987" t="s">
        <v>4626</v>
      </c>
      <c r="F608" s="990">
        <v>-6.7999999999999996E-3</v>
      </c>
      <c r="H608" s="986">
        <v>6.4999999999999997E-3</v>
      </c>
      <c r="I608" s="986">
        <f t="shared" si="9"/>
        <v>-1.3299999999999999E-2</v>
      </c>
      <c r="J608" s="988">
        <v>27942</v>
      </c>
    </row>
    <row r="609" spans="2:10" ht="13.8">
      <c r="B609" s="988">
        <v>27973</v>
      </c>
      <c r="C609" s="987" t="s">
        <v>4626</v>
      </c>
      <c r="F609" s="990">
        <v>1.4E-3</v>
      </c>
      <c r="H609" s="986">
        <v>6.8999999999999999E-3</v>
      </c>
      <c r="I609" s="986">
        <f t="shared" si="9"/>
        <v>-5.4999999999999997E-3</v>
      </c>
      <c r="J609" s="988">
        <v>27973</v>
      </c>
    </row>
    <row r="610" spans="2:10" ht="13.8">
      <c r="B610" s="988">
        <v>28004</v>
      </c>
      <c r="C610" s="987" t="s">
        <v>4626</v>
      </c>
      <c r="F610" s="990">
        <v>2.47E-2</v>
      </c>
      <c r="H610" s="986">
        <v>6.4000000000000003E-3</v>
      </c>
      <c r="I610" s="986">
        <f t="shared" si="9"/>
        <v>1.83E-2</v>
      </c>
      <c r="J610" s="988">
        <v>28004</v>
      </c>
    </row>
    <row r="611" spans="2:10" ht="13.8">
      <c r="B611" s="988">
        <v>28034</v>
      </c>
      <c r="C611" s="987" t="s">
        <v>4626</v>
      </c>
      <c r="F611" s="990">
        <v>-2.06E-2</v>
      </c>
      <c r="H611" s="986">
        <v>6.1000000000000004E-3</v>
      </c>
      <c r="I611" s="986">
        <f t="shared" si="9"/>
        <v>-2.6700000000000002E-2</v>
      </c>
      <c r="J611" s="988">
        <v>28034</v>
      </c>
    </row>
    <row r="612" spans="2:10" ht="13.8">
      <c r="B612" s="988">
        <v>28065</v>
      </c>
      <c r="C612" s="987" t="s">
        <v>4626</v>
      </c>
      <c r="F612" s="990">
        <v>-8.9999999999999998E-4</v>
      </c>
      <c r="H612" s="986">
        <v>6.6E-3</v>
      </c>
      <c r="I612" s="986">
        <f t="shared" si="9"/>
        <v>-7.4999999999999997E-3</v>
      </c>
      <c r="J612" s="988">
        <v>28065</v>
      </c>
    </row>
    <row r="613" spans="2:10" ht="13.8">
      <c r="B613" s="988">
        <v>28095</v>
      </c>
      <c r="C613" s="987" t="s">
        <v>4626</v>
      </c>
      <c r="F613" s="990">
        <v>5.3999999999999999E-2</v>
      </c>
      <c r="H613" s="986">
        <v>6.3E-3</v>
      </c>
      <c r="I613" s="986">
        <f t="shared" si="9"/>
        <v>4.7699999999999999E-2</v>
      </c>
      <c r="J613" s="988">
        <v>28095</v>
      </c>
    </row>
    <row r="614" spans="2:10" ht="13.8">
      <c r="B614" s="988">
        <v>28126</v>
      </c>
      <c r="C614" s="987" t="s">
        <v>4626</v>
      </c>
      <c r="F614" s="990">
        <v>-4.8899999999999999E-2</v>
      </c>
      <c r="H614" s="986">
        <v>5.8999999999999999E-3</v>
      </c>
      <c r="I614" s="986">
        <f t="shared" si="9"/>
        <v>-5.4800000000000001E-2</v>
      </c>
      <c r="J614" s="988">
        <v>28126</v>
      </c>
    </row>
    <row r="615" spans="2:10" ht="13.8">
      <c r="B615" s="988">
        <v>28157</v>
      </c>
      <c r="C615" s="987" t="s">
        <v>4626</v>
      </c>
      <c r="F615" s="990">
        <v>-1.5100000000000001E-2</v>
      </c>
      <c r="H615" s="986">
        <v>5.7000000000000002E-3</v>
      </c>
      <c r="I615" s="986">
        <f t="shared" si="9"/>
        <v>-2.0799999999999999E-2</v>
      </c>
      <c r="J615" s="988">
        <v>28157</v>
      </c>
    </row>
    <row r="616" spans="2:10" ht="13.8">
      <c r="B616" s="988">
        <v>28185</v>
      </c>
      <c r="C616" s="987" t="s">
        <v>4626</v>
      </c>
      <c r="F616" s="990">
        <v>-1.1900000000000001E-2</v>
      </c>
      <c r="H616" s="986">
        <v>6.4999999999999997E-3</v>
      </c>
      <c r="I616" s="986">
        <f t="shared" si="9"/>
        <v>-1.84E-2</v>
      </c>
      <c r="J616" s="988">
        <v>28185</v>
      </c>
    </row>
    <row r="617" spans="2:10" ht="13.8">
      <c r="B617" s="988">
        <v>28216</v>
      </c>
      <c r="C617" s="987" t="s">
        <v>4626</v>
      </c>
      <c r="F617" s="990">
        <v>1.4E-3</v>
      </c>
      <c r="H617" s="986">
        <v>6.1000000000000004E-3</v>
      </c>
      <c r="I617" s="986">
        <f t="shared" si="9"/>
        <v>-4.7000000000000002E-3</v>
      </c>
      <c r="J617" s="988">
        <v>28216</v>
      </c>
    </row>
    <row r="618" spans="2:10" ht="13.8">
      <c r="B618" s="988">
        <v>28246</v>
      </c>
      <c r="C618" s="987" t="s">
        <v>4626</v>
      </c>
      <c r="F618" s="990">
        <v>-1.4999999999999999E-2</v>
      </c>
      <c r="H618" s="986">
        <v>6.7000000000000002E-3</v>
      </c>
      <c r="I618" s="986">
        <f t="shared" si="9"/>
        <v>-2.1700000000000001E-2</v>
      </c>
      <c r="J618" s="988">
        <v>28246</v>
      </c>
    </row>
    <row r="619" spans="2:10" ht="13.8">
      <c r="B619" s="988">
        <v>28277</v>
      </c>
      <c r="C619" s="987" t="s">
        <v>4626</v>
      </c>
      <c r="F619" s="990">
        <v>4.7500000000000001E-2</v>
      </c>
      <c r="H619" s="986">
        <v>6.1999999999999998E-3</v>
      </c>
      <c r="I619" s="986">
        <f t="shared" si="9"/>
        <v>4.1300000000000003E-2</v>
      </c>
      <c r="J619" s="988">
        <v>28277</v>
      </c>
    </row>
    <row r="620" spans="2:10" ht="13.8">
      <c r="B620" s="988">
        <v>28307</v>
      </c>
      <c r="C620" s="987" t="s">
        <v>4626</v>
      </c>
      <c r="F620" s="990">
        <v>-1.5100000000000001E-2</v>
      </c>
      <c r="H620" s="986">
        <v>5.8999999999999999E-3</v>
      </c>
      <c r="I620" s="986">
        <f t="shared" si="9"/>
        <v>-2.1000000000000001E-2</v>
      </c>
      <c r="J620" s="988">
        <v>28307</v>
      </c>
    </row>
    <row r="621" spans="2:10" ht="13.8">
      <c r="B621" s="988">
        <v>28338</v>
      </c>
      <c r="C621" s="987" t="s">
        <v>4626</v>
      </c>
      <c r="F621" s="990">
        <v>-1.3299999999999999E-2</v>
      </c>
      <c r="H621" s="986">
        <v>6.7000000000000002E-3</v>
      </c>
      <c r="I621" s="986">
        <f t="shared" si="9"/>
        <v>-0.02</v>
      </c>
      <c r="J621" s="988">
        <v>28338</v>
      </c>
    </row>
    <row r="622" spans="2:10" ht="13.8">
      <c r="B622" s="988">
        <v>28369</v>
      </c>
      <c r="C622" s="987" t="s">
        <v>4626</v>
      </c>
      <c r="F622" s="990">
        <v>0</v>
      </c>
      <c r="H622" s="986">
        <v>6.1000000000000004E-3</v>
      </c>
      <c r="I622" s="986">
        <f t="shared" si="9"/>
        <v>-6.1000000000000004E-3</v>
      </c>
      <c r="J622" s="988">
        <v>28369</v>
      </c>
    </row>
    <row r="623" spans="2:10" ht="13.8">
      <c r="B623" s="988">
        <v>28399</v>
      </c>
      <c r="C623" s="987" t="s">
        <v>4626</v>
      </c>
      <c r="F623" s="990">
        <v>-4.1500000000000002E-2</v>
      </c>
      <c r="H623" s="986">
        <v>6.3E-3</v>
      </c>
      <c r="I623" s="986">
        <f t="shared" si="9"/>
        <v>-4.7800000000000002E-2</v>
      </c>
      <c r="J623" s="988">
        <v>28399</v>
      </c>
    </row>
    <row r="624" spans="2:10" ht="13.8">
      <c r="B624" s="988">
        <v>28430</v>
      </c>
      <c r="C624" s="987" t="s">
        <v>4626</v>
      </c>
      <c r="F624" s="990">
        <v>3.6999999999999998E-2</v>
      </c>
      <c r="H624" s="986">
        <v>6.3E-3</v>
      </c>
      <c r="I624" s="986">
        <f t="shared" si="9"/>
        <v>3.0699999999999998E-2</v>
      </c>
      <c r="J624" s="988">
        <v>28430</v>
      </c>
    </row>
    <row r="625" spans="2:10" ht="13.8">
      <c r="B625" s="988">
        <v>28460</v>
      </c>
      <c r="C625" s="987" t="s">
        <v>4626</v>
      </c>
      <c r="F625" s="990">
        <v>4.7999999999999996E-3</v>
      </c>
      <c r="H625" s="986">
        <v>6.1999999999999998E-3</v>
      </c>
      <c r="I625" s="986">
        <f t="shared" si="9"/>
        <v>-1.4000000000000002E-3</v>
      </c>
      <c r="J625" s="988">
        <v>28460</v>
      </c>
    </row>
    <row r="626" spans="2:10" ht="13.8">
      <c r="B626" s="988">
        <v>28491</v>
      </c>
      <c r="C626" s="987" t="s">
        <v>4626</v>
      </c>
      <c r="F626" s="990">
        <v>-5.96E-2</v>
      </c>
      <c r="H626" s="986">
        <v>6.8999999999999999E-3</v>
      </c>
      <c r="I626" s="986">
        <f t="shared" si="9"/>
        <v>-6.6500000000000004E-2</v>
      </c>
      <c r="J626" s="988">
        <v>28491</v>
      </c>
    </row>
    <row r="627" spans="2:10" ht="13.8">
      <c r="B627" s="988">
        <v>28522</v>
      </c>
      <c r="C627" s="987" t="s">
        <v>4626</v>
      </c>
      <c r="F627" s="990">
        <v>-1.61E-2</v>
      </c>
      <c r="H627" s="986">
        <v>6.0000000000000001E-3</v>
      </c>
      <c r="I627" s="986">
        <f t="shared" si="9"/>
        <v>-2.2100000000000002E-2</v>
      </c>
      <c r="J627" s="988">
        <v>28522</v>
      </c>
    </row>
    <row r="628" spans="2:10" ht="13.8">
      <c r="B628" s="988">
        <v>28550</v>
      </c>
      <c r="C628" s="987" t="s">
        <v>4626</v>
      </c>
      <c r="F628" s="990">
        <v>2.76E-2</v>
      </c>
      <c r="H628" s="986">
        <v>6.8999999999999999E-3</v>
      </c>
      <c r="I628" s="986">
        <f t="shared" si="9"/>
        <v>2.07E-2</v>
      </c>
      <c r="J628" s="988">
        <v>28550</v>
      </c>
    </row>
    <row r="629" spans="2:10" ht="13.8">
      <c r="B629" s="988">
        <v>28581</v>
      </c>
      <c r="C629" s="987" t="s">
        <v>4626</v>
      </c>
      <c r="F629" s="990">
        <v>8.6999999999999994E-2</v>
      </c>
      <c r="H629" s="986">
        <v>6.3E-3</v>
      </c>
      <c r="I629" s="986">
        <f t="shared" si="9"/>
        <v>8.0699999999999994E-2</v>
      </c>
      <c r="J629" s="988">
        <v>28581</v>
      </c>
    </row>
    <row r="630" spans="2:10" ht="13.8">
      <c r="B630" s="988">
        <v>28611</v>
      </c>
      <c r="C630" s="987" t="s">
        <v>4626</v>
      </c>
      <c r="F630" s="990">
        <v>1.3599999999999999E-2</v>
      </c>
      <c r="H630" s="986">
        <v>7.4999999999999997E-3</v>
      </c>
      <c r="I630" s="986">
        <f t="shared" si="9"/>
        <v>6.0999999999999995E-3</v>
      </c>
      <c r="J630" s="988">
        <v>28611</v>
      </c>
    </row>
    <row r="631" spans="2:10" ht="13.8">
      <c r="B631" s="988">
        <v>28642</v>
      </c>
      <c r="C631" s="987" t="s">
        <v>4626</v>
      </c>
      <c r="F631" s="990">
        <v>-1.52E-2</v>
      </c>
      <c r="H631" s="986">
        <v>6.8999999999999999E-3</v>
      </c>
      <c r="I631" s="986">
        <f t="shared" si="9"/>
        <v>-2.2100000000000002E-2</v>
      </c>
      <c r="J631" s="988">
        <v>28642</v>
      </c>
    </row>
    <row r="632" spans="2:10" ht="13.8">
      <c r="B632" s="988">
        <v>28672</v>
      </c>
      <c r="C632" s="987" t="s">
        <v>4626</v>
      </c>
      <c r="F632" s="990">
        <v>5.6000000000000001E-2</v>
      </c>
      <c r="H632" s="986">
        <v>7.3000000000000001E-3</v>
      </c>
      <c r="I632" s="986">
        <f t="shared" si="9"/>
        <v>4.87E-2</v>
      </c>
      <c r="J632" s="988">
        <v>28672</v>
      </c>
    </row>
    <row r="633" spans="2:10" ht="13.8">
      <c r="B633" s="988">
        <v>28703</v>
      </c>
      <c r="C633" s="987" t="s">
        <v>4626</v>
      </c>
      <c r="F633" s="990">
        <v>3.4000000000000002E-2</v>
      </c>
      <c r="H633" s="986">
        <v>7.0000000000000001E-3</v>
      </c>
      <c r="I633" s="986">
        <f t="shared" si="9"/>
        <v>2.7000000000000003E-2</v>
      </c>
      <c r="J633" s="988">
        <v>28703</v>
      </c>
    </row>
    <row r="634" spans="2:10" ht="13.8">
      <c r="B634" s="988">
        <v>28734</v>
      </c>
      <c r="C634" s="987" t="s">
        <v>4626</v>
      </c>
      <c r="F634" s="990">
        <v>-4.7999999999999996E-3</v>
      </c>
      <c r="H634" s="986">
        <v>6.4999999999999997E-3</v>
      </c>
      <c r="I634" s="986">
        <f t="shared" si="9"/>
        <v>-1.1299999999999999E-2</v>
      </c>
      <c r="J634" s="988">
        <v>28734</v>
      </c>
    </row>
    <row r="635" spans="2:10" ht="13.8">
      <c r="B635" s="988">
        <v>28764</v>
      </c>
      <c r="C635" s="987" t="s">
        <v>4626</v>
      </c>
      <c r="F635" s="990">
        <v>-8.9099999999999999E-2</v>
      </c>
      <c r="H635" s="986">
        <v>7.3000000000000001E-3</v>
      </c>
      <c r="I635" s="986">
        <f t="shared" si="9"/>
        <v>-9.64E-2</v>
      </c>
      <c r="J635" s="988">
        <v>28764</v>
      </c>
    </row>
    <row r="636" spans="2:10" ht="13.8">
      <c r="B636" s="988">
        <v>28795</v>
      </c>
      <c r="C636" s="987" t="s">
        <v>4626</v>
      </c>
      <c r="F636" s="990">
        <v>2.5999999999999999E-2</v>
      </c>
      <c r="H636" s="986">
        <v>7.1000000000000004E-3</v>
      </c>
      <c r="I636" s="986">
        <f t="shared" si="9"/>
        <v>1.89E-2</v>
      </c>
      <c r="J636" s="988">
        <v>28795</v>
      </c>
    </row>
    <row r="637" spans="2:10" ht="13.8">
      <c r="B637" s="988">
        <v>28825</v>
      </c>
      <c r="C637" s="987" t="s">
        <v>4626</v>
      </c>
      <c r="F637" s="990">
        <v>1.72E-2</v>
      </c>
      <c r="H637" s="986">
        <v>6.7999999999999996E-3</v>
      </c>
      <c r="I637" s="986">
        <f t="shared" si="9"/>
        <v>1.04E-2</v>
      </c>
      <c r="J637" s="988">
        <v>28825</v>
      </c>
    </row>
    <row r="638" spans="2:10" ht="13.8">
      <c r="B638" s="988">
        <v>28856</v>
      </c>
      <c r="C638" s="987" t="s">
        <v>4626</v>
      </c>
      <c r="F638" s="990">
        <v>4.2099999999999999E-2</v>
      </c>
      <c r="H638" s="986">
        <v>7.9000000000000008E-3</v>
      </c>
      <c r="I638" s="986">
        <f t="shared" si="9"/>
        <v>3.4199999999999994E-2</v>
      </c>
      <c r="J638" s="988">
        <v>28856</v>
      </c>
    </row>
    <row r="639" spans="2:10" ht="13.8">
      <c r="B639" s="988">
        <v>28887</v>
      </c>
      <c r="C639" s="987" t="s">
        <v>4626</v>
      </c>
      <c r="F639" s="990">
        <v>-2.8400000000000002E-2</v>
      </c>
      <c r="H639" s="986">
        <v>6.4999999999999997E-3</v>
      </c>
      <c r="I639" s="986">
        <f t="shared" si="9"/>
        <v>-3.49E-2</v>
      </c>
      <c r="J639" s="988">
        <v>28887</v>
      </c>
    </row>
    <row r="640" spans="2:10" ht="13.8">
      <c r="B640" s="988">
        <v>28915</v>
      </c>
      <c r="C640" s="987" t="s">
        <v>4626</v>
      </c>
      <c r="F640" s="990">
        <v>5.7500000000000002E-2</v>
      </c>
      <c r="H640" s="986">
        <v>7.4000000000000003E-3</v>
      </c>
      <c r="I640" s="986">
        <f t="shared" si="9"/>
        <v>5.0100000000000006E-2</v>
      </c>
      <c r="J640" s="988">
        <v>28915</v>
      </c>
    </row>
    <row r="641" spans="2:10" ht="13.8">
      <c r="B641" s="988">
        <v>28946</v>
      </c>
      <c r="C641" s="987" t="s">
        <v>4626</v>
      </c>
      <c r="F641" s="990">
        <v>3.5999999999999999E-3</v>
      </c>
      <c r="H641" s="986">
        <v>7.6E-3</v>
      </c>
      <c r="I641" s="986">
        <f t="shared" si="9"/>
        <v>-4.0000000000000001E-3</v>
      </c>
      <c r="J641" s="988">
        <v>28946</v>
      </c>
    </row>
    <row r="642" spans="2:10" ht="13.8">
      <c r="B642" s="988">
        <v>28976</v>
      </c>
      <c r="C642" s="987" t="s">
        <v>4626</v>
      </c>
      <c r="F642" s="990">
        <v>-1.6799999999999999E-2</v>
      </c>
      <c r="H642" s="986">
        <v>7.7000000000000002E-3</v>
      </c>
      <c r="I642" s="986">
        <f t="shared" ref="I642:I705" si="10">F642-H642</f>
        <v>-2.4500000000000001E-2</v>
      </c>
      <c r="J642" s="988">
        <v>28976</v>
      </c>
    </row>
    <row r="643" spans="2:10" ht="13.8">
      <c r="B643" s="988">
        <v>29007</v>
      </c>
      <c r="C643" s="987" t="s">
        <v>4626</v>
      </c>
      <c r="F643" s="990">
        <v>4.1000000000000002E-2</v>
      </c>
      <c r="H643" s="986">
        <v>7.1000000000000004E-3</v>
      </c>
      <c r="I643" s="986">
        <f t="shared" si="10"/>
        <v>3.39E-2</v>
      </c>
      <c r="J643" s="988">
        <v>29007</v>
      </c>
    </row>
    <row r="644" spans="2:10" ht="13.8">
      <c r="B644" s="988">
        <v>29037</v>
      </c>
      <c r="C644" s="987" t="s">
        <v>4626</v>
      </c>
      <c r="F644" s="990">
        <v>1.0999999999999999E-2</v>
      </c>
      <c r="H644" s="986">
        <v>7.6E-3</v>
      </c>
      <c r="I644" s="986">
        <f t="shared" si="10"/>
        <v>3.3999999999999994E-3</v>
      </c>
      <c r="J644" s="988">
        <v>29037</v>
      </c>
    </row>
    <row r="645" spans="2:10" ht="13.8">
      <c r="B645" s="988">
        <v>29068</v>
      </c>
      <c r="C645" s="987" t="s">
        <v>4626</v>
      </c>
      <c r="F645" s="990">
        <v>6.1100000000000002E-2</v>
      </c>
      <c r="H645" s="986">
        <v>7.3000000000000001E-3</v>
      </c>
      <c r="I645" s="986">
        <f t="shared" si="10"/>
        <v>5.3800000000000001E-2</v>
      </c>
      <c r="J645" s="988">
        <v>29068</v>
      </c>
    </row>
    <row r="646" spans="2:10" ht="13.8">
      <c r="B646" s="988">
        <v>29099</v>
      </c>
      <c r="C646" s="987" t="s">
        <v>4626</v>
      </c>
      <c r="F646" s="990">
        <v>2.5000000000000001E-3</v>
      </c>
      <c r="H646" s="986">
        <v>6.7999999999999996E-3</v>
      </c>
      <c r="I646" s="986">
        <f t="shared" si="10"/>
        <v>-4.3E-3</v>
      </c>
      <c r="J646" s="988">
        <v>29099</v>
      </c>
    </row>
    <row r="647" spans="2:10" ht="13.8">
      <c r="B647" s="988">
        <v>29129</v>
      </c>
      <c r="C647" s="987" t="s">
        <v>4626</v>
      </c>
      <c r="F647" s="990">
        <v>-6.5600000000000006E-2</v>
      </c>
      <c r="H647" s="986">
        <v>8.2000000000000007E-3</v>
      </c>
      <c r="I647" s="986">
        <f t="shared" si="10"/>
        <v>-7.3800000000000004E-2</v>
      </c>
      <c r="J647" s="988">
        <v>29129</v>
      </c>
    </row>
    <row r="648" spans="2:10" ht="13.8">
      <c r="B648" s="988">
        <v>29160</v>
      </c>
      <c r="C648" s="987" t="s">
        <v>4626</v>
      </c>
      <c r="F648" s="990">
        <v>5.1400000000000001E-2</v>
      </c>
      <c r="H648" s="986">
        <v>8.3000000000000001E-3</v>
      </c>
      <c r="I648" s="986">
        <f t="shared" si="10"/>
        <v>4.3099999999999999E-2</v>
      </c>
      <c r="J648" s="988">
        <v>29160</v>
      </c>
    </row>
    <row r="649" spans="2:10" ht="13.8">
      <c r="B649" s="988">
        <v>29190</v>
      </c>
      <c r="C649" s="987" t="s">
        <v>4626</v>
      </c>
      <c r="F649" s="990">
        <v>1.9199999999999998E-2</v>
      </c>
      <c r="H649" s="986">
        <v>8.3000000000000001E-3</v>
      </c>
      <c r="I649" s="986">
        <f t="shared" si="10"/>
        <v>1.0899999999999998E-2</v>
      </c>
      <c r="J649" s="988">
        <v>29190</v>
      </c>
    </row>
    <row r="650" spans="2:10" ht="13.8">
      <c r="B650" s="988">
        <v>29221</v>
      </c>
      <c r="C650" s="987" t="s">
        <v>4626</v>
      </c>
      <c r="F650" s="990">
        <v>6.0999999999999999E-2</v>
      </c>
      <c r="H650" s="986">
        <v>8.3000000000000001E-3</v>
      </c>
      <c r="I650" s="986">
        <f t="shared" si="10"/>
        <v>5.2699999999999997E-2</v>
      </c>
      <c r="J650" s="988">
        <v>29221</v>
      </c>
    </row>
    <row r="651" spans="2:10" ht="13.8">
      <c r="B651" s="988">
        <v>29252</v>
      </c>
      <c r="C651" s="987" t="s">
        <v>4626</v>
      </c>
      <c r="F651" s="990">
        <v>3.0999999999999999E-3</v>
      </c>
      <c r="H651" s="986">
        <v>8.3999999999999995E-3</v>
      </c>
      <c r="I651" s="986">
        <f t="shared" si="10"/>
        <v>-5.2999999999999992E-3</v>
      </c>
      <c r="J651" s="988">
        <v>29252</v>
      </c>
    </row>
    <row r="652" spans="2:10" ht="13.8">
      <c r="B652" s="988">
        <v>29281</v>
      </c>
      <c r="C652" s="987" t="s">
        <v>4626</v>
      </c>
      <c r="F652" s="990">
        <v>-9.8699999999999996E-2</v>
      </c>
      <c r="H652" s="986">
        <v>9.9000000000000008E-3</v>
      </c>
      <c r="I652" s="986">
        <f t="shared" si="10"/>
        <v>-0.1086</v>
      </c>
      <c r="J652" s="988">
        <v>29281</v>
      </c>
    </row>
    <row r="653" spans="2:10" ht="13.8">
      <c r="B653" s="988">
        <v>29312</v>
      </c>
      <c r="C653" s="987" t="s">
        <v>4626</v>
      </c>
      <c r="F653" s="990">
        <v>4.2900000000000001E-2</v>
      </c>
      <c r="H653" s="986">
        <v>0.01</v>
      </c>
      <c r="I653" s="986">
        <f t="shared" si="10"/>
        <v>3.2899999999999999E-2</v>
      </c>
      <c r="J653" s="988">
        <v>29312</v>
      </c>
    </row>
    <row r="654" spans="2:10" ht="13.8">
      <c r="B654" s="988">
        <v>29342</v>
      </c>
      <c r="C654" s="987" t="s">
        <v>4626</v>
      </c>
      <c r="F654" s="990">
        <v>5.62E-2</v>
      </c>
      <c r="H654" s="986">
        <v>8.6999999999999994E-3</v>
      </c>
      <c r="I654" s="986">
        <f t="shared" si="10"/>
        <v>4.7500000000000001E-2</v>
      </c>
      <c r="J654" s="988">
        <v>29342</v>
      </c>
    </row>
    <row r="655" spans="2:10" ht="13.8">
      <c r="B655" s="988">
        <v>29373</v>
      </c>
      <c r="C655" s="987" t="s">
        <v>4626</v>
      </c>
      <c r="F655" s="990">
        <v>2.9600000000000001E-2</v>
      </c>
      <c r="H655" s="986">
        <v>8.6E-3</v>
      </c>
      <c r="I655" s="986">
        <f t="shared" si="10"/>
        <v>2.1000000000000001E-2</v>
      </c>
      <c r="J655" s="988">
        <v>29373</v>
      </c>
    </row>
    <row r="656" spans="2:10" ht="13.8">
      <c r="B656" s="988">
        <v>29403</v>
      </c>
      <c r="C656" s="987" t="s">
        <v>4626</v>
      </c>
      <c r="F656" s="990">
        <v>6.7599999999999993E-2</v>
      </c>
      <c r="H656" s="986">
        <v>8.3999999999999995E-3</v>
      </c>
      <c r="I656" s="986">
        <f t="shared" si="10"/>
        <v>5.9199999999999996E-2</v>
      </c>
      <c r="J656" s="988">
        <v>29403</v>
      </c>
    </row>
    <row r="657" spans="2:10" ht="13.8">
      <c r="B657" s="988">
        <v>29434</v>
      </c>
      <c r="C657" s="987" t="s">
        <v>4626</v>
      </c>
      <c r="F657" s="990">
        <v>1.3100000000000001E-2</v>
      </c>
      <c r="H657" s="986">
        <v>8.0999999999999996E-3</v>
      </c>
      <c r="I657" s="986">
        <f t="shared" si="10"/>
        <v>5.000000000000001E-3</v>
      </c>
      <c r="J657" s="988">
        <v>29434</v>
      </c>
    </row>
    <row r="658" spans="2:10" ht="13.8">
      <c r="B658" s="988">
        <v>29465</v>
      </c>
      <c r="C658" s="987" t="s">
        <v>4626</v>
      </c>
      <c r="F658" s="990">
        <v>2.81E-2</v>
      </c>
      <c r="H658" s="986">
        <v>9.7000000000000003E-3</v>
      </c>
      <c r="I658" s="986">
        <f t="shared" si="10"/>
        <v>1.84E-2</v>
      </c>
      <c r="J658" s="988">
        <v>29465</v>
      </c>
    </row>
    <row r="659" spans="2:10" ht="13.8">
      <c r="B659" s="988">
        <v>29495</v>
      </c>
      <c r="C659" s="987" t="s">
        <v>4626</v>
      </c>
      <c r="F659" s="990">
        <v>1.8700000000000001E-2</v>
      </c>
      <c r="H659" s="986">
        <v>9.7000000000000003E-3</v>
      </c>
      <c r="I659" s="986">
        <f t="shared" si="10"/>
        <v>9.0000000000000011E-3</v>
      </c>
      <c r="J659" s="988">
        <v>29495</v>
      </c>
    </row>
    <row r="660" spans="2:10" ht="13.8">
      <c r="B660" s="988">
        <v>29526</v>
      </c>
      <c r="C660" s="987" t="s">
        <v>4626</v>
      </c>
      <c r="F660" s="990">
        <v>0.1095</v>
      </c>
      <c r="H660" s="986">
        <v>9.1000000000000004E-3</v>
      </c>
      <c r="I660" s="986">
        <f t="shared" si="10"/>
        <v>0.1004</v>
      </c>
      <c r="J660" s="988">
        <v>29526</v>
      </c>
    </row>
    <row r="661" spans="2:10" ht="13.8">
      <c r="B661" s="988">
        <v>29556</v>
      </c>
      <c r="C661" s="987" t="s">
        <v>4626</v>
      </c>
      <c r="F661" s="990">
        <v>-3.15E-2</v>
      </c>
      <c r="H661" s="986">
        <v>1.0800000000000001E-2</v>
      </c>
      <c r="I661" s="986">
        <f t="shared" si="10"/>
        <v>-4.2300000000000004E-2</v>
      </c>
      <c r="J661" s="988">
        <v>29556</v>
      </c>
    </row>
    <row r="662" spans="2:10" ht="13.8">
      <c r="B662" s="988">
        <v>29587</v>
      </c>
      <c r="C662" s="987" t="s">
        <v>4626</v>
      </c>
      <c r="F662" s="990">
        <v>-4.3799999999999999E-2</v>
      </c>
      <c r="H662" s="986">
        <v>9.4000000000000004E-3</v>
      </c>
      <c r="I662" s="986">
        <f t="shared" si="10"/>
        <v>-5.3199999999999997E-2</v>
      </c>
      <c r="J662" s="988">
        <v>29587</v>
      </c>
    </row>
    <row r="663" spans="2:10" ht="13.8">
      <c r="B663" s="988">
        <v>29618</v>
      </c>
      <c r="C663" s="987" t="s">
        <v>4626</v>
      </c>
      <c r="F663" s="990">
        <v>2.0799999999999999E-2</v>
      </c>
      <c r="H663" s="986">
        <v>8.8000000000000005E-3</v>
      </c>
      <c r="I663" s="986">
        <f t="shared" si="10"/>
        <v>1.1999999999999999E-2</v>
      </c>
      <c r="J663" s="988">
        <v>29618</v>
      </c>
    </row>
    <row r="664" spans="2:10" ht="13.8">
      <c r="B664" s="988">
        <v>29646</v>
      </c>
      <c r="C664" s="987" t="s">
        <v>4626</v>
      </c>
      <c r="F664" s="990">
        <v>3.7999999999999999E-2</v>
      </c>
      <c r="H664" s="986">
        <v>1.11E-2</v>
      </c>
      <c r="I664" s="986">
        <f t="shared" si="10"/>
        <v>2.69E-2</v>
      </c>
      <c r="J664" s="988">
        <v>29646</v>
      </c>
    </row>
    <row r="665" spans="2:10" ht="13.8">
      <c r="B665" s="988">
        <v>29677</v>
      </c>
      <c r="C665" s="987" t="s">
        <v>4626</v>
      </c>
      <c r="F665" s="990">
        <v>-2.1299999999999999E-2</v>
      </c>
      <c r="H665" s="986">
        <v>1.01E-2</v>
      </c>
      <c r="I665" s="986">
        <f t="shared" si="10"/>
        <v>-3.1399999999999997E-2</v>
      </c>
      <c r="J665" s="988">
        <v>29677</v>
      </c>
    </row>
    <row r="666" spans="2:10" ht="13.8">
      <c r="B666" s="988">
        <v>29707</v>
      </c>
      <c r="C666" s="987" t="s">
        <v>4626</v>
      </c>
      <c r="F666" s="990">
        <v>6.1999999999999998E-3</v>
      </c>
      <c r="H666" s="986">
        <v>1.04E-2</v>
      </c>
      <c r="I666" s="986">
        <f t="shared" si="10"/>
        <v>-4.1999999999999997E-3</v>
      </c>
      <c r="J666" s="988">
        <v>29707</v>
      </c>
    </row>
    <row r="667" spans="2:10" ht="13.8">
      <c r="B667" s="988">
        <v>29738</v>
      </c>
      <c r="C667" s="987" t="s">
        <v>4626</v>
      </c>
      <c r="F667" s="990">
        <v>-8.0000000000000002E-3</v>
      </c>
      <c r="H667" s="986">
        <v>1.09E-2</v>
      </c>
      <c r="I667" s="986">
        <f t="shared" si="10"/>
        <v>-1.89E-2</v>
      </c>
      <c r="J667" s="988">
        <v>29738</v>
      </c>
    </row>
    <row r="668" spans="2:10" ht="13.8">
      <c r="B668" s="988">
        <v>29768</v>
      </c>
      <c r="C668" s="987" t="s">
        <v>4626</v>
      </c>
      <c r="F668" s="990">
        <v>6.9999999999999999E-4</v>
      </c>
      <c r="H668" s="986">
        <v>1.09E-2</v>
      </c>
      <c r="I668" s="986">
        <f t="shared" si="10"/>
        <v>-1.0200000000000001E-2</v>
      </c>
      <c r="J668" s="988">
        <v>29768</v>
      </c>
    </row>
    <row r="669" spans="2:10" ht="13.8">
      <c r="B669" s="988">
        <v>29799</v>
      </c>
      <c r="C669" s="987" t="s">
        <v>4626</v>
      </c>
      <c r="F669" s="990">
        <v>-5.5399999999999998E-2</v>
      </c>
      <c r="H669" s="986">
        <v>1.0999999999999999E-2</v>
      </c>
      <c r="I669" s="986">
        <f t="shared" si="10"/>
        <v>-6.6400000000000001E-2</v>
      </c>
      <c r="J669" s="988">
        <v>29799</v>
      </c>
    </row>
    <row r="670" spans="2:10" ht="13.8">
      <c r="B670" s="988">
        <v>29830</v>
      </c>
      <c r="C670" s="987" t="s">
        <v>4626</v>
      </c>
      <c r="F670" s="990">
        <v>-5.0200000000000002E-2</v>
      </c>
      <c r="H670" s="986">
        <v>1.14E-2</v>
      </c>
      <c r="I670" s="986">
        <f t="shared" si="10"/>
        <v>-6.1600000000000002E-2</v>
      </c>
      <c r="J670" s="988">
        <v>29830</v>
      </c>
    </row>
    <row r="671" spans="2:10" ht="13.8">
      <c r="B671" s="988">
        <v>29860</v>
      </c>
      <c r="C671" s="987" t="s">
        <v>4626</v>
      </c>
      <c r="F671" s="990">
        <v>5.28E-2</v>
      </c>
      <c r="H671" s="986">
        <v>1.17E-2</v>
      </c>
      <c r="I671" s="986">
        <f t="shared" si="10"/>
        <v>4.1099999999999998E-2</v>
      </c>
      <c r="J671" s="988">
        <v>29860</v>
      </c>
    </row>
    <row r="672" spans="2:10" ht="13.8">
      <c r="B672" s="988">
        <v>29891</v>
      </c>
      <c r="C672" s="987" t="s">
        <v>4626</v>
      </c>
      <c r="F672" s="990">
        <v>4.41E-2</v>
      </c>
      <c r="H672" s="986">
        <v>1.1299999999999999E-2</v>
      </c>
      <c r="I672" s="986">
        <f t="shared" si="10"/>
        <v>3.2800000000000003E-2</v>
      </c>
      <c r="J672" s="988">
        <v>29891</v>
      </c>
    </row>
    <row r="673" spans="2:10" ht="13.8">
      <c r="B673" s="988">
        <v>29921</v>
      </c>
      <c r="C673" s="987" t="s">
        <v>4626</v>
      </c>
      <c r="F673" s="990">
        <v>-2.6499999999999999E-2</v>
      </c>
      <c r="H673" s="986">
        <v>0.01</v>
      </c>
      <c r="I673" s="986">
        <f t="shared" si="10"/>
        <v>-3.6499999999999998E-2</v>
      </c>
      <c r="J673" s="988">
        <v>29921</v>
      </c>
    </row>
    <row r="674" spans="2:10" ht="13.8">
      <c r="B674" s="988">
        <v>29952</v>
      </c>
      <c r="C674" s="987" t="s">
        <v>4626</v>
      </c>
      <c r="F674" s="990">
        <v>-1.6299999999999999E-2</v>
      </c>
      <c r="H674" s="986">
        <v>1.0800000000000001E-2</v>
      </c>
      <c r="I674" s="986">
        <f t="shared" si="10"/>
        <v>-2.7099999999999999E-2</v>
      </c>
      <c r="J674" s="988">
        <v>29952</v>
      </c>
    </row>
    <row r="675" spans="2:10" ht="13.8">
      <c r="B675" s="988">
        <v>29983</v>
      </c>
      <c r="C675" s="987" t="s">
        <v>4626</v>
      </c>
      <c r="F675" s="990">
        <v>-5.1200000000000002E-2</v>
      </c>
      <c r="H675" s="986">
        <v>1.03E-2</v>
      </c>
      <c r="I675" s="986">
        <f t="shared" si="10"/>
        <v>-6.1499999999999999E-2</v>
      </c>
      <c r="J675" s="988">
        <v>29983</v>
      </c>
    </row>
    <row r="676" spans="2:10" ht="13.8">
      <c r="B676" s="988">
        <v>30011</v>
      </c>
      <c r="C676" s="987" t="s">
        <v>4626</v>
      </c>
      <c r="F676" s="990">
        <v>-6.0000000000000001E-3</v>
      </c>
      <c r="H676" s="986">
        <v>1.24E-2</v>
      </c>
      <c r="I676" s="986">
        <f t="shared" si="10"/>
        <v>-1.84E-2</v>
      </c>
      <c r="J676" s="988">
        <v>30011</v>
      </c>
    </row>
    <row r="677" spans="2:10" ht="13.8">
      <c r="B677" s="988">
        <v>30042</v>
      </c>
      <c r="C677" s="987" t="s">
        <v>4626</v>
      </c>
      <c r="F677" s="990">
        <v>4.1399999999999999E-2</v>
      </c>
      <c r="H677" s="986">
        <v>1.12E-2</v>
      </c>
      <c r="I677" s="986">
        <f t="shared" si="10"/>
        <v>3.0199999999999998E-2</v>
      </c>
      <c r="J677" s="988">
        <v>30042</v>
      </c>
    </row>
    <row r="678" spans="2:10" ht="13.8">
      <c r="B678" s="988">
        <v>30072</v>
      </c>
      <c r="C678" s="987" t="s">
        <v>4626</v>
      </c>
      <c r="F678" s="990">
        <v>-2.8799999999999999E-2</v>
      </c>
      <c r="H678" s="986">
        <v>1.01E-2</v>
      </c>
      <c r="I678" s="986">
        <f t="shared" si="10"/>
        <v>-3.8899999999999997E-2</v>
      </c>
      <c r="J678" s="988">
        <v>30072</v>
      </c>
    </row>
    <row r="679" spans="2:10" ht="13.8">
      <c r="B679" s="988">
        <v>30103</v>
      </c>
      <c r="C679" s="987" t="s">
        <v>4626</v>
      </c>
      <c r="F679" s="990">
        <v>-1.7399999999999999E-2</v>
      </c>
      <c r="H679" s="986">
        <v>1.2E-2</v>
      </c>
      <c r="I679" s="986">
        <f t="shared" si="10"/>
        <v>-2.9399999999999999E-2</v>
      </c>
      <c r="J679" s="988">
        <v>30103</v>
      </c>
    </row>
    <row r="680" spans="2:10" ht="13.8">
      <c r="B680" s="988">
        <v>30133</v>
      </c>
      <c r="C680" s="987" t="s">
        <v>4626</v>
      </c>
      <c r="F680" s="990">
        <v>-2.1499999999999998E-2</v>
      </c>
      <c r="H680" s="986">
        <v>1.14E-2</v>
      </c>
      <c r="I680" s="986">
        <f t="shared" si="10"/>
        <v>-3.2899999999999999E-2</v>
      </c>
      <c r="J680" s="988">
        <v>30133</v>
      </c>
    </row>
    <row r="681" spans="2:10" ht="13.8">
      <c r="B681" s="988">
        <v>30164</v>
      </c>
      <c r="C681" s="987" t="s">
        <v>4626</v>
      </c>
      <c r="F681" s="990">
        <v>0.12670000000000001</v>
      </c>
      <c r="H681" s="986">
        <v>1.12E-2</v>
      </c>
      <c r="I681" s="986">
        <f t="shared" si="10"/>
        <v>0.11550000000000001</v>
      </c>
      <c r="J681" s="988">
        <v>30164</v>
      </c>
    </row>
    <row r="682" spans="2:10" ht="13.8">
      <c r="B682" s="988">
        <v>30195</v>
      </c>
      <c r="C682" s="987" t="s">
        <v>4626</v>
      </c>
      <c r="F682" s="990">
        <v>1.0999999999999999E-2</v>
      </c>
      <c r="H682" s="986">
        <v>0.01</v>
      </c>
      <c r="I682" s="986">
        <f t="shared" si="10"/>
        <v>9.9999999999999915E-4</v>
      </c>
      <c r="J682" s="988">
        <v>30195</v>
      </c>
    </row>
    <row r="683" spans="2:10" ht="13.8">
      <c r="B683" s="988">
        <v>30225</v>
      </c>
      <c r="C683" s="987" t="s">
        <v>4626</v>
      </c>
      <c r="F683" s="990">
        <v>0.11260000000000001</v>
      </c>
      <c r="H683" s="986">
        <v>9.1000000000000004E-3</v>
      </c>
      <c r="I683" s="986">
        <f t="shared" si="10"/>
        <v>0.10350000000000001</v>
      </c>
      <c r="J683" s="988">
        <v>30225</v>
      </c>
    </row>
    <row r="684" spans="2:10" ht="13.8">
      <c r="B684" s="988">
        <v>30256</v>
      </c>
      <c r="C684" s="987" t="s">
        <v>4626</v>
      </c>
      <c r="F684" s="990">
        <v>4.3799999999999999E-2</v>
      </c>
      <c r="H684" s="986">
        <v>9.4000000000000004E-3</v>
      </c>
      <c r="I684" s="986">
        <f t="shared" si="10"/>
        <v>3.44E-2</v>
      </c>
      <c r="J684" s="988">
        <v>30256</v>
      </c>
    </row>
    <row r="685" spans="2:10" ht="13.8">
      <c r="B685" s="988">
        <v>30286</v>
      </c>
      <c r="C685" s="987" t="s">
        <v>4626</v>
      </c>
      <c r="F685" s="990">
        <v>1.7299999999999999E-2</v>
      </c>
      <c r="H685" s="986">
        <v>9.2999999999999992E-3</v>
      </c>
      <c r="I685" s="986">
        <f t="shared" si="10"/>
        <v>8.0000000000000002E-3</v>
      </c>
      <c r="J685" s="988">
        <v>30286</v>
      </c>
    </row>
    <row r="686" spans="2:10" ht="13.8">
      <c r="B686" s="988">
        <v>30317</v>
      </c>
      <c r="C686" s="987" t="s">
        <v>4626</v>
      </c>
      <c r="F686" s="990">
        <v>3.4799999999999998E-2</v>
      </c>
      <c r="H686" s="986">
        <v>8.6999999999999994E-3</v>
      </c>
      <c r="I686" s="986">
        <f t="shared" si="10"/>
        <v>2.6099999999999998E-2</v>
      </c>
      <c r="J686" s="988">
        <v>30317</v>
      </c>
    </row>
    <row r="687" spans="2:10" ht="13.8">
      <c r="B687" s="988">
        <v>30348</v>
      </c>
      <c r="C687" s="987" t="s">
        <v>4626</v>
      </c>
      <c r="F687" s="990">
        <v>2.5999999999999999E-2</v>
      </c>
      <c r="H687" s="986">
        <v>8.0999999999999996E-3</v>
      </c>
      <c r="I687" s="986">
        <f t="shared" si="10"/>
        <v>1.7899999999999999E-2</v>
      </c>
      <c r="J687" s="988">
        <v>30348</v>
      </c>
    </row>
    <row r="688" spans="2:10" ht="13.8">
      <c r="B688" s="988">
        <v>30376</v>
      </c>
      <c r="C688" s="987" t="s">
        <v>4626</v>
      </c>
      <c r="F688" s="990">
        <v>3.6499999999999998E-2</v>
      </c>
      <c r="H688" s="986">
        <v>8.8999999999999999E-3</v>
      </c>
      <c r="I688" s="986">
        <f t="shared" si="10"/>
        <v>2.76E-2</v>
      </c>
      <c r="J688" s="988">
        <v>30376</v>
      </c>
    </row>
    <row r="689" spans="2:10" ht="13.8">
      <c r="B689" s="988">
        <v>30407</v>
      </c>
      <c r="C689" s="987" t="s">
        <v>4626</v>
      </c>
      <c r="F689" s="990">
        <v>7.5800000000000006E-2</v>
      </c>
      <c r="H689" s="986">
        <v>8.5000000000000006E-3</v>
      </c>
      <c r="I689" s="986">
        <f t="shared" si="10"/>
        <v>6.7299999999999999E-2</v>
      </c>
      <c r="J689" s="988">
        <v>30407</v>
      </c>
    </row>
    <row r="690" spans="2:10" ht="13.8">
      <c r="B690" s="988">
        <v>30437</v>
      </c>
      <c r="C690" s="987" t="s">
        <v>4626</v>
      </c>
      <c r="F690" s="990">
        <v>-5.1999999999999998E-3</v>
      </c>
      <c r="H690" s="986">
        <v>9.1000000000000004E-3</v>
      </c>
      <c r="I690" s="986">
        <f t="shared" si="10"/>
        <v>-1.43E-2</v>
      </c>
      <c r="J690" s="988">
        <v>30437</v>
      </c>
    </row>
    <row r="691" spans="2:10" ht="13.8">
      <c r="B691" s="988">
        <v>30468</v>
      </c>
      <c r="C691" s="987" t="s">
        <v>4626</v>
      </c>
      <c r="F691" s="990">
        <v>3.8199999999999998E-2</v>
      </c>
      <c r="H691" s="986">
        <v>8.9999999999999993E-3</v>
      </c>
      <c r="I691" s="986">
        <f t="shared" si="10"/>
        <v>2.9199999999999997E-2</v>
      </c>
      <c r="J691" s="988">
        <v>30468</v>
      </c>
    </row>
    <row r="692" spans="2:10" ht="13.8">
      <c r="B692" s="988">
        <v>30498</v>
      </c>
      <c r="C692" s="987" t="s">
        <v>4626</v>
      </c>
      <c r="F692" s="990">
        <v>-3.1300000000000001E-2</v>
      </c>
      <c r="H692" s="986">
        <v>8.8000000000000005E-3</v>
      </c>
      <c r="I692" s="986">
        <f t="shared" si="10"/>
        <v>-4.0100000000000004E-2</v>
      </c>
      <c r="J692" s="988">
        <v>30498</v>
      </c>
    </row>
    <row r="693" spans="2:10" ht="13.8">
      <c r="B693" s="988">
        <v>30529</v>
      </c>
      <c r="C693" s="987" t="s">
        <v>4626</v>
      </c>
      <c r="F693" s="990">
        <v>1.7000000000000001E-2</v>
      </c>
      <c r="H693" s="986">
        <v>1.03E-2</v>
      </c>
      <c r="I693" s="986">
        <f t="shared" si="10"/>
        <v>6.7000000000000011E-3</v>
      </c>
      <c r="J693" s="988">
        <v>30529</v>
      </c>
    </row>
    <row r="694" spans="2:10" ht="13.8">
      <c r="B694" s="988">
        <v>30560</v>
      </c>
      <c r="C694" s="987" t="s">
        <v>4626</v>
      </c>
      <c r="F694" s="990">
        <v>1.3599999999999999E-2</v>
      </c>
      <c r="H694" s="986">
        <v>9.5999999999999992E-3</v>
      </c>
      <c r="I694" s="986">
        <f t="shared" si="10"/>
        <v>4.0000000000000001E-3</v>
      </c>
      <c r="J694" s="988">
        <v>30560</v>
      </c>
    </row>
    <row r="695" spans="2:10" ht="13.8">
      <c r="B695" s="988">
        <v>30590</v>
      </c>
      <c r="C695" s="987" t="s">
        <v>4626</v>
      </c>
      <c r="F695" s="990">
        <v>-1.34E-2</v>
      </c>
      <c r="H695" s="986">
        <v>9.4999999999999998E-3</v>
      </c>
      <c r="I695" s="986">
        <f t="shared" si="10"/>
        <v>-2.29E-2</v>
      </c>
      <c r="J695" s="988">
        <v>30590</v>
      </c>
    </row>
    <row r="696" spans="2:10" ht="13.8">
      <c r="B696" s="988">
        <v>30621</v>
      </c>
      <c r="C696" s="987" t="s">
        <v>4626</v>
      </c>
      <c r="F696" s="990">
        <v>2.3300000000000001E-2</v>
      </c>
      <c r="H696" s="986">
        <v>9.4000000000000004E-3</v>
      </c>
      <c r="I696" s="986">
        <f t="shared" si="10"/>
        <v>1.3900000000000001E-2</v>
      </c>
      <c r="J696" s="988">
        <v>30621</v>
      </c>
    </row>
    <row r="697" spans="2:10" ht="13.8">
      <c r="B697" s="988">
        <v>30651</v>
      </c>
      <c r="C697" s="987" t="s">
        <v>4626</v>
      </c>
      <c r="F697" s="990">
        <v>-6.1000000000000004E-3</v>
      </c>
      <c r="H697" s="986">
        <v>9.4000000000000004E-3</v>
      </c>
      <c r="I697" s="986">
        <f t="shared" si="10"/>
        <v>-1.55E-2</v>
      </c>
      <c r="J697" s="988">
        <v>30651</v>
      </c>
    </row>
    <row r="698" spans="2:10" ht="13.8">
      <c r="B698" s="988">
        <v>30682</v>
      </c>
      <c r="C698" s="987" t="s">
        <v>4626</v>
      </c>
      <c r="F698" s="990">
        <v>-6.4999999999999997E-3</v>
      </c>
      <c r="H698" s="986">
        <v>1.03E-2</v>
      </c>
      <c r="I698" s="986">
        <f t="shared" si="10"/>
        <v>-1.6799999999999999E-2</v>
      </c>
      <c r="J698" s="988">
        <v>30682</v>
      </c>
    </row>
    <row r="699" spans="2:10" ht="13.8">
      <c r="B699" s="988">
        <v>30713</v>
      </c>
      <c r="C699" s="987" t="s">
        <v>4626</v>
      </c>
      <c r="F699" s="990">
        <v>-3.2800000000000003E-2</v>
      </c>
      <c r="H699" s="986">
        <v>9.1999999999999998E-3</v>
      </c>
      <c r="I699" s="986">
        <f t="shared" si="10"/>
        <v>-4.2000000000000003E-2</v>
      </c>
      <c r="J699" s="988">
        <v>30713</v>
      </c>
    </row>
    <row r="700" spans="2:10" ht="13.8">
      <c r="B700" s="988">
        <v>30742</v>
      </c>
      <c r="C700" s="987" t="s">
        <v>4626</v>
      </c>
      <c r="F700" s="990">
        <v>1.7100000000000001E-2</v>
      </c>
      <c r="H700" s="986">
        <v>9.7999999999999997E-3</v>
      </c>
      <c r="I700" s="986">
        <f t="shared" si="10"/>
        <v>7.3000000000000009E-3</v>
      </c>
      <c r="J700" s="988">
        <v>30742</v>
      </c>
    </row>
    <row r="701" spans="2:10" ht="13.8">
      <c r="B701" s="988">
        <v>30773</v>
      </c>
      <c r="C701" s="987" t="s">
        <v>4626</v>
      </c>
      <c r="F701" s="990">
        <v>6.8999999999999999E-3</v>
      </c>
      <c r="H701" s="986">
        <v>1.04E-2</v>
      </c>
      <c r="I701" s="986">
        <f t="shared" si="10"/>
        <v>-3.4999999999999996E-3</v>
      </c>
      <c r="J701" s="988">
        <v>30773</v>
      </c>
    </row>
    <row r="702" spans="2:10" ht="13.8">
      <c r="B702" s="988">
        <v>30803</v>
      </c>
      <c r="C702" s="987" t="s">
        <v>4626</v>
      </c>
      <c r="F702" s="990">
        <v>-5.3400000000000003E-2</v>
      </c>
      <c r="H702" s="986">
        <v>1.03E-2</v>
      </c>
      <c r="I702" s="986">
        <f t="shared" si="10"/>
        <v>-6.3700000000000007E-2</v>
      </c>
      <c r="J702" s="988">
        <v>30803</v>
      </c>
    </row>
    <row r="703" spans="2:10" ht="13.8">
      <c r="B703" s="988">
        <v>30834</v>
      </c>
      <c r="C703" s="987" t="s">
        <v>4626</v>
      </c>
      <c r="F703" s="990">
        <v>2.2100000000000002E-2</v>
      </c>
      <c r="H703" s="986">
        <v>1.06E-2</v>
      </c>
      <c r="I703" s="986">
        <f t="shared" si="10"/>
        <v>1.1500000000000002E-2</v>
      </c>
      <c r="J703" s="988">
        <v>30834</v>
      </c>
    </row>
    <row r="704" spans="2:10" ht="13.8">
      <c r="B704" s="988">
        <v>30864</v>
      </c>
      <c r="C704" s="987" t="s">
        <v>4626</v>
      </c>
      <c r="F704" s="990">
        <v>-1.43E-2</v>
      </c>
      <c r="H704" s="986">
        <v>1.1599999999999999E-2</v>
      </c>
      <c r="I704" s="986">
        <f t="shared" si="10"/>
        <v>-2.5899999999999999E-2</v>
      </c>
      <c r="J704" s="988">
        <v>30864</v>
      </c>
    </row>
    <row r="705" spans="2:10" ht="13.8">
      <c r="B705" s="988">
        <v>30895</v>
      </c>
      <c r="C705" s="987" t="s">
        <v>4626</v>
      </c>
      <c r="F705" s="990">
        <v>0.1125</v>
      </c>
      <c r="H705" s="986">
        <v>1.06E-2</v>
      </c>
      <c r="I705" s="986">
        <f t="shared" si="10"/>
        <v>0.1019</v>
      </c>
      <c r="J705" s="988">
        <v>30895</v>
      </c>
    </row>
    <row r="706" spans="2:10" ht="13.8">
      <c r="B706" s="988">
        <v>30926</v>
      </c>
      <c r="C706" s="987" t="s">
        <v>4626</v>
      </c>
      <c r="F706" s="990">
        <v>2.0000000000000001E-4</v>
      </c>
      <c r="H706" s="986">
        <v>9.4000000000000004E-3</v>
      </c>
      <c r="I706" s="986">
        <f t="shared" ref="I706:I769" si="11">F706-H706</f>
        <v>-9.1999999999999998E-3</v>
      </c>
      <c r="J706" s="988">
        <v>30926</v>
      </c>
    </row>
    <row r="707" spans="2:10" ht="13.8">
      <c r="B707" s="988">
        <v>30956</v>
      </c>
      <c r="C707" s="987" t="s">
        <v>4626</v>
      </c>
      <c r="F707" s="990">
        <v>2.5999999999999999E-3</v>
      </c>
      <c r="H707" s="986">
        <v>1.0800000000000001E-2</v>
      </c>
      <c r="I707" s="986">
        <f t="shared" si="11"/>
        <v>-8.2000000000000007E-3</v>
      </c>
      <c r="J707" s="988">
        <v>30956</v>
      </c>
    </row>
    <row r="708" spans="2:10" ht="13.8">
      <c r="B708" s="988">
        <v>30987</v>
      </c>
      <c r="C708" s="987" t="s">
        <v>4626</v>
      </c>
      <c r="F708" s="990">
        <v>-1.01E-2</v>
      </c>
      <c r="H708" s="986">
        <v>9.1000000000000004E-3</v>
      </c>
      <c r="I708" s="986">
        <f t="shared" si="11"/>
        <v>-1.9200000000000002E-2</v>
      </c>
      <c r="J708" s="988">
        <v>30987</v>
      </c>
    </row>
    <row r="709" spans="2:10" ht="13.8">
      <c r="B709" s="988">
        <v>31017</v>
      </c>
      <c r="C709" s="987" t="s">
        <v>4626</v>
      </c>
      <c r="F709" s="990">
        <v>2.53E-2</v>
      </c>
      <c r="H709" s="986">
        <v>9.7999999999999997E-3</v>
      </c>
      <c r="I709" s="986">
        <f t="shared" si="11"/>
        <v>1.55E-2</v>
      </c>
      <c r="J709" s="988">
        <v>31017</v>
      </c>
    </row>
    <row r="710" spans="2:10" ht="13.8">
      <c r="B710" s="988">
        <v>31048</v>
      </c>
      <c r="C710" s="987" t="s">
        <v>4626</v>
      </c>
      <c r="F710" s="990">
        <v>7.6799999999999993E-2</v>
      </c>
      <c r="H710" s="986">
        <v>9.5999999999999992E-3</v>
      </c>
      <c r="I710" s="986">
        <f t="shared" si="11"/>
        <v>6.7199999999999996E-2</v>
      </c>
      <c r="J710" s="988">
        <v>31048</v>
      </c>
    </row>
    <row r="711" spans="2:10" ht="13.8">
      <c r="B711" s="988">
        <v>31079</v>
      </c>
      <c r="C711" s="987" t="s">
        <v>4626</v>
      </c>
      <c r="F711" s="990">
        <v>1.37E-2</v>
      </c>
      <c r="H711" s="986">
        <v>8.2000000000000007E-3</v>
      </c>
      <c r="I711" s="986">
        <f t="shared" si="11"/>
        <v>5.4999999999999997E-3</v>
      </c>
      <c r="J711" s="988">
        <v>31079</v>
      </c>
    </row>
    <row r="712" spans="2:10" ht="13.8">
      <c r="B712" s="988">
        <v>31107</v>
      </c>
      <c r="C712" s="987" t="s">
        <v>4626</v>
      </c>
      <c r="F712" s="990">
        <v>1.8E-3</v>
      </c>
      <c r="H712" s="986">
        <v>9.4000000000000004E-3</v>
      </c>
      <c r="I712" s="986">
        <f t="shared" si="11"/>
        <v>-7.6000000000000009E-3</v>
      </c>
      <c r="J712" s="988">
        <v>31107</v>
      </c>
    </row>
    <row r="713" spans="2:10" ht="13.8">
      <c r="B713" s="988">
        <v>31138</v>
      </c>
      <c r="C713" s="987" t="s">
        <v>4626</v>
      </c>
      <c r="F713" s="990">
        <v>-3.2000000000000002E-3</v>
      </c>
      <c r="H713" s="986">
        <v>1.0200000000000001E-2</v>
      </c>
      <c r="I713" s="986">
        <f t="shared" si="11"/>
        <v>-1.34E-2</v>
      </c>
      <c r="J713" s="988">
        <v>31138</v>
      </c>
    </row>
    <row r="714" spans="2:10" ht="13.8">
      <c r="B714" s="988">
        <v>31168</v>
      </c>
      <c r="C714" s="987" t="s">
        <v>4626</v>
      </c>
      <c r="F714" s="990">
        <v>6.1499999999999999E-2</v>
      </c>
      <c r="H714" s="986">
        <v>9.7000000000000003E-3</v>
      </c>
      <c r="I714" s="986">
        <f t="shared" si="11"/>
        <v>5.1799999999999999E-2</v>
      </c>
      <c r="J714" s="988">
        <v>31168</v>
      </c>
    </row>
    <row r="715" spans="2:10" ht="13.8">
      <c r="B715" s="988">
        <v>31199</v>
      </c>
      <c r="C715" s="987" t="s">
        <v>4626</v>
      </c>
      <c r="F715" s="990">
        <v>1.5900000000000001E-2</v>
      </c>
      <c r="H715" s="986">
        <v>8.0000000000000002E-3</v>
      </c>
      <c r="I715" s="986">
        <f t="shared" si="11"/>
        <v>7.9000000000000008E-3</v>
      </c>
      <c r="J715" s="988">
        <v>31199</v>
      </c>
    </row>
    <row r="716" spans="2:10" ht="13.8">
      <c r="B716" s="988">
        <v>31229</v>
      </c>
      <c r="C716" s="987" t="s">
        <v>4626</v>
      </c>
      <c r="F716" s="990">
        <v>-2.5999999999999999E-3</v>
      </c>
      <c r="H716" s="986">
        <v>9.4000000000000004E-3</v>
      </c>
      <c r="I716" s="986">
        <f t="shared" si="11"/>
        <v>-1.2E-2</v>
      </c>
      <c r="J716" s="988">
        <v>31229</v>
      </c>
    </row>
    <row r="717" spans="2:10" ht="13.8">
      <c r="B717" s="988">
        <v>31260</v>
      </c>
      <c r="C717" s="987" t="s">
        <v>4626</v>
      </c>
      <c r="F717" s="990">
        <v>-6.1000000000000004E-3</v>
      </c>
      <c r="H717" s="986">
        <v>8.5000000000000006E-3</v>
      </c>
      <c r="I717" s="986">
        <f t="shared" si="11"/>
        <v>-1.4600000000000002E-2</v>
      </c>
      <c r="J717" s="988">
        <v>31260</v>
      </c>
    </row>
    <row r="718" spans="2:10" ht="13.8">
      <c r="B718" s="988">
        <v>31291</v>
      </c>
      <c r="C718" s="987" t="s">
        <v>4626</v>
      </c>
      <c r="F718" s="990">
        <v>-3.2099999999999997E-2</v>
      </c>
      <c r="H718" s="986">
        <v>8.8000000000000005E-3</v>
      </c>
      <c r="I718" s="986">
        <f t="shared" si="11"/>
        <v>-4.0899999999999999E-2</v>
      </c>
      <c r="J718" s="988">
        <v>31291</v>
      </c>
    </row>
    <row r="719" spans="2:10" ht="13.8">
      <c r="B719" s="988">
        <v>31321</v>
      </c>
      <c r="C719" s="987" t="s">
        <v>4626</v>
      </c>
      <c r="F719" s="990">
        <v>4.4699999999999997E-2</v>
      </c>
      <c r="H719" s="986">
        <v>8.8999999999999999E-3</v>
      </c>
      <c r="I719" s="986">
        <f t="shared" si="11"/>
        <v>3.5799999999999998E-2</v>
      </c>
      <c r="J719" s="988">
        <v>31321</v>
      </c>
    </row>
    <row r="720" spans="2:10" ht="13.8">
      <c r="B720" s="988">
        <v>31352</v>
      </c>
      <c r="C720" s="987" t="s">
        <v>4626</v>
      </c>
      <c r="F720" s="990">
        <v>7.1599999999999997E-2</v>
      </c>
      <c r="H720" s="986">
        <v>8.0999999999999996E-3</v>
      </c>
      <c r="I720" s="986">
        <f t="shared" si="11"/>
        <v>6.3500000000000001E-2</v>
      </c>
      <c r="J720" s="988">
        <v>31352</v>
      </c>
    </row>
    <row r="721" spans="2:10" ht="13.8">
      <c r="B721" s="988">
        <v>31382</v>
      </c>
      <c r="C721" s="987" t="s">
        <v>4626</v>
      </c>
      <c r="F721" s="990">
        <v>4.6699999999999998E-2</v>
      </c>
      <c r="H721" s="986">
        <v>8.6E-3</v>
      </c>
      <c r="I721" s="986">
        <f t="shared" si="11"/>
        <v>3.8099999999999995E-2</v>
      </c>
      <c r="J721" s="988">
        <v>31382</v>
      </c>
    </row>
    <row r="722" spans="2:10" ht="13.8">
      <c r="B722" s="988">
        <v>31413</v>
      </c>
      <c r="C722" s="987" t="s">
        <v>4626</v>
      </c>
      <c r="F722" s="990">
        <v>4.4000000000000003E-3</v>
      </c>
      <c r="H722" s="986">
        <v>7.9000000000000008E-3</v>
      </c>
      <c r="I722" s="986">
        <f t="shared" si="11"/>
        <v>-3.5000000000000005E-3</v>
      </c>
      <c r="J722" s="988">
        <v>31413</v>
      </c>
    </row>
    <row r="723" spans="2:10" ht="13.8">
      <c r="B723" s="988">
        <v>31444</v>
      </c>
      <c r="C723" s="987" t="s">
        <v>4626</v>
      </c>
      <c r="F723" s="990">
        <v>7.6100000000000001E-2</v>
      </c>
      <c r="H723" s="986">
        <v>7.3000000000000001E-3</v>
      </c>
      <c r="I723" s="986">
        <f t="shared" si="11"/>
        <v>6.88E-2</v>
      </c>
      <c r="J723" s="988">
        <v>31444</v>
      </c>
    </row>
    <row r="724" spans="2:10" ht="13.8">
      <c r="B724" s="988">
        <v>31472</v>
      </c>
      <c r="C724" s="987" t="s">
        <v>4626</v>
      </c>
      <c r="F724" s="990">
        <v>5.5399999999999998E-2</v>
      </c>
      <c r="H724" s="986">
        <v>7.1000000000000004E-3</v>
      </c>
      <c r="I724" s="986">
        <f t="shared" si="11"/>
        <v>4.8299999999999996E-2</v>
      </c>
      <c r="J724" s="988">
        <v>31472</v>
      </c>
    </row>
    <row r="725" spans="2:10" ht="13.8">
      <c r="B725" s="988">
        <v>31503</v>
      </c>
      <c r="C725" s="987" t="s">
        <v>4626</v>
      </c>
      <c r="F725" s="990">
        <v>-1.24E-2</v>
      </c>
      <c r="H725" s="986">
        <v>6.3E-3</v>
      </c>
      <c r="I725" s="986">
        <f t="shared" si="11"/>
        <v>-1.8700000000000001E-2</v>
      </c>
      <c r="J725" s="988">
        <v>31503</v>
      </c>
    </row>
    <row r="726" spans="2:10" ht="13.8">
      <c r="B726" s="988">
        <v>31533</v>
      </c>
      <c r="C726" s="987" t="s">
        <v>4626</v>
      </c>
      <c r="F726" s="990">
        <v>5.4899999999999997E-2</v>
      </c>
      <c r="H726" s="986">
        <v>6.1999999999999998E-3</v>
      </c>
      <c r="I726" s="986">
        <f t="shared" si="11"/>
        <v>4.87E-2</v>
      </c>
      <c r="J726" s="988">
        <v>31533</v>
      </c>
    </row>
    <row r="727" spans="2:10" ht="13.8">
      <c r="B727" s="988">
        <v>31564</v>
      </c>
      <c r="C727" s="987" t="s">
        <v>4626</v>
      </c>
      <c r="F727" s="990">
        <v>1.66E-2</v>
      </c>
      <c r="H727" s="986">
        <v>7.0000000000000001E-3</v>
      </c>
      <c r="I727" s="986">
        <f t="shared" si="11"/>
        <v>9.6000000000000009E-3</v>
      </c>
      <c r="J727" s="988">
        <v>31564</v>
      </c>
    </row>
    <row r="728" spans="2:10" ht="13.8">
      <c r="B728" s="988">
        <v>31594</v>
      </c>
      <c r="C728" s="987" t="s">
        <v>4626</v>
      </c>
      <c r="F728" s="990">
        <v>-5.6899999999999999E-2</v>
      </c>
      <c r="H728" s="986">
        <v>6.6E-3</v>
      </c>
      <c r="I728" s="986">
        <f t="shared" si="11"/>
        <v>-6.3500000000000001E-2</v>
      </c>
      <c r="J728" s="988">
        <v>31594</v>
      </c>
    </row>
    <row r="729" spans="2:10" ht="13.8">
      <c r="B729" s="988">
        <v>31625</v>
      </c>
      <c r="C729" s="987" t="s">
        <v>4626</v>
      </c>
      <c r="F729" s="990">
        <v>7.4800000000000005E-2</v>
      </c>
      <c r="H729" s="986">
        <v>6.3E-3</v>
      </c>
      <c r="I729" s="986">
        <f t="shared" si="11"/>
        <v>6.8500000000000005E-2</v>
      </c>
      <c r="J729" s="988">
        <v>31625</v>
      </c>
    </row>
    <row r="730" spans="2:10" ht="13.8">
      <c r="B730" s="988">
        <v>31656</v>
      </c>
      <c r="C730" s="987" t="s">
        <v>4626</v>
      </c>
      <c r="F730" s="990">
        <v>-8.2199999999999995E-2</v>
      </c>
      <c r="H730" s="986">
        <v>6.4999999999999997E-3</v>
      </c>
      <c r="I730" s="986">
        <f t="shared" si="11"/>
        <v>-8.8700000000000001E-2</v>
      </c>
      <c r="J730" s="988">
        <v>31656</v>
      </c>
    </row>
    <row r="731" spans="2:10" ht="13.8">
      <c r="B731" s="988">
        <v>31686</v>
      </c>
      <c r="C731" s="987" t="s">
        <v>4626</v>
      </c>
      <c r="F731" s="990">
        <v>5.5599999999999997E-2</v>
      </c>
      <c r="H731" s="986">
        <v>6.8999999999999999E-3</v>
      </c>
      <c r="I731" s="986">
        <f t="shared" si="11"/>
        <v>4.8699999999999993E-2</v>
      </c>
      <c r="J731" s="988">
        <v>31686</v>
      </c>
    </row>
    <row r="732" spans="2:10" ht="13.8">
      <c r="B732" s="988">
        <v>31717</v>
      </c>
      <c r="C732" s="987" t="s">
        <v>4626</v>
      </c>
      <c r="F732" s="990">
        <v>2.5600000000000001E-2</v>
      </c>
      <c r="H732" s="986">
        <v>5.8999999999999999E-3</v>
      </c>
      <c r="I732" s="986">
        <f t="shared" si="11"/>
        <v>1.9700000000000002E-2</v>
      </c>
      <c r="J732" s="988">
        <v>31717</v>
      </c>
    </row>
    <row r="733" spans="2:10" ht="13.8">
      <c r="B733" s="988">
        <v>31747</v>
      </c>
      <c r="C733" s="987" t="s">
        <v>4626</v>
      </c>
      <c r="F733" s="990">
        <v>-2.64E-2</v>
      </c>
      <c r="H733" s="986">
        <v>7.0000000000000001E-3</v>
      </c>
      <c r="I733" s="986">
        <f t="shared" si="11"/>
        <v>-3.3399999999999999E-2</v>
      </c>
      <c r="J733" s="988">
        <v>31747</v>
      </c>
    </row>
    <row r="734" spans="2:10" ht="13.8">
      <c r="B734" s="988">
        <v>31778</v>
      </c>
      <c r="C734" s="987" t="s">
        <v>4626</v>
      </c>
      <c r="F734" s="990">
        <v>0.1343</v>
      </c>
      <c r="H734" s="986">
        <v>6.4000000000000003E-3</v>
      </c>
      <c r="I734" s="986">
        <f t="shared" si="11"/>
        <v>0.12790000000000001</v>
      </c>
      <c r="J734" s="988">
        <v>31778</v>
      </c>
    </row>
    <row r="735" spans="2:10" ht="13.8">
      <c r="B735" s="988">
        <v>31809</v>
      </c>
      <c r="C735" s="987" t="s">
        <v>4626</v>
      </c>
      <c r="F735" s="990">
        <v>4.1300000000000003E-2</v>
      </c>
      <c r="H735" s="986">
        <v>5.8999999999999999E-3</v>
      </c>
      <c r="I735" s="986">
        <f t="shared" si="11"/>
        <v>3.5400000000000001E-2</v>
      </c>
      <c r="J735" s="988">
        <v>31809</v>
      </c>
    </row>
    <row r="736" spans="2:10" ht="13.8">
      <c r="B736" s="988">
        <v>31837</v>
      </c>
      <c r="C736" s="987" t="s">
        <v>4626</v>
      </c>
      <c r="F736" s="990">
        <v>2.7199999999999998E-2</v>
      </c>
      <c r="H736" s="986">
        <v>6.6E-3</v>
      </c>
      <c r="I736" s="986">
        <f t="shared" si="11"/>
        <v>2.06E-2</v>
      </c>
      <c r="J736" s="988">
        <v>31837</v>
      </c>
    </row>
    <row r="737" spans="2:10" ht="13.8">
      <c r="B737" s="988">
        <v>31868</v>
      </c>
      <c r="C737" s="987" t="s">
        <v>4626</v>
      </c>
      <c r="F737" s="990">
        <v>-8.8000000000000005E-3</v>
      </c>
      <c r="H737" s="986">
        <v>6.4999999999999997E-3</v>
      </c>
      <c r="I737" s="986">
        <f t="shared" si="11"/>
        <v>-1.5300000000000001E-2</v>
      </c>
      <c r="J737" s="988">
        <v>31868</v>
      </c>
    </row>
    <row r="738" spans="2:10" ht="13.8">
      <c r="B738" s="988">
        <v>31898</v>
      </c>
      <c r="C738" s="987" t="s">
        <v>4626</v>
      </c>
      <c r="F738" s="990">
        <v>1.03E-2</v>
      </c>
      <c r="H738" s="986">
        <v>6.6E-3</v>
      </c>
      <c r="I738" s="986">
        <f t="shared" si="11"/>
        <v>3.7000000000000002E-3</v>
      </c>
      <c r="J738" s="988">
        <v>31898</v>
      </c>
    </row>
    <row r="739" spans="2:10" ht="13.8">
      <c r="B739" s="988">
        <v>31929</v>
      </c>
      <c r="C739" s="987" t="s">
        <v>4626</v>
      </c>
      <c r="F739" s="990">
        <v>4.99E-2</v>
      </c>
      <c r="H739" s="986">
        <v>7.4999999999999997E-3</v>
      </c>
      <c r="I739" s="986">
        <f t="shared" si="11"/>
        <v>4.24E-2</v>
      </c>
      <c r="J739" s="988">
        <v>31929</v>
      </c>
    </row>
    <row r="740" spans="2:10" ht="13.8">
      <c r="B740" s="988">
        <v>31959</v>
      </c>
      <c r="C740" s="987" t="s">
        <v>4626</v>
      </c>
      <c r="F740" s="990">
        <v>4.9799999999999997E-2</v>
      </c>
      <c r="H740" s="986">
        <v>7.3000000000000001E-3</v>
      </c>
      <c r="I740" s="986">
        <f t="shared" si="11"/>
        <v>4.2499999999999996E-2</v>
      </c>
      <c r="J740" s="988">
        <v>31959</v>
      </c>
    </row>
    <row r="741" spans="2:10" ht="13.8">
      <c r="B741" s="988">
        <v>31990</v>
      </c>
      <c r="C741" s="987" t="s">
        <v>4626</v>
      </c>
      <c r="F741" s="990">
        <v>3.85E-2</v>
      </c>
      <c r="H741" s="986">
        <v>7.4999999999999997E-3</v>
      </c>
      <c r="I741" s="986">
        <f t="shared" si="11"/>
        <v>3.1E-2</v>
      </c>
      <c r="J741" s="988">
        <v>31990</v>
      </c>
    </row>
    <row r="742" spans="2:10" ht="13.8">
      <c r="B742" s="988">
        <v>32021</v>
      </c>
      <c r="C742" s="987" t="s">
        <v>4626</v>
      </c>
      <c r="F742" s="990">
        <v>-2.1999999999999999E-2</v>
      </c>
      <c r="H742" s="986">
        <v>7.4999999999999997E-3</v>
      </c>
      <c r="I742" s="986">
        <f t="shared" si="11"/>
        <v>-2.9499999999999998E-2</v>
      </c>
      <c r="J742" s="988">
        <v>32021</v>
      </c>
    </row>
    <row r="743" spans="2:10" ht="13.8">
      <c r="B743" s="988">
        <v>32051</v>
      </c>
      <c r="C743" s="987" t="s">
        <v>4626</v>
      </c>
      <c r="F743" s="990">
        <v>-0.2152</v>
      </c>
      <c r="H743" s="986">
        <v>7.9000000000000008E-3</v>
      </c>
      <c r="I743" s="986">
        <f t="shared" si="11"/>
        <v>-0.22309999999999999</v>
      </c>
      <c r="J743" s="988">
        <v>32051</v>
      </c>
    </row>
    <row r="744" spans="2:10" ht="13.8">
      <c r="B744" s="988">
        <v>32082</v>
      </c>
      <c r="C744" s="987" t="s">
        <v>4626</v>
      </c>
      <c r="F744" s="990">
        <v>-8.1900000000000001E-2</v>
      </c>
      <c r="H744" s="986">
        <v>7.4999999999999997E-3</v>
      </c>
      <c r="I744" s="986">
        <f t="shared" si="11"/>
        <v>-8.9400000000000007E-2</v>
      </c>
      <c r="J744" s="988">
        <v>32082</v>
      </c>
    </row>
    <row r="745" spans="2:10" ht="13.8">
      <c r="B745" s="988">
        <v>32112</v>
      </c>
      <c r="C745" s="987" t="s">
        <v>4626</v>
      </c>
      <c r="F745" s="990">
        <v>7.3800000000000004E-2</v>
      </c>
      <c r="H745" s="986">
        <v>7.7999999999999996E-3</v>
      </c>
      <c r="I745" s="986">
        <f t="shared" si="11"/>
        <v>6.6000000000000003E-2</v>
      </c>
      <c r="J745" s="988">
        <v>32112</v>
      </c>
    </row>
    <row r="746" spans="2:10" ht="13.8">
      <c r="B746" s="988">
        <v>32143</v>
      </c>
      <c r="C746" s="987" t="s">
        <v>4626</v>
      </c>
      <c r="F746" s="990">
        <v>4.2700000000000002E-2</v>
      </c>
      <c r="H746" s="986">
        <v>7.1999999999999998E-3</v>
      </c>
      <c r="I746" s="986">
        <f t="shared" si="11"/>
        <v>3.5500000000000004E-2</v>
      </c>
      <c r="J746" s="988">
        <v>32143</v>
      </c>
    </row>
    <row r="747" spans="2:10" ht="13.8">
      <c r="B747" s="988">
        <v>32174</v>
      </c>
      <c r="C747" s="987" t="s">
        <v>4626</v>
      </c>
      <c r="F747" s="990">
        <v>4.7E-2</v>
      </c>
      <c r="H747" s="986">
        <v>7.1000000000000004E-3</v>
      </c>
      <c r="I747" s="986">
        <f t="shared" si="11"/>
        <v>3.9899999999999998E-2</v>
      </c>
      <c r="J747" s="988">
        <v>32174</v>
      </c>
    </row>
    <row r="748" spans="2:10" ht="13.8">
      <c r="B748" s="988">
        <v>32203</v>
      </c>
      <c r="C748" s="987" t="s">
        <v>4626</v>
      </c>
      <c r="F748" s="990">
        <v>-3.0200000000000001E-2</v>
      </c>
      <c r="H748" s="986">
        <v>7.1999999999999998E-3</v>
      </c>
      <c r="I748" s="986">
        <f t="shared" si="11"/>
        <v>-3.7400000000000003E-2</v>
      </c>
      <c r="J748" s="988">
        <v>32203</v>
      </c>
    </row>
    <row r="749" spans="2:10" ht="13.8">
      <c r="B749" s="988">
        <v>32234</v>
      </c>
      <c r="C749" s="987" t="s">
        <v>4626</v>
      </c>
      <c r="F749" s="990">
        <v>1.0800000000000001E-2</v>
      </c>
      <c r="H749" s="986">
        <v>7.0000000000000001E-3</v>
      </c>
      <c r="I749" s="986">
        <f t="shared" si="11"/>
        <v>3.8000000000000004E-3</v>
      </c>
      <c r="J749" s="988">
        <v>32234</v>
      </c>
    </row>
    <row r="750" spans="2:10" ht="13.8">
      <c r="B750" s="988">
        <v>32264</v>
      </c>
      <c r="C750" s="987" t="s">
        <v>4626</v>
      </c>
      <c r="F750" s="990">
        <v>7.7999999999999996E-3</v>
      </c>
      <c r="H750" s="986">
        <v>7.7999999999999996E-3</v>
      </c>
      <c r="I750" s="986">
        <f t="shared" si="11"/>
        <v>0</v>
      </c>
      <c r="J750" s="988">
        <v>32264</v>
      </c>
    </row>
    <row r="751" spans="2:10" ht="13.8">
      <c r="B751" s="988">
        <v>32295</v>
      </c>
      <c r="C751" s="987" t="s">
        <v>4626</v>
      </c>
      <c r="F751" s="990">
        <v>4.6399999999999997E-2</v>
      </c>
      <c r="H751" s="986">
        <v>7.6E-3</v>
      </c>
      <c r="I751" s="986">
        <f t="shared" si="11"/>
        <v>3.8799999999999994E-2</v>
      </c>
      <c r="J751" s="988">
        <v>32295</v>
      </c>
    </row>
    <row r="752" spans="2:10" ht="13.8">
      <c r="B752" s="988">
        <v>32325</v>
      </c>
      <c r="C752" s="987" t="s">
        <v>4626</v>
      </c>
      <c r="F752" s="990">
        <v>-4.0000000000000001E-3</v>
      </c>
      <c r="H752" s="986">
        <v>7.1000000000000004E-3</v>
      </c>
      <c r="I752" s="986">
        <f t="shared" si="11"/>
        <v>-1.11E-2</v>
      </c>
      <c r="J752" s="988">
        <v>32325</v>
      </c>
    </row>
    <row r="753" spans="2:10" ht="13.8">
      <c r="B753" s="988">
        <v>32356</v>
      </c>
      <c r="C753" s="987" t="s">
        <v>4626</v>
      </c>
      <c r="F753" s="990">
        <v>-3.3099999999999997E-2</v>
      </c>
      <c r="H753" s="986">
        <v>8.3000000000000001E-3</v>
      </c>
      <c r="I753" s="986">
        <f t="shared" si="11"/>
        <v>-4.1399999999999999E-2</v>
      </c>
      <c r="J753" s="988">
        <v>32356</v>
      </c>
    </row>
    <row r="754" spans="2:10" ht="13.8">
      <c r="B754" s="988">
        <v>32387</v>
      </c>
      <c r="C754" s="987" t="s">
        <v>4626</v>
      </c>
      <c r="F754" s="990">
        <v>4.24E-2</v>
      </c>
      <c r="H754" s="986">
        <v>7.6E-3</v>
      </c>
      <c r="I754" s="986">
        <f t="shared" si="11"/>
        <v>3.4799999999999998E-2</v>
      </c>
      <c r="J754" s="988">
        <v>32387</v>
      </c>
    </row>
    <row r="755" spans="2:10" ht="13.8">
      <c r="B755" s="988">
        <v>32417</v>
      </c>
      <c r="C755" s="987" t="s">
        <v>4626</v>
      </c>
      <c r="F755" s="990">
        <v>2.7300000000000001E-2</v>
      </c>
      <c r="H755" s="986">
        <v>7.6E-3</v>
      </c>
      <c r="I755" s="986">
        <f t="shared" si="11"/>
        <v>1.9700000000000002E-2</v>
      </c>
      <c r="J755" s="988">
        <v>32417</v>
      </c>
    </row>
    <row r="756" spans="2:10" ht="13.8">
      <c r="B756" s="988">
        <v>32448</v>
      </c>
      <c r="C756" s="987" t="s">
        <v>4626</v>
      </c>
      <c r="F756" s="990">
        <v>-1.4200000000000001E-2</v>
      </c>
      <c r="H756" s="986">
        <v>7.0000000000000001E-3</v>
      </c>
      <c r="I756" s="986">
        <f t="shared" si="11"/>
        <v>-2.12E-2</v>
      </c>
      <c r="J756" s="988">
        <v>32448</v>
      </c>
    </row>
    <row r="757" spans="2:10" ht="13.8">
      <c r="B757" s="988">
        <v>32478</v>
      </c>
      <c r="C757" s="987" t="s">
        <v>4626</v>
      </c>
      <c r="F757" s="990">
        <v>1.8100000000000002E-2</v>
      </c>
      <c r="H757" s="986">
        <v>7.4999999999999997E-3</v>
      </c>
      <c r="I757" s="986">
        <f t="shared" si="11"/>
        <v>1.0600000000000002E-2</v>
      </c>
      <c r="J757" s="988">
        <v>32478</v>
      </c>
    </row>
    <row r="758" spans="2:10" ht="13.8">
      <c r="B758" s="988">
        <v>32509</v>
      </c>
      <c r="C758" s="987" t="s">
        <v>4626</v>
      </c>
      <c r="F758" s="990">
        <v>7.2300000000000003E-2</v>
      </c>
      <c r="H758" s="986">
        <v>8.0000000000000002E-3</v>
      </c>
      <c r="I758" s="986">
        <f t="shared" si="11"/>
        <v>6.4299999999999996E-2</v>
      </c>
      <c r="J758" s="988">
        <v>32509</v>
      </c>
    </row>
    <row r="759" spans="2:10" ht="13.8">
      <c r="B759" s="988">
        <v>32540</v>
      </c>
      <c r="C759" s="987" t="s">
        <v>4626</v>
      </c>
      <c r="F759" s="990">
        <v>-2.4899999999999999E-2</v>
      </c>
      <c r="H759" s="986">
        <v>6.8999999999999999E-3</v>
      </c>
      <c r="I759" s="986">
        <f t="shared" si="11"/>
        <v>-3.1799999999999995E-2</v>
      </c>
      <c r="J759" s="988">
        <v>32540</v>
      </c>
    </row>
    <row r="760" spans="2:10" ht="13.8">
      <c r="B760" s="988">
        <v>32568</v>
      </c>
      <c r="C760" s="987" t="s">
        <v>4626</v>
      </c>
      <c r="F760" s="990">
        <v>2.3599999999999999E-2</v>
      </c>
      <c r="H760" s="986">
        <v>7.9000000000000008E-3</v>
      </c>
      <c r="I760" s="986">
        <f t="shared" si="11"/>
        <v>1.5699999999999999E-2</v>
      </c>
      <c r="J760" s="988">
        <v>32568</v>
      </c>
    </row>
    <row r="761" spans="2:10" ht="13.8">
      <c r="B761" s="988">
        <v>32599</v>
      </c>
      <c r="C761" s="987" t="s">
        <v>4626</v>
      </c>
      <c r="F761" s="990">
        <v>5.16E-2</v>
      </c>
      <c r="H761" s="986">
        <v>7.0000000000000001E-3</v>
      </c>
      <c r="I761" s="986">
        <f t="shared" si="11"/>
        <v>4.4600000000000001E-2</v>
      </c>
      <c r="J761" s="988">
        <v>32599</v>
      </c>
    </row>
    <row r="762" spans="2:10" ht="13.8">
      <c r="B762" s="988">
        <v>32629</v>
      </c>
      <c r="C762" s="987" t="s">
        <v>4626</v>
      </c>
      <c r="F762" s="990">
        <v>4.02E-2</v>
      </c>
      <c r="H762" s="986">
        <v>8.0000000000000002E-3</v>
      </c>
      <c r="I762" s="986">
        <f t="shared" si="11"/>
        <v>3.2199999999999999E-2</v>
      </c>
      <c r="J762" s="988">
        <v>32629</v>
      </c>
    </row>
    <row r="763" spans="2:10" ht="13.8">
      <c r="B763" s="988">
        <v>32660</v>
      </c>
      <c r="C763" s="987" t="s">
        <v>4626</v>
      </c>
      <c r="F763" s="990">
        <v>-5.4000000000000003E-3</v>
      </c>
      <c r="H763" s="986">
        <v>7.0000000000000001E-3</v>
      </c>
      <c r="I763" s="986">
        <f t="shared" si="11"/>
        <v>-1.2400000000000001E-2</v>
      </c>
      <c r="J763" s="988">
        <v>32660</v>
      </c>
    </row>
    <row r="764" spans="2:10" ht="13.8">
      <c r="B764" s="988">
        <v>32690</v>
      </c>
      <c r="C764" s="987" t="s">
        <v>4626</v>
      </c>
      <c r="F764" s="990">
        <v>8.9800000000000005E-2</v>
      </c>
      <c r="H764" s="986">
        <v>6.7999999999999996E-3</v>
      </c>
      <c r="I764" s="986">
        <f t="shared" si="11"/>
        <v>8.3000000000000004E-2</v>
      </c>
      <c r="J764" s="988">
        <v>32690</v>
      </c>
    </row>
    <row r="765" spans="2:10" ht="13.8">
      <c r="B765" s="988">
        <v>32721</v>
      </c>
      <c r="C765" s="987" t="s">
        <v>4626</v>
      </c>
      <c r="F765" s="990">
        <v>1.9300000000000001E-2</v>
      </c>
      <c r="H765" s="986">
        <v>6.6E-3</v>
      </c>
      <c r="I765" s="986">
        <f t="shared" si="11"/>
        <v>1.2700000000000001E-2</v>
      </c>
      <c r="J765" s="988">
        <v>32721</v>
      </c>
    </row>
    <row r="766" spans="2:10" ht="13.8">
      <c r="B766" s="988">
        <v>32752</v>
      </c>
      <c r="C766" s="987" t="s">
        <v>4626</v>
      </c>
      <c r="F766" s="990">
        <v>-3.8999999999999998E-3</v>
      </c>
      <c r="H766" s="986">
        <v>6.4999999999999997E-3</v>
      </c>
      <c r="I766" s="986">
        <f t="shared" si="11"/>
        <v>-1.04E-2</v>
      </c>
      <c r="J766" s="988">
        <v>32752</v>
      </c>
    </row>
    <row r="767" spans="2:10" ht="13.8">
      <c r="B767" s="988">
        <v>32782</v>
      </c>
      <c r="C767" s="987" t="s">
        <v>4626</v>
      </c>
      <c r="F767" s="990">
        <v>-2.3300000000000001E-2</v>
      </c>
      <c r="H767" s="986">
        <v>7.1999999999999998E-3</v>
      </c>
      <c r="I767" s="986">
        <f t="shared" si="11"/>
        <v>-3.0499999999999999E-2</v>
      </c>
      <c r="J767" s="988">
        <v>32782</v>
      </c>
    </row>
    <row r="768" spans="2:10" ht="13.8">
      <c r="B768" s="988">
        <v>32813</v>
      </c>
      <c r="C768" s="987" t="s">
        <v>4626</v>
      </c>
      <c r="F768" s="990">
        <v>2.0799999999999999E-2</v>
      </c>
      <c r="H768" s="986">
        <v>6.4000000000000003E-3</v>
      </c>
      <c r="I768" s="986">
        <f t="shared" si="11"/>
        <v>1.44E-2</v>
      </c>
      <c r="J768" s="988">
        <v>32813</v>
      </c>
    </row>
    <row r="769" spans="2:10" ht="13.8">
      <c r="B769" s="988">
        <v>32843</v>
      </c>
      <c r="C769" s="987" t="s">
        <v>4626</v>
      </c>
      <c r="F769" s="990">
        <v>2.3599999999999999E-2</v>
      </c>
      <c r="H769" s="986">
        <v>6.4000000000000003E-3</v>
      </c>
      <c r="I769" s="986">
        <f t="shared" si="11"/>
        <v>1.72E-2</v>
      </c>
      <c r="J769" s="988">
        <v>32843</v>
      </c>
    </row>
    <row r="770" spans="2:10" ht="13.8">
      <c r="B770" s="988">
        <v>32874</v>
      </c>
      <c r="C770" s="987" t="s">
        <v>4626</v>
      </c>
      <c r="F770" s="990">
        <v>-6.7100000000000007E-2</v>
      </c>
      <c r="H770" s="986">
        <v>7.3000000000000001E-3</v>
      </c>
      <c r="I770" s="986">
        <f t="shared" ref="I770:I833" si="12">F770-H770</f>
        <v>-7.4400000000000008E-2</v>
      </c>
      <c r="J770" s="988">
        <v>32874</v>
      </c>
    </row>
    <row r="771" spans="2:10" ht="13.8">
      <c r="B771" s="988">
        <v>32905</v>
      </c>
      <c r="C771" s="987" t="s">
        <v>4626</v>
      </c>
      <c r="F771" s="990">
        <v>1.29E-2</v>
      </c>
      <c r="H771" s="986">
        <v>6.6E-3</v>
      </c>
      <c r="I771" s="986">
        <f t="shared" si="12"/>
        <v>6.3E-3</v>
      </c>
      <c r="J771" s="988">
        <v>32905</v>
      </c>
    </row>
    <row r="772" spans="2:10" ht="13.8">
      <c r="B772" s="988">
        <v>32933</v>
      </c>
      <c r="C772" s="987" t="s">
        <v>4626</v>
      </c>
      <c r="F772" s="990">
        <v>2.63E-2</v>
      </c>
      <c r="H772" s="986">
        <v>7.1000000000000004E-3</v>
      </c>
      <c r="I772" s="986">
        <f t="shared" si="12"/>
        <v>1.9200000000000002E-2</v>
      </c>
      <c r="J772" s="988">
        <v>32933</v>
      </c>
    </row>
    <row r="773" spans="2:10" ht="13.8">
      <c r="B773" s="988">
        <v>32964</v>
      </c>
      <c r="C773" s="987" t="s">
        <v>4626</v>
      </c>
      <c r="F773" s="990">
        <v>-2.47E-2</v>
      </c>
      <c r="H773" s="986">
        <v>7.4999999999999997E-3</v>
      </c>
      <c r="I773" s="986">
        <f t="shared" si="12"/>
        <v>-3.2199999999999999E-2</v>
      </c>
      <c r="J773" s="988">
        <v>32964</v>
      </c>
    </row>
    <row r="774" spans="2:10" ht="13.8">
      <c r="B774" s="988">
        <v>32994</v>
      </c>
      <c r="C774" s="987" t="s">
        <v>4626</v>
      </c>
      <c r="F774" s="990">
        <v>9.7500000000000003E-2</v>
      </c>
      <c r="H774" s="986">
        <v>7.4999999999999997E-3</v>
      </c>
      <c r="I774" s="986">
        <f t="shared" si="12"/>
        <v>0.09</v>
      </c>
      <c r="J774" s="988">
        <v>32994</v>
      </c>
    </row>
    <row r="775" spans="2:10" ht="13.8">
      <c r="B775" s="988">
        <v>33025</v>
      </c>
      <c r="C775" s="987" t="s">
        <v>4626</v>
      </c>
      <c r="F775" s="990">
        <v>-7.0000000000000001E-3</v>
      </c>
      <c r="H775" s="986">
        <v>6.7999999999999996E-3</v>
      </c>
      <c r="I775" s="986">
        <f t="shared" si="12"/>
        <v>-1.38E-2</v>
      </c>
      <c r="J775" s="988">
        <v>33025</v>
      </c>
    </row>
    <row r="776" spans="2:10" ht="13.8">
      <c r="B776" s="988">
        <v>33055</v>
      </c>
      <c r="C776" s="987" t="s">
        <v>4626</v>
      </c>
      <c r="F776" s="990">
        <v>-3.2000000000000002E-3</v>
      </c>
      <c r="H776" s="986">
        <v>7.4000000000000003E-3</v>
      </c>
      <c r="I776" s="986">
        <f t="shared" si="12"/>
        <v>-1.06E-2</v>
      </c>
      <c r="J776" s="988">
        <v>33055</v>
      </c>
    </row>
    <row r="777" spans="2:10" ht="13.8">
      <c r="B777" s="988">
        <v>33086</v>
      </c>
      <c r="C777" s="987" t="s">
        <v>4626</v>
      </c>
      <c r="F777" s="990">
        <v>-9.0300000000000005E-2</v>
      </c>
      <c r="H777" s="986">
        <v>7.1000000000000004E-3</v>
      </c>
      <c r="I777" s="986">
        <f t="shared" si="12"/>
        <v>-9.74E-2</v>
      </c>
      <c r="J777" s="988">
        <v>33086</v>
      </c>
    </row>
    <row r="778" spans="2:10" ht="13.8">
      <c r="B778" s="988">
        <v>33117</v>
      </c>
      <c r="C778" s="987" t="s">
        <v>4626</v>
      </c>
      <c r="F778" s="990">
        <v>-4.9200000000000001E-2</v>
      </c>
      <c r="H778" s="986">
        <v>6.8999999999999999E-3</v>
      </c>
      <c r="I778" s="986">
        <f t="shared" si="12"/>
        <v>-5.6099999999999997E-2</v>
      </c>
      <c r="J778" s="988">
        <v>33117</v>
      </c>
    </row>
    <row r="779" spans="2:10" ht="13.8">
      <c r="B779" s="988">
        <v>33147</v>
      </c>
      <c r="C779" s="987" t="s">
        <v>4626</v>
      </c>
      <c r="F779" s="990">
        <v>-3.7000000000000002E-3</v>
      </c>
      <c r="H779" s="986">
        <v>8.0999999999999996E-3</v>
      </c>
      <c r="I779" s="986">
        <f t="shared" si="12"/>
        <v>-1.18E-2</v>
      </c>
      <c r="J779" s="988">
        <v>33147</v>
      </c>
    </row>
    <row r="780" spans="2:10" ht="13.8">
      <c r="B780" s="988">
        <v>33178</v>
      </c>
      <c r="C780" s="987" t="s">
        <v>4626</v>
      </c>
      <c r="F780" s="990">
        <v>6.4399999999999999E-2</v>
      </c>
      <c r="H780" s="986">
        <v>7.1000000000000004E-3</v>
      </c>
      <c r="I780" s="986">
        <f t="shared" si="12"/>
        <v>5.7299999999999997E-2</v>
      </c>
      <c r="J780" s="988">
        <v>33178</v>
      </c>
    </row>
    <row r="781" spans="2:10" ht="13.8">
      <c r="B781" s="988">
        <v>33208</v>
      </c>
      <c r="C781" s="987" t="s">
        <v>4626</v>
      </c>
      <c r="F781" s="990">
        <v>2.7400000000000001E-2</v>
      </c>
      <c r="H781" s="986">
        <v>7.1999999999999998E-3</v>
      </c>
      <c r="I781" s="986">
        <f t="shared" si="12"/>
        <v>2.0200000000000003E-2</v>
      </c>
      <c r="J781" s="988">
        <v>33208</v>
      </c>
    </row>
    <row r="782" spans="2:10" ht="13.8">
      <c r="B782" s="988">
        <v>33239</v>
      </c>
      <c r="C782" s="987" t="s">
        <v>4626</v>
      </c>
      <c r="F782" s="990">
        <v>4.4200000000000003E-2</v>
      </c>
      <c r="H782" s="986">
        <v>7.1000000000000004E-3</v>
      </c>
      <c r="I782" s="986">
        <f t="shared" si="12"/>
        <v>3.7100000000000001E-2</v>
      </c>
      <c r="J782" s="988">
        <v>33239</v>
      </c>
    </row>
    <row r="783" spans="2:10" ht="13.8">
      <c r="B783" s="988">
        <v>33270</v>
      </c>
      <c r="C783" s="987" t="s">
        <v>4626</v>
      </c>
      <c r="F783" s="990">
        <v>7.1599999999999997E-2</v>
      </c>
      <c r="H783" s="986">
        <v>6.4000000000000003E-3</v>
      </c>
      <c r="I783" s="986">
        <f t="shared" si="12"/>
        <v>6.5199999999999994E-2</v>
      </c>
      <c r="J783" s="988">
        <v>33270</v>
      </c>
    </row>
    <row r="784" spans="2:10" ht="13.8">
      <c r="B784" s="988">
        <v>33298</v>
      </c>
      <c r="C784" s="987" t="s">
        <v>4626</v>
      </c>
      <c r="F784" s="990">
        <v>2.3800000000000002E-2</v>
      </c>
      <c r="H784" s="986">
        <v>6.4000000000000003E-3</v>
      </c>
      <c r="I784" s="986">
        <f t="shared" si="12"/>
        <v>1.7400000000000002E-2</v>
      </c>
      <c r="J784" s="988">
        <v>33298</v>
      </c>
    </row>
    <row r="785" spans="2:10" ht="13.8">
      <c r="B785" s="988">
        <v>33329</v>
      </c>
      <c r="C785" s="987" t="s">
        <v>4626</v>
      </c>
      <c r="F785" s="990">
        <v>2.8E-3</v>
      </c>
      <c r="H785" s="986">
        <v>7.6E-3</v>
      </c>
      <c r="I785" s="986">
        <f t="shared" si="12"/>
        <v>-4.8000000000000004E-3</v>
      </c>
      <c r="J785" s="988">
        <v>33329</v>
      </c>
    </row>
    <row r="786" spans="2:10" ht="13.8">
      <c r="B786" s="988">
        <v>33359</v>
      </c>
      <c r="C786" s="987" t="s">
        <v>4626</v>
      </c>
      <c r="F786" s="990">
        <v>4.2799999999999998E-2</v>
      </c>
      <c r="H786" s="986">
        <v>6.7999999999999996E-3</v>
      </c>
      <c r="I786" s="986">
        <f t="shared" si="12"/>
        <v>3.5999999999999997E-2</v>
      </c>
      <c r="J786" s="988">
        <v>33359</v>
      </c>
    </row>
    <row r="787" spans="2:10" ht="13.8">
      <c r="B787" s="988">
        <v>33390</v>
      </c>
      <c r="C787" s="987" t="s">
        <v>4626</v>
      </c>
      <c r="F787" s="990">
        <v>-4.5699999999999998E-2</v>
      </c>
      <c r="H787" s="986">
        <v>6.3E-3</v>
      </c>
      <c r="I787" s="986">
        <f t="shared" si="12"/>
        <v>-5.1999999999999998E-2</v>
      </c>
      <c r="J787" s="988">
        <v>33390</v>
      </c>
    </row>
    <row r="788" spans="2:10" ht="13.8">
      <c r="B788" s="988">
        <v>33420</v>
      </c>
      <c r="C788" s="987" t="s">
        <v>4626</v>
      </c>
      <c r="F788" s="990">
        <v>4.6800000000000001E-2</v>
      </c>
      <c r="H788" s="986">
        <v>7.6E-3</v>
      </c>
      <c r="I788" s="986">
        <f t="shared" si="12"/>
        <v>3.9199999999999999E-2</v>
      </c>
      <c r="J788" s="988">
        <v>33420</v>
      </c>
    </row>
    <row r="789" spans="2:10" ht="13.8">
      <c r="B789" s="988">
        <v>33451</v>
      </c>
      <c r="C789" s="987" t="s">
        <v>4626</v>
      </c>
      <c r="F789" s="990">
        <v>2.35E-2</v>
      </c>
      <c r="H789" s="986">
        <v>6.7999999999999996E-3</v>
      </c>
      <c r="I789" s="986">
        <f t="shared" si="12"/>
        <v>1.67E-2</v>
      </c>
      <c r="J789" s="988">
        <v>33451</v>
      </c>
    </row>
    <row r="790" spans="2:10" ht="13.8">
      <c r="B790" s="988">
        <v>33482</v>
      </c>
      <c r="C790" s="987" t="s">
        <v>4626</v>
      </c>
      <c r="F790" s="990">
        <v>-1.6400000000000001E-2</v>
      </c>
      <c r="H790" s="986">
        <v>6.7999999999999996E-3</v>
      </c>
      <c r="I790" s="986">
        <f t="shared" si="12"/>
        <v>-2.3200000000000002E-2</v>
      </c>
      <c r="J790" s="988">
        <v>33482</v>
      </c>
    </row>
    <row r="791" spans="2:10" ht="13.8">
      <c r="B791" s="988">
        <v>33512</v>
      </c>
      <c r="C791" s="987" t="s">
        <v>4626</v>
      </c>
      <c r="F791" s="990">
        <v>1.34E-2</v>
      </c>
      <c r="H791" s="986">
        <v>6.4999999999999997E-3</v>
      </c>
      <c r="I791" s="986">
        <f t="shared" si="12"/>
        <v>6.9000000000000008E-3</v>
      </c>
      <c r="J791" s="988">
        <v>33512</v>
      </c>
    </row>
    <row r="792" spans="2:10" ht="13.8">
      <c r="B792" s="988">
        <v>33543</v>
      </c>
      <c r="C792" s="987" t="s">
        <v>4626</v>
      </c>
      <c r="F792" s="990">
        <v>-4.0399999999999998E-2</v>
      </c>
      <c r="H792" s="986">
        <v>6.0000000000000001E-3</v>
      </c>
      <c r="I792" s="986">
        <f t="shared" si="12"/>
        <v>-4.6399999999999997E-2</v>
      </c>
      <c r="J792" s="988">
        <v>33543</v>
      </c>
    </row>
    <row r="793" spans="2:10" ht="13.8">
      <c r="B793" s="988">
        <v>33573</v>
      </c>
      <c r="C793" s="987" t="s">
        <v>4626</v>
      </c>
      <c r="F793" s="990">
        <v>0.1143</v>
      </c>
      <c r="H793" s="986">
        <v>6.7999999999999996E-3</v>
      </c>
      <c r="I793" s="986">
        <f t="shared" si="12"/>
        <v>0.1075</v>
      </c>
      <c r="J793" s="988">
        <v>33573</v>
      </c>
    </row>
    <row r="794" spans="2:10" ht="13.8">
      <c r="B794" s="988">
        <v>33604</v>
      </c>
      <c r="C794" s="987" t="s">
        <v>4626</v>
      </c>
      <c r="F794" s="990">
        <v>-1.8599999999999998E-2</v>
      </c>
      <c r="H794" s="986">
        <v>6.1000000000000004E-3</v>
      </c>
      <c r="I794" s="986">
        <f t="shared" si="12"/>
        <v>-2.47E-2</v>
      </c>
      <c r="J794" s="988">
        <v>33604</v>
      </c>
    </row>
    <row r="795" spans="2:10" ht="13.8">
      <c r="B795" s="988">
        <v>33635</v>
      </c>
      <c r="C795" s="987" t="s">
        <v>4626</v>
      </c>
      <c r="F795" s="990">
        <v>1.2800000000000001E-2</v>
      </c>
      <c r="H795" s="986">
        <v>5.8999999999999999E-3</v>
      </c>
      <c r="I795" s="986">
        <f t="shared" si="12"/>
        <v>6.9000000000000008E-3</v>
      </c>
      <c r="J795" s="988">
        <v>33635</v>
      </c>
    </row>
    <row r="796" spans="2:10" ht="13.8">
      <c r="B796" s="988">
        <v>33664</v>
      </c>
      <c r="C796" s="987" t="s">
        <v>4626</v>
      </c>
      <c r="F796" s="990">
        <v>-1.9599999999999999E-2</v>
      </c>
      <c r="H796" s="986">
        <v>6.7000000000000002E-3</v>
      </c>
      <c r="I796" s="986">
        <f t="shared" si="12"/>
        <v>-2.63E-2</v>
      </c>
      <c r="J796" s="988">
        <v>33664</v>
      </c>
    </row>
    <row r="797" spans="2:10" ht="13.8">
      <c r="B797" s="988">
        <v>33695</v>
      </c>
      <c r="C797" s="987" t="s">
        <v>4626</v>
      </c>
      <c r="F797" s="990">
        <v>2.9100000000000001E-2</v>
      </c>
      <c r="H797" s="986">
        <v>6.4999999999999997E-3</v>
      </c>
      <c r="I797" s="986">
        <f t="shared" si="12"/>
        <v>2.2600000000000002E-2</v>
      </c>
      <c r="J797" s="988">
        <v>33695</v>
      </c>
    </row>
    <row r="798" spans="2:10" ht="13.8">
      <c r="B798" s="988">
        <v>33725</v>
      </c>
      <c r="C798" s="987" t="s">
        <v>4626</v>
      </c>
      <c r="F798" s="990">
        <v>5.4000000000000003E-3</v>
      </c>
      <c r="H798" s="986">
        <v>6.1000000000000004E-3</v>
      </c>
      <c r="I798" s="986">
        <f t="shared" si="12"/>
        <v>-7.000000000000001E-4</v>
      </c>
      <c r="J798" s="988">
        <v>33725</v>
      </c>
    </row>
    <row r="799" spans="2:10" ht="13.8">
      <c r="B799" s="988">
        <v>33756</v>
      </c>
      <c r="C799" s="987" t="s">
        <v>4626</v>
      </c>
      <c r="F799" s="990">
        <v>-1.4500000000000001E-2</v>
      </c>
      <c r="H799" s="986">
        <v>6.7000000000000002E-3</v>
      </c>
      <c r="I799" s="986">
        <f t="shared" si="12"/>
        <v>-2.12E-2</v>
      </c>
      <c r="J799" s="988">
        <v>33756</v>
      </c>
    </row>
    <row r="800" spans="2:10" ht="13.8">
      <c r="B800" s="988">
        <v>33786</v>
      </c>
      <c r="C800" s="987" t="s">
        <v>4626</v>
      </c>
      <c r="F800" s="990">
        <v>4.0300000000000002E-2</v>
      </c>
      <c r="H800" s="986">
        <v>6.3E-3</v>
      </c>
      <c r="I800" s="986">
        <f t="shared" si="12"/>
        <v>3.4000000000000002E-2</v>
      </c>
      <c r="J800" s="988">
        <v>33786</v>
      </c>
    </row>
    <row r="801" spans="2:10" ht="13.8">
      <c r="B801" s="988">
        <v>33817</v>
      </c>
      <c r="C801" s="987" t="s">
        <v>4626</v>
      </c>
      <c r="F801" s="990">
        <v>-2.0199999999999999E-2</v>
      </c>
      <c r="H801" s="986">
        <v>6.0000000000000001E-3</v>
      </c>
      <c r="I801" s="986">
        <f t="shared" si="12"/>
        <v>-2.6200000000000001E-2</v>
      </c>
      <c r="J801" s="988">
        <v>33817</v>
      </c>
    </row>
    <row r="802" spans="2:10" ht="13.8">
      <c r="B802" s="988">
        <v>33848</v>
      </c>
      <c r="C802" s="987" t="s">
        <v>4626</v>
      </c>
      <c r="F802" s="990">
        <v>1.15E-2</v>
      </c>
      <c r="H802" s="986">
        <v>5.7999999999999996E-3</v>
      </c>
      <c r="I802" s="986">
        <f t="shared" si="12"/>
        <v>5.7000000000000002E-3</v>
      </c>
      <c r="J802" s="988">
        <v>33848</v>
      </c>
    </row>
    <row r="803" spans="2:10" ht="13.8">
      <c r="B803" s="988">
        <v>33878</v>
      </c>
      <c r="C803" s="987" t="s">
        <v>4626</v>
      </c>
      <c r="F803" s="990">
        <v>3.5999999999999999E-3</v>
      </c>
      <c r="H803" s="986">
        <v>5.7000000000000002E-3</v>
      </c>
      <c r="I803" s="986">
        <f t="shared" si="12"/>
        <v>-2.1000000000000003E-3</v>
      </c>
      <c r="J803" s="988">
        <v>33878</v>
      </c>
    </row>
    <row r="804" spans="2:10" ht="13.8">
      <c r="B804" s="988">
        <v>33909</v>
      </c>
      <c r="C804" s="987" t="s">
        <v>4626</v>
      </c>
      <c r="F804" s="990">
        <v>3.3700000000000001E-2</v>
      </c>
      <c r="H804" s="986">
        <v>6.1000000000000004E-3</v>
      </c>
      <c r="I804" s="986">
        <f t="shared" si="12"/>
        <v>2.76E-2</v>
      </c>
      <c r="J804" s="988">
        <v>33909</v>
      </c>
    </row>
    <row r="805" spans="2:10" ht="13.8">
      <c r="B805" s="988">
        <v>33939</v>
      </c>
      <c r="C805" s="987" t="s">
        <v>4626</v>
      </c>
      <c r="F805" s="990">
        <v>1.3100000000000001E-2</v>
      </c>
      <c r="H805" s="986">
        <v>6.3E-3</v>
      </c>
      <c r="I805" s="986">
        <f t="shared" si="12"/>
        <v>6.8000000000000005E-3</v>
      </c>
      <c r="J805" s="988">
        <v>33939</v>
      </c>
    </row>
    <row r="806" spans="2:10" ht="13.8">
      <c r="B806" s="988">
        <v>33970</v>
      </c>
      <c r="C806" s="987" t="s">
        <v>4626</v>
      </c>
      <c r="F806" s="990">
        <v>7.3000000000000001E-3</v>
      </c>
      <c r="H806" s="986">
        <v>5.8999999999999999E-3</v>
      </c>
      <c r="I806" s="986">
        <f t="shared" si="12"/>
        <v>1.4000000000000002E-3</v>
      </c>
      <c r="J806" s="988">
        <v>33970</v>
      </c>
    </row>
    <row r="807" spans="2:10" ht="13.8">
      <c r="B807" s="988">
        <v>34001</v>
      </c>
      <c r="C807" s="987" t="s">
        <v>4626</v>
      </c>
      <c r="F807" s="990">
        <v>1.35E-2</v>
      </c>
      <c r="H807" s="986">
        <v>5.4999999999999997E-3</v>
      </c>
      <c r="I807" s="986">
        <f t="shared" si="12"/>
        <v>8.0000000000000002E-3</v>
      </c>
      <c r="J807" s="988">
        <v>34001</v>
      </c>
    </row>
    <row r="808" spans="2:10" ht="13.8">
      <c r="B808" s="988">
        <v>34029</v>
      </c>
      <c r="C808" s="987" t="s">
        <v>4626</v>
      </c>
      <c r="F808" s="990">
        <v>2.1499999999999998E-2</v>
      </c>
      <c r="H808" s="986">
        <v>6.3E-3</v>
      </c>
      <c r="I808" s="986">
        <f t="shared" si="12"/>
        <v>1.5199999999999998E-2</v>
      </c>
      <c r="J808" s="988">
        <v>34029</v>
      </c>
    </row>
    <row r="809" spans="2:10" ht="13.8">
      <c r="B809" s="988">
        <v>34060</v>
      </c>
      <c r="C809" s="987" t="s">
        <v>4626</v>
      </c>
      <c r="F809" s="990">
        <v>-2.4500000000000001E-2</v>
      </c>
      <c r="H809" s="986">
        <v>5.7000000000000002E-3</v>
      </c>
      <c r="I809" s="986">
        <f t="shared" si="12"/>
        <v>-3.0200000000000001E-2</v>
      </c>
      <c r="J809" s="988">
        <v>34060</v>
      </c>
    </row>
    <row r="810" spans="2:10" ht="13.8">
      <c r="B810" s="988">
        <v>34090</v>
      </c>
      <c r="C810" s="987" t="s">
        <v>4626</v>
      </c>
      <c r="F810" s="990">
        <v>2.7E-2</v>
      </c>
      <c r="H810" s="986">
        <v>5.1999999999999998E-3</v>
      </c>
      <c r="I810" s="986">
        <f t="shared" si="12"/>
        <v>2.18E-2</v>
      </c>
      <c r="J810" s="988">
        <v>34090</v>
      </c>
    </row>
    <row r="811" spans="2:10" ht="13.8">
      <c r="B811" s="988">
        <v>34121</v>
      </c>
      <c r="C811" s="987" t="s">
        <v>4626</v>
      </c>
      <c r="F811" s="990">
        <v>3.3E-3</v>
      </c>
      <c r="H811" s="986">
        <v>6.1999999999999998E-3</v>
      </c>
      <c r="I811" s="986">
        <f t="shared" si="12"/>
        <v>-2.8999999999999998E-3</v>
      </c>
      <c r="J811" s="988">
        <v>34121</v>
      </c>
    </row>
    <row r="812" spans="2:10" ht="13.8">
      <c r="B812" s="988">
        <v>34151</v>
      </c>
      <c r="C812" s="987" t="s">
        <v>4626</v>
      </c>
      <c r="F812" s="990">
        <v>-4.7000000000000002E-3</v>
      </c>
      <c r="H812" s="986">
        <v>5.4000000000000003E-3</v>
      </c>
      <c r="I812" s="986">
        <f t="shared" si="12"/>
        <v>-1.0100000000000001E-2</v>
      </c>
      <c r="J812" s="988">
        <v>34151</v>
      </c>
    </row>
    <row r="813" spans="2:10" ht="13.8">
      <c r="B813" s="988">
        <v>34182</v>
      </c>
      <c r="C813" s="987" t="s">
        <v>4626</v>
      </c>
      <c r="F813" s="990">
        <v>3.8100000000000002E-2</v>
      </c>
      <c r="H813" s="986">
        <v>5.5999999999999999E-3</v>
      </c>
      <c r="I813" s="986">
        <f t="shared" si="12"/>
        <v>3.2500000000000001E-2</v>
      </c>
      <c r="J813" s="988">
        <v>34182</v>
      </c>
    </row>
    <row r="814" spans="2:10" ht="13.8">
      <c r="B814" s="988">
        <v>34213</v>
      </c>
      <c r="C814" s="987" t="s">
        <v>4626</v>
      </c>
      <c r="F814" s="990">
        <v>-7.4000000000000003E-3</v>
      </c>
      <c r="H814" s="986">
        <v>5.0000000000000001E-3</v>
      </c>
      <c r="I814" s="986">
        <f t="shared" si="12"/>
        <v>-1.2400000000000001E-2</v>
      </c>
      <c r="J814" s="988">
        <v>34213</v>
      </c>
    </row>
    <row r="815" spans="2:10" ht="13.8">
      <c r="B815" s="988">
        <v>34243</v>
      </c>
      <c r="C815" s="987" t="s">
        <v>4626</v>
      </c>
      <c r="F815" s="990">
        <v>2.0299999999999999E-2</v>
      </c>
      <c r="H815" s="986">
        <v>4.8999999999999998E-3</v>
      </c>
      <c r="I815" s="986">
        <f t="shared" si="12"/>
        <v>1.5399999999999999E-2</v>
      </c>
      <c r="J815" s="988">
        <v>34243</v>
      </c>
    </row>
    <row r="816" spans="2:10" ht="13.8">
      <c r="B816" s="988">
        <v>34274</v>
      </c>
      <c r="C816" s="987" t="s">
        <v>4626</v>
      </c>
      <c r="F816" s="990">
        <v>-9.4000000000000004E-3</v>
      </c>
      <c r="H816" s="986">
        <v>5.3E-3</v>
      </c>
      <c r="I816" s="986">
        <f t="shared" si="12"/>
        <v>-1.4700000000000001E-2</v>
      </c>
      <c r="J816" s="988">
        <v>34274</v>
      </c>
    </row>
    <row r="817" spans="2:10" ht="13.8">
      <c r="B817" s="988">
        <v>34304</v>
      </c>
      <c r="C817" s="987" t="s">
        <v>4626</v>
      </c>
      <c r="F817" s="990">
        <v>1.23E-2</v>
      </c>
      <c r="H817" s="986">
        <v>5.4999999999999997E-3</v>
      </c>
      <c r="I817" s="986">
        <f t="shared" si="12"/>
        <v>6.8000000000000005E-3</v>
      </c>
      <c r="J817" s="988">
        <v>34304</v>
      </c>
    </row>
    <row r="818" spans="2:10" ht="13.8">
      <c r="B818" s="988">
        <v>34335</v>
      </c>
      <c r="C818" s="987" t="s">
        <v>4626</v>
      </c>
      <c r="F818" s="990">
        <v>3.3500000000000002E-2</v>
      </c>
      <c r="H818" s="986">
        <v>5.4999999999999997E-3</v>
      </c>
      <c r="I818" s="986">
        <f t="shared" si="12"/>
        <v>2.8000000000000004E-2</v>
      </c>
      <c r="J818" s="988">
        <v>34335</v>
      </c>
    </row>
    <row r="819" spans="2:10" ht="13.8">
      <c r="B819" s="988">
        <v>34366</v>
      </c>
      <c r="C819" s="987" t="s">
        <v>4626</v>
      </c>
      <c r="F819" s="990">
        <v>-2.7E-2</v>
      </c>
      <c r="H819" s="986">
        <v>4.8999999999999998E-3</v>
      </c>
      <c r="I819" s="986">
        <f t="shared" si="12"/>
        <v>-3.1899999999999998E-2</v>
      </c>
      <c r="J819" s="988">
        <v>34366</v>
      </c>
    </row>
    <row r="820" spans="2:10" ht="13.8">
      <c r="B820" s="988">
        <v>34394</v>
      </c>
      <c r="C820" s="987" t="s">
        <v>4626</v>
      </c>
      <c r="F820" s="990">
        <v>-4.3499999999999997E-2</v>
      </c>
      <c r="H820" s="986">
        <v>5.7999999999999996E-3</v>
      </c>
      <c r="I820" s="986">
        <f t="shared" si="12"/>
        <v>-4.9299999999999997E-2</v>
      </c>
      <c r="J820" s="988">
        <v>34394</v>
      </c>
    </row>
    <row r="821" spans="2:10" ht="13.8">
      <c r="B821" s="988">
        <v>34425</v>
      </c>
      <c r="C821" s="987" t="s">
        <v>4626</v>
      </c>
      <c r="F821" s="990">
        <v>1.2999999999999999E-2</v>
      </c>
      <c r="H821" s="986">
        <v>5.7000000000000002E-3</v>
      </c>
      <c r="I821" s="986">
        <f t="shared" si="12"/>
        <v>7.2999999999999992E-3</v>
      </c>
      <c r="J821" s="988">
        <v>34425</v>
      </c>
    </row>
    <row r="822" spans="2:10" ht="13.8">
      <c r="B822" s="988">
        <v>34455</v>
      </c>
      <c r="C822" s="987" t="s">
        <v>4626</v>
      </c>
      <c r="F822" s="990">
        <v>1.6299999999999999E-2</v>
      </c>
      <c r="H822" s="986">
        <v>6.3E-3</v>
      </c>
      <c r="I822" s="986">
        <f t="shared" si="12"/>
        <v>9.9999999999999985E-3</v>
      </c>
      <c r="J822" s="988">
        <v>34455</v>
      </c>
    </row>
    <row r="823" spans="2:10" ht="13.8">
      <c r="B823" s="988">
        <v>34486</v>
      </c>
      <c r="C823" s="987" t="s">
        <v>4626</v>
      </c>
      <c r="F823" s="990">
        <v>-2.47E-2</v>
      </c>
      <c r="H823" s="986">
        <v>6.1000000000000004E-3</v>
      </c>
      <c r="I823" s="986">
        <f t="shared" si="12"/>
        <v>-3.0800000000000001E-2</v>
      </c>
      <c r="J823" s="988">
        <v>34486</v>
      </c>
    </row>
    <row r="824" spans="2:10" ht="13.8">
      <c r="B824" s="988">
        <v>34516</v>
      </c>
      <c r="C824" s="987" t="s">
        <v>4626</v>
      </c>
      <c r="F824" s="990">
        <v>3.3099999999999997E-2</v>
      </c>
      <c r="H824" s="986">
        <v>6.0000000000000001E-3</v>
      </c>
      <c r="I824" s="986">
        <f t="shared" si="12"/>
        <v>2.7099999999999999E-2</v>
      </c>
      <c r="J824" s="988">
        <v>34516</v>
      </c>
    </row>
    <row r="825" spans="2:10" ht="13.8">
      <c r="B825" s="988">
        <v>34547</v>
      </c>
      <c r="C825" s="987" t="s">
        <v>4626</v>
      </c>
      <c r="F825" s="990">
        <v>4.07E-2</v>
      </c>
      <c r="H825" s="986">
        <v>6.6E-3</v>
      </c>
      <c r="I825" s="986">
        <f t="shared" si="12"/>
        <v>3.4099999999999998E-2</v>
      </c>
      <c r="J825" s="988">
        <v>34547</v>
      </c>
    </row>
    <row r="826" spans="2:10" ht="13.8">
      <c r="B826" s="988">
        <v>34578</v>
      </c>
      <c r="C826" s="987" t="s">
        <v>4626</v>
      </c>
      <c r="F826" s="990">
        <v>-2.41E-2</v>
      </c>
      <c r="H826" s="986">
        <v>6.1000000000000004E-3</v>
      </c>
      <c r="I826" s="986">
        <f t="shared" si="12"/>
        <v>-3.0200000000000001E-2</v>
      </c>
      <c r="J826" s="988">
        <v>34578</v>
      </c>
    </row>
    <row r="827" spans="2:10" ht="13.8">
      <c r="B827" s="988">
        <v>34608</v>
      </c>
      <c r="C827" s="987" t="s">
        <v>4626</v>
      </c>
      <c r="F827" s="990">
        <v>2.29E-2</v>
      </c>
      <c r="H827" s="986">
        <v>6.6E-3</v>
      </c>
      <c r="I827" s="986">
        <f t="shared" si="12"/>
        <v>1.6300000000000002E-2</v>
      </c>
      <c r="J827" s="988">
        <v>34608</v>
      </c>
    </row>
    <row r="828" spans="2:10" ht="13.8">
      <c r="B828" s="988">
        <v>34639</v>
      </c>
      <c r="C828" s="987" t="s">
        <v>4626</v>
      </c>
      <c r="F828" s="990">
        <v>-3.6700000000000003E-2</v>
      </c>
      <c r="H828" s="986">
        <v>6.4000000000000003E-3</v>
      </c>
      <c r="I828" s="986">
        <f t="shared" si="12"/>
        <v>-4.3100000000000006E-2</v>
      </c>
      <c r="J828" s="988">
        <v>34639</v>
      </c>
    </row>
    <row r="829" spans="2:10" ht="13.8">
      <c r="B829" s="988">
        <v>34669</v>
      </c>
      <c r="C829" s="987" t="s">
        <v>4626</v>
      </c>
      <c r="F829" s="990">
        <v>1.46E-2</v>
      </c>
      <c r="H829" s="986">
        <v>6.6E-3</v>
      </c>
      <c r="I829" s="986">
        <f t="shared" si="12"/>
        <v>8.0000000000000002E-3</v>
      </c>
      <c r="J829" s="988">
        <v>34669</v>
      </c>
    </row>
    <row r="830" spans="2:10" ht="13.8">
      <c r="B830" s="988">
        <v>34700</v>
      </c>
      <c r="C830" s="987" t="s">
        <v>4626</v>
      </c>
      <c r="F830" s="990">
        <v>2.5999999999999999E-2</v>
      </c>
      <c r="H830" s="986">
        <v>7.0000000000000001E-3</v>
      </c>
      <c r="I830" s="986">
        <f t="shared" si="12"/>
        <v>1.9E-2</v>
      </c>
      <c r="J830" s="988">
        <v>34700</v>
      </c>
    </row>
    <row r="831" spans="2:10" ht="13.8">
      <c r="B831" s="988">
        <v>34731</v>
      </c>
      <c r="C831" s="987" t="s">
        <v>4626</v>
      </c>
      <c r="F831" s="990">
        <v>3.8800000000000001E-2</v>
      </c>
      <c r="H831" s="986">
        <v>5.8999999999999999E-3</v>
      </c>
      <c r="I831" s="986">
        <f t="shared" si="12"/>
        <v>3.2899999999999999E-2</v>
      </c>
      <c r="J831" s="988">
        <v>34731</v>
      </c>
    </row>
    <row r="832" spans="2:10" ht="13.8">
      <c r="B832" s="988">
        <v>34759</v>
      </c>
      <c r="C832" s="987" t="s">
        <v>4626</v>
      </c>
      <c r="F832" s="990">
        <v>2.9600000000000001E-2</v>
      </c>
      <c r="H832" s="986">
        <v>6.4000000000000003E-3</v>
      </c>
      <c r="I832" s="986">
        <f t="shared" si="12"/>
        <v>2.3200000000000002E-2</v>
      </c>
      <c r="J832" s="988">
        <v>34759</v>
      </c>
    </row>
    <row r="833" spans="2:10" ht="13.8">
      <c r="B833" s="988">
        <v>34790</v>
      </c>
      <c r="C833" s="987" t="s">
        <v>4626</v>
      </c>
      <c r="F833" s="990">
        <v>2.9100000000000001E-2</v>
      </c>
      <c r="H833" s="986">
        <v>5.7999999999999996E-3</v>
      </c>
      <c r="I833" s="986">
        <f t="shared" si="12"/>
        <v>2.3300000000000001E-2</v>
      </c>
      <c r="J833" s="988">
        <v>34790</v>
      </c>
    </row>
    <row r="834" spans="2:10" ht="13.8">
      <c r="B834" s="988">
        <v>34820</v>
      </c>
      <c r="C834" s="987" t="s">
        <v>4626</v>
      </c>
      <c r="F834" s="990">
        <v>3.95E-2</v>
      </c>
      <c r="H834" s="986">
        <v>6.4999999999999997E-3</v>
      </c>
      <c r="I834" s="986">
        <f t="shared" ref="I834:I897" si="13">F834-H834</f>
        <v>3.3000000000000002E-2</v>
      </c>
      <c r="J834" s="988">
        <v>34820</v>
      </c>
    </row>
    <row r="835" spans="2:10" ht="13.8">
      <c r="B835" s="988">
        <v>34851</v>
      </c>
      <c r="C835" s="987" t="s">
        <v>4626</v>
      </c>
      <c r="F835" s="990">
        <v>2.35E-2</v>
      </c>
      <c r="H835" s="986">
        <v>5.4000000000000003E-3</v>
      </c>
      <c r="I835" s="986">
        <f t="shared" si="13"/>
        <v>1.8099999999999998E-2</v>
      </c>
      <c r="J835" s="988">
        <v>34851</v>
      </c>
    </row>
    <row r="836" spans="2:10" ht="13.8">
      <c r="B836" s="988">
        <v>34881</v>
      </c>
      <c r="C836" s="987" t="s">
        <v>4626</v>
      </c>
      <c r="F836" s="990">
        <v>3.3300000000000003E-2</v>
      </c>
      <c r="H836" s="986">
        <v>5.5999999999999999E-3</v>
      </c>
      <c r="I836" s="986">
        <f t="shared" si="13"/>
        <v>2.7700000000000002E-2</v>
      </c>
      <c r="J836" s="988">
        <v>34881</v>
      </c>
    </row>
    <row r="837" spans="2:10" ht="13.8">
      <c r="B837" s="988">
        <v>34912</v>
      </c>
      <c r="C837" s="987" t="s">
        <v>4626</v>
      </c>
      <c r="F837" s="990">
        <v>2.7000000000000001E-3</v>
      </c>
      <c r="H837" s="986">
        <v>5.7000000000000002E-3</v>
      </c>
      <c r="I837" s="986">
        <f t="shared" si="13"/>
        <v>-3.0000000000000001E-3</v>
      </c>
      <c r="J837" s="988">
        <v>34912</v>
      </c>
    </row>
    <row r="838" spans="2:10" ht="13.8">
      <c r="B838" s="988">
        <v>34943</v>
      </c>
      <c r="C838" s="987" t="s">
        <v>4626</v>
      </c>
      <c r="F838" s="990">
        <v>4.19E-2</v>
      </c>
      <c r="H838" s="986">
        <v>5.1999999999999998E-3</v>
      </c>
      <c r="I838" s="986">
        <f t="shared" si="13"/>
        <v>3.6699999999999997E-2</v>
      </c>
      <c r="J838" s="988">
        <v>34943</v>
      </c>
    </row>
    <row r="839" spans="2:10" ht="13.8">
      <c r="B839" s="988">
        <v>34973</v>
      </c>
      <c r="C839" s="987" t="s">
        <v>4626</v>
      </c>
      <c r="F839" s="990">
        <v>-3.5000000000000001E-3</v>
      </c>
      <c r="H839" s="986">
        <v>5.7000000000000002E-3</v>
      </c>
      <c r="I839" s="986">
        <f t="shared" si="13"/>
        <v>-9.1999999999999998E-3</v>
      </c>
      <c r="J839" s="988">
        <v>34973</v>
      </c>
    </row>
    <row r="840" spans="2:10" ht="13.8">
      <c r="B840" s="988">
        <v>35004</v>
      </c>
      <c r="C840" s="987" t="s">
        <v>4626</v>
      </c>
      <c r="F840" s="990">
        <v>4.3999999999999997E-2</v>
      </c>
      <c r="H840" s="986">
        <v>5.1000000000000004E-3</v>
      </c>
      <c r="I840" s="986">
        <f t="shared" si="13"/>
        <v>3.8899999999999997E-2</v>
      </c>
      <c r="J840" s="988">
        <v>35004</v>
      </c>
    </row>
    <row r="841" spans="2:10" ht="13.8">
      <c r="B841" s="988">
        <v>35034</v>
      </c>
      <c r="C841" s="987" t="s">
        <v>4626</v>
      </c>
      <c r="F841" s="990">
        <v>1.8499999999999999E-2</v>
      </c>
      <c r="H841" s="986">
        <v>4.8999999999999998E-3</v>
      </c>
      <c r="I841" s="986">
        <f t="shared" si="13"/>
        <v>1.3599999999999999E-2</v>
      </c>
      <c r="J841" s="988">
        <v>35034</v>
      </c>
    </row>
    <row r="842" spans="2:10" ht="13.8">
      <c r="B842" s="988">
        <v>35065</v>
      </c>
      <c r="C842" s="987" t="s">
        <v>4626</v>
      </c>
      <c r="F842" s="990">
        <v>3.44E-2</v>
      </c>
      <c r="H842" s="986">
        <v>5.4000000000000003E-3</v>
      </c>
      <c r="I842" s="986">
        <f t="shared" si="13"/>
        <v>2.8999999999999998E-2</v>
      </c>
      <c r="J842" s="988">
        <v>35065</v>
      </c>
    </row>
    <row r="843" spans="2:10" ht="13.8">
      <c r="B843" s="988">
        <v>35096</v>
      </c>
      <c r="C843" s="987" t="s">
        <v>4626</v>
      </c>
      <c r="F843" s="990">
        <v>9.5999999999999992E-3</v>
      </c>
      <c r="H843" s="986">
        <v>4.7999999999999996E-3</v>
      </c>
      <c r="I843" s="986">
        <f t="shared" si="13"/>
        <v>4.7999999999999996E-3</v>
      </c>
      <c r="J843" s="988">
        <v>35096</v>
      </c>
    </row>
    <row r="844" spans="2:10" ht="13.8">
      <c r="B844" s="988">
        <v>35125</v>
      </c>
      <c r="C844" s="987" t="s">
        <v>4626</v>
      </c>
      <c r="F844" s="990">
        <v>9.5999999999999992E-3</v>
      </c>
      <c r="H844" s="986">
        <v>5.1999999999999998E-3</v>
      </c>
      <c r="I844" s="986">
        <f t="shared" si="13"/>
        <v>4.3999999999999994E-3</v>
      </c>
      <c r="J844" s="988">
        <v>35125</v>
      </c>
    </row>
    <row r="845" spans="2:10" ht="13.8">
      <c r="B845" s="988">
        <v>35156</v>
      </c>
      <c r="C845" s="987" t="s">
        <v>4626</v>
      </c>
      <c r="F845" s="990">
        <v>1.47E-2</v>
      </c>
      <c r="H845" s="986">
        <v>5.8999999999999999E-3</v>
      </c>
      <c r="I845" s="986">
        <f t="shared" si="13"/>
        <v>8.7999999999999988E-3</v>
      </c>
      <c r="J845" s="988">
        <v>35156</v>
      </c>
    </row>
    <row r="846" spans="2:10" ht="13.8">
      <c r="B846" s="988">
        <v>35186</v>
      </c>
      <c r="C846" s="987" t="s">
        <v>4626</v>
      </c>
      <c r="F846" s="990">
        <v>2.58E-2</v>
      </c>
      <c r="H846" s="986">
        <v>5.7999999999999996E-3</v>
      </c>
      <c r="I846" s="986">
        <f t="shared" si="13"/>
        <v>0.02</v>
      </c>
      <c r="J846" s="988">
        <v>35186</v>
      </c>
    </row>
    <row r="847" spans="2:10" ht="13.8">
      <c r="B847" s="988">
        <v>35217</v>
      </c>
      <c r="C847" s="987" t="s">
        <v>4626</v>
      </c>
      <c r="F847" s="990">
        <v>4.1000000000000003E-3</v>
      </c>
      <c r="H847" s="986">
        <v>5.4000000000000003E-3</v>
      </c>
      <c r="I847" s="986">
        <f t="shared" si="13"/>
        <v>-1.2999999999999999E-3</v>
      </c>
      <c r="J847" s="988">
        <v>35217</v>
      </c>
    </row>
    <row r="848" spans="2:10" ht="13.8">
      <c r="B848" s="988">
        <v>35247</v>
      </c>
      <c r="C848" s="987" t="s">
        <v>4626</v>
      </c>
      <c r="F848" s="990">
        <v>-4.4499999999999998E-2</v>
      </c>
      <c r="H848" s="986">
        <v>6.1999999999999998E-3</v>
      </c>
      <c r="I848" s="986">
        <f t="shared" si="13"/>
        <v>-5.0699999999999995E-2</v>
      </c>
      <c r="J848" s="988">
        <v>35247</v>
      </c>
    </row>
    <row r="849" spans="2:10" ht="13.8">
      <c r="B849" s="988">
        <v>35278</v>
      </c>
      <c r="C849" s="987" t="s">
        <v>4626</v>
      </c>
      <c r="F849" s="990">
        <v>2.12E-2</v>
      </c>
      <c r="H849" s="986">
        <v>5.7000000000000002E-3</v>
      </c>
      <c r="I849" s="986">
        <f t="shared" si="13"/>
        <v>1.55E-2</v>
      </c>
      <c r="J849" s="988">
        <v>35278</v>
      </c>
    </row>
    <row r="850" spans="2:10" ht="13.8">
      <c r="B850" s="988">
        <v>35309</v>
      </c>
      <c r="C850" s="987" t="s">
        <v>4626</v>
      </c>
      <c r="F850" s="990">
        <v>5.62E-2</v>
      </c>
      <c r="H850" s="986">
        <v>6.0000000000000001E-3</v>
      </c>
      <c r="I850" s="986">
        <f t="shared" si="13"/>
        <v>5.0200000000000002E-2</v>
      </c>
      <c r="J850" s="988">
        <v>35309</v>
      </c>
    </row>
    <row r="851" spans="2:10" ht="13.8">
      <c r="B851" s="988">
        <v>35339</v>
      </c>
      <c r="C851" s="987" t="s">
        <v>4626</v>
      </c>
      <c r="F851" s="990">
        <v>2.7400000000000001E-2</v>
      </c>
      <c r="H851" s="986">
        <v>5.7999999999999996E-3</v>
      </c>
      <c r="I851" s="986">
        <f t="shared" si="13"/>
        <v>2.1600000000000001E-2</v>
      </c>
      <c r="J851" s="988">
        <v>35339</v>
      </c>
    </row>
    <row r="852" spans="2:10" ht="13.8">
      <c r="B852" s="988">
        <v>35370</v>
      </c>
      <c r="C852" s="987" t="s">
        <v>4626</v>
      </c>
      <c r="F852" s="990">
        <v>7.5899999999999995E-2</v>
      </c>
      <c r="H852" s="986">
        <v>5.1999999999999998E-3</v>
      </c>
      <c r="I852" s="986">
        <f t="shared" si="13"/>
        <v>7.0699999999999999E-2</v>
      </c>
      <c r="J852" s="988">
        <v>35370</v>
      </c>
    </row>
    <row r="853" spans="2:10" ht="13.8">
      <c r="B853" s="988">
        <v>35400</v>
      </c>
      <c r="C853" s="987" t="s">
        <v>4626</v>
      </c>
      <c r="F853" s="990">
        <v>-1.9599999999999999E-2</v>
      </c>
      <c r="H853" s="986">
        <v>5.5999999999999999E-3</v>
      </c>
      <c r="I853" s="986">
        <f t="shared" si="13"/>
        <v>-2.52E-2</v>
      </c>
      <c r="J853" s="988">
        <v>35400</v>
      </c>
    </row>
    <row r="854" spans="2:10" ht="13.8">
      <c r="B854" s="988">
        <v>35431</v>
      </c>
      <c r="C854" s="987" t="s">
        <v>4626</v>
      </c>
      <c r="F854" s="990">
        <v>6.2100000000000002E-2</v>
      </c>
      <c r="H854" s="986">
        <v>5.5999999999999999E-3</v>
      </c>
      <c r="I854" s="986">
        <f t="shared" si="13"/>
        <v>5.6500000000000002E-2</v>
      </c>
      <c r="J854" s="988">
        <v>35431</v>
      </c>
    </row>
    <row r="855" spans="2:10" ht="13.8">
      <c r="B855" s="988">
        <v>35462</v>
      </c>
      <c r="C855" s="987" t="s">
        <v>4626</v>
      </c>
      <c r="F855" s="990">
        <v>8.0999999999999996E-3</v>
      </c>
      <c r="H855" s="986">
        <v>5.1000000000000004E-3</v>
      </c>
      <c r="I855" s="986">
        <f t="shared" si="13"/>
        <v>2.9999999999999992E-3</v>
      </c>
      <c r="J855" s="988">
        <v>35462</v>
      </c>
    </row>
    <row r="856" spans="2:10" ht="13.8">
      <c r="B856" s="988">
        <v>35490</v>
      </c>
      <c r="C856" s="987" t="s">
        <v>4626</v>
      </c>
      <c r="F856" s="990">
        <v>-4.1599999999999998E-2</v>
      </c>
      <c r="H856" s="986">
        <v>5.8999999999999999E-3</v>
      </c>
      <c r="I856" s="986">
        <f t="shared" si="13"/>
        <v>-4.7500000000000001E-2</v>
      </c>
      <c r="J856" s="988">
        <v>35490</v>
      </c>
    </row>
    <row r="857" spans="2:10" ht="13.8">
      <c r="B857" s="988">
        <v>35521</v>
      </c>
      <c r="C857" s="987" t="s">
        <v>4626</v>
      </c>
      <c r="F857" s="990">
        <v>5.9700000000000003E-2</v>
      </c>
      <c r="H857" s="986">
        <v>5.8999999999999999E-3</v>
      </c>
      <c r="I857" s="986">
        <f t="shared" si="13"/>
        <v>5.3800000000000001E-2</v>
      </c>
      <c r="J857" s="988">
        <v>35521</v>
      </c>
    </row>
    <row r="858" spans="2:10" ht="13.8">
      <c r="B858" s="988">
        <v>35551</v>
      </c>
      <c r="C858" s="987" t="s">
        <v>4626</v>
      </c>
      <c r="F858" s="990">
        <v>6.1400000000000003E-2</v>
      </c>
      <c r="H858" s="986">
        <v>5.7999999999999996E-3</v>
      </c>
      <c r="I858" s="986">
        <f t="shared" si="13"/>
        <v>5.5600000000000004E-2</v>
      </c>
      <c r="J858" s="988">
        <v>35551</v>
      </c>
    </row>
    <row r="859" spans="2:10" ht="13.8">
      <c r="B859" s="988">
        <v>35582</v>
      </c>
      <c r="C859" s="987" t="s">
        <v>4626</v>
      </c>
      <c r="F859" s="990">
        <v>4.4600000000000001E-2</v>
      </c>
      <c r="H859" s="986">
        <v>5.8999999999999999E-3</v>
      </c>
      <c r="I859" s="986">
        <f t="shared" si="13"/>
        <v>3.8699999999999998E-2</v>
      </c>
      <c r="J859" s="988">
        <v>35582</v>
      </c>
    </row>
    <row r="860" spans="2:10" ht="13.8">
      <c r="B860" s="988">
        <v>35612</v>
      </c>
      <c r="C860" s="987" t="s">
        <v>4626</v>
      </c>
      <c r="F860" s="990">
        <v>7.9399999999999998E-2</v>
      </c>
      <c r="H860" s="986">
        <v>5.7999999999999996E-3</v>
      </c>
      <c r="I860" s="986">
        <f t="shared" si="13"/>
        <v>7.3599999999999999E-2</v>
      </c>
      <c r="J860" s="988">
        <v>35612</v>
      </c>
    </row>
    <row r="861" spans="2:10" ht="13.8">
      <c r="B861" s="988">
        <v>35643</v>
      </c>
      <c r="C861" s="987" t="s">
        <v>4626</v>
      </c>
      <c r="F861" s="990">
        <v>-5.5599999999999997E-2</v>
      </c>
      <c r="H861" s="986">
        <v>4.8999999999999998E-3</v>
      </c>
      <c r="I861" s="986">
        <f t="shared" si="13"/>
        <v>-6.0499999999999998E-2</v>
      </c>
      <c r="J861" s="988">
        <v>35643</v>
      </c>
    </row>
    <row r="862" spans="2:10" ht="13.8">
      <c r="B862" s="988">
        <v>35674</v>
      </c>
      <c r="C862" s="987" t="s">
        <v>4626</v>
      </c>
      <c r="F862" s="990">
        <v>5.4800000000000001E-2</v>
      </c>
      <c r="H862" s="986">
        <v>5.7999999999999996E-3</v>
      </c>
      <c r="I862" s="986">
        <f t="shared" si="13"/>
        <v>4.9000000000000002E-2</v>
      </c>
      <c r="J862" s="988">
        <v>35674</v>
      </c>
    </row>
    <row r="863" spans="2:10" ht="13.8">
      <c r="B863" s="988">
        <v>35704</v>
      </c>
      <c r="C863" s="987" t="s">
        <v>4626</v>
      </c>
      <c r="F863" s="990">
        <v>-3.3399999999999999E-2</v>
      </c>
      <c r="H863" s="986">
        <v>5.4000000000000003E-3</v>
      </c>
      <c r="I863" s="986">
        <f t="shared" si="13"/>
        <v>-3.8800000000000001E-2</v>
      </c>
      <c r="J863" s="988">
        <v>35704</v>
      </c>
    </row>
    <row r="864" spans="2:10" ht="13.8">
      <c r="B864" s="988">
        <v>35735</v>
      </c>
      <c r="C864" s="987" t="s">
        <v>4626</v>
      </c>
      <c r="F864" s="990">
        <v>4.6300000000000001E-2</v>
      </c>
      <c r="H864" s="986">
        <v>4.7000000000000002E-3</v>
      </c>
      <c r="I864" s="986">
        <f t="shared" si="13"/>
        <v>4.1599999999999998E-2</v>
      </c>
      <c r="J864" s="988">
        <v>35735</v>
      </c>
    </row>
    <row r="865" spans="2:10" ht="13.8">
      <c r="B865" s="988">
        <v>35765</v>
      </c>
      <c r="C865" s="987" t="s">
        <v>4626</v>
      </c>
      <c r="F865" s="990">
        <v>1.72E-2</v>
      </c>
      <c r="H865" s="986">
        <v>5.4000000000000003E-3</v>
      </c>
      <c r="I865" s="986">
        <f t="shared" si="13"/>
        <v>1.18E-2</v>
      </c>
      <c r="J865" s="988">
        <v>35765</v>
      </c>
    </row>
    <row r="866" spans="2:10" ht="13.8">
      <c r="B866" s="988">
        <v>35796</v>
      </c>
      <c r="C866" s="987" t="s">
        <v>4626</v>
      </c>
      <c r="F866" s="990">
        <v>1.11E-2</v>
      </c>
      <c r="H866" s="986">
        <v>4.7999999999999996E-3</v>
      </c>
      <c r="I866" s="986">
        <f t="shared" si="13"/>
        <v>6.3000000000000009E-3</v>
      </c>
      <c r="J866" s="988">
        <v>35796</v>
      </c>
    </row>
    <row r="867" spans="2:10" ht="13.8">
      <c r="B867" s="988">
        <v>35827</v>
      </c>
      <c r="C867" s="987" t="s">
        <v>4626</v>
      </c>
      <c r="F867" s="990">
        <v>7.2099999999999997E-2</v>
      </c>
      <c r="H867" s="986">
        <v>4.4000000000000003E-3</v>
      </c>
      <c r="I867" s="986">
        <f t="shared" si="13"/>
        <v>6.7699999999999996E-2</v>
      </c>
      <c r="J867" s="988">
        <v>35827</v>
      </c>
    </row>
    <row r="868" spans="2:10" ht="13.8">
      <c r="B868" s="988">
        <v>35855</v>
      </c>
      <c r="C868" s="987" t="s">
        <v>4626</v>
      </c>
      <c r="F868" s="990">
        <v>5.1200000000000002E-2</v>
      </c>
      <c r="H868" s="986">
        <v>5.1999999999999998E-3</v>
      </c>
      <c r="I868" s="986">
        <f t="shared" si="13"/>
        <v>4.5999999999999999E-2</v>
      </c>
      <c r="J868" s="988">
        <v>35855</v>
      </c>
    </row>
    <row r="869" spans="2:10" ht="13.8">
      <c r="B869" s="988">
        <v>35886</v>
      </c>
      <c r="C869" s="987" t="s">
        <v>4626</v>
      </c>
      <c r="F869" s="990">
        <v>1.01E-2</v>
      </c>
      <c r="H869" s="986">
        <v>4.8999999999999998E-3</v>
      </c>
      <c r="I869" s="986">
        <f t="shared" si="13"/>
        <v>5.1999999999999998E-3</v>
      </c>
      <c r="J869" s="988">
        <v>35886</v>
      </c>
    </row>
    <row r="870" spans="2:10" ht="13.8">
      <c r="B870" s="988">
        <v>35916</v>
      </c>
      <c r="C870" s="987" t="s">
        <v>4626</v>
      </c>
      <c r="F870" s="990">
        <v>-1.72E-2</v>
      </c>
      <c r="H870" s="986">
        <v>4.7999999999999996E-3</v>
      </c>
      <c r="I870" s="986">
        <f t="shared" si="13"/>
        <v>-2.1999999999999999E-2</v>
      </c>
      <c r="J870" s="988">
        <v>35916</v>
      </c>
    </row>
    <row r="871" spans="2:10" ht="13.8">
      <c r="B871" s="988">
        <v>35947</v>
      </c>
      <c r="C871" s="987" t="s">
        <v>4626</v>
      </c>
      <c r="F871" s="990">
        <v>4.0599999999999997E-2</v>
      </c>
      <c r="H871" s="986">
        <v>5.1999999999999998E-3</v>
      </c>
      <c r="I871" s="986">
        <f t="shared" si="13"/>
        <v>3.5400000000000001E-2</v>
      </c>
      <c r="J871" s="988">
        <v>35947</v>
      </c>
    </row>
    <row r="872" spans="2:10" ht="13.8">
      <c r="B872" s="988">
        <v>35977</v>
      </c>
      <c r="C872" s="987" t="s">
        <v>4626</v>
      </c>
      <c r="F872" s="990">
        <v>-1.06E-2</v>
      </c>
      <c r="H872" s="986">
        <v>4.8999999999999998E-3</v>
      </c>
      <c r="I872" s="986">
        <f t="shared" si="13"/>
        <v>-1.55E-2</v>
      </c>
      <c r="J872" s="988">
        <v>35977</v>
      </c>
    </row>
    <row r="873" spans="2:10" ht="13.8">
      <c r="B873" s="988">
        <v>36008</v>
      </c>
      <c r="C873" s="987" t="s">
        <v>4626</v>
      </c>
      <c r="F873" s="990">
        <v>-0.14460000000000001</v>
      </c>
      <c r="H873" s="986">
        <v>4.7999999999999996E-3</v>
      </c>
      <c r="I873" s="986">
        <f t="shared" si="13"/>
        <v>-0.14940000000000001</v>
      </c>
      <c r="J873" s="988">
        <v>36008</v>
      </c>
    </row>
    <row r="874" spans="2:10" ht="13.8">
      <c r="B874" s="988">
        <v>36039</v>
      </c>
      <c r="C874" s="987" t="s">
        <v>4626</v>
      </c>
      <c r="F874" s="990">
        <v>6.4100000000000004E-2</v>
      </c>
      <c r="H874" s="986">
        <v>4.4000000000000003E-3</v>
      </c>
      <c r="I874" s="986">
        <f t="shared" si="13"/>
        <v>5.9700000000000003E-2</v>
      </c>
      <c r="J874" s="988">
        <v>36039</v>
      </c>
    </row>
    <row r="875" spans="2:10" ht="13.8">
      <c r="B875" s="988">
        <v>36069</v>
      </c>
      <c r="C875" s="987" t="s">
        <v>4626</v>
      </c>
      <c r="F875" s="990">
        <v>8.1299999999999997E-2</v>
      </c>
      <c r="H875" s="986">
        <v>4.1999999999999997E-3</v>
      </c>
      <c r="I875" s="986">
        <f t="shared" si="13"/>
        <v>7.7100000000000002E-2</v>
      </c>
      <c r="J875" s="988">
        <v>36069</v>
      </c>
    </row>
    <row r="876" spans="2:10" ht="13.8">
      <c r="B876" s="988">
        <v>36100</v>
      </c>
      <c r="C876" s="987" t="s">
        <v>4626</v>
      </c>
      <c r="F876" s="990">
        <v>6.0600000000000001E-2</v>
      </c>
      <c r="H876" s="986">
        <v>4.4999999999999997E-3</v>
      </c>
      <c r="I876" s="986">
        <f t="shared" si="13"/>
        <v>5.6100000000000004E-2</v>
      </c>
      <c r="J876" s="988">
        <v>36100</v>
      </c>
    </row>
    <row r="877" spans="2:10" ht="13.8">
      <c r="B877" s="988">
        <v>36130</v>
      </c>
      <c r="C877" s="987" t="s">
        <v>4626</v>
      </c>
      <c r="F877" s="990">
        <v>5.7599999999999998E-2</v>
      </c>
      <c r="H877" s="986">
        <v>4.4999999999999997E-3</v>
      </c>
      <c r="I877" s="986">
        <f t="shared" si="13"/>
        <v>5.3100000000000001E-2</v>
      </c>
      <c r="J877" s="988">
        <v>36130</v>
      </c>
    </row>
    <row r="878" spans="2:10" ht="13.8">
      <c r="B878" s="988">
        <v>36161</v>
      </c>
      <c r="C878" s="987" t="s">
        <v>4626</v>
      </c>
      <c r="F878" s="990">
        <v>4.1799999999999997E-2</v>
      </c>
      <c r="H878" s="986">
        <v>4.1999999999999997E-3</v>
      </c>
      <c r="I878" s="986">
        <f t="shared" si="13"/>
        <v>3.7599999999999995E-2</v>
      </c>
      <c r="J878" s="988">
        <v>36161</v>
      </c>
    </row>
    <row r="879" spans="2:10" ht="13.8">
      <c r="B879" s="988">
        <v>36192</v>
      </c>
      <c r="C879" s="987" t="s">
        <v>4626</v>
      </c>
      <c r="F879" s="990">
        <v>-3.1099999999999999E-2</v>
      </c>
      <c r="H879" s="986">
        <v>4.0000000000000001E-3</v>
      </c>
      <c r="I879" s="986">
        <f t="shared" si="13"/>
        <v>-3.5099999999999999E-2</v>
      </c>
      <c r="J879" s="988">
        <v>36192</v>
      </c>
    </row>
    <row r="880" spans="2:10" ht="13.8">
      <c r="B880" s="988">
        <v>36220</v>
      </c>
      <c r="C880" s="987" t="s">
        <v>4626</v>
      </c>
      <c r="F880" s="990">
        <v>0.04</v>
      </c>
      <c r="H880" s="986">
        <v>5.3E-3</v>
      </c>
      <c r="I880" s="986">
        <f t="shared" si="13"/>
        <v>3.4700000000000002E-2</v>
      </c>
      <c r="J880" s="988">
        <v>36220</v>
      </c>
    </row>
    <row r="881" spans="2:10" ht="13.8">
      <c r="B881" s="988">
        <v>36251</v>
      </c>
      <c r="C881" s="987" t="s">
        <v>4626</v>
      </c>
      <c r="F881" s="990">
        <v>3.8699999999999998E-2</v>
      </c>
      <c r="H881" s="986">
        <v>4.7999999999999996E-3</v>
      </c>
      <c r="I881" s="986">
        <f t="shared" si="13"/>
        <v>3.39E-2</v>
      </c>
      <c r="J881" s="988">
        <v>36251</v>
      </c>
    </row>
    <row r="882" spans="2:10" ht="13.8">
      <c r="B882" s="988">
        <v>36281</v>
      </c>
      <c r="C882" s="987" t="s">
        <v>4626</v>
      </c>
      <c r="F882" s="990">
        <v>-2.3599999999999999E-2</v>
      </c>
      <c r="H882" s="986">
        <v>4.4999999999999997E-3</v>
      </c>
      <c r="I882" s="986">
        <f t="shared" si="13"/>
        <v>-2.81E-2</v>
      </c>
      <c r="J882" s="988">
        <v>36281</v>
      </c>
    </row>
    <row r="883" spans="2:10" ht="13.8">
      <c r="B883" s="988">
        <v>36312</v>
      </c>
      <c r="C883" s="987" t="s">
        <v>4626</v>
      </c>
      <c r="F883" s="990">
        <v>5.5500000000000001E-2</v>
      </c>
      <c r="H883" s="986">
        <v>5.4999999999999997E-3</v>
      </c>
      <c r="I883" s="986">
        <f t="shared" si="13"/>
        <v>0.05</v>
      </c>
      <c r="J883" s="988">
        <v>36312</v>
      </c>
    </row>
    <row r="884" spans="2:10" ht="13.8">
      <c r="B884" s="988">
        <v>36342</v>
      </c>
      <c r="C884" s="987" t="s">
        <v>4626</v>
      </c>
      <c r="F884" s="990">
        <v>-3.1199999999999999E-2</v>
      </c>
      <c r="H884" s="986">
        <v>5.1000000000000004E-3</v>
      </c>
      <c r="I884" s="986">
        <f t="shared" si="13"/>
        <v>-3.6299999999999999E-2</v>
      </c>
      <c r="J884" s="988">
        <v>36342</v>
      </c>
    </row>
    <row r="885" spans="2:10" ht="13.8">
      <c r="B885" s="988">
        <v>36373</v>
      </c>
      <c r="C885" s="987" t="s">
        <v>4626</v>
      </c>
      <c r="F885" s="990">
        <v>-5.0000000000000001E-3</v>
      </c>
      <c r="H885" s="986">
        <v>5.4000000000000003E-3</v>
      </c>
      <c r="I885" s="986">
        <f t="shared" si="13"/>
        <v>-1.04E-2</v>
      </c>
      <c r="J885" s="988">
        <v>36373</v>
      </c>
    </row>
    <row r="886" spans="2:10" ht="13.8">
      <c r="B886" s="988">
        <v>36404</v>
      </c>
      <c r="C886" s="987" t="s">
        <v>4626</v>
      </c>
      <c r="F886" s="990">
        <v>-2.7400000000000001E-2</v>
      </c>
      <c r="H886" s="986">
        <v>5.1999999999999998E-3</v>
      </c>
      <c r="I886" s="986">
        <f t="shared" si="13"/>
        <v>-3.2600000000000004E-2</v>
      </c>
      <c r="J886" s="988">
        <v>36404</v>
      </c>
    </row>
    <row r="887" spans="2:10" ht="13.8">
      <c r="B887" s="988">
        <v>36434</v>
      </c>
      <c r="C887" s="987" t="s">
        <v>4626</v>
      </c>
      <c r="F887" s="990">
        <v>6.3299999999999995E-2</v>
      </c>
      <c r="H887" s="986">
        <v>5.0000000000000001E-3</v>
      </c>
      <c r="I887" s="986">
        <f t="shared" si="13"/>
        <v>5.8299999999999998E-2</v>
      </c>
      <c r="J887" s="988">
        <v>36434</v>
      </c>
    </row>
    <row r="888" spans="2:10" ht="13.8">
      <c r="B888" s="988">
        <v>36465</v>
      </c>
      <c r="C888" s="987" t="s">
        <v>4626</v>
      </c>
      <c r="F888" s="990">
        <v>2.0299999999999999E-2</v>
      </c>
      <c r="H888" s="986">
        <v>5.5999999999999999E-3</v>
      </c>
      <c r="I888" s="986">
        <f t="shared" si="13"/>
        <v>1.4699999999999998E-2</v>
      </c>
      <c r="J888" s="988">
        <v>36465</v>
      </c>
    </row>
    <row r="889" spans="2:10" ht="13.8">
      <c r="B889" s="988">
        <v>36495</v>
      </c>
      <c r="C889" s="987" t="s">
        <v>4626</v>
      </c>
      <c r="F889" s="990">
        <v>5.8900000000000001E-2</v>
      </c>
      <c r="H889" s="986">
        <v>5.4999999999999997E-3</v>
      </c>
      <c r="I889" s="986">
        <f t="shared" si="13"/>
        <v>5.3400000000000003E-2</v>
      </c>
      <c r="J889" s="988">
        <v>36495</v>
      </c>
    </row>
    <row r="890" spans="2:10" ht="13.8">
      <c r="B890" s="988">
        <v>36526</v>
      </c>
      <c r="C890" s="987" t="s">
        <v>4626</v>
      </c>
      <c r="F890" s="990">
        <v>-5.0200000000000002E-2</v>
      </c>
      <c r="H890" s="986">
        <v>5.7000000000000002E-3</v>
      </c>
      <c r="I890" s="986">
        <f t="shared" si="13"/>
        <v>-5.5900000000000005E-2</v>
      </c>
      <c r="J890" s="988">
        <v>36526</v>
      </c>
    </row>
    <row r="891" spans="2:10" ht="13.8">
      <c r="B891" s="988">
        <v>36557</v>
      </c>
      <c r="C891" s="987" t="s">
        <v>4626</v>
      </c>
      <c r="F891" s="990">
        <v>-1.89E-2</v>
      </c>
      <c r="H891" s="986">
        <v>5.1000000000000004E-3</v>
      </c>
      <c r="I891" s="986">
        <f t="shared" si="13"/>
        <v>-2.4E-2</v>
      </c>
      <c r="J891" s="988">
        <v>36557</v>
      </c>
    </row>
    <row r="892" spans="2:10" ht="13.8">
      <c r="B892" s="988">
        <v>36586</v>
      </c>
      <c r="C892" s="987" t="s">
        <v>4626</v>
      </c>
      <c r="F892" s="990">
        <v>9.7799999999999998E-2</v>
      </c>
      <c r="H892" s="986">
        <v>5.4000000000000003E-3</v>
      </c>
      <c r="I892" s="986">
        <f t="shared" si="13"/>
        <v>9.2399999999999996E-2</v>
      </c>
      <c r="J892" s="988">
        <v>36586</v>
      </c>
    </row>
    <row r="893" spans="2:10" ht="13.8">
      <c r="B893" s="988">
        <v>36617</v>
      </c>
      <c r="C893" s="987" t="s">
        <v>4626</v>
      </c>
      <c r="F893" s="990">
        <v>-3.0099999999999998E-2</v>
      </c>
      <c r="H893" s="986">
        <v>4.7000000000000002E-3</v>
      </c>
      <c r="I893" s="986">
        <f t="shared" si="13"/>
        <v>-3.4799999999999998E-2</v>
      </c>
      <c r="J893" s="988">
        <v>36617</v>
      </c>
    </row>
    <row r="894" spans="2:10" ht="13.8">
      <c r="B894" s="988">
        <v>36647</v>
      </c>
      <c r="C894" s="987" t="s">
        <v>4626</v>
      </c>
      <c r="F894" s="990">
        <v>-2.0500000000000001E-2</v>
      </c>
      <c r="H894" s="986">
        <v>5.5999999999999999E-3</v>
      </c>
      <c r="I894" s="986">
        <f t="shared" si="13"/>
        <v>-2.6100000000000002E-2</v>
      </c>
      <c r="J894" s="988">
        <v>36647</v>
      </c>
    </row>
    <row r="895" spans="2:10" ht="13.8">
      <c r="B895" s="988">
        <v>36678</v>
      </c>
      <c r="C895" s="987" t="s">
        <v>4626</v>
      </c>
      <c r="F895" s="990">
        <v>2.46E-2</v>
      </c>
      <c r="H895" s="986">
        <v>5.1999999999999998E-3</v>
      </c>
      <c r="I895" s="986">
        <f t="shared" si="13"/>
        <v>1.9400000000000001E-2</v>
      </c>
      <c r="J895" s="988">
        <v>36678</v>
      </c>
    </row>
    <row r="896" spans="2:10" ht="13.8">
      <c r="B896" s="988">
        <v>36708</v>
      </c>
      <c r="C896" s="987" t="s">
        <v>4626</v>
      </c>
      <c r="F896" s="990">
        <v>-1.5599999999999999E-2</v>
      </c>
      <c r="H896" s="986">
        <v>5.1999999999999998E-3</v>
      </c>
      <c r="I896" s="986">
        <f t="shared" si="13"/>
        <v>-2.0799999999999999E-2</v>
      </c>
      <c r="J896" s="988">
        <v>36708</v>
      </c>
    </row>
    <row r="897" spans="2:10" ht="13.8">
      <c r="B897" s="988">
        <v>36739</v>
      </c>
      <c r="C897" s="987" t="s">
        <v>4626</v>
      </c>
      <c r="F897" s="990">
        <v>6.2100000000000002E-2</v>
      </c>
      <c r="H897" s="986">
        <v>5.0000000000000001E-3</v>
      </c>
      <c r="I897" s="986">
        <f t="shared" si="13"/>
        <v>5.7100000000000005E-2</v>
      </c>
      <c r="J897" s="988">
        <v>36739</v>
      </c>
    </row>
    <row r="898" spans="2:10" ht="13.8">
      <c r="B898" s="988">
        <v>36770</v>
      </c>
      <c r="C898" s="987" t="s">
        <v>4626</v>
      </c>
      <c r="F898" s="990">
        <v>-5.28E-2</v>
      </c>
      <c r="H898" s="986">
        <v>4.5999999999999999E-3</v>
      </c>
      <c r="I898" s="986">
        <f t="shared" ref="I898:I961" si="14">F898-H898</f>
        <v>-5.74E-2</v>
      </c>
      <c r="J898" s="988">
        <v>36770</v>
      </c>
    </row>
    <row r="899" spans="2:10" ht="13.8">
      <c r="B899" s="988">
        <v>36800</v>
      </c>
      <c r="C899" s="987" t="s">
        <v>4626</v>
      </c>
      <c r="F899" s="990">
        <v>-4.1999999999999997E-3</v>
      </c>
      <c r="H899" s="986">
        <v>5.3E-3</v>
      </c>
      <c r="I899" s="986">
        <f t="shared" si="14"/>
        <v>-9.4999999999999998E-3</v>
      </c>
      <c r="J899" s="988">
        <v>36800</v>
      </c>
    </row>
    <row r="900" spans="2:10" ht="13.8">
      <c r="B900" s="988">
        <v>36831</v>
      </c>
      <c r="C900" s="987" t="s">
        <v>4626</v>
      </c>
      <c r="F900" s="990">
        <v>-7.8799999999999995E-2</v>
      </c>
      <c r="H900" s="986">
        <v>4.7999999999999996E-3</v>
      </c>
      <c r="I900" s="986">
        <f t="shared" si="14"/>
        <v>-8.3599999999999994E-2</v>
      </c>
      <c r="J900" s="988">
        <v>36831</v>
      </c>
    </row>
    <row r="901" spans="2:10" ht="13.8">
      <c r="B901" s="988">
        <v>36861</v>
      </c>
      <c r="C901" s="987" t="s">
        <v>4626</v>
      </c>
      <c r="F901" s="990">
        <v>4.8999999999999998E-3</v>
      </c>
      <c r="H901" s="986">
        <v>4.4999999999999997E-3</v>
      </c>
      <c r="I901" s="986">
        <f t="shared" si="14"/>
        <v>4.0000000000000018E-4</v>
      </c>
      <c r="J901" s="988">
        <v>36861</v>
      </c>
    </row>
    <row r="902" spans="2:10" ht="13.8">
      <c r="B902" s="988">
        <v>36892</v>
      </c>
      <c r="C902" s="987" t="s">
        <v>4626</v>
      </c>
      <c r="F902" s="990">
        <v>3.5499999999999997E-2</v>
      </c>
      <c r="H902" s="986">
        <v>4.8999999999999998E-3</v>
      </c>
      <c r="I902" s="986">
        <f t="shared" si="14"/>
        <v>3.0599999999999995E-2</v>
      </c>
      <c r="J902" s="988">
        <v>36892</v>
      </c>
    </row>
    <row r="903" spans="2:10" ht="13.8">
      <c r="B903" s="988">
        <v>36923</v>
      </c>
      <c r="C903" s="987" t="s">
        <v>4626</v>
      </c>
      <c r="F903" s="990">
        <v>-9.1200000000000003E-2</v>
      </c>
      <c r="H903" s="986">
        <v>4.1999999999999997E-3</v>
      </c>
      <c r="I903" s="986">
        <f t="shared" si="14"/>
        <v>-9.5399999999999999E-2</v>
      </c>
      <c r="J903" s="988">
        <v>36923</v>
      </c>
    </row>
    <row r="904" spans="2:10" ht="13.8">
      <c r="B904" s="988">
        <v>36951</v>
      </c>
      <c r="C904" s="987" t="s">
        <v>4626</v>
      </c>
      <c r="F904" s="990">
        <v>-6.3399999999999998E-2</v>
      </c>
      <c r="H904" s="986">
        <v>4.4999999999999997E-3</v>
      </c>
      <c r="I904" s="986">
        <f t="shared" si="14"/>
        <v>-6.7900000000000002E-2</v>
      </c>
      <c r="J904" s="988">
        <v>36951</v>
      </c>
    </row>
    <row r="905" spans="2:10" ht="13.8">
      <c r="B905" s="988">
        <v>36982</v>
      </c>
      <c r="C905" s="987" t="s">
        <v>4626</v>
      </c>
      <c r="F905" s="990">
        <v>7.7700000000000005E-2</v>
      </c>
      <c r="H905" s="986">
        <v>4.7000000000000002E-3</v>
      </c>
      <c r="I905" s="986">
        <f t="shared" si="14"/>
        <v>7.3000000000000009E-2</v>
      </c>
      <c r="J905" s="988">
        <v>36982</v>
      </c>
    </row>
    <row r="906" spans="2:10" ht="13.8">
      <c r="B906" s="988">
        <v>37012</v>
      </c>
      <c r="C906" s="987" t="s">
        <v>4626</v>
      </c>
      <c r="F906" s="990">
        <v>6.7000000000000002E-3</v>
      </c>
      <c r="H906" s="986">
        <v>5.0000000000000001E-3</v>
      </c>
      <c r="I906" s="986">
        <f t="shared" si="14"/>
        <v>1.7000000000000001E-3</v>
      </c>
      <c r="J906" s="988">
        <v>37012</v>
      </c>
    </row>
    <row r="907" spans="2:10" ht="13.8">
      <c r="B907" s="988">
        <v>37043</v>
      </c>
      <c r="C907" s="987" t="s">
        <v>4626</v>
      </c>
      <c r="F907" s="990">
        <v>-2.4299999999999999E-2</v>
      </c>
      <c r="H907" s="986">
        <v>4.7000000000000002E-3</v>
      </c>
      <c r="I907" s="986">
        <f t="shared" si="14"/>
        <v>-2.8999999999999998E-2</v>
      </c>
      <c r="J907" s="988">
        <v>37043</v>
      </c>
    </row>
    <row r="908" spans="2:10" ht="13.8">
      <c r="B908" s="988">
        <v>37073</v>
      </c>
      <c r="C908" s="987" t="s">
        <v>4626</v>
      </c>
      <c r="F908" s="990">
        <v>-9.7999999999999997E-3</v>
      </c>
      <c r="H908" s="986">
        <v>5.1999999999999998E-3</v>
      </c>
      <c r="I908" s="986">
        <f t="shared" si="14"/>
        <v>-1.4999999999999999E-2</v>
      </c>
      <c r="J908" s="988">
        <v>37073</v>
      </c>
    </row>
    <row r="909" spans="2:10" ht="13.8">
      <c r="B909" s="988">
        <v>37104</v>
      </c>
      <c r="C909" s="987" t="s">
        <v>4626</v>
      </c>
      <c r="F909" s="990">
        <v>-6.2600000000000003E-2</v>
      </c>
      <c r="H909" s="986">
        <v>4.5999999999999999E-3</v>
      </c>
      <c r="I909" s="986">
        <f t="shared" si="14"/>
        <v>-6.720000000000001E-2</v>
      </c>
      <c r="J909" s="988">
        <v>37104</v>
      </c>
    </row>
    <row r="910" spans="2:10" ht="13.8">
      <c r="B910" s="988">
        <v>37135</v>
      </c>
      <c r="C910" s="987" t="s">
        <v>4626</v>
      </c>
      <c r="F910" s="990">
        <v>-8.0799999999999997E-2</v>
      </c>
      <c r="H910" s="986">
        <v>4.1000000000000003E-3</v>
      </c>
      <c r="I910" s="986">
        <f t="shared" si="14"/>
        <v>-8.4900000000000003E-2</v>
      </c>
      <c r="J910" s="988">
        <v>37135</v>
      </c>
    </row>
    <row r="911" spans="2:10" ht="13.8">
      <c r="B911" s="988">
        <v>37165</v>
      </c>
      <c r="C911" s="987" t="s">
        <v>4626</v>
      </c>
      <c r="F911" s="990">
        <v>1.9099999999999999E-2</v>
      </c>
      <c r="H911" s="986">
        <v>4.7999999999999996E-3</v>
      </c>
      <c r="I911" s="986">
        <f t="shared" si="14"/>
        <v>1.43E-2</v>
      </c>
      <c r="J911" s="988">
        <v>37165</v>
      </c>
    </row>
    <row r="912" spans="2:10" ht="13.8">
      <c r="B912" s="988">
        <v>37196</v>
      </c>
      <c r="C912" s="987" t="s">
        <v>4626</v>
      </c>
      <c r="F912" s="990">
        <v>7.6700000000000004E-2</v>
      </c>
      <c r="H912" s="986">
        <v>4.1000000000000003E-3</v>
      </c>
      <c r="I912" s="986">
        <f t="shared" si="14"/>
        <v>7.2599999999999998E-2</v>
      </c>
      <c r="J912" s="988">
        <v>37196</v>
      </c>
    </row>
    <row r="913" spans="2:10" ht="13.8">
      <c r="B913" s="988">
        <v>37226</v>
      </c>
      <c r="C913" s="987" t="s">
        <v>4626</v>
      </c>
      <c r="F913" s="990">
        <v>8.8000000000000005E-3</v>
      </c>
      <c r="H913" s="986">
        <v>4.5999999999999999E-3</v>
      </c>
      <c r="I913" s="986">
        <f t="shared" si="14"/>
        <v>4.2000000000000006E-3</v>
      </c>
      <c r="J913" s="988">
        <v>37226</v>
      </c>
    </row>
    <row r="914" spans="2:10" ht="13.8">
      <c r="B914" s="988">
        <v>37257</v>
      </c>
      <c r="C914" s="987" t="s">
        <v>4626</v>
      </c>
      <c r="F914" s="990">
        <v>-1.46E-2</v>
      </c>
      <c r="H914" s="986">
        <v>4.7999999999999996E-3</v>
      </c>
      <c r="I914" s="986">
        <f t="shared" si="14"/>
        <v>-1.9400000000000001E-2</v>
      </c>
      <c r="J914" s="988">
        <v>37257</v>
      </c>
    </row>
    <row r="915" spans="2:10" ht="13.8">
      <c r="B915" s="988">
        <v>37288</v>
      </c>
      <c r="C915" s="987" t="s">
        <v>4626</v>
      </c>
      <c r="F915" s="990">
        <v>-1.9300000000000001E-2</v>
      </c>
      <c r="H915" s="986">
        <v>4.3E-3</v>
      </c>
      <c r="I915" s="986">
        <f t="shared" si="14"/>
        <v>-2.3600000000000003E-2</v>
      </c>
      <c r="J915" s="988">
        <v>37288</v>
      </c>
    </row>
    <row r="916" spans="2:10" ht="13.8">
      <c r="B916" s="988">
        <v>37316</v>
      </c>
      <c r="C916" s="987" t="s">
        <v>4626</v>
      </c>
      <c r="F916" s="990">
        <v>3.7600000000000001E-2</v>
      </c>
      <c r="H916" s="986">
        <v>4.3E-3</v>
      </c>
      <c r="I916" s="986">
        <f t="shared" si="14"/>
        <v>3.3300000000000003E-2</v>
      </c>
      <c r="J916" s="988">
        <v>37316</v>
      </c>
    </row>
    <row r="917" spans="2:10" ht="13.8">
      <c r="B917" s="988">
        <v>37347</v>
      </c>
      <c r="C917" s="987" t="s">
        <v>4626</v>
      </c>
      <c r="F917" s="990">
        <v>-6.0600000000000001E-2</v>
      </c>
      <c r="H917" s="986">
        <v>5.4000000000000003E-3</v>
      </c>
      <c r="I917" s="986">
        <f t="shared" si="14"/>
        <v>-6.6000000000000003E-2</v>
      </c>
      <c r="J917" s="988">
        <v>37347</v>
      </c>
    </row>
    <row r="918" spans="2:10" ht="13.8">
      <c r="B918" s="988">
        <v>37377</v>
      </c>
      <c r="C918" s="987" t="s">
        <v>4626</v>
      </c>
      <c r="F918" s="990">
        <v>-7.4000000000000003E-3</v>
      </c>
      <c r="H918" s="986">
        <v>4.8999999999999998E-3</v>
      </c>
      <c r="I918" s="986">
        <f t="shared" si="14"/>
        <v>-1.23E-2</v>
      </c>
      <c r="J918" s="988">
        <v>37377</v>
      </c>
    </row>
    <row r="919" spans="2:10" ht="13.8">
      <c r="B919" s="988">
        <v>37408</v>
      </c>
      <c r="C919" s="987" t="s">
        <v>4626</v>
      </c>
      <c r="F919" s="990">
        <v>-7.1199999999999999E-2</v>
      </c>
      <c r="H919" s="986">
        <v>4.4000000000000003E-3</v>
      </c>
      <c r="I919" s="986">
        <f t="shared" si="14"/>
        <v>-7.5600000000000001E-2</v>
      </c>
      <c r="J919" s="988">
        <v>37408</v>
      </c>
    </row>
    <row r="920" spans="2:10" ht="13.8">
      <c r="B920" s="988">
        <v>37438</v>
      </c>
      <c r="C920" s="987" t="s">
        <v>4626</v>
      </c>
      <c r="F920" s="990">
        <v>-7.8E-2</v>
      </c>
      <c r="H920" s="986">
        <v>5.1000000000000004E-3</v>
      </c>
      <c r="I920" s="986">
        <f t="shared" si="14"/>
        <v>-8.3100000000000007E-2</v>
      </c>
      <c r="J920" s="988">
        <v>37438</v>
      </c>
    </row>
    <row r="921" spans="2:10" ht="13.8">
      <c r="B921" s="988">
        <v>37469</v>
      </c>
      <c r="C921" s="987" t="s">
        <v>4626</v>
      </c>
      <c r="F921" s="990">
        <v>6.6E-3</v>
      </c>
      <c r="H921" s="986">
        <v>4.4000000000000003E-3</v>
      </c>
      <c r="I921" s="986">
        <f t="shared" si="14"/>
        <v>2.1999999999999997E-3</v>
      </c>
      <c r="J921" s="988">
        <v>37469</v>
      </c>
    </row>
    <row r="922" spans="2:10" ht="13.8">
      <c r="B922" s="988">
        <v>37500</v>
      </c>
      <c r="C922" s="987" t="s">
        <v>4626</v>
      </c>
      <c r="F922" s="990">
        <v>-0.1087</v>
      </c>
      <c r="H922" s="986">
        <v>4.1999999999999997E-3</v>
      </c>
      <c r="I922" s="986">
        <f t="shared" si="14"/>
        <v>-0.1129</v>
      </c>
      <c r="J922" s="988">
        <v>37500</v>
      </c>
    </row>
    <row r="923" spans="2:10" ht="13.8">
      <c r="B923" s="988">
        <v>37530</v>
      </c>
      <c r="C923" s="987" t="s">
        <v>4626</v>
      </c>
      <c r="F923" s="990">
        <v>8.7999999999999995E-2</v>
      </c>
      <c r="H923" s="986">
        <v>4.0000000000000001E-3</v>
      </c>
      <c r="I923" s="986">
        <f t="shared" si="14"/>
        <v>8.3999999999999991E-2</v>
      </c>
      <c r="J923" s="988">
        <v>37530</v>
      </c>
    </row>
    <row r="924" spans="2:10" ht="13.8">
      <c r="B924" s="988">
        <v>37561</v>
      </c>
      <c r="C924" s="987" t="s">
        <v>4626</v>
      </c>
      <c r="F924" s="990">
        <v>5.8900000000000001E-2</v>
      </c>
      <c r="H924" s="986">
        <v>4.0000000000000001E-3</v>
      </c>
      <c r="I924" s="986">
        <f t="shared" si="14"/>
        <v>5.4900000000000004E-2</v>
      </c>
      <c r="J924" s="988">
        <v>37561</v>
      </c>
    </row>
    <row r="925" spans="2:10" ht="13.8">
      <c r="B925" s="988">
        <v>37591</v>
      </c>
      <c r="C925" s="987" t="s">
        <v>4626</v>
      </c>
      <c r="F925" s="990">
        <v>-5.8799999999999998E-2</v>
      </c>
      <c r="H925" s="986">
        <v>4.4999999999999997E-3</v>
      </c>
      <c r="I925" s="986">
        <f t="shared" si="14"/>
        <v>-6.3299999999999995E-2</v>
      </c>
      <c r="J925" s="988">
        <v>37591</v>
      </c>
    </row>
    <row r="926" spans="2:10" ht="13.8">
      <c r="B926" s="988">
        <v>37622</v>
      </c>
      <c r="C926" s="987" t="s">
        <v>4626</v>
      </c>
      <c r="F926" s="990">
        <v>-2.6200000000000001E-2</v>
      </c>
      <c r="H926" s="986">
        <v>4.1000000000000003E-3</v>
      </c>
      <c r="I926" s="986">
        <f t="shared" si="14"/>
        <v>-3.0300000000000001E-2</v>
      </c>
      <c r="J926" s="988">
        <v>37622</v>
      </c>
    </row>
    <row r="927" spans="2:10" ht="13.8">
      <c r="B927" s="988">
        <v>37653</v>
      </c>
      <c r="C927" s="987" t="s">
        <v>4626</v>
      </c>
      <c r="F927" s="990">
        <v>-1.4999999999999999E-2</v>
      </c>
      <c r="H927" s="986">
        <v>3.8E-3</v>
      </c>
      <c r="I927" s="986">
        <f t="shared" si="14"/>
        <v>-1.8800000000000001E-2</v>
      </c>
      <c r="J927" s="988">
        <v>37653</v>
      </c>
    </row>
    <row r="928" spans="2:10" ht="13.8">
      <c r="B928" s="988">
        <v>37681</v>
      </c>
      <c r="C928" s="987" t="s">
        <v>4626</v>
      </c>
      <c r="F928" s="990">
        <v>9.7000000000000003E-3</v>
      </c>
      <c r="H928" s="986">
        <v>4.0000000000000001E-3</v>
      </c>
      <c r="I928" s="986">
        <f t="shared" si="14"/>
        <v>5.7000000000000002E-3</v>
      </c>
      <c r="J928" s="988">
        <v>37681</v>
      </c>
    </row>
    <row r="929" spans="2:10" ht="13.8">
      <c r="B929" s="988">
        <v>37712</v>
      </c>
      <c r="C929" s="987" t="s">
        <v>4626</v>
      </c>
      <c r="F929" s="990">
        <v>8.2400000000000001E-2</v>
      </c>
      <c r="H929" s="986">
        <v>4.0000000000000001E-3</v>
      </c>
      <c r="I929" s="986">
        <f t="shared" si="14"/>
        <v>7.8399999999999997E-2</v>
      </c>
      <c r="J929" s="988">
        <v>37712</v>
      </c>
    </row>
    <row r="930" spans="2:10" ht="13.8">
      <c r="B930" s="988">
        <v>37742</v>
      </c>
      <c r="C930" s="987" t="s">
        <v>4626</v>
      </c>
      <c r="F930" s="990">
        <v>5.2699999999999997E-2</v>
      </c>
      <c r="H930" s="986">
        <v>3.8999999999999998E-3</v>
      </c>
      <c r="I930" s="986">
        <f t="shared" si="14"/>
        <v>4.8799999999999996E-2</v>
      </c>
      <c r="J930" s="988">
        <v>37742</v>
      </c>
    </row>
    <row r="931" spans="2:10" ht="13.8">
      <c r="B931" s="988">
        <v>37773</v>
      </c>
      <c r="C931" s="987" t="s">
        <v>4626</v>
      </c>
      <c r="F931" s="990">
        <v>1.2800000000000001E-2</v>
      </c>
      <c r="H931" s="986">
        <v>3.5999999999999999E-3</v>
      </c>
      <c r="I931" s="986">
        <f t="shared" si="14"/>
        <v>9.1999999999999998E-3</v>
      </c>
      <c r="J931" s="988">
        <v>37773</v>
      </c>
    </row>
    <row r="932" spans="2:10" ht="13.8">
      <c r="B932" s="988">
        <v>37803</v>
      </c>
      <c r="C932" s="987" t="s">
        <v>4626</v>
      </c>
      <c r="F932" s="990">
        <v>1.7600000000000001E-2</v>
      </c>
      <c r="H932" s="986">
        <v>3.8E-3</v>
      </c>
      <c r="I932" s="986">
        <f t="shared" si="14"/>
        <v>1.3800000000000002E-2</v>
      </c>
      <c r="J932" s="988">
        <v>37803</v>
      </c>
    </row>
    <row r="933" spans="2:10" ht="13.8">
      <c r="B933" s="988">
        <v>37834</v>
      </c>
      <c r="C933" s="987" t="s">
        <v>4626</v>
      </c>
      <c r="F933" s="990">
        <v>1.95E-2</v>
      </c>
      <c r="H933" s="986">
        <v>4.1999999999999997E-3</v>
      </c>
      <c r="I933" s="986">
        <f t="shared" si="14"/>
        <v>1.5300000000000001E-2</v>
      </c>
      <c r="J933" s="988">
        <v>37834</v>
      </c>
    </row>
    <row r="934" spans="2:10" ht="13.8">
      <c r="B934" s="988">
        <v>37865</v>
      </c>
      <c r="C934" s="987" t="s">
        <v>4626</v>
      </c>
      <c r="F934" s="990">
        <v>-1.06E-2</v>
      </c>
      <c r="H934" s="986">
        <v>4.5999999999999999E-3</v>
      </c>
      <c r="I934" s="986">
        <f t="shared" si="14"/>
        <v>-1.52E-2</v>
      </c>
      <c r="J934" s="988">
        <v>37865</v>
      </c>
    </row>
    <row r="935" spans="2:10" ht="13.8">
      <c r="B935" s="988">
        <v>37895</v>
      </c>
      <c r="C935" s="987" t="s">
        <v>4626</v>
      </c>
      <c r="F935" s="990">
        <v>5.6599999999999998E-2</v>
      </c>
      <c r="H935" s="986">
        <v>4.1000000000000003E-3</v>
      </c>
      <c r="I935" s="986">
        <f t="shared" si="14"/>
        <v>5.2499999999999998E-2</v>
      </c>
      <c r="J935" s="988">
        <v>37895</v>
      </c>
    </row>
    <row r="936" spans="2:10" ht="13.8">
      <c r="B936" s="988">
        <v>37926</v>
      </c>
      <c r="C936" s="987" t="s">
        <v>4626</v>
      </c>
      <c r="F936" s="990">
        <v>8.8000000000000005E-3</v>
      </c>
      <c r="H936" s="986">
        <v>3.8999999999999998E-3</v>
      </c>
      <c r="I936" s="986">
        <f t="shared" si="14"/>
        <v>4.9000000000000007E-3</v>
      </c>
      <c r="J936" s="988">
        <v>37926</v>
      </c>
    </row>
    <row r="937" spans="2:10" ht="13.8">
      <c r="B937" s="988">
        <v>37956</v>
      </c>
      <c r="C937" s="987" t="s">
        <v>4626</v>
      </c>
      <c r="F937" s="990">
        <v>5.2400000000000002E-2</v>
      </c>
      <c r="H937" s="986">
        <v>4.7000000000000002E-3</v>
      </c>
      <c r="I937" s="986">
        <f t="shared" si="14"/>
        <v>4.7699999999999999E-2</v>
      </c>
      <c r="J937" s="988">
        <v>37956</v>
      </c>
    </row>
    <row r="938" spans="2:10" ht="13.8">
      <c r="B938" s="988">
        <v>37987</v>
      </c>
      <c r="C938" s="987" t="s">
        <v>4626</v>
      </c>
      <c r="F938" s="990">
        <v>1.84E-2</v>
      </c>
      <c r="H938" s="986">
        <v>4.1999999999999997E-3</v>
      </c>
      <c r="I938" s="986">
        <f t="shared" si="14"/>
        <v>1.4200000000000001E-2</v>
      </c>
      <c r="J938" s="988">
        <v>37987</v>
      </c>
    </row>
    <row r="939" spans="2:10" ht="13.8">
      <c r="B939" s="988">
        <v>38018</v>
      </c>
      <c r="C939" s="987" t="s">
        <v>4626</v>
      </c>
      <c r="F939" s="990">
        <v>1.3899999999999999E-2</v>
      </c>
      <c r="H939" s="986">
        <v>3.8E-3</v>
      </c>
      <c r="I939" s="986">
        <f t="shared" si="14"/>
        <v>1.01E-2</v>
      </c>
      <c r="J939" s="988">
        <v>38018</v>
      </c>
    </row>
    <row r="940" spans="2:10" ht="13.8">
      <c r="B940" s="988">
        <v>38047</v>
      </c>
      <c r="C940" s="987" t="s">
        <v>4626</v>
      </c>
      <c r="F940" s="990">
        <v>-1.5100000000000001E-2</v>
      </c>
      <c r="H940" s="986">
        <v>4.3E-3</v>
      </c>
      <c r="I940" s="986">
        <f t="shared" si="14"/>
        <v>-1.9400000000000001E-2</v>
      </c>
      <c r="J940" s="988">
        <v>38047</v>
      </c>
    </row>
    <row r="941" spans="2:10" ht="13.8">
      <c r="B941" s="988">
        <v>38078</v>
      </c>
      <c r="C941" s="987" t="s">
        <v>4626</v>
      </c>
      <c r="F941" s="990">
        <v>-1.5699999999999999E-2</v>
      </c>
      <c r="H941" s="986">
        <v>3.8999999999999998E-3</v>
      </c>
      <c r="I941" s="986">
        <f t="shared" si="14"/>
        <v>-1.9599999999999999E-2</v>
      </c>
      <c r="J941" s="988">
        <v>38078</v>
      </c>
    </row>
    <row r="942" spans="2:10" ht="13.8">
      <c r="B942" s="988">
        <v>38108</v>
      </c>
      <c r="C942" s="987" t="s">
        <v>4626</v>
      </c>
      <c r="F942" s="990">
        <v>1.37E-2</v>
      </c>
      <c r="H942" s="986">
        <v>4.0000000000000001E-3</v>
      </c>
      <c r="I942" s="986">
        <f t="shared" si="14"/>
        <v>9.7000000000000003E-3</v>
      </c>
      <c r="J942" s="988">
        <v>38108</v>
      </c>
    </row>
    <row r="943" spans="2:10" ht="13.8">
      <c r="B943" s="988">
        <v>38139</v>
      </c>
      <c r="C943" s="987" t="s">
        <v>4626</v>
      </c>
      <c r="F943" s="990">
        <v>1.9400000000000001E-2</v>
      </c>
      <c r="H943" s="986">
        <v>4.7999999999999996E-3</v>
      </c>
      <c r="I943" s="986">
        <f t="shared" si="14"/>
        <v>1.4600000000000002E-2</v>
      </c>
      <c r="J943" s="988">
        <v>38139</v>
      </c>
    </row>
    <row r="944" spans="2:10" ht="13.8">
      <c r="B944" s="988">
        <v>38169</v>
      </c>
      <c r="C944" s="987" t="s">
        <v>4626</v>
      </c>
      <c r="F944" s="990">
        <v>-3.3099999999999997E-2</v>
      </c>
      <c r="H944" s="986">
        <v>4.3E-3</v>
      </c>
      <c r="I944" s="986">
        <f t="shared" si="14"/>
        <v>-3.7399999999999996E-2</v>
      </c>
      <c r="J944" s="988">
        <v>38169</v>
      </c>
    </row>
    <row r="945" spans="2:10" ht="13.8">
      <c r="B945" s="988">
        <v>38200</v>
      </c>
      <c r="C945" s="987" t="s">
        <v>4626</v>
      </c>
      <c r="F945" s="990">
        <v>4.0000000000000001E-3</v>
      </c>
      <c r="H945" s="986">
        <v>4.4999999999999997E-3</v>
      </c>
      <c r="I945" s="986">
        <f t="shared" si="14"/>
        <v>-4.9999999999999958E-4</v>
      </c>
      <c r="J945" s="988">
        <v>38200</v>
      </c>
    </row>
    <row r="946" spans="2:10" ht="13.8">
      <c r="B946" s="988">
        <v>38231</v>
      </c>
      <c r="C946" s="987" t="s">
        <v>4626</v>
      </c>
      <c r="F946" s="990">
        <v>1.0800000000000001E-2</v>
      </c>
      <c r="H946" s="986">
        <v>4.0000000000000001E-3</v>
      </c>
      <c r="I946" s="986">
        <f t="shared" si="14"/>
        <v>6.8000000000000005E-3</v>
      </c>
      <c r="J946" s="988">
        <v>38231</v>
      </c>
    </row>
    <row r="947" spans="2:10" ht="13.8">
      <c r="B947" s="988">
        <v>38261</v>
      </c>
      <c r="C947" s="987" t="s">
        <v>4626</v>
      </c>
      <c r="F947" s="990">
        <v>1.5299999999999999E-2</v>
      </c>
      <c r="H947" s="986">
        <v>3.8E-3</v>
      </c>
      <c r="I947" s="986">
        <f t="shared" si="14"/>
        <v>1.15E-2</v>
      </c>
      <c r="J947" s="988">
        <v>38261</v>
      </c>
    </row>
    <row r="948" spans="2:10" ht="13.8">
      <c r="B948" s="988">
        <v>38292</v>
      </c>
      <c r="C948" s="987" t="s">
        <v>4626</v>
      </c>
      <c r="F948" s="990">
        <v>4.0500000000000001E-2</v>
      </c>
      <c r="H948" s="986">
        <v>4.1000000000000003E-3</v>
      </c>
      <c r="I948" s="986">
        <f t="shared" si="14"/>
        <v>3.6400000000000002E-2</v>
      </c>
      <c r="J948" s="988">
        <v>38292</v>
      </c>
    </row>
    <row r="949" spans="2:10" ht="13.8">
      <c r="B949" s="988">
        <v>38322</v>
      </c>
      <c r="C949" s="987" t="s">
        <v>4626</v>
      </c>
      <c r="F949" s="990">
        <v>3.4000000000000002E-2</v>
      </c>
      <c r="H949" s="986">
        <v>4.3E-3</v>
      </c>
      <c r="I949" s="986">
        <f t="shared" si="14"/>
        <v>2.9700000000000004E-2</v>
      </c>
      <c r="J949" s="988">
        <v>38322</v>
      </c>
    </row>
    <row r="950" spans="2:10" ht="13.8">
      <c r="B950" s="988">
        <v>38353</v>
      </c>
      <c r="C950" s="987" t="s">
        <v>4626</v>
      </c>
      <c r="F950" s="990">
        <v>-2.4400000000000002E-2</v>
      </c>
      <c r="H950" s="986">
        <v>4.1000000000000003E-3</v>
      </c>
      <c r="I950" s="986">
        <f t="shared" si="14"/>
        <v>-2.8500000000000001E-2</v>
      </c>
      <c r="J950" s="988">
        <v>38353</v>
      </c>
    </row>
    <row r="951" spans="2:10" ht="13.8">
      <c r="B951" s="988">
        <v>38384</v>
      </c>
      <c r="C951" s="987" t="s">
        <v>4626</v>
      </c>
      <c r="F951" s="990">
        <v>2.1000000000000001E-2</v>
      </c>
      <c r="H951" s="986">
        <v>3.5000000000000001E-3</v>
      </c>
      <c r="I951" s="986">
        <f t="shared" si="14"/>
        <v>1.7500000000000002E-2</v>
      </c>
      <c r="J951" s="988">
        <v>38384</v>
      </c>
    </row>
    <row r="952" spans="2:10" ht="13.8">
      <c r="B952" s="988">
        <v>38412</v>
      </c>
      <c r="C952" s="987" t="s">
        <v>4626</v>
      </c>
      <c r="F952" s="990">
        <v>-1.77E-2</v>
      </c>
      <c r="H952" s="986">
        <v>4.1000000000000003E-3</v>
      </c>
      <c r="I952" s="986">
        <f t="shared" si="14"/>
        <v>-2.18E-2</v>
      </c>
      <c r="J952" s="988">
        <v>38412</v>
      </c>
    </row>
    <row r="953" spans="2:10" ht="13.8">
      <c r="B953" s="988">
        <v>38443</v>
      </c>
      <c r="C953" s="987" t="s">
        <v>4626</v>
      </c>
      <c r="F953" s="990">
        <v>-1.9E-2</v>
      </c>
      <c r="H953" s="986">
        <v>3.8999999999999998E-3</v>
      </c>
      <c r="I953" s="986">
        <f t="shared" si="14"/>
        <v>-2.29E-2</v>
      </c>
      <c r="J953" s="988">
        <v>38443</v>
      </c>
    </row>
    <row r="954" spans="2:10" ht="13.8">
      <c r="B954" s="988">
        <v>38473</v>
      </c>
      <c r="C954" s="987" t="s">
        <v>4626</v>
      </c>
      <c r="F954" s="990">
        <v>3.1800000000000002E-2</v>
      </c>
      <c r="H954" s="986">
        <v>4.0000000000000001E-3</v>
      </c>
      <c r="I954" s="986">
        <f t="shared" si="14"/>
        <v>2.7800000000000002E-2</v>
      </c>
      <c r="J954" s="988">
        <v>38473</v>
      </c>
    </row>
    <row r="955" spans="2:10" ht="13.8">
      <c r="B955" s="988">
        <v>38504</v>
      </c>
      <c r="C955" s="987" t="s">
        <v>4626</v>
      </c>
      <c r="F955" s="990">
        <v>1.4E-3</v>
      </c>
      <c r="H955" s="986">
        <v>3.5999999999999999E-3</v>
      </c>
      <c r="I955" s="986">
        <f t="shared" si="14"/>
        <v>-2.1999999999999997E-3</v>
      </c>
      <c r="J955" s="988">
        <v>38504</v>
      </c>
    </row>
    <row r="956" spans="2:10" ht="13.8">
      <c r="B956" s="988">
        <v>38534</v>
      </c>
      <c r="C956" s="987" t="s">
        <v>4626</v>
      </c>
      <c r="F956" s="990">
        <v>3.7199999999999997E-2</v>
      </c>
      <c r="H956" s="986">
        <v>3.3999999999999998E-3</v>
      </c>
      <c r="I956" s="986">
        <f t="shared" si="14"/>
        <v>3.3799999999999997E-2</v>
      </c>
      <c r="J956" s="988">
        <v>38534</v>
      </c>
    </row>
    <row r="957" spans="2:10" ht="13.8">
      <c r="B957" s="988">
        <v>38565</v>
      </c>
      <c r="C957" s="987" t="s">
        <v>4626</v>
      </c>
      <c r="F957" s="990">
        <v>-9.1000000000000004E-3</v>
      </c>
      <c r="H957" s="986">
        <v>4.0000000000000001E-3</v>
      </c>
      <c r="I957" s="986">
        <f t="shared" si="14"/>
        <v>-1.3100000000000001E-2</v>
      </c>
      <c r="J957" s="988">
        <v>38565</v>
      </c>
    </row>
    <row r="958" spans="2:10" ht="13.8">
      <c r="B958" s="988">
        <v>38596</v>
      </c>
      <c r="C958" s="987" t="s">
        <v>4626</v>
      </c>
      <c r="F958" s="990">
        <v>8.0999999999999996E-3</v>
      </c>
      <c r="H958" s="986">
        <v>3.5000000000000001E-3</v>
      </c>
      <c r="I958" s="986">
        <f t="shared" si="14"/>
        <v>4.5999999999999999E-3</v>
      </c>
      <c r="J958" s="988">
        <v>38596</v>
      </c>
    </row>
    <row r="959" spans="2:10" ht="13.8">
      <c r="B959" s="988">
        <v>38626</v>
      </c>
      <c r="C959" s="987" t="s">
        <v>4626</v>
      </c>
      <c r="F959" s="990">
        <v>-1.67E-2</v>
      </c>
      <c r="H959" s="986">
        <v>3.8999999999999998E-3</v>
      </c>
      <c r="I959" s="986">
        <f t="shared" si="14"/>
        <v>-2.06E-2</v>
      </c>
      <c r="J959" s="988">
        <v>38626</v>
      </c>
    </row>
    <row r="960" spans="2:10" ht="13.8">
      <c r="B960" s="988">
        <v>38657</v>
      </c>
      <c r="C960" s="987" t="s">
        <v>4626</v>
      </c>
      <c r="F960" s="990">
        <v>3.78E-2</v>
      </c>
      <c r="H960" s="986">
        <v>3.8999999999999998E-3</v>
      </c>
      <c r="I960" s="986">
        <f t="shared" si="14"/>
        <v>3.39E-2</v>
      </c>
      <c r="J960" s="988">
        <v>38657</v>
      </c>
    </row>
    <row r="961" spans="2:10" ht="13.8">
      <c r="B961" s="988">
        <v>38687</v>
      </c>
      <c r="C961" s="987" t="s">
        <v>4626</v>
      </c>
      <c r="F961" s="990">
        <v>2.9999999999999997E-4</v>
      </c>
      <c r="H961" s="986">
        <v>3.8999999999999998E-3</v>
      </c>
      <c r="I961" s="986">
        <f t="shared" si="14"/>
        <v>-3.5999999999999999E-3</v>
      </c>
      <c r="J961" s="988">
        <v>38687</v>
      </c>
    </row>
    <row r="962" spans="2:10" ht="13.8">
      <c r="B962" s="988">
        <v>38718</v>
      </c>
      <c r="C962" s="987" t="s">
        <v>4626</v>
      </c>
      <c r="F962" s="990">
        <v>2.6499999999999999E-2</v>
      </c>
      <c r="H962" s="986">
        <v>4.0000000000000001E-3</v>
      </c>
      <c r="I962" s="986">
        <f t="shared" ref="I962:I1025" si="15">F962-H962</f>
        <v>2.2499999999999999E-2</v>
      </c>
      <c r="J962" s="988">
        <v>38718</v>
      </c>
    </row>
    <row r="963" spans="2:10" ht="13.8">
      <c r="B963" s="988">
        <v>38749</v>
      </c>
      <c r="C963" s="987" t="s">
        <v>4626</v>
      </c>
      <c r="F963" s="990">
        <v>2.7000000000000001E-3</v>
      </c>
      <c r="H963" s="986">
        <v>3.5999999999999999E-3</v>
      </c>
      <c r="I963" s="986">
        <f t="shared" si="15"/>
        <v>-8.9999999999999976E-4</v>
      </c>
      <c r="J963" s="988">
        <v>38749</v>
      </c>
    </row>
    <row r="964" spans="2:10" ht="13.8">
      <c r="B964" s="988">
        <v>38777</v>
      </c>
      <c r="C964" s="987" t="s">
        <v>4626</v>
      </c>
      <c r="F964" s="990">
        <v>1.24E-2</v>
      </c>
      <c r="H964" s="986">
        <v>3.8999999999999998E-3</v>
      </c>
      <c r="I964" s="986">
        <f t="shared" si="15"/>
        <v>8.5000000000000006E-3</v>
      </c>
      <c r="J964" s="988">
        <v>38777</v>
      </c>
    </row>
    <row r="965" spans="2:10" ht="13.8">
      <c r="B965" s="988">
        <v>38808</v>
      </c>
      <c r="C965" s="987" t="s">
        <v>4626</v>
      </c>
      <c r="F965" s="990">
        <v>1.34E-2</v>
      </c>
      <c r="H965" s="986">
        <v>3.8999999999999998E-3</v>
      </c>
      <c r="I965" s="986">
        <f t="shared" si="15"/>
        <v>9.5000000000000015E-3</v>
      </c>
      <c r="J965" s="988">
        <v>38808</v>
      </c>
    </row>
    <row r="966" spans="2:10" ht="13.8">
      <c r="B966" s="988">
        <v>38838</v>
      </c>
      <c r="C966" s="987" t="s">
        <v>4626</v>
      </c>
      <c r="F966" s="990">
        <v>-2.8799999999999999E-2</v>
      </c>
      <c r="H966" s="986">
        <v>4.7999999999999996E-3</v>
      </c>
      <c r="I966" s="986">
        <f t="shared" si="15"/>
        <v>-3.3599999999999998E-2</v>
      </c>
      <c r="J966" s="988">
        <v>38838</v>
      </c>
    </row>
    <row r="967" spans="2:10" ht="13.8">
      <c r="B967" s="988">
        <v>38869</v>
      </c>
      <c r="C967" s="987" t="s">
        <v>4626</v>
      </c>
      <c r="F967" s="990">
        <v>1.4E-3</v>
      </c>
      <c r="H967" s="986">
        <v>4.4000000000000003E-3</v>
      </c>
      <c r="I967" s="986">
        <f t="shared" si="15"/>
        <v>-3.0000000000000001E-3</v>
      </c>
      <c r="J967" s="988">
        <v>38869</v>
      </c>
    </row>
    <row r="968" spans="2:10" ht="13.8">
      <c r="B968" s="988">
        <v>38899</v>
      </c>
      <c r="C968" s="987" t="s">
        <v>4626</v>
      </c>
      <c r="F968" s="990">
        <v>6.1999999999999998E-3</v>
      </c>
      <c r="H968" s="986">
        <v>4.4999999999999997E-3</v>
      </c>
      <c r="I968" s="986">
        <f t="shared" si="15"/>
        <v>1.7000000000000001E-3</v>
      </c>
      <c r="J968" s="988">
        <v>38899</v>
      </c>
    </row>
    <row r="969" spans="2:10" ht="13.8">
      <c r="B969" s="988">
        <v>38930</v>
      </c>
      <c r="C969" s="987" t="s">
        <v>4626</v>
      </c>
      <c r="F969" s="990">
        <v>2.3800000000000002E-2</v>
      </c>
      <c r="H969" s="986">
        <v>4.3E-3</v>
      </c>
      <c r="I969" s="986">
        <f t="shared" si="15"/>
        <v>1.9500000000000003E-2</v>
      </c>
      <c r="J969" s="988">
        <v>38930</v>
      </c>
    </row>
    <row r="970" spans="2:10" ht="13.8">
      <c r="B970" s="988">
        <v>38961</v>
      </c>
      <c r="C970" s="987" t="s">
        <v>4626</v>
      </c>
      <c r="F970" s="990">
        <v>2.58E-2</v>
      </c>
      <c r="H970" s="986">
        <v>3.8999999999999998E-3</v>
      </c>
      <c r="I970" s="986">
        <f t="shared" si="15"/>
        <v>2.1899999999999999E-2</v>
      </c>
      <c r="J970" s="988">
        <v>38961</v>
      </c>
    </row>
    <row r="971" spans="2:10" ht="13.8">
      <c r="B971" s="988">
        <v>38991</v>
      </c>
      <c r="C971" s="987" t="s">
        <v>4626</v>
      </c>
      <c r="F971" s="990">
        <v>3.2599999999999997E-2</v>
      </c>
      <c r="H971" s="986">
        <v>4.1999999999999997E-3</v>
      </c>
      <c r="I971" s="986">
        <f t="shared" si="15"/>
        <v>2.8399999999999998E-2</v>
      </c>
      <c r="J971" s="988">
        <v>38991</v>
      </c>
    </row>
    <row r="972" spans="2:10" ht="13.8">
      <c r="B972" s="988">
        <v>39022</v>
      </c>
      <c r="C972" s="987" t="s">
        <v>4626</v>
      </c>
      <c r="F972" s="990">
        <v>1.9E-2</v>
      </c>
      <c r="H972" s="986">
        <v>3.8999999999999998E-3</v>
      </c>
      <c r="I972" s="986">
        <f t="shared" si="15"/>
        <v>1.5099999999999999E-2</v>
      </c>
      <c r="J972" s="988">
        <v>39022</v>
      </c>
    </row>
    <row r="973" spans="2:10" ht="13.8">
      <c r="B973" s="988">
        <v>39052</v>
      </c>
      <c r="C973" s="987" t="s">
        <v>4626</v>
      </c>
      <c r="F973" s="990">
        <v>1.4E-2</v>
      </c>
      <c r="H973" s="986">
        <v>3.5999999999999999E-3</v>
      </c>
      <c r="I973" s="986">
        <f t="shared" si="15"/>
        <v>1.04E-2</v>
      </c>
      <c r="J973" s="988">
        <v>39052</v>
      </c>
    </row>
    <row r="974" spans="2:10" ht="13.8">
      <c r="B974" s="988">
        <v>39083</v>
      </c>
      <c r="C974" s="987" t="s">
        <v>4626</v>
      </c>
      <c r="F974" s="990">
        <v>1.5100000000000001E-2</v>
      </c>
      <c r="H974" s="986">
        <v>4.3E-3</v>
      </c>
      <c r="I974" s="986">
        <f t="shared" si="15"/>
        <v>1.0800000000000001E-2</v>
      </c>
      <c r="J974" s="988">
        <v>39083</v>
      </c>
    </row>
    <row r="975" spans="2:10" ht="13.8">
      <c r="B975" s="988">
        <v>39114</v>
      </c>
      <c r="C975" s="987" t="s">
        <v>4626</v>
      </c>
      <c r="F975" s="990">
        <v>-1.9599999999999999E-2</v>
      </c>
      <c r="H975" s="986">
        <v>3.8E-3</v>
      </c>
      <c r="I975" s="986">
        <f t="shared" si="15"/>
        <v>-2.3400000000000001E-2</v>
      </c>
      <c r="J975" s="988">
        <v>39114</v>
      </c>
    </row>
    <row r="976" spans="2:10" ht="13.8">
      <c r="B976" s="988">
        <v>39142</v>
      </c>
      <c r="C976" s="987" t="s">
        <v>4626</v>
      </c>
      <c r="F976" s="990">
        <v>1.12E-2</v>
      </c>
      <c r="H976" s="986">
        <v>3.8999999999999998E-3</v>
      </c>
      <c r="I976" s="986">
        <f t="shared" si="15"/>
        <v>7.3000000000000001E-3</v>
      </c>
      <c r="J976" s="988">
        <v>39142</v>
      </c>
    </row>
    <row r="977" spans="2:10" ht="13.8">
      <c r="B977" s="988">
        <v>39173</v>
      </c>
      <c r="C977" s="987" t="s">
        <v>4626</v>
      </c>
      <c r="F977" s="990">
        <v>4.4299999999999999E-2</v>
      </c>
      <c r="H977" s="986">
        <v>4.1999999999999997E-3</v>
      </c>
      <c r="I977" s="986">
        <f t="shared" si="15"/>
        <v>4.0099999999999997E-2</v>
      </c>
      <c r="J977" s="988">
        <v>39173</v>
      </c>
    </row>
    <row r="978" spans="2:10" ht="13.8">
      <c r="B978" s="988">
        <v>39203</v>
      </c>
      <c r="C978" s="987" t="s">
        <v>4626</v>
      </c>
      <c r="F978" s="990">
        <v>3.49E-2</v>
      </c>
      <c r="H978" s="986">
        <v>4.1000000000000003E-3</v>
      </c>
      <c r="I978" s="986">
        <f t="shared" si="15"/>
        <v>3.0800000000000001E-2</v>
      </c>
      <c r="J978" s="988">
        <v>39203</v>
      </c>
    </row>
    <row r="979" spans="2:10" ht="13.8">
      <c r="B979" s="988">
        <v>39234</v>
      </c>
      <c r="C979" s="987" t="s">
        <v>4626</v>
      </c>
      <c r="F979" s="990">
        <v>-1.66E-2</v>
      </c>
      <c r="H979" s="986">
        <v>4.0000000000000001E-3</v>
      </c>
      <c r="I979" s="986">
        <f t="shared" si="15"/>
        <v>-2.06E-2</v>
      </c>
      <c r="J979" s="988">
        <v>39234</v>
      </c>
    </row>
    <row r="980" spans="2:10" ht="13.8">
      <c r="B980" s="988">
        <v>39264</v>
      </c>
      <c r="C980" s="987" t="s">
        <v>4626</v>
      </c>
      <c r="F980" s="990">
        <v>-3.1E-2</v>
      </c>
      <c r="H980" s="986">
        <v>4.5999999999999999E-3</v>
      </c>
      <c r="I980" s="986">
        <f t="shared" si="15"/>
        <v>-3.56E-2</v>
      </c>
      <c r="J980" s="988">
        <v>39264</v>
      </c>
    </row>
    <row r="981" spans="2:10" ht="13.8">
      <c r="B981" s="988">
        <v>39295</v>
      </c>
      <c r="C981" s="987" t="s">
        <v>4626</v>
      </c>
      <c r="F981" s="990">
        <v>1.4999999999999999E-2</v>
      </c>
      <c r="H981" s="986">
        <v>4.1999999999999997E-3</v>
      </c>
      <c r="I981" s="986">
        <f t="shared" si="15"/>
        <v>1.0800000000000001E-2</v>
      </c>
      <c r="J981" s="988">
        <v>39295</v>
      </c>
    </row>
    <row r="982" spans="2:10" ht="13.8">
      <c r="B982" s="988">
        <v>39326</v>
      </c>
      <c r="C982" s="987" t="s">
        <v>4626</v>
      </c>
      <c r="F982" s="990">
        <v>3.7499999999999999E-2</v>
      </c>
      <c r="H982" s="986">
        <v>3.7000000000000002E-3</v>
      </c>
      <c r="I982" s="986">
        <f t="shared" si="15"/>
        <v>3.3799999999999997E-2</v>
      </c>
      <c r="J982" s="988">
        <v>39326</v>
      </c>
    </row>
    <row r="983" spans="2:10" ht="13.8">
      <c r="B983" s="988">
        <v>39356</v>
      </c>
      <c r="C983" s="987" t="s">
        <v>4626</v>
      </c>
      <c r="F983" s="990">
        <v>1.5900000000000001E-2</v>
      </c>
      <c r="H983" s="986">
        <v>4.3E-3</v>
      </c>
      <c r="I983" s="986">
        <f t="shared" si="15"/>
        <v>1.1600000000000001E-2</v>
      </c>
      <c r="J983" s="988">
        <v>39356</v>
      </c>
    </row>
    <row r="984" spans="2:10" ht="13.8">
      <c r="B984" s="988">
        <v>39387</v>
      </c>
      <c r="C984" s="987" t="s">
        <v>4626</v>
      </c>
      <c r="F984" s="990">
        <v>-4.1799999999999997E-2</v>
      </c>
      <c r="H984" s="986">
        <v>3.8999999999999998E-3</v>
      </c>
      <c r="I984" s="986">
        <f t="shared" si="15"/>
        <v>-4.5699999999999998E-2</v>
      </c>
      <c r="J984" s="988">
        <v>39387</v>
      </c>
    </row>
    <row r="985" spans="2:10" ht="13.8">
      <c r="B985" s="988">
        <v>39417</v>
      </c>
      <c r="C985" s="987" t="s">
        <v>4626</v>
      </c>
      <c r="F985" s="990">
        <v>-6.8999999999999999E-3</v>
      </c>
      <c r="H985" s="986">
        <v>3.7000000000000002E-3</v>
      </c>
      <c r="I985" s="986">
        <f t="shared" si="15"/>
        <v>-1.06E-2</v>
      </c>
      <c r="J985" s="988">
        <v>39417</v>
      </c>
    </row>
    <row r="986" spans="2:10" ht="13.8">
      <c r="B986" s="988">
        <v>39448</v>
      </c>
      <c r="C986" s="987" t="s">
        <v>4626</v>
      </c>
      <c r="F986" s="990">
        <v>-0.06</v>
      </c>
      <c r="H986" s="986">
        <v>4.0000000000000001E-3</v>
      </c>
      <c r="I986" s="986">
        <f t="shared" si="15"/>
        <v>-6.4000000000000001E-2</v>
      </c>
      <c r="J986" s="988">
        <v>39448</v>
      </c>
    </row>
    <row r="987" spans="2:10" ht="13.8">
      <c r="B987" s="988">
        <v>39479</v>
      </c>
      <c r="C987" s="987" t="s">
        <v>4626</v>
      </c>
      <c r="F987" s="990">
        <v>-3.5200000000000002E-2</v>
      </c>
      <c r="H987" s="986">
        <v>3.3999999999999998E-3</v>
      </c>
      <c r="I987" s="986">
        <f t="shared" si="15"/>
        <v>-3.8600000000000002E-2</v>
      </c>
      <c r="J987" s="988">
        <v>39479</v>
      </c>
    </row>
    <row r="988" spans="2:10" ht="13.8">
      <c r="B988" s="988">
        <v>39508</v>
      </c>
      <c r="C988" s="987" t="s">
        <v>4626</v>
      </c>
      <c r="F988" s="990">
        <v>-4.3E-3</v>
      </c>
      <c r="H988" s="986">
        <v>3.7000000000000002E-3</v>
      </c>
      <c r="I988" s="986">
        <f t="shared" si="15"/>
        <v>-8.0000000000000002E-3</v>
      </c>
      <c r="J988" s="988">
        <v>39508</v>
      </c>
    </row>
    <row r="989" spans="2:10" ht="13.8">
      <c r="B989" s="988">
        <v>39539</v>
      </c>
      <c r="C989" s="987" t="s">
        <v>4626</v>
      </c>
      <c r="F989" s="990">
        <v>4.87E-2</v>
      </c>
      <c r="H989" s="986">
        <v>3.5000000000000001E-3</v>
      </c>
      <c r="I989" s="986">
        <f t="shared" si="15"/>
        <v>4.5199999999999997E-2</v>
      </c>
      <c r="J989" s="988">
        <v>39539</v>
      </c>
    </row>
    <row r="990" spans="2:10" ht="13.8">
      <c r="B990" s="988">
        <v>39569</v>
      </c>
      <c r="C990" s="987" t="s">
        <v>4626</v>
      </c>
      <c r="F990" s="990">
        <v>1.2999999999999999E-2</v>
      </c>
      <c r="H990" s="986">
        <v>3.7000000000000002E-3</v>
      </c>
      <c r="I990" s="986">
        <f t="shared" si="15"/>
        <v>9.2999999999999992E-3</v>
      </c>
      <c r="J990" s="988">
        <v>39569</v>
      </c>
    </row>
    <row r="991" spans="2:10" ht="13.8">
      <c r="B991" s="988">
        <v>39600</v>
      </c>
      <c r="C991" s="987" t="s">
        <v>4626</v>
      </c>
      <c r="F991" s="990">
        <v>-8.43E-2</v>
      </c>
      <c r="H991" s="986">
        <v>4.0000000000000001E-3</v>
      </c>
      <c r="I991" s="986">
        <f t="shared" si="15"/>
        <v>-8.8300000000000003E-2</v>
      </c>
      <c r="J991" s="988">
        <v>39600</v>
      </c>
    </row>
    <row r="992" spans="2:10" ht="13.8">
      <c r="B992" s="988">
        <v>39630</v>
      </c>
      <c r="C992" s="987" t="s">
        <v>4626</v>
      </c>
      <c r="F992" s="990">
        <v>-8.3999999999999995E-3</v>
      </c>
      <c r="H992" s="986">
        <v>3.8999999999999998E-3</v>
      </c>
      <c r="I992" s="986">
        <f t="shared" si="15"/>
        <v>-1.2299999999999998E-2</v>
      </c>
      <c r="J992" s="988">
        <v>39630</v>
      </c>
    </row>
    <row r="993" spans="2:10" ht="13.8">
      <c r="B993" s="988">
        <v>39661</v>
      </c>
      <c r="C993" s="987" t="s">
        <v>4626</v>
      </c>
      <c r="F993" s="990">
        <v>1.4500000000000001E-2</v>
      </c>
      <c r="H993" s="986">
        <v>3.5999999999999999E-3</v>
      </c>
      <c r="I993" s="986">
        <f t="shared" si="15"/>
        <v>1.09E-2</v>
      </c>
      <c r="J993" s="988">
        <v>39661</v>
      </c>
    </row>
    <row r="994" spans="2:10" ht="13.8">
      <c r="B994" s="988">
        <v>39692</v>
      </c>
      <c r="C994" s="987" t="s">
        <v>4626</v>
      </c>
      <c r="F994" s="990">
        <v>-8.9099999999999999E-2</v>
      </c>
      <c r="H994" s="986">
        <v>3.8999999999999998E-3</v>
      </c>
      <c r="I994" s="986">
        <f t="shared" si="15"/>
        <v>-9.2999999999999999E-2</v>
      </c>
      <c r="J994" s="988">
        <v>39692</v>
      </c>
    </row>
    <row r="995" spans="2:10" ht="13.8">
      <c r="B995" s="988">
        <v>39722</v>
      </c>
      <c r="C995" s="987" t="s">
        <v>4626</v>
      </c>
      <c r="F995" s="990">
        <v>-0.16789999999999999</v>
      </c>
      <c r="H995" s="986">
        <v>3.7000000000000002E-3</v>
      </c>
      <c r="I995" s="986">
        <f t="shared" si="15"/>
        <v>-0.1716</v>
      </c>
      <c r="J995" s="988">
        <v>39722</v>
      </c>
    </row>
    <row r="996" spans="2:10" ht="13.8">
      <c r="B996" s="988">
        <v>39753</v>
      </c>
      <c r="C996" s="987" t="s">
        <v>4626</v>
      </c>
      <c r="F996" s="990">
        <v>-7.1800000000000003E-2</v>
      </c>
      <c r="H996" s="986">
        <v>3.5999999999999999E-3</v>
      </c>
      <c r="I996" s="986">
        <f t="shared" si="15"/>
        <v>-7.5400000000000009E-2</v>
      </c>
      <c r="J996" s="988">
        <v>39753</v>
      </c>
    </row>
    <row r="997" spans="2:10" ht="13.8">
      <c r="B997" s="988">
        <v>39783</v>
      </c>
      <c r="C997" s="987" t="s">
        <v>4626</v>
      </c>
      <c r="F997" s="990">
        <v>1.06E-2</v>
      </c>
      <c r="H997" s="986">
        <v>3.3E-3</v>
      </c>
      <c r="I997" s="986">
        <f t="shared" si="15"/>
        <v>7.3000000000000001E-3</v>
      </c>
      <c r="J997" s="988">
        <v>39783</v>
      </c>
    </row>
    <row r="998" spans="2:10" ht="13.8">
      <c r="B998" s="988">
        <v>39814</v>
      </c>
      <c r="C998" s="987" t="s">
        <v>4626</v>
      </c>
      <c r="F998" s="990">
        <v>-8.43E-2</v>
      </c>
      <c r="H998" s="986">
        <v>2.3999999999999998E-3</v>
      </c>
      <c r="I998" s="986">
        <f t="shared" si="15"/>
        <v>-8.6699999999999999E-2</v>
      </c>
      <c r="J998" s="988">
        <v>39814</v>
      </c>
    </row>
    <row r="999" spans="2:10" ht="13.8">
      <c r="B999" s="988">
        <v>39845</v>
      </c>
      <c r="C999" s="987" t="s">
        <v>4626</v>
      </c>
      <c r="F999" s="990">
        <v>-0.1065</v>
      </c>
      <c r="H999" s="986">
        <v>3.0000000000000001E-3</v>
      </c>
      <c r="I999" s="986">
        <f t="shared" si="15"/>
        <v>-0.1095</v>
      </c>
      <c r="J999" s="988">
        <v>39845</v>
      </c>
    </row>
    <row r="1000" spans="2:10" ht="13.8">
      <c r="B1000" s="988">
        <v>39873</v>
      </c>
      <c r="C1000" s="987" t="s">
        <v>4626</v>
      </c>
      <c r="F1000" s="990">
        <v>8.7599999999999997E-2</v>
      </c>
      <c r="H1000" s="986">
        <v>3.5000000000000001E-3</v>
      </c>
      <c r="I1000" s="986">
        <f t="shared" si="15"/>
        <v>8.4099999999999994E-2</v>
      </c>
      <c r="J1000" s="988">
        <v>39873</v>
      </c>
    </row>
    <row r="1001" spans="2:10" ht="13.8">
      <c r="B1001" s="988">
        <v>39904</v>
      </c>
      <c r="C1001" s="987" t="s">
        <v>4626</v>
      </c>
      <c r="F1001" s="990">
        <v>9.5699999999999993E-2</v>
      </c>
      <c r="H1001" s="986">
        <v>2.8999999999999998E-3</v>
      </c>
      <c r="I1001" s="986">
        <f t="shared" si="15"/>
        <v>9.2799999999999994E-2</v>
      </c>
      <c r="J1001" s="988">
        <v>39904</v>
      </c>
    </row>
    <row r="1002" spans="2:10" ht="13.8">
      <c r="B1002" s="988">
        <v>39934</v>
      </c>
      <c r="C1002" s="987" t="s">
        <v>4626</v>
      </c>
      <c r="F1002" s="990">
        <v>5.5899999999999998E-2</v>
      </c>
      <c r="H1002" s="986">
        <v>3.3E-3</v>
      </c>
      <c r="I1002" s="986">
        <f t="shared" si="15"/>
        <v>5.2600000000000001E-2</v>
      </c>
      <c r="J1002" s="988">
        <v>39934</v>
      </c>
    </row>
    <row r="1003" spans="2:10" ht="13.8">
      <c r="B1003" s="988">
        <v>39965</v>
      </c>
      <c r="C1003" s="987" t="s">
        <v>4626</v>
      </c>
      <c r="F1003" s="990">
        <v>2E-3</v>
      </c>
      <c r="H1003" s="986">
        <v>3.8E-3</v>
      </c>
      <c r="I1003" s="986">
        <f t="shared" si="15"/>
        <v>-1.8E-3</v>
      </c>
      <c r="J1003" s="988">
        <v>39965</v>
      </c>
    </row>
    <row r="1004" spans="2:10" ht="13.8">
      <c r="B1004" s="988">
        <v>39995</v>
      </c>
      <c r="C1004" s="987" t="s">
        <v>4626</v>
      </c>
      <c r="F1004" s="990">
        <v>7.5600000000000001E-2</v>
      </c>
      <c r="H1004" s="986">
        <v>3.5999999999999999E-3</v>
      </c>
      <c r="I1004" s="986">
        <f t="shared" si="15"/>
        <v>7.1999999999999995E-2</v>
      </c>
      <c r="J1004" s="988">
        <v>39995</v>
      </c>
    </row>
    <row r="1005" spans="2:10" ht="13.8">
      <c r="B1005" s="988">
        <v>40026</v>
      </c>
      <c r="C1005" s="987" t="s">
        <v>4626</v>
      </c>
      <c r="F1005" s="990">
        <v>3.61E-2</v>
      </c>
      <c r="H1005" s="986">
        <v>3.5999999999999999E-3</v>
      </c>
      <c r="I1005" s="986">
        <f t="shared" si="15"/>
        <v>3.2500000000000001E-2</v>
      </c>
      <c r="J1005" s="988">
        <v>40026</v>
      </c>
    </row>
    <row r="1006" spans="2:10" ht="13.8">
      <c r="B1006" s="988">
        <v>40057</v>
      </c>
      <c r="C1006" s="987" t="s">
        <v>4626</v>
      </c>
      <c r="F1006" s="990">
        <v>3.73E-2</v>
      </c>
      <c r="H1006" s="986">
        <v>3.3999999999999998E-3</v>
      </c>
      <c r="I1006" s="986">
        <f t="shared" si="15"/>
        <v>3.39E-2</v>
      </c>
      <c r="J1006" s="988">
        <v>40057</v>
      </c>
    </row>
    <row r="1007" spans="2:10" ht="13.8">
      <c r="B1007" s="988">
        <v>40087</v>
      </c>
      <c r="C1007" s="987" t="s">
        <v>4626</v>
      </c>
      <c r="F1007" s="990">
        <v>-1.8599999999999998E-2</v>
      </c>
      <c r="H1007" s="986">
        <v>3.3E-3</v>
      </c>
      <c r="I1007" s="986">
        <f t="shared" si="15"/>
        <v>-2.1899999999999999E-2</v>
      </c>
      <c r="J1007" s="988">
        <v>40087</v>
      </c>
    </row>
    <row r="1008" spans="2:10" ht="13.8">
      <c r="B1008" s="988">
        <v>40118</v>
      </c>
      <c r="C1008" s="987" t="s">
        <v>4626</v>
      </c>
      <c r="F1008" s="990">
        <v>0.06</v>
      </c>
      <c r="H1008" s="986">
        <v>3.5000000000000001E-3</v>
      </c>
      <c r="I1008" s="986">
        <f t="shared" si="15"/>
        <v>5.6499999999999995E-2</v>
      </c>
      <c r="J1008" s="988">
        <v>40118</v>
      </c>
    </row>
    <row r="1009" spans="2:10" ht="13.8">
      <c r="B1009" s="988">
        <v>40148</v>
      </c>
      <c r="C1009" s="987" t="s">
        <v>4626</v>
      </c>
      <c r="F1009" s="990">
        <v>1.9300000000000001E-2</v>
      </c>
      <c r="H1009" s="986">
        <v>3.3999999999999998E-3</v>
      </c>
      <c r="I1009" s="986">
        <f t="shared" si="15"/>
        <v>1.5900000000000001E-2</v>
      </c>
      <c r="J1009" s="988">
        <v>40148</v>
      </c>
    </row>
    <row r="1010" spans="2:10" ht="13.8">
      <c r="B1010" s="988">
        <v>40179</v>
      </c>
      <c r="C1010" s="987" t="s">
        <v>4626</v>
      </c>
      <c r="F1010" s="990">
        <v>-3.5999999999999997E-2</v>
      </c>
      <c r="H1010" s="986">
        <v>3.5999999999999999E-3</v>
      </c>
      <c r="I1010" s="986">
        <f t="shared" si="15"/>
        <v>-3.9599999999999996E-2</v>
      </c>
      <c r="J1010" s="988">
        <v>40179</v>
      </c>
    </row>
    <row r="1011" spans="2:10" ht="13.8">
      <c r="B1011" s="988">
        <v>40210</v>
      </c>
      <c r="C1011" s="987" t="s">
        <v>4626</v>
      </c>
      <c r="F1011" s="990">
        <v>3.1E-2</v>
      </c>
      <c r="H1011" s="986">
        <v>3.3E-3</v>
      </c>
      <c r="I1011" s="986">
        <f t="shared" si="15"/>
        <v>2.7699999999999999E-2</v>
      </c>
      <c r="J1011" s="988">
        <v>40210</v>
      </c>
    </row>
    <row r="1012" spans="2:10" ht="13.8">
      <c r="B1012" s="988">
        <v>40238</v>
      </c>
      <c r="C1012" s="987" t="s">
        <v>4626</v>
      </c>
      <c r="F1012" s="990">
        <v>6.0299999999999999E-2</v>
      </c>
      <c r="H1012" s="986">
        <v>4.0000000000000001E-3</v>
      </c>
      <c r="I1012" s="986">
        <f t="shared" si="15"/>
        <v>5.6300000000000003E-2</v>
      </c>
      <c r="J1012" s="988">
        <v>40238</v>
      </c>
    </row>
    <row r="1013" spans="2:10" ht="13.8">
      <c r="B1013" s="988">
        <v>40269</v>
      </c>
      <c r="C1013" s="987" t="s">
        <v>4626</v>
      </c>
      <c r="F1013" s="990">
        <v>1.5800000000000002E-2</v>
      </c>
      <c r="H1013" s="986">
        <v>3.8E-3</v>
      </c>
      <c r="I1013" s="986">
        <f t="shared" si="15"/>
        <v>1.2000000000000002E-2</v>
      </c>
      <c r="J1013" s="988">
        <v>40269</v>
      </c>
    </row>
    <row r="1014" spans="2:10" ht="13.8">
      <c r="B1014" s="988">
        <v>40299</v>
      </c>
      <c r="C1014" s="987" t="s">
        <v>4626</v>
      </c>
      <c r="F1014" s="990">
        <v>-7.9899999999999999E-2</v>
      </c>
      <c r="H1014" s="986">
        <v>3.3999999999999998E-3</v>
      </c>
      <c r="I1014" s="986">
        <f t="shared" si="15"/>
        <v>-8.3299999999999999E-2</v>
      </c>
      <c r="J1014" s="988">
        <v>40299</v>
      </c>
    </row>
    <row r="1015" spans="2:10" ht="13.8">
      <c r="B1015" s="988">
        <v>40330</v>
      </c>
      <c r="C1015" s="987" t="s">
        <v>4626</v>
      </c>
      <c r="F1015" s="990">
        <v>-5.2299999999999999E-2</v>
      </c>
      <c r="H1015" s="986">
        <v>3.7000000000000002E-3</v>
      </c>
      <c r="I1015" s="986">
        <f t="shared" si="15"/>
        <v>-5.6000000000000001E-2</v>
      </c>
      <c r="J1015" s="988">
        <v>40330</v>
      </c>
    </row>
    <row r="1016" spans="2:10" ht="13.8">
      <c r="B1016" s="988">
        <v>40360</v>
      </c>
      <c r="C1016" s="987" t="s">
        <v>4626</v>
      </c>
      <c r="F1016" s="990">
        <v>7.0699999999999999E-2</v>
      </c>
      <c r="H1016" s="986">
        <v>3.0999999999999999E-3</v>
      </c>
      <c r="I1016" s="986">
        <f t="shared" si="15"/>
        <v>6.7599999999999993E-2</v>
      </c>
      <c r="J1016" s="988">
        <v>40360</v>
      </c>
    </row>
    <row r="1017" spans="2:10" ht="13.8">
      <c r="B1017" s="988">
        <v>40391</v>
      </c>
      <c r="C1017" s="987" t="s">
        <v>4626</v>
      </c>
      <c r="F1017" s="990">
        <v>-4.5100000000000001E-2</v>
      </c>
      <c r="H1017" s="986">
        <v>3.2000000000000002E-3</v>
      </c>
      <c r="I1017" s="986">
        <f t="shared" si="15"/>
        <v>-4.8300000000000003E-2</v>
      </c>
      <c r="J1017" s="988">
        <v>40391</v>
      </c>
    </row>
    <row r="1018" spans="2:10" ht="13.8">
      <c r="B1018" s="988">
        <v>40422</v>
      </c>
      <c r="C1018" s="987" t="s">
        <v>4626</v>
      </c>
      <c r="F1018" s="990">
        <v>8.9200000000000002E-2</v>
      </c>
      <c r="H1018" s="986">
        <v>2.5999999999999999E-3</v>
      </c>
      <c r="I1018" s="986">
        <f t="shared" si="15"/>
        <v>8.6599999999999996E-2</v>
      </c>
      <c r="J1018" s="988">
        <v>40422</v>
      </c>
    </row>
    <row r="1019" spans="2:10" ht="13.8">
      <c r="B1019" s="988">
        <v>40452</v>
      </c>
      <c r="C1019" s="987" t="s">
        <v>4626</v>
      </c>
      <c r="F1019" s="990">
        <v>3.7999999999999999E-2</v>
      </c>
      <c r="H1019" s="986">
        <v>2.7000000000000001E-3</v>
      </c>
      <c r="I1019" s="986">
        <f t="shared" si="15"/>
        <v>3.5299999999999998E-2</v>
      </c>
      <c r="J1019" s="988">
        <v>40452</v>
      </c>
    </row>
    <row r="1020" spans="2:10" ht="13.8">
      <c r="B1020" s="988">
        <v>40483</v>
      </c>
      <c r="C1020" s="987" t="s">
        <v>4626</v>
      </c>
      <c r="F1020" s="990">
        <v>1E-4</v>
      </c>
      <c r="H1020" s="986">
        <v>3.2000000000000002E-3</v>
      </c>
      <c r="I1020" s="986">
        <f t="shared" si="15"/>
        <v>-3.1000000000000003E-3</v>
      </c>
      <c r="J1020" s="988">
        <v>40483</v>
      </c>
    </row>
    <row r="1021" spans="2:10" ht="13.8">
      <c r="B1021" s="988">
        <v>40513</v>
      </c>
      <c r="C1021" s="987" t="s">
        <v>4626</v>
      </c>
      <c r="F1021" s="990">
        <v>6.6799999999999998E-2</v>
      </c>
      <c r="H1021" s="986">
        <v>3.2000000000000002E-3</v>
      </c>
      <c r="I1021" s="986">
        <f t="shared" si="15"/>
        <v>6.3600000000000004E-2</v>
      </c>
      <c r="J1021" s="988">
        <v>40513</v>
      </c>
    </row>
    <row r="1022" spans="2:10">
      <c r="B1022" s="988">
        <v>40544</v>
      </c>
      <c r="C1022" s="987" t="s">
        <v>4626</v>
      </c>
      <c r="F1022" s="989">
        <v>2.3699999999999999E-2</v>
      </c>
      <c r="H1022" s="987">
        <v>3.5666666699999999E-3</v>
      </c>
      <c r="I1022" s="986">
        <f t="shared" si="15"/>
        <v>2.0133333329999999E-2</v>
      </c>
      <c r="J1022" s="988">
        <v>40544</v>
      </c>
    </row>
    <row r="1023" spans="2:10">
      <c r="B1023" s="988">
        <v>40575</v>
      </c>
      <c r="C1023" s="987" t="s">
        <v>4626</v>
      </c>
      <c r="F1023" s="989">
        <v>3.4299999999999997E-2</v>
      </c>
      <c r="H1023" s="987">
        <v>3.68333333E-3</v>
      </c>
      <c r="I1023" s="986">
        <f t="shared" si="15"/>
        <v>3.0616666669999997E-2</v>
      </c>
      <c r="J1023" s="988">
        <v>40575</v>
      </c>
    </row>
    <row r="1024" spans="2:10">
      <c r="B1024" s="988">
        <v>40603</v>
      </c>
      <c r="C1024" s="987" t="s">
        <v>4626</v>
      </c>
      <c r="F1024" s="989">
        <v>4.0000000000000002E-4</v>
      </c>
      <c r="H1024" s="987">
        <v>3.5583333299999999E-3</v>
      </c>
      <c r="I1024" s="986">
        <f t="shared" si="15"/>
        <v>-3.1583333299999997E-3</v>
      </c>
      <c r="J1024" s="988">
        <v>40603</v>
      </c>
    </row>
    <row r="1025" spans="2:10">
      <c r="B1025" s="988">
        <v>40634</v>
      </c>
      <c r="C1025" s="987" t="s">
        <v>4626</v>
      </c>
      <c r="F1025" s="989">
        <v>2.9600000000000001E-2</v>
      </c>
      <c r="H1025" s="987">
        <v>3.5666666699999999E-3</v>
      </c>
      <c r="I1025" s="986">
        <f t="shared" si="15"/>
        <v>2.6033333330000002E-2</v>
      </c>
      <c r="J1025" s="988">
        <v>40634</v>
      </c>
    </row>
    <row r="1026" spans="2:10">
      <c r="B1026" s="988">
        <v>40664</v>
      </c>
      <c r="C1026" s="987" t="s">
        <v>4626</v>
      </c>
      <c r="F1026" s="989">
        <v>-1.1299999999999999E-2</v>
      </c>
      <c r="H1026" s="987">
        <v>3.3416666699999996E-3</v>
      </c>
      <c r="I1026" s="986">
        <f t="shared" ref="I1026:I1089" si="16">F1026-H1026</f>
        <v>-1.4641666669999999E-2</v>
      </c>
      <c r="J1026" s="988">
        <v>40664</v>
      </c>
    </row>
    <row r="1027" spans="2:10" ht="13.8">
      <c r="B1027" s="988">
        <v>40695</v>
      </c>
      <c r="C1027" s="987" t="s">
        <v>4626</v>
      </c>
      <c r="E1027" s="991"/>
      <c r="F1027" s="989">
        <v>-1.67E-2</v>
      </c>
      <c r="H1027" s="987">
        <v>3.25833333E-3</v>
      </c>
      <c r="I1027" s="986">
        <f t="shared" si="16"/>
        <v>-1.9958333330000001E-2</v>
      </c>
      <c r="J1027" s="988">
        <v>40695</v>
      </c>
    </row>
    <row r="1028" spans="2:10" ht="13.8">
      <c r="B1028" s="988">
        <v>40725</v>
      </c>
      <c r="C1028" s="987" t="s">
        <v>4626</v>
      </c>
      <c r="E1028" s="991"/>
      <c r="F1028" s="989">
        <v>-2.0299999999999999E-2</v>
      </c>
      <c r="H1028" s="987">
        <v>3.2916666700000003E-3</v>
      </c>
      <c r="I1028" s="986">
        <f t="shared" si="16"/>
        <v>-2.3591666669999997E-2</v>
      </c>
      <c r="J1028" s="988">
        <v>40725</v>
      </c>
    </row>
    <row r="1029" spans="2:10" ht="13.8">
      <c r="B1029" s="988">
        <v>40756</v>
      </c>
      <c r="C1029" s="987" t="s">
        <v>4626</v>
      </c>
      <c r="E1029" s="991"/>
      <c r="F1029" s="989">
        <v>-5.4300000000000001E-2</v>
      </c>
      <c r="H1029" s="987">
        <v>3.0416666666666665E-3</v>
      </c>
      <c r="I1029" s="986">
        <f t="shared" si="16"/>
        <v>-5.7341666666666666E-2</v>
      </c>
      <c r="J1029" s="988">
        <v>40756</v>
      </c>
    </row>
    <row r="1030" spans="2:10" ht="13.8">
      <c r="B1030" s="988">
        <v>40787</v>
      </c>
      <c r="C1030" s="987" t="s">
        <v>4626</v>
      </c>
      <c r="E1030" s="991"/>
      <c r="F1030" s="989">
        <v>-7.0300000000000001E-2</v>
      </c>
      <c r="H1030" s="987">
        <v>2.3583333300000002E-3</v>
      </c>
      <c r="I1030" s="986">
        <f t="shared" si="16"/>
        <v>-7.2658333330000005E-2</v>
      </c>
      <c r="J1030" s="988">
        <v>40787</v>
      </c>
    </row>
    <row r="1031" spans="2:10" ht="13.8">
      <c r="B1031" s="988">
        <v>40817</v>
      </c>
      <c r="C1031" s="987" t="s">
        <v>4626</v>
      </c>
      <c r="E1031" s="991"/>
      <c r="F1031" s="989">
        <v>0.10929999999999999</v>
      </c>
      <c r="H1031" s="987">
        <v>2.3916666700000001E-3</v>
      </c>
      <c r="I1031" s="986">
        <f t="shared" si="16"/>
        <v>0.10690833332999999</v>
      </c>
      <c r="J1031" s="988">
        <v>40817</v>
      </c>
    </row>
    <row r="1032" spans="2:10" ht="13.8">
      <c r="B1032" s="988">
        <v>40848</v>
      </c>
      <c r="C1032" s="987" t="s">
        <v>4626</v>
      </c>
      <c r="E1032" s="991"/>
      <c r="F1032" s="989">
        <v>-2.2000000000000001E-3</v>
      </c>
      <c r="H1032" s="987">
        <v>2.26666667E-3</v>
      </c>
      <c r="I1032" s="986">
        <f t="shared" si="16"/>
        <v>-4.4666666700000001E-3</v>
      </c>
      <c r="J1032" s="988">
        <v>40848</v>
      </c>
    </row>
    <row r="1033" spans="2:10" ht="13.8">
      <c r="B1033" s="988">
        <v>40878</v>
      </c>
      <c r="C1033" s="987" t="s">
        <v>4626</v>
      </c>
      <c r="E1033" s="991"/>
      <c r="F1033" s="989">
        <v>1.0200000000000001E-2</v>
      </c>
      <c r="H1033" s="987">
        <v>2.4833333333333335E-3</v>
      </c>
      <c r="I1033" s="986">
        <f t="shared" si="16"/>
        <v>7.7166666666666668E-3</v>
      </c>
      <c r="J1033" s="988">
        <v>40878</v>
      </c>
    </row>
    <row r="1034" spans="2:10" ht="13.8">
      <c r="B1034" s="988">
        <v>40909</v>
      </c>
      <c r="C1034" s="987" t="s">
        <v>4626</v>
      </c>
      <c r="E1034" s="991"/>
      <c r="F1034" s="990">
        <v>4.48E-2</v>
      </c>
      <c r="H1034" s="987">
        <v>2.0999999999999999E-3</v>
      </c>
      <c r="I1034" s="986">
        <f t="shared" si="16"/>
        <v>4.2700000000000002E-2</v>
      </c>
      <c r="J1034" s="988">
        <v>40909</v>
      </c>
    </row>
    <row r="1035" spans="2:10" ht="13.8">
      <c r="B1035" s="988">
        <v>40940</v>
      </c>
      <c r="C1035" s="987" t="s">
        <v>4626</v>
      </c>
      <c r="E1035" s="991"/>
      <c r="F1035" s="990">
        <v>4.3200000000000002E-2</v>
      </c>
      <c r="H1035" s="987">
        <v>2E-3</v>
      </c>
      <c r="I1035" s="986">
        <f t="shared" si="16"/>
        <v>4.1200000000000001E-2</v>
      </c>
      <c r="J1035" s="988">
        <v>40940</v>
      </c>
    </row>
    <row r="1036" spans="2:10" ht="13.8">
      <c r="B1036" s="988">
        <v>40969</v>
      </c>
      <c r="C1036" s="987" t="s">
        <v>4626</v>
      </c>
      <c r="E1036" s="991"/>
      <c r="F1036" s="990">
        <v>3.2899999999999999E-2</v>
      </c>
      <c r="H1036" s="987">
        <v>2.2000000000000001E-3</v>
      </c>
      <c r="I1036" s="986">
        <f t="shared" si="16"/>
        <v>3.0699999999999998E-2</v>
      </c>
      <c r="J1036" s="988">
        <v>40969</v>
      </c>
    </row>
    <row r="1037" spans="2:10" ht="13.8">
      <c r="B1037" s="988">
        <v>41000</v>
      </c>
      <c r="C1037" s="987" t="s">
        <v>4626</v>
      </c>
      <c r="E1037" s="991"/>
      <c r="F1037" s="990">
        <v>-6.3E-3</v>
      </c>
      <c r="H1037" s="987">
        <v>2.5000000000000001E-3</v>
      </c>
      <c r="I1037" s="986">
        <f t="shared" si="16"/>
        <v>-8.8000000000000005E-3</v>
      </c>
      <c r="J1037" s="988">
        <v>41000</v>
      </c>
    </row>
    <row r="1038" spans="2:10" ht="13.8">
      <c r="B1038" s="988">
        <v>41030</v>
      </c>
      <c r="C1038" s="987" t="s">
        <v>4626</v>
      </c>
      <c r="F1038" s="990">
        <v>-6.0100000000000001E-2</v>
      </c>
      <c r="H1038" s="987">
        <v>2.3E-3</v>
      </c>
      <c r="I1038" s="986">
        <f t="shared" si="16"/>
        <v>-6.2399999999999997E-2</v>
      </c>
      <c r="J1038" s="988">
        <v>41030</v>
      </c>
    </row>
    <row r="1039" spans="2:10" ht="13.8">
      <c r="B1039" s="988">
        <v>41061</v>
      </c>
      <c r="C1039" s="987" t="s">
        <v>4626</v>
      </c>
      <c r="F1039" s="990">
        <v>4.1200000000000001E-2</v>
      </c>
      <c r="H1039" s="987">
        <v>1.8E-3</v>
      </c>
      <c r="I1039" s="986">
        <f t="shared" si="16"/>
        <v>3.9399999999999998E-2</v>
      </c>
      <c r="J1039" s="988">
        <v>41061</v>
      </c>
    </row>
    <row r="1040" spans="2:10" ht="13.8">
      <c r="B1040" s="988">
        <v>41091</v>
      </c>
      <c r="C1040" s="987" t="s">
        <v>4626</v>
      </c>
      <c r="F1040" s="990">
        <v>1.3899999999999999E-2</v>
      </c>
      <c r="H1040" s="987">
        <v>2E-3</v>
      </c>
      <c r="I1040" s="986">
        <f t="shared" si="16"/>
        <v>1.1899999999999999E-2</v>
      </c>
      <c r="J1040" s="988">
        <v>41091</v>
      </c>
    </row>
    <row r="1041" spans="2:10" ht="13.8">
      <c r="B1041" s="988">
        <v>41122</v>
      </c>
      <c r="C1041" s="987" t="s">
        <v>4626</v>
      </c>
      <c r="F1041" s="990">
        <v>2.2499999999999999E-2</v>
      </c>
      <c r="H1041" s="987">
        <v>1.8E-3</v>
      </c>
      <c r="I1041" s="986">
        <f t="shared" si="16"/>
        <v>2.07E-2</v>
      </c>
      <c r="J1041" s="988">
        <v>41122</v>
      </c>
    </row>
    <row r="1042" spans="2:10" ht="13.8">
      <c r="B1042" s="988">
        <v>41153</v>
      </c>
      <c r="C1042" s="987" t="s">
        <v>4626</v>
      </c>
      <c r="F1042" s="990">
        <v>2.58E-2</v>
      </c>
      <c r="H1042" s="987">
        <v>1.6999999999999999E-3</v>
      </c>
      <c r="I1042" s="986">
        <f t="shared" si="16"/>
        <v>2.41E-2</v>
      </c>
      <c r="J1042" s="988">
        <v>41153</v>
      </c>
    </row>
    <row r="1043" spans="2:10" ht="13.8">
      <c r="B1043" s="988">
        <v>41183</v>
      </c>
      <c r="C1043" s="987" t="s">
        <v>4626</v>
      </c>
      <c r="F1043" s="990">
        <v>-1.8499999999999999E-2</v>
      </c>
      <c r="H1043" s="987">
        <v>2.0999999999999999E-3</v>
      </c>
      <c r="I1043" s="986">
        <f t="shared" si="16"/>
        <v>-2.06E-2</v>
      </c>
      <c r="J1043" s="988">
        <v>41183</v>
      </c>
    </row>
    <row r="1044" spans="2:10" ht="13.8">
      <c r="B1044" s="988">
        <v>41214</v>
      </c>
      <c r="C1044" s="987" t="s">
        <v>4626</v>
      </c>
      <c r="F1044" s="990">
        <v>5.7999999999999996E-3</v>
      </c>
      <c r="H1044" s="987">
        <v>1.9E-3</v>
      </c>
      <c r="I1044" s="986">
        <f t="shared" si="16"/>
        <v>3.8999999999999998E-3</v>
      </c>
      <c r="J1044" s="988">
        <v>41214</v>
      </c>
    </row>
    <row r="1045" spans="2:10" ht="13.8">
      <c r="B1045" s="988">
        <v>41244</v>
      </c>
      <c r="C1045" s="987" t="s">
        <v>4626</v>
      </c>
      <c r="F1045" s="990">
        <v>9.1000000000000004E-3</v>
      </c>
      <c r="H1045" s="987">
        <v>1.9E-3</v>
      </c>
      <c r="I1045" s="986">
        <f t="shared" si="16"/>
        <v>7.2000000000000007E-3</v>
      </c>
      <c r="J1045" s="988">
        <v>41244</v>
      </c>
    </row>
    <row r="1046" spans="2:10" ht="13.8">
      <c r="B1046" s="988">
        <v>41275</v>
      </c>
      <c r="C1046" s="987" t="s">
        <v>4626</v>
      </c>
      <c r="F1046" s="990">
        <v>5.1799999999999999E-2</v>
      </c>
      <c r="H1046" s="987">
        <v>2.2000000000000001E-3</v>
      </c>
      <c r="I1046" s="986">
        <f t="shared" si="16"/>
        <v>4.9599999999999998E-2</v>
      </c>
      <c r="J1046" s="988">
        <v>41275</v>
      </c>
    </row>
    <row r="1047" spans="2:10" ht="13.8">
      <c r="B1047" s="988">
        <v>41306</v>
      </c>
      <c r="C1047" s="987" t="s">
        <v>4626</v>
      </c>
      <c r="F1047" s="990">
        <v>1.3599999999999999E-2</v>
      </c>
      <c r="H1047" s="987">
        <v>2.2000000000000001E-3</v>
      </c>
      <c r="I1047" s="986">
        <f t="shared" si="16"/>
        <v>1.1399999999999999E-2</v>
      </c>
      <c r="J1047" s="988">
        <v>41306</v>
      </c>
    </row>
    <row r="1048" spans="2:10" ht="13.8">
      <c r="B1048" s="988">
        <v>41334</v>
      </c>
      <c r="C1048" s="987" t="s">
        <v>4626</v>
      </c>
      <c r="F1048" s="990">
        <v>3.7499999999999999E-2</v>
      </c>
      <c r="H1048" s="987">
        <v>2.0999999999999999E-3</v>
      </c>
      <c r="I1048" s="986">
        <f t="shared" si="16"/>
        <v>3.5400000000000001E-2</v>
      </c>
      <c r="J1048" s="988">
        <v>41334</v>
      </c>
    </row>
    <row r="1049" spans="2:10" ht="13.8">
      <c r="B1049" s="988">
        <v>41365</v>
      </c>
      <c r="C1049" s="987" t="s">
        <v>4626</v>
      </c>
      <c r="F1049" s="990">
        <v>1.9300000000000001E-2</v>
      </c>
      <c r="H1049" s="987">
        <v>2.5999999999999999E-3</v>
      </c>
      <c r="I1049" s="986">
        <f t="shared" si="16"/>
        <v>1.67E-2</v>
      </c>
      <c r="J1049" s="988">
        <v>41365</v>
      </c>
    </row>
    <row r="1050" spans="2:10" ht="13.8">
      <c r="B1050" s="988">
        <v>41395</v>
      </c>
      <c r="C1050" s="987" t="s">
        <v>4626</v>
      </c>
      <c r="F1050" s="990">
        <v>2.3400000000000001E-2</v>
      </c>
      <c r="H1050" s="987">
        <v>2.3E-3</v>
      </c>
      <c r="I1050" s="986">
        <f t="shared" si="16"/>
        <v>2.1100000000000001E-2</v>
      </c>
      <c r="J1050" s="988">
        <v>41395</v>
      </c>
    </row>
    <row r="1051" spans="2:10" ht="13.8">
      <c r="B1051" s="988">
        <v>41426</v>
      </c>
      <c r="C1051" s="987" t="s">
        <v>4626</v>
      </c>
      <c r="F1051" s="990">
        <v>-1.34E-2</v>
      </c>
      <c r="H1051" s="987">
        <v>2.3999999999999998E-3</v>
      </c>
      <c r="I1051" s="986">
        <f t="shared" si="16"/>
        <v>-1.5800000000000002E-2</v>
      </c>
      <c r="J1051" s="988">
        <v>41426</v>
      </c>
    </row>
    <row r="1052" spans="2:10" ht="13.8">
      <c r="B1052" s="988">
        <v>41456</v>
      </c>
      <c r="C1052" s="987" t="s">
        <v>4626</v>
      </c>
      <c r="F1052" s="990">
        <v>5.0900000000000001E-2</v>
      </c>
      <c r="H1052" s="987">
        <v>3.0000000000000001E-3</v>
      </c>
      <c r="I1052" s="986">
        <f t="shared" si="16"/>
        <v>4.7899999999999998E-2</v>
      </c>
      <c r="J1052" s="988">
        <v>41456</v>
      </c>
    </row>
    <row r="1053" spans="2:10" ht="13.8">
      <c r="B1053" s="988">
        <v>41487</v>
      </c>
      <c r="C1053" s="987" t="s">
        <v>4626</v>
      </c>
      <c r="F1053" s="990">
        <v>-2.9000000000000001E-2</v>
      </c>
      <c r="H1053" s="987">
        <v>2.8E-3</v>
      </c>
      <c r="I1053" s="986">
        <f t="shared" si="16"/>
        <v>-3.1800000000000002E-2</v>
      </c>
      <c r="J1053" s="988">
        <v>41487</v>
      </c>
    </row>
    <row r="1054" spans="2:10" ht="13.8">
      <c r="B1054" s="988">
        <v>41518</v>
      </c>
      <c r="C1054" s="987" t="s">
        <v>4626</v>
      </c>
      <c r="F1054" s="990">
        <v>3.1399999999999997E-2</v>
      </c>
      <c r="H1054" s="987">
        <v>2.8999999999999998E-3</v>
      </c>
      <c r="I1054" s="986">
        <f t="shared" si="16"/>
        <v>2.8499999999999998E-2</v>
      </c>
      <c r="J1054" s="988">
        <v>41518</v>
      </c>
    </row>
    <row r="1055" spans="2:10" ht="13.8">
      <c r="B1055" s="988">
        <v>41548</v>
      </c>
      <c r="C1055" s="987" t="s">
        <v>4626</v>
      </c>
      <c r="F1055" s="990">
        <v>4.5999999999999999E-2</v>
      </c>
      <c r="H1055" s="987">
        <v>2.8999999999999998E-3</v>
      </c>
      <c r="I1055" s="986">
        <f t="shared" si="16"/>
        <v>4.3099999999999999E-2</v>
      </c>
      <c r="J1055" s="988">
        <v>41548</v>
      </c>
    </row>
    <row r="1056" spans="2:10" ht="13.8">
      <c r="B1056" s="988">
        <v>41579</v>
      </c>
      <c r="C1056" s="987" t="s">
        <v>4626</v>
      </c>
      <c r="F1056" s="990">
        <v>3.0499999999999999E-2</v>
      </c>
      <c r="H1056" s="987">
        <v>2.7000000000000001E-3</v>
      </c>
      <c r="I1056" s="986">
        <f t="shared" si="16"/>
        <v>2.7799999999999998E-2</v>
      </c>
      <c r="J1056" s="988">
        <v>41579</v>
      </c>
    </row>
    <row r="1057" spans="2:10" ht="13.8">
      <c r="B1057" s="988">
        <v>41609</v>
      </c>
      <c r="C1057" s="987" t="s">
        <v>4626</v>
      </c>
      <c r="F1057" s="990">
        <v>2.53E-2</v>
      </c>
      <c r="H1057" s="987">
        <v>3.0999999999999999E-3</v>
      </c>
      <c r="I1057" s="986">
        <f t="shared" si="16"/>
        <v>2.2200000000000001E-2</v>
      </c>
      <c r="J1057" s="988">
        <v>41609</v>
      </c>
    </row>
    <row r="1058" spans="2:10" ht="13.8">
      <c r="B1058" s="988">
        <v>41640</v>
      </c>
      <c r="C1058" s="987" t="s">
        <v>4626</v>
      </c>
      <c r="F1058" s="990">
        <v>-3.4599999999999999E-2</v>
      </c>
      <c r="H1058" s="987">
        <v>3.2000000000000002E-3</v>
      </c>
      <c r="I1058" s="986">
        <f t="shared" si="16"/>
        <v>-3.78E-2</v>
      </c>
      <c r="J1058" s="988">
        <v>41640</v>
      </c>
    </row>
    <row r="1059" spans="2:10" ht="13.8">
      <c r="B1059" s="988">
        <v>41671</v>
      </c>
      <c r="C1059" s="987" t="s">
        <v>4626</v>
      </c>
      <c r="F1059" s="990">
        <v>4.5699999999999998E-2</v>
      </c>
      <c r="H1059" s="987">
        <v>2.5999999999999999E-3</v>
      </c>
      <c r="I1059" s="986">
        <f t="shared" si="16"/>
        <v>4.3099999999999999E-2</v>
      </c>
      <c r="J1059" s="988">
        <v>41671</v>
      </c>
    </row>
    <row r="1060" spans="2:10" ht="13.8">
      <c r="B1060" s="988">
        <v>41699</v>
      </c>
      <c r="C1060" s="987" t="s">
        <v>4626</v>
      </c>
      <c r="F1060" s="990">
        <v>8.3999999999999995E-3</v>
      </c>
      <c r="H1060" s="987">
        <v>2.8999999999999998E-3</v>
      </c>
      <c r="I1060" s="986">
        <f t="shared" si="16"/>
        <v>5.4999999999999997E-3</v>
      </c>
      <c r="J1060" s="988">
        <v>41699</v>
      </c>
    </row>
    <row r="1061" spans="2:10" ht="13.8">
      <c r="B1061" s="988">
        <v>41730</v>
      </c>
      <c r="C1061" s="987" t="s">
        <v>4626</v>
      </c>
      <c r="F1061" s="990">
        <v>7.4000000000000003E-3</v>
      </c>
      <c r="H1061" s="987">
        <v>2.8E-3</v>
      </c>
      <c r="I1061" s="986">
        <f t="shared" si="16"/>
        <v>4.5999999999999999E-3</v>
      </c>
      <c r="J1061" s="988">
        <v>41730</v>
      </c>
    </row>
    <row r="1062" spans="2:10" ht="13.8">
      <c r="B1062" s="988">
        <v>41760</v>
      </c>
      <c r="C1062" s="987" t="s">
        <v>4626</v>
      </c>
      <c r="F1062" s="990">
        <v>2.35E-2</v>
      </c>
      <c r="H1062" s="987">
        <v>2.8E-3</v>
      </c>
      <c r="I1062" s="986">
        <f t="shared" si="16"/>
        <v>2.07E-2</v>
      </c>
      <c r="J1062" s="988">
        <v>41760</v>
      </c>
    </row>
    <row r="1063" spans="2:10" ht="13.8">
      <c r="B1063" s="988">
        <v>41791</v>
      </c>
      <c r="C1063" s="987" t="s">
        <v>4626</v>
      </c>
      <c r="F1063" s="990">
        <v>2.07E-2</v>
      </c>
      <c r="H1063" s="987">
        <v>2.5000000000000001E-3</v>
      </c>
      <c r="I1063" s="986">
        <f t="shared" si="16"/>
        <v>1.8200000000000001E-2</v>
      </c>
      <c r="J1063" s="988">
        <v>41791</v>
      </c>
    </row>
    <row r="1064" spans="2:10" ht="13.8">
      <c r="B1064" s="988">
        <v>41821</v>
      </c>
      <c r="C1064" s="987" t="s">
        <v>4626</v>
      </c>
      <c r="F1064" s="990">
        <v>-1.38E-2</v>
      </c>
      <c r="H1064" s="987">
        <v>2.7000000000000001E-3</v>
      </c>
      <c r="I1064" s="986">
        <f t="shared" si="16"/>
        <v>-1.6500000000000001E-2</v>
      </c>
      <c r="J1064" s="988">
        <v>41821</v>
      </c>
    </row>
    <row r="1065" spans="2:10" ht="13.8">
      <c r="B1065" s="988">
        <v>41852</v>
      </c>
      <c r="C1065" s="987" t="s">
        <v>4626</v>
      </c>
      <c r="F1065" s="990">
        <v>0.04</v>
      </c>
      <c r="H1065" s="987">
        <v>2.5999999999999999E-3</v>
      </c>
      <c r="I1065" s="986">
        <f t="shared" si="16"/>
        <v>3.7400000000000003E-2</v>
      </c>
      <c r="J1065" s="988">
        <v>41852</v>
      </c>
    </row>
    <row r="1066" spans="2:10" ht="13.8">
      <c r="B1066" s="988">
        <v>41883</v>
      </c>
      <c r="C1066" s="987" t="s">
        <v>4626</v>
      </c>
      <c r="F1066" s="990">
        <v>-1.4E-2</v>
      </c>
      <c r="H1066" s="987">
        <v>2.3E-3</v>
      </c>
      <c r="I1066" s="986">
        <f t="shared" si="16"/>
        <v>-1.6300000000000002E-2</v>
      </c>
      <c r="J1066" s="988">
        <v>41883</v>
      </c>
    </row>
    <row r="1067" spans="2:10" ht="13.8">
      <c r="B1067" s="988">
        <v>41913</v>
      </c>
      <c r="C1067" s="987" t="s">
        <v>4626</v>
      </c>
      <c r="F1067" s="990">
        <v>2.4400000000000002E-2</v>
      </c>
      <c r="H1067" s="987">
        <v>2.5000000000000001E-3</v>
      </c>
      <c r="I1067" s="986">
        <f t="shared" si="16"/>
        <v>2.1900000000000003E-2</v>
      </c>
      <c r="J1067" s="988">
        <v>41913</v>
      </c>
    </row>
    <row r="1068" spans="2:10" ht="13.8">
      <c r="B1068" s="988">
        <v>41944</v>
      </c>
      <c r="C1068" s="987" t="s">
        <v>4626</v>
      </c>
      <c r="F1068" s="990">
        <v>2.69E-2</v>
      </c>
      <c r="H1068" s="987">
        <v>2.3E-3</v>
      </c>
      <c r="I1068" s="986">
        <f t="shared" si="16"/>
        <v>2.46E-2</v>
      </c>
      <c r="J1068" s="988">
        <v>41944</v>
      </c>
    </row>
    <row r="1069" spans="2:10" ht="13.8">
      <c r="B1069" s="988">
        <v>41974</v>
      </c>
      <c r="C1069" s="987" t="s">
        <v>4626</v>
      </c>
      <c r="F1069" s="990">
        <v>-2.5000000000000001E-3</v>
      </c>
      <c r="H1069" s="987">
        <v>2.2000000000000001E-3</v>
      </c>
      <c r="I1069" s="986">
        <f t="shared" si="16"/>
        <v>-4.7000000000000002E-3</v>
      </c>
      <c r="J1069" s="988">
        <v>41974</v>
      </c>
    </row>
    <row r="1070" spans="2:10" ht="13.8">
      <c r="B1070" s="988">
        <v>42005</v>
      </c>
      <c r="C1070" s="987" t="s">
        <v>4626</v>
      </c>
      <c r="F1070" s="990">
        <v>-0.03</v>
      </c>
      <c r="H1070" s="987">
        <v>2E-3</v>
      </c>
      <c r="I1070" s="986">
        <f t="shared" si="16"/>
        <v>-3.2000000000000001E-2</v>
      </c>
      <c r="J1070" s="988">
        <v>42005</v>
      </c>
    </row>
    <row r="1071" spans="2:10" ht="13.8">
      <c r="B1071" s="988">
        <v>42036</v>
      </c>
      <c r="C1071" s="987" t="s">
        <v>4626</v>
      </c>
      <c r="F1071" s="990">
        <v>5.7500000000000002E-2</v>
      </c>
      <c r="H1071" s="987">
        <v>1.5E-3</v>
      </c>
      <c r="I1071" s="986">
        <f t="shared" si="16"/>
        <v>5.6000000000000001E-2</v>
      </c>
      <c r="J1071" s="988">
        <v>42036</v>
      </c>
    </row>
    <row r="1072" spans="2:10" ht="13.8">
      <c r="B1072" s="988">
        <v>42064</v>
      </c>
      <c r="C1072" s="987" t="s">
        <v>4626</v>
      </c>
      <c r="F1072" s="990">
        <v>-1.5800000000000002E-2</v>
      </c>
      <c r="H1072" s="987">
        <v>2.0999999999999999E-3</v>
      </c>
      <c r="I1072" s="986">
        <f t="shared" si="16"/>
        <v>-1.7900000000000003E-2</v>
      </c>
      <c r="J1072" s="988">
        <v>42064</v>
      </c>
    </row>
    <row r="1073" spans="2:10" ht="13.8">
      <c r="B1073" s="988">
        <v>42095</v>
      </c>
      <c r="C1073" s="987" t="s">
        <v>4626</v>
      </c>
      <c r="F1073" s="990">
        <v>9.5999999999999992E-3</v>
      </c>
      <c r="H1073" s="987">
        <v>1.9E-3</v>
      </c>
      <c r="I1073" s="986">
        <f t="shared" si="16"/>
        <v>7.6999999999999994E-3</v>
      </c>
      <c r="J1073" s="988">
        <v>42095</v>
      </c>
    </row>
    <row r="1074" spans="2:10" ht="13.8">
      <c r="B1074" s="988">
        <v>42125</v>
      </c>
      <c r="C1074" s="987" t="s">
        <v>4626</v>
      </c>
      <c r="F1074" s="990">
        <v>1.29E-2</v>
      </c>
      <c r="H1074" s="987">
        <v>2E-3</v>
      </c>
      <c r="I1074" s="986">
        <f t="shared" si="16"/>
        <v>1.09E-2</v>
      </c>
      <c r="J1074" s="988">
        <v>42125</v>
      </c>
    </row>
    <row r="1075" spans="2:10" ht="13.8">
      <c r="B1075" s="988">
        <f t="shared" ref="B1075:B1138" si="17">DATE(YEAR(B1074),MONTH(B1074) + 1,1)</f>
        <v>42156</v>
      </c>
      <c r="C1075" s="987" t="str">
        <f t="shared" ref="C1075:C1138" si="18">C1074</f>
        <v xml:space="preserve">Market Return                    </v>
      </c>
      <c r="F1075" s="990">
        <v>-1.9400000000000001E-2</v>
      </c>
      <c r="H1075" s="987">
        <v>2.3E-3</v>
      </c>
      <c r="I1075" s="986">
        <f t="shared" si="16"/>
        <v>-2.1700000000000001E-2</v>
      </c>
      <c r="J1075" s="988">
        <f t="shared" ref="J1075:J1138" si="19">B1075</f>
        <v>42156</v>
      </c>
    </row>
    <row r="1076" spans="2:10" ht="13.8">
      <c r="B1076" s="988">
        <f t="shared" si="17"/>
        <v>42186</v>
      </c>
      <c r="C1076" s="987" t="str">
        <f t="shared" si="18"/>
        <v xml:space="preserve">Market Return                    </v>
      </c>
      <c r="F1076" s="990">
        <v>2.1000000000000001E-2</v>
      </c>
      <c r="H1076" s="987">
        <v>2.3999999999999998E-3</v>
      </c>
      <c r="I1076" s="986">
        <f t="shared" si="16"/>
        <v>1.8600000000000002E-2</v>
      </c>
      <c r="J1076" s="988">
        <f t="shared" si="19"/>
        <v>42186</v>
      </c>
    </row>
    <row r="1077" spans="2:10" ht="13.8">
      <c r="B1077" s="988">
        <f t="shared" si="17"/>
        <v>42217</v>
      </c>
      <c r="C1077" s="987" t="str">
        <f t="shared" si="18"/>
        <v xml:space="preserve">Market Return                    </v>
      </c>
      <c r="F1077" s="990">
        <v>-6.0299999999999999E-2</v>
      </c>
      <c r="H1077" s="987">
        <v>2.2000000000000001E-3</v>
      </c>
      <c r="I1077" s="987">
        <f t="shared" si="16"/>
        <v>-6.25E-2</v>
      </c>
      <c r="J1077" s="988">
        <f t="shared" si="19"/>
        <v>42217</v>
      </c>
    </row>
    <row r="1078" spans="2:10" ht="13.8">
      <c r="B1078" s="988">
        <f t="shared" si="17"/>
        <v>42248</v>
      </c>
      <c r="C1078" s="987" t="str">
        <f t="shared" si="18"/>
        <v xml:space="preserve">Market Return                    </v>
      </c>
      <c r="F1078" s="990">
        <v>-2.47E-2</v>
      </c>
      <c r="H1078" s="987">
        <v>2.0999999999999999E-3</v>
      </c>
      <c r="I1078" s="987">
        <f t="shared" si="16"/>
        <v>-2.6800000000000001E-2</v>
      </c>
      <c r="J1078" s="988">
        <f t="shared" si="19"/>
        <v>42248</v>
      </c>
    </row>
    <row r="1079" spans="2:10" ht="13.8">
      <c r="B1079" s="988">
        <f t="shared" si="17"/>
        <v>42278</v>
      </c>
      <c r="C1079" s="987" t="str">
        <f t="shared" si="18"/>
        <v xml:space="preserve">Market Return                    </v>
      </c>
      <c r="F1079" s="990">
        <v>8.4400000000000003E-2</v>
      </c>
      <c r="H1079" s="987">
        <v>2.0999999999999999E-3</v>
      </c>
      <c r="I1079" s="987">
        <f t="shared" si="16"/>
        <v>8.2299999999999998E-2</v>
      </c>
      <c r="J1079" s="988">
        <f t="shared" si="19"/>
        <v>42278</v>
      </c>
    </row>
    <row r="1080" spans="2:10" ht="13.8">
      <c r="B1080" s="988">
        <f t="shared" si="17"/>
        <v>42309</v>
      </c>
      <c r="C1080" s="987" t="str">
        <f t="shared" si="18"/>
        <v xml:space="preserve">Market Return                    </v>
      </c>
      <c r="F1080" s="990">
        <v>3.0000000000000001E-3</v>
      </c>
      <c r="H1080" s="987">
        <v>2.2000000000000001E-3</v>
      </c>
      <c r="I1080" s="987">
        <f t="shared" si="16"/>
        <v>7.9999999999999993E-4</v>
      </c>
      <c r="J1080" s="988">
        <f t="shared" si="19"/>
        <v>42309</v>
      </c>
    </row>
    <row r="1081" spans="2:10" ht="13.8">
      <c r="B1081" s="988">
        <f t="shared" si="17"/>
        <v>42339</v>
      </c>
      <c r="C1081" s="987" t="str">
        <f t="shared" si="18"/>
        <v xml:space="preserve">Market Return                    </v>
      </c>
      <c r="F1081" s="990">
        <v>-1.5800000000000002E-2</v>
      </c>
      <c r="H1081" s="987">
        <v>2.2000000000000001E-3</v>
      </c>
      <c r="I1081" s="987">
        <f t="shared" si="16"/>
        <v>-1.8000000000000002E-2</v>
      </c>
      <c r="J1081" s="988">
        <f t="shared" si="19"/>
        <v>42339</v>
      </c>
    </row>
    <row r="1082" spans="2:10" ht="13.8">
      <c r="B1082" s="988">
        <f t="shared" si="17"/>
        <v>42370</v>
      </c>
      <c r="C1082" s="987" t="str">
        <f t="shared" si="18"/>
        <v xml:space="preserve">Market Return                    </v>
      </c>
      <c r="F1082" s="990">
        <v>-4.9599999999999998E-2</v>
      </c>
      <c r="H1082" s="987">
        <v>2.0999999999999999E-3</v>
      </c>
      <c r="I1082" s="987">
        <f t="shared" si="16"/>
        <v>-5.1699999999999996E-2</v>
      </c>
      <c r="J1082" s="988">
        <f t="shared" si="19"/>
        <v>42370</v>
      </c>
    </row>
    <row r="1083" spans="2:10" ht="13.8">
      <c r="B1083" s="988">
        <f t="shared" si="17"/>
        <v>42401</v>
      </c>
      <c r="C1083" s="987" t="str">
        <f t="shared" si="18"/>
        <v xml:space="preserve">Market Return                    </v>
      </c>
      <c r="F1083" s="990">
        <v>-1.2999999999999999E-3</v>
      </c>
      <c r="H1083" s="987">
        <v>2E-3</v>
      </c>
      <c r="I1083" s="987">
        <f t="shared" si="16"/>
        <v>-3.3E-3</v>
      </c>
      <c r="J1083" s="988">
        <f t="shared" si="19"/>
        <v>42401</v>
      </c>
    </row>
    <row r="1084" spans="2:10" ht="13.8">
      <c r="B1084" s="988">
        <f t="shared" si="17"/>
        <v>42430</v>
      </c>
      <c r="C1084" s="987" t="str">
        <f t="shared" si="18"/>
        <v xml:space="preserve">Market Return                    </v>
      </c>
      <c r="F1084" s="990">
        <v>6.7799999999999999E-2</v>
      </c>
      <c r="H1084" s="987">
        <v>1.8E-3</v>
      </c>
      <c r="I1084" s="987">
        <f t="shared" si="16"/>
        <v>6.6000000000000003E-2</v>
      </c>
      <c r="J1084" s="988">
        <f t="shared" si="19"/>
        <v>42430</v>
      </c>
    </row>
    <row r="1085" spans="2:10" ht="13.8">
      <c r="B1085" s="988">
        <f t="shared" si="17"/>
        <v>42461</v>
      </c>
      <c r="C1085" s="987" t="str">
        <f t="shared" si="18"/>
        <v xml:space="preserve">Market Return                    </v>
      </c>
      <c r="F1085" s="990">
        <v>3.8999999999999998E-3</v>
      </c>
      <c r="H1085" s="987">
        <v>1.6999999999999999E-3</v>
      </c>
      <c r="I1085" s="987">
        <f t="shared" si="16"/>
        <v>2.1999999999999997E-3</v>
      </c>
      <c r="J1085" s="988">
        <f t="shared" si="19"/>
        <v>42461</v>
      </c>
    </row>
    <row r="1086" spans="2:10" ht="13.8">
      <c r="B1086" s="988">
        <f t="shared" si="17"/>
        <v>42491</v>
      </c>
      <c r="C1086" s="987" t="str">
        <f t="shared" si="18"/>
        <v xml:space="preserve">Market Return                    </v>
      </c>
      <c r="F1086" s="990">
        <v>1.7999999999999999E-2</v>
      </c>
      <c r="H1086" s="987">
        <v>2E-3</v>
      </c>
      <c r="I1086" s="987">
        <f t="shared" si="16"/>
        <v>1.6E-2</v>
      </c>
      <c r="J1086" s="988">
        <f t="shared" si="19"/>
        <v>42491</v>
      </c>
    </row>
    <row r="1087" spans="2:10" ht="13.8">
      <c r="B1087" s="988">
        <f t="shared" si="17"/>
        <v>42522</v>
      </c>
      <c r="C1087" s="987" t="str">
        <f t="shared" si="18"/>
        <v xml:space="preserve">Market Return                    </v>
      </c>
      <c r="F1087" s="990">
        <v>2.5999999999999999E-3</v>
      </c>
      <c r="H1087" s="987">
        <v>1.8E-3</v>
      </c>
      <c r="I1087" s="987">
        <f t="shared" si="16"/>
        <v>7.9999999999999993E-4</v>
      </c>
      <c r="J1087" s="988">
        <f t="shared" si="19"/>
        <v>42522</v>
      </c>
    </row>
    <row r="1088" spans="2:10" ht="13.8">
      <c r="B1088" s="988">
        <f t="shared" si="17"/>
        <v>42552</v>
      </c>
      <c r="C1088" s="987" t="str">
        <f t="shared" si="18"/>
        <v xml:space="preserve">Market Return                    </v>
      </c>
      <c r="F1088" s="990">
        <v>3.6900000000000002E-2</v>
      </c>
      <c r="H1088" s="987">
        <v>1.4E-3</v>
      </c>
      <c r="I1088" s="987">
        <f t="shared" si="16"/>
        <v>3.5500000000000004E-2</v>
      </c>
      <c r="J1088" s="988">
        <f t="shared" si="19"/>
        <v>42552</v>
      </c>
    </row>
    <row r="1089" spans="2:10" ht="13.8">
      <c r="B1089" s="988">
        <f t="shared" si="17"/>
        <v>42583</v>
      </c>
      <c r="C1089" s="987" t="str">
        <f t="shared" si="18"/>
        <v xml:space="preserve">Market Return                    </v>
      </c>
      <c r="F1089" s="990">
        <v>1.4E-3</v>
      </c>
      <c r="H1089" s="987">
        <v>1.6000000000000001E-3</v>
      </c>
      <c r="I1089" s="987">
        <f t="shared" si="16"/>
        <v>-2.0000000000000009E-4</v>
      </c>
      <c r="J1089" s="988">
        <f t="shared" si="19"/>
        <v>42583</v>
      </c>
    </row>
    <row r="1090" spans="2:10" ht="13.8">
      <c r="B1090" s="988">
        <f t="shared" si="17"/>
        <v>42614</v>
      </c>
      <c r="C1090" s="987" t="str">
        <f t="shared" si="18"/>
        <v xml:space="preserve">Market Return                    </v>
      </c>
      <c r="F1090" s="990">
        <v>2.0000000000000001E-4</v>
      </c>
      <c r="H1090" s="987">
        <v>1.5E-3</v>
      </c>
      <c r="I1090" s="987">
        <f t="shared" ref="I1090:I1153" si="20">F1090-H1090</f>
        <v>-1.2999999999999999E-3</v>
      </c>
      <c r="J1090" s="988">
        <f t="shared" si="19"/>
        <v>42614</v>
      </c>
    </row>
    <row r="1091" spans="2:10" ht="13.8">
      <c r="B1091" s="988">
        <f t="shared" si="17"/>
        <v>42644</v>
      </c>
      <c r="C1091" s="987" t="str">
        <f t="shared" si="18"/>
        <v xml:space="preserve">Market Return                    </v>
      </c>
      <c r="F1091" s="990">
        <v>-1.8200000000000001E-2</v>
      </c>
      <c r="H1091" s="987">
        <v>1.6000000000000001E-3</v>
      </c>
      <c r="I1091" s="987">
        <f t="shared" si="20"/>
        <v>-1.9800000000000002E-2</v>
      </c>
      <c r="J1091" s="988">
        <f t="shared" si="19"/>
        <v>42644</v>
      </c>
    </row>
    <row r="1092" spans="2:10" ht="13.8">
      <c r="B1092" s="988">
        <f t="shared" si="17"/>
        <v>42675</v>
      </c>
      <c r="C1092" s="987" t="str">
        <f t="shared" si="18"/>
        <v xml:space="preserve">Market Return                    </v>
      </c>
      <c r="F1092" s="990">
        <v>3.6999999999999998E-2</v>
      </c>
      <c r="H1092" s="987">
        <v>1.8E-3</v>
      </c>
      <c r="I1092" s="987">
        <f t="shared" si="20"/>
        <v>3.5199999999999995E-2</v>
      </c>
      <c r="J1092" s="988">
        <f t="shared" si="19"/>
        <v>42675</v>
      </c>
    </row>
    <row r="1093" spans="2:10" ht="13.8">
      <c r="B1093" s="988">
        <f t="shared" si="17"/>
        <v>42705</v>
      </c>
      <c r="C1093" s="987" t="str">
        <f t="shared" si="18"/>
        <v xml:space="preserve">Market Return                    </v>
      </c>
      <c r="F1093" s="990">
        <v>1.9800000000000002E-2</v>
      </c>
      <c r="H1093" s="987">
        <v>2.2000000000000001E-3</v>
      </c>
      <c r="I1093" s="987">
        <f t="shared" si="20"/>
        <v>1.7600000000000001E-2</v>
      </c>
      <c r="J1093" s="988">
        <f t="shared" si="19"/>
        <v>42705</v>
      </c>
    </row>
    <row r="1094" spans="2:10" ht="13.8">
      <c r="B1094" s="988">
        <f t="shared" si="17"/>
        <v>42736</v>
      </c>
      <c r="C1094" s="987" t="str">
        <f t="shared" si="18"/>
        <v xml:space="preserve">Market Return                    </v>
      </c>
      <c r="F1094" s="990">
        <v>1.9E-2</v>
      </c>
      <c r="H1094" s="987">
        <v>2.3999999999999998E-3</v>
      </c>
      <c r="I1094" s="987">
        <f t="shared" si="20"/>
        <v>1.66E-2</v>
      </c>
      <c r="J1094" s="988">
        <f t="shared" si="19"/>
        <v>42736</v>
      </c>
    </row>
    <row r="1095" spans="2:10" ht="13.8">
      <c r="B1095" s="988">
        <f t="shared" si="17"/>
        <v>42767</v>
      </c>
      <c r="C1095" s="987" t="str">
        <f t="shared" si="18"/>
        <v xml:space="preserve">Market Return                    </v>
      </c>
      <c r="F1095" s="990">
        <v>3.9699999999999999E-2</v>
      </c>
      <c r="H1095" s="987">
        <v>2.0999999999999999E-3</v>
      </c>
      <c r="I1095" s="987">
        <f t="shared" si="20"/>
        <v>3.7600000000000001E-2</v>
      </c>
      <c r="J1095" s="988">
        <f t="shared" si="19"/>
        <v>42767</v>
      </c>
    </row>
    <row r="1096" spans="2:10" ht="13.8">
      <c r="B1096" s="988">
        <f t="shared" si="17"/>
        <v>42795</v>
      </c>
      <c r="C1096" s="987" t="str">
        <f t="shared" si="18"/>
        <v xml:space="preserve">Market Return                    </v>
      </c>
      <c r="F1096" s="990">
        <v>1.1999999999999999E-3</v>
      </c>
      <c r="H1096" s="987">
        <v>2.3E-3</v>
      </c>
      <c r="I1096" s="987">
        <f t="shared" si="20"/>
        <v>-1.1000000000000001E-3</v>
      </c>
      <c r="J1096" s="988">
        <f t="shared" si="19"/>
        <v>42795</v>
      </c>
    </row>
    <row r="1097" spans="2:10" ht="13.8">
      <c r="B1097" s="988">
        <f t="shared" si="17"/>
        <v>42826</v>
      </c>
      <c r="C1097" s="987" t="str">
        <f t="shared" si="18"/>
        <v xml:space="preserve">Market Return                    </v>
      </c>
      <c r="F1097" s="990">
        <v>1.03E-2</v>
      </c>
      <c r="H1097" s="987">
        <v>2.0999999999999999E-3</v>
      </c>
      <c r="I1097" s="987">
        <f t="shared" si="20"/>
        <v>8.2000000000000007E-3</v>
      </c>
      <c r="J1097" s="988">
        <f t="shared" si="19"/>
        <v>42826</v>
      </c>
    </row>
    <row r="1098" spans="2:10" ht="13.8">
      <c r="B1098" s="988">
        <f t="shared" si="17"/>
        <v>42856</v>
      </c>
      <c r="C1098" s="987" t="str">
        <f t="shared" si="18"/>
        <v xml:space="preserve">Market Return                    </v>
      </c>
      <c r="F1098" s="990">
        <v>1.41E-2</v>
      </c>
      <c r="H1098" s="987">
        <v>2.3999999999999998E-3</v>
      </c>
      <c r="I1098" s="987">
        <f t="shared" si="20"/>
        <v>1.17E-2</v>
      </c>
      <c r="J1098" s="988">
        <f t="shared" si="19"/>
        <v>42856</v>
      </c>
    </row>
    <row r="1099" spans="2:10" ht="13.8">
      <c r="B1099" s="988">
        <f t="shared" si="17"/>
        <v>42887</v>
      </c>
      <c r="C1099" s="987" t="str">
        <f t="shared" si="18"/>
        <v xml:space="preserve">Market Return                    </v>
      </c>
      <c r="F1099" s="990">
        <v>6.1999999999999998E-3</v>
      </c>
      <c r="H1099" s="987">
        <v>2.0999999999999999E-3</v>
      </c>
      <c r="I1099" s="987">
        <f t="shared" si="20"/>
        <v>4.0999999999999995E-3</v>
      </c>
      <c r="J1099" s="988">
        <f t="shared" si="19"/>
        <v>42887</v>
      </c>
    </row>
    <row r="1100" spans="2:10" ht="13.8">
      <c r="B1100" s="988">
        <f t="shared" si="17"/>
        <v>42917</v>
      </c>
      <c r="C1100" s="987" t="str">
        <f t="shared" si="18"/>
        <v xml:space="preserve">Market Return                    </v>
      </c>
      <c r="F1100" s="990">
        <v>2.06E-2</v>
      </c>
      <c r="H1100" s="987">
        <v>2.2000000000000001E-3</v>
      </c>
      <c r="I1100" s="987">
        <f t="shared" si="20"/>
        <v>1.84E-2</v>
      </c>
      <c r="J1100" s="988">
        <f t="shared" si="19"/>
        <v>42917</v>
      </c>
    </row>
    <row r="1101" spans="2:10" ht="13.8">
      <c r="B1101" s="988">
        <f t="shared" si="17"/>
        <v>42948</v>
      </c>
      <c r="C1101" s="987" t="str">
        <f t="shared" si="18"/>
        <v xml:space="preserve">Market Return                    </v>
      </c>
      <c r="F1101" s="990">
        <v>3.0999999999999999E-3</v>
      </c>
      <c r="H1101" s="987">
        <v>2.2000000000000001E-3</v>
      </c>
      <c r="I1101" s="987">
        <f t="shared" si="20"/>
        <v>8.9999999999999976E-4</v>
      </c>
      <c r="J1101" s="988">
        <f t="shared" si="19"/>
        <v>42948</v>
      </c>
    </row>
    <row r="1102" spans="2:10" ht="13.8">
      <c r="B1102" s="988">
        <f t="shared" si="17"/>
        <v>42979</v>
      </c>
      <c r="C1102" s="987" t="str">
        <f t="shared" si="18"/>
        <v xml:space="preserve">Market Return                    </v>
      </c>
      <c r="F1102" s="990">
        <v>2.06E-2</v>
      </c>
      <c r="H1102" s="987">
        <v>1.9E-3</v>
      </c>
      <c r="I1102" s="987">
        <f t="shared" si="20"/>
        <v>1.8700000000000001E-2</v>
      </c>
      <c r="J1102" s="988">
        <f t="shared" si="19"/>
        <v>42979</v>
      </c>
    </row>
    <row r="1103" spans="2:10" ht="13.8">
      <c r="B1103" s="988">
        <f t="shared" si="17"/>
        <v>43009</v>
      </c>
      <c r="C1103" s="987" t="str">
        <f t="shared" si="18"/>
        <v xml:space="preserve">Market Return                    </v>
      </c>
      <c r="F1103" s="990">
        <v>2.3300000000000001E-2</v>
      </c>
      <c r="H1103" s="987">
        <v>2.2000000000000001E-3</v>
      </c>
      <c r="I1103" s="987">
        <f t="shared" si="20"/>
        <v>2.1100000000000001E-2</v>
      </c>
      <c r="J1103" s="988">
        <f t="shared" si="19"/>
        <v>43009</v>
      </c>
    </row>
    <row r="1104" spans="2:10" ht="13.8">
      <c r="B1104" s="988">
        <f t="shared" si="17"/>
        <v>43040</v>
      </c>
      <c r="C1104" s="987" t="str">
        <f t="shared" si="18"/>
        <v xml:space="preserve">Market Return                    </v>
      </c>
      <c r="F1104" s="990">
        <v>3.0700000000000002E-2</v>
      </c>
      <c r="H1104" s="987">
        <v>2.0999999999999999E-3</v>
      </c>
      <c r="I1104" s="987">
        <f t="shared" si="20"/>
        <v>2.86E-2</v>
      </c>
      <c r="J1104" s="988">
        <f t="shared" si="19"/>
        <v>43040</v>
      </c>
    </row>
    <row r="1105" spans="2:10" ht="13.8">
      <c r="B1105" s="988">
        <f t="shared" si="17"/>
        <v>43070</v>
      </c>
      <c r="C1105" s="987" t="str">
        <f t="shared" si="18"/>
        <v xml:space="preserve">Market Return                    </v>
      </c>
      <c r="F1105" s="990">
        <v>1.11E-2</v>
      </c>
      <c r="H1105" s="987">
        <v>2E-3</v>
      </c>
      <c r="I1105" s="987">
        <f t="shared" si="20"/>
        <v>9.1000000000000004E-3</v>
      </c>
      <c r="J1105" s="988">
        <f t="shared" si="19"/>
        <v>43070</v>
      </c>
    </row>
    <row r="1106" spans="2:10" ht="13.8">
      <c r="B1106" s="988">
        <f t="shared" si="17"/>
        <v>43101</v>
      </c>
      <c r="C1106" s="987" t="str">
        <f t="shared" si="18"/>
        <v xml:space="preserve">Market Return                    </v>
      </c>
      <c r="F1106" s="990">
        <v>5.7299999999999997E-2</v>
      </c>
      <c r="H1106" s="987">
        <v>2.3999999999999998E-3</v>
      </c>
      <c r="I1106" s="987">
        <f t="shared" si="20"/>
        <v>5.4899999999999997E-2</v>
      </c>
      <c r="J1106" s="988">
        <f t="shared" si="19"/>
        <v>43101</v>
      </c>
    </row>
    <row r="1107" spans="2:10" ht="13.8">
      <c r="B1107" s="988">
        <f t="shared" si="17"/>
        <v>43132</v>
      </c>
      <c r="C1107" s="987" t="str">
        <f t="shared" si="18"/>
        <v xml:space="preserve">Market Return                    </v>
      </c>
      <c r="F1107" s="990">
        <v>-3.6900000000000002E-2</v>
      </c>
      <c r="H1107" s="987">
        <v>2.2000000000000001E-3</v>
      </c>
      <c r="I1107" s="987">
        <f t="shared" si="20"/>
        <v>-3.9100000000000003E-2</v>
      </c>
      <c r="J1107" s="988">
        <f t="shared" si="19"/>
        <v>43132</v>
      </c>
    </row>
    <row r="1108" spans="2:10" ht="13.8">
      <c r="B1108" s="988">
        <f t="shared" si="17"/>
        <v>43160</v>
      </c>
      <c r="C1108" s="987" t="str">
        <f t="shared" si="18"/>
        <v xml:space="preserve">Market Return                    </v>
      </c>
      <c r="F1108" s="990">
        <v>-2.5399999999999999E-2</v>
      </c>
      <c r="H1108" s="987">
        <v>2.3999999999999998E-3</v>
      </c>
      <c r="I1108" s="987">
        <f t="shared" si="20"/>
        <v>-2.7799999999999998E-2</v>
      </c>
      <c r="J1108" s="988">
        <f t="shared" si="19"/>
        <v>43160</v>
      </c>
    </row>
    <row r="1109" spans="2:10" ht="13.8">
      <c r="B1109" s="988">
        <f t="shared" si="17"/>
        <v>43191</v>
      </c>
      <c r="C1109" s="987" t="str">
        <f t="shared" si="18"/>
        <v xml:space="preserve">Market Return                    </v>
      </c>
      <c r="F1109" s="990">
        <v>3.8E-3</v>
      </c>
      <c r="H1109" s="987">
        <v>2.5000000000000001E-3</v>
      </c>
      <c r="I1109" s="987">
        <f t="shared" si="20"/>
        <v>1.2999999999999999E-3</v>
      </c>
      <c r="J1109" s="988">
        <f t="shared" si="19"/>
        <v>43191</v>
      </c>
    </row>
    <row r="1110" spans="2:10" ht="13.8">
      <c r="B1110" s="988">
        <f t="shared" si="17"/>
        <v>43221</v>
      </c>
      <c r="C1110" s="987" t="str">
        <f t="shared" si="18"/>
        <v xml:space="preserve">Market Return                    </v>
      </c>
      <c r="F1110" s="990">
        <v>2.41E-2</v>
      </c>
      <c r="H1110" s="987">
        <v>2.5000000000000001E-3</v>
      </c>
      <c r="I1110" s="987">
        <f t="shared" si="20"/>
        <v>2.1600000000000001E-2</v>
      </c>
      <c r="J1110" s="988">
        <f t="shared" si="19"/>
        <v>43221</v>
      </c>
    </row>
    <row r="1111" spans="2:10" ht="13.8">
      <c r="B1111" s="988">
        <f t="shared" si="17"/>
        <v>43252</v>
      </c>
      <c r="C1111" s="987" t="str">
        <f t="shared" si="18"/>
        <v xml:space="preserve">Market Return                    </v>
      </c>
      <c r="F1111" s="990">
        <v>6.1999999999999998E-3</v>
      </c>
      <c r="H1111" s="987">
        <v>2.3E-3</v>
      </c>
      <c r="I1111" s="987">
        <f t="shared" si="20"/>
        <v>3.8999999999999998E-3</v>
      </c>
      <c r="J1111" s="988">
        <f t="shared" si="19"/>
        <v>43252</v>
      </c>
    </row>
    <row r="1112" spans="2:10" ht="13.8">
      <c r="B1112" s="988">
        <f t="shared" si="17"/>
        <v>43282</v>
      </c>
      <c r="C1112" s="987" t="str">
        <f t="shared" si="18"/>
        <v xml:space="preserve">Market Return                    </v>
      </c>
      <c r="F1112" s="990">
        <v>3.7199999999999997E-2</v>
      </c>
      <c r="H1112" s="987">
        <v>2.5000000000000001E-3</v>
      </c>
      <c r="I1112" s="987">
        <f t="shared" si="20"/>
        <v>3.4699999999999995E-2</v>
      </c>
      <c r="J1112" s="988">
        <f t="shared" si="19"/>
        <v>43282</v>
      </c>
    </row>
    <row r="1113" spans="2:10" ht="13.8">
      <c r="B1113" s="988">
        <f t="shared" si="17"/>
        <v>43313</v>
      </c>
      <c r="C1113" s="987" t="str">
        <f t="shared" si="18"/>
        <v xml:space="preserve">Market Return                    </v>
      </c>
      <c r="F1113" s="990">
        <v>3.2599999999999997E-2</v>
      </c>
      <c r="H1113" s="987">
        <v>2.5000000000000001E-3</v>
      </c>
      <c r="I1113" s="987">
        <f t="shared" si="20"/>
        <v>3.0099999999999998E-2</v>
      </c>
      <c r="J1113" s="988">
        <f t="shared" si="19"/>
        <v>43313</v>
      </c>
    </row>
    <row r="1114" spans="2:10" ht="13.8">
      <c r="B1114" s="988">
        <f t="shared" si="17"/>
        <v>43344</v>
      </c>
      <c r="C1114" s="987" t="str">
        <f t="shared" si="18"/>
        <v xml:space="preserve">Market Return                    </v>
      </c>
      <c r="F1114" s="990">
        <v>5.7000000000000002E-3</v>
      </c>
      <c r="H1114" s="987">
        <v>2.2000000000000001E-3</v>
      </c>
      <c r="I1114" s="987">
        <f t="shared" si="20"/>
        <v>3.5000000000000001E-3</v>
      </c>
      <c r="J1114" s="988">
        <f t="shared" si="19"/>
        <v>43344</v>
      </c>
    </row>
    <row r="1115" spans="2:10" ht="13.8">
      <c r="B1115" s="988">
        <f t="shared" si="17"/>
        <v>43374</v>
      </c>
      <c r="C1115" s="987" t="str">
        <f t="shared" si="18"/>
        <v xml:space="preserve">Market Return                    </v>
      </c>
      <c r="F1115" s="990">
        <v>-6.8400000000000002E-2</v>
      </c>
      <c r="H1115" s="987">
        <v>3.0000000000000001E-3</v>
      </c>
      <c r="I1115" s="987">
        <f t="shared" si="20"/>
        <v>-7.1400000000000005E-2</v>
      </c>
      <c r="J1115" s="988">
        <f t="shared" si="19"/>
        <v>43374</v>
      </c>
    </row>
    <row r="1116" spans="2:10" ht="13.8">
      <c r="B1116" s="988">
        <f t="shared" si="17"/>
        <v>43405</v>
      </c>
      <c r="C1116" s="987" t="str">
        <f t="shared" si="18"/>
        <v xml:space="preserve">Market Return                    </v>
      </c>
      <c r="F1116" s="990">
        <v>2.0400000000000001E-2</v>
      </c>
      <c r="H1116" s="987">
        <v>2.8E-3</v>
      </c>
      <c r="I1116" s="987">
        <f t="shared" si="20"/>
        <v>1.7600000000000001E-2</v>
      </c>
      <c r="J1116" s="988">
        <f t="shared" si="19"/>
        <v>43405</v>
      </c>
    </row>
    <row r="1117" spans="2:10" ht="13.8">
      <c r="B1117" s="988">
        <f t="shared" si="17"/>
        <v>43435</v>
      </c>
      <c r="C1117" s="987" t="str">
        <f t="shared" si="18"/>
        <v xml:space="preserve">Market Return                    </v>
      </c>
      <c r="F1117" s="990">
        <v>-9.0300000000000005E-2</v>
      </c>
      <c r="H1117" s="987">
        <v>2.7000000000000001E-3</v>
      </c>
      <c r="I1117" s="987">
        <f t="shared" si="20"/>
        <v>-9.2999999999999999E-2</v>
      </c>
      <c r="J1117" s="988">
        <f t="shared" si="19"/>
        <v>43435</v>
      </c>
    </row>
    <row r="1118" spans="2:10" ht="13.8">
      <c r="B1118" s="988">
        <f t="shared" si="17"/>
        <v>43466</v>
      </c>
      <c r="C1118" s="987" t="str">
        <f t="shared" si="18"/>
        <v xml:space="preserve">Market Return                    </v>
      </c>
      <c r="F1118" s="990">
        <v>8.0100000000000005E-2</v>
      </c>
      <c r="H1118" s="987">
        <v>2.5000000000000001E-3</v>
      </c>
      <c r="I1118" s="987">
        <f t="shared" si="20"/>
        <v>7.7600000000000002E-2</v>
      </c>
      <c r="J1118" s="988">
        <f t="shared" si="19"/>
        <v>43466</v>
      </c>
    </row>
    <row r="1119" spans="2:10" ht="13.8">
      <c r="B1119" s="988">
        <f t="shared" si="17"/>
        <v>43497</v>
      </c>
      <c r="C1119" s="987" t="str">
        <f t="shared" si="18"/>
        <v xml:space="preserve">Market Return                    </v>
      </c>
      <c r="F1119" s="990">
        <v>3.2099999999999997E-2</v>
      </c>
      <c r="H1119" s="987">
        <v>2.2000000000000001E-3</v>
      </c>
      <c r="I1119" s="987">
        <f t="shared" si="20"/>
        <v>2.9899999999999996E-2</v>
      </c>
      <c r="J1119" s="988">
        <f t="shared" si="19"/>
        <v>43497</v>
      </c>
    </row>
    <row r="1120" spans="2:10" ht="13.8">
      <c r="B1120" s="988">
        <f t="shared" si="17"/>
        <v>43525</v>
      </c>
      <c r="C1120" s="987" t="str">
        <f t="shared" si="18"/>
        <v xml:space="preserve">Market Return                    </v>
      </c>
      <c r="F1120" s="990">
        <v>1.9400000000000001E-2</v>
      </c>
      <c r="H1120" s="987">
        <v>2.3E-3</v>
      </c>
      <c r="I1120" s="987">
        <f t="shared" si="20"/>
        <v>1.7100000000000001E-2</v>
      </c>
      <c r="J1120" s="988">
        <f t="shared" si="19"/>
        <v>43525</v>
      </c>
    </row>
    <row r="1121" spans="2:10" ht="13.8">
      <c r="B1121" s="988">
        <f t="shared" si="17"/>
        <v>43556</v>
      </c>
      <c r="C1121" s="987" t="str">
        <f t="shared" si="18"/>
        <v xml:space="preserve">Market Return                    </v>
      </c>
      <c r="F1121" s="990">
        <v>4.0500000000000001E-2</v>
      </c>
      <c r="H1121" s="987">
        <v>2.3E-3</v>
      </c>
      <c r="I1121" s="987">
        <f t="shared" si="20"/>
        <v>3.8199999999999998E-2</v>
      </c>
      <c r="J1121" s="988">
        <f t="shared" si="19"/>
        <v>43556</v>
      </c>
    </row>
    <row r="1122" spans="2:10" ht="13.8">
      <c r="B1122" s="988">
        <f t="shared" si="17"/>
        <v>43586</v>
      </c>
      <c r="C1122" s="987" t="str">
        <f t="shared" si="18"/>
        <v xml:space="preserve">Market Return                    </v>
      </c>
      <c r="F1122" s="990">
        <v>-6.3500000000000001E-2</v>
      </c>
      <c r="H1122" s="987">
        <v>2.3E-3</v>
      </c>
      <c r="I1122" s="987">
        <f t="shared" si="20"/>
        <v>-6.5799999999999997E-2</v>
      </c>
      <c r="J1122" s="988">
        <f t="shared" si="19"/>
        <v>43586</v>
      </c>
    </row>
    <row r="1123" spans="2:10" ht="13.8">
      <c r="B1123" s="988">
        <f t="shared" si="17"/>
        <v>43617</v>
      </c>
      <c r="C1123" s="987" t="str">
        <f t="shared" si="18"/>
        <v xml:space="preserve">Market Return                    </v>
      </c>
      <c r="F1123" s="990">
        <v>7.0499999999999993E-2</v>
      </c>
      <c r="H1123" s="987">
        <v>1.8E-3</v>
      </c>
      <c r="I1123" s="987">
        <f t="shared" si="20"/>
        <v>6.8699999999999997E-2</v>
      </c>
      <c r="J1123" s="988">
        <f t="shared" si="19"/>
        <v>43617</v>
      </c>
    </row>
    <row r="1124" spans="2:10" ht="13.8">
      <c r="B1124" s="988">
        <f t="shared" si="17"/>
        <v>43647</v>
      </c>
      <c r="C1124" s="987" t="str">
        <f t="shared" si="18"/>
        <v xml:space="preserve">Market Return                    </v>
      </c>
      <c r="F1124" s="990">
        <v>1.44E-2</v>
      </c>
      <c r="H1124" s="987">
        <v>2.0999999999999999E-3</v>
      </c>
      <c r="I1124" s="987">
        <f t="shared" si="20"/>
        <v>1.23E-2</v>
      </c>
      <c r="J1124" s="988">
        <f t="shared" si="19"/>
        <v>43647</v>
      </c>
    </row>
    <row r="1125" spans="2:10" ht="13.8">
      <c r="B1125" s="988">
        <f t="shared" si="17"/>
        <v>43678</v>
      </c>
      <c r="C1125" s="987" t="str">
        <f t="shared" si="18"/>
        <v xml:space="preserve">Market Return                    </v>
      </c>
      <c r="F1125" s="990">
        <v>-1.5800000000000002E-2</v>
      </c>
      <c r="H1125" s="987">
        <v>1.9E-3</v>
      </c>
      <c r="I1125" s="987">
        <f t="shared" si="20"/>
        <v>-1.77E-2</v>
      </c>
      <c r="J1125" s="988">
        <f t="shared" si="19"/>
        <v>43678</v>
      </c>
    </row>
    <row r="1126" spans="2:10" ht="13.8">
      <c r="B1126" s="988">
        <f t="shared" si="17"/>
        <v>43709</v>
      </c>
      <c r="C1126" s="987" t="str">
        <f t="shared" si="18"/>
        <v xml:space="preserve">Market Return                    </v>
      </c>
      <c r="F1126" s="990">
        <v>1.8700000000000001E-2</v>
      </c>
      <c r="H1126" s="987">
        <v>1.5E-3</v>
      </c>
      <c r="I1126" s="987">
        <f t="shared" si="20"/>
        <v>1.72E-2</v>
      </c>
      <c r="J1126" s="988">
        <f t="shared" si="19"/>
        <v>43709</v>
      </c>
    </row>
    <row r="1127" spans="2:10" ht="13.8">
      <c r="B1127" s="988">
        <f t="shared" si="17"/>
        <v>43739</v>
      </c>
      <c r="C1127" s="987" t="str">
        <f t="shared" si="18"/>
        <v xml:space="preserve">Market Return                    </v>
      </c>
      <c r="F1127" s="990">
        <v>2.1700000000000001E-2</v>
      </c>
      <c r="H1127" s="987">
        <v>1.6000000000000001E-3</v>
      </c>
      <c r="I1127" s="987">
        <f t="shared" si="20"/>
        <v>2.01E-2</v>
      </c>
      <c r="J1127" s="988">
        <f t="shared" si="19"/>
        <v>43739</v>
      </c>
    </row>
    <row r="1128" spans="2:10" ht="13.8">
      <c r="B1128" s="988">
        <f t="shared" si="17"/>
        <v>43770</v>
      </c>
      <c r="C1128" s="987" t="str">
        <f t="shared" si="18"/>
        <v xml:space="preserve">Market Return                    </v>
      </c>
      <c r="F1128" s="990">
        <v>3.6299999999999999E-2</v>
      </c>
      <c r="H1128" s="987">
        <v>1.6000000000000001E-3</v>
      </c>
      <c r="I1128" s="987">
        <f t="shared" si="20"/>
        <v>3.4700000000000002E-2</v>
      </c>
      <c r="J1128" s="988">
        <f t="shared" si="19"/>
        <v>43770</v>
      </c>
    </row>
    <row r="1129" spans="2:10" ht="13.8">
      <c r="B1129" s="988">
        <f t="shared" si="17"/>
        <v>43800</v>
      </c>
      <c r="C1129" s="987" t="str">
        <f t="shared" si="18"/>
        <v xml:space="preserve">Market Return                    </v>
      </c>
      <c r="F1129" s="990">
        <v>3.0200000000000001E-2</v>
      </c>
      <c r="H1129" s="987">
        <v>1.8E-3</v>
      </c>
      <c r="I1129" s="987">
        <f t="shared" si="20"/>
        <v>2.8400000000000002E-2</v>
      </c>
      <c r="J1129" s="988">
        <f t="shared" si="19"/>
        <v>43800</v>
      </c>
    </row>
    <row r="1130" spans="2:10" ht="13.8">
      <c r="B1130" s="988">
        <f t="shared" si="17"/>
        <v>43831</v>
      </c>
      <c r="C1130" s="987" t="str">
        <f t="shared" si="18"/>
        <v xml:space="preserve">Market Return                    </v>
      </c>
      <c r="F1130" s="990">
        <v>-4.0000000000000002E-4</v>
      </c>
      <c r="H1130" s="987">
        <v>2E-3</v>
      </c>
      <c r="I1130" s="987">
        <f t="shared" si="20"/>
        <v>-2.4000000000000002E-3</v>
      </c>
      <c r="J1130" s="988">
        <f t="shared" si="19"/>
        <v>43831</v>
      </c>
    </row>
    <row r="1131" spans="2:10" ht="13.8">
      <c r="B1131" s="988">
        <f t="shared" si="17"/>
        <v>43862</v>
      </c>
      <c r="C1131" s="987" t="str">
        <f t="shared" si="18"/>
        <v xml:space="preserve">Market Return                    </v>
      </c>
      <c r="F1131" s="990">
        <v>-8.2299999999999998E-2</v>
      </c>
      <c r="H1131" s="987">
        <v>1.5E-3</v>
      </c>
      <c r="I1131" s="987">
        <f t="shared" si="20"/>
        <v>-8.3799999999999999E-2</v>
      </c>
      <c r="J1131" s="988">
        <f t="shared" si="19"/>
        <v>43862</v>
      </c>
    </row>
    <row r="1132" spans="2:10" ht="13.8">
      <c r="B1132" s="988">
        <f t="shared" si="17"/>
        <v>43891</v>
      </c>
      <c r="C1132" s="987" t="str">
        <f t="shared" si="18"/>
        <v xml:space="preserve">Market Return                    </v>
      </c>
      <c r="F1132" s="990">
        <v>-0.1235</v>
      </c>
      <c r="H1132" s="987">
        <v>1.23E-3</v>
      </c>
      <c r="I1132" s="987">
        <f t="shared" si="20"/>
        <v>-0.12472999999999999</v>
      </c>
      <c r="J1132" s="988">
        <f t="shared" si="19"/>
        <v>43891</v>
      </c>
    </row>
    <row r="1133" spans="2:10" ht="13.8">
      <c r="B1133" s="988">
        <f t="shared" si="17"/>
        <v>43922</v>
      </c>
      <c r="C1133" s="987" t="str">
        <f t="shared" si="18"/>
        <v xml:space="preserve">Market Return                    </v>
      </c>
      <c r="F1133" s="990">
        <v>0.12820000000000001</v>
      </c>
      <c r="H1133" s="987">
        <v>8.9999999999999998E-4</v>
      </c>
      <c r="I1133" s="987">
        <f t="shared" si="20"/>
        <v>0.1273</v>
      </c>
      <c r="J1133" s="988">
        <f t="shared" si="19"/>
        <v>43922</v>
      </c>
    </row>
    <row r="1134" spans="2:10" ht="13.8">
      <c r="B1134" s="988">
        <f t="shared" si="17"/>
        <v>43952</v>
      </c>
      <c r="C1134" s="987" t="str">
        <f t="shared" si="18"/>
        <v xml:space="preserve">Market Return                    </v>
      </c>
      <c r="F1134" s="990">
        <v>4.7600000000000003E-2</v>
      </c>
      <c r="H1134" s="987">
        <v>8.9999999999999998E-4</v>
      </c>
      <c r="I1134" s="987">
        <f t="shared" si="20"/>
        <v>4.6700000000000005E-2</v>
      </c>
      <c r="J1134" s="988">
        <f t="shared" si="19"/>
        <v>43952</v>
      </c>
    </row>
    <row r="1135" spans="2:10" ht="13.8">
      <c r="B1135" s="988">
        <f t="shared" si="17"/>
        <v>43983</v>
      </c>
      <c r="C1135" s="987" t="str">
        <f t="shared" si="18"/>
        <v xml:space="preserve">Market Return                    </v>
      </c>
      <c r="F1135" s="990">
        <v>1.9900000000000001E-2</v>
      </c>
      <c r="H1135" s="987">
        <v>8.9999999999999998E-4</v>
      </c>
      <c r="I1135" s="987">
        <f t="shared" si="20"/>
        <v>1.9E-2</v>
      </c>
      <c r="J1135" s="988">
        <f t="shared" si="19"/>
        <v>43983</v>
      </c>
    </row>
    <row r="1136" spans="2:10" ht="13.8">
      <c r="B1136" s="988">
        <f t="shared" si="17"/>
        <v>44013</v>
      </c>
      <c r="C1136" s="987" t="str">
        <f t="shared" si="18"/>
        <v xml:space="preserve">Market Return                    </v>
      </c>
      <c r="F1136" s="990">
        <v>5.6399999999999999E-2</v>
      </c>
      <c r="H1136" s="987">
        <v>1E-3</v>
      </c>
      <c r="I1136" s="987">
        <f t="shared" si="20"/>
        <v>5.5399999999999998E-2</v>
      </c>
      <c r="J1136" s="988">
        <f t="shared" si="19"/>
        <v>44013</v>
      </c>
    </row>
    <row r="1137" spans="2:10" ht="13.8">
      <c r="B1137" s="988">
        <f t="shared" si="17"/>
        <v>44044</v>
      </c>
      <c r="C1137" s="987" t="str">
        <f t="shared" si="18"/>
        <v xml:space="preserve">Market Return                    </v>
      </c>
      <c r="F1137" s="990">
        <v>7.1900000000000006E-2</v>
      </c>
      <c r="H1137" s="987">
        <v>8.0000000000000004E-4</v>
      </c>
      <c r="I1137" s="987">
        <f t="shared" si="20"/>
        <v>7.110000000000001E-2</v>
      </c>
      <c r="J1137" s="988">
        <f t="shared" si="19"/>
        <v>44044</v>
      </c>
    </row>
    <row r="1138" spans="2:10" ht="13.8">
      <c r="B1138" s="988">
        <f t="shared" si="17"/>
        <v>44075</v>
      </c>
      <c r="C1138" s="987" t="str">
        <f t="shared" si="18"/>
        <v xml:space="preserve">Market Return                    </v>
      </c>
      <c r="F1138" s="990">
        <v>-3.7999999999999999E-2</v>
      </c>
      <c r="H1138" s="987">
        <v>0</v>
      </c>
      <c r="I1138" s="987">
        <f t="shared" si="20"/>
        <v>-3.7999999999999999E-2</v>
      </c>
      <c r="J1138" s="988">
        <f t="shared" si="19"/>
        <v>44075</v>
      </c>
    </row>
    <row r="1139" spans="2:10" ht="13.8">
      <c r="B1139" s="988">
        <f t="shared" ref="B1139:B1165" si="21">DATE(YEAR(B1138),MONTH(B1138) + 1,1)</f>
        <v>44105</v>
      </c>
      <c r="C1139" s="987" t="str">
        <f t="shared" ref="C1139:C1165" si="22">C1138</f>
        <v xml:space="preserve">Market Return                    </v>
      </c>
      <c r="F1139" s="990">
        <v>-2.6599999999999999E-2</v>
      </c>
      <c r="H1139" s="987">
        <v>8.9999999999999998E-4</v>
      </c>
      <c r="I1139" s="987">
        <f t="shared" si="20"/>
        <v>-2.75E-2</v>
      </c>
      <c r="J1139" s="988">
        <f t="shared" ref="J1139:J1165" si="23">B1139</f>
        <v>44105</v>
      </c>
    </row>
    <row r="1140" spans="2:10" ht="13.8">
      <c r="B1140" s="988">
        <f t="shared" si="21"/>
        <v>44136</v>
      </c>
      <c r="C1140" s="987" t="str">
        <f t="shared" si="22"/>
        <v xml:space="preserve">Market Return                    </v>
      </c>
      <c r="F1140" s="990">
        <v>0.1095</v>
      </c>
      <c r="H1140" s="987">
        <v>1.1000000000000001E-3</v>
      </c>
      <c r="I1140" s="987">
        <f t="shared" si="20"/>
        <v>0.1084</v>
      </c>
      <c r="J1140" s="988">
        <f t="shared" si="23"/>
        <v>44136</v>
      </c>
    </row>
    <row r="1141" spans="2:10" ht="13.8">
      <c r="B1141" s="988">
        <f t="shared" si="21"/>
        <v>44166</v>
      </c>
      <c r="C1141" s="987" t="str">
        <f t="shared" si="22"/>
        <v xml:space="preserve">Market Return                    </v>
      </c>
      <c r="F1141" s="990">
        <v>3.8399999999999997E-2</v>
      </c>
      <c r="H1141" s="987">
        <v>1.1000000000000001E-3</v>
      </c>
      <c r="I1141" s="987">
        <f t="shared" si="20"/>
        <v>3.73E-2</v>
      </c>
      <c r="J1141" s="988">
        <f t="shared" si="23"/>
        <v>44166</v>
      </c>
    </row>
    <row r="1142" spans="2:10" ht="13.8">
      <c r="B1142" s="988">
        <f t="shared" si="21"/>
        <v>44197</v>
      </c>
      <c r="C1142" s="987" t="str">
        <f t="shared" si="22"/>
        <v xml:space="preserve">Market Return                    </v>
      </c>
      <c r="F1142" s="990">
        <v>-1.01E-2</v>
      </c>
      <c r="H1142" s="987">
        <v>1.1000000000000001E-3</v>
      </c>
      <c r="I1142" s="987">
        <f t="shared" si="20"/>
        <v>-1.12E-2</v>
      </c>
      <c r="J1142" s="988">
        <f t="shared" si="23"/>
        <v>44197</v>
      </c>
    </row>
    <row r="1143" spans="2:10" ht="13.8">
      <c r="B1143" s="988">
        <f t="shared" si="21"/>
        <v>44228</v>
      </c>
      <c r="C1143" s="987" t="str">
        <f t="shared" si="22"/>
        <v xml:space="preserve">Market Return                    </v>
      </c>
      <c r="F1143" s="990">
        <v>2.76E-2</v>
      </c>
      <c r="H1143" s="987">
        <v>1.1999999999999999E-3</v>
      </c>
      <c r="I1143" s="987">
        <f t="shared" si="20"/>
        <v>2.64E-2</v>
      </c>
      <c r="J1143" s="988">
        <f t="shared" si="23"/>
        <v>44228</v>
      </c>
    </row>
    <row r="1144" spans="2:10" ht="13.8">
      <c r="B1144" s="988">
        <f t="shared" si="21"/>
        <v>44256</v>
      </c>
      <c r="C1144" s="987" t="str">
        <f t="shared" si="22"/>
        <v xml:space="preserve">Market Return                    </v>
      </c>
      <c r="F1144" s="990">
        <v>4.3799999999999999E-2</v>
      </c>
      <c r="H1144" s="987">
        <v>1.8E-3</v>
      </c>
      <c r="I1144" s="987">
        <f t="shared" si="20"/>
        <v>4.1999999999999996E-2</v>
      </c>
      <c r="J1144" s="988">
        <f t="shared" si="23"/>
        <v>44256</v>
      </c>
    </row>
    <row r="1145" spans="2:10" ht="13.8">
      <c r="B1145" s="988">
        <f t="shared" si="21"/>
        <v>44287</v>
      </c>
      <c r="C1145" s="987" t="str">
        <f t="shared" si="22"/>
        <v xml:space="preserve">Market Return                    </v>
      </c>
      <c r="F1145" s="990">
        <v>5.3400000000000003E-2</v>
      </c>
      <c r="H1145" s="987">
        <v>1.9E-3</v>
      </c>
      <c r="I1145" s="987">
        <f t="shared" si="20"/>
        <v>5.1500000000000004E-2</v>
      </c>
      <c r="J1145" s="988">
        <f t="shared" si="23"/>
        <v>44287</v>
      </c>
    </row>
    <row r="1146" spans="2:10" ht="13.8">
      <c r="B1146" s="988">
        <f t="shared" si="21"/>
        <v>44317</v>
      </c>
      <c r="C1146" s="987" t="str">
        <f t="shared" si="22"/>
        <v xml:space="preserve">Market Return                    </v>
      </c>
      <c r="F1146" s="990">
        <v>7.0000000000000001E-3</v>
      </c>
      <c r="H1146" s="987">
        <v>1.8E-3</v>
      </c>
      <c r="I1146" s="987">
        <f t="shared" si="20"/>
        <v>5.1999999999999998E-3</v>
      </c>
      <c r="J1146" s="988">
        <f t="shared" si="23"/>
        <v>44317</v>
      </c>
    </row>
    <row r="1147" spans="2:10" ht="13.8">
      <c r="B1147" s="988">
        <f t="shared" si="21"/>
        <v>44348</v>
      </c>
      <c r="C1147" s="987" t="str">
        <f t="shared" si="22"/>
        <v xml:space="preserve">Market Return                    </v>
      </c>
      <c r="F1147" s="990">
        <v>2.3300000000000001E-2</v>
      </c>
      <c r="H1147" s="987">
        <v>1.6999999999999999E-3</v>
      </c>
      <c r="I1147" s="987">
        <f t="shared" si="20"/>
        <v>2.1600000000000001E-2</v>
      </c>
      <c r="J1147" s="988">
        <f t="shared" si="23"/>
        <v>44348</v>
      </c>
    </row>
    <row r="1148" spans="2:10" ht="13.8">
      <c r="B1148" s="988">
        <f t="shared" si="21"/>
        <v>44378</v>
      </c>
      <c r="C1148" s="987" t="str">
        <f t="shared" si="22"/>
        <v xml:space="preserve">Market Return                    </v>
      </c>
      <c r="F1148" s="990">
        <v>2.3800000000000002E-2</v>
      </c>
      <c r="H1148" s="987">
        <v>1.6000000000000001E-3</v>
      </c>
      <c r="I1148" s="987">
        <f t="shared" si="20"/>
        <v>2.2200000000000001E-2</v>
      </c>
      <c r="J1148" s="988">
        <f t="shared" si="23"/>
        <v>44378</v>
      </c>
    </row>
    <row r="1149" spans="2:10" ht="13.8">
      <c r="B1149" s="988">
        <f t="shared" si="21"/>
        <v>44409</v>
      </c>
      <c r="C1149" s="987" t="str">
        <f t="shared" si="22"/>
        <v xml:space="preserve">Market Return                    </v>
      </c>
      <c r="F1149" s="990">
        <v>3.04E-2</v>
      </c>
      <c r="H1149" s="987">
        <v>1.5E-3</v>
      </c>
      <c r="I1149" s="987">
        <f t="shared" si="20"/>
        <v>2.8899999999999999E-2</v>
      </c>
      <c r="J1149" s="988">
        <f t="shared" si="23"/>
        <v>44409</v>
      </c>
    </row>
    <row r="1150" spans="2:10" ht="13.8">
      <c r="B1150" s="988">
        <f t="shared" si="21"/>
        <v>44440</v>
      </c>
      <c r="C1150" s="987" t="str">
        <f t="shared" si="22"/>
        <v xml:space="preserve">Market Return                    </v>
      </c>
      <c r="F1150" s="990">
        <v>-4.65E-2</v>
      </c>
      <c r="H1150" s="987">
        <v>1.4E-3</v>
      </c>
      <c r="I1150" s="987">
        <f t="shared" si="20"/>
        <v>-4.7899999999999998E-2</v>
      </c>
      <c r="J1150" s="988">
        <f t="shared" si="23"/>
        <v>44440</v>
      </c>
    </row>
    <row r="1151" spans="2:10" ht="13.8">
      <c r="B1151" s="988">
        <f t="shared" si="21"/>
        <v>44470</v>
      </c>
      <c r="C1151" s="987" t="str">
        <f t="shared" si="22"/>
        <v xml:space="preserve">Market Return                    </v>
      </c>
      <c r="F1151" s="990">
        <v>7.0099999999999996E-2</v>
      </c>
      <c r="H1151" s="987">
        <v>1.5E-3</v>
      </c>
      <c r="I1151" s="987">
        <f t="shared" si="20"/>
        <v>6.8599999999999994E-2</v>
      </c>
      <c r="J1151" s="988">
        <f t="shared" si="23"/>
        <v>44470</v>
      </c>
    </row>
    <row r="1152" spans="2:10" ht="13.8">
      <c r="B1152" s="988">
        <f t="shared" si="21"/>
        <v>44501</v>
      </c>
      <c r="C1152" s="987" t="str">
        <f t="shared" si="22"/>
        <v xml:space="preserve">Market Return                    </v>
      </c>
      <c r="F1152" s="990">
        <v>-6.8999999999999999E-3</v>
      </c>
      <c r="H1152" s="987">
        <v>1.6999999999999999E-3</v>
      </c>
      <c r="I1152" s="987">
        <f t="shared" si="20"/>
        <v>-8.6E-3</v>
      </c>
      <c r="J1152" s="988">
        <f t="shared" si="23"/>
        <v>44501</v>
      </c>
    </row>
    <row r="1153" spans="2:10" ht="13.8">
      <c r="B1153" s="988">
        <f t="shared" si="21"/>
        <v>44531</v>
      </c>
      <c r="C1153" s="987" t="str">
        <f t="shared" si="22"/>
        <v xml:space="preserve">Market Return                    </v>
      </c>
      <c r="F1153" s="990">
        <v>4.48E-2</v>
      </c>
      <c r="H1153" s="987">
        <v>1.5E-3</v>
      </c>
      <c r="I1153" s="987">
        <f t="shared" si="20"/>
        <v>4.3299999999999998E-2</v>
      </c>
      <c r="J1153" s="988">
        <f t="shared" si="23"/>
        <v>44531</v>
      </c>
    </row>
    <row r="1154" spans="2:10" ht="13.8">
      <c r="B1154" s="988">
        <f t="shared" si="21"/>
        <v>44562</v>
      </c>
      <c r="C1154" s="987" t="str">
        <f t="shared" si="22"/>
        <v xml:space="preserve">Market Return                    </v>
      </c>
      <c r="F1154" s="990">
        <v>-5.174682327495575E-2</v>
      </c>
      <c r="H1154" s="987">
        <v>1.7500000000000003E-3</v>
      </c>
      <c r="I1154" s="987">
        <f t="shared" ref="I1154:I1165" si="24">F1154-H1154</f>
        <v>-5.3496823274955752E-2</v>
      </c>
      <c r="J1154" s="988">
        <f t="shared" si="23"/>
        <v>44562</v>
      </c>
    </row>
    <row r="1155" spans="2:10" ht="13.8">
      <c r="B1155" s="988">
        <f t="shared" si="21"/>
        <v>44593</v>
      </c>
      <c r="C1155" s="987" t="str">
        <f t="shared" si="22"/>
        <v xml:space="preserve">Market Return                    </v>
      </c>
      <c r="F1155" s="990">
        <v>-2.7673940223359828E-2</v>
      </c>
      <c r="H1155" s="987">
        <v>1.8749999999999999E-3</v>
      </c>
      <c r="I1155" s="987">
        <f t="shared" si="24"/>
        <v>-2.9548940223359826E-2</v>
      </c>
      <c r="J1155" s="988">
        <f t="shared" si="23"/>
        <v>44593</v>
      </c>
    </row>
    <row r="1156" spans="2:10" ht="13.8">
      <c r="B1156" s="988">
        <f t="shared" si="21"/>
        <v>44621</v>
      </c>
      <c r="C1156" s="987" t="str">
        <f t="shared" si="22"/>
        <v xml:space="preserve">Market Return                    </v>
      </c>
      <c r="F1156" s="990">
        <v>5.3549987644738721E-2</v>
      </c>
      <c r="H1156" s="987">
        <v>2.0083333333333333E-3</v>
      </c>
      <c r="I1156" s="987">
        <f t="shared" si="24"/>
        <v>5.1541654311405387E-2</v>
      </c>
      <c r="J1156" s="988">
        <f t="shared" si="23"/>
        <v>44621</v>
      </c>
    </row>
    <row r="1157" spans="2:10" ht="13.8">
      <c r="B1157" s="988">
        <f t="shared" si="21"/>
        <v>44652</v>
      </c>
      <c r="C1157" s="987" t="str">
        <f t="shared" si="22"/>
        <v xml:space="preserve">Market Return                    </v>
      </c>
      <c r="F1157" s="990">
        <v>-5.290392192672539E-2</v>
      </c>
      <c r="H1157" s="987">
        <v>2.3416666666666668E-3</v>
      </c>
      <c r="I1157" s="987">
        <f t="shared" si="24"/>
        <v>-5.5245588593392056E-2</v>
      </c>
      <c r="J1157" s="988">
        <f t="shared" si="23"/>
        <v>44652</v>
      </c>
    </row>
    <row r="1158" spans="2:10" ht="13.8">
      <c r="B1158" s="988">
        <f t="shared" si="21"/>
        <v>44682</v>
      </c>
      <c r="C1158" s="987" t="str">
        <f t="shared" si="22"/>
        <v xml:space="preserve">Market Return                    </v>
      </c>
      <c r="F1158" s="990">
        <v>8.0697739934342868E-3</v>
      </c>
      <c r="H1158" s="987">
        <v>2.558333333333333E-3</v>
      </c>
      <c r="I1158" s="987">
        <f t="shared" si="24"/>
        <v>5.5114406601009542E-3</v>
      </c>
      <c r="J1158" s="988">
        <f t="shared" si="23"/>
        <v>44682</v>
      </c>
    </row>
    <row r="1159" spans="2:10" ht="13.8">
      <c r="B1159" s="988">
        <f t="shared" si="21"/>
        <v>44713</v>
      </c>
      <c r="C1159" s="987" t="str">
        <f t="shared" si="22"/>
        <v xml:space="preserve">Market Return                    </v>
      </c>
      <c r="F1159" s="990">
        <v>-7.4590822486972894E-2</v>
      </c>
      <c r="H1159" s="987">
        <v>2.708333333333333E-3</v>
      </c>
      <c r="I1159" s="987">
        <f t="shared" si="24"/>
        <v>-7.729915582030622E-2</v>
      </c>
      <c r="J1159" s="988">
        <f t="shared" si="23"/>
        <v>44713</v>
      </c>
    </row>
    <row r="1160" spans="2:10" ht="13.8">
      <c r="B1160" s="988">
        <f t="shared" si="21"/>
        <v>44743</v>
      </c>
      <c r="C1160" s="987" t="str">
        <f t="shared" si="22"/>
        <v xml:space="preserve">Market Return                    </v>
      </c>
      <c r="F1160" s="990">
        <v>9.2204472923388181E-2</v>
      </c>
      <c r="H1160" s="987">
        <v>2.5833333333333337E-3</v>
      </c>
      <c r="I1160" s="987">
        <f t="shared" si="24"/>
        <v>8.9621139590054841E-2</v>
      </c>
      <c r="J1160" s="988">
        <f t="shared" si="23"/>
        <v>44743</v>
      </c>
    </row>
    <row r="1161" spans="2:10" ht="13.8">
      <c r="B1161" s="988">
        <f t="shared" si="21"/>
        <v>44774</v>
      </c>
      <c r="C1161" s="987" t="str">
        <f t="shared" si="22"/>
        <v xml:space="preserve">Market Return                    </v>
      </c>
      <c r="F1161" s="990">
        <v>-4.0781356308831278E-2</v>
      </c>
      <c r="H1161" s="987">
        <v>2.6083333333333332E-3</v>
      </c>
      <c r="I1161" s="987">
        <f t="shared" si="24"/>
        <v>-4.3389689642164608E-2</v>
      </c>
      <c r="J1161" s="988">
        <f t="shared" si="23"/>
        <v>44774</v>
      </c>
    </row>
    <row r="1162" spans="2:10">
      <c r="B1162" s="988">
        <f t="shared" si="21"/>
        <v>44805</v>
      </c>
      <c r="C1162" s="987" t="str">
        <f t="shared" si="22"/>
        <v xml:space="preserve">Market Return                    </v>
      </c>
      <c r="F1162" s="987">
        <v>-9.2099512563258087E-2</v>
      </c>
      <c r="H1162" s="987">
        <v>2.9666666666666669E-3</v>
      </c>
      <c r="I1162" s="987">
        <f t="shared" si="24"/>
        <v>-9.506617922992476E-2</v>
      </c>
      <c r="J1162" s="988">
        <f t="shared" si="23"/>
        <v>44805</v>
      </c>
    </row>
    <row r="1163" spans="2:10">
      <c r="B1163" s="988">
        <f t="shared" si="21"/>
        <v>44835</v>
      </c>
      <c r="C1163" s="987" t="str">
        <f t="shared" si="22"/>
        <v xml:space="preserve">Market Return                    </v>
      </c>
      <c r="F1163" s="987">
        <v>8.9038213159300009E-2</v>
      </c>
      <c r="H1163" s="987">
        <v>3.3666666666666667E-3</v>
      </c>
      <c r="I1163" s="987">
        <f t="shared" si="24"/>
        <v>8.5671546492633338E-2</v>
      </c>
      <c r="J1163" s="988">
        <f t="shared" si="23"/>
        <v>44835</v>
      </c>
    </row>
    <row r="1164" spans="2:10">
      <c r="B1164" s="988">
        <f t="shared" si="21"/>
        <v>44866</v>
      </c>
      <c r="C1164" s="987" t="str">
        <f t="shared" si="22"/>
        <v xml:space="preserve">Market Return                    </v>
      </c>
      <c r="F1164" s="987">
        <v>5.5884750629661535E-2</v>
      </c>
      <c r="H1164" s="987">
        <v>3.3333333333333331E-3</v>
      </c>
      <c r="I1164" s="987">
        <f t="shared" si="24"/>
        <v>5.2551417296328201E-2</v>
      </c>
      <c r="J1164" s="988">
        <f t="shared" si="23"/>
        <v>44866</v>
      </c>
    </row>
    <row r="1165" spans="2:10">
      <c r="B1165" s="988">
        <f t="shared" si="21"/>
        <v>44896</v>
      </c>
      <c r="C1165" s="987" t="str">
        <f t="shared" si="22"/>
        <v xml:space="preserve">Market Return                    </v>
      </c>
      <c r="F1165" s="987">
        <v>-5.5270799723438513E-2</v>
      </c>
      <c r="H1165" s="987">
        <v>3.0499999999999998E-3</v>
      </c>
      <c r="I1165" s="987">
        <f t="shared" si="24"/>
        <v>-5.832079972343851E-2</v>
      </c>
      <c r="J1165" s="988">
        <f t="shared" si="23"/>
        <v>44896</v>
      </c>
    </row>
  </sheetData>
  <conditionalFormatting sqref="E796:E1026">
    <cfRule type="cellIs" dxfId="16" priority="1" stopIfTrue="1" operator="lessThan">
      <formula>0</formula>
    </cfRule>
  </conditionalFormatting>
  <conditionalFormatting sqref="F796:F1026">
    <cfRule type="cellIs" dxfId="15" priority="2" stopIfTrue="1" operator="lessThan">
      <formula>-1</formula>
    </cfRule>
  </conditionalFormatting>
  <pageMargins left="0.70000000000000007" right="0.70000000000000007" top="0.75" bottom="0.75" header="0.30000000000000004" footer="0.30000000000000004"/>
  <pageSetup paperSize="0" scale="84" fitToWidth="0" fitToHeight="0" orientation="portrait" horizontalDpi="0" verticalDpi="0" copie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63"/>
  <sheetViews>
    <sheetView workbookViewId="0"/>
  </sheetViews>
  <sheetFormatPr defaultColWidth="9" defaultRowHeight="13.2"/>
  <cols>
    <col min="1" max="1" width="12.109375" style="987" bestFit="1" customWidth="1"/>
    <col min="2" max="2" width="10.5546875" style="988" bestFit="1" customWidth="1"/>
    <col min="3" max="3" width="22.88671875" style="987" customWidth="1"/>
    <col min="4" max="4" width="7.109375" style="987" bestFit="1" customWidth="1"/>
    <col min="5" max="5" width="8.5546875" style="987" bestFit="1" customWidth="1"/>
    <col min="6" max="6" width="9.109375" style="987" bestFit="1" customWidth="1"/>
    <col min="7" max="7" width="9.44140625" style="987" bestFit="1" customWidth="1"/>
    <col min="8" max="8" width="12.44140625" style="987" bestFit="1" customWidth="1"/>
    <col min="9" max="9" width="9.6640625" style="987" bestFit="1" customWidth="1"/>
    <col min="10" max="10" width="10.109375" style="988" bestFit="1" customWidth="1"/>
    <col min="11" max="11" width="9.5546875" style="987" customWidth="1"/>
    <col min="12" max="16384" width="9" style="987"/>
  </cols>
  <sheetData>
    <row r="1" spans="1:10" ht="26.4">
      <c r="A1" s="984" t="s">
        <v>4619</v>
      </c>
      <c r="B1" s="985" t="s">
        <v>4620</v>
      </c>
      <c r="C1" s="984" t="s">
        <v>4621</v>
      </c>
      <c r="D1" s="984" t="s">
        <v>181</v>
      </c>
      <c r="E1" s="984" t="s">
        <v>4622</v>
      </c>
      <c r="F1" s="984" t="s">
        <v>4623</v>
      </c>
      <c r="G1" s="984" t="s">
        <v>4624</v>
      </c>
      <c r="H1" s="986" t="s">
        <v>4627</v>
      </c>
      <c r="I1" s="987" t="s">
        <v>1482</v>
      </c>
      <c r="J1" s="985" t="s">
        <v>4620</v>
      </c>
    </row>
    <row r="2" spans="1:10">
      <c r="B2" s="988">
        <v>9498</v>
      </c>
      <c r="H2" s="986"/>
      <c r="I2" s="986"/>
      <c r="J2" s="988">
        <v>9498</v>
      </c>
    </row>
    <row r="3" spans="1:10">
      <c r="B3" s="988">
        <v>9529</v>
      </c>
      <c r="H3" s="986"/>
      <c r="I3" s="986"/>
      <c r="J3" s="988">
        <v>9529</v>
      </c>
    </row>
    <row r="4" spans="1:10">
      <c r="B4" s="988">
        <v>9557</v>
      </c>
      <c r="H4" s="986"/>
      <c r="I4" s="986"/>
      <c r="J4" s="988">
        <v>9557</v>
      </c>
    </row>
    <row r="5" spans="1:10">
      <c r="B5" s="988">
        <v>9588</v>
      </c>
      <c r="H5" s="986"/>
      <c r="I5" s="986"/>
      <c r="J5" s="988">
        <v>9588</v>
      </c>
    </row>
    <row r="6" spans="1:10">
      <c r="B6" s="988">
        <v>9618</v>
      </c>
      <c r="H6" s="986"/>
      <c r="I6" s="986"/>
      <c r="J6" s="988">
        <v>9618</v>
      </c>
    </row>
    <row r="7" spans="1:10">
      <c r="B7" s="988">
        <v>9649</v>
      </c>
      <c r="H7" s="986"/>
      <c r="I7" s="986"/>
      <c r="J7" s="988">
        <v>9649</v>
      </c>
    </row>
    <row r="8" spans="1:10">
      <c r="B8" s="988">
        <v>9679</v>
      </c>
      <c r="H8" s="986"/>
      <c r="I8" s="986"/>
      <c r="J8" s="988">
        <v>9679</v>
      </c>
    </row>
    <row r="9" spans="1:10">
      <c r="B9" s="988">
        <v>9710</v>
      </c>
      <c r="H9" s="986"/>
      <c r="I9" s="986"/>
      <c r="J9" s="988">
        <v>9710</v>
      </c>
    </row>
    <row r="10" spans="1:10">
      <c r="B10" s="988">
        <v>9741</v>
      </c>
      <c r="H10" s="986"/>
      <c r="I10" s="986"/>
      <c r="J10" s="988">
        <v>9741</v>
      </c>
    </row>
    <row r="11" spans="1:10">
      <c r="B11" s="988">
        <v>9771</v>
      </c>
      <c r="H11" s="986"/>
      <c r="I11" s="986"/>
      <c r="J11" s="988">
        <v>9771</v>
      </c>
    </row>
    <row r="12" spans="1:10">
      <c r="B12" s="988">
        <v>9802</v>
      </c>
      <c r="H12" s="986"/>
      <c r="I12" s="986"/>
      <c r="J12" s="988">
        <v>9802</v>
      </c>
    </row>
    <row r="13" spans="1:10">
      <c r="B13" s="988">
        <v>9832</v>
      </c>
      <c r="H13" s="986"/>
      <c r="I13" s="986"/>
      <c r="J13" s="988">
        <v>9832</v>
      </c>
    </row>
    <row r="14" spans="1:10">
      <c r="B14" s="988">
        <v>9863</v>
      </c>
      <c r="H14" s="986"/>
      <c r="I14" s="986"/>
      <c r="J14" s="988">
        <v>9863</v>
      </c>
    </row>
    <row r="15" spans="1:10">
      <c r="B15" s="988">
        <v>9894</v>
      </c>
      <c r="H15" s="986"/>
      <c r="I15" s="986"/>
      <c r="J15" s="988">
        <v>9894</v>
      </c>
    </row>
    <row r="16" spans="1:10">
      <c r="B16" s="988">
        <v>9922</v>
      </c>
      <c r="H16" s="986"/>
      <c r="I16" s="986"/>
      <c r="J16" s="988">
        <v>9922</v>
      </c>
    </row>
    <row r="17" spans="2:10">
      <c r="B17" s="988">
        <v>9953</v>
      </c>
      <c r="H17" s="986"/>
      <c r="I17" s="986"/>
      <c r="J17" s="988">
        <v>9953</v>
      </c>
    </row>
    <row r="18" spans="2:10">
      <c r="B18" s="988">
        <v>9983</v>
      </c>
      <c r="H18" s="986"/>
      <c r="I18" s="986"/>
      <c r="J18" s="988">
        <v>9983</v>
      </c>
    </row>
    <row r="19" spans="2:10">
      <c r="B19" s="988">
        <v>10014</v>
      </c>
      <c r="H19" s="986"/>
      <c r="I19" s="986"/>
      <c r="J19" s="988">
        <v>10014</v>
      </c>
    </row>
    <row r="20" spans="2:10">
      <c r="B20" s="988">
        <v>10044</v>
      </c>
      <c r="H20" s="986"/>
      <c r="I20" s="986"/>
      <c r="J20" s="988">
        <v>10044</v>
      </c>
    </row>
    <row r="21" spans="2:10">
      <c r="B21" s="988">
        <v>10075</v>
      </c>
      <c r="H21" s="986"/>
      <c r="I21" s="986"/>
      <c r="J21" s="988">
        <v>10075</v>
      </c>
    </row>
    <row r="22" spans="2:10">
      <c r="B22" s="988">
        <v>10106</v>
      </c>
      <c r="H22" s="986"/>
      <c r="I22" s="986"/>
      <c r="J22" s="988">
        <v>10106</v>
      </c>
    </row>
    <row r="23" spans="2:10">
      <c r="B23" s="988">
        <v>10136</v>
      </c>
      <c r="H23" s="986"/>
      <c r="I23" s="986"/>
      <c r="J23" s="988">
        <v>10136</v>
      </c>
    </row>
    <row r="24" spans="2:10">
      <c r="B24" s="988">
        <v>10167</v>
      </c>
      <c r="H24" s="986"/>
      <c r="I24" s="986"/>
      <c r="J24" s="988">
        <v>10167</v>
      </c>
    </row>
    <row r="25" spans="2:10">
      <c r="B25" s="988">
        <v>10197</v>
      </c>
      <c r="H25" s="986"/>
      <c r="I25" s="986"/>
      <c r="J25" s="988">
        <v>10197</v>
      </c>
    </row>
    <row r="26" spans="2:10" ht="13.8">
      <c r="B26" s="988">
        <v>10228</v>
      </c>
      <c r="C26" s="987" t="s">
        <v>4628</v>
      </c>
      <c r="F26" s="992">
        <v>3.7499999999999999E-2</v>
      </c>
      <c r="H26" s="992">
        <v>4.0416666666666665E-3</v>
      </c>
      <c r="I26" s="986">
        <f t="shared" ref="I26:I89" si="0">F26-H26</f>
        <v>3.3458333333333333E-2</v>
      </c>
      <c r="J26" s="988">
        <v>10228</v>
      </c>
    </row>
    <row r="27" spans="2:10" ht="13.8">
      <c r="B27" s="988">
        <v>10259</v>
      </c>
      <c r="C27" s="987" t="s">
        <v>4628</v>
      </c>
      <c r="F27" s="992">
        <v>-8.0000000000000002E-3</v>
      </c>
      <c r="H27" s="992">
        <v>4.0416666666666665E-3</v>
      </c>
      <c r="I27" s="986">
        <f t="shared" si="0"/>
        <v>-1.2041666666666666E-2</v>
      </c>
      <c r="J27" s="988">
        <v>10259</v>
      </c>
    </row>
    <row r="28" spans="2:10" ht="13.8">
      <c r="B28" s="988">
        <v>10288</v>
      </c>
      <c r="C28" s="987" t="s">
        <v>4628</v>
      </c>
      <c r="F28" s="992">
        <v>7.2299999999999989E-2</v>
      </c>
      <c r="H28" s="992">
        <v>4.0166666666666666E-3</v>
      </c>
      <c r="I28" s="986">
        <f t="shared" si="0"/>
        <v>6.8283333333333321E-2</v>
      </c>
      <c r="J28" s="988">
        <v>10288</v>
      </c>
    </row>
    <row r="29" spans="2:10" ht="13.8">
      <c r="B29" s="988">
        <v>10319</v>
      </c>
      <c r="C29" s="987" t="s">
        <v>4628</v>
      </c>
      <c r="F29" s="992">
        <v>9.8600000000000007E-2</v>
      </c>
      <c r="H29" s="992">
        <v>4.0166666666666666E-3</v>
      </c>
      <c r="I29" s="986">
        <f t="shared" si="0"/>
        <v>9.4583333333333339E-2</v>
      </c>
      <c r="J29" s="988">
        <v>10319</v>
      </c>
    </row>
    <row r="30" spans="2:10" ht="13.8">
      <c r="B30" s="988">
        <v>10349</v>
      </c>
      <c r="C30" s="987" t="s">
        <v>4628</v>
      </c>
      <c r="F30" s="992">
        <v>2.0799999999999999E-2</v>
      </c>
      <c r="H30" s="992">
        <v>4.0583333333333331E-3</v>
      </c>
      <c r="I30" s="986">
        <f t="shared" si="0"/>
        <v>1.6741666666666665E-2</v>
      </c>
      <c r="J30" s="988">
        <v>10349</v>
      </c>
    </row>
    <row r="31" spans="2:10" ht="13.8">
      <c r="B31" s="988">
        <v>10380</v>
      </c>
      <c r="C31" s="987" t="s">
        <v>4628</v>
      </c>
      <c r="F31" s="992">
        <v>-4.0099999999999997E-2</v>
      </c>
      <c r="H31" s="992">
        <v>4.1583333333333333E-3</v>
      </c>
      <c r="I31" s="986">
        <f t="shared" si="0"/>
        <v>-4.425833333333333E-2</v>
      </c>
      <c r="J31" s="988">
        <v>10380</v>
      </c>
    </row>
    <row r="32" spans="2:10" ht="13.8">
      <c r="B32" s="988">
        <v>10410</v>
      </c>
      <c r="C32" s="987" t="s">
        <v>4628</v>
      </c>
      <c r="F32" s="992">
        <v>-7.6000000000000009E-3</v>
      </c>
      <c r="H32" s="992">
        <v>4.1999999999999997E-3</v>
      </c>
      <c r="I32" s="986">
        <f t="shared" si="0"/>
        <v>-1.1800000000000001E-2</v>
      </c>
      <c r="J32" s="988">
        <v>10410</v>
      </c>
    </row>
    <row r="33" spans="2:10" ht="13.8">
      <c r="B33" s="988">
        <v>10441</v>
      </c>
      <c r="C33" s="987" t="s">
        <v>4628</v>
      </c>
      <c r="F33" s="992">
        <v>6.8199999999999997E-2</v>
      </c>
      <c r="H33" s="992">
        <v>4.2333333333333337E-3</v>
      </c>
      <c r="I33" s="986">
        <f t="shared" si="0"/>
        <v>6.3966666666666658E-2</v>
      </c>
      <c r="J33" s="988">
        <v>10441</v>
      </c>
    </row>
    <row r="34" spans="2:10" ht="13.8">
      <c r="B34" s="988">
        <v>10472</v>
      </c>
      <c r="C34" s="987" t="s">
        <v>4628</v>
      </c>
      <c r="F34" s="992">
        <v>2.87E-2</v>
      </c>
      <c r="H34" s="992">
        <v>4.208333333333333E-3</v>
      </c>
      <c r="I34" s="986">
        <f t="shared" si="0"/>
        <v>2.4491666666666669E-2</v>
      </c>
      <c r="J34" s="988">
        <v>10472</v>
      </c>
    </row>
    <row r="35" spans="2:10" ht="13.8">
      <c r="B35" s="988">
        <v>10502</v>
      </c>
      <c r="C35" s="987" t="s">
        <v>4628</v>
      </c>
      <c r="F35" s="992">
        <v>-9.1999999999999998E-3</v>
      </c>
      <c r="H35" s="992">
        <v>4.1583333333333333E-3</v>
      </c>
      <c r="I35" s="986">
        <f t="shared" si="0"/>
        <v>-1.3358333333333333E-2</v>
      </c>
      <c r="J35" s="988">
        <v>10502</v>
      </c>
    </row>
    <row r="36" spans="2:10" ht="13.8">
      <c r="B36" s="988">
        <v>10533</v>
      </c>
      <c r="C36" s="987" t="s">
        <v>4628</v>
      </c>
      <c r="F36" s="992">
        <v>0.2147</v>
      </c>
      <c r="H36" s="992">
        <v>4.15E-3</v>
      </c>
      <c r="I36" s="986">
        <f t="shared" si="0"/>
        <v>0.21055000000000001</v>
      </c>
      <c r="J36" s="988">
        <v>10533</v>
      </c>
    </row>
    <row r="37" spans="2:10" ht="13.8">
      <c r="B37" s="988">
        <v>10563</v>
      </c>
      <c r="C37" s="987" t="s">
        <v>4628</v>
      </c>
      <c r="F37" s="992">
        <v>0.01</v>
      </c>
      <c r="H37" s="992">
        <v>4.208333333333333E-3</v>
      </c>
      <c r="I37" s="986">
        <f t="shared" si="0"/>
        <v>5.7916666666666672E-3</v>
      </c>
      <c r="J37" s="988">
        <v>10563</v>
      </c>
    </row>
    <row r="38" spans="2:10" ht="13.8">
      <c r="B38" s="988">
        <v>10594</v>
      </c>
      <c r="C38" s="987" t="s">
        <v>4628</v>
      </c>
      <c r="F38" s="992">
        <v>0.13250000000000001</v>
      </c>
      <c r="H38" s="992">
        <v>4.208333333333333E-3</v>
      </c>
      <c r="I38" s="986">
        <f t="shared" si="0"/>
        <v>0.12829166666666666</v>
      </c>
      <c r="J38" s="988">
        <v>10594</v>
      </c>
    </row>
    <row r="39" spans="2:10" ht="13.8">
      <c r="B39" s="988">
        <v>10625</v>
      </c>
      <c r="C39" s="987" t="s">
        <v>4628</v>
      </c>
      <c r="F39" s="992">
        <v>-2.3199999999999998E-2</v>
      </c>
      <c r="H39" s="992">
        <v>4.2500000000000003E-3</v>
      </c>
      <c r="I39" s="986">
        <f t="shared" si="0"/>
        <v>-2.7449999999999999E-2</v>
      </c>
      <c r="J39" s="988">
        <v>10625</v>
      </c>
    </row>
    <row r="40" spans="2:10" ht="13.8">
      <c r="B40" s="988">
        <v>10653</v>
      </c>
      <c r="C40" s="987" t="s">
        <v>4628</v>
      </c>
      <c r="F40" s="992">
        <v>-1.1000000000000001E-2</v>
      </c>
      <c r="H40" s="992">
        <v>4.2833333333333326E-3</v>
      </c>
      <c r="I40" s="986">
        <f t="shared" si="0"/>
        <v>-1.5283333333333333E-2</v>
      </c>
      <c r="J40" s="988">
        <v>10653</v>
      </c>
    </row>
    <row r="41" spans="2:10" ht="13.8">
      <c r="B41" s="988">
        <v>10684</v>
      </c>
      <c r="C41" s="987" t="s">
        <v>4628</v>
      </c>
      <c r="F41" s="992">
        <v>3.4700000000000002E-2</v>
      </c>
      <c r="H41" s="992">
        <v>4.2833333333333326E-3</v>
      </c>
      <c r="I41" s="986">
        <f t="shared" si="0"/>
        <v>3.0416666666666668E-2</v>
      </c>
      <c r="J41" s="988">
        <v>10684</v>
      </c>
    </row>
    <row r="42" spans="2:10" ht="13.8">
      <c r="B42" s="988">
        <v>10714</v>
      </c>
      <c r="C42" s="987" t="s">
        <v>4628</v>
      </c>
      <c r="F42" s="992">
        <v>4.7E-2</v>
      </c>
      <c r="H42" s="992">
        <v>4.2833333333333326E-3</v>
      </c>
      <c r="I42" s="986">
        <f t="shared" si="0"/>
        <v>4.2716666666666667E-2</v>
      </c>
      <c r="J42" s="988">
        <v>10714</v>
      </c>
    </row>
    <row r="43" spans="2:10" ht="13.8">
      <c r="B43" s="988">
        <v>10745</v>
      </c>
      <c r="C43" s="987" t="s">
        <v>4628</v>
      </c>
      <c r="F43" s="992">
        <v>0.21780000000000002</v>
      </c>
      <c r="H43" s="992">
        <v>4.3583333333333339E-3</v>
      </c>
      <c r="I43" s="986">
        <f t="shared" si="0"/>
        <v>0.2134416666666667</v>
      </c>
      <c r="J43" s="988">
        <v>10745</v>
      </c>
    </row>
    <row r="44" spans="2:10" ht="13.8">
      <c r="B44" s="988">
        <v>10775</v>
      </c>
      <c r="C44" s="987" t="s">
        <v>4628</v>
      </c>
      <c r="F44" s="992">
        <v>9.0499999999999983E-2</v>
      </c>
      <c r="H44" s="992">
        <v>4.3666666666666671E-3</v>
      </c>
      <c r="I44" s="986">
        <f t="shared" si="0"/>
        <v>8.6133333333333312E-2</v>
      </c>
      <c r="J44" s="988">
        <v>10775</v>
      </c>
    </row>
    <row r="45" spans="2:10" ht="13.8">
      <c r="B45" s="988">
        <v>10806</v>
      </c>
      <c r="C45" s="987" t="s">
        <v>4628</v>
      </c>
      <c r="F45" s="992">
        <v>0.1033</v>
      </c>
      <c r="H45" s="992">
        <v>4.4166666666666668E-3</v>
      </c>
      <c r="I45" s="986">
        <f t="shared" si="0"/>
        <v>9.8883333333333337E-2</v>
      </c>
      <c r="J45" s="988">
        <v>10806</v>
      </c>
    </row>
    <row r="46" spans="2:10" ht="13.8">
      <c r="B46" s="988">
        <v>10837</v>
      </c>
      <c r="C46" s="987" t="s">
        <v>4628</v>
      </c>
      <c r="F46" s="992">
        <v>3.9999999999999996E-4</v>
      </c>
      <c r="H46" s="992">
        <v>4.4833333333333331E-3</v>
      </c>
      <c r="I46" s="986">
        <f t="shared" si="0"/>
        <v>-4.0833333333333329E-3</v>
      </c>
      <c r="J46" s="988">
        <v>10837</v>
      </c>
    </row>
    <row r="47" spans="2:10" ht="13.8">
      <c r="B47" s="988">
        <v>10867</v>
      </c>
      <c r="C47" s="987" t="s">
        <v>4628</v>
      </c>
      <c r="F47" s="992">
        <v>-0.30220000000000002</v>
      </c>
      <c r="H47" s="992">
        <v>4.45E-3</v>
      </c>
      <c r="I47" s="986">
        <f t="shared" si="0"/>
        <v>-0.30665000000000003</v>
      </c>
      <c r="J47" s="988">
        <v>10867</v>
      </c>
    </row>
    <row r="48" spans="2:10" ht="13.8">
      <c r="B48" s="988">
        <v>10898</v>
      </c>
      <c r="C48" s="987" t="s">
        <v>4628</v>
      </c>
      <c r="F48" s="992">
        <v>-0.1424</v>
      </c>
      <c r="H48" s="992">
        <v>4.4083333333333335E-3</v>
      </c>
      <c r="I48" s="986">
        <f t="shared" si="0"/>
        <v>-0.14680833333333332</v>
      </c>
      <c r="J48" s="988">
        <v>10898</v>
      </c>
    </row>
    <row r="49" spans="2:10" ht="13.8">
      <c r="B49" s="988">
        <v>10928</v>
      </c>
      <c r="C49" s="987" t="s">
        <v>4628</v>
      </c>
      <c r="F49" s="992">
        <v>6.7999999999999991E-2</v>
      </c>
      <c r="H49" s="992">
        <v>4.3583333333333339E-3</v>
      </c>
      <c r="I49" s="986">
        <f t="shared" si="0"/>
        <v>6.3641666666666652E-2</v>
      </c>
      <c r="J49" s="988">
        <v>10928</v>
      </c>
    </row>
    <row r="50" spans="2:10" ht="13.8">
      <c r="B50" s="988">
        <v>10959</v>
      </c>
      <c r="C50" s="987" t="s">
        <v>4628</v>
      </c>
      <c r="F50" s="992">
        <v>7.3999999999999996E-2</v>
      </c>
      <c r="H50" s="992">
        <v>4.3833333333333328E-3</v>
      </c>
      <c r="I50" s="986">
        <f t="shared" si="0"/>
        <v>6.961666666666666E-2</v>
      </c>
      <c r="J50" s="988">
        <v>10959</v>
      </c>
    </row>
    <row r="51" spans="2:10" ht="13.8">
      <c r="B51" s="988">
        <v>10990</v>
      </c>
      <c r="C51" s="987" t="s">
        <v>4628</v>
      </c>
      <c r="F51" s="992">
        <v>8.8499999999999995E-2</v>
      </c>
      <c r="H51" s="992">
        <v>4.4083333333333335E-3</v>
      </c>
      <c r="I51" s="986">
        <f t="shared" si="0"/>
        <v>8.4091666666666662E-2</v>
      </c>
      <c r="J51" s="988">
        <v>10990</v>
      </c>
    </row>
    <row r="52" spans="2:10" ht="13.8">
      <c r="B52" s="988">
        <v>11018</v>
      </c>
      <c r="C52" s="987" t="s">
        <v>4628</v>
      </c>
      <c r="F52" s="992">
        <v>8.9099999999999999E-2</v>
      </c>
      <c r="H52" s="992">
        <v>4.3166666666666666E-3</v>
      </c>
      <c r="I52" s="986">
        <f t="shared" si="0"/>
        <v>8.4783333333333336E-2</v>
      </c>
      <c r="J52" s="988">
        <v>11018</v>
      </c>
    </row>
    <row r="53" spans="2:10" ht="13.8">
      <c r="B53" s="988">
        <v>11049</v>
      </c>
      <c r="C53" s="987" t="s">
        <v>4628</v>
      </c>
      <c r="F53" s="992">
        <v>3.4099999999999998E-2</v>
      </c>
      <c r="H53" s="992">
        <v>4.2916666666666667E-3</v>
      </c>
      <c r="I53" s="986">
        <f t="shared" si="0"/>
        <v>2.9808333333333333E-2</v>
      </c>
      <c r="J53" s="988">
        <v>11049</v>
      </c>
    </row>
    <row r="54" spans="2:10" ht="13.8">
      <c r="B54" s="988">
        <v>11079</v>
      </c>
      <c r="C54" s="987" t="s">
        <v>4628</v>
      </c>
      <c r="F54" s="992">
        <v>-2.3600000000000003E-2</v>
      </c>
      <c r="H54" s="992">
        <v>4.1999999999999997E-3</v>
      </c>
      <c r="I54" s="986">
        <f t="shared" si="0"/>
        <v>-2.7800000000000002E-2</v>
      </c>
      <c r="J54" s="988">
        <v>11079</v>
      </c>
    </row>
    <row r="55" spans="2:10" ht="13.8">
      <c r="B55" s="988">
        <v>11110</v>
      </c>
      <c r="C55" s="987" t="s">
        <v>4628</v>
      </c>
      <c r="F55" s="992">
        <v>-0.19030000000000002</v>
      </c>
      <c r="H55" s="992">
        <v>4.1749999999999999E-3</v>
      </c>
      <c r="I55" s="986">
        <f t="shared" si="0"/>
        <v>-0.19447500000000004</v>
      </c>
      <c r="J55" s="988">
        <v>11110</v>
      </c>
    </row>
    <row r="56" spans="2:10" ht="13.8">
      <c r="B56" s="988">
        <v>11140</v>
      </c>
      <c r="C56" s="987" t="s">
        <v>4628</v>
      </c>
      <c r="F56" s="992">
        <v>1.7599999999999998E-2</v>
      </c>
      <c r="H56" s="992">
        <v>4.1583333333333333E-3</v>
      </c>
      <c r="I56" s="986">
        <f t="shared" si="0"/>
        <v>1.3441666666666664E-2</v>
      </c>
      <c r="J56" s="988">
        <v>11140</v>
      </c>
    </row>
    <row r="57" spans="2:10" ht="13.8">
      <c r="B57" s="988">
        <v>11171</v>
      </c>
      <c r="C57" s="987" t="s">
        <v>4628</v>
      </c>
      <c r="F57" s="992">
        <v>7.6000000000000009E-3</v>
      </c>
      <c r="H57" s="992">
        <v>4.1250000000000002E-3</v>
      </c>
      <c r="I57" s="986">
        <f t="shared" si="0"/>
        <v>3.4750000000000007E-3</v>
      </c>
      <c r="J57" s="988">
        <v>11171</v>
      </c>
    </row>
    <row r="58" spans="2:10" ht="13.8">
      <c r="B58" s="988">
        <v>11202</v>
      </c>
      <c r="C58" s="987" t="s">
        <v>4628</v>
      </c>
      <c r="F58" s="992">
        <v>-0.1108</v>
      </c>
      <c r="H58" s="992">
        <v>4.0500000000000006E-3</v>
      </c>
      <c r="I58" s="986">
        <f t="shared" si="0"/>
        <v>-0.11484999999999999</v>
      </c>
      <c r="J58" s="988">
        <v>11202</v>
      </c>
    </row>
    <row r="59" spans="2:10" ht="13.8">
      <c r="B59" s="988">
        <v>11232</v>
      </c>
      <c r="C59" s="987" t="s">
        <v>4628</v>
      </c>
      <c r="F59" s="992">
        <v>-8.1799999999999998E-2</v>
      </c>
      <c r="H59" s="992">
        <v>4.0666666666666663E-3</v>
      </c>
      <c r="I59" s="986">
        <f t="shared" si="0"/>
        <v>-8.5866666666666661E-2</v>
      </c>
      <c r="J59" s="988">
        <v>11232</v>
      </c>
    </row>
    <row r="60" spans="2:10" ht="13.8">
      <c r="B60" s="988">
        <v>11263</v>
      </c>
      <c r="C60" s="987" t="s">
        <v>4628</v>
      </c>
      <c r="F60" s="992">
        <v>-7.3000000000000009E-2</v>
      </c>
      <c r="H60" s="992">
        <v>4.1333333333333335E-3</v>
      </c>
      <c r="I60" s="986">
        <f t="shared" si="0"/>
        <v>-7.7133333333333345E-2</v>
      </c>
      <c r="J60" s="988">
        <v>11263</v>
      </c>
    </row>
    <row r="61" spans="2:10" ht="13.8">
      <c r="B61" s="988">
        <v>11293</v>
      </c>
      <c r="C61" s="987" t="s">
        <v>4628</v>
      </c>
      <c r="F61" s="992">
        <v>-3.39E-2</v>
      </c>
      <c r="H61" s="992">
        <v>4.2583333333333336E-3</v>
      </c>
      <c r="I61" s="986">
        <f t="shared" si="0"/>
        <v>-3.8158333333333336E-2</v>
      </c>
      <c r="J61" s="988">
        <v>11293</v>
      </c>
    </row>
    <row r="62" spans="2:10" ht="13.8">
      <c r="B62" s="988">
        <v>11324</v>
      </c>
      <c r="C62" s="987" t="s">
        <v>4628</v>
      </c>
      <c r="F62" s="992">
        <v>5.4000000000000006E-2</v>
      </c>
      <c r="H62" s="992">
        <v>4.1749999999999999E-3</v>
      </c>
      <c r="I62" s="986">
        <f t="shared" si="0"/>
        <v>4.9825000000000008E-2</v>
      </c>
      <c r="J62" s="988">
        <v>11324</v>
      </c>
    </row>
    <row r="63" spans="2:10" ht="13.8">
      <c r="B63" s="988">
        <v>11355</v>
      </c>
      <c r="C63" s="987" t="s">
        <v>4628</v>
      </c>
      <c r="F63" s="992">
        <v>0.15240000000000001</v>
      </c>
      <c r="H63" s="992">
        <v>4.1749999999999999E-3</v>
      </c>
      <c r="I63" s="986">
        <f t="shared" si="0"/>
        <v>0.148225</v>
      </c>
      <c r="J63" s="988">
        <v>11355</v>
      </c>
    </row>
    <row r="64" spans="2:10" ht="13.8">
      <c r="B64" s="988">
        <v>11383</v>
      </c>
      <c r="C64" s="987" t="s">
        <v>4628</v>
      </c>
      <c r="F64" s="992">
        <v>-2.3900000000000001E-2</v>
      </c>
      <c r="H64" s="992">
        <v>4.15E-3</v>
      </c>
      <c r="I64" s="986">
        <f t="shared" si="0"/>
        <v>-2.8050000000000002E-2</v>
      </c>
      <c r="J64" s="988">
        <v>11383</v>
      </c>
    </row>
    <row r="65" spans="2:10" ht="13.8">
      <c r="B65" s="988">
        <v>11414</v>
      </c>
      <c r="C65" s="987" t="s">
        <v>4628</v>
      </c>
      <c r="F65" s="992">
        <v>-0.10540000000000001</v>
      </c>
      <c r="H65" s="992">
        <v>4.0500000000000006E-3</v>
      </c>
      <c r="I65" s="986">
        <f t="shared" si="0"/>
        <v>-0.10945000000000001</v>
      </c>
      <c r="J65" s="988">
        <v>11414</v>
      </c>
    </row>
    <row r="66" spans="2:10" ht="13.8">
      <c r="B66" s="988">
        <v>11444</v>
      </c>
      <c r="C66" s="987" t="s">
        <v>4628</v>
      </c>
      <c r="F66" s="992">
        <v>-0.10289999999999999</v>
      </c>
      <c r="H66" s="992">
        <v>4.0333333333333332E-3</v>
      </c>
      <c r="I66" s="986">
        <f t="shared" si="0"/>
        <v>-0.10693333333333332</v>
      </c>
      <c r="J66" s="988">
        <v>11444</v>
      </c>
    </row>
    <row r="67" spans="2:10" ht="13.8">
      <c r="B67" s="988">
        <v>11475</v>
      </c>
      <c r="C67" s="987" t="s">
        <v>4628</v>
      </c>
      <c r="F67" s="992">
        <v>0.13730000000000001</v>
      </c>
      <c r="H67" s="992">
        <v>4.0583333333333331E-3</v>
      </c>
      <c r="I67" s="986">
        <f t="shared" si="0"/>
        <v>0.13324166666666667</v>
      </c>
      <c r="J67" s="988">
        <v>11475</v>
      </c>
    </row>
    <row r="68" spans="2:10" ht="13.8">
      <c r="B68" s="988">
        <v>11505</v>
      </c>
      <c r="C68" s="987" t="s">
        <v>4628</v>
      </c>
      <c r="F68" s="992">
        <v>-6.2199999999999991E-2</v>
      </c>
      <c r="H68" s="992">
        <v>4.0249999999999999E-3</v>
      </c>
      <c r="I68" s="986">
        <f t="shared" si="0"/>
        <v>-6.6224999999999992E-2</v>
      </c>
      <c r="J68" s="988">
        <v>11505</v>
      </c>
    </row>
    <row r="69" spans="2:10" ht="13.8">
      <c r="B69" s="988">
        <v>11536</v>
      </c>
      <c r="C69" s="987" t="s">
        <v>4628</v>
      </c>
      <c r="F69" s="992">
        <v>2.5599999999999998E-2</v>
      </c>
      <c r="H69" s="992">
        <v>4.0083333333333334E-3</v>
      </c>
      <c r="I69" s="986">
        <f t="shared" si="0"/>
        <v>2.1591666666666665E-2</v>
      </c>
      <c r="J69" s="988">
        <v>11536</v>
      </c>
    </row>
    <row r="70" spans="2:10" ht="13.8">
      <c r="B70" s="988">
        <v>11567</v>
      </c>
      <c r="C70" s="987" t="s">
        <v>4628</v>
      </c>
      <c r="F70" s="992">
        <v>-0.31490000000000001</v>
      </c>
      <c r="H70" s="992">
        <v>4.208333333333333E-3</v>
      </c>
      <c r="I70" s="986">
        <f t="shared" si="0"/>
        <v>-0.31910833333333333</v>
      </c>
      <c r="J70" s="988">
        <v>11567</v>
      </c>
    </row>
    <row r="71" spans="2:10" ht="13.8">
      <c r="B71" s="988">
        <v>11597</v>
      </c>
      <c r="C71" s="987" t="s">
        <v>4628</v>
      </c>
      <c r="F71" s="992">
        <v>9.9000000000000005E-2</v>
      </c>
      <c r="H71" s="992">
        <v>4.6166666666666665E-3</v>
      </c>
      <c r="I71" s="986">
        <f t="shared" si="0"/>
        <v>9.4383333333333333E-2</v>
      </c>
      <c r="J71" s="988">
        <v>11597</v>
      </c>
    </row>
    <row r="72" spans="2:10" ht="13.8">
      <c r="B72" s="988">
        <v>11628</v>
      </c>
      <c r="C72" s="987" t="s">
        <v>4628</v>
      </c>
      <c r="F72" s="992">
        <v>-6.1400000000000003E-2</v>
      </c>
      <c r="H72" s="992">
        <v>4.5916666666666666E-3</v>
      </c>
      <c r="I72" s="986">
        <f t="shared" si="0"/>
        <v>-6.5991666666666671E-2</v>
      </c>
      <c r="J72" s="988">
        <v>11628</v>
      </c>
    </row>
    <row r="73" spans="2:10" ht="13.8">
      <c r="B73" s="988">
        <v>11658</v>
      </c>
      <c r="C73" s="987" t="s">
        <v>4628</v>
      </c>
      <c r="F73" s="992">
        <v>-0.1283</v>
      </c>
      <c r="H73" s="992">
        <v>5.1999999999999998E-3</v>
      </c>
      <c r="I73" s="986">
        <f t="shared" si="0"/>
        <v>-0.13350000000000001</v>
      </c>
      <c r="J73" s="988">
        <v>11658</v>
      </c>
    </row>
    <row r="74" spans="2:10" ht="13.8">
      <c r="B74" s="988">
        <v>11689</v>
      </c>
      <c r="C74" s="987" t="s">
        <v>4628</v>
      </c>
      <c r="F74" s="992">
        <v>-1.9999999999999997E-2</v>
      </c>
      <c r="H74" s="992">
        <v>5.1416666666666668E-3</v>
      </c>
      <c r="I74" s="986">
        <f t="shared" si="0"/>
        <v>-2.5141666666666663E-2</v>
      </c>
      <c r="J74" s="988">
        <v>11689</v>
      </c>
    </row>
    <row r="75" spans="2:10" ht="13.8">
      <c r="B75" s="988">
        <v>11720</v>
      </c>
      <c r="C75" s="987" t="s">
        <v>4628</v>
      </c>
      <c r="F75" s="992">
        <v>7.9899999999999999E-2</v>
      </c>
      <c r="H75" s="992">
        <v>5.3416666666666664E-3</v>
      </c>
      <c r="I75" s="986">
        <f t="shared" si="0"/>
        <v>7.4558333333333338E-2</v>
      </c>
      <c r="J75" s="988">
        <v>11720</v>
      </c>
    </row>
    <row r="76" spans="2:10" ht="13.8">
      <c r="B76" s="988">
        <v>11749</v>
      </c>
      <c r="C76" s="987" t="s">
        <v>4628</v>
      </c>
      <c r="F76" s="992">
        <v>-0.10580000000000001</v>
      </c>
      <c r="H76" s="992">
        <v>5.0499999999999998E-3</v>
      </c>
      <c r="I76" s="986">
        <f t="shared" si="0"/>
        <v>-0.11085</v>
      </c>
      <c r="J76" s="988">
        <v>11749</v>
      </c>
    </row>
    <row r="77" spans="2:10" ht="13.8">
      <c r="B77" s="988">
        <v>11780</v>
      </c>
      <c r="C77" s="987" t="s">
        <v>4628</v>
      </c>
      <c r="F77" s="992">
        <v>-0.1535</v>
      </c>
      <c r="H77" s="992">
        <v>5.6916666666666669E-3</v>
      </c>
      <c r="I77" s="986">
        <f t="shared" si="0"/>
        <v>-0.15919166666666668</v>
      </c>
      <c r="J77" s="988">
        <v>11780</v>
      </c>
    </row>
    <row r="78" spans="2:10" ht="13.8">
      <c r="B78" s="988">
        <v>11810</v>
      </c>
      <c r="C78" s="987" t="s">
        <v>4628</v>
      </c>
      <c r="F78" s="992">
        <v>-0.28059999999999996</v>
      </c>
      <c r="H78" s="992">
        <v>6.1333333333333344E-3</v>
      </c>
      <c r="I78" s="986">
        <f t="shared" si="0"/>
        <v>-0.28673333333333328</v>
      </c>
      <c r="J78" s="988">
        <v>11810</v>
      </c>
    </row>
    <row r="79" spans="2:10" ht="13.8">
      <c r="B79" s="988">
        <v>11841</v>
      </c>
      <c r="C79" s="987" t="s">
        <v>4628</v>
      </c>
      <c r="F79" s="992">
        <v>8.9999999999999993E-3</v>
      </c>
      <c r="H79" s="992">
        <v>6.3083333333333333E-3</v>
      </c>
      <c r="I79" s="986">
        <f t="shared" si="0"/>
        <v>2.691666666666666E-3</v>
      </c>
      <c r="J79" s="988">
        <v>11841</v>
      </c>
    </row>
    <row r="80" spans="2:10" ht="13.8">
      <c r="B80" s="988">
        <v>11871</v>
      </c>
      <c r="C80" s="987" t="s">
        <v>4628</v>
      </c>
      <c r="F80" s="992">
        <v>0.33179999999999998</v>
      </c>
      <c r="H80" s="992">
        <v>6.0666666666666673E-3</v>
      </c>
      <c r="I80" s="986">
        <f t="shared" si="0"/>
        <v>0.32573333333333332</v>
      </c>
      <c r="J80" s="988">
        <v>11871</v>
      </c>
    </row>
    <row r="81" spans="2:10" ht="13.8">
      <c r="B81" s="988">
        <v>11902</v>
      </c>
      <c r="C81" s="987" t="s">
        <v>4628</v>
      </c>
      <c r="F81" s="992">
        <v>0.40300000000000002</v>
      </c>
      <c r="H81" s="992">
        <v>5.2916666666666667E-3</v>
      </c>
      <c r="I81" s="986">
        <f t="shared" si="0"/>
        <v>0.39770833333333333</v>
      </c>
      <c r="J81" s="988">
        <v>11902</v>
      </c>
    </row>
    <row r="82" spans="2:10" ht="13.8">
      <c r="B82" s="988">
        <v>11933</v>
      </c>
      <c r="C82" s="987" t="s">
        <v>4628</v>
      </c>
      <c r="F82" s="992">
        <v>-2.7000000000000003E-2</v>
      </c>
      <c r="H82" s="992">
        <v>4.9249999999999997E-3</v>
      </c>
      <c r="I82" s="986">
        <f t="shared" si="0"/>
        <v>-3.1925000000000002E-2</v>
      </c>
      <c r="J82" s="988">
        <v>11933</v>
      </c>
    </row>
    <row r="83" spans="2:10" ht="13.8">
      <c r="B83" s="988">
        <v>11963</v>
      </c>
      <c r="C83" s="987" t="s">
        <v>4628</v>
      </c>
      <c r="F83" s="992">
        <v>-0.1047</v>
      </c>
      <c r="H83" s="992">
        <v>4.8416666666666669E-3</v>
      </c>
      <c r="I83" s="986">
        <f t="shared" si="0"/>
        <v>-0.10954166666666666</v>
      </c>
      <c r="J83" s="988">
        <v>11963</v>
      </c>
    </row>
    <row r="84" spans="2:10" ht="13.8">
      <c r="B84" s="988">
        <v>11994</v>
      </c>
      <c r="C84" s="987" t="s">
        <v>4628</v>
      </c>
      <c r="F84" s="992">
        <v>-3.5400000000000001E-2</v>
      </c>
      <c r="H84" s="992">
        <v>4.8999999999999998E-3</v>
      </c>
      <c r="I84" s="986">
        <f t="shared" si="0"/>
        <v>-4.0300000000000002E-2</v>
      </c>
      <c r="J84" s="988">
        <v>11994</v>
      </c>
    </row>
    <row r="85" spans="2:10" ht="13.8">
      <c r="B85" s="988">
        <v>12024</v>
      </c>
      <c r="C85" s="987" t="s">
        <v>4628</v>
      </c>
      <c r="F85" s="992">
        <v>8.929999999999999E-2</v>
      </c>
      <c r="H85" s="992">
        <v>4.8750000000000009E-3</v>
      </c>
      <c r="I85" s="986">
        <f t="shared" si="0"/>
        <v>8.4424999999999986E-2</v>
      </c>
      <c r="J85" s="988">
        <v>12024</v>
      </c>
    </row>
    <row r="86" spans="2:10" ht="13.8">
      <c r="B86" s="988">
        <v>12055</v>
      </c>
      <c r="C86" s="987" t="s">
        <v>4628</v>
      </c>
      <c r="F86" s="992">
        <v>-3.1099999999999996E-2</v>
      </c>
      <c r="H86" s="992">
        <v>4.4916666666666664E-3</v>
      </c>
      <c r="I86" s="986">
        <f t="shared" si="0"/>
        <v>-3.559166666666666E-2</v>
      </c>
      <c r="J86" s="988">
        <v>12055</v>
      </c>
    </row>
    <row r="87" spans="2:10" ht="13.8">
      <c r="B87" s="988">
        <v>12086</v>
      </c>
      <c r="C87" s="987" t="s">
        <v>4628</v>
      </c>
      <c r="F87" s="992">
        <v>-0.19839999999999999</v>
      </c>
      <c r="H87" s="992">
        <v>4.8083333333333337E-3</v>
      </c>
      <c r="I87" s="986">
        <f t="shared" si="0"/>
        <v>-0.20320833333333332</v>
      </c>
      <c r="J87" s="988">
        <v>12086</v>
      </c>
    </row>
    <row r="88" spans="2:10" ht="13.8">
      <c r="B88" s="988">
        <v>12114</v>
      </c>
      <c r="C88" s="987" t="s">
        <v>4628</v>
      </c>
      <c r="F88" s="992">
        <v>-0.10800000000000001</v>
      </c>
      <c r="H88" s="992">
        <v>5.2833333333333335E-3</v>
      </c>
      <c r="I88" s="986">
        <f t="shared" si="0"/>
        <v>-0.11328333333333335</v>
      </c>
      <c r="J88" s="988">
        <v>12114</v>
      </c>
    </row>
    <row r="89" spans="2:10" ht="13.8">
      <c r="B89" s="988">
        <v>12145</v>
      </c>
      <c r="C89" s="987" t="s">
        <v>4628</v>
      </c>
      <c r="F89" s="992">
        <v>0.26349999999999996</v>
      </c>
      <c r="H89" s="992">
        <v>5.7416666666666675E-3</v>
      </c>
      <c r="I89" s="986">
        <f t="shared" si="0"/>
        <v>0.25775833333333331</v>
      </c>
      <c r="J89" s="988">
        <v>12145</v>
      </c>
    </row>
    <row r="90" spans="2:10" ht="13.8">
      <c r="B90" s="988">
        <v>12175</v>
      </c>
      <c r="C90" s="987" t="s">
        <v>4628</v>
      </c>
      <c r="F90" s="992">
        <v>0.17319999999999999</v>
      </c>
      <c r="H90" s="992">
        <v>5.416666666666666E-3</v>
      </c>
      <c r="I90" s="986">
        <f t="shared" ref="I90:I153" si="1">F90-H90</f>
        <v>0.16778333333333334</v>
      </c>
      <c r="J90" s="988">
        <v>12175</v>
      </c>
    </row>
    <row r="91" spans="2:10" ht="13.8">
      <c r="B91" s="988">
        <v>12206</v>
      </c>
      <c r="C91" s="987" t="s">
        <v>4628</v>
      </c>
      <c r="F91" s="992">
        <v>0.14259999999999998</v>
      </c>
      <c r="H91" s="992">
        <v>5.0916666666666662E-3</v>
      </c>
      <c r="I91" s="986">
        <f t="shared" si="1"/>
        <v>0.13750833333333332</v>
      </c>
      <c r="J91" s="988">
        <v>12206</v>
      </c>
    </row>
    <row r="92" spans="2:10" ht="13.8">
      <c r="B92" s="988">
        <v>12236</v>
      </c>
      <c r="C92" s="987" t="s">
        <v>4628</v>
      </c>
      <c r="F92" s="992">
        <v>-0.12039999999999999</v>
      </c>
      <c r="H92" s="992">
        <v>4.9249999999999997E-3</v>
      </c>
      <c r="I92" s="986">
        <f t="shared" si="1"/>
        <v>-0.12532499999999999</v>
      </c>
      <c r="J92" s="988">
        <v>12236</v>
      </c>
    </row>
    <row r="93" spans="2:10" ht="13.8">
      <c r="B93" s="988">
        <v>12267</v>
      </c>
      <c r="C93" s="987" t="s">
        <v>4628</v>
      </c>
      <c r="F93" s="992">
        <v>-5.5999999999999991E-3</v>
      </c>
      <c r="H93" s="992">
        <v>4.9833333333333335E-3</v>
      </c>
      <c r="I93" s="986">
        <f t="shared" si="1"/>
        <v>-1.0583333333333333E-2</v>
      </c>
      <c r="J93" s="988">
        <v>12267</v>
      </c>
    </row>
    <row r="94" spans="2:10" ht="13.8">
      <c r="B94" s="988">
        <v>12298</v>
      </c>
      <c r="C94" s="987" t="s">
        <v>4628</v>
      </c>
      <c r="F94" s="992">
        <v>-0.1759</v>
      </c>
      <c r="H94" s="992">
        <v>5.3E-3</v>
      </c>
      <c r="I94" s="986">
        <f t="shared" si="1"/>
        <v>-0.1812</v>
      </c>
      <c r="J94" s="988">
        <v>12298</v>
      </c>
    </row>
    <row r="95" spans="2:10" ht="13.8">
      <c r="B95" s="988">
        <v>12328</v>
      </c>
      <c r="C95" s="987" t="s">
        <v>4628</v>
      </c>
      <c r="F95" s="992">
        <v>-7.1200000000000013E-2</v>
      </c>
      <c r="H95" s="992">
        <v>5.3E-3</v>
      </c>
      <c r="I95" s="986">
        <f t="shared" si="1"/>
        <v>-7.6500000000000012E-2</v>
      </c>
      <c r="J95" s="988">
        <v>12328</v>
      </c>
    </row>
    <row r="96" spans="2:10" ht="13.8">
      <c r="B96" s="988">
        <v>12359</v>
      </c>
      <c r="C96" s="987" t="s">
        <v>4628</v>
      </c>
      <c r="F96" s="992">
        <v>-1.7999999999999999E-2</v>
      </c>
      <c r="H96" s="992">
        <v>5.8833333333333342E-3</v>
      </c>
      <c r="I96" s="986">
        <f t="shared" si="1"/>
        <v>-2.3883333333333333E-2</v>
      </c>
      <c r="J96" s="988">
        <v>12359</v>
      </c>
    </row>
    <row r="97" spans="2:10" ht="13.8">
      <c r="B97" s="988">
        <v>12389</v>
      </c>
      <c r="C97" s="987" t="s">
        <v>4628</v>
      </c>
      <c r="F97" s="992">
        <v>1.26E-2</v>
      </c>
      <c r="H97" s="992">
        <v>6.0166666666666667E-3</v>
      </c>
      <c r="I97" s="986">
        <f t="shared" si="1"/>
        <v>6.5833333333333334E-3</v>
      </c>
      <c r="J97" s="988">
        <v>12389</v>
      </c>
    </row>
    <row r="98" spans="2:10" ht="13.8">
      <c r="B98" s="988">
        <v>12420</v>
      </c>
      <c r="C98" s="987" t="s">
        <v>4628</v>
      </c>
      <c r="F98" s="992">
        <v>0.17460000000000001</v>
      </c>
      <c r="H98" s="992">
        <v>5.4666666666666674E-3</v>
      </c>
      <c r="I98" s="986">
        <f t="shared" si="1"/>
        <v>0.16913333333333333</v>
      </c>
      <c r="J98" s="988">
        <v>12420</v>
      </c>
    </row>
    <row r="99" spans="2:10" ht="13.8">
      <c r="B99" s="988">
        <v>12451</v>
      </c>
      <c r="C99" s="987" t="s">
        <v>4628</v>
      </c>
      <c r="F99" s="992">
        <v>-2.4199999999999999E-2</v>
      </c>
      <c r="H99" s="992">
        <v>4.816666666666667E-3</v>
      </c>
      <c r="I99" s="986">
        <f t="shared" si="1"/>
        <v>-2.9016666666666666E-2</v>
      </c>
      <c r="J99" s="988">
        <v>12451</v>
      </c>
    </row>
    <row r="100" spans="2:10" ht="13.8">
      <c r="B100" s="988">
        <v>12479</v>
      </c>
      <c r="C100" s="987" t="s">
        <v>4628</v>
      </c>
      <c r="F100" s="992">
        <v>-1.1099999999999999E-2</v>
      </c>
      <c r="H100" s="992">
        <v>4.7166666666666668E-3</v>
      </c>
      <c r="I100" s="986">
        <f t="shared" si="1"/>
        <v>-1.5816666666666666E-2</v>
      </c>
      <c r="J100" s="988">
        <v>12479</v>
      </c>
    </row>
    <row r="101" spans="2:10" ht="13.8">
      <c r="B101" s="988">
        <v>12510</v>
      </c>
      <c r="C101" s="987" t="s">
        <v>4628</v>
      </c>
      <c r="F101" s="992">
        <v>-3.5099999999999999E-2</v>
      </c>
      <c r="H101" s="992">
        <v>4.5333333333333337E-3</v>
      </c>
      <c r="I101" s="986">
        <f t="shared" si="1"/>
        <v>-3.9633333333333333E-2</v>
      </c>
      <c r="J101" s="988">
        <v>12510</v>
      </c>
    </row>
    <row r="102" spans="2:10" ht="13.8">
      <c r="B102" s="988">
        <v>12540</v>
      </c>
      <c r="C102" s="987" t="s">
        <v>4628</v>
      </c>
      <c r="F102" s="992">
        <v>-7.6499999999999999E-2</v>
      </c>
      <c r="H102" s="992">
        <v>4.4916666666666664E-3</v>
      </c>
      <c r="I102" s="986">
        <f t="shared" si="1"/>
        <v>-8.099166666666667E-2</v>
      </c>
      <c r="J102" s="988">
        <v>12540</v>
      </c>
    </row>
    <row r="103" spans="2:10" ht="13.8">
      <c r="B103" s="988">
        <v>12571</v>
      </c>
      <c r="C103" s="987" t="s">
        <v>4628</v>
      </c>
      <c r="F103" s="992">
        <v>4.7800000000000002E-2</v>
      </c>
      <c r="H103" s="992">
        <v>4.5000000000000005E-3</v>
      </c>
      <c r="I103" s="986">
        <f t="shared" si="1"/>
        <v>4.3300000000000005E-2</v>
      </c>
      <c r="J103" s="988">
        <v>12571</v>
      </c>
    </row>
    <row r="104" spans="2:10" ht="13.8">
      <c r="B104" s="988">
        <v>12601</v>
      </c>
      <c r="C104" s="987" t="s">
        <v>4628</v>
      </c>
      <c r="F104" s="992">
        <v>-0.1603</v>
      </c>
      <c r="H104" s="992">
        <v>4.4083333333333335E-3</v>
      </c>
      <c r="I104" s="986">
        <f t="shared" si="1"/>
        <v>-0.16470833333333335</v>
      </c>
      <c r="J104" s="988">
        <v>12601</v>
      </c>
    </row>
    <row r="105" spans="2:10" ht="13.8">
      <c r="B105" s="988">
        <v>12632</v>
      </c>
      <c r="C105" s="987" t="s">
        <v>4628</v>
      </c>
      <c r="F105" s="992">
        <v>2.69E-2</v>
      </c>
      <c r="H105" s="992">
        <v>4.5249999999999995E-3</v>
      </c>
      <c r="I105" s="986">
        <f t="shared" si="1"/>
        <v>2.2374999999999999E-2</v>
      </c>
      <c r="J105" s="988">
        <v>12632</v>
      </c>
    </row>
    <row r="106" spans="2:10" ht="13.8">
      <c r="B106" s="988">
        <v>12663</v>
      </c>
      <c r="C106" s="987" t="s">
        <v>4628</v>
      </c>
      <c r="F106" s="992">
        <v>9.4999999999999998E-3</v>
      </c>
      <c r="H106" s="992">
        <v>4.6333333333333339E-3</v>
      </c>
      <c r="I106" s="986">
        <f t="shared" si="1"/>
        <v>4.8666666666666658E-3</v>
      </c>
      <c r="J106" s="988">
        <v>12663</v>
      </c>
    </row>
    <row r="107" spans="2:10" ht="13.8">
      <c r="B107" s="988">
        <v>12693</v>
      </c>
      <c r="C107" s="987" t="s">
        <v>4628</v>
      </c>
      <c r="F107" s="992">
        <v>-6.6599999999999993E-2</v>
      </c>
      <c r="H107" s="992">
        <v>4.5000000000000005E-3</v>
      </c>
      <c r="I107" s="986">
        <f t="shared" si="1"/>
        <v>-7.1099999999999997E-2</v>
      </c>
      <c r="J107" s="988">
        <v>12693</v>
      </c>
    </row>
    <row r="108" spans="2:10" ht="13.8">
      <c r="B108" s="988">
        <v>12724</v>
      </c>
      <c r="C108" s="987" t="s">
        <v>4628</v>
      </c>
      <c r="F108" s="992">
        <v>-4.8000000000000004E-3</v>
      </c>
      <c r="H108" s="992">
        <v>4.4833333333333331E-3</v>
      </c>
      <c r="I108" s="986">
        <f t="shared" si="1"/>
        <v>-9.2833333333333344E-3</v>
      </c>
      <c r="J108" s="988">
        <v>12724</v>
      </c>
    </row>
    <row r="109" spans="2:10" ht="13.8">
      <c r="B109" s="988">
        <v>12754</v>
      </c>
      <c r="C109" s="987" t="s">
        <v>4628</v>
      </c>
      <c r="F109" s="992">
        <v>-7.010000000000001E-2</v>
      </c>
      <c r="H109" s="992">
        <v>4.4666666666666674E-3</v>
      </c>
      <c r="I109" s="986">
        <f t="shared" si="1"/>
        <v>-7.456666666666667E-2</v>
      </c>
      <c r="J109" s="988">
        <v>12754</v>
      </c>
    </row>
    <row r="110" spans="2:10" ht="13.8">
      <c r="B110" s="988">
        <v>12785</v>
      </c>
      <c r="C110" s="987" t="s">
        <v>4628</v>
      </c>
      <c r="F110" s="992">
        <v>-2.3099999999999999E-2</v>
      </c>
      <c r="H110" s="992">
        <v>4.3166666666666666E-3</v>
      </c>
      <c r="I110" s="986">
        <f t="shared" si="1"/>
        <v>-2.7416666666666666E-2</v>
      </c>
      <c r="J110" s="988">
        <v>12785</v>
      </c>
    </row>
    <row r="111" spans="2:10" ht="13.8">
      <c r="B111" s="988">
        <v>12816</v>
      </c>
      <c r="C111" s="987" t="s">
        <v>4628</v>
      </c>
      <c r="F111" s="992">
        <v>-0.11360000000000001</v>
      </c>
      <c r="H111" s="992">
        <v>4.1333333333333335E-3</v>
      </c>
      <c r="I111" s="986">
        <f t="shared" si="1"/>
        <v>-0.11773333333333334</v>
      </c>
      <c r="J111" s="988">
        <v>12816</v>
      </c>
    </row>
    <row r="112" spans="2:10" ht="13.8">
      <c r="B112" s="988">
        <v>12844</v>
      </c>
      <c r="C112" s="987" t="s">
        <v>4628</v>
      </c>
      <c r="F112" s="992">
        <v>0.1043</v>
      </c>
      <c r="H112" s="992">
        <v>4.0666666666666663E-3</v>
      </c>
      <c r="I112" s="986">
        <f t="shared" si="1"/>
        <v>0.10023333333333334</v>
      </c>
      <c r="J112" s="988">
        <v>12844</v>
      </c>
    </row>
    <row r="113" spans="2:10" ht="13.8">
      <c r="B113" s="988">
        <v>12875</v>
      </c>
      <c r="C113" s="987" t="s">
        <v>4628</v>
      </c>
      <c r="F113" s="992">
        <v>0.11779999999999999</v>
      </c>
      <c r="H113" s="992">
        <v>3.9916666666666668E-3</v>
      </c>
      <c r="I113" s="986">
        <f t="shared" si="1"/>
        <v>0.11380833333333332</v>
      </c>
      <c r="J113" s="988">
        <v>12875</v>
      </c>
    </row>
    <row r="114" spans="2:10" ht="13.8">
      <c r="B114" s="988">
        <v>12905</v>
      </c>
      <c r="C114" s="987" t="s">
        <v>4628</v>
      </c>
      <c r="F114" s="992">
        <v>0.1106</v>
      </c>
      <c r="H114" s="992">
        <v>3.8416666666666673E-3</v>
      </c>
      <c r="I114" s="986">
        <f t="shared" si="1"/>
        <v>0.10675833333333333</v>
      </c>
      <c r="J114" s="988">
        <v>12905</v>
      </c>
    </row>
    <row r="115" spans="2:10" ht="13.8">
      <c r="B115" s="988">
        <v>12936</v>
      </c>
      <c r="C115" s="987" t="s">
        <v>4628</v>
      </c>
      <c r="F115" s="992">
        <v>0.1036</v>
      </c>
      <c r="H115" s="992">
        <v>3.7750000000000001E-3</v>
      </c>
      <c r="I115" s="986">
        <f t="shared" si="1"/>
        <v>9.9824999999999997E-2</v>
      </c>
      <c r="J115" s="988">
        <v>12936</v>
      </c>
    </row>
    <row r="116" spans="2:10" ht="13.8">
      <c r="B116" s="988">
        <v>12966</v>
      </c>
      <c r="C116" s="987" t="s">
        <v>4628</v>
      </c>
      <c r="F116" s="992">
        <v>8.6999999999999994E-2</v>
      </c>
      <c r="H116" s="992">
        <v>3.6833333333333336E-3</v>
      </c>
      <c r="I116" s="986">
        <f t="shared" si="1"/>
        <v>8.3316666666666664E-2</v>
      </c>
      <c r="J116" s="988">
        <v>12966</v>
      </c>
    </row>
    <row r="117" spans="2:10" ht="13.8">
      <c r="B117" s="988">
        <v>12997</v>
      </c>
      <c r="C117" s="987" t="s">
        <v>4628</v>
      </c>
      <c r="F117" s="992">
        <v>5.6299999999999996E-2</v>
      </c>
      <c r="H117" s="992">
        <v>3.7000000000000006E-3</v>
      </c>
      <c r="I117" s="986">
        <f t="shared" si="1"/>
        <v>5.2599999999999994E-2</v>
      </c>
      <c r="J117" s="988">
        <v>12997</v>
      </c>
    </row>
    <row r="118" spans="2:10" ht="13.8">
      <c r="B118" s="988">
        <v>13028</v>
      </c>
      <c r="C118" s="987" t="s">
        <v>4628</v>
      </c>
      <c r="F118" s="992">
        <v>-1.2199999999999999E-2</v>
      </c>
      <c r="H118" s="992">
        <v>3.6916666666666664E-3</v>
      </c>
      <c r="I118" s="986">
        <f t="shared" si="1"/>
        <v>-1.5891666666666665E-2</v>
      </c>
      <c r="J118" s="988">
        <v>13028</v>
      </c>
    </row>
    <row r="119" spans="2:10" ht="13.8">
      <c r="B119" s="988">
        <v>13058</v>
      </c>
      <c r="C119" s="987" t="s">
        <v>4628</v>
      </c>
      <c r="F119" s="992">
        <v>0.12240000000000001</v>
      </c>
      <c r="H119" s="992">
        <v>3.666666666666667E-3</v>
      </c>
      <c r="I119" s="986">
        <f t="shared" si="1"/>
        <v>0.11873333333333334</v>
      </c>
      <c r="J119" s="988">
        <v>13058</v>
      </c>
    </row>
    <row r="120" spans="2:10" ht="13.8">
      <c r="B120" s="988">
        <v>13089</v>
      </c>
      <c r="C120" s="987" t="s">
        <v>4628</v>
      </c>
      <c r="F120" s="992">
        <v>1.0800000000000001E-2</v>
      </c>
      <c r="H120" s="992">
        <v>3.6249999999999998E-3</v>
      </c>
      <c r="I120" s="986">
        <f t="shared" si="1"/>
        <v>7.1750000000000008E-3</v>
      </c>
      <c r="J120" s="988">
        <v>13089</v>
      </c>
    </row>
    <row r="121" spans="2:10" ht="13.8">
      <c r="B121" s="988">
        <v>13119</v>
      </c>
      <c r="C121" s="987" t="s">
        <v>4628</v>
      </c>
      <c r="F121" s="992">
        <v>4.7900000000000012E-2</v>
      </c>
      <c r="H121" s="992">
        <v>3.5750000000000001E-3</v>
      </c>
      <c r="I121" s="986">
        <f t="shared" si="1"/>
        <v>4.432500000000001E-2</v>
      </c>
      <c r="J121" s="988">
        <v>13119</v>
      </c>
    </row>
    <row r="122" spans="2:10" ht="13.8">
      <c r="B122" s="988">
        <v>13150</v>
      </c>
      <c r="C122" s="987" t="s">
        <v>4628</v>
      </c>
      <c r="F122" s="992">
        <v>0.11030000000000001</v>
      </c>
      <c r="H122" s="992">
        <v>3.5083333333333334E-3</v>
      </c>
      <c r="I122" s="986">
        <f t="shared" si="1"/>
        <v>0.10679166666666667</v>
      </c>
      <c r="J122" s="988">
        <v>13150</v>
      </c>
    </row>
    <row r="123" spans="2:10" ht="13.8">
      <c r="B123" s="988">
        <v>13181</v>
      </c>
      <c r="C123" s="987" t="s">
        <v>4628</v>
      </c>
      <c r="F123" s="992">
        <v>-3.4200000000000001E-2</v>
      </c>
      <c r="H123" s="992">
        <v>3.4749999999999998E-3</v>
      </c>
      <c r="I123" s="986">
        <f t="shared" si="1"/>
        <v>-3.7675E-2</v>
      </c>
      <c r="J123" s="988">
        <v>13181</v>
      </c>
    </row>
    <row r="124" spans="2:10" ht="13.8">
      <c r="B124" s="988">
        <v>13210</v>
      </c>
      <c r="C124" s="987" t="s">
        <v>4628</v>
      </c>
      <c r="F124" s="992">
        <v>3.3E-3</v>
      </c>
      <c r="H124" s="992">
        <v>3.4749999999999998E-3</v>
      </c>
      <c r="I124" s="986">
        <f t="shared" si="1"/>
        <v>-1.7499999999999981E-4</v>
      </c>
      <c r="J124" s="988">
        <v>13210</v>
      </c>
    </row>
    <row r="125" spans="2:10" ht="13.8">
      <c r="B125" s="988">
        <v>13241</v>
      </c>
      <c r="C125" s="987" t="s">
        <v>4628</v>
      </c>
      <c r="F125" s="992">
        <v>-8.14E-2</v>
      </c>
      <c r="H125" s="992">
        <v>3.4749999999999998E-3</v>
      </c>
      <c r="I125" s="986">
        <f t="shared" si="1"/>
        <v>-8.4875000000000006E-2</v>
      </c>
      <c r="J125" s="988">
        <v>13241</v>
      </c>
    </row>
    <row r="126" spans="2:10" ht="13.8">
      <c r="B126" s="988">
        <v>13271</v>
      </c>
      <c r="C126" s="987" t="s">
        <v>4628</v>
      </c>
      <c r="F126" s="992">
        <v>7.6100000000000001E-2</v>
      </c>
      <c r="H126" s="992">
        <v>3.4499999999999999E-3</v>
      </c>
      <c r="I126" s="986">
        <f t="shared" si="1"/>
        <v>7.2650000000000006E-2</v>
      </c>
      <c r="J126" s="988">
        <v>13271</v>
      </c>
    </row>
    <row r="127" spans="2:10" ht="13.8">
      <c r="B127" s="988">
        <v>13302</v>
      </c>
      <c r="C127" s="987" t="s">
        <v>4628</v>
      </c>
      <c r="F127" s="992">
        <v>3.5000000000000003E-2</v>
      </c>
      <c r="H127" s="992">
        <v>3.4333333333333334E-3</v>
      </c>
      <c r="I127" s="986">
        <f t="shared" si="1"/>
        <v>3.1566666666666673E-2</v>
      </c>
      <c r="J127" s="988">
        <v>13302</v>
      </c>
    </row>
    <row r="128" spans="2:10" ht="13.8">
      <c r="B128" s="988">
        <v>13332</v>
      </c>
      <c r="C128" s="987" t="s">
        <v>4628</v>
      </c>
      <c r="F128" s="992">
        <v>0.1009</v>
      </c>
      <c r="H128" s="992">
        <v>3.3916666666666665E-3</v>
      </c>
      <c r="I128" s="986">
        <f t="shared" si="1"/>
        <v>9.7508333333333336E-2</v>
      </c>
      <c r="J128" s="988">
        <v>13332</v>
      </c>
    </row>
    <row r="129" spans="2:10" ht="13.8">
      <c r="B129" s="988">
        <v>13363</v>
      </c>
      <c r="C129" s="987" t="s">
        <v>4628</v>
      </c>
      <c r="F129" s="992">
        <v>-1.8E-3</v>
      </c>
      <c r="H129" s="992">
        <v>3.3833333333333332E-3</v>
      </c>
      <c r="I129" s="986">
        <f t="shared" si="1"/>
        <v>-5.1833333333333332E-3</v>
      </c>
      <c r="J129" s="988">
        <v>13363</v>
      </c>
    </row>
    <row r="130" spans="2:10" ht="13.8">
      <c r="B130" s="988">
        <v>13394</v>
      </c>
      <c r="C130" s="987" t="s">
        <v>4628</v>
      </c>
      <c r="F130" s="992">
        <v>-2.2499999999999999E-2</v>
      </c>
      <c r="H130" s="992">
        <v>3.3749999999999995E-3</v>
      </c>
      <c r="I130" s="986">
        <f t="shared" si="1"/>
        <v>-2.5874999999999999E-2</v>
      </c>
      <c r="J130" s="988">
        <v>13394</v>
      </c>
    </row>
    <row r="131" spans="2:10" ht="13.8">
      <c r="B131" s="988">
        <v>13424</v>
      </c>
      <c r="C131" s="987" t="s">
        <v>4628</v>
      </c>
      <c r="F131" s="992">
        <v>5.6600000000000004E-2</v>
      </c>
      <c r="H131" s="992">
        <v>3.3666666666666667E-3</v>
      </c>
      <c r="I131" s="986">
        <f t="shared" si="1"/>
        <v>5.3233333333333341E-2</v>
      </c>
      <c r="J131" s="988">
        <v>13424</v>
      </c>
    </row>
    <row r="132" spans="2:10" ht="13.8">
      <c r="B132" s="988">
        <v>13455</v>
      </c>
      <c r="C132" s="987" t="s">
        <v>4628</v>
      </c>
      <c r="F132" s="992">
        <v>-1.6900000000000002E-2</v>
      </c>
      <c r="H132" s="992">
        <v>3.2916666666666667E-3</v>
      </c>
      <c r="I132" s="986">
        <f t="shared" si="1"/>
        <v>-2.019166666666667E-2</v>
      </c>
      <c r="J132" s="988">
        <v>13455</v>
      </c>
    </row>
    <row r="133" spans="2:10" ht="13.8">
      <c r="B133" s="988">
        <v>13485</v>
      </c>
      <c r="C133" s="987" t="s">
        <v>4628</v>
      </c>
      <c r="F133" s="992">
        <v>-1.7399999999999999E-2</v>
      </c>
      <c r="H133" s="992">
        <v>3.1916666666666664E-3</v>
      </c>
      <c r="I133" s="986">
        <f t="shared" si="1"/>
        <v>-2.0591666666666664E-2</v>
      </c>
      <c r="J133" s="988">
        <v>13485</v>
      </c>
    </row>
    <row r="134" spans="2:10" ht="13.8">
      <c r="B134" s="988">
        <v>13516</v>
      </c>
      <c r="C134" s="987" t="s">
        <v>4628</v>
      </c>
      <c r="F134" s="992">
        <v>1.9500000000000003E-2</v>
      </c>
      <c r="H134" s="992">
        <v>3.1833333333333336E-3</v>
      </c>
      <c r="I134" s="986">
        <f t="shared" si="1"/>
        <v>1.631666666666667E-2</v>
      </c>
      <c r="J134" s="988">
        <v>13516</v>
      </c>
    </row>
    <row r="135" spans="2:10" ht="13.8">
      <c r="B135" s="988">
        <v>13547</v>
      </c>
      <c r="C135" s="987" t="s">
        <v>4628</v>
      </c>
      <c r="F135" s="992">
        <v>-3.5299999999999998E-2</v>
      </c>
      <c r="H135" s="992">
        <v>3.2416666666666666E-3</v>
      </c>
      <c r="I135" s="986">
        <f t="shared" si="1"/>
        <v>-3.8541666666666662E-2</v>
      </c>
      <c r="J135" s="988">
        <v>13547</v>
      </c>
    </row>
    <row r="136" spans="2:10" ht="13.8">
      <c r="B136" s="988">
        <v>13575</v>
      </c>
      <c r="C136" s="987" t="s">
        <v>4628</v>
      </c>
      <c r="F136" s="992">
        <v>-5.7300000000000004E-2</v>
      </c>
      <c r="H136" s="992">
        <v>3.3333333333333331E-3</v>
      </c>
      <c r="I136" s="986">
        <f t="shared" si="1"/>
        <v>-6.0633333333333338E-2</v>
      </c>
      <c r="J136" s="988">
        <v>13575</v>
      </c>
    </row>
    <row r="137" spans="2:10" ht="13.8">
      <c r="B137" s="988">
        <v>13606</v>
      </c>
      <c r="C137" s="987" t="s">
        <v>4628</v>
      </c>
      <c r="F137" s="992">
        <v>-7.3599999999999999E-2</v>
      </c>
      <c r="H137" s="992">
        <v>3.3916666666666665E-3</v>
      </c>
      <c r="I137" s="986">
        <f t="shared" si="1"/>
        <v>-7.6991666666666667E-2</v>
      </c>
      <c r="J137" s="988">
        <v>13606</v>
      </c>
    </row>
    <row r="138" spans="2:10" ht="13.8">
      <c r="B138" s="988">
        <v>13636</v>
      </c>
      <c r="C138" s="987" t="s">
        <v>4628</v>
      </c>
      <c r="F138" s="992">
        <v>-5.16E-2</v>
      </c>
      <c r="H138" s="992">
        <v>3.3333333333333331E-3</v>
      </c>
      <c r="I138" s="986">
        <f t="shared" si="1"/>
        <v>-5.4933333333333334E-2</v>
      </c>
      <c r="J138" s="988">
        <v>13636</v>
      </c>
    </row>
    <row r="139" spans="2:10" ht="13.8">
      <c r="B139" s="988">
        <v>13667</v>
      </c>
      <c r="C139" s="987" t="s">
        <v>4628</v>
      </c>
      <c r="F139" s="992">
        <v>-4.6699999999999998E-2</v>
      </c>
      <c r="H139" s="992">
        <v>3.3250000000000003E-3</v>
      </c>
      <c r="I139" s="986">
        <f t="shared" si="1"/>
        <v>-5.0025E-2</v>
      </c>
      <c r="J139" s="988">
        <v>13667</v>
      </c>
    </row>
    <row r="140" spans="2:10" ht="13.8">
      <c r="B140" s="988">
        <v>13697</v>
      </c>
      <c r="C140" s="987" t="s">
        <v>4628</v>
      </c>
      <c r="F140" s="992">
        <v>0.1671</v>
      </c>
      <c r="H140" s="992">
        <v>3.283333333333333E-3</v>
      </c>
      <c r="I140" s="986">
        <f t="shared" si="1"/>
        <v>0.16381666666666667</v>
      </c>
      <c r="J140" s="988">
        <v>13697</v>
      </c>
    </row>
    <row r="141" spans="2:10" ht="13.8">
      <c r="B141" s="988">
        <v>13728</v>
      </c>
      <c r="C141" s="987" t="s">
        <v>4628</v>
      </c>
      <c r="F141" s="992">
        <v>-9.0300000000000005E-2</v>
      </c>
      <c r="H141" s="992">
        <v>3.2416666666666666E-3</v>
      </c>
      <c r="I141" s="986">
        <f t="shared" si="1"/>
        <v>-9.3541666666666676E-2</v>
      </c>
      <c r="J141" s="988">
        <v>13728</v>
      </c>
    </row>
    <row r="142" spans="2:10" ht="13.8">
      <c r="B142" s="988">
        <v>13759</v>
      </c>
      <c r="C142" s="987" t="s">
        <v>4628</v>
      </c>
      <c r="F142" s="992">
        <v>-0.1174</v>
      </c>
      <c r="H142" s="992">
        <v>3.3E-3</v>
      </c>
      <c r="I142" s="986">
        <f t="shared" si="1"/>
        <v>-0.1207</v>
      </c>
      <c r="J142" s="988">
        <v>13759</v>
      </c>
    </row>
    <row r="143" spans="2:10" ht="13.8">
      <c r="B143" s="988">
        <v>13789</v>
      </c>
      <c r="C143" s="987" t="s">
        <v>4628</v>
      </c>
      <c r="F143" s="992">
        <v>-5.16E-2</v>
      </c>
      <c r="H143" s="992">
        <v>3.4083333333333331E-3</v>
      </c>
      <c r="I143" s="986">
        <f t="shared" si="1"/>
        <v>-5.5008333333333333E-2</v>
      </c>
      <c r="J143" s="988">
        <v>13789</v>
      </c>
    </row>
    <row r="144" spans="2:10" ht="13.8">
      <c r="B144" s="988">
        <v>13820</v>
      </c>
      <c r="C144" s="987" t="s">
        <v>4628</v>
      </c>
      <c r="F144" s="992">
        <v>8.0000000000000002E-3</v>
      </c>
      <c r="H144" s="992">
        <v>3.4000000000000002E-3</v>
      </c>
      <c r="I144" s="986">
        <f t="shared" si="1"/>
        <v>4.5999999999999999E-3</v>
      </c>
      <c r="J144" s="988">
        <v>13820</v>
      </c>
    </row>
    <row r="145" spans="2:10" ht="13.8">
      <c r="B145" s="988">
        <v>13850</v>
      </c>
      <c r="C145" s="987" t="s">
        <v>4628</v>
      </c>
      <c r="F145" s="992">
        <v>-9.5100000000000004E-2</v>
      </c>
      <c r="H145" s="992">
        <v>3.3583333333333338E-3</v>
      </c>
      <c r="I145" s="986">
        <f t="shared" si="1"/>
        <v>-9.8458333333333342E-2</v>
      </c>
      <c r="J145" s="988">
        <v>13850</v>
      </c>
    </row>
    <row r="146" spans="2:10" ht="13.8">
      <c r="B146" s="988">
        <v>13881</v>
      </c>
      <c r="C146" s="987" t="s">
        <v>4628</v>
      </c>
      <c r="F146" s="992">
        <v>-3.6799999999999999E-2</v>
      </c>
      <c r="H146" s="992">
        <v>3.3416666666666668E-3</v>
      </c>
      <c r="I146" s="986">
        <f t="shared" si="1"/>
        <v>-4.0141666666666666E-2</v>
      </c>
      <c r="J146" s="988">
        <v>13881</v>
      </c>
    </row>
    <row r="147" spans="2:10" ht="13.8">
      <c r="B147" s="988">
        <v>13912</v>
      </c>
      <c r="C147" s="987" t="s">
        <v>4628</v>
      </c>
      <c r="F147" s="992">
        <v>3.4099999999999998E-2</v>
      </c>
      <c r="H147" s="992">
        <v>3.3583333333333338E-3</v>
      </c>
      <c r="I147" s="986">
        <f t="shared" si="1"/>
        <v>3.0741666666666664E-2</v>
      </c>
      <c r="J147" s="988">
        <v>13912</v>
      </c>
    </row>
    <row r="148" spans="2:10" ht="13.8">
      <c r="B148" s="988">
        <v>13940</v>
      </c>
      <c r="C148" s="987" t="s">
        <v>4628</v>
      </c>
      <c r="F148" s="992">
        <v>-0.19839999999999999</v>
      </c>
      <c r="H148" s="992">
        <v>3.3250000000000003E-3</v>
      </c>
      <c r="I148" s="986">
        <f t="shared" si="1"/>
        <v>-0.20172499999999999</v>
      </c>
      <c r="J148" s="988">
        <v>13940</v>
      </c>
    </row>
    <row r="149" spans="2:10" ht="13.8">
      <c r="B149" s="988">
        <v>13971</v>
      </c>
      <c r="C149" s="987" t="s">
        <v>4628</v>
      </c>
      <c r="F149" s="992">
        <v>0.15379999999999999</v>
      </c>
      <c r="H149" s="992">
        <v>3.4000000000000002E-3</v>
      </c>
      <c r="I149" s="986">
        <f t="shared" si="1"/>
        <v>0.15039999999999998</v>
      </c>
      <c r="J149" s="988">
        <v>13971</v>
      </c>
    </row>
    <row r="150" spans="2:10" ht="13.8">
      <c r="B150" s="988">
        <v>14001</v>
      </c>
      <c r="C150" s="987" t="s">
        <v>4628</v>
      </c>
      <c r="F150" s="992">
        <v>1.8100000000000002E-2</v>
      </c>
      <c r="H150" s="992">
        <v>3.2916666666666667E-3</v>
      </c>
      <c r="I150" s="986">
        <f t="shared" si="1"/>
        <v>1.4808333333333335E-2</v>
      </c>
      <c r="J150" s="988">
        <v>14001</v>
      </c>
    </row>
    <row r="151" spans="2:10" ht="13.8">
      <c r="B151" s="988">
        <v>14032</v>
      </c>
      <c r="C151" s="987" t="s">
        <v>4628</v>
      </c>
      <c r="F151" s="992">
        <v>0.16219999999999998</v>
      </c>
      <c r="H151" s="992">
        <v>3.2916666666666667E-3</v>
      </c>
      <c r="I151" s="986">
        <f t="shared" si="1"/>
        <v>0.15890833333333332</v>
      </c>
      <c r="J151" s="988">
        <v>14032</v>
      </c>
    </row>
    <row r="152" spans="2:10" ht="13.8">
      <c r="B152" s="988">
        <v>14062</v>
      </c>
      <c r="C152" s="987" t="s">
        <v>4628</v>
      </c>
      <c r="F152" s="992">
        <v>1.4800000000000001E-2</v>
      </c>
      <c r="H152" s="992">
        <v>3.2166666666666667E-3</v>
      </c>
      <c r="I152" s="986">
        <f t="shared" si="1"/>
        <v>1.1583333333333334E-2</v>
      </c>
      <c r="J152" s="988">
        <v>14062</v>
      </c>
    </row>
    <row r="153" spans="2:10" ht="13.8">
      <c r="B153" s="988">
        <v>14093</v>
      </c>
      <c r="C153" s="987" t="s">
        <v>4628</v>
      </c>
      <c r="F153" s="992">
        <v>-5.57E-2</v>
      </c>
      <c r="H153" s="992">
        <v>3.2000000000000002E-3</v>
      </c>
      <c r="I153" s="986">
        <f t="shared" si="1"/>
        <v>-5.8900000000000001E-2</v>
      </c>
      <c r="J153" s="988">
        <v>14093</v>
      </c>
    </row>
    <row r="154" spans="2:10" ht="13.8">
      <c r="B154" s="988">
        <v>14124</v>
      </c>
      <c r="C154" s="987" t="s">
        <v>4628</v>
      </c>
      <c r="F154" s="992">
        <v>1.9099999999999999E-2</v>
      </c>
      <c r="H154" s="992">
        <v>3.2333333333333329E-3</v>
      </c>
      <c r="I154" s="986">
        <f t="shared" ref="I154:I217" si="2">F154-H154</f>
        <v>1.5866666666666668E-2</v>
      </c>
      <c r="J154" s="988">
        <v>14124</v>
      </c>
    </row>
    <row r="155" spans="2:10" ht="13.8">
      <c r="B155" s="988">
        <v>14154</v>
      </c>
      <c r="C155" s="987" t="s">
        <v>4628</v>
      </c>
      <c r="F155" s="992">
        <v>0.18009999999999998</v>
      </c>
      <c r="H155" s="992">
        <v>3.1583333333333337E-3</v>
      </c>
      <c r="I155" s="986">
        <f t="shared" si="2"/>
        <v>0.17694166666666664</v>
      </c>
      <c r="J155" s="988">
        <v>14154</v>
      </c>
    </row>
    <row r="156" spans="2:10" ht="13.8">
      <c r="B156" s="988">
        <v>14185</v>
      </c>
      <c r="C156" s="987" t="s">
        <v>4628</v>
      </c>
      <c r="F156" s="992">
        <v>-6.2000000000000013E-2</v>
      </c>
      <c r="H156" s="992">
        <v>3.1083333333333336E-3</v>
      </c>
      <c r="I156" s="986">
        <f t="shared" si="2"/>
        <v>-6.5108333333333351E-2</v>
      </c>
      <c r="J156" s="988">
        <v>14185</v>
      </c>
    </row>
    <row r="157" spans="2:10" ht="13.8">
      <c r="B157" s="988">
        <v>14215</v>
      </c>
      <c r="C157" s="987" t="s">
        <v>4628</v>
      </c>
      <c r="F157" s="992">
        <v>3.9099999999999996E-2</v>
      </c>
      <c r="H157" s="992">
        <v>3.1166666666666669E-3</v>
      </c>
      <c r="I157" s="986">
        <f t="shared" si="2"/>
        <v>3.5983333333333326E-2</v>
      </c>
      <c r="J157" s="988">
        <v>14215</v>
      </c>
    </row>
    <row r="158" spans="2:10" ht="13.8">
      <c r="B158" s="988">
        <v>14246</v>
      </c>
      <c r="C158" s="987" t="s">
        <v>4628</v>
      </c>
      <c r="F158" s="992">
        <v>1.6500000000000001E-2</v>
      </c>
      <c r="H158" s="992">
        <v>3.0666666666666672E-3</v>
      </c>
      <c r="I158" s="986">
        <f t="shared" si="2"/>
        <v>1.3433333333333334E-2</v>
      </c>
      <c r="J158" s="988">
        <v>14246</v>
      </c>
    </row>
    <row r="159" spans="2:10" ht="13.8">
      <c r="B159" s="988">
        <v>14277</v>
      </c>
      <c r="C159" s="987" t="s">
        <v>4628</v>
      </c>
      <c r="F159" s="992">
        <v>8.0100000000000005E-2</v>
      </c>
      <c r="H159" s="992">
        <v>2.9916666666666663E-3</v>
      </c>
      <c r="I159" s="986">
        <f t="shared" si="2"/>
        <v>7.7108333333333334E-2</v>
      </c>
      <c r="J159" s="988">
        <v>14277</v>
      </c>
    </row>
    <row r="160" spans="2:10" ht="13.8">
      <c r="B160" s="988">
        <v>14305</v>
      </c>
      <c r="C160" s="987" t="s">
        <v>4628</v>
      </c>
      <c r="F160" s="992">
        <v>-0.13780000000000001</v>
      </c>
      <c r="H160" s="992">
        <v>2.9499999999999999E-3</v>
      </c>
      <c r="I160" s="986">
        <f t="shared" si="2"/>
        <v>-0.14075000000000001</v>
      </c>
      <c r="J160" s="988">
        <v>14305</v>
      </c>
    </row>
    <row r="161" spans="2:10" ht="13.8">
      <c r="B161" s="988">
        <v>14336</v>
      </c>
      <c r="C161" s="987" t="s">
        <v>4628</v>
      </c>
      <c r="F161" s="992">
        <v>2.8500000000000001E-2</v>
      </c>
      <c r="H161" s="992">
        <v>2.9583333333333332E-3</v>
      </c>
      <c r="I161" s="986">
        <f t="shared" si="2"/>
        <v>2.5541666666666667E-2</v>
      </c>
      <c r="J161" s="988">
        <v>14336</v>
      </c>
    </row>
    <row r="162" spans="2:10" ht="13.8">
      <c r="B162" s="988">
        <v>14366</v>
      </c>
      <c r="C162" s="987" t="s">
        <v>4628</v>
      </c>
      <c r="F162" s="992">
        <v>6.6500000000000004E-2</v>
      </c>
      <c r="H162" s="992">
        <v>2.9166666666666668E-3</v>
      </c>
      <c r="I162" s="986">
        <f t="shared" si="2"/>
        <v>6.3583333333333339E-2</v>
      </c>
      <c r="J162" s="988">
        <v>14366</v>
      </c>
    </row>
    <row r="163" spans="2:10" ht="13.8">
      <c r="B163" s="988">
        <v>14397</v>
      </c>
      <c r="C163" s="987" t="s">
        <v>4628</v>
      </c>
      <c r="F163" s="992">
        <v>-4.2299999999999997E-2</v>
      </c>
      <c r="H163" s="992">
        <v>2.891666666666667E-3</v>
      </c>
      <c r="I163" s="986">
        <f t="shared" si="2"/>
        <v>-4.5191666666666665E-2</v>
      </c>
      <c r="J163" s="988">
        <v>14397</v>
      </c>
    </row>
    <row r="164" spans="2:10" ht="13.8">
      <c r="B164" s="988">
        <v>14427</v>
      </c>
      <c r="C164" s="987" t="s">
        <v>4628</v>
      </c>
      <c r="F164" s="992">
        <v>0.1208</v>
      </c>
      <c r="H164" s="992">
        <v>2.8583333333333334E-3</v>
      </c>
      <c r="I164" s="986">
        <f t="shared" si="2"/>
        <v>0.11794166666666667</v>
      </c>
      <c r="J164" s="988">
        <v>14427</v>
      </c>
    </row>
    <row r="165" spans="2:10" ht="13.8">
      <c r="B165" s="988">
        <v>14458</v>
      </c>
      <c r="C165" s="987" t="s">
        <v>4628</v>
      </c>
      <c r="F165" s="992">
        <v>-6.4699999999999994E-2</v>
      </c>
      <c r="H165" s="992">
        <v>2.8416666666666668E-3</v>
      </c>
      <c r="I165" s="986">
        <f t="shared" si="2"/>
        <v>-6.7541666666666667E-2</v>
      </c>
      <c r="J165" s="988">
        <v>14458</v>
      </c>
    </row>
    <row r="166" spans="2:10" ht="13.8">
      <c r="B166" s="988">
        <v>14489</v>
      </c>
      <c r="C166" s="987" t="s">
        <v>4628</v>
      </c>
      <c r="F166" s="992">
        <v>4.2100000000000005E-2</v>
      </c>
      <c r="H166" s="992">
        <v>3.0916666666666666E-3</v>
      </c>
      <c r="I166" s="986">
        <f t="shared" si="2"/>
        <v>3.9008333333333339E-2</v>
      </c>
      <c r="J166" s="988">
        <v>14489</v>
      </c>
    </row>
    <row r="167" spans="2:10" ht="13.8">
      <c r="B167" s="988">
        <v>14519</v>
      </c>
      <c r="C167" s="987" t="s">
        <v>4628</v>
      </c>
      <c r="F167" s="992">
        <v>1.3000000000000001E-2</v>
      </c>
      <c r="H167" s="992">
        <v>2.9833333333333335E-3</v>
      </c>
      <c r="I167" s="986">
        <f t="shared" si="2"/>
        <v>1.0016666666666667E-2</v>
      </c>
      <c r="J167" s="988">
        <v>14519</v>
      </c>
    </row>
    <row r="168" spans="2:10" ht="13.8">
      <c r="B168" s="988">
        <v>14550</v>
      </c>
      <c r="C168" s="987" t="s">
        <v>4628</v>
      </c>
      <c r="F168" s="992">
        <v>-1.5699999999999999E-2</v>
      </c>
      <c r="H168" s="992">
        <v>2.8416666666666668E-3</v>
      </c>
      <c r="I168" s="986">
        <f t="shared" si="2"/>
        <v>-1.8541666666666665E-2</v>
      </c>
      <c r="J168" s="988">
        <v>14550</v>
      </c>
    </row>
    <row r="169" spans="2:10" ht="13.8">
      <c r="B169" s="988">
        <v>14580</v>
      </c>
      <c r="C169" s="987" t="s">
        <v>4628</v>
      </c>
      <c r="F169" s="992">
        <v>2.7199999999999998E-2</v>
      </c>
      <c r="H169" s="992">
        <v>2.816666666666667E-3</v>
      </c>
      <c r="I169" s="986">
        <f t="shared" si="2"/>
        <v>2.4383333333333333E-2</v>
      </c>
      <c r="J169" s="988">
        <v>14580</v>
      </c>
    </row>
    <row r="170" spans="2:10" ht="13.8">
      <c r="B170" s="988">
        <v>14611</v>
      </c>
      <c r="C170" s="987" t="s">
        <v>4628</v>
      </c>
      <c r="F170" s="992">
        <v>6.8999999999999999E-3</v>
      </c>
      <c r="H170" s="992">
        <v>2.7833333333333334E-3</v>
      </c>
      <c r="I170" s="986">
        <f t="shared" si="2"/>
        <v>4.116666666666666E-3</v>
      </c>
      <c r="J170" s="988">
        <v>14611</v>
      </c>
    </row>
    <row r="171" spans="2:10" ht="13.8">
      <c r="B171" s="988">
        <v>14642</v>
      </c>
      <c r="C171" s="987" t="s">
        <v>4628</v>
      </c>
      <c r="F171" s="992">
        <v>-1.0200000000000001E-2</v>
      </c>
      <c r="H171" s="992">
        <v>2.7916666666666667E-3</v>
      </c>
      <c r="I171" s="986">
        <f t="shared" si="2"/>
        <v>-1.2991666666666667E-2</v>
      </c>
      <c r="J171" s="988">
        <v>14642</v>
      </c>
    </row>
    <row r="172" spans="2:10" ht="13.8">
      <c r="B172" s="988">
        <v>14671</v>
      </c>
      <c r="C172" s="987" t="s">
        <v>4628</v>
      </c>
      <c r="F172" s="992">
        <v>9.3999999999999986E-3</v>
      </c>
      <c r="H172" s="992">
        <v>2.7833333333333334E-3</v>
      </c>
      <c r="I172" s="986">
        <f t="shared" si="2"/>
        <v>6.6166666666666648E-3</v>
      </c>
      <c r="J172" s="988">
        <v>14671</v>
      </c>
    </row>
    <row r="173" spans="2:10" ht="13.8">
      <c r="B173" s="988">
        <v>14702</v>
      </c>
      <c r="C173" s="987" t="s">
        <v>4628</v>
      </c>
      <c r="F173" s="992">
        <v>-9.1999999999999998E-3</v>
      </c>
      <c r="H173" s="992">
        <v>2.708333333333333E-3</v>
      </c>
      <c r="I173" s="986">
        <f t="shared" si="2"/>
        <v>-1.1908333333333333E-2</v>
      </c>
      <c r="J173" s="988">
        <v>14702</v>
      </c>
    </row>
    <row r="174" spans="2:10" ht="13.8">
      <c r="B174" s="988">
        <v>14732</v>
      </c>
      <c r="C174" s="987" t="s">
        <v>4628</v>
      </c>
      <c r="F174" s="992">
        <v>-0.19640000000000002</v>
      </c>
      <c r="H174" s="992">
        <v>2.7500000000000003E-3</v>
      </c>
      <c r="I174" s="986">
        <f t="shared" si="2"/>
        <v>-0.19915000000000002</v>
      </c>
      <c r="J174" s="988">
        <v>14732</v>
      </c>
    </row>
    <row r="175" spans="2:10" ht="13.8">
      <c r="B175" s="988">
        <v>14763</v>
      </c>
      <c r="C175" s="987" t="s">
        <v>4628</v>
      </c>
      <c r="F175" s="992">
        <v>0.15060000000000001</v>
      </c>
      <c r="H175" s="992">
        <v>2.7833333333333334E-3</v>
      </c>
      <c r="I175" s="986">
        <f t="shared" si="2"/>
        <v>0.14781666666666668</v>
      </c>
      <c r="J175" s="988">
        <v>14763</v>
      </c>
    </row>
    <row r="176" spans="2:10" ht="13.8">
      <c r="B176" s="988">
        <v>14793</v>
      </c>
      <c r="C176" s="987" t="s">
        <v>4628</v>
      </c>
      <c r="F176" s="992">
        <v>6.5000000000000006E-3</v>
      </c>
      <c r="H176" s="992">
        <v>2.6916666666666669E-3</v>
      </c>
      <c r="I176" s="986">
        <f t="shared" si="2"/>
        <v>3.8083333333333337E-3</v>
      </c>
      <c r="J176" s="988">
        <v>14793</v>
      </c>
    </row>
    <row r="177" spans="2:10" ht="13.8">
      <c r="B177" s="988">
        <v>14824</v>
      </c>
      <c r="C177" s="987" t="s">
        <v>4628</v>
      </c>
      <c r="F177" s="992">
        <v>-9.4000000000000004E-3</v>
      </c>
      <c r="H177" s="992">
        <v>2.6750000000000003E-3</v>
      </c>
      <c r="I177" s="986">
        <f t="shared" si="2"/>
        <v>-1.2075000000000001E-2</v>
      </c>
      <c r="J177" s="988">
        <v>14824</v>
      </c>
    </row>
    <row r="178" spans="2:10" ht="13.8">
      <c r="B178" s="988">
        <v>14855</v>
      </c>
      <c r="C178" s="987" t="s">
        <v>4628</v>
      </c>
      <c r="F178" s="992">
        <v>-2.1099999999999997E-2</v>
      </c>
      <c r="H178" s="992">
        <v>2.65E-3</v>
      </c>
      <c r="I178" s="986">
        <f t="shared" si="2"/>
        <v>-2.3749999999999997E-2</v>
      </c>
      <c r="J178" s="988">
        <v>14855</v>
      </c>
    </row>
    <row r="179" spans="2:10" ht="13.8">
      <c r="B179" s="988">
        <v>14885</v>
      </c>
      <c r="C179" s="987" t="s">
        <v>4628</v>
      </c>
      <c r="F179" s="992">
        <v>3.1699999999999999E-2</v>
      </c>
      <c r="H179" s="992">
        <v>2.6250000000000002E-3</v>
      </c>
      <c r="I179" s="986">
        <f t="shared" si="2"/>
        <v>2.9075E-2</v>
      </c>
      <c r="J179" s="988">
        <v>14885</v>
      </c>
    </row>
    <row r="180" spans="2:10" ht="13.8">
      <c r="B180" s="988">
        <v>14916</v>
      </c>
      <c r="C180" s="987" t="s">
        <v>4628</v>
      </c>
      <c r="F180" s="992">
        <v>-0.12069999999999999</v>
      </c>
      <c r="H180" s="992">
        <v>2.5916666666666666E-3</v>
      </c>
      <c r="I180" s="986">
        <f t="shared" si="2"/>
        <v>-0.12329166666666666</v>
      </c>
      <c r="J180" s="988">
        <v>14916</v>
      </c>
    </row>
    <row r="181" spans="2:10" ht="13.8">
      <c r="B181" s="988">
        <v>14946</v>
      </c>
      <c r="C181" s="987" t="s">
        <v>4628</v>
      </c>
      <c r="F181" s="992">
        <v>1.54E-2</v>
      </c>
      <c r="H181" s="992">
        <v>2.5833333333333337E-3</v>
      </c>
      <c r="I181" s="986">
        <f t="shared" si="2"/>
        <v>1.2816666666666667E-2</v>
      </c>
      <c r="J181" s="988">
        <v>14946</v>
      </c>
    </row>
    <row r="182" spans="2:10" ht="13.8">
      <c r="B182" s="988">
        <v>14977</v>
      </c>
      <c r="C182" s="987" t="s">
        <v>4628</v>
      </c>
      <c r="F182" s="992">
        <v>-8.4000000000000012E-3</v>
      </c>
      <c r="H182" s="992">
        <v>2.6250000000000002E-3</v>
      </c>
      <c r="I182" s="986">
        <f t="shared" si="2"/>
        <v>-1.1025000000000002E-2</v>
      </c>
      <c r="J182" s="988">
        <v>14977</v>
      </c>
    </row>
    <row r="183" spans="2:10" ht="13.8">
      <c r="B183" s="988">
        <v>15008</v>
      </c>
      <c r="C183" s="987" t="s">
        <v>4628</v>
      </c>
      <c r="F183" s="992">
        <v>-2.3299999999999998E-2</v>
      </c>
      <c r="H183" s="992">
        <v>2.6666666666666666E-3</v>
      </c>
      <c r="I183" s="986">
        <f t="shared" si="2"/>
        <v>-2.5966666666666666E-2</v>
      </c>
      <c r="J183" s="988">
        <v>15008</v>
      </c>
    </row>
    <row r="184" spans="2:10" ht="13.8">
      <c r="B184" s="988">
        <v>15036</v>
      </c>
      <c r="C184" s="987" t="s">
        <v>4628</v>
      </c>
      <c r="F184" s="992">
        <v>-2.8000000000000004E-2</v>
      </c>
      <c r="H184" s="992">
        <v>2.6333333333333334E-3</v>
      </c>
      <c r="I184" s="986">
        <f t="shared" si="2"/>
        <v>-3.0633333333333339E-2</v>
      </c>
      <c r="J184" s="988">
        <v>15036</v>
      </c>
    </row>
    <row r="185" spans="2:10" ht="13.8">
      <c r="B185" s="988">
        <v>15067</v>
      </c>
      <c r="C185" s="987" t="s">
        <v>4628</v>
      </c>
      <c r="F185" s="992">
        <v>-8.4399999999999989E-2</v>
      </c>
      <c r="H185" s="992">
        <v>2.6166666666666664E-3</v>
      </c>
      <c r="I185" s="986">
        <f t="shared" si="2"/>
        <v>-8.7016666666666659E-2</v>
      </c>
      <c r="J185" s="988">
        <v>15067</v>
      </c>
    </row>
    <row r="186" spans="2:10" ht="13.8">
      <c r="B186" s="988">
        <v>15097</v>
      </c>
      <c r="C186" s="987" t="s">
        <v>4628</v>
      </c>
      <c r="F186" s="992">
        <v>-3.3700000000000001E-2</v>
      </c>
      <c r="H186" s="992">
        <v>2.5666666666666667E-3</v>
      </c>
      <c r="I186" s="986">
        <f t="shared" si="2"/>
        <v>-3.6266666666666669E-2</v>
      </c>
      <c r="J186" s="988">
        <v>15097</v>
      </c>
    </row>
    <row r="187" spans="2:10" ht="13.8">
      <c r="B187" s="988">
        <v>15128</v>
      </c>
      <c r="C187" s="987" t="s">
        <v>4628</v>
      </c>
      <c r="F187" s="992">
        <v>2.5700000000000004E-2</v>
      </c>
      <c r="H187" s="992">
        <v>2.5249999999999999E-3</v>
      </c>
      <c r="I187" s="986">
        <f t="shared" si="2"/>
        <v>2.3175000000000005E-2</v>
      </c>
      <c r="J187" s="988">
        <v>15128</v>
      </c>
    </row>
    <row r="188" spans="2:10" ht="13.8">
      <c r="B188" s="988">
        <v>15158</v>
      </c>
      <c r="C188" s="987" t="s">
        <v>4628</v>
      </c>
      <c r="F188" s="992">
        <v>5.3800000000000001E-2</v>
      </c>
      <c r="H188" s="992">
        <v>2.5000000000000001E-3</v>
      </c>
      <c r="I188" s="986">
        <f t="shared" si="2"/>
        <v>5.1299999999999998E-2</v>
      </c>
      <c r="J188" s="988">
        <v>15158</v>
      </c>
    </row>
    <row r="189" spans="2:10" ht="13.8">
      <c r="B189" s="988">
        <v>15189</v>
      </c>
      <c r="C189" s="987" t="s">
        <v>4628</v>
      </c>
      <c r="F189" s="992">
        <v>-1.9200000000000002E-2</v>
      </c>
      <c r="H189" s="992">
        <v>2.4833333333333331E-3</v>
      </c>
      <c r="I189" s="986">
        <f t="shared" si="2"/>
        <v>-2.1683333333333336E-2</v>
      </c>
      <c r="J189" s="988">
        <v>15189</v>
      </c>
    </row>
    <row r="190" spans="2:10" ht="13.8">
      <c r="B190" s="988">
        <v>15220</v>
      </c>
      <c r="C190" s="987" t="s">
        <v>4628</v>
      </c>
      <c r="F190" s="992">
        <v>-2.8199999999999992E-2</v>
      </c>
      <c r="H190" s="992">
        <v>2.5000000000000001E-3</v>
      </c>
      <c r="I190" s="986">
        <f t="shared" si="2"/>
        <v>-3.0699999999999991E-2</v>
      </c>
      <c r="J190" s="988">
        <v>15220</v>
      </c>
    </row>
    <row r="191" spans="2:10" ht="13.8">
      <c r="B191" s="988">
        <v>15250</v>
      </c>
      <c r="C191" s="987" t="s">
        <v>4628</v>
      </c>
      <c r="F191" s="992">
        <v>-8.48E-2</v>
      </c>
      <c r="H191" s="992">
        <v>2.5000000000000001E-3</v>
      </c>
      <c r="I191" s="986">
        <f t="shared" si="2"/>
        <v>-8.7300000000000003E-2</v>
      </c>
      <c r="J191" s="988">
        <v>15250</v>
      </c>
    </row>
    <row r="192" spans="2:10" ht="13.8">
      <c r="B192" s="988">
        <v>15281</v>
      </c>
      <c r="C192" s="987" t="s">
        <v>4628</v>
      </c>
      <c r="F192" s="992">
        <v>-6.5199999999999994E-2</v>
      </c>
      <c r="H192" s="992">
        <v>2.4833333333333331E-3</v>
      </c>
      <c r="I192" s="986">
        <f t="shared" si="2"/>
        <v>-6.7683333333333331E-2</v>
      </c>
      <c r="J192" s="988">
        <v>15281</v>
      </c>
    </row>
    <row r="193" spans="2:10" ht="13.8">
      <c r="B193" s="988">
        <v>15311</v>
      </c>
      <c r="C193" s="987" t="s">
        <v>4628</v>
      </c>
      <c r="F193" s="992">
        <v>-6.7799999999999999E-2</v>
      </c>
      <c r="H193" s="992">
        <v>2.5500000000000002E-3</v>
      </c>
      <c r="I193" s="986">
        <f t="shared" si="2"/>
        <v>-7.0349999999999996E-2</v>
      </c>
      <c r="J193" s="988">
        <v>15311</v>
      </c>
    </row>
    <row r="194" spans="2:10" ht="13.8">
      <c r="B194" s="988">
        <v>15342</v>
      </c>
      <c r="C194" s="987" t="s">
        <v>4628</v>
      </c>
      <c r="F194" s="992">
        <v>2.52E-2</v>
      </c>
      <c r="H194" s="992">
        <v>2.575E-3</v>
      </c>
      <c r="I194" s="986">
        <f t="shared" si="2"/>
        <v>2.2624999999999999E-2</v>
      </c>
      <c r="J194" s="988">
        <v>15342</v>
      </c>
    </row>
    <row r="195" spans="2:10" ht="13.8">
      <c r="B195" s="988">
        <v>15373</v>
      </c>
      <c r="C195" s="987" t="s">
        <v>4628</v>
      </c>
      <c r="F195" s="992">
        <v>-3.39E-2</v>
      </c>
      <c r="H195" s="992">
        <v>2.575E-3</v>
      </c>
      <c r="I195" s="986">
        <f t="shared" si="2"/>
        <v>-3.6475E-2</v>
      </c>
      <c r="J195" s="988">
        <v>15373</v>
      </c>
    </row>
    <row r="196" spans="2:10" ht="13.8">
      <c r="B196" s="988">
        <v>15401</v>
      </c>
      <c r="C196" s="987" t="s">
        <v>4628</v>
      </c>
      <c r="F196" s="992">
        <v>-0.10459999999999998</v>
      </c>
      <c r="H196" s="992">
        <v>2.5999999999999999E-3</v>
      </c>
      <c r="I196" s="986">
        <f t="shared" si="2"/>
        <v>-0.10719999999999999</v>
      </c>
      <c r="J196" s="988">
        <v>15401</v>
      </c>
    </row>
    <row r="197" spans="2:10" ht="13.8">
      <c r="B197" s="988">
        <v>15432</v>
      </c>
      <c r="C197" s="987" t="s">
        <v>4628</v>
      </c>
      <c r="F197" s="992">
        <v>-4.3200000000000002E-2</v>
      </c>
      <c r="H197" s="992">
        <v>2.575E-3</v>
      </c>
      <c r="I197" s="986">
        <f t="shared" si="2"/>
        <v>-4.5775000000000003E-2</v>
      </c>
      <c r="J197" s="988">
        <v>15432</v>
      </c>
    </row>
    <row r="198" spans="2:10" ht="13.8">
      <c r="B198" s="988">
        <v>15462</v>
      </c>
      <c r="C198" s="987" t="s">
        <v>4628</v>
      </c>
      <c r="F198" s="992">
        <v>9.5600000000000004E-2</v>
      </c>
      <c r="H198" s="992">
        <v>2.5833333333333337E-3</v>
      </c>
      <c r="I198" s="986">
        <f t="shared" si="2"/>
        <v>9.3016666666666664E-2</v>
      </c>
      <c r="J198" s="988">
        <v>15462</v>
      </c>
    </row>
    <row r="199" spans="2:10" ht="13.8">
      <c r="B199" s="988">
        <v>15493</v>
      </c>
      <c r="C199" s="987" t="s">
        <v>4628</v>
      </c>
      <c r="F199" s="992">
        <v>5.7000000000000002E-3</v>
      </c>
      <c r="H199" s="992">
        <v>2.5999999999999999E-3</v>
      </c>
      <c r="I199" s="986">
        <f t="shared" si="2"/>
        <v>3.1000000000000003E-3</v>
      </c>
      <c r="J199" s="988">
        <v>15493</v>
      </c>
    </row>
    <row r="200" spans="2:10" ht="13.8">
      <c r="B200" s="988">
        <v>15523</v>
      </c>
      <c r="C200" s="987" t="s">
        <v>4628</v>
      </c>
      <c r="F200" s="992">
        <v>4.0000000000000001E-3</v>
      </c>
      <c r="H200" s="992">
        <v>2.5833333333333337E-3</v>
      </c>
      <c r="I200" s="986">
        <f t="shared" si="2"/>
        <v>1.4166666666666663E-3</v>
      </c>
      <c r="J200" s="988">
        <v>15523</v>
      </c>
    </row>
    <row r="201" spans="2:10" ht="13.8">
      <c r="B201" s="988">
        <v>15554</v>
      </c>
      <c r="C201" s="987" t="s">
        <v>4628</v>
      </c>
      <c r="F201" s="992">
        <v>2.5999999999999999E-3</v>
      </c>
      <c r="H201" s="992">
        <v>2.5833333333333337E-3</v>
      </c>
      <c r="I201" s="986">
        <f t="shared" si="2"/>
        <v>1.6666666666666132E-5</v>
      </c>
      <c r="J201" s="988">
        <v>15554</v>
      </c>
    </row>
    <row r="202" spans="2:10" ht="13.8">
      <c r="B202" s="988">
        <v>15585</v>
      </c>
      <c r="C202" s="987" t="s">
        <v>4628</v>
      </c>
      <c r="F202" s="992">
        <v>4.6600000000000003E-2</v>
      </c>
      <c r="H202" s="992">
        <v>2.5666666666666667E-3</v>
      </c>
      <c r="I202" s="986">
        <f t="shared" si="2"/>
        <v>4.4033333333333334E-2</v>
      </c>
      <c r="J202" s="988">
        <v>15585</v>
      </c>
    </row>
    <row r="203" spans="2:10" ht="13.8">
      <c r="B203" s="988">
        <v>15615</v>
      </c>
      <c r="C203" s="987" t="s">
        <v>4628</v>
      </c>
      <c r="F203" s="992">
        <v>0.13620000000000002</v>
      </c>
      <c r="H203" s="992">
        <v>2.5666666666666667E-3</v>
      </c>
      <c r="I203" s="986">
        <f t="shared" si="2"/>
        <v>0.13363333333333335</v>
      </c>
      <c r="J203" s="988">
        <v>15615</v>
      </c>
    </row>
    <row r="204" spans="2:10" ht="13.8">
      <c r="B204" s="988">
        <v>15646</v>
      </c>
      <c r="C204" s="987" t="s">
        <v>4628</v>
      </c>
      <c r="F204" s="992">
        <v>-1.5000000000000005E-3</v>
      </c>
      <c r="H204" s="992">
        <v>2.5583333333333335E-3</v>
      </c>
      <c r="I204" s="986">
        <f t="shared" si="2"/>
        <v>-4.0583333333333339E-3</v>
      </c>
      <c r="J204" s="988">
        <v>15646</v>
      </c>
    </row>
    <row r="205" spans="2:10" ht="13.8">
      <c r="B205" s="988">
        <v>15676</v>
      </c>
      <c r="C205" s="987" t="s">
        <v>4628</v>
      </c>
      <c r="F205" s="992">
        <v>3.2799999999999996E-2</v>
      </c>
      <c r="H205" s="992">
        <v>2.5500000000000002E-3</v>
      </c>
      <c r="I205" s="986">
        <f t="shared" si="2"/>
        <v>3.0249999999999996E-2</v>
      </c>
      <c r="J205" s="988">
        <v>15676</v>
      </c>
    </row>
    <row r="206" spans="2:10" ht="13.8">
      <c r="B206" s="988">
        <v>15707</v>
      </c>
      <c r="C206" s="987" t="s">
        <v>4628</v>
      </c>
      <c r="F206" s="992">
        <v>0.1217</v>
      </c>
      <c r="H206" s="992">
        <v>2.5416666666666669E-3</v>
      </c>
      <c r="I206" s="986">
        <f t="shared" si="2"/>
        <v>0.11915833333333334</v>
      </c>
      <c r="J206" s="988">
        <v>15707</v>
      </c>
    </row>
    <row r="207" spans="2:10" ht="13.8">
      <c r="B207" s="988">
        <v>15738</v>
      </c>
      <c r="C207" s="987" t="s">
        <v>4628</v>
      </c>
      <c r="F207" s="992">
        <v>7.1900000000000006E-2</v>
      </c>
      <c r="H207" s="992">
        <v>2.5166666666666666E-3</v>
      </c>
      <c r="I207" s="986">
        <f t="shared" si="2"/>
        <v>6.9383333333333339E-2</v>
      </c>
      <c r="J207" s="988">
        <v>15738</v>
      </c>
    </row>
    <row r="208" spans="2:10" ht="13.8">
      <c r="B208" s="988">
        <v>15766</v>
      </c>
      <c r="C208" s="987" t="s">
        <v>4628</v>
      </c>
      <c r="F208" s="992">
        <v>4.1200000000000001E-2</v>
      </c>
      <c r="H208" s="992">
        <v>2.5083333333333333E-3</v>
      </c>
      <c r="I208" s="986">
        <f t="shared" si="2"/>
        <v>3.8691666666666666E-2</v>
      </c>
      <c r="J208" s="988">
        <v>15766</v>
      </c>
    </row>
    <row r="209" spans="2:10" ht="13.8">
      <c r="B209" s="988">
        <v>15797</v>
      </c>
      <c r="C209" s="987" t="s">
        <v>4628</v>
      </c>
      <c r="F209" s="992">
        <v>3.8700000000000005E-2</v>
      </c>
      <c r="H209" s="992">
        <v>2.5000000000000001E-3</v>
      </c>
      <c r="I209" s="986">
        <f t="shared" si="2"/>
        <v>3.6200000000000003E-2</v>
      </c>
      <c r="J209" s="988">
        <v>15797</v>
      </c>
    </row>
    <row r="210" spans="2:10" ht="13.8">
      <c r="B210" s="988">
        <v>15827</v>
      </c>
      <c r="C210" s="987" t="s">
        <v>4628</v>
      </c>
      <c r="F210" s="992">
        <v>3.4700000000000002E-2</v>
      </c>
      <c r="H210" s="992">
        <v>2.5000000000000001E-3</v>
      </c>
      <c r="I210" s="986">
        <f t="shared" si="2"/>
        <v>3.2199999999999999E-2</v>
      </c>
      <c r="J210" s="988">
        <v>15827</v>
      </c>
    </row>
    <row r="211" spans="2:10" ht="13.8">
      <c r="B211" s="988">
        <v>15858</v>
      </c>
      <c r="C211" s="987" t="s">
        <v>4628</v>
      </c>
      <c r="F211" s="992">
        <v>5.3800000000000001E-2</v>
      </c>
      <c r="H211" s="992">
        <v>2.4833333333333331E-3</v>
      </c>
      <c r="I211" s="986">
        <f t="shared" si="2"/>
        <v>5.131666666666667E-2</v>
      </c>
      <c r="J211" s="988">
        <v>15858</v>
      </c>
    </row>
    <row r="212" spans="2:10" ht="13.8">
      <c r="B212" s="988">
        <v>15888</v>
      </c>
      <c r="C212" s="987" t="s">
        <v>4628</v>
      </c>
      <c r="F212" s="992">
        <v>3.8E-3</v>
      </c>
      <c r="H212" s="992">
        <v>2.4666666666666669E-3</v>
      </c>
      <c r="I212" s="986">
        <f t="shared" si="2"/>
        <v>1.3333333333333331E-3</v>
      </c>
      <c r="J212" s="988">
        <v>15888</v>
      </c>
    </row>
    <row r="213" spans="2:10" ht="13.8">
      <c r="B213" s="988">
        <v>15919</v>
      </c>
      <c r="C213" s="987" t="s">
        <v>4628</v>
      </c>
      <c r="F213" s="992">
        <v>1.0500000000000001E-2</v>
      </c>
      <c r="H213" s="992">
        <v>2.4666666666666669E-3</v>
      </c>
      <c r="I213" s="986">
        <f t="shared" si="2"/>
        <v>8.0333333333333333E-3</v>
      </c>
      <c r="J213" s="988">
        <v>15919</v>
      </c>
    </row>
    <row r="214" spans="2:10" ht="13.8">
      <c r="B214" s="988">
        <v>15950</v>
      </c>
      <c r="C214" s="987" t="s">
        <v>4628</v>
      </c>
      <c r="F214" s="992">
        <v>3.2300000000000002E-2</v>
      </c>
      <c r="H214" s="992">
        <v>2.4666666666666669E-3</v>
      </c>
      <c r="I214" s="986">
        <f t="shared" si="2"/>
        <v>2.9833333333333337E-2</v>
      </c>
      <c r="J214" s="988">
        <v>15950</v>
      </c>
    </row>
    <row r="215" spans="2:10" ht="13.8">
      <c r="B215" s="988">
        <v>15980</v>
      </c>
      <c r="C215" s="987" t="s">
        <v>4628</v>
      </c>
      <c r="F215" s="992">
        <v>8.199999999999999E-3</v>
      </c>
      <c r="H215" s="992">
        <v>2.4750000000000002E-3</v>
      </c>
      <c r="I215" s="986">
        <f t="shared" si="2"/>
        <v>5.7249999999999992E-3</v>
      </c>
      <c r="J215" s="988">
        <v>15980</v>
      </c>
    </row>
    <row r="216" spans="2:10" ht="13.8">
      <c r="B216" s="988">
        <v>16011</v>
      </c>
      <c r="C216" s="987" t="s">
        <v>4628</v>
      </c>
      <c r="F216" s="992">
        <v>-7.7499999999999999E-2</v>
      </c>
      <c r="H216" s="992">
        <v>2.4833333333333331E-3</v>
      </c>
      <c r="I216" s="986">
        <f t="shared" si="2"/>
        <v>-7.9983333333333337E-2</v>
      </c>
      <c r="J216" s="988">
        <v>16011</v>
      </c>
    </row>
    <row r="217" spans="2:10" ht="13.8">
      <c r="B217" s="988">
        <v>16041</v>
      </c>
      <c r="C217" s="987" t="s">
        <v>4628</v>
      </c>
      <c r="F217" s="992">
        <v>5.779999999999999E-2</v>
      </c>
      <c r="H217" s="992">
        <v>2.4916666666666668E-3</v>
      </c>
      <c r="I217" s="986">
        <f t="shared" si="2"/>
        <v>5.530833333333332E-2</v>
      </c>
      <c r="J217" s="988">
        <v>16041</v>
      </c>
    </row>
    <row r="218" spans="2:10" ht="13.8">
      <c r="B218" s="988">
        <v>16072</v>
      </c>
      <c r="C218" s="987" t="s">
        <v>4628</v>
      </c>
      <c r="F218" s="992">
        <v>1.0599999999999998E-2</v>
      </c>
      <c r="H218" s="992">
        <v>2.4916666666666668E-3</v>
      </c>
      <c r="I218" s="986">
        <f t="shared" ref="I218:I281" si="3">F218-H218</f>
        <v>8.108333333333332E-3</v>
      </c>
      <c r="J218" s="988">
        <v>16072</v>
      </c>
    </row>
    <row r="219" spans="2:10" ht="13.8">
      <c r="B219" s="988">
        <v>16103</v>
      </c>
      <c r="C219" s="987" t="s">
        <v>4628</v>
      </c>
      <c r="F219" s="992">
        <v>1.7899999999999999E-2</v>
      </c>
      <c r="H219" s="992">
        <v>2.4916666666666668E-3</v>
      </c>
      <c r="I219" s="986">
        <f t="shared" si="3"/>
        <v>1.5408333333333333E-2</v>
      </c>
      <c r="J219" s="988">
        <v>16103</v>
      </c>
    </row>
    <row r="220" spans="2:10" ht="13.8">
      <c r="B220" s="988">
        <v>16132</v>
      </c>
      <c r="C220" s="987" t="s">
        <v>4628</v>
      </c>
      <c r="F220" s="992">
        <v>1.04E-2</v>
      </c>
      <c r="H220" s="992">
        <v>2.4750000000000002E-3</v>
      </c>
      <c r="I220" s="986">
        <f t="shared" si="3"/>
        <v>7.9249999999999998E-3</v>
      </c>
      <c r="J220" s="988">
        <v>16132</v>
      </c>
    </row>
    <row r="221" spans="2:10" ht="13.8">
      <c r="B221" s="988">
        <v>16163</v>
      </c>
      <c r="C221" s="987" t="s">
        <v>4628</v>
      </c>
      <c r="F221" s="992">
        <v>-9.1000000000000004E-3</v>
      </c>
      <c r="H221" s="992">
        <v>2.4916666666666668E-3</v>
      </c>
      <c r="I221" s="986">
        <f t="shared" si="3"/>
        <v>-1.1591666666666667E-2</v>
      </c>
      <c r="J221" s="988">
        <v>16163</v>
      </c>
    </row>
    <row r="222" spans="2:10" ht="13.8">
      <c r="B222" s="988">
        <v>16193</v>
      </c>
      <c r="C222" s="987" t="s">
        <v>4628</v>
      </c>
      <c r="F222" s="992">
        <v>3.0099999999999998E-2</v>
      </c>
      <c r="H222" s="992">
        <v>2.4916666666666668E-3</v>
      </c>
      <c r="I222" s="986">
        <f t="shared" si="3"/>
        <v>2.7608333333333332E-2</v>
      </c>
      <c r="J222" s="988">
        <v>16193</v>
      </c>
    </row>
    <row r="223" spans="2:10" ht="13.8">
      <c r="B223" s="988">
        <v>16224</v>
      </c>
      <c r="C223" s="987" t="s">
        <v>4628</v>
      </c>
      <c r="F223" s="992">
        <v>5.2600000000000001E-2</v>
      </c>
      <c r="H223" s="992">
        <v>2.4916666666666668E-3</v>
      </c>
      <c r="I223" s="986">
        <f t="shared" si="3"/>
        <v>5.0108333333333331E-2</v>
      </c>
      <c r="J223" s="988">
        <v>16224</v>
      </c>
    </row>
    <row r="224" spans="2:10" ht="13.8">
      <c r="B224" s="988">
        <v>16254</v>
      </c>
      <c r="C224" s="987" t="s">
        <v>4628</v>
      </c>
      <c r="F224" s="992">
        <v>2.9000000000000002E-3</v>
      </c>
      <c r="H224" s="992">
        <v>2.4666666666666669E-3</v>
      </c>
      <c r="I224" s="986">
        <f t="shared" si="3"/>
        <v>4.3333333333333331E-4</v>
      </c>
      <c r="J224" s="988">
        <v>16254</v>
      </c>
    </row>
    <row r="225" spans="2:10" ht="13.8">
      <c r="B225" s="988">
        <v>16285</v>
      </c>
      <c r="C225" s="987" t="s">
        <v>4628</v>
      </c>
      <c r="F225" s="992">
        <v>3.5700000000000003E-2</v>
      </c>
      <c r="H225" s="992">
        <v>2.4499999999999999E-3</v>
      </c>
      <c r="I225" s="986">
        <f t="shared" si="3"/>
        <v>3.3250000000000002E-2</v>
      </c>
      <c r="J225" s="988">
        <v>16285</v>
      </c>
    </row>
    <row r="226" spans="2:10" ht="13.8">
      <c r="B226" s="988">
        <v>16316</v>
      </c>
      <c r="C226" s="987" t="s">
        <v>4628</v>
      </c>
      <c r="F226" s="992">
        <v>-1.5000000000000003E-2</v>
      </c>
      <c r="H226" s="992">
        <v>2.4416666666666666E-3</v>
      </c>
      <c r="I226" s="986">
        <f t="shared" si="3"/>
        <v>-1.7441666666666668E-2</v>
      </c>
      <c r="J226" s="988">
        <v>16316</v>
      </c>
    </row>
    <row r="227" spans="2:10" ht="13.8">
      <c r="B227" s="988">
        <v>16346</v>
      </c>
      <c r="C227" s="987" t="s">
        <v>4628</v>
      </c>
      <c r="F227" s="992">
        <v>1.3899999999999999E-2</v>
      </c>
      <c r="H227" s="992">
        <v>2.4499999999999999E-3</v>
      </c>
      <c r="I227" s="986">
        <f t="shared" si="3"/>
        <v>1.1449999999999998E-2</v>
      </c>
      <c r="J227" s="988">
        <v>16346</v>
      </c>
    </row>
    <row r="228" spans="2:10" ht="13.8">
      <c r="B228" s="988">
        <v>16377</v>
      </c>
      <c r="C228" s="987" t="s">
        <v>4628</v>
      </c>
      <c r="F228" s="992">
        <v>-1.3000000000000001E-2</v>
      </c>
      <c r="H228" s="992">
        <v>2.4666666666666669E-3</v>
      </c>
      <c r="I228" s="986">
        <f t="shared" si="3"/>
        <v>-1.5466666666666668E-2</v>
      </c>
      <c r="J228" s="988">
        <v>16377</v>
      </c>
    </row>
    <row r="229" spans="2:10" ht="13.8">
      <c r="B229" s="988">
        <v>16407</v>
      </c>
      <c r="C229" s="987" t="s">
        <v>4628</v>
      </c>
      <c r="F229" s="992">
        <v>3.2399999999999998E-2</v>
      </c>
      <c r="H229" s="992">
        <v>2.4750000000000002E-3</v>
      </c>
      <c r="I229" s="986">
        <f t="shared" si="3"/>
        <v>2.9924999999999997E-2</v>
      </c>
      <c r="J229" s="988">
        <v>16407</v>
      </c>
    </row>
    <row r="230" spans="2:10" ht="13.8">
      <c r="B230" s="988">
        <v>16438</v>
      </c>
      <c r="C230" s="987" t="s">
        <v>4628</v>
      </c>
      <c r="F230" s="992">
        <v>4.9699999999999994E-2</v>
      </c>
      <c r="H230" s="992">
        <v>2.4916666666666668E-3</v>
      </c>
      <c r="I230" s="986">
        <f t="shared" si="3"/>
        <v>4.7208333333333324E-2</v>
      </c>
      <c r="J230" s="988">
        <v>16438</v>
      </c>
    </row>
    <row r="231" spans="2:10" ht="13.8">
      <c r="B231" s="988">
        <v>16469</v>
      </c>
      <c r="C231" s="987" t="s">
        <v>4628</v>
      </c>
      <c r="F231" s="992">
        <v>6.9499999999999992E-2</v>
      </c>
      <c r="H231" s="992">
        <v>2.4833333333333331E-3</v>
      </c>
      <c r="I231" s="986">
        <f t="shared" si="3"/>
        <v>6.7016666666666655E-2</v>
      </c>
      <c r="J231" s="988">
        <v>16469</v>
      </c>
    </row>
    <row r="232" spans="2:10" ht="13.8">
      <c r="B232" s="988">
        <v>16497</v>
      </c>
      <c r="C232" s="987" t="s">
        <v>4628</v>
      </c>
      <c r="F232" s="992">
        <v>-3.5699999999999996E-2</v>
      </c>
      <c r="H232" s="992">
        <v>2.4750000000000002E-3</v>
      </c>
      <c r="I232" s="986">
        <f t="shared" si="3"/>
        <v>-3.8174999999999994E-2</v>
      </c>
      <c r="J232" s="988">
        <v>16497</v>
      </c>
    </row>
    <row r="233" spans="2:10" ht="13.8">
      <c r="B233" s="988">
        <v>16528</v>
      </c>
      <c r="C233" s="987" t="s">
        <v>4628</v>
      </c>
      <c r="F233" s="992">
        <v>0.1066</v>
      </c>
      <c r="H233" s="992">
        <v>2.4583333333333336E-3</v>
      </c>
      <c r="I233" s="986">
        <f t="shared" si="3"/>
        <v>0.10414166666666666</v>
      </c>
      <c r="J233" s="988">
        <v>16528</v>
      </c>
    </row>
    <row r="234" spans="2:10" ht="13.8">
      <c r="B234" s="988">
        <v>16558</v>
      </c>
      <c r="C234" s="987" t="s">
        <v>4628</v>
      </c>
      <c r="F234" s="992">
        <v>1.7100000000000001E-2</v>
      </c>
      <c r="H234" s="992">
        <v>2.4333333333333334E-3</v>
      </c>
      <c r="I234" s="986">
        <f t="shared" si="3"/>
        <v>1.4666666666666668E-2</v>
      </c>
      <c r="J234" s="988">
        <v>16558</v>
      </c>
    </row>
    <row r="235" spans="2:10" ht="13.8">
      <c r="B235" s="988">
        <v>16589</v>
      </c>
      <c r="C235" s="987" t="s">
        <v>4628</v>
      </c>
      <c r="F235" s="992">
        <v>6.6199999999999995E-2</v>
      </c>
      <c r="H235" s="992">
        <v>2.3916666666666665E-3</v>
      </c>
      <c r="I235" s="986">
        <f t="shared" si="3"/>
        <v>6.3808333333333328E-2</v>
      </c>
      <c r="J235" s="988">
        <v>16589</v>
      </c>
    </row>
    <row r="236" spans="2:10" ht="13.8">
      <c r="B236" s="988">
        <v>16619</v>
      </c>
      <c r="C236" s="987" t="s">
        <v>4628</v>
      </c>
      <c r="F236" s="992">
        <v>-5.0999999999999986E-3</v>
      </c>
      <c r="H236" s="992">
        <v>2.3583333333333334E-3</v>
      </c>
      <c r="I236" s="986">
        <f t="shared" si="3"/>
        <v>-7.4583333333333324E-3</v>
      </c>
      <c r="J236" s="988">
        <v>16619</v>
      </c>
    </row>
    <row r="237" spans="2:10" ht="13.8">
      <c r="B237" s="988">
        <v>16650</v>
      </c>
      <c r="C237" s="987" t="s">
        <v>4628</v>
      </c>
      <c r="F237" s="992">
        <v>3.0999999999999999E-3</v>
      </c>
      <c r="H237" s="992">
        <v>2.3333333333333335E-3</v>
      </c>
      <c r="I237" s="986">
        <f t="shared" si="3"/>
        <v>7.6666666666666636E-4</v>
      </c>
      <c r="J237" s="988">
        <v>16650</v>
      </c>
    </row>
    <row r="238" spans="2:10" ht="13.8">
      <c r="B238" s="988">
        <v>16681</v>
      </c>
      <c r="C238" s="987" t="s">
        <v>4628</v>
      </c>
      <c r="F238" s="992">
        <v>7.3900000000000007E-2</v>
      </c>
      <c r="H238" s="992">
        <v>2.3250000000000002E-3</v>
      </c>
      <c r="I238" s="986">
        <f t="shared" si="3"/>
        <v>7.1575000000000014E-2</v>
      </c>
      <c r="J238" s="988">
        <v>16681</v>
      </c>
    </row>
    <row r="239" spans="2:10" ht="13.8">
      <c r="B239" s="988">
        <v>16711</v>
      </c>
      <c r="C239" s="987" t="s">
        <v>4628</v>
      </c>
      <c r="F239" s="992">
        <v>6.4100000000000004E-2</v>
      </c>
      <c r="H239" s="992">
        <v>2.3250000000000002E-3</v>
      </c>
      <c r="I239" s="986">
        <f t="shared" si="3"/>
        <v>6.1775000000000004E-2</v>
      </c>
      <c r="J239" s="988">
        <v>16711</v>
      </c>
    </row>
    <row r="240" spans="2:10" ht="13.8">
      <c r="B240" s="988">
        <v>16742</v>
      </c>
      <c r="C240" s="987" t="s">
        <v>4628</v>
      </c>
      <c r="F240" s="992">
        <v>4.7100000000000003E-2</v>
      </c>
      <c r="H240" s="992">
        <v>2.3083333333333332E-3</v>
      </c>
      <c r="I240" s="986">
        <f t="shared" si="3"/>
        <v>4.4791666666666667E-2</v>
      </c>
      <c r="J240" s="988">
        <v>16742</v>
      </c>
    </row>
    <row r="241" spans="2:10" ht="13.8">
      <c r="B241" s="988">
        <v>16772</v>
      </c>
      <c r="C241" s="987" t="s">
        <v>4628</v>
      </c>
      <c r="F241" s="992">
        <v>-1.1699999999999999E-2</v>
      </c>
      <c r="H241" s="992">
        <v>2.2916666666666667E-3</v>
      </c>
      <c r="I241" s="986">
        <f t="shared" si="3"/>
        <v>-1.3991666666666666E-2</v>
      </c>
      <c r="J241" s="988">
        <v>16772</v>
      </c>
    </row>
    <row r="242" spans="2:10" ht="13.8">
      <c r="B242" s="988">
        <v>16803</v>
      </c>
      <c r="C242" s="987" t="s">
        <v>4628</v>
      </c>
      <c r="F242" s="992">
        <v>0.11989999999999998</v>
      </c>
      <c r="H242" s="992">
        <v>2.2416666666666665E-3</v>
      </c>
      <c r="I242" s="986">
        <f t="shared" si="3"/>
        <v>0.11765833333333331</v>
      </c>
      <c r="J242" s="988">
        <v>16803</v>
      </c>
    </row>
    <row r="243" spans="2:10" ht="13.8">
      <c r="B243" s="988">
        <v>16834</v>
      </c>
      <c r="C243" s="987" t="s">
        <v>4628</v>
      </c>
      <c r="F243" s="992">
        <v>-6.4000000000000001E-2</v>
      </c>
      <c r="H243" s="992">
        <v>2.225E-3</v>
      </c>
      <c r="I243" s="986">
        <f t="shared" si="3"/>
        <v>-6.6225000000000006E-2</v>
      </c>
      <c r="J243" s="988">
        <v>16834</v>
      </c>
    </row>
    <row r="244" spans="2:10" ht="13.8">
      <c r="B244" s="988">
        <v>16862</v>
      </c>
      <c r="C244" s="987" t="s">
        <v>4628</v>
      </c>
      <c r="F244" s="992">
        <v>6.3100000000000003E-2</v>
      </c>
      <c r="H244" s="992">
        <v>2.2166666666666667E-3</v>
      </c>
      <c r="I244" s="986">
        <f t="shared" si="3"/>
        <v>6.0883333333333338E-2</v>
      </c>
      <c r="J244" s="988">
        <v>16862</v>
      </c>
    </row>
    <row r="245" spans="2:10" ht="13.8">
      <c r="B245" s="988">
        <v>16893</v>
      </c>
      <c r="C245" s="987" t="s">
        <v>4628</v>
      </c>
      <c r="F245" s="992">
        <v>3.3800000000000004E-2</v>
      </c>
      <c r="H245" s="992">
        <v>2.2083333333333334E-3</v>
      </c>
      <c r="I245" s="986">
        <f t="shared" si="3"/>
        <v>3.1591666666666671E-2</v>
      </c>
      <c r="J245" s="988">
        <v>16893</v>
      </c>
    </row>
    <row r="246" spans="2:10" ht="13.8">
      <c r="B246" s="988">
        <v>16923</v>
      </c>
      <c r="C246" s="987" t="s">
        <v>4628</v>
      </c>
      <c r="F246" s="992">
        <v>3.0099999999999998E-2</v>
      </c>
      <c r="H246" s="992">
        <v>2.2416666666666665E-3</v>
      </c>
      <c r="I246" s="986">
        <f t="shared" si="3"/>
        <v>2.7858333333333332E-2</v>
      </c>
      <c r="J246" s="988">
        <v>16923</v>
      </c>
    </row>
    <row r="247" spans="2:10" ht="13.8">
      <c r="B247" s="988">
        <v>16954</v>
      </c>
      <c r="C247" s="987" t="s">
        <v>4628</v>
      </c>
      <c r="F247" s="992">
        <v>-2.76E-2</v>
      </c>
      <c r="H247" s="992">
        <v>2.2500000000000003E-3</v>
      </c>
      <c r="I247" s="986">
        <f t="shared" si="3"/>
        <v>-2.9850000000000002E-2</v>
      </c>
      <c r="J247" s="988">
        <v>16954</v>
      </c>
    </row>
    <row r="248" spans="2:10" ht="13.8">
      <c r="B248" s="988">
        <v>16984</v>
      </c>
      <c r="C248" s="987" t="s">
        <v>4628</v>
      </c>
      <c r="F248" s="992">
        <v>-3.95E-2</v>
      </c>
      <c r="H248" s="992">
        <v>2.2416666666666665E-3</v>
      </c>
      <c r="I248" s="986">
        <f t="shared" si="3"/>
        <v>-4.174166666666667E-2</v>
      </c>
      <c r="J248" s="988">
        <v>16984</v>
      </c>
    </row>
    <row r="249" spans="2:10" ht="13.8">
      <c r="B249" s="988">
        <v>17015</v>
      </c>
      <c r="C249" s="987" t="s">
        <v>4628</v>
      </c>
      <c r="F249" s="992">
        <v>-7.2399999999999992E-2</v>
      </c>
      <c r="H249" s="992">
        <v>2.2583333333333331E-3</v>
      </c>
      <c r="I249" s="986">
        <f t="shared" si="3"/>
        <v>-7.4658333333333327E-2</v>
      </c>
      <c r="J249" s="988">
        <v>17015</v>
      </c>
    </row>
    <row r="250" spans="2:10" ht="13.8">
      <c r="B250" s="988">
        <v>17046</v>
      </c>
      <c r="C250" s="987" t="s">
        <v>4628</v>
      </c>
      <c r="F250" s="992">
        <v>-0.1051</v>
      </c>
      <c r="H250" s="992">
        <v>2.2916666666666667E-3</v>
      </c>
      <c r="I250" s="986">
        <f t="shared" si="3"/>
        <v>-0.10739166666666666</v>
      </c>
      <c r="J250" s="988">
        <v>17046</v>
      </c>
    </row>
    <row r="251" spans="2:10" ht="13.8">
      <c r="B251" s="988">
        <v>17076</v>
      </c>
      <c r="C251" s="987" t="s">
        <v>4628</v>
      </c>
      <c r="F251" s="992">
        <v>2.1999999999999999E-2</v>
      </c>
      <c r="H251" s="992">
        <v>2.3E-3</v>
      </c>
      <c r="I251" s="986">
        <f t="shared" si="3"/>
        <v>1.9699999999999999E-2</v>
      </c>
      <c r="J251" s="988">
        <v>17076</v>
      </c>
    </row>
    <row r="252" spans="2:10" ht="13.8">
      <c r="B252" s="988">
        <v>17107</v>
      </c>
      <c r="C252" s="987" t="s">
        <v>4628</v>
      </c>
      <c r="F252" s="992">
        <v>5.7999999999999996E-3</v>
      </c>
      <c r="H252" s="992">
        <v>2.3E-3</v>
      </c>
      <c r="I252" s="986">
        <f t="shared" si="3"/>
        <v>3.4999999999999996E-3</v>
      </c>
      <c r="J252" s="988">
        <v>17107</v>
      </c>
    </row>
    <row r="253" spans="2:10" ht="13.8">
      <c r="B253" s="988">
        <v>17137</v>
      </c>
      <c r="C253" s="987" t="s">
        <v>4628</v>
      </c>
      <c r="F253" s="992">
        <v>7.0599999999999996E-2</v>
      </c>
      <c r="H253" s="992">
        <v>2.3E-3</v>
      </c>
      <c r="I253" s="986">
        <f t="shared" si="3"/>
        <v>6.83E-2</v>
      </c>
      <c r="J253" s="988">
        <v>17137</v>
      </c>
    </row>
    <row r="254" spans="2:10" ht="13.8">
      <c r="B254" s="988">
        <v>17168</v>
      </c>
      <c r="C254" s="987" t="s">
        <v>4628</v>
      </c>
      <c r="F254" s="992">
        <v>-2.0000000000000012E-4</v>
      </c>
      <c r="H254" s="992">
        <v>2.2666666666666668E-3</v>
      </c>
      <c r="I254" s="986">
        <f t="shared" si="3"/>
        <v>-2.4666666666666669E-3</v>
      </c>
      <c r="J254" s="988">
        <v>17168</v>
      </c>
    </row>
    <row r="255" spans="2:10" ht="13.8">
      <c r="B255" s="988">
        <v>17199</v>
      </c>
      <c r="C255" s="987" t="s">
        <v>4628</v>
      </c>
      <c r="F255" s="992">
        <v>-8.8999999999999999E-3</v>
      </c>
      <c r="H255" s="992">
        <v>2.2666666666666668E-3</v>
      </c>
      <c r="I255" s="986">
        <f t="shared" si="3"/>
        <v>-1.1166666666666667E-2</v>
      </c>
      <c r="J255" s="988">
        <v>17199</v>
      </c>
    </row>
    <row r="256" spans="2:10" ht="13.8">
      <c r="B256" s="988">
        <v>17227</v>
      </c>
      <c r="C256" s="987" t="s">
        <v>4628</v>
      </c>
      <c r="F256" s="992">
        <v>-3.6399999999999995E-2</v>
      </c>
      <c r="H256" s="992">
        <v>2.2666666666666668E-3</v>
      </c>
      <c r="I256" s="986">
        <f t="shared" si="3"/>
        <v>-3.8666666666666662E-2</v>
      </c>
      <c r="J256" s="988">
        <v>17227</v>
      </c>
    </row>
    <row r="257" spans="2:10" ht="13.8">
      <c r="B257" s="988">
        <v>17258</v>
      </c>
      <c r="C257" s="987" t="s">
        <v>4628</v>
      </c>
      <c r="F257" s="992">
        <v>-3.2000000000000001E-2</v>
      </c>
      <c r="H257" s="992">
        <v>2.2500000000000003E-3</v>
      </c>
      <c r="I257" s="986">
        <f t="shared" si="3"/>
        <v>-3.4250000000000003E-2</v>
      </c>
      <c r="J257" s="988">
        <v>17258</v>
      </c>
    </row>
    <row r="258" spans="2:10" ht="13.8">
      <c r="B258" s="988">
        <v>17288</v>
      </c>
      <c r="C258" s="987" t="s">
        <v>4628</v>
      </c>
      <c r="F258" s="992">
        <v>-2.7900000000000001E-2</v>
      </c>
      <c r="H258" s="992">
        <v>2.2500000000000003E-3</v>
      </c>
      <c r="I258" s="986">
        <f t="shared" si="3"/>
        <v>-3.0150000000000003E-2</v>
      </c>
      <c r="J258" s="988">
        <v>17288</v>
      </c>
    </row>
    <row r="259" spans="2:10" ht="13.8">
      <c r="B259" s="988">
        <v>17319</v>
      </c>
      <c r="C259" s="987" t="s">
        <v>4628</v>
      </c>
      <c r="F259" s="992">
        <v>4.2800000000000005E-2</v>
      </c>
      <c r="H259" s="992">
        <v>2.2583333333333331E-3</v>
      </c>
      <c r="I259" s="986">
        <f t="shared" si="3"/>
        <v>4.054166666666667E-2</v>
      </c>
      <c r="J259" s="988">
        <v>17319</v>
      </c>
    </row>
    <row r="260" spans="2:10" ht="13.8">
      <c r="B260" s="988">
        <v>17349</v>
      </c>
      <c r="C260" s="987" t="s">
        <v>4628</v>
      </c>
      <c r="F260" s="992">
        <v>2.1399999999999995E-2</v>
      </c>
      <c r="H260" s="992">
        <v>2.2750000000000001E-3</v>
      </c>
      <c r="I260" s="986">
        <f t="shared" si="3"/>
        <v>1.9124999999999996E-2</v>
      </c>
      <c r="J260" s="988">
        <v>17349</v>
      </c>
    </row>
    <row r="261" spans="2:10" ht="13.8">
      <c r="B261" s="988">
        <v>17380</v>
      </c>
      <c r="C261" s="987" t="s">
        <v>4628</v>
      </c>
      <c r="F261" s="992">
        <v>-2.2000000000000001E-3</v>
      </c>
      <c r="H261" s="992">
        <v>2.2750000000000001E-3</v>
      </c>
      <c r="I261" s="986">
        <f t="shared" si="3"/>
        <v>-4.4749999999999998E-3</v>
      </c>
      <c r="J261" s="988">
        <v>17380</v>
      </c>
    </row>
    <row r="262" spans="2:10" ht="13.8">
      <c r="B262" s="988">
        <v>17411</v>
      </c>
      <c r="C262" s="987" t="s">
        <v>4628</v>
      </c>
      <c r="F262" s="992">
        <v>-1.4200000000000001E-2</v>
      </c>
      <c r="H262" s="992">
        <v>2.3333333333333335E-3</v>
      </c>
      <c r="I262" s="986">
        <f t="shared" si="3"/>
        <v>-1.6533333333333334E-2</v>
      </c>
      <c r="J262" s="988">
        <v>17411</v>
      </c>
    </row>
    <row r="263" spans="2:10" ht="13.8">
      <c r="B263" s="988">
        <v>17441</v>
      </c>
      <c r="C263" s="987" t="s">
        <v>4628</v>
      </c>
      <c r="F263" s="992">
        <v>-1.3299999999999999E-2</v>
      </c>
      <c r="H263" s="992">
        <v>2.3999999999999998E-3</v>
      </c>
      <c r="I263" s="986">
        <f t="shared" si="3"/>
        <v>-1.5699999999999999E-2</v>
      </c>
      <c r="J263" s="988">
        <v>17441</v>
      </c>
    </row>
    <row r="264" spans="2:10" ht="13.8">
      <c r="B264" s="988">
        <v>17472</v>
      </c>
      <c r="C264" s="987" t="s">
        <v>4628</v>
      </c>
      <c r="F264" s="992">
        <v>-8.2399999999999987E-2</v>
      </c>
      <c r="H264" s="992">
        <v>2.4416666666666666E-3</v>
      </c>
      <c r="I264" s="986">
        <f t="shared" si="3"/>
        <v>-8.4841666666666649E-2</v>
      </c>
      <c r="J264" s="988">
        <v>17472</v>
      </c>
    </row>
    <row r="265" spans="2:10" ht="13.8">
      <c r="B265" s="988">
        <v>17502</v>
      </c>
      <c r="C265" s="987" t="s">
        <v>4628</v>
      </c>
      <c r="F265" s="992">
        <v>1.89E-2</v>
      </c>
      <c r="H265" s="992">
        <v>2.5416666666666669E-3</v>
      </c>
      <c r="I265" s="986">
        <f t="shared" si="3"/>
        <v>1.6358333333333332E-2</v>
      </c>
      <c r="J265" s="988">
        <v>17502</v>
      </c>
    </row>
    <row r="266" spans="2:10" ht="13.8">
      <c r="B266" s="988">
        <v>17533</v>
      </c>
      <c r="C266" s="987" t="s">
        <v>4628</v>
      </c>
      <c r="F266" s="992">
        <v>6.9999999999999993E-3</v>
      </c>
      <c r="H266" s="992">
        <v>2.5416666666666669E-3</v>
      </c>
      <c r="I266" s="986">
        <f t="shared" si="3"/>
        <v>4.4583333333333324E-3</v>
      </c>
      <c r="J266" s="988">
        <v>17533</v>
      </c>
    </row>
    <row r="267" spans="2:10" ht="13.8">
      <c r="B267" s="988">
        <v>17564</v>
      </c>
      <c r="C267" s="987" t="s">
        <v>4628</v>
      </c>
      <c r="F267" s="992">
        <v>-3.7200000000000004E-2</v>
      </c>
      <c r="H267" s="992">
        <v>2.5416666666666669E-3</v>
      </c>
      <c r="I267" s="986">
        <f t="shared" si="3"/>
        <v>-3.9741666666666668E-2</v>
      </c>
      <c r="J267" s="988">
        <v>17564</v>
      </c>
    </row>
    <row r="268" spans="2:10" ht="13.8">
      <c r="B268" s="988">
        <v>17593</v>
      </c>
      <c r="C268" s="987" t="s">
        <v>4628</v>
      </c>
      <c r="F268" s="992">
        <v>6.1699999999999998E-2</v>
      </c>
      <c r="H268" s="992">
        <v>2.5166666666666666E-3</v>
      </c>
      <c r="I268" s="986">
        <f t="shared" si="3"/>
        <v>5.9183333333333331E-2</v>
      </c>
      <c r="J268" s="988">
        <v>17593</v>
      </c>
    </row>
    <row r="269" spans="2:10" ht="13.8">
      <c r="B269" s="988">
        <v>17624</v>
      </c>
      <c r="C269" s="987" t="s">
        <v>4628</v>
      </c>
      <c r="F269" s="992">
        <v>1.6E-2</v>
      </c>
      <c r="H269" s="992">
        <v>2.4750000000000002E-3</v>
      </c>
      <c r="I269" s="986">
        <f t="shared" si="3"/>
        <v>1.3525000000000001E-2</v>
      </c>
      <c r="J269" s="988">
        <v>17624</v>
      </c>
    </row>
    <row r="270" spans="2:10" ht="13.8">
      <c r="B270" s="988">
        <v>17654</v>
      </c>
      <c r="C270" s="987" t="s">
        <v>4628</v>
      </c>
      <c r="F270" s="992">
        <v>5.8299999999999998E-2</v>
      </c>
      <c r="H270" s="992">
        <v>2.4499999999999999E-3</v>
      </c>
      <c r="I270" s="986">
        <f t="shared" si="3"/>
        <v>5.5849999999999997E-2</v>
      </c>
      <c r="J270" s="988">
        <v>17654</v>
      </c>
    </row>
    <row r="271" spans="2:10" ht="13.8">
      <c r="B271" s="988">
        <v>17685</v>
      </c>
      <c r="C271" s="987" t="s">
        <v>4628</v>
      </c>
      <c r="F271" s="992">
        <v>2.12E-2</v>
      </c>
      <c r="H271" s="992">
        <v>2.4499999999999999E-3</v>
      </c>
      <c r="I271" s="986">
        <f t="shared" si="3"/>
        <v>1.8749999999999999E-2</v>
      </c>
      <c r="J271" s="988">
        <v>17685</v>
      </c>
    </row>
    <row r="272" spans="2:10" ht="13.8">
      <c r="B272" s="988">
        <v>17715</v>
      </c>
      <c r="C272" s="987" t="s">
        <v>4628</v>
      </c>
      <c r="F272" s="992">
        <v>-4.4299999999999999E-2</v>
      </c>
      <c r="H272" s="992">
        <v>2.4916666666666668E-3</v>
      </c>
      <c r="I272" s="986">
        <f t="shared" si="3"/>
        <v>-4.6791666666666669E-2</v>
      </c>
      <c r="J272" s="988">
        <v>17715</v>
      </c>
    </row>
    <row r="273" spans="2:10" ht="13.8">
      <c r="B273" s="988">
        <v>17746</v>
      </c>
      <c r="C273" s="987" t="s">
        <v>4628</v>
      </c>
      <c r="F273" s="992">
        <v>3.5999999999999999E-3</v>
      </c>
      <c r="H273" s="992">
        <v>2.5249999999999999E-3</v>
      </c>
      <c r="I273" s="986">
        <f t="shared" si="3"/>
        <v>1.075E-3</v>
      </c>
      <c r="J273" s="988">
        <v>17746</v>
      </c>
    </row>
    <row r="274" spans="2:10" ht="13.8">
      <c r="B274" s="988">
        <v>17777</v>
      </c>
      <c r="C274" s="987" t="s">
        <v>4628</v>
      </c>
      <c r="F274" s="992">
        <v>-7.0999999999999995E-3</v>
      </c>
      <c r="H274" s="992">
        <v>2.5416666666666669E-3</v>
      </c>
      <c r="I274" s="986">
        <f t="shared" si="3"/>
        <v>-9.6416666666666664E-3</v>
      </c>
      <c r="J274" s="988">
        <v>17777</v>
      </c>
    </row>
    <row r="275" spans="2:10" ht="13.8">
      <c r="B275" s="988">
        <v>17807</v>
      </c>
      <c r="C275" s="987" t="s">
        <v>4628</v>
      </c>
      <c r="F275" s="992">
        <v>4.0300000000000002E-2</v>
      </c>
      <c r="H275" s="992">
        <v>2.5249999999999999E-3</v>
      </c>
      <c r="I275" s="986">
        <f t="shared" si="3"/>
        <v>3.7775000000000003E-2</v>
      </c>
      <c r="J275" s="988">
        <v>17807</v>
      </c>
    </row>
    <row r="276" spans="2:10" ht="13.8">
      <c r="B276" s="988">
        <v>17838</v>
      </c>
      <c r="C276" s="987" t="s">
        <v>4628</v>
      </c>
      <c r="F276" s="992">
        <v>-9.1299999999999992E-2</v>
      </c>
      <c r="H276" s="992">
        <v>2.5583333333333335E-3</v>
      </c>
      <c r="I276" s="986">
        <f t="shared" si="3"/>
        <v>-9.3858333333333321E-2</v>
      </c>
      <c r="J276" s="988">
        <v>17838</v>
      </c>
    </row>
    <row r="277" spans="2:10" ht="13.8">
      <c r="B277" s="988">
        <v>17868</v>
      </c>
      <c r="C277" s="987" t="s">
        <v>4628</v>
      </c>
      <c r="F277" s="992">
        <v>2.2099999999999998E-2</v>
      </c>
      <c r="H277" s="992">
        <v>2.5500000000000002E-3</v>
      </c>
      <c r="I277" s="986">
        <f t="shared" si="3"/>
        <v>1.9549999999999998E-2</v>
      </c>
      <c r="J277" s="988">
        <v>17868</v>
      </c>
    </row>
    <row r="278" spans="2:10" ht="13.8">
      <c r="B278" s="988">
        <v>17899</v>
      </c>
      <c r="C278" s="987" t="s">
        <v>4628</v>
      </c>
      <c r="F278" s="992">
        <v>5.04E-2</v>
      </c>
      <c r="H278" s="992">
        <v>2.4916666666666668E-3</v>
      </c>
      <c r="I278" s="986">
        <f t="shared" si="3"/>
        <v>4.7908333333333331E-2</v>
      </c>
      <c r="J278" s="988">
        <v>17899</v>
      </c>
    </row>
    <row r="279" spans="2:10" ht="13.8">
      <c r="B279" s="988">
        <v>17930</v>
      </c>
      <c r="C279" s="987" t="s">
        <v>4628</v>
      </c>
      <c r="F279" s="992">
        <v>5.0000000000000044E-4</v>
      </c>
      <c r="H279" s="992">
        <v>2.4916666666666668E-3</v>
      </c>
      <c r="I279" s="986">
        <f t="shared" si="3"/>
        <v>-1.9916666666666663E-3</v>
      </c>
      <c r="J279" s="988">
        <v>17930</v>
      </c>
    </row>
    <row r="280" spans="2:10" ht="13.8">
      <c r="B280" s="988">
        <v>17958</v>
      </c>
      <c r="C280" s="987" t="s">
        <v>4628</v>
      </c>
      <c r="F280" s="992">
        <v>3.6400000000000002E-2</v>
      </c>
      <c r="H280" s="992">
        <v>2.4750000000000002E-3</v>
      </c>
      <c r="I280" s="986">
        <f t="shared" si="3"/>
        <v>3.3925000000000004E-2</v>
      </c>
      <c r="J280" s="988">
        <v>17958</v>
      </c>
    </row>
    <row r="281" spans="2:10" ht="13.8">
      <c r="B281" s="988">
        <v>17989</v>
      </c>
      <c r="C281" s="987" t="s">
        <v>4628</v>
      </c>
      <c r="F281" s="992">
        <v>5.7999999999999996E-3</v>
      </c>
      <c r="H281" s="992">
        <v>2.4666666666666669E-3</v>
      </c>
      <c r="I281" s="986">
        <f t="shared" si="3"/>
        <v>3.3333333333333327E-3</v>
      </c>
      <c r="J281" s="988">
        <v>17989</v>
      </c>
    </row>
    <row r="282" spans="2:10" ht="13.8">
      <c r="B282" s="988">
        <v>18019</v>
      </c>
      <c r="C282" s="987" t="s">
        <v>4628</v>
      </c>
      <c r="F282" s="992">
        <v>3.4000000000000002E-3</v>
      </c>
      <c r="H282" s="992">
        <v>2.4583333333333336E-3</v>
      </c>
      <c r="I282" s="986">
        <f t="shared" ref="I282:I345" si="4">F282-H282</f>
        <v>9.4166666666666661E-4</v>
      </c>
      <c r="J282" s="988">
        <v>18019</v>
      </c>
    </row>
    <row r="283" spans="2:10" ht="13.8">
      <c r="B283" s="988">
        <v>18050</v>
      </c>
      <c r="C283" s="987" t="s">
        <v>4628</v>
      </c>
      <c r="F283" s="992">
        <v>-1.3399999999999999E-2</v>
      </c>
      <c r="H283" s="992">
        <v>2.4499999999999999E-3</v>
      </c>
      <c r="I283" s="986">
        <f t="shared" si="4"/>
        <v>-1.585E-2</v>
      </c>
      <c r="J283" s="988">
        <v>18050</v>
      </c>
    </row>
    <row r="284" spans="2:10" ht="13.8">
      <c r="B284" s="988">
        <v>18080</v>
      </c>
      <c r="C284" s="987" t="s">
        <v>4628</v>
      </c>
      <c r="F284" s="992">
        <v>5.6899999999999992E-2</v>
      </c>
      <c r="H284" s="992">
        <v>2.4166666666666668E-3</v>
      </c>
      <c r="I284" s="986">
        <f t="shared" si="4"/>
        <v>5.4483333333333328E-2</v>
      </c>
      <c r="J284" s="988">
        <v>18080</v>
      </c>
    </row>
    <row r="285" spans="2:10" ht="13.8">
      <c r="B285" s="988">
        <v>18111</v>
      </c>
      <c r="C285" s="987" t="s">
        <v>4628</v>
      </c>
      <c r="F285" s="992">
        <v>3.4599999999999999E-2</v>
      </c>
      <c r="H285" s="992">
        <v>2.3833333333333332E-3</v>
      </c>
      <c r="I285" s="986">
        <f t="shared" si="4"/>
        <v>3.2216666666666664E-2</v>
      </c>
      <c r="J285" s="988">
        <v>18111</v>
      </c>
    </row>
    <row r="286" spans="2:10" ht="13.8">
      <c r="B286" s="988">
        <v>18142</v>
      </c>
      <c r="C286" s="987" t="s">
        <v>4628</v>
      </c>
      <c r="F286" s="992">
        <v>3.73E-2</v>
      </c>
      <c r="H286" s="992">
        <v>2.3750000000000004E-3</v>
      </c>
      <c r="I286" s="986">
        <f t="shared" si="4"/>
        <v>3.4924999999999998E-2</v>
      </c>
      <c r="J286" s="988">
        <v>18142</v>
      </c>
    </row>
    <row r="287" spans="2:10" ht="13.8">
      <c r="B287" s="988">
        <v>18172</v>
      </c>
      <c r="C287" s="987" t="s">
        <v>4628</v>
      </c>
      <c r="F287" s="992">
        <v>1.1199999999999998E-2</v>
      </c>
      <c r="H287" s="992">
        <v>2.3583333333333334E-3</v>
      </c>
      <c r="I287" s="986">
        <f t="shared" si="4"/>
        <v>8.8416666666666643E-3</v>
      </c>
      <c r="J287" s="988">
        <v>18172</v>
      </c>
    </row>
    <row r="288" spans="2:10" ht="13.8">
      <c r="B288" s="988">
        <v>18203</v>
      </c>
      <c r="C288" s="987" t="s">
        <v>4628</v>
      </c>
      <c r="F288" s="992">
        <v>1.5899999999999997E-2</v>
      </c>
      <c r="H288" s="992">
        <v>2.3416666666666668E-3</v>
      </c>
      <c r="I288" s="986">
        <f t="shared" si="4"/>
        <v>1.355833333333333E-2</v>
      </c>
      <c r="J288" s="988">
        <v>18203</v>
      </c>
    </row>
    <row r="289" spans="2:10" ht="13.8">
      <c r="B289" s="988">
        <v>18233</v>
      </c>
      <c r="C289" s="987" t="s">
        <v>4628</v>
      </c>
      <c r="F289" s="992">
        <v>3.9599999999999996E-2</v>
      </c>
      <c r="H289" s="992">
        <v>2.316666666666667E-3</v>
      </c>
      <c r="I289" s="986">
        <f t="shared" si="4"/>
        <v>3.7283333333333328E-2</v>
      </c>
      <c r="J289" s="988">
        <v>18233</v>
      </c>
    </row>
    <row r="290" spans="2:10" ht="13.8">
      <c r="B290" s="988">
        <v>18264</v>
      </c>
      <c r="C290" s="987" t="s">
        <v>4628</v>
      </c>
      <c r="F290" s="992">
        <v>3.5299999999999998E-2</v>
      </c>
      <c r="H290" s="992">
        <v>2.3E-3</v>
      </c>
      <c r="I290" s="986">
        <f t="shared" si="4"/>
        <v>3.3000000000000002E-2</v>
      </c>
      <c r="J290" s="988">
        <v>18264</v>
      </c>
    </row>
    <row r="291" spans="2:10" ht="13.8">
      <c r="B291" s="988">
        <v>18295</v>
      </c>
      <c r="C291" s="987" t="s">
        <v>4628</v>
      </c>
      <c r="F291" s="992">
        <v>0.01</v>
      </c>
      <c r="H291" s="992">
        <v>2.3E-3</v>
      </c>
      <c r="I291" s="986">
        <f t="shared" si="4"/>
        <v>7.7000000000000002E-3</v>
      </c>
      <c r="J291" s="988">
        <v>18295</v>
      </c>
    </row>
    <row r="292" spans="2:10" ht="13.8">
      <c r="B292" s="988">
        <v>18323</v>
      </c>
      <c r="C292" s="987" t="s">
        <v>4628</v>
      </c>
      <c r="F292" s="992">
        <v>8.3999999999999995E-3</v>
      </c>
      <c r="H292" s="992">
        <v>2.3E-3</v>
      </c>
      <c r="I292" s="986">
        <f t="shared" si="4"/>
        <v>6.0999999999999995E-3</v>
      </c>
      <c r="J292" s="988">
        <v>18323</v>
      </c>
    </row>
    <row r="293" spans="2:10" ht="13.8">
      <c r="B293" s="988">
        <v>18354</v>
      </c>
      <c r="C293" s="987" t="s">
        <v>4628</v>
      </c>
      <c r="F293" s="992">
        <v>1.8499999999999999E-2</v>
      </c>
      <c r="H293" s="992">
        <v>2.3083333333333332E-3</v>
      </c>
      <c r="I293" s="986">
        <f t="shared" si="4"/>
        <v>1.6191666666666667E-2</v>
      </c>
      <c r="J293" s="988">
        <v>18354</v>
      </c>
    </row>
    <row r="294" spans="2:10" ht="13.8">
      <c r="B294" s="988">
        <v>18384</v>
      </c>
      <c r="C294" s="987" t="s">
        <v>4628</v>
      </c>
      <c r="F294" s="992">
        <v>1.9199999999999998E-2</v>
      </c>
      <c r="H294" s="992">
        <v>2.3250000000000002E-3</v>
      </c>
      <c r="I294" s="986">
        <f t="shared" si="4"/>
        <v>1.6874999999999998E-2</v>
      </c>
      <c r="J294" s="988">
        <v>18384</v>
      </c>
    </row>
    <row r="295" spans="2:10" ht="13.8">
      <c r="B295" s="988">
        <v>18415</v>
      </c>
      <c r="C295" s="987" t="s">
        <v>4628</v>
      </c>
      <c r="F295" s="992">
        <v>-7.7100000000000002E-2</v>
      </c>
      <c r="H295" s="992">
        <v>2.3250000000000002E-3</v>
      </c>
      <c r="I295" s="986">
        <f t="shared" si="4"/>
        <v>-7.9424999999999996E-2</v>
      </c>
      <c r="J295" s="988">
        <v>18415</v>
      </c>
    </row>
    <row r="296" spans="2:10" ht="13.8">
      <c r="B296" s="988">
        <v>18445</v>
      </c>
      <c r="C296" s="987" t="s">
        <v>4628</v>
      </c>
      <c r="F296" s="992">
        <v>-4.36E-2</v>
      </c>
      <c r="H296" s="992">
        <v>2.3250000000000002E-3</v>
      </c>
      <c r="I296" s="986">
        <f t="shared" si="4"/>
        <v>-4.5925000000000001E-2</v>
      </c>
      <c r="J296" s="988">
        <v>18445</v>
      </c>
    </row>
    <row r="297" spans="2:10" ht="13.8">
      <c r="B297" s="988">
        <v>18476</v>
      </c>
      <c r="C297" s="987" t="s">
        <v>4628</v>
      </c>
      <c r="F297" s="992">
        <v>1.54E-2</v>
      </c>
      <c r="H297" s="992">
        <v>2.3E-3</v>
      </c>
      <c r="I297" s="986">
        <f t="shared" si="4"/>
        <v>1.3100000000000001E-2</v>
      </c>
      <c r="J297" s="988">
        <v>18476</v>
      </c>
    </row>
    <row r="298" spans="2:10" ht="13.8">
      <c r="B298" s="988">
        <v>18507</v>
      </c>
      <c r="C298" s="987" t="s">
        <v>4628</v>
      </c>
      <c r="F298" s="992">
        <v>4.1800000000000004E-2</v>
      </c>
      <c r="H298" s="992">
        <v>2.3333333333333335E-3</v>
      </c>
      <c r="I298" s="986">
        <f t="shared" si="4"/>
        <v>3.9466666666666671E-2</v>
      </c>
      <c r="J298" s="988">
        <v>18507</v>
      </c>
    </row>
    <row r="299" spans="2:10" ht="13.8">
      <c r="B299" s="988">
        <v>18537</v>
      </c>
      <c r="C299" s="987" t="s">
        <v>4628</v>
      </c>
      <c r="F299" s="992">
        <v>-2.7000000000000001E-3</v>
      </c>
      <c r="H299" s="992">
        <v>2.3583333333333334E-3</v>
      </c>
      <c r="I299" s="986">
        <f t="shared" si="4"/>
        <v>-5.0583333333333331E-3</v>
      </c>
      <c r="J299" s="988">
        <v>18537</v>
      </c>
    </row>
    <row r="300" spans="2:10" ht="13.8">
      <c r="B300" s="988">
        <v>18568</v>
      </c>
      <c r="C300" s="987" t="s">
        <v>4628</v>
      </c>
      <c r="F300" s="992">
        <v>-1.7600000000000001E-2</v>
      </c>
      <c r="H300" s="992">
        <v>2.3833333333333332E-3</v>
      </c>
      <c r="I300" s="986">
        <f t="shared" si="4"/>
        <v>-1.9983333333333336E-2</v>
      </c>
      <c r="J300" s="988">
        <v>18568</v>
      </c>
    </row>
    <row r="301" spans="2:10" ht="13.8">
      <c r="B301" s="988">
        <v>18598</v>
      </c>
      <c r="C301" s="987" t="s">
        <v>4628</v>
      </c>
      <c r="F301" s="992">
        <v>3.1199999999999995E-2</v>
      </c>
      <c r="H301" s="992">
        <v>2.3833333333333332E-3</v>
      </c>
      <c r="I301" s="986">
        <f t="shared" si="4"/>
        <v>2.8816666666666661E-2</v>
      </c>
      <c r="J301" s="988">
        <v>18598</v>
      </c>
    </row>
    <row r="302" spans="2:10" ht="13.8">
      <c r="B302" s="988">
        <v>18629</v>
      </c>
      <c r="C302" s="987" t="s">
        <v>4628</v>
      </c>
      <c r="F302" s="992">
        <v>4.3800000000000006E-2</v>
      </c>
      <c r="H302" s="992">
        <v>2.3583333333333334E-3</v>
      </c>
      <c r="I302" s="986">
        <f t="shared" si="4"/>
        <v>4.1441666666666675E-2</v>
      </c>
      <c r="J302" s="988">
        <v>18629</v>
      </c>
    </row>
    <row r="303" spans="2:10" ht="13.8">
      <c r="B303" s="988">
        <v>18660</v>
      </c>
      <c r="C303" s="987" t="s">
        <v>4628</v>
      </c>
      <c r="F303" s="992">
        <v>2.6800000000000001E-2</v>
      </c>
      <c r="H303" s="992">
        <v>2.3666666666666667E-3</v>
      </c>
      <c r="I303" s="986">
        <f t="shared" si="4"/>
        <v>2.4433333333333335E-2</v>
      </c>
      <c r="J303" s="988">
        <v>18660</v>
      </c>
    </row>
    <row r="304" spans="2:10" ht="13.8">
      <c r="B304" s="988">
        <v>18688</v>
      </c>
      <c r="C304" s="987" t="s">
        <v>4628</v>
      </c>
      <c r="F304" s="992">
        <v>-1.7399999999999999E-2</v>
      </c>
      <c r="H304" s="992">
        <v>2.4583333333333336E-3</v>
      </c>
      <c r="I304" s="986">
        <f t="shared" si="4"/>
        <v>-1.9858333333333332E-2</v>
      </c>
      <c r="J304" s="988">
        <v>18688</v>
      </c>
    </row>
    <row r="305" spans="2:10" ht="13.8">
      <c r="B305" s="988">
        <v>18719</v>
      </c>
      <c r="C305" s="987" t="s">
        <v>4628</v>
      </c>
      <c r="F305" s="992">
        <v>5.0000000000000044E-4</v>
      </c>
      <c r="H305" s="992">
        <v>2.575E-3</v>
      </c>
      <c r="I305" s="986">
        <f t="shared" si="4"/>
        <v>-2.0749999999999996E-3</v>
      </c>
      <c r="J305" s="988">
        <v>18719</v>
      </c>
    </row>
    <row r="306" spans="2:10" ht="13.8">
      <c r="B306" s="988">
        <v>18749</v>
      </c>
      <c r="C306" s="987" t="s">
        <v>4628</v>
      </c>
      <c r="F306" s="992">
        <v>6.6E-3</v>
      </c>
      <c r="H306" s="992">
        <v>2.6083333333333332E-3</v>
      </c>
      <c r="I306" s="986">
        <f t="shared" si="4"/>
        <v>3.9916666666666668E-3</v>
      </c>
      <c r="J306" s="988">
        <v>18749</v>
      </c>
    </row>
    <row r="307" spans="2:10" ht="13.8">
      <c r="B307" s="988">
        <v>18780</v>
      </c>
      <c r="C307" s="987" t="s">
        <v>4628</v>
      </c>
      <c r="F307" s="992">
        <v>-3.9999999999999992E-3</v>
      </c>
      <c r="H307" s="992">
        <v>2.6750000000000003E-3</v>
      </c>
      <c r="I307" s="986">
        <f t="shared" si="4"/>
        <v>-6.6749999999999995E-3</v>
      </c>
      <c r="J307" s="988">
        <v>18780</v>
      </c>
    </row>
    <row r="308" spans="2:10" ht="13.8">
      <c r="B308" s="988">
        <v>18810</v>
      </c>
      <c r="C308" s="987" t="s">
        <v>4628</v>
      </c>
      <c r="F308" s="992">
        <v>4.3899999999999995E-2</v>
      </c>
      <c r="H308" s="992">
        <v>2.7166666666666667E-3</v>
      </c>
      <c r="I308" s="986">
        <f t="shared" si="4"/>
        <v>4.1183333333333329E-2</v>
      </c>
      <c r="J308" s="988">
        <v>18810</v>
      </c>
    </row>
    <row r="309" spans="2:10" ht="13.8">
      <c r="B309" s="988">
        <v>18841</v>
      </c>
      <c r="C309" s="987" t="s">
        <v>4628</v>
      </c>
      <c r="F309" s="992">
        <v>1.5200000000000002E-2</v>
      </c>
      <c r="H309" s="992">
        <v>2.6583333333333333E-3</v>
      </c>
      <c r="I309" s="986">
        <f t="shared" si="4"/>
        <v>1.2541666666666668E-2</v>
      </c>
      <c r="J309" s="988">
        <v>18841</v>
      </c>
    </row>
    <row r="310" spans="2:10" ht="13.8">
      <c r="B310" s="988">
        <v>18872</v>
      </c>
      <c r="C310" s="987" t="s">
        <v>4628</v>
      </c>
      <c r="F310" s="992">
        <v>8.6E-3</v>
      </c>
      <c r="H310" s="992">
        <v>2.6166666666666664E-3</v>
      </c>
      <c r="I310" s="986">
        <f t="shared" si="4"/>
        <v>5.9833333333333336E-3</v>
      </c>
      <c r="J310" s="988">
        <v>18872</v>
      </c>
    </row>
    <row r="311" spans="2:10" ht="13.8">
      <c r="B311" s="988">
        <v>18902</v>
      </c>
      <c r="C311" s="987" t="s">
        <v>4628</v>
      </c>
      <c r="F311" s="992">
        <v>2.8999999999999998E-3</v>
      </c>
      <c r="H311" s="992">
        <v>2.6416666666666667E-3</v>
      </c>
      <c r="I311" s="986">
        <f t="shared" si="4"/>
        <v>2.5833333333333307E-4</v>
      </c>
      <c r="J311" s="988">
        <v>18902</v>
      </c>
    </row>
    <row r="312" spans="2:10" ht="13.8">
      <c r="B312" s="988">
        <v>18933</v>
      </c>
      <c r="C312" s="987" t="s">
        <v>4628</v>
      </c>
      <c r="F312" s="992">
        <v>1.2E-2</v>
      </c>
      <c r="H312" s="992">
        <v>2.7000000000000001E-3</v>
      </c>
      <c r="I312" s="986">
        <f t="shared" si="4"/>
        <v>9.2999999999999992E-3</v>
      </c>
      <c r="J312" s="988">
        <v>18933</v>
      </c>
    </row>
    <row r="313" spans="2:10" ht="13.8">
      <c r="B313" s="988">
        <v>18963</v>
      </c>
      <c r="C313" s="987" t="s">
        <v>4628</v>
      </c>
      <c r="F313" s="992">
        <v>3.5200000000000002E-2</v>
      </c>
      <c r="H313" s="992">
        <v>2.7416666666666666E-3</v>
      </c>
      <c r="I313" s="986">
        <f t="shared" si="4"/>
        <v>3.2458333333333339E-2</v>
      </c>
      <c r="J313" s="988">
        <v>18963</v>
      </c>
    </row>
    <row r="314" spans="2:10" ht="13.8">
      <c r="B314" s="988">
        <v>18994</v>
      </c>
      <c r="C314" s="987" t="s">
        <v>4628</v>
      </c>
      <c r="F314" s="992">
        <v>3.0499999999999999E-2</v>
      </c>
      <c r="H314" s="992">
        <v>2.7416666666666666E-3</v>
      </c>
      <c r="I314" s="986">
        <f t="shared" si="4"/>
        <v>2.7758333333333333E-2</v>
      </c>
      <c r="J314" s="988">
        <v>18994</v>
      </c>
    </row>
    <row r="315" spans="2:10" ht="13.8">
      <c r="B315" s="988">
        <v>19025</v>
      </c>
      <c r="C315" s="987" t="s">
        <v>4628</v>
      </c>
      <c r="F315" s="992">
        <v>5.8999999999999999E-3</v>
      </c>
      <c r="H315" s="992">
        <v>2.6916666666666669E-3</v>
      </c>
      <c r="I315" s="986">
        <f t="shared" si="4"/>
        <v>3.208333333333333E-3</v>
      </c>
      <c r="J315" s="988">
        <v>19025</v>
      </c>
    </row>
    <row r="316" spans="2:10" ht="13.8">
      <c r="B316" s="988">
        <v>19054</v>
      </c>
      <c r="C316" s="987" t="s">
        <v>4628</v>
      </c>
      <c r="F316" s="992">
        <v>1.7599999999999998E-2</v>
      </c>
      <c r="H316" s="992">
        <v>2.708333333333333E-3</v>
      </c>
      <c r="I316" s="986">
        <f t="shared" si="4"/>
        <v>1.4891666666666664E-2</v>
      </c>
      <c r="J316" s="988">
        <v>19054</v>
      </c>
    </row>
    <row r="317" spans="2:10" ht="13.8">
      <c r="B317" s="988">
        <v>19085</v>
      </c>
      <c r="C317" s="987" t="s">
        <v>4628</v>
      </c>
      <c r="F317" s="992">
        <v>-1.54E-2</v>
      </c>
      <c r="H317" s="992">
        <v>2.6916666666666669E-3</v>
      </c>
      <c r="I317" s="986">
        <f t="shared" si="4"/>
        <v>-1.8091666666666666E-2</v>
      </c>
      <c r="J317" s="988">
        <v>19085</v>
      </c>
    </row>
    <row r="318" spans="2:10" ht="13.8">
      <c r="B318" s="988">
        <v>19115</v>
      </c>
      <c r="C318" s="987" t="s">
        <v>4628</v>
      </c>
      <c r="F318" s="992">
        <v>1.9E-2</v>
      </c>
      <c r="H318" s="992">
        <v>2.6833333333333336E-3</v>
      </c>
      <c r="I318" s="986">
        <f t="shared" si="4"/>
        <v>1.6316666666666667E-2</v>
      </c>
      <c r="J318" s="988">
        <v>19115</v>
      </c>
    </row>
    <row r="319" spans="2:10" ht="13.8">
      <c r="B319" s="988">
        <v>19146</v>
      </c>
      <c r="C319" s="987" t="s">
        <v>4628</v>
      </c>
      <c r="F319" s="992">
        <v>4.8999999999999998E-3</v>
      </c>
      <c r="H319" s="992">
        <v>2.6833333333333336E-3</v>
      </c>
      <c r="I319" s="986">
        <f t="shared" si="4"/>
        <v>2.2166666666666663E-3</v>
      </c>
      <c r="J319" s="988">
        <v>19146</v>
      </c>
    </row>
    <row r="320" spans="2:10" ht="13.8">
      <c r="B320" s="988">
        <v>19176</v>
      </c>
      <c r="C320" s="987" t="s">
        <v>4628</v>
      </c>
      <c r="F320" s="992">
        <v>2.06E-2</v>
      </c>
      <c r="H320" s="992">
        <v>2.6833333333333336E-3</v>
      </c>
      <c r="I320" s="986">
        <f t="shared" si="4"/>
        <v>1.7916666666666668E-2</v>
      </c>
      <c r="J320" s="988">
        <v>19176</v>
      </c>
    </row>
    <row r="321" spans="2:10" ht="13.8">
      <c r="B321" s="988">
        <v>19207</v>
      </c>
      <c r="C321" s="987" t="s">
        <v>4628</v>
      </c>
      <c r="F321" s="992">
        <v>2.0300000000000002E-2</v>
      </c>
      <c r="H321" s="992">
        <v>2.7000000000000001E-3</v>
      </c>
      <c r="I321" s="986">
        <f t="shared" si="4"/>
        <v>1.7600000000000001E-2</v>
      </c>
      <c r="J321" s="988">
        <v>19207</v>
      </c>
    </row>
    <row r="322" spans="2:10" ht="13.8">
      <c r="B322" s="988">
        <v>19238</v>
      </c>
      <c r="C322" s="987" t="s">
        <v>4628</v>
      </c>
      <c r="F322" s="992">
        <v>1.4999999999999996E-3</v>
      </c>
      <c r="H322" s="992">
        <v>2.7000000000000001E-3</v>
      </c>
      <c r="I322" s="986">
        <f t="shared" si="4"/>
        <v>-1.2000000000000005E-3</v>
      </c>
      <c r="J322" s="988">
        <v>19238</v>
      </c>
    </row>
    <row r="323" spans="2:10" ht="13.8">
      <c r="B323" s="988">
        <v>19268</v>
      </c>
      <c r="C323" s="987" t="s">
        <v>4628</v>
      </c>
      <c r="F323" s="992">
        <v>1.01E-2</v>
      </c>
      <c r="H323" s="992">
        <v>2.7166666666666667E-3</v>
      </c>
      <c r="I323" s="986">
        <f t="shared" si="4"/>
        <v>7.3833333333333329E-3</v>
      </c>
      <c r="J323" s="988">
        <v>19268</v>
      </c>
    </row>
    <row r="324" spans="2:10" ht="13.8">
      <c r="B324" s="988">
        <v>19299</v>
      </c>
      <c r="C324" s="987" t="s">
        <v>4628</v>
      </c>
      <c r="F324" s="992">
        <v>4.2299999999999997E-2</v>
      </c>
      <c r="H324" s="992">
        <v>2.7000000000000001E-3</v>
      </c>
      <c r="I324" s="986">
        <f t="shared" si="4"/>
        <v>3.9599999999999996E-2</v>
      </c>
      <c r="J324" s="988">
        <v>19299</v>
      </c>
    </row>
    <row r="325" spans="2:10" ht="13.8">
      <c r="B325" s="988">
        <v>19329</v>
      </c>
      <c r="C325" s="987" t="s">
        <v>4628</v>
      </c>
      <c r="F325" s="992">
        <v>2.1299999999999999E-2</v>
      </c>
      <c r="H325" s="992">
        <v>2.6833333333333336E-3</v>
      </c>
      <c r="I325" s="986">
        <f t="shared" si="4"/>
        <v>1.8616666666666667E-2</v>
      </c>
      <c r="J325" s="988">
        <v>19329</v>
      </c>
    </row>
    <row r="326" spans="2:10" ht="13.8">
      <c r="B326" s="988">
        <v>19360</v>
      </c>
      <c r="C326" s="987" t="s">
        <v>4628</v>
      </c>
      <c r="F326" s="992">
        <v>1.03E-2</v>
      </c>
      <c r="H326" s="992">
        <v>2.708333333333333E-3</v>
      </c>
      <c r="I326" s="986">
        <f t="shared" si="4"/>
        <v>7.5916666666666667E-3</v>
      </c>
      <c r="J326" s="988">
        <v>19360</v>
      </c>
    </row>
    <row r="327" spans="2:10" ht="13.8">
      <c r="B327" s="988">
        <v>19391</v>
      </c>
      <c r="C327" s="987" t="s">
        <v>4628</v>
      </c>
      <c r="F327" s="992">
        <v>-6.7000000000000002E-3</v>
      </c>
      <c r="H327" s="992">
        <v>2.7500000000000003E-3</v>
      </c>
      <c r="I327" s="986">
        <f t="shared" si="4"/>
        <v>-9.4500000000000001E-3</v>
      </c>
      <c r="J327" s="988">
        <v>19391</v>
      </c>
    </row>
    <row r="328" spans="2:10" ht="13.8">
      <c r="B328" s="988">
        <v>19419</v>
      </c>
      <c r="C328" s="987" t="s">
        <v>4628</v>
      </c>
      <c r="F328" s="992">
        <v>-4.3E-3</v>
      </c>
      <c r="H328" s="992">
        <v>2.7999999999999995E-3</v>
      </c>
      <c r="I328" s="986">
        <f t="shared" si="4"/>
        <v>-7.0999999999999995E-3</v>
      </c>
      <c r="J328" s="988">
        <v>19419</v>
      </c>
    </row>
    <row r="329" spans="2:10" ht="13.8">
      <c r="B329" s="988">
        <v>19450</v>
      </c>
      <c r="C329" s="987" t="s">
        <v>4628</v>
      </c>
      <c r="F329" s="992">
        <v>-1.9200000000000002E-2</v>
      </c>
      <c r="H329" s="992">
        <v>2.891666666666667E-3</v>
      </c>
      <c r="I329" s="986">
        <f t="shared" si="4"/>
        <v>-2.2091666666666669E-2</v>
      </c>
      <c r="J329" s="988">
        <v>19450</v>
      </c>
    </row>
    <row r="330" spans="2:10" ht="13.8">
      <c r="B330" s="988">
        <v>19480</v>
      </c>
      <c r="C330" s="987" t="s">
        <v>4628</v>
      </c>
      <c r="F330" s="992">
        <v>2.3999999999999998E-3</v>
      </c>
      <c r="H330" s="992">
        <v>3.0249999999999999E-3</v>
      </c>
      <c r="I330" s="986">
        <f t="shared" si="4"/>
        <v>-6.2500000000000012E-4</v>
      </c>
      <c r="J330" s="988">
        <v>19480</v>
      </c>
    </row>
    <row r="331" spans="2:10" ht="13.8">
      <c r="B331" s="988">
        <v>19511</v>
      </c>
      <c r="C331" s="987" t="s">
        <v>4628</v>
      </c>
      <c r="F331" s="992">
        <v>-2.7300000000000001E-2</v>
      </c>
      <c r="H331" s="992">
        <v>3.0916666666666666E-3</v>
      </c>
      <c r="I331" s="986">
        <f t="shared" si="4"/>
        <v>-3.0391666666666668E-2</v>
      </c>
      <c r="J331" s="988">
        <v>19511</v>
      </c>
    </row>
    <row r="332" spans="2:10" ht="13.8">
      <c r="B332" s="988">
        <v>19541</v>
      </c>
      <c r="C332" s="987" t="s">
        <v>4628</v>
      </c>
      <c r="F332" s="992">
        <v>3.4500000000000003E-2</v>
      </c>
      <c r="H332" s="992">
        <v>3.0499999999999998E-3</v>
      </c>
      <c r="I332" s="986">
        <f t="shared" si="4"/>
        <v>3.1450000000000006E-2</v>
      </c>
      <c r="J332" s="988">
        <v>19541</v>
      </c>
    </row>
    <row r="333" spans="2:10" ht="13.8">
      <c r="B333" s="988">
        <v>19572</v>
      </c>
      <c r="C333" s="987" t="s">
        <v>4628</v>
      </c>
      <c r="F333" s="992">
        <v>1.5999999999999999E-3</v>
      </c>
      <c r="H333" s="992">
        <v>3.0083333333333333E-3</v>
      </c>
      <c r="I333" s="986">
        <f t="shared" si="4"/>
        <v>-1.4083333333333335E-3</v>
      </c>
      <c r="J333" s="988">
        <v>19572</v>
      </c>
    </row>
    <row r="334" spans="2:10" ht="13.8">
      <c r="B334" s="988">
        <v>19603</v>
      </c>
      <c r="C334" s="987" t="s">
        <v>4628</v>
      </c>
      <c r="F334" s="992">
        <v>1.1900000000000001E-2</v>
      </c>
      <c r="H334" s="992">
        <v>3.0166666666666671E-3</v>
      </c>
      <c r="I334" s="986">
        <f t="shared" si="4"/>
        <v>8.8833333333333334E-3</v>
      </c>
      <c r="J334" s="988">
        <v>19603</v>
      </c>
    </row>
    <row r="335" spans="2:10" ht="13.8">
      <c r="B335" s="988">
        <v>19633</v>
      </c>
      <c r="C335" s="987" t="s">
        <v>4628</v>
      </c>
      <c r="F335" s="992">
        <v>4.1100000000000005E-2</v>
      </c>
      <c r="H335" s="992">
        <v>2.9083333333333335E-3</v>
      </c>
      <c r="I335" s="986">
        <f t="shared" si="4"/>
        <v>3.8191666666666672E-2</v>
      </c>
      <c r="J335" s="988">
        <v>19633</v>
      </c>
    </row>
    <row r="336" spans="2:10" ht="13.8">
      <c r="B336" s="988">
        <v>19664</v>
      </c>
      <c r="C336" s="987" t="s">
        <v>4628</v>
      </c>
      <c r="F336" s="992">
        <v>2.7400000000000001E-2</v>
      </c>
      <c r="H336" s="992">
        <v>2.8333333333333331E-3</v>
      </c>
      <c r="I336" s="986">
        <f t="shared" si="4"/>
        <v>2.4566666666666667E-2</v>
      </c>
      <c r="J336" s="988">
        <v>19664</v>
      </c>
    </row>
    <row r="337" spans="2:10" ht="13.8">
      <c r="B337" s="988">
        <v>19694</v>
      </c>
      <c r="C337" s="987" t="s">
        <v>4628</v>
      </c>
      <c r="F337" s="992">
        <v>6.4000000000000003E-3</v>
      </c>
      <c r="H337" s="992">
        <v>2.816666666666667E-3</v>
      </c>
      <c r="I337" s="986">
        <f t="shared" si="4"/>
        <v>3.5833333333333333E-3</v>
      </c>
      <c r="J337" s="988">
        <v>19694</v>
      </c>
    </row>
    <row r="338" spans="2:10" ht="13.8">
      <c r="B338" s="988">
        <v>19725</v>
      </c>
      <c r="C338" s="987" t="s">
        <v>4628</v>
      </c>
      <c r="F338" s="992">
        <v>3.27E-2</v>
      </c>
      <c r="H338" s="992">
        <v>2.7666666666666668E-3</v>
      </c>
      <c r="I338" s="986">
        <f t="shared" si="4"/>
        <v>2.9933333333333333E-2</v>
      </c>
      <c r="J338" s="988">
        <v>19725</v>
      </c>
    </row>
    <row r="339" spans="2:10" ht="13.8">
      <c r="B339" s="988">
        <v>19756</v>
      </c>
      <c r="C339" s="987" t="s">
        <v>4628</v>
      </c>
      <c r="F339" s="992">
        <v>1.1699999999999999E-2</v>
      </c>
      <c r="H339" s="992">
        <v>2.6916666666666669E-3</v>
      </c>
      <c r="I339" s="986">
        <f t="shared" si="4"/>
        <v>9.0083333333333317E-3</v>
      </c>
      <c r="J339" s="988">
        <v>19756</v>
      </c>
    </row>
    <row r="340" spans="2:10" ht="13.8">
      <c r="B340" s="988">
        <v>19784</v>
      </c>
      <c r="C340" s="987" t="s">
        <v>4628</v>
      </c>
      <c r="F340" s="992">
        <v>2.7000000000000003E-2</v>
      </c>
      <c r="H340" s="992">
        <v>2.6333333333333334E-3</v>
      </c>
      <c r="I340" s="986">
        <f t="shared" si="4"/>
        <v>2.4366666666666668E-2</v>
      </c>
      <c r="J340" s="988">
        <v>19784</v>
      </c>
    </row>
    <row r="341" spans="2:10" ht="13.8">
      <c r="B341" s="988">
        <v>19815</v>
      </c>
      <c r="C341" s="987" t="s">
        <v>4628</v>
      </c>
      <c r="F341" s="992">
        <v>1.21E-2</v>
      </c>
      <c r="H341" s="992">
        <v>2.6333333333333334E-3</v>
      </c>
      <c r="I341" s="986">
        <f t="shared" si="4"/>
        <v>9.4666666666666666E-3</v>
      </c>
      <c r="J341" s="988">
        <v>19815</v>
      </c>
    </row>
    <row r="342" spans="2:10" ht="13.8">
      <c r="B342" s="988">
        <v>19845</v>
      </c>
      <c r="C342" s="987" t="s">
        <v>4628</v>
      </c>
      <c r="F342" s="992">
        <v>2.5700000000000004E-2</v>
      </c>
      <c r="H342" s="992">
        <v>2.6166666666666664E-3</v>
      </c>
      <c r="I342" s="986">
        <f t="shared" si="4"/>
        <v>2.3083333333333338E-2</v>
      </c>
      <c r="J342" s="988">
        <v>19845</v>
      </c>
    </row>
    <row r="343" spans="2:10" ht="13.8">
      <c r="B343" s="988">
        <v>19876</v>
      </c>
      <c r="C343" s="987" t="s">
        <v>4628</v>
      </c>
      <c r="F343" s="992">
        <v>9.6000000000000009E-3</v>
      </c>
      <c r="H343" s="992">
        <v>2.6333333333333334E-3</v>
      </c>
      <c r="I343" s="986">
        <f t="shared" si="4"/>
        <v>6.9666666666666679E-3</v>
      </c>
      <c r="J343" s="988">
        <v>19876</v>
      </c>
    </row>
    <row r="344" spans="2:10" ht="13.8">
      <c r="B344" s="988">
        <v>19906</v>
      </c>
      <c r="C344" s="987" t="s">
        <v>4628</v>
      </c>
      <c r="F344" s="992">
        <v>4.9500000000000002E-2</v>
      </c>
      <c r="H344" s="992">
        <v>2.6166666666666664E-3</v>
      </c>
      <c r="I344" s="986">
        <f t="shared" si="4"/>
        <v>4.6883333333333332E-2</v>
      </c>
      <c r="J344" s="988">
        <v>19906</v>
      </c>
    </row>
    <row r="345" spans="2:10" ht="13.8">
      <c r="B345" s="988">
        <v>19937</v>
      </c>
      <c r="C345" s="987" t="s">
        <v>4628</v>
      </c>
      <c r="F345" s="992">
        <v>-1.3100000000000001E-2</v>
      </c>
      <c r="H345" s="992">
        <v>2.6083333333333332E-3</v>
      </c>
      <c r="I345" s="986">
        <f t="shared" si="4"/>
        <v>-1.5708333333333335E-2</v>
      </c>
      <c r="J345" s="988">
        <v>19937</v>
      </c>
    </row>
    <row r="346" spans="2:10" ht="13.8">
      <c r="B346" s="988">
        <v>19968</v>
      </c>
      <c r="C346" s="987" t="s">
        <v>4628</v>
      </c>
      <c r="F346" s="992">
        <v>1.78E-2</v>
      </c>
      <c r="H346" s="992">
        <v>2.5999999999999999E-3</v>
      </c>
      <c r="I346" s="986">
        <f t="shared" ref="I346:I409" si="5">F346-H346</f>
        <v>1.52E-2</v>
      </c>
      <c r="J346" s="988">
        <v>19968</v>
      </c>
    </row>
    <row r="347" spans="2:10" ht="13.8">
      <c r="B347" s="988">
        <v>19998</v>
      </c>
      <c r="C347" s="987" t="s">
        <v>4628</v>
      </c>
      <c r="F347" s="992">
        <v>-3.6799999999999999E-2</v>
      </c>
      <c r="H347" s="992">
        <v>2.5999999999999999E-3</v>
      </c>
      <c r="I347" s="986">
        <f t="shared" si="5"/>
        <v>-3.9399999999999998E-2</v>
      </c>
      <c r="J347" s="988">
        <v>19998</v>
      </c>
    </row>
    <row r="348" spans="2:10" ht="13.8">
      <c r="B348" s="988">
        <v>20029</v>
      </c>
      <c r="C348" s="987" t="s">
        <v>4628</v>
      </c>
      <c r="F348" s="992">
        <v>5.6500000000000002E-2</v>
      </c>
      <c r="H348" s="992">
        <v>2.5916666666666666E-3</v>
      </c>
      <c r="I348" s="986">
        <f t="shared" si="5"/>
        <v>5.3908333333333336E-2</v>
      </c>
      <c r="J348" s="988">
        <v>20029</v>
      </c>
    </row>
    <row r="349" spans="2:10" ht="13.8">
      <c r="B349" s="988">
        <v>20059</v>
      </c>
      <c r="C349" s="987" t="s">
        <v>4628</v>
      </c>
      <c r="F349" s="992">
        <v>3.4099999999999998E-2</v>
      </c>
      <c r="H349" s="992">
        <v>2.5916666666666666E-3</v>
      </c>
      <c r="I349" s="986">
        <f t="shared" si="5"/>
        <v>3.1508333333333333E-2</v>
      </c>
      <c r="J349" s="988">
        <v>20059</v>
      </c>
    </row>
    <row r="350" spans="2:10" ht="13.8">
      <c r="B350" s="988">
        <v>20090</v>
      </c>
      <c r="C350" s="987" t="s">
        <v>4628</v>
      </c>
      <c r="F350" s="992">
        <v>1.43E-2</v>
      </c>
      <c r="H350" s="992">
        <v>2.6083333333333332E-3</v>
      </c>
      <c r="I350" s="986">
        <f t="shared" si="5"/>
        <v>1.1691666666666666E-2</v>
      </c>
      <c r="J350" s="988">
        <v>20090</v>
      </c>
    </row>
    <row r="351" spans="2:10" ht="13.8">
      <c r="B351" s="988">
        <v>20121</v>
      </c>
      <c r="C351" s="987" t="s">
        <v>4628</v>
      </c>
      <c r="F351" s="992">
        <v>3.44E-2</v>
      </c>
      <c r="H351" s="992">
        <v>2.6166666666666664E-3</v>
      </c>
      <c r="I351" s="986">
        <f t="shared" si="5"/>
        <v>3.178333333333333E-2</v>
      </c>
      <c r="J351" s="988">
        <v>20121</v>
      </c>
    </row>
    <row r="352" spans="2:10" ht="13.8">
      <c r="B352" s="988">
        <v>20149</v>
      </c>
      <c r="C352" s="987" t="s">
        <v>4628</v>
      </c>
      <c r="F352" s="992">
        <v>-1.1000000000000001E-2</v>
      </c>
      <c r="H352" s="992">
        <v>2.6250000000000002E-3</v>
      </c>
      <c r="I352" s="986">
        <f t="shared" si="5"/>
        <v>-1.3625000000000002E-2</v>
      </c>
      <c r="J352" s="988">
        <v>20149</v>
      </c>
    </row>
    <row r="353" spans="2:10" ht="13.8">
      <c r="B353" s="988">
        <v>20180</v>
      </c>
      <c r="C353" s="987" t="s">
        <v>4628</v>
      </c>
      <c r="F353" s="992">
        <v>2.0199999999999999E-2</v>
      </c>
      <c r="H353" s="992">
        <v>2.6250000000000002E-3</v>
      </c>
      <c r="I353" s="986">
        <f t="shared" si="5"/>
        <v>1.7575E-2</v>
      </c>
      <c r="J353" s="988">
        <v>20180</v>
      </c>
    </row>
    <row r="354" spans="2:10" ht="13.8">
      <c r="B354" s="988">
        <v>20210</v>
      </c>
      <c r="C354" s="987" t="s">
        <v>4628</v>
      </c>
      <c r="F354" s="992">
        <v>-5.7999999999999996E-3</v>
      </c>
      <c r="H354" s="992">
        <v>2.6583333333333333E-3</v>
      </c>
      <c r="I354" s="986">
        <f t="shared" si="5"/>
        <v>-8.4583333333333333E-3</v>
      </c>
      <c r="J354" s="988">
        <v>20210</v>
      </c>
    </row>
    <row r="355" spans="2:10" ht="13.8">
      <c r="B355" s="988">
        <v>20241</v>
      </c>
      <c r="C355" s="987" t="s">
        <v>4628</v>
      </c>
      <c r="F355" s="992">
        <v>2.1099999999999997E-2</v>
      </c>
      <c r="H355" s="992">
        <v>2.6750000000000003E-3</v>
      </c>
      <c r="I355" s="986">
        <f t="shared" si="5"/>
        <v>1.8424999999999997E-2</v>
      </c>
      <c r="J355" s="988">
        <v>20241</v>
      </c>
    </row>
    <row r="356" spans="2:10" ht="13.8">
      <c r="B356" s="988">
        <v>20271</v>
      </c>
      <c r="C356" s="987" t="s">
        <v>4628</v>
      </c>
      <c r="F356" s="992">
        <v>4.6599999999999996E-2</v>
      </c>
      <c r="H356" s="992">
        <v>2.6750000000000003E-3</v>
      </c>
      <c r="I356" s="986">
        <f t="shared" si="5"/>
        <v>4.3924999999999992E-2</v>
      </c>
      <c r="J356" s="988">
        <v>20271</v>
      </c>
    </row>
    <row r="357" spans="2:10" ht="13.8">
      <c r="B357" s="988">
        <v>20302</v>
      </c>
      <c r="C357" s="987" t="s">
        <v>4628</v>
      </c>
      <c r="F357" s="992">
        <v>5.1999999999999998E-3</v>
      </c>
      <c r="H357" s="992">
        <v>2.7000000000000001E-3</v>
      </c>
      <c r="I357" s="986">
        <f t="shared" si="5"/>
        <v>2.4999999999999996E-3</v>
      </c>
      <c r="J357" s="988">
        <v>20302</v>
      </c>
    </row>
    <row r="358" spans="2:10" ht="13.8">
      <c r="B358" s="988">
        <v>20333</v>
      </c>
      <c r="C358" s="987" t="s">
        <v>4628</v>
      </c>
      <c r="F358" s="992">
        <v>-2.8999999999999998E-2</v>
      </c>
      <c r="H358" s="992">
        <v>2.725E-3</v>
      </c>
      <c r="I358" s="986">
        <f t="shared" si="5"/>
        <v>-3.1724999999999996E-2</v>
      </c>
      <c r="J358" s="988">
        <v>20333</v>
      </c>
    </row>
    <row r="359" spans="2:10" ht="13.8">
      <c r="B359" s="988">
        <v>20363</v>
      </c>
      <c r="C359" s="987" t="s">
        <v>4628</v>
      </c>
      <c r="F359" s="992">
        <v>-8.5000000000000006E-3</v>
      </c>
      <c r="H359" s="992">
        <v>2.7500000000000003E-3</v>
      </c>
      <c r="I359" s="986">
        <f t="shared" si="5"/>
        <v>-1.1250000000000001E-2</v>
      </c>
      <c r="J359" s="988">
        <v>20363</v>
      </c>
    </row>
    <row r="360" spans="2:10" ht="13.8">
      <c r="B360" s="988">
        <v>20394</v>
      </c>
      <c r="C360" s="987" t="s">
        <v>4628</v>
      </c>
      <c r="F360" s="992">
        <v>2.92E-2</v>
      </c>
      <c r="H360" s="992">
        <v>2.7666666666666668E-3</v>
      </c>
      <c r="I360" s="986">
        <f t="shared" si="5"/>
        <v>2.6433333333333333E-2</v>
      </c>
      <c r="J360" s="988">
        <v>20394</v>
      </c>
    </row>
    <row r="361" spans="2:10" ht="13.8">
      <c r="B361" s="988">
        <v>20424</v>
      </c>
      <c r="C361" s="987" t="s">
        <v>4628</v>
      </c>
      <c r="F361" s="992">
        <v>-6.7000000000000002E-3</v>
      </c>
      <c r="H361" s="992">
        <v>2.7916666666666667E-3</v>
      </c>
      <c r="I361" s="986">
        <f t="shared" si="5"/>
        <v>-9.4916666666666673E-3</v>
      </c>
      <c r="J361" s="988">
        <v>20424</v>
      </c>
    </row>
    <row r="362" spans="2:10" ht="13.8">
      <c r="B362" s="988">
        <v>20455</v>
      </c>
      <c r="C362" s="987" t="s">
        <v>4628</v>
      </c>
      <c r="F362" s="992">
        <v>3.0000000000000001E-3</v>
      </c>
      <c r="H362" s="992">
        <v>2.7583333333333331E-3</v>
      </c>
      <c r="I362" s="986">
        <f t="shared" si="5"/>
        <v>2.4166666666666694E-4</v>
      </c>
      <c r="J362" s="988">
        <v>20455</v>
      </c>
    </row>
    <row r="363" spans="2:10" ht="13.8">
      <c r="B363" s="988">
        <v>20486</v>
      </c>
      <c r="C363" s="987" t="s">
        <v>4628</v>
      </c>
      <c r="F363" s="992">
        <v>1.78E-2</v>
      </c>
      <c r="H363" s="992">
        <v>2.7416666666666666E-3</v>
      </c>
      <c r="I363" s="986">
        <f t="shared" si="5"/>
        <v>1.5058333333333333E-2</v>
      </c>
      <c r="J363" s="988">
        <v>20486</v>
      </c>
    </row>
    <row r="364" spans="2:10" ht="13.8">
      <c r="B364" s="988">
        <v>20515</v>
      </c>
      <c r="C364" s="987" t="s">
        <v>4628</v>
      </c>
      <c r="F364" s="992">
        <v>3.9399999999999998E-2</v>
      </c>
      <c r="H364" s="992">
        <v>2.7416666666666666E-3</v>
      </c>
      <c r="I364" s="986">
        <f t="shared" si="5"/>
        <v>3.6658333333333334E-2</v>
      </c>
      <c r="J364" s="988">
        <v>20515</v>
      </c>
    </row>
    <row r="365" spans="2:10" ht="13.8">
      <c r="B365" s="988">
        <v>20546</v>
      </c>
      <c r="C365" s="987" t="s">
        <v>4628</v>
      </c>
      <c r="F365" s="992">
        <v>-2.87E-2</v>
      </c>
      <c r="H365" s="992">
        <v>2.8333333333333331E-3</v>
      </c>
      <c r="I365" s="986">
        <f t="shared" si="5"/>
        <v>-3.153333333333333E-2</v>
      </c>
      <c r="J365" s="988">
        <v>20546</v>
      </c>
    </row>
    <row r="366" spans="2:10" ht="13.8">
      <c r="B366" s="988">
        <v>20576</v>
      </c>
      <c r="C366" s="987" t="s">
        <v>4628</v>
      </c>
      <c r="F366" s="992">
        <v>-1.38E-2</v>
      </c>
      <c r="H366" s="992">
        <v>2.8999999999999998E-3</v>
      </c>
      <c r="I366" s="986">
        <f t="shared" si="5"/>
        <v>-1.67E-2</v>
      </c>
      <c r="J366" s="988">
        <v>20576</v>
      </c>
    </row>
    <row r="367" spans="2:10" ht="13.8">
      <c r="B367" s="988">
        <v>20607</v>
      </c>
      <c r="C367" s="987" t="s">
        <v>4628</v>
      </c>
      <c r="F367" s="992">
        <v>2.1099999999999997E-2</v>
      </c>
      <c r="H367" s="992">
        <v>2.9083333333333335E-3</v>
      </c>
      <c r="I367" s="986">
        <f t="shared" si="5"/>
        <v>1.8191666666666665E-2</v>
      </c>
      <c r="J367" s="988">
        <v>20607</v>
      </c>
    </row>
    <row r="368" spans="2:10" ht="13.8">
      <c r="B368" s="988">
        <v>20637</v>
      </c>
      <c r="C368" s="987" t="s">
        <v>4628</v>
      </c>
      <c r="F368" s="992">
        <v>5.2500000000000012E-2</v>
      </c>
      <c r="H368" s="992">
        <v>2.9583333333333332E-3</v>
      </c>
      <c r="I368" s="986">
        <f t="shared" si="5"/>
        <v>4.9541666666666678E-2</v>
      </c>
      <c r="J368" s="988">
        <v>20637</v>
      </c>
    </row>
    <row r="369" spans="2:10" ht="13.8">
      <c r="B369" s="988">
        <v>20668</v>
      </c>
      <c r="C369" s="987" t="s">
        <v>4628</v>
      </c>
      <c r="F369" s="992">
        <v>-2.5899999999999999E-2</v>
      </c>
      <c r="H369" s="992">
        <v>3.0249999999999999E-3</v>
      </c>
      <c r="I369" s="986">
        <f t="shared" si="5"/>
        <v>-2.8924999999999999E-2</v>
      </c>
      <c r="J369" s="988">
        <v>20668</v>
      </c>
    </row>
    <row r="370" spans="2:10" ht="13.8">
      <c r="B370" s="988">
        <v>20699</v>
      </c>
      <c r="C370" s="987" t="s">
        <v>4628</v>
      </c>
      <c r="F370" s="992">
        <v>-3.1899999999999998E-2</v>
      </c>
      <c r="H370" s="992">
        <v>3.0999999999999999E-3</v>
      </c>
      <c r="I370" s="986">
        <f t="shared" si="5"/>
        <v>-3.4999999999999996E-2</v>
      </c>
      <c r="J370" s="988">
        <v>20699</v>
      </c>
    </row>
    <row r="371" spans="2:10" ht="13.8">
      <c r="B371" s="988">
        <v>20729</v>
      </c>
      <c r="C371" s="987" t="s">
        <v>4628</v>
      </c>
      <c r="F371" s="992">
        <v>6.3E-3</v>
      </c>
      <c r="H371" s="992">
        <v>3.1583333333333337E-3</v>
      </c>
      <c r="I371" s="986">
        <f t="shared" si="5"/>
        <v>3.1416666666666663E-3</v>
      </c>
      <c r="J371" s="988">
        <v>20729</v>
      </c>
    </row>
    <row r="372" spans="2:10" ht="13.8">
      <c r="B372" s="988">
        <v>20760</v>
      </c>
      <c r="C372" s="987" t="s">
        <v>4628</v>
      </c>
      <c r="F372" s="992">
        <v>2.8000000000000004E-3</v>
      </c>
      <c r="H372" s="992">
        <v>3.1833333333333336E-3</v>
      </c>
      <c r="I372" s="986">
        <f t="shared" si="5"/>
        <v>-3.8333333333333318E-4</v>
      </c>
      <c r="J372" s="988">
        <v>20760</v>
      </c>
    </row>
    <row r="373" spans="2:10" ht="13.8">
      <c r="B373" s="988">
        <v>20790</v>
      </c>
      <c r="C373" s="987" t="s">
        <v>4628</v>
      </c>
      <c r="F373" s="992">
        <v>1.04E-2</v>
      </c>
      <c r="H373" s="992">
        <v>3.2583333333333336E-3</v>
      </c>
      <c r="I373" s="986">
        <f t="shared" si="5"/>
        <v>7.141666666666666E-3</v>
      </c>
      <c r="J373" s="988">
        <v>20790</v>
      </c>
    </row>
    <row r="374" spans="2:10" ht="13.8">
      <c r="B374" s="988">
        <v>20821</v>
      </c>
      <c r="C374" s="987" t="s">
        <v>4628</v>
      </c>
      <c r="F374" s="992">
        <v>3.2399999999999998E-2</v>
      </c>
      <c r="H374" s="992">
        <v>3.3E-3</v>
      </c>
      <c r="I374" s="986">
        <f t="shared" si="5"/>
        <v>2.9099999999999997E-2</v>
      </c>
      <c r="J374" s="988">
        <v>20821</v>
      </c>
    </row>
    <row r="375" spans="2:10" ht="13.8">
      <c r="B375" s="988">
        <v>20852</v>
      </c>
      <c r="C375" s="987" t="s">
        <v>4628</v>
      </c>
      <c r="F375" s="992">
        <v>-6.0999999999999995E-3</v>
      </c>
      <c r="H375" s="992">
        <v>3.3749999999999995E-3</v>
      </c>
      <c r="I375" s="986">
        <f t="shared" si="5"/>
        <v>-9.474999999999999E-3</v>
      </c>
      <c r="J375" s="988">
        <v>20852</v>
      </c>
    </row>
    <row r="376" spans="2:10" ht="13.8">
      <c r="B376" s="988">
        <v>20880</v>
      </c>
      <c r="C376" s="987" t="s">
        <v>4628</v>
      </c>
      <c r="F376" s="992">
        <v>7.8000000000000005E-3</v>
      </c>
      <c r="H376" s="992">
        <v>3.3749999999999995E-3</v>
      </c>
      <c r="I376" s="986">
        <f t="shared" si="5"/>
        <v>4.425000000000001E-3</v>
      </c>
      <c r="J376" s="988">
        <v>20880</v>
      </c>
    </row>
    <row r="377" spans="2:10" ht="13.8">
      <c r="B377" s="988">
        <v>20911</v>
      </c>
      <c r="C377" s="987" t="s">
        <v>4628</v>
      </c>
      <c r="F377" s="992">
        <v>4.0199999999999993E-2</v>
      </c>
      <c r="H377" s="992">
        <v>3.3416666666666668E-3</v>
      </c>
      <c r="I377" s="986">
        <f t="shared" si="5"/>
        <v>3.6858333333333326E-2</v>
      </c>
      <c r="J377" s="988">
        <v>20911</v>
      </c>
    </row>
    <row r="378" spans="2:10" ht="13.8">
      <c r="B378" s="988">
        <v>20941</v>
      </c>
      <c r="C378" s="987" t="s">
        <v>4628</v>
      </c>
      <c r="F378" s="992">
        <v>1.8000000000000002E-2</v>
      </c>
      <c r="H378" s="992">
        <v>3.3416666666666668E-3</v>
      </c>
      <c r="I378" s="986">
        <f t="shared" si="5"/>
        <v>1.4658333333333336E-2</v>
      </c>
      <c r="J378" s="988">
        <v>20941</v>
      </c>
    </row>
    <row r="379" spans="2:10" ht="13.8">
      <c r="B379" s="988">
        <v>20972</v>
      </c>
      <c r="C379" s="987" t="s">
        <v>4628</v>
      </c>
      <c r="F379" s="992">
        <v>-4.1800000000000004E-2</v>
      </c>
      <c r="H379" s="992">
        <v>3.4083333333333331E-3</v>
      </c>
      <c r="I379" s="986">
        <f t="shared" si="5"/>
        <v>-4.5208333333333336E-2</v>
      </c>
      <c r="J379" s="988">
        <v>20972</v>
      </c>
    </row>
    <row r="380" spans="2:10" ht="13.8">
      <c r="B380" s="988">
        <v>21002</v>
      </c>
      <c r="C380" s="987" t="s">
        <v>4628</v>
      </c>
      <c r="F380" s="992">
        <v>3.5000000000000005E-3</v>
      </c>
      <c r="H380" s="992">
        <v>3.5000000000000005E-3</v>
      </c>
      <c r="I380" s="986">
        <f t="shared" si="5"/>
        <v>0</v>
      </c>
      <c r="J380" s="988">
        <v>21002</v>
      </c>
    </row>
    <row r="381" spans="2:10" ht="13.8">
      <c r="B381" s="988">
        <v>21033</v>
      </c>
      <c r="C381" s="987" t="s">
        <v>4628</v>
      </c>
      <c r="F381" s="992">
        <v>-2.9400000000000003E-2</v>
      </c>
      <c r="H381" s="992">
        <v>3.6416666666666667E-3</v>
      </c>
      <c r="I381" s="986">
        <f t="shared" si="5"/>
        <v>-3.3041666666666671E-2</v>
      </c>
      <c r="J381" s="988">
        <v>21033</v>
      </c>
    </row>
    <row r="382" spans="2:10" ht="13.8">
      <c r="B382" s="988">
        <v>21064</v>
      </c>
      <c r="C382" s="987" t="s">
        <v>4628</v>
      </c>
      <c r="F382" s="992">
        <v>-1.3800000000000002E-2</v>
      </c>
      <c r="H382" s="992">
        <v>3.7916666666666667E-3</v>
      </c>
      <c r="I382" s="986">
        <f t="shared" si="5"/>
        <v>-1.7591666666666669E-2</v>
      </c>
      <c r="J382" s="988">
        <v>21064</v>
      </c>
    </row>
    <row r="383" spans="2:10" ht="13.8">
      <c r="B383" s="988">
        <v>21094</v>
      </c>
      <c r="C383" s="987" t="s">
        <v>4628</v>
      </c>
      <c r="F383" s="992">
        <v>-7.4000000000000003E-3</v>
      </c>
      <c r="H383" s="992">
        <v>3.8416666666666673E-3</v>
      </c>
      <c r="I383" s="986">
        <f t="shared" si="5"/>
        <v>-1.1241666666666667E-2</v>
      </c>
      <c r="J383" s="988">
        <v>21094</v>
      </c>
    </row>
    <row r="384" spans="2:10" ht="13.8">
      <c r="B384" s="988">
        <v>21125</v>
      </c>
      <c r="C384" s="987" t="s">
        <v>4628</v>
      </c>
      <c r="F384" s="992">
        <v>4.2799999999999991E-2</v>
      </c>
      <c r="H384" s="992">
        <v>3.8500000000000001E-3</v>
      </c>
      <c r="I384" s="986">
        <f t="shared" si="5"/>
        <v>3.8949999999999992E-2</v>
      </c>
      <c r="J384" s="988">
        <v>21125</v>
      </c>
    </row>
    <row r="385" spans="2:10" ht="13.8">
      <c r="B385" s="988">
        <v>21155</v>
      </c>
      <c r="C385" s="987" t="s">
        <v>4628</v>
      </c>
      <c r="F385" s="992">
        <v>1.95E-2</v>
      </c>
      <c r="H385" s="992">
        <v>3.6333333333333335E-3</v>
      </c>
      <c r="I385" s="986">
        <f t="shared" si="5"/>
        <v>1.5866666666666668E-2</v>
      </c>
      <c r="J385" s="988">
        <v>21155</v>
      </c>
    </row>
    <row r="386" spans="2:10" ht="13.8">
      <c r="B386" s="988">
        <v>21186</v>
      </c>
      <c r="C386" s="987" t="s">
        <v>4628</v>
      </c>
      <c r="F386" s="992">
        <v>6.0200000000000004E-2</v>
      </c>
      <c r="H386" s="992">
        <v>3.2750000000000001E-3</v>
      </c>
      <c r="I386" s="986">
        <f t="shared" si="5"/>
        <v>5.6925000000000003E-2</v>
      </c>
      <c r="J386" s="988">
        <v>21186</v>
      </c>
    </row>
    <row r="387" spans="2:10" ht="13.8">
      <c r="B387" s="988">
        <v>21217</v>
      </c>
      <c r="C387" s="987" t="s">
        <v>4628</v>
      </c>
      <c r="F387" s="992">
        <v>1.37E-2</v>
      </c>
      <c r="H387" s="992">
        <v>3.3E-3</v>
      </c>
      <c r="I387" s="986">
        <f t="shared" si="5"/>
        <v>1.04E-2</v>
      </c>
      <c r="J387" s="988">
        <v>21217</v>
      </c>
    </row>
    <row r="388" spans="2:10" ht="13.8">
      <c r="B388" s="988">
        <v>21245</v>
      </c>
      <c r="C388" s="987" t="s">
        <v>4628</v>
      </c>
      <c r="F388" s="992">
        <v>0.02</v>
      </c>
      <c r="H388" s="992">
        <v>3.4416666666666667E-3</v>
      </c>
      <c r="I388" s="986">
        <f t="shared" si="5"/>
        <v>1.6558333333333335E-2</v>
      </c>
      <c r="J388" s="988">
        <v>21245</v>
      </c>
    </row>
    <row r="389" spans="2:10" ht="13.8">
      <c r="B389" s="988">
        <v>21276</v>
      </c>
      <c r="C389" s="987" t="s">
        <v>4628</v>
      </c>
      <c r="F389" s="992">
        <v>5.16E-2</v>
      </c>
      <c r="H389" s="992">
        <v>3.2916666666666667E-3</v>
      </c>
      <c r="I389" s="986">
        <f t="shared" si="5"/>
        <v>4.8308333333333335E-2</v>
      </c>
      <c r="J389" s="988">
        <v>21276</v>
      </c>
    </row>
    <row r="390" spans="2:10" ht="13.8">
      <c r="B390" s="988">
        <v>21306</v>
      </c>
      <c r="C390" s="987" t="s">
        <v>4628</v>
      </c>
      <c r="F390" s="992">
        <v>1.6400000000000001E-2</v>
      </c>
      <c r="H390" s="992">
        <v>3.3416666666666668E-3</v>
      </c>
      <c r="I390" s="986">
        <f t="shared" si="5"/>
        <v>1.3058333333333335E-2</v>
      </c>
      <c r="J390" s="988">
        <v>21306</v>
      </c>
    </row>
    <row r="391" spans="2:10" ht="13.8">
      <c r="B391" s="988">
        <v>21337</v>
      </c>
      <c r="C391" s="987" t="s">
        <v>4628</v>
      </c>
      <c r="F391" s="992">
        <v>1.72E-2</v>
      </c>
      <c r="H391" s="992">
        <v>3.3250000000000003E-3</v>
      </c>
      <c r="I391" s="986">
        <f t="shared" si="5"/>
        <v>1.3875E-2</v>
      </c>
      <c r="J391" s="988">
        <v>21337</v>
      </c>
    </row>
    <row r="392" spans="2:10" ht="13.8">
      <c r="B392" s="988">
        <v>21367</v>
      </c>
      <c r="C392" s="987" t="s">
        <v>4628</v>
      </c>
      <c r="F392" s="992">
        <v>1.09E-2</v>
      </c>
      <c r="H392" s="992">
        <v>3.3666666666666667E-3</v>
      </c>
      <c r="I392" s="986">
        <f t="shared" si="5"/>
        <v>7.5333333333333329E-3</v>
      </c>
      <c r="J392" s="988">
        <v>21367</v>
      </c>
    </row>
    <row r="393" spans="2:10" ht="13.8">
      <c r="B393" s="988">
        <v>21398</v>
      </c>
      <c r="C393" s="987" t="s">
        <v>4628</v>
      </c>
      <c r="F393" s="992">
        <v>-6.7000000000000002E-3</v>
      </c>
      <c r="H393" s="992">
        <v>3.5750000000000001E-3</v>
      </c>
      <c r="I393" s="986">
        <f t="shared" si="5"/>
        <v>-1.0274999999999999E-2</v>
      </c>
      <c r="J393" s="988">
        <v>21398</v>
      </c>
    </row>
    <row r="394" spans="2:10" ht="13.8">
      <c r="B394" s="988">
        <v>21429</v>
      </c>
      <c r="C394" s="987" t="s">
        <v>4628</v>
      </c>
      <c r="F394" s="992">
        <v>3.32E-2</v>
      </c>
      <c r="H394" s="992">
        <v>3.7916666666666667E-3</v>
      </c>
      <c r="I394" s="986">
        <f t="shared" si="5"/>
        <v>2.9408333333333335E-2</v>
      </c>
      <c r="J394" s="988">
        <v>21429</v>
      </c>
    </row>
    <row r="395" spans="2:10" ht="13.8">
      <c r="B395" s="988">
        <v>21459</v>
      </c>
      <c r="C395" s="987" t="s">
        <v>4628</v>
      </c>
      <c r="F395" s="992">
        <v>4.0599999999999997E-2</v>
      </c>
      <c r="H395" s="992">
        <v>3.7999999999999996E-3</v>
      </c>
      <c r="I395" s="986">
        <f t="shared" si="5"/>
        <v>3.6799999999999999E-2</v>
      </c>
      <c r="J395" s="988">
        <v>21459</v>
      </c>
    </row>
    <row r="396" spans="2:10" ht="13.8">
      <c r="B396" s="988">
        <v>21490</v>
      </c>
      <c r="C396" s="987" t="s">
        <v>4628</v>
      </c>
      <c r="F396" s="992">
        <v>2.63E-2</v>
      </c>
      <c r="H396" s="992">
        <v>3.725E-3</v>
      </c>
      <c r="I396" s="986">
        <f t="shared" si="5"/>
        <v>2.2575000000000001E-2</v>
      </c>
      <c r="J396" s="988">
        <v>21490</v>
      </c>
    </row>
    <row r="397" spans="2:10" ht="13.8">
      <c r="B397" s="988">
        <v>21520</v>
      </c>
      <c r="C397" s="987" t="s">
        <v>4628</v>
      </c>
      <c r="F397" s="992">
        <v>6.5500000000000003E-2</v>
      </c>
      <c r="H397" s="992">
        <v>3.741666666666667E-3</v>
      </c>
      <c r="I397" s="986">
        <f t="shared" si="5"/>
        <v>6.1758333333333339E-2</v>
      </c>
      <c r="J397" s="988">
        <v>21520</v>
      </c>
    </row>
    <row r="398" spans="2:10" ht="13.8">
      <c r="B398" s="988">
        <v>21551</v>
      </c>
      <c r="C398" s="987" t="s">
        <v>4628</v>
      </c>
      <c r="F398" s="992">
        <v>1.34E-2</v>
      </c>
      <c r="H398" s="992">
        <v>3.7666666666666664E-3</v>
      </c>
      <c r="I398" s="986">
        <f t="shared" si="5"/>
        <v>9.633333333333334E-3</v>
      </c>
      <c r="J398" s="988">
        <v>21551</v>
      </c>
    </row>
    <row r="399" spans="2:10" ht="13.8">
      <c r="B399" s="988">
        <v>21582</v>
      </c>
      <c r="C399" s="987" t="s">
        <v>4628</v>
      </c>
      <c r="F399" s="992">
        <v>2.06E-2</v>
      </c>
      <c r="H399" s="992">
        <v>3.7499999999999999E-3</v>
      </c>
      <c r="I399" s="986">
        <f t="shared" si="5"/>
        <v>1.685E-2</v>
      </c>
      <c r="J399" s="988">
        <v>21582</v>
      </c>
    </row>
    <row r="400" spans="2:10" ht="13.8">
      <c r="B400" s="988">
        <v>21610</v>
      </c>
      <c r="C400" s="987" t="s">
        <v>4628</v>
      </c>
      <c r="F400" s="992">
        <v>1.0200000000000001E-2</v>
      </c>
      <c r="H400" s="992">
        <v>3.725E-3</v>
      </c>
      <c r="I400" s="986">
        <f t="shared" si="5"/>
        <v>6.4750000000000007E-3</v>
      </c>
      <c r="J400" s="988">
        <v>21610</v>
      </c>
    </row>
    <row r="401" spans="2:10" ht="13.8">
      <c r="B401" s="988">
        <v>21641</v>
      </c>
      <c r="C401" s="987" t="s">
        <v>4628</v>
      </c>
      <c r="F401" s="992">
        <v>-2.7999999999999995E-3</v>
      </c>
      <c r="H401" s="992">
        <v>3.7999999999999996E-3</v>
      </c>
      <c r="I401" s="986">
        <f t="shared" si="5"/>
        <v>-6.5999999999999991E-3</v>
      </c>
      <c r="J401" s="988">
        <v>21641</v>
      </c>
    </row>
    <row r="402" spans="2:10" ht="13.8">
      <c r="B402" s="988">
        <v>21671</v>
      </c>
      <c r="C402" s="987" t="s">
        <v>4628</v>
      </c>
      <c r="F402" s="992">
        <v>-1.2E-2</v>
      </c>
      <c r="H402" s="992">
        <v>3.9749999999999994E-3</v>
      </c>
      <c r="I402" s="986">
        <f t="shared" si="5"/>
        <v>-1.5975E-2</v>
      </c>
      <c r="J402" s="988">
        <v>21671</v>
      </c>
    </row>
    <row r="403" spans="2:10" ht="13.8">
      <c r="B403" s="988">
        <v>21702</v>
      </c>
      <c r="C403" s="987" t="s">
        <v>4628</v>
      </c>
      <c r="F403" s="992">
        <v>-8.7999999999999988E-3</v>
      </c>
      <c r="H403" s="992">
        <v>4.0500000000000006E-3</v>
      </c>
      <c r="I403" s="986">
        <f t="shared" si="5"/>
        <v>-1.285E-2</v>
      </c>
      <c r="J403" s="988">
        <v>21702</v>
      </c>
    </row>
    <row r="404" spans="2:10" ht="13.8">
      <c r="B404" s="988">
        <v>21732</v>
      </c>
      <c r="C404" s="987" t="s">
        <v>4628</v>
      </c>
      <c r="F404" s="992">
        <v>3.7100000000000001E-2</v>
      </c>
      <c r="H404" s="992">
        <v>4.0666666666666663E-3</v>
      </c>
      <c r="I404" s="986">
        <f t="shared" si="5"/>
        <v>3.3033333333333331E-2</v>
      </c>
      <c r="J404" s="988">
        <v>21732</v>
      </c>
    </row>
    <row r="405" spans="2:10" ht="13.8">
      <c r="B405" s="988">
        <v>21763</v>
      </c>
      <c r="C405" s="987" t="s">
        <v>4628</v>
      </c>
      <c r="F405" s="992">
        <v>1.7500000000000002E-2</v>
      </c>
      <c r="H405" s="992">
        <v>4.0749999999999996E-3</v>
      </c>
      <c r="I405" s="986">
        <f t="shared" si="5"/>
        <v>1.3425000000000003E-2</v>
      </c>
      <c r="J405" s="988">
        <v>21763</v>
      </c>
    </row>
    <row r="406" spans="2:10" ht="13.8">
      <c r="B406" s="988">
        <v>21794</v>
      </c>
      <c r="C406" s="987" t="s">
        <v>4628</v>
      </c>
      <c r="F406" s="992">
        <v>-3.9300000000000002E-2</v>
      </c>
      <c r="H406" s="992">
        <v>4.1916666666666665E-3</v>
      </c>
      <c r="I406" s="986">
        <f t="shared" si="5"/>
        <v>-4.3491666666666665E-2</v>
      </c>
      <c r="J406" s="988">
        <v>21794</v>
      </c>
    </row>
    <row r="407" spans="2:10" ht="13.8">
      <c r="B407" s="988">
        <v>21824</v>
      </c>
      <c r="C407" s="987" t="s">
        <v>4628</v>
      </c>
      <c r="F407" s="992">
        <v>1.5699999999999999E-2</v>
      </c>
      <c r="H407" s="992">
        <v>4.1333333333333335E-3</v>
      </c>
      <c r="I407" s="986">
        <f t="shared" si="5"/>
        <v>1.1566666666666666E-2</v>
      </c>
      <c r="J407" s="988">
        <v>21824</v>
      </c>
    </row>
    <row r="408" spans="2:10" ht="13.8">
      <c r="B408" s="988">
        <v>21855</v>
      </c>
      <c r="C408" s="987" t="s">
        <v>4628</v>
      </c>
      <c r="F408" s="992">
        <v>9.9999999999999829E-5</v>
      </c>
      <c r="H408" s="992">
        <v>4.0833333333333338E-3</v>
      </c>
      <c r="I408" s="986">
        <f t="shared" si="5"/>
        <v>-3.9833333333333335E-3</v>
      </c>
      <c r="J408" s="988">
        <v>21855</v>
      </c>
    </row>
    <row r="409" spans="2:10" ht="13.8">
      <c r="B409" s="988">
        <v>21885</v>
      </c>
      <c r="C409" s="987" t="s">
        <v>4628</v>
      </c>
      <c r="F409" s="992">
        <v>2.3E-2</v>
      </c>
      <c r="H409" s="992">
        <v>4.1333333333333335E-3</v>
      </c>
      <c r="I409" s="986">
        <f t="shared" si="5"/>
        <v>1.8866666666666667E-2</v>
      </c>
      <c r="J409" s="988">
        <v>21885</v>
      </c>
    </row>
    <row r="410" spans="2:10" ht="13.8">
      <c r="B410" s="988">
        <v>21916</v>
      </c>
      <c r="C410" s="987" t="s">
        <v>4628</v>
      </c>
      <c r="F410" s="992">
        <v>-1.0800000000000001E-2</v>
      </c>
      <c r="H410" s="992">
        <v>4.1833333333333332E-3</v>
      </c>
      <c r="I410" s="986">
        <f t="shared" ref="I410:I473" si="6">F410-H410</f>
        <v>-1.4983333333333335E-2</v>
      </c>
      <c r="J410" s="988">
        <v>21916</v>
      </c>
    </row>
    <row r="411" spans="2:10" ht="13.8">
      <c r="B411" s="988">
        <v>21947</v>
      </c>
      <c r="C411" s="987" t="s">
        <v>4628</v>
      </c>
      <c r="F411" s="992">
        <v>1.8099999999999998E-2</v>
      </c>
      <c r="H411" s="992">
        <v>4.1666666666666666E-3</v>
      </c>
      <c r="I411" s="986">
        <f t="shared" si="6"/>
        <v>1.3933333333333332E-2</v>
      </c>
      <c r="J411" s="988">
        <v>21947</v>
      </c>
    </row>
    <row r="412" spans="2:10" ht="13.8">
      <c r="B412" s="988">
        <v>21976</v>
      </c>
      <c r="C412" s="987" t="s">
        <v>4628</v>
      </c>
      <c r="F412" s="992">
        <v>1.41E-2</v>
      </c>
      <c r="H412" s="992">
        <v>4.0916666666666671E-3</v>
      </c>
      <c r="I412" s="986">
        <f t="shared" si="6"/>
        <v>1.0008333333333333E-2</v>
      </c>
      <c r="J412" s="988">
        <v>21976</v>
      </c>
    </row>
    <row r="413" spans="2:10" ht="13.8">
      <c r="B413" s="988">
        <v>22007</v>
      </c>
      <c r="C413" s="987" t="s">
        <v>4628</v>
      </c>
      <c r="F413" s="992">
        <v>7.4999999999999997E-3</v>
      </c>
      <c r="H413" s="992">
        <v>3.9916666666666668E-3</v>
      </c>
      <c r="I413" s="986">
        <f t="shared" si="6"/>
        <v>3.5083333333333329E-3</v>
      </c>
      <c r="J413" s="988">
        <v>22007</v>
      </c>
    </row>
    <row r="414" spans="2:10" ht="13.8">
      <c r="B414" s="988">
        <v>22037</v>
      </c>
      <c r="C414" s="987" t="s">
        <v>4628</v>
      </c>
      <c r="F414" s="992">
        <v>2.3300000000000001E-2</v>
      </c>
      <c r="H414" s="992">
        <v>4.0500000000000006E-3</v>
      </c>
      <c r="I414" s="986">
        <f t="shared" si="6"/>
        <v>1.925E-2</v>
      </c>
      <c r="J414" s="988">
        <v>22037</v>
      </c>
    </row>
    <row r="415" spans="2:10" ht="13.8">
      <c r="B415" s="988">
        <v>22068</v>
      </c>
      <c r="C415" s="987" t="s">
        <v>4628</v>
      </c>
      <c r="F415" s="992">
        <v>4.0799999999999989E-2</v>
      </c>
      <c r="H415" s="992">
        <v>4.0333333333333332E-3</v>
      </c>
      <c r="I415" s="986">
        <f t="shared" si="6"/>
        <v>3.6766666666666656E-2</v>
      </c>
      <c r="J415" s="988">
        <v>22068</v>
      </c>
    </row>
    <row r="416" spans="2:10" ht="13.8">
      <c r="B416" s="988">
        <v>22098</v>
      </c>
      <c r="C416" s="987" t="s">
        <v>4628</v>
      </c>
      <c r="F416" s="992">
        <v>-0.01</v>
      </c>
      <c r="H416" s="992">
        <v>3.9916666666666668E-3</v>
      </c>
      <c r="I416" s="986">
        <f t="shared" si="6"/>
        <v>-1.3991666666666666E-2</v>
      </c>
      <c r="J416" s="988">
        <v>22098</v>
      </c>
    </row>
    <row r="417" spans="2:10" ht="13.8">
      <c r="B417" s="988">
        <v>22129</v>
      </c>
      <c r="C417" s="987" t="s">
        <v>4628</v>
      </c>
      <c r="F417" s="992">
        <v>5.0200000000000002E-2</v>
      </c>
      <c r="H417" s="992">
        <v>3.8666666666666667E-3</v>
      </c>
      <c r="I417" s="986">
        <f t="shared" si="6"/>
        <v>4.6333333333333337E-2</v>
      </c>
      <c r="J417" s="988">
        <v>22129</v>
      </c>
    </row>
    <row r="418" spans="2:10" ht="13.8">
      <c r="B418" s="988">
        <v>22160</v>
      </c>
      <c r="C418" s="987" t="s">
        <v>4628</v>
      </c>
      <c r="F418" s="992">
        <v>-5.1400000000000008E-2</v>
      </c>
      <c r="H418" s="992">
        <v>3.8083333333333337E-3</v>
      </c>
      <c r="I418" s="986">
        <f t="shared" si="6"/>
        <v>-5.5208333333333345E-2</v>
      </c>
      <c r="J418" s="988">
        <v>22160</v>
      </c>
    </row>
    <row r="419" spans="2:10" ht="13.8">
      <c r="B419" s="988">
        <v>22190</v>
      </c>
      <c r="C419" s="987" t="s">
        <v>4628</v>
      </c>
      <c r="F419" s="992">
        <v>-1.1999999999999997E-3</v>
      </c>
      <c r="H419" s="992">
        <v>3.8416666666666673E-3</v>
      </c>
      <c r="I419" s="986">
        <f t="shared" si="6"/>
        <v>-5.0416666666666665E-3</v>
      </c>
      <c r="J419" s="988">
        <v>22190</v>
      </c>
    </row>
    <row r="420" spans="2:10" ht="13.8">
      <c r="B420" s="988">
        <v>22221</v>
      </c>
      <c r="C420" s="987" t="s">
        <v>4628</v>
      </c>
      <c r="F420" s="992">
        <v>3.8599999999999995E-2</v>
      </c>
      <c r="H420" s="992">
        <v>3.8508333333333337E-3</v>
      </c>
      <c r="I420" s="986">
        <f t="shared" si="6"/>
        <v>3.4749166666666664E-2</v>
      </c>
      <c r="J420" s="988">
        <v>22221</v>
      </c>
    </row>
    <row r="421" spans="2:10" ht="13.8">
      <c r="B421" s="988">
        <v>22251</v>
      </c>
      <c r="C421" s="987" t="s">
        <v>4628</v>
      </c>
      <c r="F421" s="992">
        <v>7.2399999999999992E-2</v>
      </c>
      <c r="H421" s="992">
        <v>3.875E-3</v>
      </c>
      <c r="I421" s="986">
        <f t="shared" si="6"/>
        <v>6.8524999999999989E-2</v>
      </c>
      <c r="J421" s="988">
        <v>22251</v>
      </c>
    </row>
    <row r="422" spans="2:10" ht="13.8">
      <c r="B422" s="988">
        <v>22282</v>
      </c>
      <c r="C422" s="987" t="s">
        <v>4628</v>
      </c>
      <c r="F422" s="992">
        <v>6.1900000000000004E-2</v>
      </c>
      <c r="H422" s="992">
        <v>3.8666666666666667E-3</v>
      </c>
      <c r="I422" s="986">
        <f t="shared" si="6"/>
        <v>5.803333333333334E-2</v>
      </c>
      <c r="J422" s="988">
        <v>22282</v>
      </c>
    </row>
    <row r="423" spans="2:10" ht="13.8">
      <c r="B423" s="988">
        <v>22313</v>
      </c>
      <c r="C423" s="987" t="s">
        <v>4628</v>
      </c>
      <c r="F423" s="992">
        <v>3.5700000000000003E-2</v>
      </c>
      <c r="H423" s="992">
        <v>3.8250000000000003E-3</v>
      </c>
      <c r="I423" s="986">
        <f t="shared" si="6"/>
        <v>3.1875000000000001E-2</v>
      </c>
      <c r="J423" s="988">
        <v>22313</v>
      </c>
    </row>
    <row r="424" spans="2:10" ht="13.8">
      <c r="B424" s="988">
        <v>22341</v>
      </c>
      <c r="C424" s="987" t="s">
        <v>4628</v>
      </c>
      <c r="F424" s="992">
        <v>3.1899999999999998E-2</v>
      </c>
      <c r="H424" s="992">
        <v>3.7333333333333333E-3</v>
      </c>
      <c r="I424" s="986">
        <f t="shared" si="6"/>
        <v>2.8166666666666666E-2</v>
      </c>
      <c r="J424" s="988">
        <v>22341</v>
      </c>
    </row>
    <row r="425" spans="2:10" ht="13.8">
      <c r="B425" s="988">
        <v>22372</v>
      </c>
      <c r="C425" s="987" t="s">
        <v>4628</v>
      </c>
      <c r="F425" s="992">
        <v>1.09E-2</v>
      </c>
      <c r="H425" s="992">
        <v>3.7333333333333333E-3</v>
      </c>
      <c r="I425" s="986">
        <f t="shared" si="6"/>
        <v>7.1666666666666667E-3</v>
      </c>
      <c r="J425" s="988">
        <v>22372</v>
      </c>
    </row>
    <row r="426" spans="2:10" ht="13.8">
      <c r="B426" s="988">
        <v>22402</v>
      </c>
      <c r="C426" s="987" t="s">
        <v>4628</v>
      </c>
      <c r="F426" s="992">
        <v>1.3299999999999999E-2</v>
      </c>
      <c r="H426" s="992">
        <v>3.7666666666666664E-3</v>
      </c>
      <c r="I426" s="986">
        <f t="shared" si="6"/>
        <v>9.5333333333333329E-3</v>
      </c>
      <c r="J426" s="988">
        <v>22402</v>
      </c>
    </row>
    <row r="427" spans="2:10" ht="13.8">
      <c r="B427" s="988">
        <v>22433</v>
      </c>
      <c r="C427" s="987" t="s">
        <v>4628</v>
      </c>
      <c r="F427" s="992">
        <v>-2.2699999999999994E-2</v>
      </c>
      <c r="H427" s="992">
        <v>3.8083333333333337E-3</v>
      </c>
      <c r="I427" s="986">
        <f t="shared" si="6"/>
        <v>-2.6508333333333328E-2</v>
      </c>
      <c r="J427" s="988">
        <v>22433</v>
      </c>
    </row>
    <row r="428" spans="2:10" ht="13.8">
      <c r="B428" s="988">
        <v>22463</v>
      </c>
      <c r="C428" s="987" t="s">
        <v>4628</v>
      </c>
      <c r="F428" s="992">
        <v>4.24E-2</v>
      </c>
      <c r="H428" s="992">
        <v>3.875E-3</v>
      </c>
      <c r="I428" s="986">
        <f t="shared" si="6"/>
        <v>3.8525000000000004E-2</v>
      </c>
      <c r="J428" s="988">
        <v>22463</v>
      </c>
    </row>
    <row r="429" spans="2:10" ht="13.8">
      <c r="B429" s="988">
        <v>22494</v>
      </c>
      <c r="C429" s="987" t="s">
        <v>4628</v>
      </c>
      <c r="F429" s="992">
        <v>4.5400000000000003E-2</v>
      </c>
      <c r="H429" s="992">
        <v>3.9416666666666671E-3</v>
      </c>
      <c r="I429" s="986">
        <f t="shared" si="6"/>
        <v>4.1458333333333333E-2</v>
      </c>
      <c r="J429" s="988">
        <v>22494</v>
      </c>
    </row>
    <row r="430" spans="2:10" ht="13.8">
      <c r="B430" s="988">
        <v>22525</v>
      </c>
      <c r="C430" s="987" t="s">
        <v>4628</v>
      </c>
      <c r="F430" s="992">
        <v>-6.6999999999999994E-3</v>
      </c>
      <c r="H430" s="992">
        <v>3.9416666666666671E-3</v>
      </c>
      <c r="I430" s="986">
        <f t="shared" si="6"/>
        <v>-1.0641666666666667E-2</v>
      </c>
      <c r="J430" s="988">
        <v>22525</v>
      </c>
    </row>
    <row r="431" spans="2:10" ht="13.8">
      <c r="B431" s="988">
        <v>22555</v>
      </c>
      <c r="C431" s="987" t="s">
        <v>4628</v>
      </c>
      <c r="F431" s="992">
        <v>4.8000000000000001E-2</v>
      </c>
      <c r="H431" s="992">
        <v>3.9250000000000005E-3</v>
      </c>
      <c r="I431" s="986">
        <f t="shared" si="6"/>
        <v>4.4075000000000003E-2</v>
      </c>
      <c r="J431" s="988">
        <v>22555</v>
      </c>
    </row>
    <row r="432" spans="2:10" ht="13.8">
      <c r="B432" s="988">
        <v>22586</v>
      </c>
      <c r="C432" s="987" t="s">
        <v>4628</v>
      </c>
      <c r="F432" s="992">
        <v>3.3500000000000002E-2</v>
      </c>
      <c r="H432" s="992">
        <v>3.8999999999999994E-3</v>
      </c>
      <c r="I432" s="986">
        <f t="shared" si="6"/>
        <v>2.9600000000000001E-2</v>
      </c>
      <c r="J432" s="988">
        <v>22586</v>
      </c>
    </row>
    <row r="433" spans="2:10" ht="13.8">
      <c r="B433" s="988">
        <v>22616</v>
      </c>
      <c r="C433" s="987" t="s">
        <v>4628</v>
      </c>
      <c r="F433" s="992">
        <v>-2.92E-2</v>
      </c>
      <c r="H433" s="992">
        <v>3.875E-3</v>
      </c>
      <c r="I433" s="986">
        <f t="shared" si="6"/>
        <v>-3.3075E-2</v>
      </c>
      <c r="J433" s="988">
        <v>22616</v>
      </c>
    </row>
    <row r="434" spans="2:10" ht="13.8">
      <c r="B434" s="988">
        <v>22647</v>
      </c>
      <c r="C434" s="987" t="s">
        <v>4628</v>
      </c>
      <c r="F434" s="992">
        <v>-3.6600000000000001E-2</v>
      </c>
      <c r="H434" s="992">
        <v>3.875E-3</v>
      </c>
      <c r="I434" s="986">
        <f t="shared" si="6"/>
        <v>-4.0474999999999997E-2</v>
      </c>
      <c r="J434" s="988">
        <v>22647</v>
      </c>
    </row>
    <row r="435" spans="2:10" ht="13.8">
      <c r="B435" s="988">
        <v>22678</v>
      </c>
      <c r="C435" s="987" t="s">
        <v>4628</v>
      </c>
      <c r="F435" s="992">
        <v>3.0000000000000006E-2</v>
      </c>
      <c r="H435" s="992">
        <v>3.8833333333333337E-3</v>
      </c>
      <c r="I435" s="986">
        <f t="shared" si="6"/>
        <v>2.6116666666666673E-2</v>
      </c>
      <c r="J435" s="988">
        <v>22678</v>
      </c>
    </row>
    <row r="436" spans="2:10" ht="13.8">
      <c r="B436" s="988">
        <v>22706</v>
      </c>
      <c r="C436" s="987" t="s">
        <v>4628</v>
      </c>
      <c r="F436" s="992">
        <v>8.0999999999999996E-3</v>
      </c>
      <c r="H436" s="992">
        <v>3.8666666666666667E-3</v>
      </c>
      <c r="I436" s="986">
        <f t="shared" si="6"/>
        <v>4.2333333333333329E-3</v>
      </c>
      <c r="J436" s="988">
        <v>22706</v>
      </c>
    </row>
    <row r="437" spans="2:10" ht="13.8">
      <c r="B437" s="988">
        <v>22737</v>
      </c>
      <c r="C437" s="987" t="s">
        <v>4628</v>
      </c>
      <c r="F437" s="992">
        <v>-3.5300000000000005E-2</v>
      </c>
      <c r="H437" s="992">
        <v>3.8250000000000003E-3</v>
      </c>
      <c r="I437" s="986">
        <f t="shared" si="6"/>
        <v>-3.9125000000000007E-2</v>
      </c>
      <c r="J437" s="988">
        <v>22737</v>
      </c>
    </row>
    <row r="438" spans="2:10" ht="13.8">
      <c r="B438" s="988">
        <v>22767</v>
      </c>
      <c r="C438" s="987" t="s">
        <v>4628</v>
      </c>
      <c r="F438" s="992">
        <v>-9.1200000000000003E-2</v>
      </c>
      <c r="H438" s="992">
        <v>3.7583333333333331E-3</v>
      </c>
      <c r="I438" s="986">
        <f t="shared" si="6"/>
        <v>-9.4958333333333339E-2</v>
      </c>
      <c r="J438" s="988">
        <v>22767</v>
      </c>
    </row>
    <row r="439" spans="2:10" ht="13.8">
      <c r="B439" s="988">
        <v>22798</v>
      </c>
      <c r="C439" s="987" t="s">
        <v>4628</v>
      </c>
      <c r="F439" s="992">
        <v>-5.4799999999999995E-2</v>
      </c>
      <c r="H439" s="992">
        <v>3.7333333333333333E-3</v>
      </c>
      <c r="I439" s="986">
        <f t="shared" si="6"/>
        <v>-5.8533333333333326E-2</v>
      </c>
      <c r="J439" s="988">
        <v>22798</v>
      </c>
    </row>
    <row r="440" spans="2:10" ht="13.8">
      <c r="B440" s="988">
        <v>22828</v>
      </c>
      <c r="C440" s="987" t="s">
        <v>4628</v>
      </c>
      <c r="F440" s="992">
        <v>6.8899999999999989E-2</v>
      </c>
      <c r="H440" s="992">
        <v>3.7499999999999999E-3</v>
      </c>
      <c r="I440" s="986">
        <f t="shared" si="6"/>
        <v>6.5149999999999986E-2</v>
      </c>
      <c r="J440" s="988">
        <v>22828</v>
      </c>
    </row>
    <row r="441" spans="2:10" ht="13.8">
      <c r="B441" s="988">
        <v>22859</v>
      </c>
      <c r="C441" s="987" t="s">
        <v>4628</v>
      </c>
      <c r="F441" s="992">
        <v>2.7099999999999999E-2</v>
      </c>
      <c r="H441" s="992">
        <v>3.7750000000000001E-3</v>
      </c>
      <c r="I441" s="986">
        <f t="shared" si="6"/>
        <v>2.3324999999999999E-2</v>
      </c>
      <c r="J441" s="988">
        <v>22859</v>
      </c>
    </row>
    <row r="442" spans="2:10" ht="13.8">
      <c r="B442" s="988">
        <v>22890</v>
      </c>
      <c r="C442" s="987" t="s">
        <v>4628</v>
      </c>
      <c r="F442" s="992">
        <v>-3.3399999999999999E-2</v>
      </c>
      <c r="H442" s="992">
        <v>3.7583333333333331E-3</v>
      </c>
      <c r="I442" s="986">
        <f t="shared" si="6"/>
        <v>-3.7158333333333335E-2</v>
      </c>
      <c r="J442" s="988">
        <v>22890</v>
      </c>
    </row>
    <row r="443" spans="2:10" ht="13.8">
      <c r="B443" s="988">
        <v>22920</v>
      </c>
      <c r="C443" s="987" t="s">
        <v>4628</v>
      </c>
      <c r="F443" s="992">
        <v>-1.3999999999999998E-3</v>
      </c>
      <c r="H443" s="992">
        <v>3.741666666666667E-3</v>
      </c>
      <c r="I443" s="986">
        <f t="shared" si="6"/>
        <v>-5.1416666666666668E-3</v>
      </c>
      <c r="J443" s="988">
        <v>22920</v>
      </c>
    </row>
    <row r="444" spans="2:10" ht="13.8">
      <c r="B444" s="988">
        <v>22951</v>
      </c>
      <c r="C444" s="987" t="s">
        <v>4628</v>
      </c>
      <c r="F444" s="992">
        <v>7.6800000000000007E-2</v>
      </c>
      <c r="H444" s="992">
        <v>3.7083333333333334E-3</v>
      </c>
      <c r="I444" s="986">
        <f t="shared" si="6"/>
        <v>7.309166666666668E-2</v>
      </c>
      <c r="J444" s="988">
        <v>22951</v>
      </c>
    </row>
    <row r="445" spans="2:10" ht="13.8">
      <c r="B445" s="988">
        <v>22981</v>
      </c>
      <c r="C445" s="987" t="s">
        <v>4628</v>
      </c>
      <c r="F445" s="992">
        <v>3.1199999999999995E-2</v>
      </c>
      <c r="H445" s="992">
        <v>3.7000000000000006E-3</v>
      </c>
      <c r="I445" s="986">
        <f t="shared" si="6"/>
        <v>2.7499999999999993E-2</v>
      </c>
      <c r="J445" s="988">
        <v>22981</v>
      </c>
    </row>
    <row r="446" spans="2:10" ht="13.8">
      <c r="B446" s="988">
        <v>23012</v>
      </c>
      <c r="C446" s="987" t="s">
        <v>4628</v>
      </c>
      <c r="F446" s="992">
        <v>5.5800000000000002E-2</v>
      </c>
      <c r="H446" s="992">
        <v>3.6583333333333329E-3</v>
      </c>
      <c r="I446" s="986">
        <f t="shared" si="6"/>
        <v>5.2141666666666669E-2</v>
      </c>
      <c r="J446" s="988">
        <v>23012</v>
      </c>
    </row>
    <row r="447" spans="2:10" ht="13.8">
      <c r="B447" s="988">
        <v>23043</v>
      </c>
      <c r="C447" s="987" t="s">
        <v>4628</v>
      </c>
      <c r="F447" s="992">
        <v>-2.06E-2</v>
      </c>
      <c r="H447" s="992">
        <v>3.6416666666666667E-3</v>
      </c>
      <c r="I447" s="986">
        <f t="shared" si="6"/>
        <v>-2.4241666666666668E-2</v>
      </c>
      <c r="J447" s="988">
        <v>23043</v>
      </c>
    </row>
    <row r="448" spans="2:10" ht="13.8">
      <c r="B448" s="988">
        <v>23071</v>
      </c>
      <c r="C448" s="987" t="s">
        <v>4628</v>
      </c>
      <c r="F448" s="992">
        <v>1.8600000000000002E-2</v>
      </c>
      <c r="H448" s="992">
        <v>3.6416666666666667E-3</v>
      </c>
      <c r="I448" s="986">
        <f t="shared" si="6"/>
        <v>1.4958333333333336E-2</v>
      </c>
      <c r="J448" s="988">
        <v>23071</v>
      </c>
    </row>
    <row r="449" spans="2:10" ht="13.8">
      <c r="B449" s="988">
        <v>23102</v>
      </c>
      <c r="C449" s="987" t="s">
        <v>4628</v>
      </c>
      <c r="F449" s="992">
        <v>2.3200000000000002E-2</v>
      </c>
      <c r="H449" s="992">
        <v>3.6416666666666667E-3</v>
      </c>
      <c r="I449" s="986">
        <f t="shared" si="6"/>
        <v>1.9558333333333334E-2</v>
      </c>
      <c r="J449" s="988">
        <v>23102</v>
      </c>
    </row>
    <row r="450" spans="2:10" ht="13.8">
      <c r="B450" s="988">
        <v>23132</v>
      </c>
      <c r="C450" s="987" t="s">
        <v>4628</v>
      </c>
      <c r="F450" s="992">
        <v>7.000000000000001E-3</v>
      </c>
      <c r="H450" s="992">
        <v>3.6416666666666667E-3</v>
      </c>
      <c r="I450" s="986">
        <f t="shared" si="6"/>
        <v>3.3583333333333343E-3</v>
      </c>
      <c r="J450" s="988">
        <v>23132</v>
      </c>
    </row>
    <row r="451" spans="2:10" ht="13.8">
      <c r="B451" s="988">
        <v>23163</v>
      </c>
      <c r="C451" s="987" t="s">
        <v>4628</v>
      </c>
      <c r="F451" s="992">
        <v>-1.2299999999999998E-2</v>
      </c>
      <c r="H451" s="992">
        <v>3.6416666666666667E-3</v>
      </c>
      <c r="I451" s="986">
        <f t="shared" si="6"/>
        <v>-1.5941666666666666E-2</v>
      </c>
      <c r="J451" s="988">
        <v>23163</v>
      </c>
    </row>
    <row r="452" spans="2:10" ht="13.8">
      <c r="B452" s="988">
        <v>23193</v>
      </c>
      <c r="C452" s="987" t="s">
        <v>4628</v>
      </c>
      <c r="F452" s="992">
        <v>1.23E-2</v>
      </c>
      <c r="H452" s="992">
        <v>3.6583333333333329E-3</v>
      </c>
      <c r="I452" s="986">
        <f t="shared" si="6"/>
        <v>8.6416666666666673E-3</v>
      </c>
      <c r="J452" s="988">
        <v>23193</v>
      </c>
    </row>
    <row r="453" spans="2:10" ht="13.8">
      <c r="B453" s="988">
        <v>23224</v>
      </c>
      <c r="C453" s="987" t="s">
        <v>4628</v>
      </c>
      <c r="F453" s="992">
        <v>4.2500000000000003E-2</v>
      </c>
      <c r="H453" s="992">
        <v>3.65E-3</v>
      </c>
      <c r="I453" s="986">
        <f t="shared" si="6"/>
        <v>3.8850000000000003E-2</v>
      </c>
      <c r="J453" s="988">
        <v>23224</v>
      </c>
    </row>
    <row r="454" spans="2:10" ht="13.8">
      <c r="B454" s="988">
        <v>23255</v>
      </c>
      <c r="C454" s="987" t="s">
        <v>4628</v>
      </c>
      <c r="F454" s="992">
        <v>-2.58E-2</v>
      </c>
      <c r="H454" s="992">
        <v>3.666666666666667E-3</v>
      </c>
      <c r="I454" s="986">
        <f t="shared" si="6"/>
        <v>-2.9466666666666669E-2</v>
      </c>
      <c r="J454" s="988">
        <v>23255</v>
      </c>
    </row>
    <row r="455" spans="2:10" ht="13.8">
      <c r="B455" s="988">
        <v>23285</v>
      </c>
      <c r="C455" s="987" t="s">
        <v>4628</v>
      </c>
      <c r="F455" s="992">
        <v>-3.3E-3</v>
      </c>
      <c r="H455" s="992">
        <v>3.6749999999999999E-3</v>
      </c>
      <c r="I455" s="986">
        <f t="shared" si="6"/>
        <v>-6.9750000000000003E-3</v>
      </c>
      <c r="J455" s="988">
        <v>23285</v>
      </c>
    </row>
    <row r="456" spans="2:10" ht="13.8">
      <c r="B456" s="988">
        <v>23316</v>
      </c>
      <c r="C456" s="987" t="s">
        <v>4628</v>
      </c>
      <c r="F456" s="992">
        <v>-8.199999999999999E-3</v>
      </c>
      <c r="H456" s="992">
        <v>3.6833333333333336E-3</v>
      </c>
      <c r="I456" s="986">
        <f t="shared" si="6"/>
        <v>-1.1883333333333333E-2</v>
      </c>
      <c r="J456" s="988">
        <v>23316</v>
      </c>
    </row>
    <row r="457" spans="2:10" ht="13.8">
      <c r="B457" s="988">
        <v>23346</v>
      </c>
      <c r="C457" s="987" t="s">
        <v>4628</v>
      </c>
      <c r="F457" s="992">
        <v>3.1699999999999999E-2</v>
      </c>
      <c r="H457" s="992">
        <v>3.7166666666666663E-3</v>
      </c>
      <c r="I457" s="986">
        <f t="shared" si="6"/>
        <v>2.7983333333333332E-2</v>
      </c>
      <c r="J457" s="988">
        <v>23346</v>
      </c>
    </row>
    <row r="458" spans="2:10" ht="13.8">
      <c r="B458" s="988">
        <v>23377</v>
      </c>
      <c r="C458" s="987" t="s">
        <v>4628</v>
      </c>
      <c r="F458" s="992">
        <v>1.2699999999999999E-2</v>
      </c>
      <c r="H458" s="992">
        <v>3.741666666666667E-3</v>
      </c>
      <c r="I458" s="986">
        <f t="shared" si="6"/>
        <v>8.958333333333332E-3</v>
      </c>
      <c r="J458" s="988">
        <v>23377</v>
      </c>
    </row>
    <row r="459" spans="2:10" ht="13.8">
      <c r="B459" s="988">
        <v>23408</v>
      </c>
      <c r="C459" s="987" t="s">
        <v>4628</v>
      </c>
      <c r="F459" s="992">
        <v>3.2000000000000002E-3</v>
      </c>
      <c r="H459" s="992">
        <v>3.7499999999999999E-3</v>
      </c>
      <c r="I459" s="986">
        <f t="shared" si="6"/>
        <v>-5.4999999999999971E-4</v>
      </c>
      <c r="J459" s="988">
        <v>23408</v>
      </c>
    </row>
    <row r="460" spans="2:10" ht="13.8">
      <c r="B460" s="988">
        <v>23437</v>
      </c>
      <c r="C460" s="987" t="s">
        <v>4628</v>
      </c>
      <c r="F460" s="992">
        <v>-3.5000000000000005E-3</v>
      </c>
      <c r="H460" s="992">
        <v>3.7583333333333331E-3</v>
      </c>
      <c r="I460" s="986">
        <f t="shared" si="6"/>
        <v>-7.2583333333333337E-3</v>
      </c>
      <c r="J460" s="988">
        <v>23437</v>
      </c>
    </row>
    <row r="461" spans="2:10" ht="13.8">
      <c r="B461" s="988">
        <v>23468</v>
      </c>
      <c r="C461" s="987" t="s">
        <v>4628</v>
      </c>
      <c r="F461" s="992">
        <v>6.6999999999999994E-3</v>
      </c>
      <c r="H461" s="992">
        <v>3.7666666666666664E-3</v>
      </c>
      <c r="I461" s="986">
        <f t="shared" si="6"/>
        <v>2.9333333333333329E-3</v>
      </c>
      <c r="J461" s="988">
        <v>23468</v>
      </c>
    </row>
    <row r="462" spans="2:10" ht="13.8">
      <c r="B462" s="988">
        <v>23498</v>
      </c>
      <c r="C462" s="987" t="s">
        <v>4628</v>
      </c>
      <c r="F462" s="992">
        <v>3.2000000000000002E-3</v>
      </c>
      <c r="H462" s="992">
        <v>3.7750000000000001E-3</v>
      </c>
      <c r="I462" s="986">
        <f t="shared" si="6"/>
        <v>-5.7499999999999999E-4</v>
      </c>
      <c r="J462" s="988">
        <v>23498</v>
      </c>
    </row>
    <row r="463" spans="2:10" ht="13.8">
      <c r="B463" s="988">
        <v>23529</v>
      </c>
      <c r="C463" s="987" t="s">
        <v>4628</v>
      </c>
      <c r="F463" s="992">
        <v>2.3399999999999997E-2</v>
      </c>
      <c r="H463" s="992">
        <v>3.7916666666666667E-3</v>
      </c>
      <c r="I463" s="986">
        <f t="shared" si="6"/>
        <v>1.9608333333333332E-2</v>
      </c>
      <c r="J463" s="988">
        <v>23529</v>
      </c>
    </row>
    <row r="464" spans="2:10" ht="13.8">
      <c r="B464" s="988">
        <v>23559</v>
      </c>
      <c r="C464" s="987" t="s">
        <v>4628</v>
      </c>
      <c r="F464" s="992">
        <v>4.7100000000000003E-2</v>
      </c>
      <c r="H464" s="992">
        <v>3.7833333333333334E-3</v>
      </c>
      <c r="I464" s="986">
        <f t="shared" si="6"/>
        <v>4.331666666666667E-2</v>
      </c>
      <c r="J464" s="988">
        <v>23559</v>
      </c>
    </row>
    <row r="465" spans="2:10" ht="13.8">
      <c r="B465" s="988">
        <v>23590</v>
      </c>
      <c r="C465" s="987" t="s">
        <v>4628</v>
      </c>
      <c r="F465" s="992">
        <v>3.1000000000000003E-3</v>
      </c>
      <c r="H465" s="992">
        <v>3.7833333333333334E-3</v>
      </c>
      <c r="I465" s="986">
        <f t="shared" si="6"/>
        <v>-6.833333333333331E-4</v>
      </c>
      <c r="J465" s="988">
        <v>23590</v>
      </c>
    </row>
    <row r="466" spans="2:10" ht="13.8">
      <c r="B466" s="988">
        <v>23621</v>
      </c>
      <c r="C466" s="987" t="s">
        <v>4628</v>
      </c>
      <c r="F466" s="992">
        <v>1.7000000000000001E-2</v>
      </c>
      <c r="H466" s="992">
        <v>3.7750000000000001E-3</v>
      </c>
      <c r="I466" s="986">
        <f t="shared" si="6"/>
        <v>1.3225000000000001E-2</v>
      </c>
      <c r="J466" s="988">
        <v>23621</v>
      </c>
    </row>
    <row r="467" spans="2:10" ht="13.8">
      <c r="B467" s="988">
        <v>23651</v>
      </c>
      <c r="C467" s="987" t="s">
        <v>4628</v>
      </c>
      <c r="F467" s="992">
        <v>1.6500000000000001E-2</v>
      </c>
      <c r="H467" s="992">
        <v>3.7583333333333331E-3</v>
      </c>
      <c r="I467" s="986">
        <f t="shared" si="6"/>
        <v>1.2741666666666669E-2</v>
      </c>
      <c r="J467" s="988">
        <v>23651</v>
      </c>
    </row>
    <row r="468" spans="2:10" ht="13.8">
      <c r="B468" s="988">
        <v>23682</v>
      </c>
      <c r="C468" s="987" t="s">
        <v>4628</v>
      </c>
      <c r="F468" s="992">
        <v>1.14E-2</v>
      </c>
      <c r="H468" s="992">
        <v>3.7750000000000001E-3</v>
      </c>
      <c r="I468" s="986">
        <f t="shared" si="6"/>
        <v>7.6249999999999998E-3</v>
      </c>
      <c r="J468" s="988">
        <v>23682</v>
      </c>
    </row>
    <row r="469" spans="2:10" ht="13.8">
      <c r="B469" s="988">
        <v>23712</v>
      </c>
      <c r="C469" s="987" t="s">
        <v>4628</v>
      </c>
      <c r="F469" s="992">
        <v>8.6E-3</v>
      </c>
      <c r="H469" s="992">
        <v>3.7833333333333334E-3</v>
      </c>
      <c r="I469" s="986">
        <f t="shared" si="6"/>
        <v>4.816666666666667E-3</v>
      </c>
      <c r="J469" s="988">
        <v>23712</v>
      </c>
    </row>
    <row r="470" spans="2:10" ht="13.8">
      <c r="B470" s="988">
        <v>23743</v>
      </c>
      <c r="C470" s="987" t="s">
        <v>4628</v>
      </c>
      <c r="F470" s="992">
        <v>3.7100000000000001E-2</v>
      </c>
      <c r="H470" s="992">
        <v>3.7750000000000001E-3</v>
      </c>
      <c r="I470" s="986">
        <f t="shared" si="6"/>
        <v>3.3325E-2</v>
      </c>
      <c r="J470" s="988">
        <v>23743</v>
      </c>
    </row>
    <row r="471" spans="2:10" ht="13.8">
      <c r="B471" s="988">
        <v>23774</v>
      </c>
      <c r="C471" s="987" t="s">
        <v>4628</v>
      </c>
      <c r="F471" s="992">
        <v>8.9999999999999998E-4</v>
      </c>
      <c r="H471" s="992">
        <v>3.7583333333333331E-3</v>
      </c>
      <c r="I471" s="986">
        <f t="shared" si="6"/>
        <v>-2.8583333333333334E-3</v>
      </c>
      <c r="J471" s="988">
        <v>23774</v>
      </c>
    </row>
    <row r="472" spans="2:10" ht="13.8">
      <c r="B472" s="988">
        <v>23802</v>
      </c>
      <c r="C472" s="987" t="s">
        <v>4628</v>
      </c>
      <c r="F472" s="992">
        <v>6.9999999999999988E-4</v>
      </c>
      <c r="H472" s="992">
        <v>3.7499999999999999E-3</v>
      </c>
      <c r="I472" s="986">
        <f t="shared" si="6"/>
        <v>-3.0499999999999998E-3</v>
      </c>
      <c r="J472" s="988">
        <v>23802</v>
      </c>
    </row>
    <row r="473" spans="2:10" ht="13.8">
      <c r="B473" s="988">
        <v>23833</v>
      </c>
      <c r="C473" s="987" t="s">
        <v>4628</v>
      </c>
      <c r="F473" s="992">
        <v>1.09E-2</v>
      </c>
      <c r="H473" s="992">
        <v>3.741666666666667E-3</v>
      </c>
      <c r="I473" s="986">
        <f t="shared" si="6"/>
        <v>7.1583333333333325E-3</v>
      </c>
      <c r="J473" s="988">
        <v>23833</v>
      </c>
    </row>
    <row r="474" spans="2:10" ht="13.8">
      <c r="B474" s="988">
        <v>23863</v>
      </c>
      <c r="C474" s="987" t="s">
        <v>4628</v>
      </c>
      <c r="F474" s="992">
        <v>-8.3999999999999995E-3</v>
      </c>
      <c r="H474" s="992">
        <v>3.7499999999999999E-3</v>
      </c>
      <c r="I474" s="986">
        <f t="shared" ref="I474:I537" si="7">F474-H474</f>
        <v>-1.2149999999999999E-2</v>
      </c>
      <c r="J474" s="988">
        <v>23863</v>
      </c>
    </row>
    <row r="475" spans="2:10" ht="13.8">
      <c r="B475" s="988">
        <v>23894</v>
      </c>
      <c r="C475" s="987" t="s">
        <v>4628</v>
      </c>
      <c r="F475" s="992">
        <v>-3.4000000000000002E-2</v>
      </c>
      <c r="H475" s="992">
        <v>3.7666666666666664E-3</v>
      </c>
      <c r="I475" s="986">
        <f t="shared" si="7"/>
        <v>-3.7766666666666671E-2</v>
      </c>
      <c r="J475" s="988">
        <v>23894</v>
      </c>
    </row>
    <row r="476" spans="2:10" ht="13.8">
      <c r="B476" s="988">
        <v>23924</v>
      </c>
      <c r="C476" s="987" t="s">
        <v>4628</v>
      </c>
      <c r="F476" s="992">
        <v>1.0500000000000001E-2</v>
      </c>
      <c r="H476" s="992">
        <v>3.7833333333333334E-3</v>
      </c>
      <c r="I476" s="986">
        <f t="shared" si="7"/>
        <v>6.7166666666666677E-3</v>
      </c>
      <c r="J476" s="988">
        <v>23924</v>
      </c>
    </row>
    <row r="477" spans="2:10" ht="13.8">
      <c r="B477" s="988">
        <v>23955</v>
      </c>
      <c r="C477" s="987" t="s">
        <v>4628</v>
      </c>
      <c r="F477" s="992">
        <v>9.7000000000000003E-3</v>
      </c>
      <c r="H477" s="992">
        <v>3.8166666666666666E-3</v>
      </c>
      <c r="I477" s="986">
        <f t="shared" si="7"/>
        <v>5.8833333333333342E-3</v>
      </c>
      <c r="J477" s="988">
        <v>23955</v>
      </c>
    </row>
    <row r="478" spans="2:10" ht="13.8">
      <c r="B478" s="988">
        <v>23986</v>
      </c>
      <c r="C478" s="987" t="s">
        <v>4628</v>
      </c>
      <c r="F478" s="992">
        <v>1.9400000000000001E-2</v>
      </c>
      <c r="H478" s="992">
        <v>3.858333333333333E-3</v>
      </c>
      <c r="I478" s="986">
        <f t="shared" si="7"/>
        <v>1.5541666666666667E-2</v>
      </c>
      <c r="J478" s="988">
        <v>23986</v>
      </c>
    </row>
    <row r="479" spans="2:10" ht="13.8">
      <c r="B479" s="988">
        <v>24016</v>
      </c>
      <c r="C479" s="987" t="s">
        <v>4628</v>
      </c>
      <c r="F479" s="992">
        <v>1.2900000000000002E-2</v>
      </c>
      <c r="H479" s="992">
        <v>3.8833333333333337E-3</v>
      </c>
      <c r="I479" s="986">
        <f t="shared" si="7"/>
        <v>9.0166666666666676E-3</v>
      </c>
      <c r="J479" s="988">
        <v>24016</v>
      </c>
    </row>
    <row r="480" spans="2:10" ht="13.8">
      <c r="B480" s="988">
        <v>24047</v>
      </c>
      <c r="C480" s="987" t="s">
        <v>4628</v>
      </c>
      <c r="F480" s="992">
        <v>-1.1599999999999999E-2</v>
      </c>
      <c r="H480" s="992">
        <v>3.9250000000000005E-3</v>
      </c>
      <c r="I480" s="986">
        <f t="shared" si="7"/>
        <v>-1.5525000000000001E-2</v>
      </c>
      <c r="J480" s="988">
        <v>24047</v>
      </c>
    </row>
    <row r="481" spans="2:10" ht="13.8">
      <c r="B481" s="988">
        <v>24077</v>
      </c>
      <c r="C481" s="987" t="s">
        <v>4628</v>
      </c>
      <c r="F481" s="992">
        <v>-7.9999999999999993E-4</v>
      </c>
      <c r="H481" s="992">
        <v>4.0249999999999999E-3</v>
      </c>
      <c r="I481" s="986">
        <f t="shared" si="7"/>
        <v>-4.8249999999999994E-3</v>
      </c>
      <c r="J481" s="988">
        <v>24077</v>
      </c>
    </row>
    <row r="482" spans="2:10" ht="13.8">
      <c r="B482" s="988">
        <v>24108</v>
      </c>
      <c r="C482" s="987" t="s">
        <v>4628</v>
      </c>
      <c r="F482" s="992">
        <v>-2.9699999999999997E-2</v>
      </c>
      <c r="H482" s="992">
        <v>4.0500000000000006E-3</v>
      </c>
      <c r="I482" s="986">
        <f t="shared" si="7"/>
        <v>-3.3749999999999995E-2</v>
      </c>
      <c r="J482" s="988">
        <v>24108</v>
      </c>
    </row>
    <row r="483" spans="2:10" ht="13.8">
      <c r="B483" s="988">
        <v>24139</v>
      </c>
      <c r="C483" s="987" t="s">
        <v>4628</v>
      </c>
      <c r="F483" s="992">
        <v>-4.1399999999999999E-2</v>
      </c>
      <c r="H483" s="992">
        <v>4.0999999999999995E-3</v>
      </c>
      <c r="I483" s="986">
        <f t="shared" si="7"/>
        <v>-4.5499999999999999E-2</v>
      </c>
      <c r="J483" s="988">
        <v>24139</v>
      </c>
    </row>
    <row r="484" spans="2:10" ht="13.8">
      <c r="B484" s="988">
        <v>24167</v>
      </c>
      <c r="C484" s="987" t="s">
        <v>4628</v>
      </c>
      <c r="F484" s="992">
        <v>-4.5000000000000005E-3</v>
      </c>
      <c r="H484" s="992">
        <v>4.2833333333333326E-3</v>
      </c>
      <c r="I484" s="986">
        <f t="shared" si="7"/>
        <v>-8.783333333333334E-3</v>
      </c>
      <c r="J484" s="988">
        <v>24167</v>
      </c>
    </row>
    <row r="485" spans="2:10" ht="13.8">
      <c r="B485" s="988">
        <v>24198</v>
      </c>
      <c r="C485" s="987" t="s">
        <v>4628</v>
      </c>
      <c r="F485" s="992">
        <v>1.72E-2</v>
      </c>
      <c r="H485" s="992">
        <v>4.3750000000000004E-3</v>
      </c>
      <c r="I485" s="986">
        <f t="shared" si="7"/>
        <v>1.2825E-2</v>
      </c>
      <c r="J485" s="988">
        <v>24198</v>
      </c>
    </row>
    <row r="486" spans="2:10" ht="13.8">
      <c r="B486" s="988">
        <v>24228</v>
      </c>
      <c r="C486" s="987" t="s">
        <v>4628</v>
      </c>
      <c r="F486" s="992">
        <v>-2.9600000000000001E-2</v>
      </c>
      <c r="H486" s="992">
        <v>4.3750000000000004E-3</v>
      </c>
      <c r="I486" s="986">
        <f t="shared" si="7"/>
        <v>-3.3975000000000005E-2</v>
      </c>
      <c r="J486" s="988">
        <v>24228</v>
      </c>
    </row>
    <row r="487" spans="2:10" ht="13.8">
      <c r="B487" s="988">
        <v>24259</v>
      </c>
      <c r="C487" s="987" t="s">
        <v>4628</v>
      </c>
      <c r="F487" s="992">
        <v>-1.8099999999999998E-2</v>
      </c>
      <c r="H487" s="992">
        <v>4.5000000000000005E-3</v>
      </c>
      <c r="I487" s="986">
        <f t="shared" si="7"/>
        <v>-2.2599999999999999E-2</v>
      </c>
      <c r="J487" s="988">
        <v>24259</v>
      </c>
    </row>
    <row r="488" spans="2:10" ht="13.8">
      <c r="B488" s="988">
        <v>24289</v>
      </c>
      <c r="C488" s="987" t="s">
        <v>4628</v>
      </c>
      <c r="F488" s="992">
        <v>9.0000000000000019E-4</v>
      </c>
      <c r="H488" s="992">
        <v>4.5416666666666669E-3</v>
      </c>
      <c r="I488" s="986">
        <f t="shared" si="7"/>
        <v>-3.6416666666666667E-3</v>
      </c>
      <c r="J488" s="988">
        <v>24289</v>
      </c>
    </row>
    <row r="489" spans="2:10" ht="13.8">
      <c r="B489" s="988">
        <v>24320</v>
      </c>
      <c r="C489" s="987" t="s">
        <v>4628</v>
      </c>
      <c r="F489" s="992">
        <v>-8.7499999999999994E-2</v>
      </c>
      <c r="H489" s="992">
        <v>4.6500000000000005E-3</v>
      </c>
      <c r="I489" s="986">
        <f t="shared" si="7"/>
        <v>-9.2149999999999996E-2</v>
      </c>
      <c r="J489" s="988">
        <v>24320</v>
      </c>
    </row>
    <row r="490" spans="2:10" ht="13.8">
      <c r="B490" s="988">
        <v>24351</v>
      </c>
      <c r="C490" s="987" t="s">
        <v>4628</v>
      </c>
      <c r="F490" s="992">
        <v>4.7500000000000001E-2</v>
      </c>
      <c r="H490" s="992">
        <v>4.8416666666666669E-3</v>
      </c>
      <c r="I490" s="986">
        <f t="shared" si="7"/>
        <v>4.2658333333333333E-2</v>
      </c>
      <c r="J490" s="988">
        <v>24351</v>
      </c>
    </row>
    <row r="491" spans="2:10" ht="13.8">
      <c r="B491" s="988">
        <v>24381</v>
      </c>
      <c r="C491" s="987" t="s">
        <v>4628</v>
      </c>
      <c r="F491" s="992">
        <v>9.7000000000000017E-2</v>
      </c>
      <c r="H491" s="992">
        <v>4.783333333333333E-3</v>
      </c>
      <c r="I491" s="986">
        <f t="shared" si="7"/>
        <v>9.2216666666666683E-2</v>
      </c>
      <c r="J491" s="988">
        <v>24381</v>
      </c>
    </row>
    <row r="492" spans="2:10" ht="13.8">
      <c r="B492" s="988">
        <v>24412</v>
      </c>
      <c r="C492" s="987" t="s">
        <v>4628</v>
      </c>
      <c r="F492" s="992">
        <v>-7.6E-3</v>
      </c>
      <c r="H492" s="992">
        <v>4.6916666666666669E-3</v>
      </c>
      <c r="I492" s="986">
        <f t="shared" si="7"/>
        <v>-1.2291666666666666E-2</v>
      </c>
      <c r="J492" s="988">
        <v>24412</v>
      </c>
    </row>
    <row r="493" spans="2:10" ht="13.8">
      <c r="B493" s="988">
        <v>24442</v>
      </c>
      <c r="C493" s="987" t="s">
        <v>4628</v>
      </c>
      <c r="F493" s="992">
        <v>2.2099999999999998E-2</v>
      </c>
      <c r="H493" s="992">
        <v>4.725E-3</v>
      </c>
      <c r="I493" s="986">
        <f t="shared" si="7"/>
        <v>1.7374999999999998E-2</v>
      </c>
      <c r="J493" s="988">
        <v>24442</v>
      </c>
    </row>
    <row r="494" spans="2:10" ht="13.8">
      <c r="B494" s="988">
        <v>24473</v>
      </c>
      <c r="C494" s="987" t="s">
        <v>4628</v>
      </c>
      <c r="F494" s="992">
        <v>2.7100000000000003E-2</v>
      </c>
      <c r="H494" s="992">
        <v>4.5500000000000002E-3</v>
      </c>
      <c r="I494" s="986">
        <f t="shared" si="7"/>
        <v>2.2550000000000001E-2</v>
      </c>
      <c r="J494" s="988">
        <v>24473</v>
      </c>
    </row>
    <row r="495" spans="2:10" ht="13.8">
      <c r="B495" s="988">
        <v>24504</v>
      </c>
      <c r="C495" s="987" t="s">
        <v>4628</v>
      </c>
      <c r="F495" s="992">
        <v>-1.5699999999999999E-2</v>
      </c>
      <c r="H495" s="992">
        <v>4.4000000000000003E-3</v>
      </c>
      <c r="I495" s="986">
        <f t="shared" si="7"/>
        <v>-2.01E-2</v>
      </c>
      <c r="J495" s="988">
        <v>24504</v>
      </c>
    </row>
    <row r="496" spans="2:10" ht="13.8">
      <c r="B496" s="988">
        <v>24532</v>
      </c>
      <c r="C496" s="987" t="s">
        <v>4628</v>
      </c>
      <c r="F496" s="992">
        <v>1.9700000000000002E-2</v>
      </c>
      <c r="H496" s="992">
        <v>4.5333333333333337E-3</v>
      </c>
      <c r="I496" s="986">
        <f t="shared" si="7"/>
        <v>1.5166666666666669E-2</v>
      </c>
      <c r="J496" s="988">
        <v>24532</v>
      </c>
    </row>
    <row r="497" spans="2:10" ht="13.8">
      <c r="B497" s="988">
        <v>24563</v>
      </c>
      <c r="C497" s="987" t="s">
        <v>4628</v>
      </c>
      <c r="F497" s="992">
        <v>2.0199999999999999E-2</v>
      </c>
      <c r="H497" s="992">
        <v>4.5166666666666662E-3</v>
      </c>
      <c r="I497" s="986">
        <f t="shared" si="7"/>
        <v>1.5683333333333334E-2</v>
      </c>
      <c r="J497" s="988">
        <v>24563</v>
      </c>
    </row>
    <row r="498" spans="2:10" ht="13.8">
      <c r="B498" s="988">
        <v>24593</v>
      </c>
      <c r="C498" s="987" t="s">
        <v>4628</v>
      </c>
      <c r="F498" s="992">
        <v>-5.0600000000000006E-2</v>
      </c>
      <c r="H498" s="992">
        <v>4.7166666666666668E-3</v>
      </c>
      <c r="I498" s="986">
        <f t="shared" si="7"/>
        <v>-5.5316666666666674E-2</v>
      </c>
      <c r="J498" s="988">
        <v>24593</v>
      </c>
    </row>
    <row r="499" spans="2:10" ht="13.8">
      <c r="B499" s="988">
        <v>24624</v>
      </c>
      <c r="C499" s="987" t="s">
        <v>4628</v>
      </c>
      <c r="F499" s="992">
        <v>-1.3100000000000001E-2</v>
      </c>
      <c r="H499" s="992">
        <v>4.8666666666666667E-3</v>
      </c>
      <c r="I499" s="986">
        <f t="shared" si="7"/>
        <v>-1.7966666666666666E-2</v>
      </c>
      <c r="J499" s="988">
        <v>24624</v>
      </c>
    </row>
    <row r="500" spans="2:10" ht="13.8">
      <c r="B500" s="988">
        <v>24654</v>
      </c>
      <c r="C500" s="987" t="s">
        <v>4628</v>
      </c>
      <c r="F500" s="992">
        <v>2.0399999999999995E-2</v>
      </c>
      <c r="H500" s="992">
        <v>4.9500000000000004E-3</v>
      </c>
      <c r="I500" s="986">
        <f t="shared" si="7"/>
        <v>1.5449999999999995E-2</v>
      </c>
      <c r="J500" s="988">
        <v>24654</v>
      </c>
    </row>
    <row r="501" spans="2:10" ht="13.8">
      <c r="B501" s="988">
        <v>24685</v>
      </c>
      <c r="C501" s="987" t="s">
        <v>4628</v>
      </c>
      <c r="F501" s="992">
        <v>-6.5000000000000006E-3</v>
      </c>
      <c r="H501" s="992">
        <v>4.9666666666666661E-3</v>
      </c>
      <c r="I501" s="986">
        <f t="shared" si="7"/>
        <v>-1.1466666666666667E-2</v>
      </c>
      <c r="J501" s="988">
        <v>24685</v>
      </c>
    </row>
    <row r="502" spans="2:10" ht="13.8">
      <c r="B502" s="988">
        <v>24716</v>
      </c>
      <c r="C502" s="987" t="s">
        <v>4628</v>
      </c>
      <c r="F502" s="992">
        <v>-3.7000000000000002E-3</v>
      </c>
      <c r="H502" s="992">
        <v>5.0416666666666665E-3</v>
      </c>
      <c r="I502" s="986">
        <f t="shared" si="7"/>
        <v>-8.7416666666666667E-3</v>
      </c>
      <c r="J502" s="988">
        <v>24716</v>
      </c>
    </row>
    <row r="503" spans="2:10" ht="13.8">
      <c r="B503" s="988">
        <v>24746</v>
      </c>
      <c r="C503" s="987" t="s">
        <v>4628</v>
      </c>
      <c r="F503" s="992">
        <v>-5.7200000000000001E-2</v>
      </c>
      <c r="H503" s="992">
        <v>5.1500000000000001E-3</v>
      </c>
      <c r="I503" s="986">
        <f t="shared" si="7"/>
        <v>-6.2350000000000003E-2</v>
      </c>
      <c r="J503" s="988">
        <v>24746</v>
      </c>
    </row>
    <row r="504" spans="2:10" ht="13.8">
      <c r="B504" s="988">
        <v>24777</v>
      </c>
      <c r="C504" s="987" t="s">
        <v>4628</v>
      </c>
      <c r="F504" s="992">
        <v>2.9300000000000003E-2</v>
      </c>
      <c r="H504" s="992">
        <v>5.4000000000000003E-3</v>
      </c>
      <c r="I504" s="986">
        <f t="shared" si="7"/>
        <v>2.3900000000000005E-2</v>
      </c>
      <c r="J504" s="988">
        <v>24777</v>
      </c>
    </row>
    <row r="505" spans="2:10" ht="13.8">
      <c r="B505" s="988">
        <v>24807</v>
      </c>
      <c r="C505" s="987" t="s">
        <v>4628</v>
      </c>
      <c r="F505" s="992">
        <v>2.86E-2</v>
      </c>
      <c r="H505" s="992">
        <v>5.5583333333333327E-3</v>
      </c>
      <c r="I505" s="986">
        <f t="shared" si="7"/>
        <v>2.3041666666666669E-2</v>
      </c>
      <c r="J505" s="988">
        <v>24807</v>
      </c>
    </row>
    <row r="506" spans="2:10" ht="13.8">
      <c r="B506" s="988">
        <v>24838</v>
      </c>
      <c r="C506" s="987" t="s">
        <v>4628</v>
      </c>
      <c r="F506" s="992">
        <v>8.199999999999999E-3</v>
      </c>
      <c r="H506" s="992">
        <v>5.45E-3</v>
      </c>
      <c r="I506" s="986">
        <f t="shared" si="7"/>
        <v>2.749999999999999E-3</v>
      </c>
      <c r="J506" s="988">
        <v>24838</v>
      </c>
    </row>
    <row r="507" spans="2:10" ht="13.8">
      <c r="B507" s="988">
        <v>24869</v>
      </c>
      <c r="C507" s="987" t="s">
        <v>4628</v>
      </c>
      <c r="F507" s="992">
        <v>-2.3300000000000001E-2</v>
      </c>
      <c r="H507" s="992">
        <v>5.3083333333333342E-3</v>
      </c>
      <c r="I507" s="986">
        <f t="shared" si="7"/>
        <v>-2.8608333333333336E-2</v>
      </c>
      <c r="J507" s="988">
        <v>24869</v>
      </c>
    </row>
    <row r="508" spans="2:10" ht="13.8">
      <c r="B508" s="988">
        <v>24898</v>
      </c>
      <c r="C508" s="987" t="s">
        <v>4628</v>
      </c>
      <c r="F508" s="992">
        <v>-3.9900000000000005E-2</v>
      </c>
      <c r="H508" s="992">
        <v>5.3416666666666664E-3</v>
      </c>
      <c r="I508" s="986">
        <f t="shared" si="7"/>
        <v>-4.5241666666666673E-2</v>
      </c>
      <c r="J508" s="988">
        <v>24898</v>
      </c>
    </row>
    <row r="509" spans="2:10" ht="13.8">
      <c r="B509" s="988">
        <v>24929</v>
      </c>
      <c r="C509" s="987" t="s">
        <v>4628</v>
      </c>
      <c r="F509" s="992">
        <v>2.75E-2</v>
      </c>
      <c r="H509" s="992">
        <v>5.4833333333333331E-3</v>
      </c>
      <c r="I509" s="986">
        <f t="shared" si="7"/>
        <v>2.2016666666666667E-2</v>
      </c>
      <c r="J509" s="988">
        <v>24929</v>
      </c>
    </row>
    <row r="510" spans="2:10" ht="13.8">
      <c r="B510" s="988">
        <v>24959</v>
      </c>
      <c r="C510" s="987" t="s">
        <v>4628</v>
      </c>
      <c r="F510" s="992">
        <v>-6.1999999999999998E-3</v>
      </c>
      <c r="H510" s="992">
        <v>5.5166666666666662E-3</v>
      </c>
      <c r="I510" s="986">
        <f t="shared" si="7"/>
        <v>-1.1716666666666667E-2</v>
      </c>
      <c r="J510" s="988">
        <v>24959</v>
      </c>
    </row>
    <row r="511" spans="2:10" ht="13.8">
      <c r="B511" s="988">
        <v>24990</v>
      </c>
      <c r="C511" s="987" t="s">
        <v>4628</v>
      </c>
      <c r="F511" s="992">
        <v>8.0700000000000008E-2</v>
      </c>
      <c r="H511" s="992">
        <v>5.5166666666666662E-3</v>
      </c>
      <c r="I511" s="986">
        <f t="shared" si="7"/>
        <v>7.5183333333333338E-2</v>
      </c>
      <c r="J511" s="988">
        <v>24990</v>
      </c>
    </row>
    <row r="512" spans="2:10" ht="13.8">
      <c r="B512" s="988">
        <v>25020</v>
      </c>
      <c r="C512" s="987" t="s">
        <v>4628</v>
      </c>
      <c r="F512" s="992">
        <v>-6.9999999999999993E-3</v>
      </c>
      <c r="H512" s="992">
        <v>5.4416666666666667E-3</v>
      </c>
      <c r="I512" s="986">
        <f t="shared" si="7"/>
        <v>-1.2441666666666667E-2</v>
      </c>
      <c r="J512" s="988">
        <v>25020</v>
      </c>
    </row>
    <row r="513" spans="2:10" ht="13.8">
      <c r="B513" s="988">
        <v>25051</v>
      </c>
      <c r="C513" s="987" t="s">
        <v>4628</v>
      </c>
      <c r="F513" s="992">
        <v>4.0000000000000024E-4</v>
      </c>
      <c r="H513" s="992">
        <v>5.2250000000000005E-3</v>
      </c>
      <c r="I513" s="986">
        <f t="shared" si="7"/>
        <v>-4.8250000000000003E-3</v>
      </c>
      <c r="J513" s="988">
        <v>25051</v>
      </c>
    </row>
    <row r="514" spans="2:10" ht="13.8">
      <c r="B514" s="988">
        <v>25082</v>
      </c>
      <c r="C514" s="987" t="s">
        <v>4628</v>
      </c>
      <c r="F514" s="992">
        <v>0.01</v>
      </c>
      <c r="H514" s="992">
        <v>5.2250000000000005E-3</v>
      </c>
      <c r="I514" s="986">
        <f t="shared" si="7"/>
        <v>4.7749999999999997E-3</v>
      </c>
      <c r="J514" s="988">
        <v>25082</v>
      </c>
    </row>
    <row r="515" spans="2:10" ht="13.8">
      <c r="B515" s="988">
        <v>25112</v>
      </c>
      <c r="C515" s="987" t="s">
        <v>4628</v>
      </c>
      <c r="F515" s="992">
        <v>8.6E-3</v>
      </c>
      <c r="H515" s="992">
        <v>5.3333333333333332E-3</v>
      </c>
      <c r="I515" s="986">
        <f t="shared" si="7"/>
        <v>3.2666666666666669E-3</v>
      </c>
      <c r="J515" s="988">
        <v>25112</v>
      </c>
    </row>
    <row r="516" spans="2:10" ht="13.8">
      <c r="B516" s="988">
        <v>25143</v>
      </c>
      <c r="C516" s="987" t="s">
        <v>4628</v>
      </c>
      <c r="F516" s="992">
        <v>7.8099999999999989E-2</v>
      </c>
      <c r="H516" s="992">
        <v>5.4916666666666673E-3</v>
      </c>
      <c r="I516" s="986">
        <f t="shared" si="7"/>
        <v>7.2608333333333316E-2</v>
      </c>
      <c r="J516" s="988">
        <v>25143</v>
      </c>
    </row>
    <row r="517" spans="2:10" ht="13.8">
      <c r="B517" s="988">
        <v>25173</v>
      </c>
      <c r="C517" s="987" t="s">
        <v>4628</v>
      </c>
      <c r="F517" s="992">
        <v>-3.0899999999999997E-2</v>
      </c>
      <c r="H517" s="992">
        <v>5.7250000000000001E-3</v>
      </c>
      <c r="I517" s="986">
        <f t="shared" si="7"/>
        <v>-3.6624999999999998E-2</v>
      </c>
      <c r="J517" s="988">
        <v>25173</v>
      </c>
    </row>
    <row r="518" spans="2:10" ht="13.8">
      <c r="B518" s="988">
        <v>25204</v>
      </c>
      <c r="C518" s="987" t="s">
        <v>4628</v>
      </c>
      <c r="F518" s="992">
        <v>1.6899999999999998E-2</v>
      </c>
      <c r="H518" s="992">
        <v>5.8666666666666667E-3</v>
      </c>
      <c r="I518" s="986">
        <f t="shared" si="7"/>
        <v>1.1033333333333332E-2</v>
      </c>
      <c r="J518" s="988">
        <v>25204</v>
      </c>
    </row>
    <row r="519" spans="2:10" ht="13.8">
      <c r="B519" s="988">
        <v>25235</v>
      </c>
      <c r="C519" s="987" t="s">
        <v>4628</v>
      </c>
      <c r="F519" s="992">
        <v>-5.3200000000000004E-2</v>
      </c>
      <c r="H519" s="992">
        <v>5.9416666666666663E-3</v>
      </c>
      <c r="I519" s="986">
        <f t="shared" si="7"/>
        <v>-5.9141666666666669E-2</v>
      </c>
      <c r="J519" s="988">
        <v>25235</v>
      </c>
    </row>
    <row r="520" spans="2:10" ht="13.8">
      <c r="B520" s="988">
        <v>25263</v>
      </c>
      <c r="C520" s="987" t="s">
        <v>4628</v>
      </c>
      <c r="F520" s="992">
        <v>-9.6000000000000009E-3</v>
      </c>
      <c r="H520" s="992">
        <v>6.0583333333333331E-3</v>
      </c>
      <c r="I520" s="986">
        <f t="shared" si="7"/>
        <v>-1.5658333333333333E-2</v>
      </c>
      <c r="J520" s="988">
        <v>25263</v>
      </c>
    </row>
    <row r="521" spans="2:10" ht="13.8">
      <c r="B521" s="988">
        <v>25294</v>
      </c>
      <c r="C521" s="987" t="s">
        <v>4628</v>
      </c>
      <c r="F521" s="992">
        <v>1.3899999999999999E-2</v>
      </c>
      <c r="H521" s="992">
        <v>6.083333333333333E-3</v>
      </c>
      <c r="I521" s="986">
        <f t="shared" si="7"/>
        <v>7.8166666666666662E-3</v>
      </c>
      <c r="J521" s="988">
        <v>25294</v>
      </c>
    </row>
    <row r="522" spans="2:10" ht="13.8">
      <c r="B522" s="988">
        <v>25324</v>
      </c>
      <c r="C522" s="987" t="s">
        <v>4628</v>
      </c>
      <c r="F522" s="992">
        <v>-5.9999999999999984E-4</v>
      </c>
      <c r="H522" s="992">
        <v>5.966666666666667E-3</v>
      </c>
      <c r="I522" s="986">
        <f t="shared" si="7"/>
        <v>-6.5666666666666668E-3</v>
      </c>
      <c r="J522" s="988">
        <v>25324</v>
      </c>
    </row>
    <row r="523" spans="2:10" ht="13.8">
      <c r="B523" s="988">
        <v>25355</v>
      </c>
      <c r="C523" s="987" t="s">
        <v>4628</v>
      </c>
      <c r="F523" s="992">
        <v>-5.16E-2</v>
      </c>
      <c r="H523" s="992">
        <v>6.1750000000000008E-3</v>
      </c>
      <c r="I523" s="986">
        <f t="shared" si="7"/>
        <v>-5.7775E-2</v>
      </c>
      <c r="J523" s="988">
        <v>25355</v>
      </c>
    </row>
    <row r="524" spans="2:10" ht="13.8">
      <c r="B524" s="988">
        <v>25385</v>
      </c>
      <c r="C524" s="987" t="s">
        <v>4628</v>
      </c>
      <c r="F524" s="992">
        <v>-3.6299999999999999E-2</v>
      </c>
      <c r="H524" s="992">
        <v>6.2666666666666669E-3</v>
      </c>
      <c r="I524" s="986">
        <f t="shared" si="7"/>
        <v>-4.2566666666666669E-2</v>
      </c>
      <c r="J524" s="988">
        <v>25385</v>
      </c>
    </row>
    <row r="525" spans="2:10" ht="13.8">
      <c r="B525" s="988">
        <v>25416</v>
      </c>
      <c r="C525" s="987" t="s">
        <v>4628</v>
      </c>
      <c r="F525" s="992">
        <v>-1.1399999999999999E-2</v>
      </c>
      <c r="H525" s="992">
        <v>6.1999999999999998E-3</v>
      </c>
      <c r="I525" s="986">
        <f t="shared" si="7"/>
        <v>-1.7599999999999998E-2</v>
      </c>
      <c r="J525" s="988">
        <v>25416</v>
      </c>
    </row>
    <row r="526" spans="2:10" ht="13.8">
      <c r="B526" s="988">
        <v>25447</v>
      </c>
      <c r="C526" s="987" t="s">
        <v>4628</v>
      </c>
      <c r="F526" s="992">
        <v>-3.7200000000000004E-2</v>
      </c>
      <c r="H526" s="992">
        <v>6.3583333333333339E-3</v>
      </c>
      <c r="I526" s="986">
        <f t="shared" si="7"/>
        <v>-4.3558333333333338E-2</v>
      </c>
      <c r="J526" s="988">
        <v>25447</v>
      </c>
    </row>
    <row r="527" spans="2:10" ht="13.8">
      <c r="B527" s="988">
        <v>25477</v>
      </c>
      <c r="C527" s="987" t="s">
        <v>4628</v>
      </c>
      <c r="F527" s="992">
        <v>7.980000000000001E-2</v>
      </c>
      <c r="H527" s="992">
        <v>6.6833333333333337E-3</v>
      </c>
      <c r="I527" s="986">
        <f t="shared" si="7"/>
        <v>7.3116666666666677E-2</v>
      </c>
      <c r="J527" s="988">
        <v>25477</v>
      </c>
    </row>
    <row r="528" spans="2:10" ht="13.8">
      <c r="B528" s="988">
        <v>25508</v>
      </c>
      <c r="C528" s="987" t="s">
        <v>4628</v>
      </c>
      <c r="F528" s="992">
        <v>-5.8800000000000005E-2</v>
      </c>
      <c r="H528" s="992">
        <v>6.6666666666666662E-3</v>
      </c>
      <c r="I528" s="986">
        <f t="shared" si="7"/>
        <v>-6.5466666666666673E-2</v>
      </c>
      <c r="J528" s="988">
        <v>25508</v>
      </c>
    </row>
    <row r="529" spans="2:10" ht="13.8">
      <c r="B529" s="988">
        <v>25538</v>
      </c>
      <c r="C529" s="987" t="s">
        <v>4628</v>
      </c>
      <c r="F529" s="992">
        <v>-9.7000000000000003E-3</v>
      </c>
      <c r="H529" s="992">
        <v>7.1583333333333334E-3</v>
      </c>
      <c r="I529" s="986">
        <f t="shared" si="7"/>
        <v>-1.6858333333333333E-2</v>
      </c>
      <c r="J529" s="988">
        <v>25538</v>
      </c>
    </row>
    <row r="530" spans="2:10" ht="13.8">
      <c r="B530" s="988">
        <v>25569</v>
      </c>
      <c r="C530" s="987" t="s">
        <v>4628</v>
      </c>
      <c r="F530" s="992">
        <v>-4.53E-2</v>
      </c>
      <c r="H530" s="992">
        <v>7.2416666666666662E-3</v>
      </c>
      <c r="I530" s="986">
        <f t="shared" si="7"/>
        <v>-5.2541666666666667E-2</v>
      </c>
      <c r="J530" s="988">
        <v>25569</v>
      </c>
    </row>
    <row r="531" spans="2:10" ht="13.8">
      <c r="B531" s="988">
        <v>25600</v>
      </c>
      <c r="C531" s="987" t="s">
        <v>4628</v>
      </c>
      <c r="F531" s="992">
        <v>0.1053</v>
      </c>
      <c r="H531" s="992">
        <v>7.0916666666666663E-3</v>
      </c>
      <c r="I531" s="986">
        <f t="shared" si="7"/>
        <v>9.8208333333333342E-2</v>
      </c>
      <c r="J531" s="988">
        <v>25600</v>
      </c>
    </row>
    <row r="532" spans="2:10" ht="13.8">
      <c r="B532" s="988">
        <v>25628</v>
      </c>
      <c r="C532" s="987" t="s">
        <v>4628</v>
      </c>
      <c r="F532" s="992">
        <v>2.3200000000000002E-2</v>
      </c>
      <c r="H532" s="992">
        <v>6.9249999999999997E-3</v>
      </c>
      <c r="I532" s="986">
        <f t="shared" si="7"/>
        <v>1.6275000000000001E-2</v>
      </c>
      <c r="J532" s="988">
        <v>25628</v>
      </c>
    </row>
    <row r="533" spans="2:10" ht="13.8">
      <c r="B533" s="988">
        <v>25659</v>
      </c>
      <c r="C533" s="987" t="s">
        <v>4628</v>
      </c>
      <c r="F533" s="992">
        <v>-9.2899999999999996E-2</v>
      </c>
      <c r="H533" s="992">
        <v>6.9249999999999997E-3</v>
      </c>
      <c r="I533" s="986">
        <f t="shared" si="7"/>
        <v>-9.9824999999999997E-2</v>
      </c>
      <c r="J533" s="988">
        <v>25659</v>
      </c>
    </row>
    <row r="534" spans="2:10" ht="13.8">
      <c r="B534" s="988">
        <v>25689</v>
      </c>
      <c r="C534" s="987" t="s">
        <v>4628</v>
      </c>
      <c r="F534" s="992">
        <v>-5.1499999999999997E-2</v>
      </c>
      <c r="H534" s="992">
        <v>7.2250000000000005E-3</v>
      </c>
      <c r="I534" s="986">
        <f t="shared" si="7"/>
        <v>-5.8724999999999999E-2</v>
      </c>
      <c r="J534" s="988">
        <v>25689</v>
      </c>
    </row>
    <row r="535" spans="2:10" ht="13.8">
      <c r="B535" s="988">
        <v>25720</v>
      </c>
      <c r="C535" s="987" t="s">
        <v>4628</v>
      </c>
      <c r="F535" s="992">
        <v>-5.8199999999999995E-2</v>
      </c>
      <c r="H535" s="992">
        <v>7.5333333333333329E-3</v>
      </c>
      <c r="I535" s="986">
        <f t="shared" si="7"/>
        <v>-6.5733333333333324E-2</v>
      </c>
      <c r="J535" s="988">
        <v>25720</v>
      </c>
    </row>
    <row r="536" spans="2:10" ht="13.8">
      <c r="B536" s="988">
        <v>25750</v>
      </c>
      <c r="C536" s="987" t="s">
        <v>4628</v>
      </c>
      <c r="F536" s="992">
        <v>9.7299999999999998E-2</v>
      </c>
      <c r="H536" s="992">
        <v>7.5500000000000003E-3</v>
      </c>
      <c r="I536" s="986">
        <f t="shared" si="7"/>
        <v>8.9749999999999996E-2</v>
      </c>
      <c r="J536" s="988">
        <v>25750</v>
      </c>
    </row>
    <row r="537" spans="2:10" ht="13.8">
      <c r="B537" s="988">
        <v>25781</v>
      </c>
      <c r="C537" s="987" t="s">
        <v>4628</v>
      </c>
      <c r="F537" s="992">
        <v>5.8099999999999999E-2</v>
      </c>
      <c r="H537" s="992">
        <v>7.4000000000000012E-3</v>
      </c>
      <c r="I537" s="986">
        <f t="shared" si="7"/>
        <v>5.0699999999999995E-2</v>
      </c>
      <c r="J537" s="988">
        <v>25781</v>
      </c>
    </row>
    <row r="538" spans="2:10" ht="13.8">
      <c r="B538" s="988">
        <v>25812</v>
      </c>
      <c r="C538" s="987" t="s">
        <v>4628</v>
      </c>
      <c r="F538" s="992">
        <v>-1.14E-2</v>
      </c>
      <c r="H538" s="992">
        <v>7.3499999999999998E-3</v>
      </c>
      <c r="I538" s="986">
        <f t="shared" ref="I538:I601" si="8">F538-H538</f>
        <v>-1.8749999999999999E-2</v>
      </c>
      <c r="J538" s="988">
        <v>25812</v>
      </c>
    </row>
    <row r="539" spans="2:10" ht="13.8">
      <c r="B539" s="988">
        <v>25842</v>
      </c>
      <c r="C539" s="987" t="s">
        <v>4628</v>
      </c>
      <c r="F539" s="992">
        <v>-1.4900000000000002E-2</v>
      </c>
      <c r="H539" s="992">
        <v>7.3000000000000001E-3</v>
      </c>
      <c r="I539" s="986">
        <f t="shared" si="8"/>
        <v>-2.2200000000000001E-2</v>
      </c>
      <c r="J539" s="988">
        <v>25842</v>
      </c>
    </row>
    <row r="540" spans="2:10" ht="13.8">
      <c r="B540" s="988">
        <v>25873</v>
      </c>
      <c r="C540" s="987" t="s">
        <v>4628</v>
      </c>
      <c r="F540" s="992">
        <v>9.7500000000000003E-2</v>
      </c>
      <c r="H540" s="992">
        <v>7.324999999999999E-3</v>
      </c>
      <c r="I540" s="986">
        <f t="shared" si="8"/>
        <v>9.0175000000000005E-2</v>
      </c>
      <c r="J540" s="988">
        <v>25873</v>
      </c>
    </row>
    <row r="541" spans="2:10" ht="13.8">
      <c r="B541" s="988">
        <v>25903</v>
      </c>
      <c r="C541" s="987" t="s">
        <v>4628</v>
      </c>
      <c r="F541" s="992">
        <v>7.350000000000001E-2</v>
      </c>
      <c r="H541" s="992">
        <v>7.0666666666666664E-3</v>
      </c>
      <c r="I541" s="986">
        <f t="shared" si="8"/>
        <v>6.6433333333333344E-2</v>
      </c>
      <c r="J541" s="988">
        <v>25903</v>
      </c>
    </row>
    <row r="542" spans="2:10" ht="13.8">
      <c r="B542" s="988">
        <v>25934</v>
      </c>
      <c r="C542" s="987" t="s">
        <v>4628</v>
      </c>
      <c r="F542" s="992">
        <v>2.5700000000000004E-2</v>
      </c>
      <c r="H542" s="992">
        <v>6.7916666666666672E-3</v>
      </c>
      <c r="I542" s="986">
        <f t="shared" si="8"/>
        <v>1.8908333333333336E-2</v>
      </c>
      <c r="J542" s="988">
        <v>25934</v>
      </c>
    </row>
    <row r="543" spans="2:10" ht="13.8">
      <c r="B543" s="988">
        <v>25965</v>
      </c>
      <c r="C543" s="987" t="s">
        <v>4628</v>
      </c>
      <c r="F543" s="992">
        <v>-2.7699999999999999E-2</v>
      </c>
      <c r="H543" s="992">
        <v>6.575000000000001E-3</v>
      </c>
      <c r="I543" s="986">
        <f t="shared" si="8"/>
        <v>-3.4275E-2</v>
      </c>
      <c r="J543" s="988">
        <v>25965</v>
      </c>
    </row>
    <row r="544" spans="2:10" ht="13.8">
      <c r="B544" s="988">
        <v>25993</v>
      </c>
      <c r="C544" s="987" t="s">
        <v>4628</v>
      </c>
      <c r="F544" s="992">
        <v>3.3099999999999997E-2</v>
      </c>
      <c r="H544" s="992">
        <v>6.7083333333333335E-3</v>
      </c>
      <c r="I544" s="986">
        <f t="shared" si="8"/>
        <v>2.6391666666666664E-2</v>
      </c>
      <c r="J544" s="988">
        <v>25993</v>
      </c>
    </row>
    <row r="545" spans="2:10" ht="13.8">
      <c r="B545" s="988">
        <v>26024</v>
      </c>
      <c r="C545" s="987" t="s">
        <v>4628</v>
      </c>
      <c r="F545" s="992">
        <v>-3.49E-2</v>
      </c>
      <c r="H545" s="992">
        <v>6.7250000000000001E-3</v>
      </c>
      <c r="I545" s="986">
        <f t="shared" si="8"/>
        <v>-4.1625000000000002E-2</v>
      </c>
      <c r="J545" s="988">
        <v>26024</v>
      </c>
    </row>
    <row r="546" spans="2:10" ht="13.8">
      <c r="B546" s="988">
        <v>26054</v>
      </c>
      <c r="C546" s="987" t="s">
        <v>4628</v>
      </c>
      <c r="F546" s="992">
        <v>-3.5100000000000006E-2</v>
      </c>
      <c r="H546" s="992">
        <v>6.9499999999999996E-3</v>
      </c>
      <c r="I546" s="986">
        <f t="shared" si="8"/>
        <v>-4.2050000000000004E-2</v>
      </c>
      <c r="J546" s="988">
        <v>26054</v>
      </c>
    </row>
    <row r="547" spans="2:10" ht="13.8">
      <c r="B547" s="988">
        <v>26085</v>
      </c>
      <c r="C547" s="987" t="s">
        <v>4628</v>
      </c>
      <c r="F547" s="992">
        <v>3.9800000000000002E-2</v>
      </c>
      <c r="H547" s="992">
        <v>7.0416666666666657E-3</v>
      </c>
      <c r="I547" s="986">
        <f t="shared" si="8"/>
        <v>3.2758333333333334E-2</v>
      </c>
      <c r="J547" s="988">
        <v>26085</v>
      </c>
    </row>
    <row r="548" spans="2:10" ht="13.8">
      <c r="B548" s="988">
        <v>26115</v>
      </c>
      <c r="C548" s="987" t="s">
        <v>4628</v>
      </c>
      <c r="F548" s="992">
        <v>-2.2499999999999999E-2</v>
      </c>
      <c r="H548" s="992">
        <v>7.0416666666666657E-3</v>
      </c>
      <c r="I548" s="986">
        <f t="shared" si="8"/>
        <v>-2.9541666666666664E-2</v>
      </c>
      <c r="J548" s="988">
        <v>26115</v>
      </c>
    </row>
    <row r="549" spans="2:10" ht="13.8">
      <c r="B549" s="988">
        <v>26146</v>
      </c>
      <c r="C549" s="987" t="s">
        <v>4628</v>
      </c>
      <c r="F549" s="992">
        <v>-2.4699999999999996E-2</v>
      </c>
      <c r="H549" s="992">
        <v>7.000000000000001E-3</v>
      </c>
      <c r="I549" s="986">
        <f t="shared" si="8"/>
        <v>-3.1699999999999999E-2</v>
      </c>
      <c r="J549" s="988">
        <v>26146</v>
      </c>
    </row>
    <row r="550" spans="2:10" ht="13.8">
      <c r="B550" s="988">
        <v>26177</v>
      </c>
      <c r="C550" s="987" t="s">
        <v>4628</v>
      </c>
      <c r="F550" s="992">
        <v>-1.4600000000000002E-2</v>
      </c>
      <c r="H550" s="992">
        <v>6.8166666666666662E-3</v>
      </c>
      <c r="I550" s="986">
        <f t="shared" si="8"/>
        <v>-2.1416666666666667E-2</v>
      </c>
      <c r="J550" s="988">
        <v>26177</v>
      </c>
    </row>
    <row r="551" spans="2:10" ht="13.8">
      <c r="B551" s="988">
        <v>26207</v>
      </c>
      <c r="C551" s="987" t="s">
        <v>4628</v>
      </c>
      <c r="F551" s="992">
        <v>1.7000000000000001E-2</v>
      </c>
      <c r="H551" s="992">
        <v>6.7499999999999991E-3</v>
      </c>
      <c r="I551" s="986">
        <f t="shared" si="8"/>
        <v>1.0250000000000002E-2</v>
      </c>
      <c r="J551" s="988">
        <v>26207</v>
      </c>
    </row>
    <row r="552" spans="2:10" ht="13.8">
      <c r="B552" s="988">
        <v>26238</v>
      </c>
      <c r="C552" s="987" t="s">
        <v>4628</v>
      </c>
      <c r="F552" s="992">
        <v>-5.5000000000000005E-3</v>
      </c>
      <c r="H552" s="992">
        <v>6.6333333333333331E-3</v>
      </c>
      <c r="I552" s="986">
        <f t="shared" si="8"/>
        <v>-1.2133333333333333E-2</v>
      </c>
      <c r="J552" s="988">
        <v>26238</v>
      </c>
    </row>
    <row r="553" spans="2:10" ht="13.8">
      <c r="B553" s="988">
        <v>26268</v>
      </c>
      <c r="C553" s="987" t="s">
        <v>4628</v>
      </c>
      <c r="F553" s="992">
        <v>8.0600000000000005E-2</v>
      </c>
      <c r="H553" s="992">
        <v>6.5833333333333334E-3</v>
      </c>
      <c r="I553" s="986">
        <f t="shared" si="8"/>
        <v>7.4016666666666675E-2</v>
      </c>
      <c r="J553" s="988">
        <v>26268</v>
      </c>
    </row>
    <row r="554" spans="2:10" ht="13.8">
      <c r="B554" s="988">
        <v>26299</v>
      </c>
      <c r="C554" s="987" t="s">
        <v>4628</v>
      </c>
      <c r="F554" s="992">
        <v>-7.4000000000000012E-3</v>
      </c>
      <c r="H554" s="992">
        <v>6.4916666666666664E-3</v>
      </c>
      <c r="I554" s="986">
        <f t="shared" si="8"/>
        <v>-1.3891666666666667E-2</v>
      </c>
      <c r="J554" s="988">
        <v>26299</v>
      </c>
    </row>
    <row r="555" spans="2:10" ht="13.8">
      <c r="B555" s="988">
        <v>26330</v>
      </c>
      <c r="C555" s="987" t="s">
        <v>4628</v>
      </c>
      <c r="F555" s="992">
        <v>-2.4E-2</v>
      </c>
      <c r="H555" s="992">
        <v>6.4833333333333331E-3</v>
      </c>
      <c r="I555" s="986">
        <f t="shared" si="8"/>
        <v>-3.0483333333333335E-2</v>
      </c>
      <c r="J555" s="988">
        <v>26330</v>
      </c>
    </row>
    <row r="556" spans="2:10" ht="13.8">
      <c r="B556" s="988">
        <v>26359</v>
      </c>
      <c r="C556" s="987" t="s">
        <v>4628</v>
      </c>
      <c r="F556" s="992">
        <v>-3.5999999999999999E-3</v>
      </c>
      <c r="H556" s="992">
        <v>6.4750000000000007E-3</v>
      </c>
      <c r="I556" s="986">
        <f t="shared" si="8"/>
        <v>-1.0075000000000001E-2</v>
      </c>
      <c r="J556" s="988">
        <v>26359</v>
      </c>
    </row>
    <row r="557" spans="2:10" ht="13.8">
      <c r="B557" s="988">
        <v>26390</v>
      </c>
      <c r="C557" s="987" t="s">
        <v>4628</v>
      </c>
      <c r="F557" s="992">
        <v>-2.7700000000000006E-2</v>
      </c>
      <c r="H557" s="992">
        <v>6.5166666666666671E-3</v>
      </c>
      <c r="I557" s="986">
        <f t="shared" si="8"/>
        <v>-3.4216666666666673E-2</v>
      </c>
      <c r="J557" s="988">
        <v>26390</v>
      </c>
    </row>
    <row r="558" spans="2:10" ht="13.8">
      <c r="B558" s="988">
        <v>26420</v>
      </c>
      <c r="C558" s="987" t="s">
        <v>4628</v>
      </c>
      <c r="F558" s="992">
        <v>-1.7000000000000001E-3</v>
      </c>
      <c r="H558" s="992">
        <v>6.5333333333333328E-3</v>
      </c>
      <c r="I558" s="986">
        <f t="shared" si="8"/>
        <v>-8.2333333333333321E-3</v>
      </c>
      <c r="J558" s="988">
        <v>26420</v>
      </c>
    </row>
    <row r="559" spans="2:10" ht="13.8">
      <c r="B559" s="988">
        <v>26451</v>
      </c>
      <c r="C559" s="987" t="s">
        <v>4628</v>
      </c>
      <c r="F559" s="992">
        <v>-2.1000000000000001E-2</v>
      </c>
      <c r="H559" s="992">
        <v>6.4750000000000007E-3</v>
      </c>
      <c r="I559" s="986">
        <f t="shared" si="8"/>
        <v>-2.7475000000000003E-2</v>
      </c>
      <c r="J559" s="988">
        <v>26451</v>
      </c>
    </row>
    <row r="560" spans="2:10" ht="13.8">
      <c r="B560" s="988">
        <v>26481</v>
      </c>
      <c r="C560" s="987" t="s">
        <v>4628</v>
      </c>
      <c r="F560" s="992">
        <v>-1.4000000000000002E-3</v>
      </c>
      <c r="H560" s="992">
        <v>6.5166666666666671E-3</v>
      </c>
      <c r="I560" s="986">
        <f t="shared" si="8"/>
        <v>-7.9166666666666673E-3</v>
      </c>
      <c r="J560" s="988">
        <v>26481</v>
      </c>
    </row>
    <row r="561" spans="1:10" ht="13.8">
      <c r="B561" s="988">
        <v>26512</v>
      </c>
      <c r="C561" s="987" t="s">
        <v>4628</v>
      </c>
      <c r="F561" s="992">
        <v>5.74E-2</v>
      </c>
      <c r="H561" s="992">
        <v>6.3666666666666672E-3</v>
      </c>
      <c r="I561" s="986">
        <f t="shared" si="8"/>
        <v>5.1033333333333333E-2</v>
      </c>
      <c r="J561" s="988">
        <v>26512</v>
      </c>
    </row>
    <row r="562" spans="1:10" ht="13.8">
      <c r="B562" s="988">
        <v>26543</v>
      </c>
      <c r="C562" s="987" t="s">
        <v>4628</v>
      </c>
      <c r="F562" s="992">
        <v>2.7000000000000001E-3</v>
      </c>
      <c r="H562" s="992">
        <v>6.3416666666666665E-3</v>
      </c>
      <c r="I562" s="986">
        <f t="shared" si="8"/>
        <v>-3.6416666666666663E-3</v>
      </c>
      <c r="J562" s="988">
        <v>26543</v>
      </c>
    </row>
    <row r="563" spans="1:10" ht="13.8">
      <c r="B563" s="988">
        <v>26573</v>
      </c>
      <c r="C563" s="987" t="s">
        <v>4628</v>
      </c>
      <c r="F563" s="992">
        <v>6.5100000000000005E-2</v>
      </c>
      <c r="H563" s="992">
        <v>6.3833333333333329E-3</v>
      </c>
      <c r="I563" s="986">
        <f t="shared" si="8"/>
        <v>5.8716666666666674E-2</v>
      </c>
      <c r="J563" s="988">
        <v>26573</v>
      </c>
    </row>
    <row r="564" spans="1:10" ht="13.8">
      <c r="B564" s="988">
        <v>26604</v>
      </c>
      <c r="C564" s="987" t="s">
        <v>4628</v>
      </c>
      <c r="F564" s="992">
        <v>6.3899999999999998E-2</v>
      </c>
      <c r="H564" s="992">
        <v>6.333333333333334E-3</v>
      </c>
      <c r="I564" s="986">
        <f t="shared" si="8"/>
        <v>5.7566666666666662E-2</v>
      </c>
      <c r="J564" s="988">
        <v>26604</v>
      </c>
    </row>
    <row r="565" spans="1:10" ht="13.8">
      <c r="A565" s="987">
        <v>3</v>
      </c>
      <c r="B565" s="988">
        <v>26634</v>
      </c>
      <c r="C565" s="987" t="s">
        <v>4628</v>
      </c>
      <c r="F565" s="992">
        <v>-1.7399999999999999E-2</v>
      </c>
      <c r="H565" s="992">
        <v>6.2333333333333338E-3</v>
      </c>
      <c r="I565" s="986">
        <f t="shared" si="8"/>
        <v>-2.3633333333333333E-2</v>
      </c>
      <c r="J565" s="988">
        <v>26634</v>
      </c>
    </row>
    <row r="566" spans="1:10" ht="13.8">
      <c r="A566" s="987">
        <v>3</v>
      </c>
      <c r="B566" s="988">
        <f t="shared" ref="B566:B629" si="9">DATE(YEAR(B565),MONTH(B565) + 1,1)</f>
        <v>26665</v>
      </c>
      <c r="C566" s="987" t="str">
        <f t="shared" ref="C566:C629" si="10">C565</f>
        <v>S&amp;P 500 Utility Index</v>
      </c>
      <c r="F566" s="992">
        <v>-4.3900000000000008E-2</v>
      </c>
      <c r="H566" s="992">
        <v>6.2666666666666669E-3</v>
      </c>
      <c r="I566" s="986">
        <f t="shared" si="8"/>
        <v>-5.0166666666666679E-2</v>
      </c>
      <c r="J566" s="988">
        <v>26665</v>
      </c>
    </row>
    <row r="567" spans="1:10" ht="13.8">
      <c r="A567" s="987">
        <v>3</v>
      </c>
      <c r="B567" s="988">
        <f t="shared" si="9"/>
        <v>26696</v>
      </c>
      <c r="C567" s="987" t="str">
        <f t="shared" si="10"/>
        <v>S&amp;P 500 Utility Index</v>
      </c>
      <c r="F567" s="992">
        <v>-2.3399999999999997E-2</v>
      </c>
      <c r="H567" s="992">
        <v>6.3499999999999997E-3</v>
      </c>
      <c r="I567" s="986">
        <f t="shared" si="8"/>
        <v>-2.9749999999999999E-2</v>
      </c>
      <c r="J567" s="988">
        <v>26696</v>
      </c>
    </row>
    <row r="568" spans="1:10" ht="13.8">
      <c r="A568" s="987">
        <v>3</v>
      </c>
      <c r="B568" s="988">
        <f t="shared" si="9"/>
        <v>26724</v>
      </c>
      <c r="C568" s="987" t="str">
        <f t="shared" si="10"/>
        <v>S&amp;P 500 Utility Index</v>
      </c>
      <c r="F568" s="992">
        <v>-1.3500000000000002E-2</v>
      </c>
      <c r="H568" s="992">
        <v>6.3833333333333329E-3</v>
      </c>
      <c r="I568" s="986">
        <f t="shared" si="8"/>
        <v>-1.9883333333333336E-2</v>
      </c>
      <c r="J568" s="988">
        <v>26724</v>
      </c>
    </row>
    <row r="569" spans="1:10" ht="13.8">
      <c r="A569" s="987">
        <v>3</v>
      </c>
      <c r="B569" s="988">
        <f t="shared" si="9"/>
        <v>26755</v>
      </c>
      <c r="C569" s="987" t="str">
        <f t="shared" si="10"/>
        <v>S&amp;P 500 Utility Index</v>
      </c>
      <c r="F569" s="992">
        <v>-4.9000000000000007E-3</v>
      </c>
      <c r="H569" s="992">
        <v>6.3583333333333339E-3</v>
      </c>
      <c r="I569" s="986">
        <f t="shared" si="8"/>
        <v>-1.1258333333333335E-2</v>
      </c>
      <c r="J569" s="988">
        <v>26755</v>
      </c>
    </row>
    <row r="570" spans="1:10" ht="13.8">
      <c r="A570" s="987">
        <v>3</v>
      </c>
      <c r="B570" s="988">
        <f t="shared" si="9"/>
        <v>26785</v>
      </c>
      <c r="C570" s="987" t="str">
        <f t="shared" si="10"/>
        <v>S&amp;P 500 Utility Index</v>
      </c>
      <c r="F570" s="992">
        <v>6.7000000000000002E-3</v>
      </c>
      <c r="H570" s="992">
        <v>6.3583333333333339E-3</v>
      </c>
      <c r="I570" s="986">
        <f t="shared" si="8"/>
        <v>3.4166666666666633E-4</v>
      </c>
      <c r="J570" s="988">
        <v>26785</v>
      </c>
    </row>
    <row r="571" spans="1:10" ht="13.8">
      <c r="A571" s="987">
        <v>3</v>
      </c>
      <c r="B571" s="988">
        <f t="shared" si="9"/>
        <v>26816</v>
      </c>
      <c r="C571" s="987" t="str">
        <f t="shared" si="10"/>
        <v>S&amp;P 500 Utility Index</v>
      </c>
      <c r="F571" s="992">
        <v>-1.67E-2</v>
      </c>
      <c r="H571" s="992">
        <v>6.4249999999999993E-3</v>
      </c>
      <c r="I571" s="986">
        <f t="shared" si="8"/>
        <v>-2.3125E-2</v>
      </c>
      <c r="J571" s="988">
        <v>26816</v>
      </c>
    </row>
    <row r="572" spans="1:10" ht="13.8">
      <c r="A572" s="987">
        <v>3</v>
      </c>
      <c r="B572" s="988">
        <f t="shared" si="9"/>
        <v>26846</v>
      </c>
      <c r="C572" s="987" t="str">
        <f t="shared" si="10"/>
        <v>S&amp;P 500 Utility Index</v>
      </c>
      <c r="F572" s="992">
        <v>-1.9900000000000001E-2</v>
      </c>
      <c r="H572" s="992">
        <v>6.5166666666666671E-3</v>
      </c>
      <c r="I572" s="986">
        <f t="shared" si="8"/>
        <v>-2.6416666666666668E-2</v>
      </c>
      <c r="J572" s="988">
        <v>26846</v>
      </c>
    </row>
    <row r="573" spans="1:10" ht="13.8">
      <c r="A573" s="987">
        <v>3</v>
      </c>
      <c r="B573" s="988">
        <f t="shared" si="9"/>
        <v>26877</v>
      </c>
      <c r="C573" s="987" t="str">
        <f t="shared" si="10"/>
        <v>S&amp;P 500 Utility Index</v>
      </c>
      <c r="F573" s="992">
        <v>-2.8399999999999995E-2</v>
      </c>
      <c r="H573" s="992">
        <v>6.6999999999999994E-3</v>
      </c>
      <c r="I573" s="986">
        <f t="shared" si="8"/>
        <v>-3.5099999999999992E-2</v>
      </c>
      <c r="J573" s="988">
        <v>26877</v>
      </c>
    </row>
    <row r="574" spans="1:10" ht="13.8">
      <c r="A574" s="987">
        <v>3</v>
      </c>
      <c r="B574" s="988">
        <f t="shared" si="9"/>
        <v>26908</v>
      </c>
      <c r="C574" s="987" t="str">
        <f t="shared" si="10"/>
        <v>S&amp;P 500 Utility Index</v>
      </c>
      <c r="F574" s="992">
        <v>7.7099999999999988E-2</v>
      </c>
      <c r="H574" s="992">
        <v>6.6999999999999994E-3</v>
      </c>
      <c r="I574" s="986">
        <f t="shared" si="8"/>
        <v>7.039999999999999E-2</v>
      </c>
      <c r="J574" s="988">
        <v>26908</v>
      </c>
    </row>
    <row r="575" spans="1:10" ht="13.8">
      <c r="A575" s="987">
        <v>3</v>
      </c>
      <c r="B575" s="988">
        <f t="shared" si="9"/>
        <v>26938</v>
      </c>
      <c r="C575" s="987" t="str">
        <f t="shared" si="10"/>
        <v>S&amp;P 500 Utility Index</v>
      </c>
      <c r="F575" s="992">
        <v>-3.8800000000000001E-2</v>
      </c>
      <c r="H575" s="992">
        <v>6.6833333333333337E-3</v>
      </c>
      <c r="I575" s="986">
        <f t="shared" si="8"/>
        <v>-4.5483333333333334E-2</v>
      </c>
      <c r="J575" s="988">
        <v>26938</v>
      </c>
    </row>
    <row r="576" spans="1:10" ht="13.8">
      <c r="A576" s="987">
        <v>3</v>
      </c>
      <c r="B576" s="988">
        <f t="shared" si="9"/>
        <v>26969</v>
      </c>
      <c r="C576" s="987" t="str">
        <f t="shared" si="10"/>
        <v>S&amp;P 500 Utility Index</v>
      </c>
      <c r="F576" s="992">
        <v>-0.11720000000000001</v>
      </c>
      <c r="H576" s="992">
        <v>6.7916666666666672E-3</v>
      </c>
      <c r="I576" s="986">
        <f t="shared" si="8"/>
        <v>-0.12399166666666668</v>
      </c>
      <c r="J576" s="988">
        <v>26969</v>
      </c>
    </row>
    <row r="577" spans="1:10" ht="13.8">
      <c r="A577" s="987">
        <v>3</v>
      </c>
      <c r="B577" s="988">
        <f t="shared" si="9"/>
        <v>26999</v>
      </c>
      <c r="C577" s="987" t="str">
        <f t="shared" si="10"/>
        <v>S&amp;P 500 Utility Index</v>
      </c>
      <c r="F577" s="992">
        <v>3.7499999999999999E-2</v>
      </c>
      <c r="H577" s="992">
        <v>6.8666666666666668E-3</v>
      </c>
      <c r="I577" s="986">
        <f t="shared" si="8"/>
        <v>3.0633333333333332E-2</v>
      </c>
      <c r="J577" s="988">
        <v>26999</v>
      </c>
    </row>
    <row r="578" spans="1:10" ht="13.8">
      <c r="A578" s="987">
        <v>3</v>
      </c>
      <c r="B578" s="988">
        <f t="shared" si="9"/>
        <v>27030</v>
      </c>
      <c r="C578" s="987" t="str">
        <f t="shared" si="10"/>
        <v>S&amp;P 500 Utility Index</v>
      </c>
      <c r="F578" s="992">
        <v>4.1799999999999997E-2</v>
      </c>
      <c r="H578" s="992">
        <v>6.9666666666666661E-3</v>
      </c>
      <c r="I578" s="986">
        <f t="shared" si="8"/>
        <v>3.4833333333333327E-2</v>
      </c>
      <c r="J578" s="988">
        <v>27030</v>
      </c>
    </row>
    <row r="579" spans="1:10" ht="13.8">
      <c r="A579" s="987">
        <v>3</v>
      </c>
      <c r="B579" s="988">
        <f t="shared" si="9"/>
        <v>27061</v>
      </c>
      <c r="C579" s="987" t="str">
        <f t="shared" si="10"/>
        <v>S&amp;P 500 Utility Index</v>
      </c>
      <c r="F579" s="992">
        <v>6.0000000000000001E-3</v>
      </c>
      <c r="H579" s="992">
        <v>7.0166666666666667E-3</v>
      </c>
      <c r="I579" s="986">
        <f t="shared" si="8"/>
        <v>-1.0166666666666666E-3</v>
      </c>
      <c r="J579" s="988">
        <v>27061</v>
      </c>
    </row>
    <row r="580" spans="1:10" ht="13.8">
      <c r="A580" s="987">
        <v>3</v>
      </c>
      <c r="B580" s="988">
        <f t="shared" si="9"/>
        <v>27089</v>
      </c>
      <c r="C580" s="987" t="str">
        <f t="shared" si="10"/>
        <v>S&amp;P 500 Utility Index</v>
      </c>
      <c r="F580" s="992">
        <v>-3.8900000000000004E-2</v>
      </c>
      <c r="H580" s="992">
        <v>7.0500000000000007E-3</v>
      </c>
      <c r="I580" s="986">
        <f t="shared" si="8"/>
        <v>-4.5950000000000005E-2</v>
      </c>
      <c r="J580" s="988">
        <v>27089</v>
      </c>
    </row>
    <row r="581" spans="1:10" ht="13.8">
      <c r="A581" s="987">
        <v>3</v>
      </c>
      <c r="B581" s="988">
        <f t="shared" si="9"/>
        <v>27120</v>
      </c>
      <c r="C581" s="987" t="str">
        <f t="shared" si="10"/>
        <v>S&amp;P 500 Utility Index</v>
      </c>
      <c r="F581" s="992">
        <v>-0.12959999999999999</v>
      </c>
      <c r="H581" s="992">
        <v>7.3083333333333333E-3</v>
      </c>
      <c r="I581" s="986">
        <f t="shared" si="8"/>
        <v>-0.13690833333333333</v>
      </c>
      <c r="J581" s="988">
        <v>27120</v>
      </c>
    </row>
    <row r="582" spans="1:10" ht="13.8">
      <c r="A582" s="987">
        <v>3</v>
      </c>
      <c r="B582" s="988">
        <f t="shared" si="9"/>
        <v>27150</v>
      </c>
      <c r="C582" s="987" t="str">
        <f t="shared" si="10"/>
        <v>S&amp;P 500 Utility Index</v>
      </c>
      <c r="F582" s="992">
        <v>-4.8399999999999999E-2</v>
      </c>
      <c r="H582" s="992">
        <v>7.4999999999999997E-3</v>
      </c>
      <c r="I582" s="986">
        <f t="shared" si="8"/>
        <v>-5.5899999999999998E-2</v>
      </c>
      <c r="J582" s="988">
        <v>27150</v>
      </c>
    </row>
    <row r="583" spans="1:10" ht="13.8">
      <c r="A583" s="987">
        <v>3</v>
      </c>
      <c r="B583" s="988">
        <f t="shared" si="9"/>
        <v>27181</v>
      </c>
      <c r="C583" s="987" t="str">
        <f t="shared" si="10"/>
        <v>S&amp;P 500 Utility Index</v>
      </c>
      <c r="F583" s="992">
        <v>-5.6999999999999995E-2</v>
      </c>
      <c r="H583" s="992">
        <v>7.7666666666666674E-3</v>
      </c>
      <c r="I583" s="986">
        <f t="shared" si="8"/>
        <v>-6.4766666666666667E-2</v>
      </c>
      <c r="J583" s="988">
        <v>27181</v>
      </c>
    </row>
    <row r="584" spans="1:10" ht="13.8">
      <c r="A584" s="987">
        <v>3</v>
      </c>
      <c r="B584" s="988">
        <f t="shared" si="9"/>
        <v>27211</v>
      </c>
      <c r="C584" s="987" t="str">
        <f t="shared" si="10"/>
        <v>S&amp;P 500 Utility Index</v>
      </c>
      <c r="F584" s="992">
        <v>-8.8999999999999982E-3</v>
      </c>
      <c r="H584" s="992">
        <v>8.0499999999999999E-3</v>
      </c>
      <c r="I584" s="986">
        <f t="shared" si="8"/>
        <v>-1.695E-2</v>
      </c>
      <c r="J584" s="988">
        <v>27211</v>
      </c>
    </row>
    <row r="585" spans="1:10" ht="13.8">
      <c r="A585" s="987">
        <v>3</v>
      </c>
      <c r="B585" s="988">
        <f t="shared" si="9"/>
        <v>27242</v>
      </c>
      <c r="C585" s="987" t="str">
        <f t="shared" si="10"/>
        <v>S&amp;P 500 Utility Index</v>
      </c>
      <c r="F585" s="992">
        <v>-8.7099999999999997E-2</v>
      </c>
      <c r="H585" s="992">
        <v>8.3583333333333339E-3</v>
      </c>
      <c r="I585" s="986">
        <f t="shared" si="8"/>
        <v>-9.5458333333333326E-2</v>
      </c>
      <c r="J585" s="988">
        <v>27242</v>
      </c>
    </row>
    <row r="586" spans="1:10" ht="13.8">
      <c r="A586" s="987">
        <v>3</v>
      </c>
      <c r="B586" s="988">
        <f t="shared" si="9"/>
        <v>27273</v>
      </c>
      <c r="C586" s="987" t="str">
        <f t="shared" si="10"/>
        <v>S&amp;P 500 Utility Index</v>
      </c>
      <c r="F586" s="992">
        <v>-8.6E-3</v>
      </c>
      <c r="H586" s="992">
        <v>8.7083333333333353E-3</v>
      </c>
      <c r="I586" s="986">
        <f t="shared" si="8"/>
        <v>-1.7308333333333335E-2</v>
      </c>
      <c r="J586" s="988">
        <v>27273</v>
      </c>
    </row>
    <row r="587" spans="1:10" ht="13.8">
      <c r="A587" s="987">
        <v>3</v>
      </c>
      <c r="B587" s="988">
        <f t="shared" si="9"/>
        <v>27303</v>
      </c>
      <c r="C587" s="987" t="str">
        <f t="shared" si="10"/>
        <v>S&amp;P 500 Utility Index</v>
      </c>
      <c r="F587" s="992">
        <v>0.11990000000000001</v>
      </c>
      <c r="H587" s="992">
        <v>8.9833333333333328E-3</v>
      </c>
      <c r="I587" s="986">
        <f t="shared" si="8"/>
        <v>0.11091666666666668</v>
      </c>
      <c r="J587" s="988">
        <v>27303</v>
      </c>
    </row>
    <row r="588" spans="1:10" ht="13.8">
      <c r="A588" s="987">
        <v>3</v>
      </c>
      <c r="B588" s="988">
        <f t="shared" si="9"/>
        <v>27334</v>
      </c>
      <c r="C588" s="987" t="str">
        <f t="shared" si="10"/>
        <v>S&amp;P 500 Utility Index</v>
      </c>
      <c r="F588" s="992">
        <v>-1.1900000000000001E-2</v>
      </c>
      <c r="H588" s="992">
        <v>8.7166666666666677E-3</v>
      </c>
      <c r="I588" s="986">
        <f t="shared" si="8"/>
        <v>-2.0616666666666669E-2</v>
      </c>
      <c r="J588" s="988">
        <v>27334</v>
      </c>
    </row>
    <row r="589" spans="1:10" ht="13.8">
      <c r="A589" s="987">
        <v>3</v>
      </c>
      <c r="B589" s="988">
        <f t="shared" si="9"/>
        <v>27364</v>
      </c>
      <c r="C589" s="987" t="str">
        <f t="shared" si="10"/>
        <v>S&amp;P 500 Utility Index</v>
      </c>
      <c r="F589" s="992">
        <v>4.4000000000000003E-3</v>
      </c>
      <c r="H589" s="992">
        <v>8.5583333333333327E-3</v>
      </c>
      <c r="I589" s="986">
        <f t="shared" si="8"/>
        <v>-4.1583333333333325E-3</v>
      </c>
      <c r="J589" s="988">
        <v>27364</v>
      </c>
    </row>
    <row r="590" spans="1:10" ht="13.8">
      <c r="A590" s="987">
        <v>3</v>
      </c>
      <c r="B590" s="988">
        <f t="shared" si="9"/>
        <v>27395</v>
      </c>
      <c r="C590" s="987" t="str">
        <f t="shared" si="10"/>
        <v>S&amp;P 500 Utility Index</v>
      </c>
      <c r="F590" s="992">
        <v>0.18969999999999998</v>
      </c>
      <c r="H590" s="992">
        <v>8.6416666666666673E-3</v>
      </c>
      <c r="I590" s="986">
        <f t="shared" si="8"/>
        <v>0.18105833333333332</v>
      </c>
      <c r="J590" s="988">
        <v>27395</v>
      </c>
    </row>
    <row r="591" spans="1:10" ht="13.8">
      <c r="A591" s="987">
        <v>3</v>
      </c>
      <c r="B591" s="988">
        <f t="shared" si="9"/>
        <v>27426</v>
      </c>
      <c r="C591" s="987" t="str">
        <f t="shared" si="10"/>
        <v>S&amp;P 500 Utility Index</v>
      </c>
      <c r="F591" s="992">
        <v>1.43E-2</v>
      </c>
      <c r="H591" s="992">
        <v>8.3250000000000008E-3</v>
      </c>
      <c r="I591" s="986">
        <f t="shared" si="8"/>
        <v>5.9749999999999994E-3</v>
      </c>
      <c r="J591" s="988">
        <v>27426</v>
      </c>
    </row>
    <row r="592" spans="1:10" ht="13.8">
      <c r="A592" s="987">
        <v>3</v>
      </c>
      <c r="B592" s="988">
        <f t="shared" si="9"/>
        <v>27454</v>
      </c>
      <c r="C592" s="987" t="str">
        <f t="shared" si="10"/>
        <v>S&amp;P 500 Utility Index</v>
      </c>
      <c r="F592" s="992">
        <v>-2.1600000000000001E-2</v>
      </c>
      <c r="H592" s="992">
        <v>8.1000000000000013E-3</v>
      </c>
      <c r="I592" s="986">
        <f t="shared" si="8"/>
        <v>-2.9700000000000004E-2</v>
      </c>
      <c r="J592" s="988">
        <v>27454</v>
      </c>
    </row>
    <row r="593" spans="1:10" ht="13.8">
      <c r="A593" s="987">
        <v>3</v>
      </c>
      <c r="B593" s="988">
        <f t="shared" si="9"/>
        <v>27485</v>
      </c>
      <c r="C593" s="987" t="str">
        <f t="shared" si="10"/>
        <v>S&amp;P 500 Utility Index</v>
      </c>
      <c r="F593" s="992">
        <v>-1.4000000000000002E-2</v>
      </c>
      <c r="H593" s="992">
        <v>8.3833333333333329E-3</v>
      </c>
      <c r="I593" s="986">
        <f t="shared" si="8"/>
        <v>-2.2383333333333335E-2</v>
      </c>
      <c r="J593" s="988">
        <v>27485</v>
      </c>
    </row>
    <row r="594" spans="1:10" ht="13.8">
      <c r="A594" s="987">
        <v>3</v>
      </c>
      <c r="B594" s="988">
        <f t="shared" si="9"/>
        <v>27515</v>
      </c>
      <c r="C594" s="987" t="str">
        <f t="shared" si="10"/>
        <v>S&amp;P 500 Utility Index</v>
      </c>
      <c r="F594" s="992">
        <v>8.6599999999999996E-2</v>
      </c>
      <c r="H594" s="992">
        <v>8.5249999999999996E-3</v>
      </c>
      <c r="I594" s="986">
        <f t="shared" si="8"/>
        <v>7.8074999999999992E-2</v>
      </c>
      <c r="J594" s="988">
        <v>27515</v>
      </c>
    </row>
    <row r="595" spans="1:10" ht="13.8">
      <c r="A595" s="987">
        <v>3</v>
      </c>
      <c r="B595" s="988">
        <f t="shared" si="9"/>
        <v>27546</v>
      </c>
      <c r="C595" s="987" t="str">
        <f t="shared" si="10"/>
        <v>S&amp;P 500 Utility Index</v>
      </c>
      <c r="F595" s="992">
        <v>0.1067</v>
      </c>
      <c r="H595" s="992">
        <v>8.416666666666666E-3</v>
      </c>
      <c r="I595" s="986">
        <f t="shared" si="8"/>
        <v>9.8283333333333334E-2</v>
      </c>
      <c r="J595" s="988">
        <v>27546</v>
      </c>
    </row>
    <row r="596" spans="1:10" ht="13.8">
      <c r="A596" s="987">
        <v>3</v>
      </c>
      <c r="B596" s="988">
        <f t="shared" si="9"/>
        <v>27576</v>
      </c>
      <c r="C596" s="987" t="str">
        <f t="shared" si="10"/>
        <v>S&amp;P 500 Utility Index</v>
      </c>
      <c r="F596" s="992">
        <v>-5.1000000000000004E-2</v>
      </c>
      <c r="H596" s="992">
        <v>8.3416666666666656E-3</v>
      </c>
      <c r="I596" s="986">
        <f t="shared" si="8"/>
        <v>-5.9341666666666668E-2</v>
      </c>
      <c r="J596" s="988">
        <v>27576</v>
      </c>
    </row>
    <row r="597" spans="1:10" ht="13.8">
      <c r="A597" s="987">
        <v>3</v>
      </c>
      <c r="B597" s="988">
        <f t="shared" si="9"/>
        <v>27607</v>
      </c>
      <c r="C597" s="987" t="str">
        <f t="shared" si="10"/>
        <v>S&amp;P 500 Utility Index</v>
      </c>
      <c r="F597" s="992">
        <v>-2.1199999999999997E-2</v>
      </c>
      <c r="H597" s="992">
        <v>8.4333333333333326E-3</v>
      </c>
      <c r="I597" s="986">
        <f t="shared" si="8"/>
        <v>-2.9633333333333331E-2</v>
      </c>
      <c r="J597" s="988">
        <v>27607</v>
      </c>
    </row>
    <row r="598" spans="1:10" ht="13.8">
      <c r="A598" s="987">
        <v>3</v>
      </c>
      <c r="B598" s="988">
        <f t="shared" si="9"/>
        <v>27638</v>
      </c>
      <c r="C598" s="987" t="str">
        <f t="shared" si="10"/>
        <v>S&amp;P 500 Utility Index</v>
      </c>
      <c r="F598" s="992">
        <v>-4.9000000000000007E-3</v>
      </c>
      <c r="H598" s="992">
        <v>8.4916666666666665E-3</v>
      </c>
      <c r="I598" s="986">
        <f t="shared" si="8"/>
        <v>-1.3391666666666666E-2</v>
      </c>
      <c r="J598" s="988">
        <v>27638</v>
      </c>
    </row>
    <row r="599" spans="1:10" ht="13.8">
      <c r="A599" s="987">
        <v>3</v>
      </c>
      <c r="B599" s="988">
        <f t="shared" si="9"/>
        <v>27668</v>
      </c>
      <c r="C599" s="987" t="str">
        <f t="shared" si="10"/>
        <v>S&amp;P 500 Utility Index</v>
      </c>
      <c r="F599" s="992">
        <v>7.0800000000000002E-2</v>
      </c>
      <c r="H599" s="992">
        <v>8.4666666666666675E-3</v>
      </c>
      <c r="I599" s="986">
        <f t="shared" si="8"/>
        <v>6.2333333333333338E-2</v>
      </c>
      <c r="J599" s="988">
        <v>27668</v>
      </c>
    </row>
    <row r="600" spans="1:10" ht="13.8">
      <c r="A600" s="987">
        <v>3</v>
      </c>
      <c r="B600" s="988">
        <f t="shared" si="9"/>
        <v>27699</v>
      </c>
      <c r="C600" s="987" t="str">
        <f t="shared" si="10"/>
        <v>S&amp;P 500 Utility Index</v>
      </c>
      <c r="F600" s="992">
        <v>3.5000000000000003E-2</v>
      </c>
      <c r="H600" s="992">
        <v>8.3666666666666663E-3</v>
      </c>
      <c r="I600" s="986">
        <f t="shared" si="8"/>
        <v>2.6633333333333335E-2</v>
      </c>
      <c r="J600" s="988">
        <v>27699</v>
      </c>
    </row>
    <row r="601" spans="1:10" ht="13.8">
      <c r="A601" s="987">
        <v>3</v>
      </c>
      <c r="B601" s="988">
        <f t="shared" si="9"/>
        <v>27729</v>
      </c>
      <c r="C601" s="987" t="str">
        <f t="shared" si="10"/>
        <v>S&amp;P 500 Utility Index</v>
      </c>
      <c r="F601" s="992">
        <v>7.6999999999999994E-3</v>
      </c>
      <c r="H601" s="992">
        <v>8.4249999999999985E-3</v>
      </c>
      <c r="I601" s="986">
        <f t="shared" si="8"/>
        <v>-7.2499999999999908E-4</v>
      </c>
      <c r="J601" s="988">
        <v>27729</v>
      </c>
    </row>
    <row r="602" spans="1:10" ht="13.8">
      <c r="A602" s="987">
        <v>3</v>
      </c>
      <c r="B602" s="988">
        <f t="shared" si="9"/>
        <v>27760</v>
      </c>
      <c r="C602" s="987" t="str">
        <f t="shared" si="10"/>
        <v>S&amp;P 500 Utility Index</v>
      </c>
      <c r="F602" s="992">
        <v>8.9400000000000007E-2</v>
      </c>
      <c r="H602" s="992">
        <v>8.2500000000000004E-3</v>
      </c>
      <c r="I602" s="986">
        <f t="shared" ref="I602:I665" si="11">F602-H602</f>
        <v>8.115E-2</v>
      </c>
      <c r="J602" s="988">
        <v>27760</v>
      </c>
    </row>
    <row r="603" spans="1:10" ht="13.8">
      <c r="A603" s="987">
        <v>3</v>
      </c>
      <c r="B603" s="988">
        <f t="shared" si="9"/>
        <v>27791</v>
      </c>
      <c r="C603" s="987" t="str">
        <f t="shared" si="10"/>
        <v>S&amp;P 500 Utility Index</v>
      </c>
      <c r="F603" s="992">
        <v>-3.56E-2</v>
      </c>
      <c r="H603" s="992">
        <v>8.0916666666666671E-3</v>
      </c>
      <c r="I603" s="986">
        <f t="shared" si="11"/>
        <v>-4.369166666666667E-2</v>
      </c>
      <c r="J603" s="988">
        <v>27791</v>
      </c>
    </row>
    <row r="604" spans="1:10" ht="13.8">
      <c r="A604" s="987">
        <v>3</v>
      </c>
      <c r="B604" s="988">
        <f t="shared" si="9"/>
        <v>27820</v>
      </c>
      <c r="C604" s="987" t="str">
        <f t="shared" si="10"/>
        <v>S&amp;P 500 Utility Index</v>
      </c>
      <c r="F604" s="992">
        <v>0.01</v>
      </c>
      <c r="H604" s="992">
        <v>8.0583333333333323E-3</v>
      </c>
      <c r="I604" s="986">
        <f t="shared" si="11"/>
        <v>1.9416666666666679E-3</v>
      </c>
      <c r="J604" s="988">
        <v>27820</v>
      </c>
    </row>
    <row r="605" spans="1:10" ht="13.8">
      <c r="A605" s="987">
        <v>3</v>
      </c>
      <c r="B605" s="988">
        <f t="shared" si="9"/>
        <v>27851</v>
      </c>
      <c r="C605" s="987" t="str">
        <f t="shared" si="10"/>
        <v>S&amp;P 500 Utility Index</v>
      </c>
      <c r="F605" s="992">
        <v>3.7000000000000002E-3</v>
      </c>
      <c r="H605" s="992">
        <v>7.9416666666666663E-3</v>
      </c>
      <c r="I605" s="986">
        <f t="shared" si="11"/>
        <v>-4.2416666666666662E-3</v>
      </c>
      <c r="J605" s="988">
        <v>27851</v>
      </c>
    </row>
    <row r="606" spans="1:10" ht="13.8">
      <c r="A606" s="987">
        <v>3</v>
      </c>
      <c r="B606" s="988">
        <f t="shared" si="9"/>
        <v>27881</v>
      </c>
      <c r="C606" s="987" t="str">
        <f t="shared" si="10"/>
        <v>S&amp;P 500 Utility Index</v>
      </c>
      <c r="F606" s="992">
        <v>-1.3899999999999999E-2</v>
      </c>
      <c r="H606" s="992">
        <v>7.9583333333333346E-3</v>
      </c>
      <c r="I606" s="986">
        <f t="shared" si="11"/>
        <v>-2.1858333333333334E-2</v>
      </c>
      <c r="J606" s="988">
        <v>27881</v>
      </c>
    </row>
    <row r="607" spans="1:10" ht="13.8">
      <c r="A607" s="987">
        <v>3</v>
      </c>
      <c r="B607" s="988">
        <f t="shared" si="9"/>
        <v>27912</v>
      </c>
      <c r="C607" s="987" t="str">
        <f t="shared" si="10"/>
        <v>S&amp;P 500 Utility Index</v>
      </c>
      <c r="F607" s="992">
        <v>3.3700000000000001E-2</v>
      </c>
      <c r="H607" s="992">
        <v>7.9499999999999987E-3</v>
      </c>
      <c r="I607" s="986">
        <f t="shared" si="11"/>
        <v>2.5750000000000002E-2</v>
      </c>
      <c r="J607" s="988">
        <v>27912</v>
      </c>
    </row>
    <row r="608" spans="1:10" ht="13.8">
      <c r="A608" s="987">
        <v>3</v>
      </c>
      <c r="B608" s="988">
        <f t="shared" si="9"/>
        <v>27942</v>
      </c>
      <c r="C608" s="987" t="str">
        <f t="shared" si="10"/>
        <v>S&amp;P 500 Utility Index</v>
      </c>
      <c r="F608" s="992">
        <v>3.4099999999999998E-2</v>
      </c>
      <c r="H608" s="992">
        <v>7.8083333333333329E-3</v>
      </c>
      <c r="I608" s="986">
        <f t="shared" si="11"/>
        <v>2.6291666666666665E-2</v>
      </c>
      <c r="J608" s="988">
        <v>27942</v>
      </c>
    </row>
    <row r="609" spans="1:10" ht="13.8">
      <c r="A609" s="987">
        <v>3</v>
      </c>
      <c r="B609" s="988">
        <f t="shared" si="9"/>
        <v>27973</v>
      </c>
      <c r="C609" s="987" t="str">
        <f t="shared" si="10"/>
        <v>S&amp;P 500 Utility Index</v>
      </c>
      <c r="F609" s="992">
        <v>3.8300000000000001E-2</v>
      </c>
      <c r="H609" s="992">
        <v>7.6083333333333333E-3</v>
      </c>
      <c r="I609" s="986">
        <f t="shared" si="11"/>
        <v>3.0691666666666666E-2</v>
      </c>
      <c r="J609" s="988">
        <v>27973</v>
      </c>
    </row>
    <row r="610" spans="1:10" ht="13.8">
      <c r="A610" s="987">
        <v>3</v>
      </c>
      <c r="B610" s="988">
        <f t="shared" si="9"/>
        <v>28004</v>
      </c>
      <c r="C610" s="987" t="str">
        <f t="shared" si="10"/>
        <v>S&amp;P 500 Utility Index</v>
      </c>
      <c r="F610" s="992">
        <v>3.8100000000000002E-2</v>
      </c>
      <c r="H610" s="992">
        <v>7.4166666666666669E-3</v>
      </c>
      <c r="I610" s="986">
        <f t="shared" si="11"/>
        <v>3.0683333333333333E-2</v>
      </c>
      <c r="J610" s="988">
        <v>28004</v>
      </c>
    </row>
    <row r="611" spans="1:10" ht="13.8">
      <c r="A611" s="987">
        <v>3</v>
      </c>
      <c r="B611" s="988">
        <f t="shared" si="9"/>
        <v>28034</v>
      </c>
      <c r="C611" s="987" t="str">
        <f t="shared" si="10"/>
        <v>S&amp;P 500 Utility Index</v>
      </c>
      <c r="F611" s="992">
        <v>-2.1000000000000003E-3</v>
      </c>
      <c r="H611" s="992">
        <v>7.324999999999999E-3</v>
      </c>
      <c r="I611" s="986">
        <f t="shared" si="11"/>
        <v>-9.4249999999999994E-3</v>
      </c>
      <c r="J611" s="988">
        <v>28034</v>
      </c>
    </row>
    <row r="612" spans="1:10" ht="13.8">
      <c r="A612" s="987">
        <v>3</v>
      </c>
      <c r="B612" s="988">
        <f t="shared" si="9"/>
        <v>28065</v>
      </c>
      <c r="C612" s="987" t="str">
        <f t="shared" si="10"/>
        <v>S&amp;P 500 Utility Index</v>
      </c>
      <c r="F612" s="992">
        <v>2.6800000000000001E-2</v>
      </c>
      <c r="H612" s="992">
        <v>7.3000000000000001E-3</v>
      </c>
      <c r="I612" s="986">
        <f t="shared" si="11"/>
        <v>1.95E-2</v>
      </c>
      <c r="J612" s="988">
        <v>28065</v>
      </c>
    </row>
    <row r="613" spans="1:10" ht="13.8">
      <c r="A613" s="987">
        <v>3</v>
      </c>
      <c r="B613" s="988">
        <f t="shared" si="9"/>
        <v>28095</v>
      </c>
      <c r="C613" s="987" t="str">
        <f t="shared" si="10"/>
        <v>S&amp;P 500 Utility Index</v>
      </c>
      <c r="F613" s="992">
        <v>6.3100000000000003E-2</v>
      </c>
      <c r="H613" s="992">
        <v>7.1833333333333324E-3</v>
      </c>
      <c r="I613" s="986">
        <f t="shared" si="11"/>
        <v>5.591666666666667E-2</v>
      </c>
      <c r="J613" s="988">
        <v>28095</v>
      </c>
    </row>
    <row r="614" spans="1:10" ht="13.8">
      <c r="A614" s="987">
        <v>3</v>
      </c>
      <c r="B614" s="988">
        <f t="shared" si="9"/>
        <v>28126</v>
      </c>
      <c r="C614" s="987" t="str">
        <f t="shared" si="10"/>
        <v>S&amp;P 500 Utility Index</v>
      </c>
      <c r="F614" s="992">
        <v>3.5000000000000005E-3</v>
      </c>
      <c r="H614" s="992">
        <v>7.1749999999999991E-3</v>
      </c>
      <c r="I614" s="986">
        <f t="shared" si="11"/>
        <v>-3.6749999999999986E-3</v>
      </c>
      <c r="J614" s="988">
        <v>28126</v>
      </c>
    </row>
    <row r="615" spans="1:10" ht="13.8">
      <c r="A615" s="987">
        <v>3</v>
      </c>
      <c r="B615" s="988">
        <f t="shared" si="9"/>
        <v>28157</v>
      </c>
      <c r="C615" s="987" t="str">
        <f t="shared" si="10"/>
        <v>S&amp;P 500 Utility Index</v>
      </c>
      <c r="F615" s="992">
        <v>-3.7200000000000004E-2</v>
      </c>
      <c r="H615" s="992">
        <v>7.2083333333333331E-3</v>
      </c>
      <c r="I615" s="986">
        <f t="shared" si="11"/>
        <v>-4.4408333333333334E-2</v>
      </c>
      <c r="J615" s="988">
        <v>28157</v>
      </c>
    </row>
    <row r="616" spans="1:10" ht="13.8">
      <c r="A616" s="987">
        <v>3</v>
      </c>
      <c r="B616" s="988">
        <f t="shared" si="9"/>
        <v>28185</v>
      </c>
      <c r="C616" s="987" t="str">
        <f t="shared" si="10"/>
        <v>S&amp;P 500 Utility Index</v>
      </c>
      <c r="F616" s="992">
        <v>1.0200000000000001E-2</v>
      </c>
      <c r="H616" s="992">
        <v>7.2499999999999995E-3</v>
      </c>
      <c r="I616" s="986">
        <f t="shared" si="11"/>
        <v>2.9500000000000012E-3</v>
      </c>
      <c r="J616" s="988">
        <v>28185</v>
      </c>
    </row>
    <row r="617" spans="1:10" ht="13.8">
      <c r="A617" s="987">
        <v>3</v>
      </c>
      <c r="B617" s="988">
        <f t="shared" si="9"/>
        <v>28216</v>
      </c>
      <c r="C617" s="987" t="str">
        <f t="shared" si="10"/>
        <v>S&amp;P 500 Utility Index</v>
      </c>
      <c r="F617" s="992">
        <v>2.0900000000000002E-2</v>
      </c>
      <c r="H617" s="992">
        <v>7.2583333333333345E-3</v>
      </c>
      <c r="I617" s="986">
        <f t="shared" si="11"/>
        <v>1.3641666666666667E-2</v>
      </c>
      <c r="J617" s="988">
        <v>28216</v>
      </c>
    </row>
    <row r="618" spans="1:10" ht="13.8">
      <c r="A618" s="987">
        <v>3</v>
      </c>
      <c r="B618" s="988">
        <f t="shared" si="9"/>
        <v>28246</v>
      </c>
      <c r="C618" s="987" t="str">
        <f t="shared" si="10"/>
        <v>S&amp;P 500 Utility Index</v>
      </c>
      <c r="F618" s="992">
        <v>2.1099999999999997E-2</v>
      </c>
      <c r="H618" s="992">
        <v>7.2583333333333345E-3</v>
      </c>
      <c r="I618" s="986">
        <f t="shared" si="11"/>
        <v>1.3841666666666662E-2</v>
      </c>
      <c r="J618" s="988">
        <v>28246</v>
      </c>
    </row>
    <row r="619" spans="1:10" ht="13.8">
      <c r="A619" s="987">
        <v>3</v>
      </c>
      <c r="B619" s="988">
        <f t="shared" si="9"/>
        <v>28277</v>
      </c>
      <c r="C619" s="987" t="str">
        <f t="shared" si="10"/>
        <v>S&amp;P 500 Utility Index</v>
      </c>
      <c r="F619" s="992">
        <v>5.3099999999999994E-2</v>
      </c>
      <c r="H619" s="992">
        <v>7.1500000000000001E-3</v>
      </c>
      <c r="I619" s="986">
        <f t="shared" si="11"/>
        <v>4.5949999999999991E-2</v>
      </c>
      <c r="J619" s="988">
        <v>28277</v>
      </c>
    </row>
    <row r="620" spans="1:10" ht="13.8">
      <c r="A620" s="987">
        <v>3</v>
      </c>
      <c r="B620" s="988">
        <f t="shared" si="9"/>
        <v>28307</v>
      </c>
      <c r="C620" s="987" t="str">
        <f t="shared" si="10"/>
        <v>S&amp;P 500 Utility Index</v>
      </c>
      <c r="F620" s="992">
        <v>1.6399999999999998E-2</v>
      </c>
      <c r="H620" s="992">
        <v>7.0916666666666663E-3</v>
      </c>
      <c r="I620" s="986">
        <f t="shared" si="11"/>
        <v>9.3083333333333317E-3</v>
      </c>
      <c r="J620" s="988">
        <v>28307</v>
      </c>
    </row>
    <row r="621" spans="1:10" ht="13.8">
      <c r="A621" s="987">
        <v>3</v>
      </c>
      <c r="B621" s="988">
        <f t="shared" si="9"/>
        <v>28338</v>
      </c>
      <c r="C621" s="987" t="str">
        <f t="shared" si="10"/>
        <v>S&amp;P 500 Utility Index</v>
      </c>
      <c r="F621" s="992">
        <v>-3.5300000000000005E-2</v>
      </c>
      <c r="H621" s="992">
        <v>7.0750000000000006E-3</v>
      </c>
      <c r="I621" s="986">
        <f t="shared" si="11"/>
        <v>-4.2375000000000003E-2</v>
      </c>
      <c r="J621" s="988">
        <v>28338</v>
      </c>
    </row>
    <row r="622" spans="1:10" ht="13.8">
      <c r="A622" s="987">
        <v>3</v>
      </c>
      <c r="B622" s="988">
        <f t="shared" si="9"/>
        <v>28369</v>
      </c>
      <c r="C622" s="987" t="str">
        <f t="shared" si="10"/>
        <v>S&amp;P 500 Utility Index</v>
      </c>
      <c r="F622" s="992">
        <v>2.4699999999999996E-2</v>
      </c>
      <c r="H622" s="992">
        <v>7.0500000000000007E-3</v>
      </c>
      <c r="I622" s="986">
        <f t="shared" si="11"/>
        <v>1.7649999999999996E-2</v>
      </c>
      <c r="J622" s="988">
        <v>28369</v>
      </c>
    </row>
    <row r="623" spans="1:10" ht="13.8">
      <c r="A623" s="987">
        <v>3</v>
      </c>
      <c r="B623" s="988">
        <f t="shared" si="9"/>
        <v>28399</v>
      </c>
      <c r="C623" s="987" t="str">
        <f t="shared" si="10"/>
        <v>S&amp;P 500 Utility Index</v>
      </c>
      <c r="F623" s="992">
        <v>-2.9600000000000001E-2</v>
      </c>
      <c r="H623" s="992">
        <v>7.1749999999999991E-3</v>
      </c>
      <c r="I623" s="986">
        <f t="shared" si="11"/>
        <v>-3.6775000000000002E-2</v>
      </c>
      <c r="J623" s="988">
        <v>28399</v>
      </c>
    </row>
    <row r="624" spans="1:10" ht="13.8">
      <c r="A624" s="987">
        <v>3</v>
      </c>
      <c r="B624" s="988">
        <f t="shared" si="9"/>
        <v>28430</v>
      </c>
      <c r="C624" s="987" t="str">
        <f t="shared" si="10"/>
        <v>S&amp;P 500 Utility Index</v>
      </c>
      <c r="F624" s="992">
        <v>3.8100000000000002E-2</v>
      </c>
      <c r="H624" s="992">
        <v>7.2000000000000007E-3</v>
      </c>
      <c r="I624" s="986">
        <f t="shared" si="11"/>
        <v>3.09E-2</v>
      </c>
      <c r="J624" s="988">
        <v>28430</v>
      </c>
    </row>
    <row r="625" spans="1:10" ht="13.8">
      <c r="A625" s="987">
        <v>3</v>
      </c>
      <c r="B625" s="988">
        <f t="shared" si="9"/>
        <v>28460</v>
      </c>
      <c r="C625" s="987" t="str">
        <f t="shared" si="10"/>
        <v>S&amp;P 500 Utility Index</v>
      </c>
      <c r="F625" s="992">
        <v>1.8999999999999998E-3</v>
      </c>
      <c r="H625" s="992">
        <v>7.2000000000000007E-3</v>
      </c>
      <c r="I625" s="986">
        <f t="shared" si="11"/>
        <v>-5.3000000000000009E-3</v>
      </c>
      <c r="J625" s="988">
        <v>28460</v>
      </c>
    </row>
    <row r="626" spans="1:10" ht="13.8">
      <c r="A626" s="987">
        <v>3</v>
      </c>
      <c r="B626" s="988">
        <f t="shared" si="9"/>
        <v>28491</v>
      </c>
      <c r="C626" s="987" t="str">
        <f t="shared" si="10"/>
        <v>S&amp;P 500 Utility Index</v>
      </c>
      <c r="F626" s="992">
        <v>-5.33E-2</v>
      </c>
      <c r="H626" s="992">
        <v>7.4333333333333326E-3</v>
      </c>
      <c r="I626" s="986">
        <f t="shared" si="11"/>
        <v>-6.0733333333333334E-2</v>
      </c>
      <c r="J626" s="988">
        <v>28491</v>
      </c>
    </row>
    <row r="627" spans="1:10" ht="13.8">
      <c r="A627" s="987">
        <v>3</v>
      </c>
      <c r="B627" s="988">
        <f t="shared" si="9"/>
        <v>28522</v>
      </c>
      <c r="C627" s="987" t="str">
        <f t="shared" si="10"/>
        <v>S&amp;P 500 Utility Index</v>
      </c>
      <c r="F627" s="992">
        <v>-6.1999999999999998E-3</v>
      </c>
      <c r="H627" s="992">
        <v>7.4750000000000007E-3</v>
      </c>
      <c r="I627" s="986">
        <f t="shared" si="11"/>
        <v>-1.3675E-2</v>
      </c>
      <c r="J627" s="988">
        <v>28522</v>
      </c>
    </row>
    <row r="628" spans="1:10" ht="13.8">
      <c r="A628" s="987">
        <v>3</v>
      </c>
      <c r="B628" s="988">
        <f t="shared" si="9"/>
        <v>28550</v>
      </c>
      <c r="C628" s="987" t="str">
        <f t="shared" si="10"/>
        <v>S&amp;P 500 Utility Index</v>
      </c>
      <c r="F628" s="992">
        <v>3.0899999999999997E-2</v>
      </c>
      <c r="H628" s="992">
        <v>7.483333333333334E-3</v>
      </c>
      <c r="I628" s="986">
        <f t="shared" si="11"/>
        <v>2.3416666666666662E-2</v>
      </c>
      <c r="J628" s="988">
        <v>28550</v>
      </c>
    </row>
    <row r="629" spans="1:10" ht="13.8">
      <c r="A629" s="987">
        <v>3</v>
      </c>
      <c r="B629" s="988">
        <f t="shared" si="9"/>
        <v>28581</v>
      </c>
      <c r="C629" s="987" t="str">
        <f t="shared" si="10"/>
        <v>S&amp;P 500 Utility Index</v>
      </c>
      <c r="F629" s="992">
        <v>1.06E-2</v>
      </c>
      <c r="H629" s="992">
        <v>7.5749999999999993E-3</v>
      </c>
      <c r="I629" s="986">
        <f t="shared" si="11"/>
        <v>3.0250000000000008E-3</v>
      </c>
      <c r="J629" s="988">
        <v>28581</v>
      </c>
    </row>
    <row r="630" spans="1:10" ht="13.8">
      <c r="A630" s="987">
        <v>3</v>
      </c>
      <c r="B630" s="988">
        <f t="shared" ref="B630:B693" si="12">DATE(YEAR(B629),MONTH(B629) + 1,1)</f>
        <v>28611</v>
      </c>
      <c r="C630" s="987" t="str">
        <f t="shared" ref="C630:C693" si="13">C629</f>
        <v>S&amp;P 500 Utility Index</v>
      </c>
      <c r="F630" s="992">
        <v>4.3E-3</v>
      </c>
      <c r="H630" s="992">
        <v>7.6833333333333345E-3</v>
      </c>
      <c r="I630" s="986">
        <f t="shared" si="11"/>
        <v>-3.3833333333333345E-3</v>
      </c>
      <c r="J630" s="988">
        <v>28611</v>
      </c>
    </row>
    <row r="631" spans="1:10" ht="13.8">
      <c r="A631" s="987">
        <v>3</v>
      </c>
      <c r="B631" s="988">
        <f t="shared" si="12"/>
        <v>28642</v>
      </c>
      <c r="C631" s="987" t="str">
        <f t="shared" si="13"/>
        <v>S&amp;P 500 Utility Index</v>
      </c>
      <c r="F631" s="992">
        <v>3.5999999999999999E-3</v>
      </c>
      <c r="H631" s="992">
        <v>7.8333333333333328E-3</v>
      </c>
      <c r="I631" s="986">
        <f t="shared" si="11"/>
        <v>-4.2333333333333329E-3</v>
      </c>
      <c r="J631" s="988">
        <v>28642</v>
      </c>
    </row>
    <row r="632" spans="1:10" ht="13.8">
      <c r="A632" s="987">
        <v>3</v>
      </c>
      <c r="B632" s="988">
        <f t="shared" si="12"/>
        <v>28672</v>
      </c>
      <c r="C632" s="987" t="str">
        <f t="shared" si="13"/>
        <v>S&amp;P 500 Utility Index</v>
      </c>
      <c r="F632" s="992">
        <v>3.1600000000000003E-2</v>
      </c>
      <c r="H632" s="992">
        <v>7.9249999999999998E-3</v>
      </c>
      <c r="I632" s="986">
        <f t="shared" si="11"/>
        <v>2.3675000000000002E-2</v>
      </c>
      <c r="J632" s="988">
        <v>28672</v>
      </c>
    </row>
    <row r="633" spans="1:10" ht="13.8">
      <c r="A633" s="987">
        <v>3</v>
      </c>
      <c r="B633" s="988">
        <f t="shared" si="12"/>
        <v>28703</v>
      </c>
      <c r="C633" s="987" t="str">
        <f t="shared" si="13"/>
        <v>S&amp;P 500 Utility Index</v>
      </c>
      <c r="F633" s="992">
        <v>-3.0000000000000079E-4</v>
      </c>
      <c r="H633" s="992">
        <v>7.7666666666666674E-3</v>
      </c>
      <c r="I633" s="986">
        <f t="shared" si="11"/>
        <v>-8.0666666666666682E-3</v>
      </c>
      <c r="J633" s="988">
        <v>28703</v>
      </c>
    </row>
    <row r="634" spans="1:10" ht="13.8">
      <c r="A634" s="987">
        <v>3</v>
      </c>
      <c r="B634" s="988">
        <f t="shared" si="12"/>
        <v>28734</v>
      </c>
      <c r="C634" s="987" t="str">
        <f t="shared" si="13"/>
        <v>S&amp;P 500 Utility Index</v>
      </c>
      <c r="F634" s="992">
        <v>-5.6000000000000008E-3</v>
      </c>
      <c r="H634" s="992">
        <v>7.7333333333333334E-3</v>
      </c>
      <c r="I634" s="986">
        <f t="shared" si="11"/>
        <v>-1.3333333333333334E-2</v>
      </c>
      <c r="J634" s="988">
        <v>28734</v>
      </c>
    </row>
    <row r="635" spans="1:10" ht="13.8">
      <c r="A635" s="987">
        <v>3</v>
      </c>
      <c r="B635" s="988">
        <f t="shared" si="12"/>
        <v>28764</v>
      </c>
      <c r="C635" s="987" t="str">
        <f t="shared" si="13"/>
        <v>S&amp;P 500 Utility Index</v>
      </c>
      <c r="F635" s="992">
        <v>-6.8400000000000002E-2</v>
      </c>
      <c r="H635" s="992">
        <v>7.8833333333333342E-3</v>
      </c>
      <c r="I635" s="986">
        <f t="shared" si="11"/>
        <v>-7.6283333333333342E-2</v>
      </c>
      <c r="J635" s="988">
        <v>28764</v>
      </c>
    </row>
    <row r="636" spans="1:10" ht="13.8">
      <c r="A636" s="987">
        <v>3</v>
      </c>
      <c r="B636" s="988">
        <f t="shared" si="12"/>
        <v>28795</v>
      </c>
      <c r="C636" s="987" t="str">
        <f t="shared" si="13"/>
        <v>S&amp;P 500 Utility Index</v>
      </c>
      <c r="F636" s="992">
        <v>3.56E-2</v>
      </c>
      <c r="H636" s="992">
        <v>8.0666666666666664E-3</v>
      </c>
      <c r="I636" s="986">
        <f t="shared" si="11"/>
        <v>2.7533333333333333E-2</v>
      </c>
      <c r="J636" s="988">
        <v>28795</v>
      </c>
    </row>
    <row r="637" spans="1:10" ht="13.8">
      <c r="A637" s="987">
        <v>3</v>
      </c>
      <c r="B637" s="988">
        <f t="shared" si="12"/>
        <v>28825</v>
      </c>
      <c r="C637" s="987" t="str">
        <f t="shared" si="13"/>
        <v>S&amp;P 500 Utility Index</v>
      </c>
      <c r="F637" s="992">
        <v>-1.49E-2</v>
      </c>
      <c r="H637" s="992">
        <v>8.083333333333333E-3</v>
      </c>
      <c r="I637" s="986">
        <f t="shared" si="11"/>
        <v>-2.2983333333333335E-2</v>
      </c>
      <c r="J637" s="988">
        <v>28825</v>
      </c>
    </row>
    <row r="638" spans="1:10" ht="13.8">
      <c r="A638" s="987">
        <v>3</v>
      </c>
      <c r="B638" s="988">
        <f t="shared" si="12"/>
        <v>28856</v>
      </c>
      <c r="C638" s="987" t="str">
        <f t="shared" si="13"/>
        <v>S&amp;P 500 Utility Index</v>
      </c>
      <c r="F638" s="992">
        <v>6.9199999999999998E-2</v>
      </c>
      <c r="H638" s="992">
        <v>8.2500000000000004E-3</v>
      </c>
      <c r="I638" s="986">
        <f t="shared" si="11"/>
        <v>6.0949999999999997E-2</v>
      </c>
      <c r="J638" s="988">
        <v>28856</v>
      </c>
    </row>
    <row r="639" spans="1:10" ht="13.8">
      <c r="A639" s="987">
        <v>3</v>
      </c>
      <c r="B639" s="988">
        <f t="shared" si="12"/>
        <v>28887</v>
      </c>
      <c r="C639" s="987" t="str">
        <f t="shared" si="13"/>
        <v>S&amp;P 500 Utility Index</v>
      </c>
      <c r="F639" s="992">
        <v>-2.12E-2</v>
      </c>
      <c r="H639" s="992">
        <v>8.199999999999999E-3</v>
      </c>
      <c r="I639" s="986">
        <f t="shared" si="11"/>
        <v>-2.9399999999999999E-2</v>
      </c>
      <c r="J639" s="988">
        <v>28887</v>
      </c>
    </row>
    <row r="640" spans="1:10" ht="13.8">
      <c r="A640" s="987">
        <v>3</v>
      </c>
      <c r="B640" s="988">
        <f t="shared" si="12"/>
        <v>28915</v>
      </c>
      <c r="C640" s="987" t="str">
        <f t="shared" si="13"/>
        <v>S&amp;P 500 Utility Index</v>
      </c>
      <c r="F640" s="992">
        <v>1.9599999999999999E-2</v>
      </c>
      <c r="H640" s="992">
        <v>8.3666666666666663E-3</v>
      </c>
      <c r="I640" s="986">
        <f t="shared" si="11"/>
        <v>1.1233333333333333E-2</v>
      </c>
      <c r="J640" s="988">
        <v>28915</v>
      </c>
    </row>
    <row r="641" spans="1:10" ht="13.8">
      <c r="A641" s="987">
        <v>3</v>
      </c>
      <c r="B641" s="988">
        <f t="shared" si="12"/>
        <v>28946</v>
      </c>
      <c r="C641" s="987" t="str">
        <f t="shared" si="13"/>
        <v>S&amp;P 500 Utility Index</v>
      </c>
      <c r="F641" s="992">
        <v>-2.4899999999999999E-2</v>
      </c>
      <c r="H641" s="992">
        <v>8.416666666666666E-3</v>
      </c>
      <c r="I641" s="986">
        <f t="shared" si="11"/>
        <v>-3.3316666666666661E-2</v>
      </c>
      <c r="J641" s="988">
        <v>28946</v>
      </c>
    </row>
    <row r="642" spans="1:10" ht="13.8">
      <c r="A642" s="987">
        <v>3</v>
      </c>
      <c r="B642" s="988">
        <f t="shared" si="12"/>
        <v>28976</v>
      </c>
      <c r="C642" s="987" t="str">
        <f t="shared" si="13"/>
        <v>S&amp;P 500 Utility Index</v>
      </c>
      <c r="F642" s="992">
        <v>1.4999999999999999E-2</v>
      </c>
      <c r="H642" s="992">
        <v>8.5833333333333334E-3</v>
      </c>
      <c r="I642" s="986">
        <f t="shared" si="11"/>
        <v>6.416666666666666E-3</v>
      </c>
      <c r="J642" s="988">
        <v>28976</v>
      </c>
    </row>
    <row r="643" spans="1:10" ht="13.8">
      <c r="A643" s="987">
        <v>3</v>
      </c>
      <c r="B643" s="988">
        <f t="shared" si="12"/>
        <v>29007</v>
      </c>
      <c r="C643" s="987" t="str">
        <f t="shared" si="13"/>
        <v>S&amp;P 500 Utility Index</v>
      </c>
      <c r="F643" s="992">
        <v>3.8600000000000002E-2</v>
      </c>
      <c r="H643" s="992">
        <v>8.4500000000000009E-3</v>
      </c>
      <c r="I643" s="986">
        <f t="shared" si="11"/>
        <v>3.0150000000000003E-2</v>
      </c>
      <c r="J643" s="988">
        <v>29007</v>
      </c>
    </row>
    <row r="644" spans="1:10" ht="13.8">
      <c r="A644" s="987">
        <v>3</v>
      </c>
      <c r="B644" s="988">
        <f t="shared" si="12"/>
        <v>29037</v>
      </c>
      <c r="C644" s="987" t="str">
        <f t="shared" si="13"/>
        <v>S&amp;P 500 Utility Index</v>
      </c>
      <c r="F644" s="992">
        <v>3.4200000000000001E-2</v>
      </c>
      <c r="H644" s="992">
        <v>8.3166666666666667E-3</v>
      </c>
      <c r="I644" s="986">
        <f t="shared" si="11"/>
        <v>2.5883333333333335E-2</v>
      </c>
      <c r="J644" s="988">
        <v>29037</v>
      </c>
    </row>
    <row r="645" spans="1:10" ht="13.8">
      <c r="A645" s="987">
        <v>3</v>
      </c>
      <c r="B645" s="988">
        <f t="shared" si="12"/>
        <v>29068</v>
      </c>
      <c r="C645" s="987" t="str">
        <f t="shared" si="13"/>
        <v>S&amp;P 500 Utility Index</v>
      </c>
      <c r="F645" s="992">
        <v>1.0200000000000001E-2</v>
      </c>
      <c r="H645" s="992">
        <v>8.4500000000000009E-3</v>
      </c>
      <c r="I645" s="986">
        <f t="shared" si="11"/>
        <v>1.7499999999999998E-3</v>
      </c>
      <c r="J645" s="988">
        <v>29068</v>
      </c>
    </row>
    <row r="646" spans="1:10" ht="13.8">
      <c r="A646" s="987">
        <v>3</v>
      </c>
      <c r="B646" s="988">
        <f t="shared" si="12"/>
        <v>29099</v>
      </c>
      <c r="C646" s="987" t="str">
        <f t="shared" si="13"/>
        <v>S&amp;P 500 Utility Index</v>
      </c>
      <c r="F646" s="992">
        <v>-1.77E-2</v>
      </c>
      <c r="H646" s="992">
        <v>8.6333333333333331E-3</v>
      </c>
      <c r="I646" s="986">
        <f t="shared" si="11"/>
        <v>-2.6333333333333334E-2</v>
      </c>
      <c r="J646" s="988">
        <v>29099</v>
      </c>
    </row>
    <row r="647" spans="1:10" ht="13.8">
      <c r="A647" s="987">
        <v>3</v>
      </c>
      <c r="B647" s="988">
        <f t="shared" si="12"/>
        <v>29129</v>
      </c>
      <c r="C647" s="987" t="str">
        <f t="shared" si="13"/>
        <v>S&amp;P 500 Utility Index</v>
      </c>
      <c r="F647" s="992">
        <v>-5.0499999999999996E-2</v>
      </c>
      <c r="H647" s="992">
        <v>9.5000000000000015E-3</v>
      </c>
      <c r="I647" s="986">
        <f t="shared" si="11"/>
        <v>-0.06</v>
      </c>
      <c r="J647" s="988">
        <v>29129</v>
      </c>
    </row>
    <row r="648" spans="1:10" ht="13.8">
      <c r="A648" s="987">
        <v>3</v>
      </c>
      <c r="B648" s="988">
        <f t="shared" si="12"/>
        <v>29160</v>
      </c>
      <c r="C648" s="987" t="str">
        <f t="shared" si="13"/>
        <v>S&amp;P 500 Utility Index</v>
      </c>
      <c r="F648" s="992">
        <v>6.0699999999999997E-2</v>
      </c>
      <c r="H648" s="992">
        <v>9.9083333333333332E-3</v>
      </c>
      <c r="I648" s="986">
        <f t="shared" si="11"/>
        <v>5.0791666666666666E-2</v>
      </c>
      <c r="J648" s="988">
        <v>29160</v>
      </c>
    </row>
    <row r="649" spans="1:10" ht="13.8">
      <c r="A649" s="987">
        <v>3</v>
      </c>
      <c r="B649" s="988">
        <f t="shared" si="12"/>
        <v>29190</v>
      </c>
      <c r="C649" s="987" t="str">
        <f t="shared" si="13"/>
        <v>S&amp;P 500 Utility Index</v>
      </c>
      <c r="F649" s="992">
        <v>2.2000000000000006E-3</v>
      </c>
      <c r="H649" s="992">
        <v>1.0125E-2</v>
      </c>
      <c r="I649" s="986">
        <f t="shared" si="11"/>
        <v>-7.9249999999999998E-3</v>
      </c>
      <c r="J649" s="988">
        <v>29190</v>
      </c>
    </row>
    <row r="650" spans="1:10" ht="13.8">
      <c r="A650" s="987">
        <v>3</v>
      </c>
      <c r="B650" s="988">
        <f t="shared" si="12"/>
        <v>29221</v>
      </c>
      <c r="C650" s="987" t="str">
        <f t="shared" si="13"/>
        <v>S&amp;P 500 Utility Index</v>
      </c>
      <c r="F650" s="992">
        <v>-2.3E-3</v>
      </c>
      <c r="H650" s="992">
        <v>1.0177083333333335E-2</v>
      </c>
      <c r="I650" s="986">
        <f t="shared" si="11"/>
        <v>-1.2477083333333335E-2</v>
      </c>
      <c r="J650" s="988">
        <v>29221</v>
      </c>
    </row>
    <row r="651" spans="1:10" ht="13.8">
      <c r="A651" s="987">
        <v>3</v>
      </c>
      <c r="B651" s="988">
        <f t="shared" si="12"/>
        <v>29252</v>
      </c>
      <c r="C651" s="987" t="str">
        <f t="shared" si="13"/>
        <v>S&amp;P 500 Utility Index</v>
      </c>
      <c r="F651" s="992">
        <v>-2.4700000000000003E-2</v>
      </c>
      <c r="H651" s="992">
        <v>1.1028333333333333E-2</v>
      </c>
      <c r="I651" s="986">
        <f t="shared" si="11"/>
        <v>-3.5728333333333334E-2</v>
      </c>
      <c r="J651" s="988">
        <v>29252</v>
      </c>
    </row>
    <row r="652" spans="1:10" ht="13.8">
      <c r="A652" s="987">
        <v>3</v>
      </c>
      <c r="B652" s="988">
        <f t="shared" si="12"/>
        <v>29281</v>
      </c>
      <c r="C652" s="987" t="str">
        <f t="shared" si="13"/>
        <v>S&amp;P 500 Utility Index</v>
      </c>
      <c r="F652" s="992">
        <v>-5.2900000000000003E-2</v>
      </c>
      <c r="H652" s="992">
        <v>1.2158333333333333E-2</v>
      </c>
      <c r="I652" s="986">
        <f t="shared" si="11"/>
        <v>-6.5058333333333329E-2</v>
      </c>
      <c r="J652" s="988">
        <v>29281</v>
      </c>
    </row>
    <row r="653" spans="1:10" ht="13.8">
      <c r="A653" s="987">
        <v>3</v>
      </c>
      <c r="B653" s="988">
        <f t="shared" si="12"/>
        <v>29312</v>
      </c>
      <c r="C653" s="987" t="str">
        <f t="shared" si="13"/>
        <v>S&amp;P 500 Utility Index</v>
      </c>
      <c r="F653" s="992">
        <v>0.1186</v>
      </c>
      <c r="H653" s="992">
        <v>1.1908333333333333E-2</v>
      </c>
      <c r="I653" s="986">
        <f t="shared" si="11"/>
        <v>0.10669166666666666</v>
      </c>
      <c r="J653" s="988">
        <v>29312</v>
      </c>
    </row>
    <row r="654" spans="1:10" ht="13.8">
      <c r="A654" s="987">
        <v>3</v>
      </c>
      <c r="B654" s="988">
        <f t="shared" si="12"/>
        <v>29342</v>
      </c>
      <c r="C654" s="987" t="str">
        <f t="shared" si="13"/>
        <v>S&amp;P 500 Utility Index</v>
      </c>
      <c r="F654" s="992">
        <v>3.2299999999999995E-2</v>
      </c>
      <c r="H654" s="992">
        <v>1.0613333333333334E-2</v>
      </c>
      <c r="I654" s="986">
        <f t="shared" si="11"/>
        <v>2.168666666666666E-2</v>
      </c>
      <c r="J654" s="988">
        <v>29342</v>
      </c>
    </row>
    <row r="655" spans="1:10" ht="13.8">
      <c r="A655" s="987">
        <v>3</v>
      </c>
      <c r="B655" s="988">
        <f t="shared" si="12"/>
        <v>29373</v>
      </c>
      <c r="C655" s="987" t="str">
        <f t="shared" si="13"/>
        <v>S&amp;P 500 Utility Index</v>
      </c>
      <c r="F655" s="992">
        <v>3.3700000000000001E-2</v>
      </c>
      <c r="H655" s="992">
        <v>1.033125E-2</v>
      </c>
      <c r="I655" s="986">
        <f t="shared" si="11"/>
        <v>2.3368750000000001E-2</v>
      </c>
      <c r="J655" s="988">
        <v>29373</v>
      </c>
    </row>
    <row r="656" spans="1:10" ht="13.8">
      <c r="A656" s="987">
        <v>3</v>
      </c>
      <c r="B656" s="988">
        <f t="shared" si="12"/>
        <v>29403</v>
      </c>
      <c r="C656" s="987" t="str">
        <f t="shared" si="13"/>
        <v>S&amp;P 500 Utility Index</v>
      </c>
      <c r="F656" s="992">
        <v>-4.0999999999999995E-3</v>
      </c>
      <c r="H656" s="992">
        <v>1.0127083333333333E-2</v>
      </c>
      <c r="I656" s="986">
        <f t="shared" si="11"/>
        <v>-1.4227083333333333E-2</v>
      </c>
      <c r="J656" s="988">
        <v>29403</v>
      </c>
    </row>
    <row r="657" spans="1:10" ht="13.8">
      <c r="A657" s="987">
        <v>3</v>
      </c>
      <c r="B657" s="988">
        <f t="shared" si="12"/>
        <v>29434</v>
      </c>
      <c r="C657" s="987" t="str">
        <f t="shared" si="13"/>
        <v>S&amp;P 500 Utility Index</v>
      </c>
      <c r="F657" s="992">
        <v>-1.3899999999999999E-2</v>
      </c>
      <c r="H657" s="992">
        <v>1.0549999999999999E-2</v>
      </c>
      <c r="I657" s="986">
        <f t="shared" si="11"/>
        <v>-2.445E-2</v>
      </c>
      <c r="J657" s="988">
        <v>29434</v>
      </c>
    </row>
    <row r="658" spans="1:10" ht="13.8">
      <c r="A658" s="987">
        <v>3</v>
      </c>
      <c r="B658" s="988">
        <f t="shared" si="12"/>
        <v>29465</v>
      </c>
      <c r="C658" s="987" t="str">
        <f t="shared" si="13"/>
        <v>S&amp;P 500 Utility Index</v>
      </c>
      <c r="F658" s="992">
        <v>-1.14E-2</v>
      </c>
      <c r="H658" s="992">
        <v>1.1077083333333333E-2</v>
      </c>
      <c r="I658" s="986">
        <f t="shared" si="11"/>
        <v>-2.2477083333333335E-2</v>
      </c>
      <c r="J658" s="988">
        <v>29465</v>
      </c>
    </row>
    <row r="659" spans="1:10" ht="13.8">
      <c r="A659" s="987">
        <v>3</v>
      </c>
      <c r="B659" s="988">
        <f t="shared" si="12"/>
        <v>29495</v>
      </c>
      <c r="C659" s="987" t="str">
        <f t="shared" si="13"/>
        <v>S&amp;P 500 Utility Index</v>
      </c>
      <c r="F659" s="992">
        <v>2.7400000000000001E-2</v>
      </c>
      <c r="H659" s="992">
        <v>1.1279999999999998E-2</v>
      </c>
      <c r="I659" s="986">
        <f t="shared" si="11"/>
        <v>1.6120000000000002E-2</v>
      </c>
      <c r="J659" s="988">
        <v>29495</v>
      </c>
    </row>
    <row r="660" spans="1:10" ht="13.8">
      <c r="A660" s="987">
        <v>3</v>
      </c>
      <c r="B660" s="988">
        <f t="shared" si="12"/>
        <v>29526</v>
      </c>
      <c r="C660" s="987" t="str">
        <f t="shared" si="13"/>
        <v>S&amp;P 500 Utility Index</v>
      </c>
      <c r="F660" s="992">
        <v>5.0099999999999999E-2</v>
      </c>
      <c r="H660" s="992">
        <v>1.1677083333333333E-2</v>
      </c>
      <c r="I660" s="986">
        <f t="shared" si="11"/>
        <v>3.8422916666666668E-2</v>
      </c>
      <c r="J660" s="988">
        <v>29526</v>
      </c>
    </row>
    <row r="661" spans="1:10" ht="13.8">
      <c r="A661" s="987">
        <v>3</v>
      </c>
      <c r="B661" s="988">
        <f t="shared" si="12"/>
        <v>29556</v>
      </c>
      <c r="C661" s="987" t="str">
        <f t="shared" si="13"/>
        <v>S&amp;P 500 Utility Index</v>
      </c>
      <c r="F661" s="992">
        <v>-1.4000000000000002E-3</v>
      </c>
      <c r="H661" s="992">
        <v>1.2216666666666667E-2</v>
      </c>
      <c r="I661" s="986">
        <f t="shared" si="11"/>
        <v>-1.3616666666666668E-2</v>
      </c>
      <c r="J661" s="988">
        <v>29556</v>
      </c>
    </row>
    <row r="662" spans="1:10" ht="13.8">
      <c r="A662" s="987">
        <v>3</v>
      </c>
      <c r="B662" s="988">
        <f t="shared" si="12"/>
        <v>29587</v>
      </c>
      <c r="C662" s="987" t="str">
        <f t="shared" si="13"/>
        <v>S&amp;P 500 Utility Index</v>
      </c>
      <c r="F662" s="992">
        <v>-1.8600000000000002E-2</v>
      </c>
      <c r="H662" s="992">
        <v>1.1894999999999999E-2</v>
      </c>
      <c r="I662" s="986">
        <f t="shared" si="11"/>
        <v>-3.0495000000000001E-2</v>
      </c>
      <c r="J662" s="988">
        <v>29587</v>
      </c>
    </row>
    <row r="663" spans="1:10" ht="13.8">
      <c r="A663" s="987">
        <v>3</v>
      </c>
      <c r="B663" s="988">
        <f t="shared" si="12"/>
        <v>29618</v>
      </c>
      <c r="C663" s="987" t="str">
        <f t="shared" si="13"/>
        <v>S&amp;P 500 Utility Index</v>
      </c>
      <c r="F663" s="992">
        <v>-2.2400000000000003E-2</v>
      </c>
      <c r="H663" s="992">
        <v>1.2233333333333334E-2</v>
      </c>
      <c r="I663" s="986">
        <f t="shared" si="11"/>
        <v>-3.4633333333333335E-2</v>
      </c>
      <c r="J663" s="988">
        <v>29618</v>
      </c>
    </row>
    <row r="664" spans="1:10" ht="13.8">
      <c r="A664" s="987">
        <v>3</v>
      </c>
      <c r="B664" s="988">
        <f t="shared" si="12"/>
        <v>29646</v>
      </c>
      <c r="C664" s="987" t="str">
        <f t="shared" si="13"/>
        <v>S&amp;P 500 Utility Index</v>
      </c>
      <c r="F664" s="992">
        <v>4.2000000000000003E-2</v>
      </c>
      <c r="H664" s="992">
        <v>1.2604166666666668E-2</v>
      </c>
      <c r="I664" s="986">
        <f t="shared" si="11"/>
        <v>2.9395833333333336E-2</v>
      </c>
      <c r="J664" s="988">
        <v>29646</v>
      </c>
    </row>
    <row r="665" spans="1:10" ht="13.8">
      <c r="A665" s="987">
        <v>3</v>
      </c>
      <c r="B665" s="988">
        <f t="shared" si="12"/>
        <v>29677</v>
      </c>
      <c r="C665" s="987" t="str">
        <f t="shared" si="13"/>
        <v>S&amp;P 500 Utility Index</v>
      </c>
      <c r="F665" s="992">
        <v>-9.5999999999999992E-3</v>
      </c>
      <c r="H665" s="992">
        <v>1.2708333333333332E-2</v>
      </c>
      <c r="I665" s="986">
        <f t="shared" si="11"/>
        <v>-2.2308333333333333E-2</v>
      </c>
      <c r="J665" s="988">
        <v>29677</v>
      </c>
    </row>
    <row r="666" spans="1:10" ht="13.8">
      <c r="A666" s="987">
        <v>3</v>
      </c>
      <c r="B666" s="988">
        <f t="shared" si="12"/>
        <v>29707</v>
      </c>
      <c r="C666" s="987" t="str">
        <f t="shared" si="13"/>
        <v>S&amp;P 500 Utility Index</v>
      </c>
      <c r="F666" s="992">
        <v>2.9100000000000001E-2</v>
      </c>
      <c r="H666" s="992">
        <v>1.3429999999999999E-2</v>
      </c>
      <c r="I666" s="986">
        <f t="shared" ref="I666:I729" si="14">F666-H666</f>
        <v>1.5670000000000003E-2</v>
      </c>
      <c r="J666" s="988">
        <v>29707</v>
      </c>
    </row>
    <row r="667" spans="1:10" ht="13.8">
      <c r="A667" s="987">
        <v>3</v>
      </c>
      <c r="B667" s="988">
        <f t="shared" si="12"/>
        <v>29738</v>
      </c>
      <c r="C667" s="987" t="str">
        <f t="shared" si="13"/>
        <v>S&amp;P 500 Utility Index</v>
      </c>
      <c r="F667" s="992">
        <v>2.7200000000000002E-2</v>
      </c>
      <c r="H667" s="992">
        <v>1.3160416666666667E-2</v>
      </c>
      <c r="I667" s="986">
        <f t="shared" si="14"/>
        <v>1.4039583333333334E-2</v>
      </c>
      <c r="J667" s="988">
        <v>29738</v>
      </c>
    </row>
    <row r="668" spans="1:10" ht="13.8">
      <c r="A668" s="987">
        <v>3</v>
      </c>
      <c r="B668" s="988">
        <f t="shared" si="12"/>
        <v>29768</v>
      </c>
      <c r="C668" s="987" t="str">
        <f t="shared" si="13"/>
        <v>S&amp;P 500 Utility Index</v>
      </c>
      <c r="F668" s="992">
        <v>3.4099999999999998E-2</v>
      </c>
      <c r="H668" s="992">
        <v>1.3393333333333333E-2</v>
      </c>
      <c r="I668" s="986">
        <f t="shared" si="14"/>
        <v>2.0706666666666665E-2</v>
      </c>
      <c r="J668" s="988">
        <v>29768</v>
      </c>
    </row>
    <row r="669" spans="1:10" ht="13.8">
      <c r="A669" s="987">
        <v>3</v>
      </c>
      <c r="B669" s="988">
        <f t="shared" si="12"/>
        <v>29799</v>
      </c>
      <c r="C669" s="987" t="str">
        <f t="shared" si="13"/>
        <v>S&amp;P 500 Utility Index</v>
      </c>
      <c r="F669" s="992">
        <v>-2.3999999999999994E-3</v>
      </c>
      <c r="H669" s="992">
        <v>1.3706250000000001E-2</v>
      </c>
      <c r="I669" s="986">
        <f t="shared" si="14"/>
        <v>-1.6106250000000003E-2</v>
      </c>
      <c r="J669" s="988">
        <v>29799</v>
      </c>
    </row>
    <row r="670" spans="1:10" ht="13.8">
      <c r="A670" s="987">
        <v>3</v>
      </c>
      <c r="B670" s="988">
        <f t="shared" si="12"/>
        <v>29830</v>
      </c>
      <c r="C670" s="987" t="str">
        <f t="shared" si="13"/>
        <v>S&amp;P 500 Utility Index</v>
      </c>
      <c r="F670" s="992">
        <v>-4.0899999999999999E-2</v>
      </c>
      <c r="H670" s="992">
        <v>1.4191666666666667E-2</v>
      </c>
      <c r="I670" s="986">
        <f t="shared" si="14"/>
        <v>-5.5091666666666664E-2</v>
      </c>
      <c r="J670" s="988">
        <v>29830</v>
      </c>
    </row>
    <row r="671" spans="1:10" ht="13.8">
      <c r="A671" s="987">
        <v>3</v>
      </c>
      <c r="B671" s="988">
        <f t="shared" si="12"/>
        <v>29860</v>
      </c>
      <c r="C671" s="987" t="str">
        <f t="shared" si="13"/>
        <v>S&amp;P 500 Utility Index</v>
      </c>
      <c r="F671" s="992">
        <v>6.1699999999999998E-2</v>
      </c>
      <c r="H671" s="992">
        <v>1.4379166666666665E-2</v>
      </c>
      <c r="I671" s="986">
        <f t="shared" si="14"/>
        <v>4.7320833333333333E-2</v>
      </c>
      <c r="J671" s="988">
        <v>29860</v>
      </c>
    </row>
    <row r="672" spans="1:10" ht="13.8">
      <c r="A672" s="987">
        <v>3</v>
      </c>
      <c r="B672" s="988">
        <f t="shared" si="12"/>
        <v>29891</v>
      </c>
      <c r="C672" s="987" t="str">
        <f t="shared" si="13"/>
        <v>S&amp;P 500 Utility Index</v>
      </c>
      <c r="F672" s="992">
        <v>4.8100000000000004E-2</v>
      </c>
      <c r="H672" s="992">
        <v>1.3679166666666666E-2</v>
      </c>
      <c r="I672" s="986">
        <f t="shared" si="14"/>
        <v>3.4420833333333338E-2</v>
      </c>
      <c r="J672" s="988">
        <v>29891</v>
      </c>
    </row>
    <row r="673" spans="1:10" ht="13.8">
      <c r="A673" s="987">
        <v>3</v>
      </c>
      <c r="B673" s="988">
        <f t="shared" si="12"/>
        <v>29921</v>
      </c>
      <c r="C673" s="987" t="str">
        <f t="shared" si="13"/>
        <v>S&amp;P 500 Utility Index</v>
      </c>
      <c r="F673" s="992">
        <v>-3.0499999999999999E-2</v>
      </c>
      <c r="H673" s="992">
        <v>1.3468333333333334E-2</v>
      </c>
      <c r="I673" s="986">
        <f t="shared" si="14"/>
        <v>-4.3968333333333331E-2</v>
      </c>
      <c r="J673" s="988">
        <v>29921</v>
      </c>
    </row>
    <row r="674" spans="1:10" ht="13.8">
      <c r="A674" s="987">
        <v>3</v>
      </c>
      <c r="B674" s="988">
        <f t="shared" si="12"/>
        <v>29952</v>
      </c>
      <c r="C674" s="987" t="str">
        <f t="shared" si="13"/>
        <v>S&amp;P 500 Utility Index</v>
      </c>
      <c r="F674" s="992">
        <v>3.7000000000000002E-3</v>
      </c>
      <c r="H674" s="992">
        <v>1.4000000000000002E-2</v>
      </c>
      <c r="I674" s="986">
        <f t="shared" si="14"/>
        <v>-1.0300000000000002E-2</v>
      </c>
      <c r="J674" s="988">
        <v>29952</v>
      </c>
    </row>
    <row r="675" spans="1:10" ht="13.8">
      <c r="A675" s="987">
        <v>3</v>
      </c>
      <c r="B675" s="988">
        <f t="shared" si="12"/>
        <v>29983</v>
      </c>
      <c r="C675" s="987" t="str">
        <f t="shared" si="13"/>
        <v>S&amp;P 500 Utility Index</v>
      </c>
      <c r="F675" s="992">
        <v>-3.4999999999999996E-3</v>
      </c>
      <c r="H675" s="992">
        <v>1.4095833333333332E-2</v>
      </c>
      <c r="I675" s="986">
        <f t="shared" si="14"/>
        <v>-1.7595833333333331E-2</v>
      </c>
      <c r="J675" s="988">
        <v>29983</v>
      </c>
    </row>
    <row r="676" spans="1:10" ht="13.8">
      <c r="A676" s="987">
        <v>3</v>
      </c>
      <c r="B676" s="988">
        <f t="shared" si="12"/>
        <v>30011</v>
      </c>
      <c r="C676" s="987" t="str">
        <f t="shared" si="13"/>
        <v>S&amp;P 500 Utility Index</v>
      </c>
      <c r="F676" s="992">
        <v>1.6800000000000002E-2</v>
      </c>
      <c r="H676" s="992">
        <v>1.3739999999999999E-2</v>
      </c>
      <c r="I676" s="986">
        <f t="shared" si="14"/>
        <v>3.0600000000000037E-3</v>
      </c>
      <c r="J676" s="988">
        <v>30011</v>
      </c>
    </row>
    <row r="677" spans="1:10" ht="13.8">
      <c r="A677" s="987">
        <v>3</v>
      </c>
      <c r="B677" s="988">
        <f t="shared" si="12"/>
        <v>30042</v>
      </c>
      <c r="C677" s="987" t="str">
        <f t="shared" si="13"/>
        <v>S&amp;P 500 Utility Index</v>
      </c>
      <c r="F677" s="992">
        <v>5.4800000000000001E-2</v>
      </c>
      <c r="H677" s="992">
        <v>1.3664583333333334E-2</v>
      </c>
      <c r="I677" s="986">
        <f t="shared" si="14"/>
        <v>4.1135416666666667E-2</v>
      </c>
      <c r="J677" s="988">
        <v>30042</v>
      </c>
    </row>
    <row r="678" spans="1:10" ht="13.8">
      <c r="A678" s="987">
        <v>3</v>
      </c>
      <c r="B678" s="988">
        <f t="shared" si="12"/>
        <v>30072</v>
      </c>
      <c r="C678" s="987" t="str">
        <f t="shared" si="13"/>
        <v>S&amp;P 500 Utility Index</v>
      </c>
      <c r="F678" s="992">
        <v>-1.8700000000000001E-2</v>
      </c>
      <c r="H678" s="992">
        <v>1.3399999999999999E-2</v>
      </c>
      <c r="I678" s="986">
        <f t="shared" si="14"/>
        <v>-3.2100000000000004E-2</v>
      </c>
      <c r="J678" s="988">
        <v>30072</v>
      </c>
    </row>
    <row r="679" spans="1:10" ht="13.8">
      <c r="A679" s="987">
        <v>3</v>
      </c>
      <c r="B679" s="988">
        <f t="shared" si="12"/>
        <v>30103</v>
      </c>
      <c r="C679" s="987" t="str">
        <f t="shared" si="13"/>
        <v>S&amp;P 500 Utility Index</v>
      </c>
      <c r="F679" s="992">
        <v>-1.6099999999999996E-2</v>
      </c>
      <c r="H679" s="992">
        <v>1.3616666666666666E-2</v>
      </c>
      <c r="I679" s="986">
        <f t="shared" si="14"/>
        <v>-2.9716666666666662E-2</v>
      </c>
      <c r="J679" s="988">
        <v>30103</v>
      </c>
    </row>
    <row r="680" spans="1:10" ht="13.8">
      <c r="A680" s="987">
        <v>3</v>
      </c>
      <c r="B680" s="988">
        <f t="shared" si="12"/>
        <v>30133</v>
      </c>
      <c r="C680" s="987" t="str">
        <f t="shared" si="13"/>
        <v>S&amp;P 500 Utility Index</v>
      </c>
      <c r="F680" s="992">
        <v>-1.9800000000000002E-2</v>
      </c>
      <c r="H680" s="992">
        <v>1.3716666666666669E-2</v>
      </c>
      <c r="I680" s="986">
        <f t="shared" si="14"/>
        <v>-3.3516666666666667E-2</v>
      </c>
      <c r="J680" s="988">
        <v>30133</v>
      </c>
    </row>
    <row r="681" spans="1:10" ht="13.8">
      <c r="A681" s="987">
        <v>3</v>
      </c>
      <c r="B681" s="988">
        <f t="shared" si="12"/>
        <v>30164</v>
      </c>
      <c r="C681" s="987" t="str">
        <f t="shared" si="13"/>
        <v>S&amp;P 500 Utility Index</v>
      </c>
      <c r="F681" s="992">
        <v>0.1211</v>
      </c>
      <c r="H681" s="992">
        <v>1.3266666666666666E-2</v>
      </c>
      <c r="I681" s="986">
        <f t="shared" si="14"/>
        <v>0.10783333333333334</v>
      </c>
      <c r="J681" s="988">
        <v>30164</v>
      </c>
    </row>
    <row r="682" spans="1:10" ht="13.8">
      <c r="A682" s="987">
        <v>3</v>
      </c>
      <c r="B682" s="988">
        <f t="shared" si="12"/>
        <v>30195</v>
      </c>
      <c r="C682" s="987" t="str">
        <f t="shared" si="13"/>
        <v>S&amp;P 500 Utility Index</v>
      </c>
      <c r="F682" s="992">
        <v>5.1999999999999998E-3</v>
      </c>
      <c r="H682" s="992">
        <v>1.2875000000000001E-2</v>
      </c>
      <c r="I682" s="986">
        <f t="shared" si="14"/>
        <v>-7.6750000000000013E-3</v>
      </c>
      <c r="J682" s="988">
        <v>30195</v>
      </c>
    </row>
    <row r="683" spans="1:10" ht="13.8">
      <c r="A683" s="987">
        <v>3</v>
      </c>
      <c r="B683" s="988">
        <f t="shared" si="12"/>
        <v>30225</v>
      </c>
      <c r="C683" s="987" t="str">
        <f t="shared" si="13"/>
        <v>S&amp;P 500 Utility Index</v>
      </c>
      <c r="F683" s="992">
        <v>6.59E-2</v>
      </c>
      <c r="H683" s="992">
        <v>1.2486666666666667E-2</v>
      </c>
      <c r="I683" s="986">
        <f t="shared" si="14"/>
        <v>5.3413333333333333E-2</v>
      </c>
      <c r="J683" s="988">
        <v>30225</v>
      </c>
    </row>
    <row r="684" spans="1:10" ht="13.8">
      <c r="A684" s="987">
        <v>3</v>
      </c>
      <c r="B684" s="988">
        <f t="shared" si="12"/>
        <v>30256</v>
      </c>
      <c r="C684" s="987" t="str">
        <f t="shared" si="13"/>
        <v>S&amp;P 500 Utility Index</v>
      </c>
      <c r="F684" s="992">
        <v>1.6999999999999993E-3</v>
      </c>
      <c r="H684" s="992">
        <v>1.2052083333333335E-2</v>
      </c>
      <c r="I684" s="986">
        <f t="shared" si="14"/>
        <v>-1.0352083333333335E-2</v>
      </c>
      <c r="J684" s="988">
        <v>30256</v>
      </c>
    </row>
    <row r="685" spans="1:10" ht="13.8">
      <c r="A685" s="987">
        <v>3</v>
      </c>
      <c r="B685" s="988">
        <f t="shared" si="12"/>
        <v>30286</v>
      </c>
      <c r="C685" s="987" t="str">
        <f t="shared" si="13"/>
        <v>S&amp;P 500 Utility Index</v>
      </c>
      <c r="F685" s="992">
        <v>3.5999999999999997E-2</v>
      </c>
      <c r="H685" s="992">
        <v>1.2021333333333334E-2</v>
      </c>
      <c r="I685" s="986">
        <f t="shared" si="14"/>
        <v>2.3978666666666662E-2</v>
      </c>
      <c r="J685" s="988">
        <v>30286</v>
      </c>
    </row>
    <row r="686" spans="1:10" ht="13.8">
      <c r="A686" s="987">
        <v>3</v>
      </c>
      <c r="B686" s="988">
        <f t="shared" si="12"/>
        <v>30317</v>
      </c>
      <c r="C686" s="987" t="str">
        <f t="shared" si="13"/>
        <v>S&amp;P 500 Utility Index</v>
      </c>
      <c r="F686" s="992">
        <v>3.7199999999999997E-2</v>
      </c>
      <c r="H686" s="992">
        <v>1.18675E-2</v>
      </c>
      <c r="I686" s="986">
        <f t="shared" si="14"/>
        <v>2.5332499999999997E-2</v>
      </c>
      <c r="J686" s="988">
        <v>30317</v>
      </c>
    </row>
    <row r="687" spans="1:10" ht="13.8">
      <c r="A687" s="987">
        <v>3</v>
      </c>
      <c r="B687" s="988">
        <f t="shared" si="12"/>
        <v>30348</v>
      </c>
      <c r="C687" s="987" t="str">
        <f t="shared" si="13"/>
        <v>S&amp;P 500 Utility Index</v>
      </c>
      <c r="F687" s="992">
        <v>-4.9999999999999871E-4</v>
      </c>
      <c r="H687" s="992">
        <v>1.1898250000000001E-2</v>
      </c>
      <c r="I687" s="986">
        <f t="shared" si="14"/>
        <v>-1.239825E-2</v>
      </c>
      <c r="J687" s="988">
        <v>30348</v>
      </c>
    </row>
    <row r="688" spans="1:10" ht="13.8">
      <c r="A688" s="987">
        <v>3</v>
      </c>
      <c r="B688" s="988">
        <f t="shared" si="12"/>
        <v>30376</v>
      </c>
      <c r="C688" s="987" t="str">
        <f t="shared" si="13"/>
        <v>S&amp;P 500 Utility Index</v>
      </c>
      <c r="F688" s="992">
        <v>1.7000000000000001E-3</v>
      </c>
      <c r="H688" s="992">
        <v>1.1689499999999999E-2</v>
      </c>
      <c r="I688" s="986">
        <f t="shared" si="14"/>
        <v>-9.9894999999999984E-3</v>
      </c>
      <c r="J688" s="988">
        <v>30376</v>
      </c>
    </row>
    <row r="689" spans="1:10" ht="13.8">
      <c r="A689" s="987">
        <v>3</v>
      </c>
      <c r="B689" s="988">
        <f t="shared" si="12"/>
        <v>30407</v>
      </c>
      <c r="C689" s="987" t="str">
        <f t="shared" si="13"/>
        <v>S&amp;P 500 Utility Index</v>
      </c>
      <c r="F689" s="992">
        <v>5.7099999999999998E-2</v>
      </c>
      <c r="H689" s="992">
        <v>1.1364583333333334E-2</v>
      </c>
      <c r="I689" s="986">
        <f t="shared" si="14"/>
        <v>4.5735416666666667E-2</v>
      </c>
      <c r="J689" s="988">
        <v>30407</v>
      </c>
    </row>
    <row r="690" spans="1:10" ht="13.8">
      <c r="A690" s="987">
        <v>3</v>
      </c>
      <c r="B690" s="988">
        <f t="shared" si="12"/>
        <v>30437</v>
      </c>
      <c r="C690" s="987" t="str">
        <f t="shared" si="13"/>
        <v>S&amp;P 500 Utility Index</v>
      </c>
      <c r="F690" s="992">
        <v>1.2400000000000001E-2</v>
      </c>
      <c r="H690" s="992">
        <v>1.1242833333333334E-2</v>
      </c>
      <c r="I690" s="986">
        <f t="shared" si="14"/>
        <v>1.1571666666666675E-3</v>
      </c>
      <c r="J690" s="988">
        <v>30437</v>
      </c>
    </row>
    <row r="691" spans="1:10" ht="13.8">
      <c r="A691" s="987">
        <v>3</v>
      </c>
      <c r="B691" s="988">
        <f t="shared" si="12"/>
        <v>30468</v>
      </c>
      <c r="C691" s="987" t="str">
        <f t="shared" si="13"/>
        <v>S&amp;P 500 Utility Index</v>
      </c>
      <c r="F691" s="992">
        <v>-1.23E-2</v>
      </c>
      <c r="H691" s="992">
        <v>1.1372750000000001E-2</v>
      </c>
      <c r="I691" s="986">
        <f t="shared" si="14"/>
        <v>-2.3672749999999999E-2</v>
      </c>
      <c r="J691" s="988">
        <v>30468</v>
      </c>
    </row>
    <row r="692" spans="1:10" ht="13.8">
      <c r="A692" s="987">
        <v>3</v>
      </c>
      <c r="B692" s="988">
        <f t="shared" si="12"/>
        <v>30498</v>
      </c>
      <c r="C692" s="987" t="str">
        <f t="shared" si="13"/>
        <v>S&amp;P 500 Utility Index</v>
      </c>
      <c r="F692" s="992">
        <v>3.39E-2</v>
      </c>
      <c r="H692" s="992">
        <v>1.1310000000000001E-2</v>
      </c>
      <c r="I692" s="986">
        <f t="shared" si="14"/>
        <v>2.2589999999999999E-2</v>
      </c>
      <c r="J692" s="988">
        <v>30498</v>
      </c>
    </row>
    <row r="693" spans="1:10" ht="13.8">
      <c r="A693" s="987">
        <v>3</v>
      </c>
      <c r="B693" s="988">
        <f t="shared" si="12"/>
        <v>30529</v>
      </c>
      <c r="C693" s="987" t="str">
        <f t="shared" si="13"/>
        <v>S&amp;P 500 Utility Index</v>
      </c>
      <c r="F693" s="992">
        <v>4.0000000000000001E-3</v>
      </c>
      <c r="H693" s="992">
        <v>1.1305833333333333E-2</v>
      </c>
      <c r="I693" s="986">
        <f t="shared" si="14"/>
        <v>-7.3058333333333326E-3</v>
      </c>
      <c r="J693" s="988">
        <v>30529</v>
      </c>
    </row>
    <row r="694" spans="1:10" ht="13.8">
      <c r="A694" s="987">
        <v>3</v>
      </c>
      <c r="B694" s="988">
        <f t="shared" ref="B694:B757" si="15">DATE(YEAR(B693),MONTH(B693) + 1,1)</f>
        <v>30560</v>
      </c>
      <c r="C694" s="987" t="str">
        <f t="shared" ref="C694:C757" si="16">C693</f>
        <v>S&amp;P 500 Utility Index</v>
      </c>
      <c r="F694" s="992">
        <v>4.4500000000000005E-2</v>
      </c>
      <c r="H694" s="992">
        <v>1.1197250000000001E-2</v>
      </c>
      <c r="I694" s="986">
        <f t="shared" si="14"/>
        <v>3.3302750000000006E-2</v>
      </c>
      <c r="J694" s="988">
        <v>30560</v>
      </c>
    </row>
    <row r="695" spans="1:10" ht="13.8">
      <c r="A695" s="987">
        <v>3</v>
      </c>
      <c r="B695" s="988">
        <f t="shared" si="15"/>
        <v>30590</v>
      </c>
      <c r="C695" s="987" t="str">
        <f t="shared" si="16"/>
        <v>S&amp;P 500 Utility Index</v>
      </c>
      <c r="F695" s="992">
        <v>5.3199999999999997E-2</v>
      </c>
      <c r="H695" s="992">
        <v>1.1043666666666667E-2</v>
      </c>
      <c r="I695" s="986">
        <f t="shared" si="14"/>
        <v>4.215633333333333E-2</v>
      </c>
      <c r="J695" s="988">
        <v>30590</v>
      </c>
    </row>
    <row r="696" spans="1:10" ht="13.8">
      <c r="A696" s="987">
        <v>3</v>
      </c>
      <c r="B696" s="988">
        <f t="shared" si="15"/>
        <v>30621</v>
      </c>
      <c r="C696" s="987" t="str">
        <f t="shared" si="16"/>
        <v>S&amp;P 500 Utility Index</v>
      </c>
      <c r="F696" s="992">
        <v>-2.0400000000000001E-2</v>
      </c>
      <c r="H696" s="992">
        <v>1.1152749999999999E-2</v>
      </c>
      <c r="I696" s="986">
        <f t="shared" si="14"/>
        <v>-3.1552750000000004E-2</v>
      </c>
      <c r="J696" s="988">
        <v>30621</v>
      </c>
    </row>
    <row r="697" spans="1:10" ht="13.8">
      <c r="A697" s="987">
        <v>3</v>
      </c>
      <c r="B697" s="988">
        <f t="shared" si="15"/>
        <v>30651</v>
      </c>
      <c r="C697" s="987" t="str">
        <f t="shared" si="16"/>
        <v>S&amp;P 500 Utility Index</v>
      </c>
      <c r="F697" s="992">
        <v>-2.2600000000000002E-2</v>
      </c>
      <c r="H697" s="992">
        <v>1.126425E-2</v>
      </c>
      <c r="I697" s="986">
        <f t="shared" si="14"/>
        <v>-3.3864249999999999E-2</v>
      </c>
      <c r="J697" s="988">
        <v>30651</v>
      </c>
    </row>
    <row r="698" spans="1:10" ht="13.8">
      <c r="A698" s="987">
        <v>3</v>
      </c>
      <c r="B698" s="988">
        <f t="shared" si="15"/>
        <v>30682</v>
      </c>
      <c r="C698" s="987" t="str">
        <f t="shared" si="16"/>
        <v>S&amp;P 500 Utility Index</v>
      </c>
      <c r="F698" s="992">
        <v>4.82E-2</v>
      </c>
      <c r="H698" s="992">
        <v>1.1167083333333333E-2</v>
      </c>
      <c r="I698" s="986">
        <f t="shared" si="14"/>
        <v>3.7032916666666665E-2</v>
      </c>
      <c r="J698" s="988">
        <v>30682</v>
      </c>
    </row>
    <row r="699" spans="1:10" ht="13.8">
      <c r="A699" s="987">
        <v>3</v>
      </c>
      <c r="B699" s="988">
        <f t="shared" si="15"/>
        <v>30713</v>
      </c>
      <c r="C699" s="987" t="str">
        <f t="shared" si="16"/>
        <v>S&amp;P 500 Utility Index</v>
      </c>
      <c r="F699" s="992">
        <v>-4.1100000000000005E-2</v>
      </c>
      <c r="H699" s="992">
        <v>1.1164166666666666E-2</v>
      </c>
      <c r="I699" s="986">
        <f t="shared" si="14"/>
        <v>-5.2264166666666667E-2</v>
      </c>
      <c r="J699" s="988">
        <v>30713</v>
      </c>
    </row>
    <row r="700" spans="1:10" ht="13.8">
      <c r="A700" s="987">
        <v>3</v>
      </c>
      <c r="B700" s="988">
        <f t="shared" si="15"/>
        <v>30742</v>
      </c>
      <c r="C700" s="987" t="str">
        <f t="shared" si="16"/>
        <v>S&amp;P 500 Utility Index</v>
      </c>
      <c r="F700" s="992">
        <v>-5.4999999999999997E-3</v>
      </c>
      <c r="H700" s="992">
        <v>1.1476916666666665E-2</v>
      </c>
      <c r="I700" s="986">
        <f t="shared" si="14"/>
        <v>-1.6976916666666664E-2</v>
      </c>
      <c r="J700" s="988">
        <v>30742</v>
      </c>
    </row>
    <row r="701" spans="1:10" ht="13.8">
      <c r="A701" s="987">
        <v>3</v>
      </c>
      <c r="B701" s="988">
        <f t="shared" si="15"/>
        <v>30773</v>
      </c>
      <c r="C701" s="987" t="str">
        <f t="shared" si="16"/>
        <v>S&amp;P 500 Utility Index</v>
      </c>
      <c r="F701" s="992">
        <v>1.5900000000000001E-2</v>
      </c>
      <c r="H701" s="992">
        <v>1.1774166666666665E-2</v>
      </c>
      <c r="I701" s="986">
        <f t="shared" si="14"/>
        <v>4.1258333333333355E-3</v>
      </c>
      <c r="J701" s="988">
        <v>30773</v>
      </c>
    </row>
    <row r="702" spans="1:10" ht="13.8">
      <c r="A702" s="987">
        <v>3</v>
      </c>
      <c r="B702" s="988">
        <f t="shared" si="15"/>
        <v>30803</v>
      </c>
      <c r="C702" s="987" t="str">
        <f t="shared" si="16"/>
        <v>S&amp;P 500 Utility Index</v>
      </c>
      <c r="F702" s="992">
        <v>-2.3E-2</v>
      </c>
      <c r="H702" s="992">
        <v>1.2399583333333332E-2</v>
      </c>
      <c r="I702" s="986">
        <f t="shared" si="14"/>
        <v>-3.5399583333333332E-2</v>
      </c>
      <c r="J702" s="988">
        <v>30803</v>
      </c>
    </row>
    <row r="703" spans="1:10" ht="13.8">
      <c r="A703" s="987">
        <v>3</v>
      </c>
      <c r="B703" s="988">
        <f t="shared" si="15"/>
        <v>30834</v>
      </c>
      <c r="C703" s="987" t="str">
        <f t="shared" si="16"/>
        <v>S&amp;P 500 Utility Index</v>
      </c>
      <c r="F703" s="992">
        <v>6.9000000000000008E-3</v>
      </c>
      <c r="H703" s="992">
        <v>1.2580916666666666E-2</v>
      </c>
      <c r="I703" s="986">
        <f t="shared" si="14"/>
        <v>-5.6809166666666648E-3</v>
      </c>
      <c r="J703" s="988">
        <v>30834</v>
      </c>
    </row>
    <row r="704" spans="1:10" ht="13.8">
      <c r="A704" s="987">
        <v>3</v>
      </c>
      <c r="B704" s="988">
        <f t="shared" si="15"/>
        <v>30864</v>
      </c>
      <c r="C704" s="987" t="str">
        <f t="shared" si="16"/>
        <v>S&amp;P 500 Utility Index</v>
      </c>
      <c r="F704" s="992">
        <v>4.3299999999999998E-2</v>
      </c>
      <c r="H704" s="992">
        <v>1.2383750000000001E-2</v>
      </c>
      <c r="I704" s="986">
        <f t="shared" si="14"/>
        <v>3.0916249999999999E-2</v>
      </c>
      <c r="J704" s="988">
        <v>30864</v>
      </c>
    </row>
    <row r="705" spans="1:10" ht="13.8">
      <c r="A705" s="987">
        <v>3</v>
      </c>
      <c r="B705" s="988">
        <f t="shared" si="15"/>
        <v>30895</v>
      </c>
      <c r="C705" s="987" t="str">
        <f t="shared" si="16"/>
        <v>S&amp;P 500 Utility Index</v>
      </c>
      <c r="F705" s="992">
        <v>6.4600000000000005E-2</v>
      </c>
      <c r="H705" s="992">
        <v>1.202425E-2</v>
      </c>
      <c r="I705" s="986">
        <f t="shared" si="14"/>
        <v>5.2575750000000004E-2</v>
      </c>
      <c r="J705" s="988">
        <v>30895</v>
      </c>
    </row>
    <row r="706" spans="1:10" ht="13.8">
      <c r="A706" s="987">
        <v>3</v>
      </c>
      <c r="B706" s="988">
        <f t="shared" si="15"/>
        <v>30926</v>
      </c>
      <c r="C706" s="987" t="str">
        <f t="shared" si="16"/>
        <v>S&amp;P 500 Utility Index</v>
      </c>
      <c r="F706" s="992">
        <v>4.3800000000000006E-2</v>
      </c>
      <c r="H706" s="992">
        <v>1.1822833333333333E-2</v>
      </c>
      <c r="I706" s="986">
        <f t="shared" si="14"/>
        <v>3.1977166666666675E-2</v>
      </c>
      <c r="J706" s="988">
        <v>30926</v>
      </c>
    </row>
    <row r="707" spans="1:10" ht="13.8">
      <c r="A707" s="987">
        <v>3</v>
      </c>
      <c r="B707" s="988">
        <f t="shared" si="15"/>
        <v>30956</v>
      </c>
      <c r="C707" s="987" t="str">
        <f t="shared" si="16"/>
        <v>S&amp;P 500 Utility Index</v>
      </c>
      <c r="F707" s="992">
        <v>2.7199999999999998E-2</v>
      </c>
      <c r="H707" s="992">
        <v>1.1524666666666666E-2</v>
      </c>
      <c r="I707" s="986">
        <f t="shared" si="14"/>
        <v>1.5675333333333333E-2</v>
      </c>
      <c r="J707" s="988">
        <v>30956</v>
      </c>
    </row>
    <row r="708" spans="1:10" ht="13.8">
      <c r="A708" s="987">
        <v>3</v>
      </c>
      <c r="B708" s="988">
        <f t="shared" si="15"/>
        <v>30987</v>
      </c>
      <c r="C708" s="987" t="str">
        <f t="shared" si="16"/>
        <v>S&amp;P 500 Utility Index</v>
      </c>
      <c r="F708" s="992">
        <v>2.7000000000000003E-2</v>
      </c>
      <c r="H708" s="992">
        <v>1.1038916666666667E-2</v>
      </c>
      <c r="I708" s="986">
        <f t="shared" si="14"/>
        <v>1.5961083333333334E-2</v>
      </c>
      <c r="J708" s="988">
        <v>30987</v>
      </c>
    </row>
    <row r="709" spans="1:10" ht="13.8">
      <c r="A709" s="987">
        <v>3</v>
      </c>
      <c r="B709" s="988">
        <f t="shared" si="15"/>
        <v>31017</v>
      </c>
      <c r="C709" s="987" t="str">
        <f t="shared" si="16"/>
        <v>S&amp;P 500 Utility Index</v>
      </c>
      <c r="F709" s="992">
        <v>3.1599999999999996E-2</v>
      </c>
      <c r="H709" s="992">
        <v>1.0891249999999998E-2</v>
      </c>
      <c r="I709" s="986">
        <f t="shared" si="14"/>
        <v>2.0708749999999998E-2</v>
      </c>
      <c r="J709" s="988">
        <v>31017</v>
      </c>
    </row>
    <row r="710" spans="1:10" ht="13.8">
      <c r="A710" s="987">
        <v>3</v>
      </c>
      <c r="B710" s="988">
        <f t="shared" si="15"/>
        <v>31048</v>
      </c>
      <c r="C710" s="987" t="str">
        <f t="shared" si="16"/>
        <v>S&amp;P 500 Utility Index</v>
      </c>
      <c r="F710" s="992">
        <v>2.35E-2</v>
      </c>
      <c r="H710" s="992">
        <v>1.0821583333333334E-2</v>
      </c>
      <c r="I710" s="986">
        <f t="shared" si="14"/>
        <v>1.2678416666666666E-2</v>
      </c>
      <c r="J710" s="988">
        <v>31048</v>
      </c>
    </row>
    <row r="711" spans="1:10" ht="13.8">
      <c r="A711" s="987">
        <v>3</v>
      </c>
      <c r="B711" s="988">
        <f t="shared" si="15"/>
        <v>31079</v>
      </c>
      <c r="C711" s="987" t="str">
        <f t="shared" si="16"/>
        <v>S&amp;P 500 Utility Index</v>
      </c>
      <c r="F711" s="992">
        <v>1.9300000000000001E-2</v>
      </c>
      <c r="H711" s="992">
        <v>1.0861833333333333E-2</v>
      </c>
      <c r="I711" s="986">
        <f t="shared" si="14"/>
        <v>8.4381666666666685E-3</v>
      </c>
      <c r="J711" s="988">
        <v>31079</v>
      </c>
    </row>
    <row r="712" spans="1:10" ht="13.8">
      <c r="A712" s="987">
        <v>3</v>
      </c>
      <c r="B712" s="988">
        <f t="shared" si="15"/>
        <v>31107</v>
      </c>
      <c r="C712" s="987" t="str">
        <f t="shared" si="16"/>
        <v>S&amp;P 500 Utility Index</v>
      </c>
      <c r="F712" s="992">
        <v>3.6200000000000003E-2</v>
      </c>
      <c r="H712" s="992">
        <v>1.1501166666666666E-2</v>
      </c>
      <c r="I712" s="986">
        <f t="shared" si="14"/>
        <v>2.4698833333333337E-2</v>
      </c>
      <c r="J712" s="988">
        <v>31107</v>
      </c>
    </row>
    <row r="713" spans="1:10" ht="13.8">
      <c r="A713" s="987">
        <v>3</v>
      </c>
      <c r="B713" s="988">
        <f t="shared" si="15"/>
        <v>31138</v>
      </c>
      <c r="C713" s="987" t="str">
        <f t="shared" si="16"/>
        <v>S&amp;P 500 Utility Index</v>
      </c>
      <c r="F713" s="992">
        <v>2.07E-2</v>
      </c>
      <c r="H713" s="992">
        <v>1.1322250000000001E-2</v>
      </c>
      <c r="I713" s="986">
        <f t="shared" si="14"/>
        <v>9.3777499999999989E-3</v>
      </c>
      <c r="J713" s="988">
        <v>31138</v>
      </c>
    </row>
    <row r="714" spans="1:10" ht="13.8">
      <c r="A714" s="987">
        <v>3</v>
      </c>
      <c r="B714" s="988">
        <f t="shared" si="15"/>
        <v>31168</v>
      </c>
      <c r="C714" s="987" t="str">
        <f t="shared" si="16"/>
        <v>S&amp;P 500 Utility Index</v>
      </c>
      <c r="F714" s="992">
        <v>6.0600000000000008E-2</v>
      </c>
      <c r="H714" s="992">
        <v>1.0978416666666666E-2</v>
      </c>
      <c r="I714" s="986">
        <f t="shared" si="14"/>
        <v>4.9621583333333344E-2</v>
      </c>
      <c r="J714" s="988">
        <v>31168</v>
      </c>
    </row>
    <row r="715" spans="1:10" ht="13.8">
      <c r="A715" s="987">
        <v>3</v>
      </c>
      <c r="B715" s="988">
        <f t="shared" si="15"/>
        <v>31199</v>
      </c>
      <c r="C715" s="987" t="str">
        <f t="shared" si="16"/>
        <v>S&amp;P 500 Utility Index</v>
      </c>
      <c r="F715" s="992">
        <v>2.7900000000000001E-2</v>
      </c>
      <c r="H715" s="992">
        <v>1.0119583333333333E-2</v>
      </c>
      <c r="I715" s="986">
        <f t="shared" si="14"/>
        <v>1.7780416666666667E-2</v>
      </c>
      <c r="J715" s="988">
        <v>31199</v>
      </c>
    </row>
    <row r="716" spans="1:10" ht="13.8">
      <c r="A716" s="987">
        <v>3</v>
      </c>
      <c r="B716" s="988">
        <f t="shared" si="15"/>
        <v>31229</v>
      </c>
      <c r="C716" s="987" t="str">
        <f t="shared" si="16"/>
        <v>S&amp;P 500 Utility Index</v>
      </c>
      <c r="F716" s="992">
        <v>-4.2700000000000002E-2</v>
      </c>
      <c r="H716" s="992">
        <v>1.0053750000000002E-2</v>
      </c>
      <c r="I716" s="986">
        <f t="shared" si="14"/>
        <v>-5.2753750000000002E-2</v>
      </c>
      <c r="J716" s="988">
        <v>31229</v>
      </c>
    </row>
    <row r="717" spans="1:10" ht="13.8">
      <c r="A717" s="987">
        <v>3</v>
      </c>
      <c r="B717" s="988">
        <f t="shared" si="15"/>
        <v>31260</v>
      </c>
      <c r="C717" s="987" t="str">
        <f t="shared" si="16"/>
        <v>S&amp;P 500 Utility Index</v>
      </c>
      <c r="F717" s="992">
        <v>1.8099999999999998E-2</v>
      </c>
      <c r="H717" s="992">
        <v>1.0114416666666666E-2</v>
      </c>
      <c r="I717" s="986">
        <f t="shared" si="14"/>
        <v>7.9855833333333324E-3</v>
      </c>
      <c r="J717" s="988">
        <v>31260</v>
      </c>
    </row>
    <row r="718" spans="1:10" ht="13.8">
      <c r="A718" s="987">
        <v>3</v>
      </c>
      <c r="B718" s="988">
        <f t="shared" si="15"/>
        <v>31291</v>
      </c>
      <c r="C718" s="987" t="str">
        <f t="shared" si="16"/>
        <v>S&amp;P 500 Utility Index</v>
      </c>
      <c r="F718" s="992">
        <v>-5.21E-2</v>
      </c>
      <c r="H718" s="992">
        <v>1.0110083333333332E-2</v>
      </c>
      <c r="I718" s="986">
        <f t="shared" si="14"/>
        <v>-6.2210083333333333E-2</v>
      </c>
      <c r="J718" s="988">
        <v>31291</v>
      </c>
    </row>
    <row r="719" spans="1:10" ht="13.8">
      <c r="A719" s="987">
        <v>3</v>
      </c>
      <c r="B719" s="988">
        <f t="shared" si="15"/>
        <v>31321</v>
      </c>
      <c r="C719" s="987" t="str">
        <f t="shared" si="16"/>
        <v>S&amp;P 500 Utility Index</v>
      </c>
      <c r="F719" s="992">
        <v>6.3799999999999996E-2</v>
      </c>
      <c r="H719" s="992">
        <v>1.0011583333333334E-2</v>
      </c>
      <c r="I719" s="986">
        <f t="shared" si="14"/>
        <v>5.3788416666666658E-2</v>
      </c>
      <c r="J719" s="988">
        <v>31321</v>
      </c>
    </row>
    <row r="720" spans="1:10" ht="13.8">
      <c r="A720" s="987">
        <v>3</v>
      </c>
      <c r="B720" s="988">
        <f t="shared" si="15"/>
        <v>31352</v>
      </c>
      <c r="C720" s="987" t="str">
        <f t="shared" si="16"/>
        <v>S&amp;P 500 Utility Index</v>
      </c>
      <c r="F720" s="992">
        <v>5.2200000000000003E-2</v>
      </c>
      <c r="H720" s="992">
        <v>9.5949999999999994E-3</v>
      </c>
      <c r="I720" s="986">
        <f t="shared" si="14"/>
        <v>4.2605000000000004E-2</v>
      </c>
      <c r="J720" s="988">
        <v>31352</v>
      </c>
    </row>
    <row r="721" spans="1:10" ht="13.8">
      <c r="A721" s="987">
        <v>3</v>
      </c>
      <c r="B721" s="988">
        <f t="shared" si="15"/>
        <v>31382</v>
      </c>
      <c r="C721" s="987" t="str">
        <f t="shared" si="16"/>
        <v>S&amp;P 500 Utility Index</v>
      </c>
      <c r="F721" s="992">
        <v>6.9400000000000003E-2</v>
      </c>
      <c r="H721" s="992">
        <v>9.173333333333332E-3</v>
      </c>
      <c r="I721" s="986">
        <f t="shared" si="14"/>
        <v>6.0226666666666671E-2</v>
      </c>
      <c r="J721" s="988">
        <v>31382</v>
      </c>
    </row>
    <row r="722" spans="1:10" ht="13.8">
      <c r="A722" s="987">
        <v>3</v>
      </c>
      <c r="B722" s="988">
        <f t="shared" si="15"/>
        <v>31413</v>
      </c>
      <c r="C722" s="987" t="str">
        <f t="shared" si="16"/>
        <v>S&amp;P 500 Utility Index</v>
      </c>
      <c r="F722" s="992">
        <v>2.9300000000000003E-2</v>
      </c>
      <c r="H722" s="992">
        <v>8.9988333333333344E-3</v>
      </c>
      <c r="I722" s="986">
        <f t="shared" si="14"/>
        <v>2.0301166666666669E-2</v>
      </c>
      <c r="J722" s="988">
        <v>31413</v>
      </c>
    </row>
    <row r="723" spans="1:10" ht="13.8">
      <c r="A723" s="987">
        <v>3</v>
      </c>
      <c r="B723" s="988">
        <f t="shared" si="15"/>
        <v>31444</v>
      </c>
      <c r="C723" s="987" t="str">
        <f t="shared" si="16"/>
        <v>S&amp;P 500 Utility Index</v>
      </c>
      <c r="F723" s="992">
        <v>6.2300000000000001E-2</v>
      </c>
      <c r="H723" s="992">
        <v>8.5969166666666659E-3</v>
      </c>
      <c r="I723" s="986">
        <f t="shared" si="14"/>
        <v>5.3703083333333332E-2</v>
      </c>
      <c r="J723" s="988">
        <v>31444</v>
      </c>
    </row>
    <row r="724" spans="1:10" ht="13.8">
      <c r="A724" s="987">
        <v>3</v>
      </c>
      <c r="B724" s="988">
        <f t="shared" si="15"/>
        <v>31472</v>
      </c>
      <c r="C724" s="987" t="str">
        <f t="shared" si="16"/>
        <v>S&amp;P 500 Utility Index</v>
      </c>
      <c r="F724" s="992">
        <v>5.1400000000000008E-2</v>
      </c>
      <c r="H724" s="992">
        <v>7.9274999999999988E-3</v>
      </c>
      <c r="I724" s="986">
        <f t="shared" si="14"/>
        <v>4.3472500000000011E-2</v>
      </c>
      <c r="J724" s="988">
        <v>31472</v>
      </c>
    </row>
    <row r="725" spans="1:10" ht="13.8">
      <c r="A725" s="987">
        <v>3</v>
      </c>
      <c r="B725" s="988">
        <f t="shared" si="15"/>
        <v>31503</v>
      </c>
      <c r="C725" s="987" t="str">
        <f t="shared" si="16"/>
        <v>S&amp;P 500 Utility Index</v>
      </c>
      <c r="F725" s="992">
        <v>-3.3300000000000003E-2</v>
      </c>
      <c r="H725" s="992">
        <v>7.609083333333334E-3</v>
      </c>
      <c r="I725" s="986">
        <f t="shared" si="14"/>
        <v>-4.0909083333333339E-2</v>
      </c>
      <c r="J725" s="988">
        <v>31503</v>
      </c>
    </row>
    <row r="726" spans="1:10" ht="13.8">
      <c r="A726" s="987">
        <v>3</v>
      </c>
      <c r="B726" s="988">
        <f t="shared" si="15"/>
        <v>31533</v>
      </c>
      <c r="C726" s="987" t="str">
        <f t="shared" si="16"/>
        <v>S&amp;P 500 Utility Index</v>
      </c>
      <c r="F726" s="992">
        <v>5.2500000000000012E-2</v>
      </c>
      <c r="H726" s="992">
        <v>7.9722500000000002E-3</v>
      </c>
      <c r="I726" s="986">
        <f t="shared" si="14"/>
        <v>4.4527750000000012E-2</v>
      </c>
      <c r="J726" s="988">
        <v>31533</v>
      </c>
    </row>
    <row r="727" spans="1:10" ht="13.8">
      <c r="A727" s="987">
        <v>3</v>
      </c>
      <c r="B727" s="988">
        <f t="shared" si="15"/>
        <v>31564</v>
      </c>
      <c r="C727" s="987" t="str">
        <f t="shared" si="16"/>
        <v>S&amp;P 500 Utility Index</v>
      </c>
      <c r="F727" s="992">
        <v>5.9699999999999996E-2</v>
      </c>
      <c r="H727" s="992">
        <v>8.0456666666666662E-3</v>
      </c>
      <c r="I727" s="986">
        <f t="shared" si="14"/>
        <v>5.165433333333333E-2</v>
      </c>
      <c r="J727" s="988">
        <v>31564</v>
      </c>
    </row>
    <row r="728" spans="1:10" ht="13.8">
      <c r="A728" s="987">
        <v>3</v>
      </c>
      <c r="B728" s="988">
        <f t="shared" si="15"/>
        <v>31594</v>
      </c>
      <c r="C728" s="987" t="str">
        <f t="shared" si="16"/>
        <v>S&amp;P 500 Utility Index</v>
      </c>
      <c r="F728" s="992">
        <v>2.8300000000000002E-2</v>
      </c>
      <c r="H728" s="992">
        <v>7.7954166666666666E-3</v>
      </c>
      <c r="I728" s="986">
        <f t="shared" si="14"/>
        <v>2.0504583333333336E-2</v>
      </c>
      <c r="J728" s="988">
        <v>31594</v>
      </c>
    </row>
    <row r="729" spans="1:10" ht="13.8">
      <c r="A729" s="987">
        <v>3</v>
      </c>
      <c r="B729" s="988">
        <f t="shared" si="15"/>
        <v>31625</v>
      </c>
      <c r="C729" s="987" t="str">
        <f t="shared" si="16"/>
        <v>S&amp;P 500 Utility Index</v>
      </c>
      <c r="F729" s="992">
        <v>8.8399999999999992E-2</v>
      </c>
      <c r="H729" s="992">
        <v>7.7555833333333322E-3</v>
      </c>
      <c r="I729" s="986">
        <f t="shared" si="14"/>
        <v>8.0644416666666663E-2</v>
      </c>
      <c r="J729" s="988">
        <v>31625</v>
      </c>
    </row>
    <row r="730" spans="1:10" ht="13.8">
      <c r="A730" s="987">
        <v>3</v>
      </c>
      <c r="B730" s="988">
        <f t="shared" si="15"/>
        <v>31656</v>
      </c>
      <c r="C730" s="987" t="str">
        <f t="shared" si="16"/>
        <v>S&amp;P 500 Utility Index</v>
      </c>
      <c r="F730" s="992">
        <v>-0.11370000000000001</v>
      </c>
      <c r="H730" s="992">
        <v>7.9194166666666666E-3</v>
      </c>
      <c r="I730" s="986">
        <f t="shared" ref="I730:I793" si="17">F730-H730</f>
        <v>-0.12161941666666667</v>
      </c>
      <c r="J730" s="988">
        <v>31656</v>
      </c>
    </row>
    <row r="731" spans="1:10" ht="13.8">
      <c r="A731" s="987">
        <v>3</v>
      </c>
      <c r="B731" s="988">
        <f t="shared" si="15"/>
        <v>31686</v>
      </c>
      <c r="C731" s="987" t="str">
        <f t="shared" si="16"/>
        <v>S&amp;P 500 Utility Index</v>
      </c>
      <c r="F731" s="992">
        <v>5.050000000000001E-2</v>
      </c>
      <c r="H731" s="992">
        <v>7.9395000000000004E-3</v>
      </c>
      <c r="I731" s="986">
        <f t="shared" si="17"/>
        <v>4.2560500000000008E-2</v>
      </c>
      <c r="J731" s="988">
        <v>31686</v>
      </c>
    </row>
    <row r="732" spans="1:10" ht="13.8">
      <c r="A732" s="987">
        <v>3</v>
      </c>
      <c r="B732" s="988">
        <f t="shared" si="15"/>
        <v>31717</v>
      </c>
      <c r="C732" s="987" t="str">
        <f t="shared" si="16"/>
        <v>S&amp;P 500 Utility Index</v>
      </c>
      <c r="F732" s="992">
        <v>2.1099999999999997E-2</v>
      </c>
      <c r="H732" s="992">
        <v>7.744749999999999E-3</v>
      </c>
      <c r="I732" s="986">
        <f t="shared" si="17"/>
        <v>1.3355249999999999E-2</v>
      </c>
      <c r="J732" s="988">
        <v>31717</v>
      </c>
    </row>
    <row r="733" spans="1:10" ht="13.8">
      <c r="A733" s="987">
        <v>3</v>
      </c>
      <c r="B733" s="988">
        <f t="shared" si="15"/>
        <v>31747</v>
      </c>
      <c r="C733" s="987" t="str">
        <f t="shared" si="16"/>
        <v>S&amp;P 500 Utility Index</v>
      </c>
      <c r="F733" s="992">
        <v>-2.5399999999999999E-2</v>
      </c>
      <c r="H733" s="992">
        <v>7.5995833333333341E-3</v>
      </c>
      <c r="I733" s="986">
        <f t="shared" si="17"/>
        <v>-3.2999583333333332E-2</v>
      </c>
      <c r="J733" s="988">
        <v>31747</v>
      </c>
    </row>
    <row r="734" spans="1:10" ht="13.8">
      <c r="A734" s="987">
        <v>3</v>
      </c>
      <c r="B734" s="988">
        <f t="shared" si="15"/>
        <v>31778</v>
      </c>
      <c r="C734" s="987" t="str">
        <f t="shared" si="16"/>
        <v>S&amp;P 500 Utility Index</v>
      </c>
      <c r="F734" s="992">
        <v>9.8400000000000001E-2</v>
      </c>
      <c r="H734" s="992">
        <v>7.4537500000000003E-3</v>
      </c>
      <c r="I734" s="986">
        <f t="shared" si="17"/>
        <v>9.0946250000000006E-2</v>
      </c>
      <c r="J734" s="988">
        <v>31778</v>
      </c>
    </row>
    <row r="735" spans="1:10" ht="13.8">
      <c r="A735" s="987">
        <v>3</v>
      </c>
      <c r="B735" s="988">
        <f t="shared" si="15"/>
        <v>31809</v>
      </c>
      <c r="C735" s="987" t="str">
        <f t="shared" si="16"/>
        <v>S&amp;P 500 Utility Index</v>
      </c>
      <c r="F735" s="992">
        <v>-3.0100000000000002E-2</v>
      </c>
      <c r="H735" s="992">
        <v>7.5030833333333338E-3</v>
      </c>
      <c r="I735" s="986">
        <f t="shared" si="17"/>
        <v>-3.7603083333333336E-2</v>
      </c>
      <c r="J735" s="988">
        <v>31809</v>
      </c>
    </row>
    <row r="736" spans="1:10" ht="13.8">
      <c r="A736" s="987">
        <v>3</v>
      </c>
      <c r="B736" s="988">
        <f t="shared" si="15"/>
        <v>31837</v>
      </c>
      <c r="C736" s="987" t="str">
        <f t="shared" si="16"/>
        <v>S&amp;P 500 Utility Index</v>
      </c>
      <c r="F736" s="992">
        <v>-1.89E-2</v>
      </c>
      <c r="H736" s="992">
        <v>7.4409166666666669E-3</v>
      </c>
      <c r="I736" s="986">
        <f t="shared" si="17"/>
        <v>-2.6340916666666665E-2</v>
      </c>
      <c r="J736" s="988">
        <v>31837</v>
      </c>
    </row>
    <row r="737" spans="1:10" ht="13.8">
      <c r="A737" s="987">
        <v>3</v>
      </c>
      <c r="B737" s="988">
        <f t="shared" si="15"/>
        <v>31868</v>
      </c>
      <c r="C737" s="987" t="str">
        <f t="shared" si="16"/>
        <v>S&amp;P 500 Utility Index</v>
      </c>
      <c r="F737" s="992">
        <v>-4.1399999999999999E-2</v>
      </c>
      <c r="H737" s="992">
        <v>7.7940833333333334E-3</v>
      </c>
      <c r="I737" s="986">
        <f t="shared" si="17"/>
        <v>-4.9194083333333333E-2</v>
      </c>
      <c r="J737" s="988">
        <v>31868</v>
      </c>
    </row>
    <row r="738" spans="1:10" ht="13.8">
      <c r="A738" s="987">
        <v>3</v>
      </c>
      <c r="B738" s="988">
        <f t="shared" si="15"/>
        <v>31898</v>
      </c>
      <c r="C738" s="987" t="str">
        <f t="shared" si="16"/>
        <v>S&amp;P 500 Utility Index</v>
      </c>
      <c r="F738" s="992">
        <v>-6.4000000000000003E-3</v>
      </c>
      <c r="H738" s="992">
        <v>8.2208333333333335E-3</v>
      </c>
      <c r="I738" s="986">
        <f t="shared" si="17"/>
        <v>-1.4620833333333333E-2</v>
      </c>
      <c r="J738" s="988">
        <v>31898</v>
      </c>
    </row>
    <row r="739" spans="1:10" ht="13.8">
      <c r="A739" s="987">
        <v>3</v>
      </c>
      <c r="B739" s="988">
        <f t="shared" si="15"/>
        <v>31929</v>
      </c>
      <c r="C739" s="987" t="str">
        <f t="shared" si="16"/>
        <v>S&amp;P 500 Utility Index</v>
      </c>
      <c r="F739" s="992">
        <v>4.3899999999999995E-2</v>
      </c>
      <c r="H739" s="992">
        <v>8.3485E-3</v>
      </c>
      <c r="I739" s="986">
        <f t="shared" si="17"/>
        <v>3.5551499999999993E-2</v>
      </c>
      <c r="J739" s="988">
        <v>31929</v>
      </c>
    </row>
    <row r="740" spans="1:10" ht="13.8">
      <c r="A740" s="987">
        <v>3</v>
      </c>
      <c r="B740" s="988">
        <f t="shared" si="15"/>
        <v>31959</v>
      </c>
      <c r="C740" s="987" t="str">
        <f t="shared" si="16"/>
        <v>S&amp;P 500 Utility Index</v>
      </c>
      <c r="F740" s="992">
        <v>-2.5000000000000005E-3</v>
      </c>
      <c r="H740" s="992">
        <v>8.445833333333333E-3</v>
      </c>
      <c r="I740" s="986">
        <f t="shared" si="17"/>
        <v>-1.0945833333333333E-2</v>
      </c>
      <c r="J740" s="988">
        <v>31959</v>
      </c>
    </row>
    <row r="741" spans="1:10" ht="13.8">
      <c r="A741" s="987">
        <v>3</v>
      </c>
      <c r="B741" s="988">
        <f t="shared" si="15"/>
        <v>31990</v>
      </c>
      <c r="C741" s="987" t="str">
        <f t="shared" si="16"/>
        <v>S&amp;P 500 Utility Index</v>
      </c>
      <c r="F741" s="992">
        <v>5.2699999999999997E-2</v>
      </c>
      <c r="H741" s="992">
        <v>8.7027500000000004E-3</v>
      </c>
      <c r="I741" s="986">
        <f t="shared" si="17"/>
        <v>4.3997249999999995E-2</v>
      </c>
      <c r="J741" s="988">
        <v>31990</v>
      </c>
    </row>
    <row r="742" spans="1:10" ht="13.8">
      <c r="A742" s="987">
        <v>3</v>
      </c>
      <c r="B742" s="988">
        <f t="shared" si="15"/>
        <v>32021</v>
      </c>
      <c r="C742" s="987" t="str">
        <f t="shared" si="16"/>
        <v>S&amp;P 500 Utility Index</v>
      </c>
      <c r="F742" s="992">
        <v>2.0999999999999999E-3</v>
      </c>
      <c r="H742" s="992">
        <v>9.3135000000000006E-3</v>
      </c>
      <c r="I742" s="986">
        <f t="shared" si="17"/>
        <v>-7.2135000000000012E-3</v>
      </c>
      <c r="J742" s="988">
        <v>32021</v>
      </c>
    </row>
    <row r="743" spans="1:10" ht="13.8">
      <c r="A743" s="987">
        <v>3</v>
      </c>
      <c r="B743" s="988">
        <f t="shared" si="15"/>
        <v>32051</v>
      </c>
      <c r="C743" s="987" t="str">
        <f t="shared" si="16"/>
        <v>S&amp;P 500 Utility Index</v>
      </c>
      <c r="F743" s="992">
        <v>-7.0500000000000007E-2</v>
      </c>
      <c r="H743" s="992">
        <v>9.4654999999999982E-3</v>
      </c>
      <c r="I743" s="986">
        <f t="shared" si="17"/>
        <v>-7.9965500000000009E-2</v>
      </c>
      <c r="J743" s="988">
        <v>32051</v>
      </c>
    </row>
    <row r="744" spans="1:10" ht="13.8">
      <c r="A744" s="987">
        <v>3</v>
      </c>
      <c r="B744" s="988">
        <f t="shared" si="15"/>
        <v>32082</v>
      </c>
      <c r="C744" s="987" t="str">
        <f t="shared" si="16"/>
        <v>S&amp;P 500 Utility Index</v>
      </c>
      <c r="F744" s="992">
        <v>-5.5499999999999987E-2</v>
      </c>
      <c r="H744" s="992">
        <v>9.0204166666666679E-3</v>
      </c>
      <c r="I744" s="986">
        <f t="shared" si="17"/>
        <v>-6.452041666666665E-2</v>
      </c>
      <c r="J744" s="988">
        <v>32082</v>
      </c>
    </row>
    <row r="745" spans="1:10" ht="13.8">
      <c r="A745" s="987">
        <v>3</v>
      </c>
      <c r="B745" s="988">
        <f t="shared" si="15"/>
        <v>32112</v>
      </c>
      <c r="C745" s="987" t="str">
        <f t="shared" si="16"/>
        <v>S&amp;P 500 Utility Index</v>
      </c>
      <c r="F745" s="992">
        <v>1.0800000000000001E-2</v>
      </c>
      <c r="H745" s="992">
        <v>9.1140000000000006E-3</v>
      </c>
      <c r="I745" s="986">
        <f t="shared" si="17"/>
        <v>1.686E-3</v>
      </c>
      <c r="J745" s="988">
        <v>32112</v>
      </c>
    </row>
    <row r="746" spans="1:10" ht="13.8">
      <c r="A746" s="987">
        <v>3</v>
      </c>
      <c r="B746" s="988">
        <f t="shared" si="15"/>
        <v>32143</v>
      </c>
      <c r="C746" s="987" t="str">
        <f t="shared" si="16"/>
        <v>S&amp;P 500 Utility Index</v>
      </c>
      <c r="F746" s="992">
        <v>0.1153</v>
      </c>
      <c r="H746" s="992">
        <v>8.9983333333333339E-3</v>
      </c>
      <c r="I746" s="986">
        <f t="shared" si="17"/>
        <v>0.10630166666666667</v>
      </c>
      <c r="J746" s="988">
        <v>32143</v>
      </c>
    </row>
    <row r="747" spans="1:10" ht="13.8">
      <c r="A747" s="987">
        <v>3</v>
      </c>
      <c r="B747" s="988">
        <f t="shared" si="15"/>
        <v>32174</v>
      </c>
      <c r="C747" s="987" t="str">
        <f t="shared" si="16"/>
        <v>S&amp;P 500 Utility Index</v>
      </c>
      <c r="F747" s="992">
        <v>-1.7500000000000002E-2</v>
      </c>
      <c r="H747" s="992">
        <v>8.4295833333333341E-3</v>
      </c>
      <c r="I747" s="986">
        <f t="shared" si="17"/>
        <v>-2.5929583333333336E-2</v>
      </c>
      <c r="J747" s="988">
        <v>32174</v>
      </c>
    </row>
    <row r="748" spans="1:10" ht="13.8">
      <c r="A748" s="987">
        <v>3</v>
      </c>
      <c r="B748" s="988">
        <f t="shared" si="15"/>
        <v>32203</v>
      </c>
      <c r="C748" s="987" t="str">
        <f t="shared" si="16"/>
        <v>S&amp;P 500 Utility Index</v>
      </c>
      <c r="F748" s="992">
        <v>-5.2699999999999997E-2</v>
      </c>
      <c r="H748" s="992">
        <v>8.3956666666666676E-3</v>
      </c>
      <c r="I748" s="986">
        <f t="shared" si="17"/>
        <v>-6.1095666666666666E-2</v>
      </c>
      <c r="J748" s="988">
        <v>32203</v>
      </c>
    </row>
    <row r="749" spans="1:10" ht="13.8">
      <c r="A749" s="987">
        <v>3</v>
      </c>
      <c r="B749" s="988">
        <f t="shared" si="15"/>
        <v>32234</v>
      </c>
      <c r="C749" s="987" t="str">
        <f t="shared" si="16"/>
        <v>S&amp;P 500 Utility Index</v>
      </c>
      <c r="F749" s="992">
        <v>1.9000000000000006E-3</v>
      </c>
      <c r="H749" s="992">
        <v>8.7683333333333328E-3</v>
      </c>
      <c r="I749" s="986">
        <f t="shared" si="17"/>
        <v>-6.8683333333333322E-3</v>
      </c>
      <c r="J749" s="988">
        <v>32234</v>
      </c>
    </row>
    <row r="750" spans="1:10" ht="13.8">
      <c r="A750" s="987">
        <v>3</v>
      </c>
      <c r="B750" s="988">
        <f t="shared" si="15"/>
        <v>32264</v>
      </c>
      <c r="C750" s="987" t="str">
        <f t="shared" si="16"/>
        <v>S&amp;P 500 Utility Index</v>
      </c>
      <c r="F750" s="992">
        <v>4.5999999999999999E-2</v>
      </c>
      <c r="H750" s="992">
        <v>8.9932500000000012E-3</v>
      </c>
      <c r="I750" s="986">
        <f t="shared" si="17"/>
        <v>3.7006749999999998E-2</v>
      </c>
      <c r="J750" s="988">
        <v>32264</v>
      </c>
    </row>
    <row r="751" spans="1:10" ht="13.8">
      <c r="A751" s="987">
        <v>3</v>
      </c>
      <c r="B751" s="988">
        <f t="shared" si="15"/>
        <v>32295</v>
      </c>
      <c r="C751" s="987" t="str">
        <f t="shared" si="16"/>
        <v>S&amp;P 500 Utility Index</v>
      </c>
      <c r="F751" s="992">
        <v>3.15E-2</v>
      </c>
      <c r="H751" s="992">
        <v>9.0045833333333332E-3</v>
      </c>
      <c r="I751" s="986">
        <f t="shared" si="17"/>
        <v>2.2495416666666667E-2</v>
      </c>
      <c r="J751" s="988">
        <v>32295</v>
      </c>
    </row>
    <row r="752" spans="1:10" ht="13.8">
      <c r="A752" s="987">
        <v>3</v>
      </c>
      <c r="B752" s="988">
        <f t="shared" si="15"/>
        <v>32325</v>
      </c>
      <c r="C752" s="987" t="str">
        <f t="shared" si="16"/>
        <v>S&amp;P 500 Utility Index</v>
      </c>
      <c r="F752" s="992">
        <v>1.6999999999999993E-3</v>
      </c>
      <c r="H752" s="992">
        <v>9.1866666666666659E-3</v>
      </c>
      <c r="I752" s="986">
        <f t="shared" si="17"/>
        <v>-7.4866666666666666E-3</v>
      </c>
      <c r="J752" s="988">
        <v>32325</v>
      </c>
    </row>
    <row r="753" spans="1:10" ht="13.8">
      <c r="A753" s="987">
        <v>3</v>
      </c>
      <c r="B753" s="988">
        <f t="shared" si="15"/>
        <v>32356</v>
      </c>
      <c r="C753" s="987" t="str">
        <f t="shared" si="16"/>
        <v>S&amp;P 500 Utility Index</v>
      </c>
      <c r="F753" s="992">
        <v>-1.37E-2</v>
      </c>
      <c r="H753" s="992">
        <v>9.3080000000000003E-3</v>
      </c>
      <c r="I753" s="986">
        <f t="shared" si="17"/>
        <v>-2.3008000000000001E-2</v>
      </c>
      <c r="J753" s="988">
        <v>32356</v>
      </c>
    </row>
    <row r="754" spans="1:10" ht="13.8">
      <c r="A754" s="987">
        <v>3</v>
      </c>
      <c r="B754" s="988">
        <f t="shared" si="15"/>
        <v>32387</v>
      </c>
      <c r="C754" s="987" t="str">
        <f t="shared" si="16"/>
        <v>S&amp;P 500 Utility Index</v>
      </c>
      <c r="F754" s="992">
        <v>4.1299999999999996E-2</v>
      </c>
      <c r="H754" s="992">
        <v>8.8885000000000006E-3</v>
      </c>
      <c r="I754" s="986">
        <f t="shared" si="17"/>
        <v>3.2411499999999996E-2</v>
      </c>
      <c r="J754" s="988">
        <v>32387</v>
      </c>
    </row>
    <row r="755" spans="1:10" ht="13.8">
      <c r="A755" s="987">
        <v>3</v>
      </c>
      <c r="B755" s="988">
        <f t="shared" si="15"/>
        <v>32417</v>
      </c>
      <c r="C755" s="987" t="str">
        <f t="shared" si="16"/>
        <v>S&amp;P 500 Utility Index</v>
      </c>
      <c r="F755" s="992">
        <v>2.6199999999999998E-2</v>
      </c>
      <c r="H755" s="992">
        <v>8.3178333333333351E-3</v>
      </c>
      <c r="I755" s="986">
        <f t="shared" si="17"/>
        <v>1.7882166666666664E-2</v>
      </c>
      <c r="J755" s="988">
        <v>32417</v>
      </c>
    </row>
    <row r="756" spans="1:10" ht="13.8">
      <c r="A756" s="987">
        <v>3</v>
      </c>
      <c r="B756" s="988">
        <f t="shared" si="15"/>
        <v>32448</v>
      </c>
      <c r="C756" s="987" t="str">
        <f t="shared" si="16"/>
        <v>S&amp;P 500 Utility Index</v>
      </c>
      <c r="F756" s="992">
        <v>-7.899999999999999E-3</v>
      </c>
      <c r="H756" s="992">
        <v>8.241666666666668E-3</v>
      </c>
      <c r="I756" s="986">
        <f t="shared" si="17"/>
        <v>-1.6141666666666665E-2</v>
      </c>
      <c r="J756" s="988">
        <v>32448</v>
      </c>
    </row>
    <row r="757" spans="1:10" ht="13.8">
      <c r="A757" s="987">
        <v>3</v>
      </c>
      <c r="B757" s="988">
        <f t="shared" si="15"/>
        <v>32478</v>
      </c>
      <c r="C757" s="987" t="str">
        <f t="shared" si="16"/>
        <v>S&amp;P 500 Utility Index</v>
      </c>
      <c r="F757" s="992">
        <v>6.3E-3</v>
      </c>
      <c r="H757" s="992">
        <v>8.3765833333333331E-3</v>
      </c>
      <c r="I757" s="986">
        <f t="shared" si="17"/>
        <v>-2.0765833333333331E-3</v>
      </c>
      <c r="J757" s="988">
        <v>32478</v>
      </c>
    </row>
    <row r="758" spans="1:10" ht="13.8">
      <c r="A758" s="987">
        <v>3</v>
      </c>
      <c r="B758" s="988">
        <f t="shared" ref="B758:B821" si="18">DATE(YEAR(B757),MONTH(B757) + 1,1)</f>
        <v>32509</v>
      </c>
      <c r="C758" s="987" t="str">
        <f t="shared" ref="C758:C821" si="19">C757</f>
        <v>S&amp;P 500 Utility Index</v>
      </c>
      <c r="F758" s="992">
        <v>5.7100000000000012E-2</v>
      </c>
      <c r="H758" s="992">
        <v>8.404E-3</v>
      </c>
      <c r="I758" s="986">
        <f t="shared" si="17"/>
        <v>4.869600000000001E-2</v>
      </c>
      <c r="J758" s="988">
        <v>32509</v>
      </c>
    </row>
    <row r="759" spans="1:10" ht="13.8">
      <c r="A759" s="987">
        <v>3</v>
      </c>
      <c r="B759" s="988">
        <f t="shared" si="18"/>
        <v>32540</v>
      </c>
      <c r="C759" s="987" t="str">
        <f t="shared" si="19"/>
        <v>S&amp;P 500 Utility Index</v>
      </c>
      <c r="F759" s="992">
        <v>-2.1499999999999998E-2</v>
      </c>
      <c r="H759" s="992">
        <v>8.382916666666667E-3</v>
      </c>
      <c r="I759" s="986">
        <f t="shared" si="17"/>
        <v>-2.9882916666666665E-2</v>
      </c>
      <c r="J759" s="988">
        <v>32540</v>
      </c>
    </row>
    <row r="760" spans="1:10" ht="13.8">
      <c r="A760" s="987">
        <v>3</v>
      </c>
      <c r="B760" s="988">
        <f t="shared" si="18"/>
        <v>32568</v>
      </c>
      <c r="C760" s="987" t="str">
        <f t="shared" si="19"/>
        <v>S&amp;P 500 Utility Index</v>
      </c>
      <c r="F760" s="992">
        <v>2.69E-2</v>
      </c>
      <c r="H760" s="992">
        <v>8.5345000000000004E-3</v>
      </c>
      <c r="I760" s="986">
        <f t="shared" si="17"/>
        <v>1.83655E-2</v>
      </c>
      <c r="J760" s="988">
        <v>32568</v>
      </c>
    </row>
    <row r="761" spans="1:10" ht="13.8">
      <c r="A761" s="987">
        <v>3</v>
      </c>
      <c r="B761" s="988">
        <f t="shared" si="18"/>
        <v>32599</v>
      </c>
      <c r="C761" s="987" t="str">
        <f t="shared" si="19"/>
        <v>S&amp;P 500 Utility Index</v>
      </c>
      <c r="F761" s="992">
        <v>6.3399999999999998E-2</v>
      </c>
      <c r="H761" s="992">
        <v>8.4920833333333341E-3</v>
      </c>
      <c r="I761" s="986">
        <f t="shared" si="17"/>
        <v>5.4907916666666667E-2</v>
      </c>
      <c r="J761" s="988">
        <v>32599</v>
      </c>
    </row>
    <row r="762" spans="1:10" ht="13.8">
      <c r="A762" s="987">
        <v>3</v>
      </c>
      <c r="B762" s="988">
        <f t="shared" si="18"/>
        <v>32629</v>
      </c>
      <c r="C762" s="987" t="str">
        <f t="shared" si="19"/>
        <v>S&amp;P 500 Utility Index</v>
      </c>
      <c r="F762" s="992">
        <v>5.7999999999999996E-2</v>
      </c>
      <c r="H762" s="992">
        <v>8.3340833333333322E-3</v>
      </c>
      <c r="I762" s="986">
        <f t="shared" si="17"/>
        <v>4.9665916666666664E-2</v>
      </c>
      <c r="J762" s="988">
        <v>32629</v>
      </c>
    </row>
    <row r="763" spans="1:10" ht="13.8">
      <c r="A763" s="987">
        <v>3</v>
      </c>
      <c r="B763" s="988">
        <f t="shared" si="18"/>
        <v>32660</v>
      </c>
      <c r="C763" s="987" t="str">
        <f t="shared" si="19"/>
        <v>S&amp;P 500 Utility Index</v>
      </c>
      <c r="F763" s="992">
        <v>1.61E-2</v>
      </c>
      <c r="H763" s="992">
        <v>8.0485000000000001E-3</v>
      </c>
      <c r="I763" s="986">
        <f t="shared" si="17"/>
        <v>8.0514999999999996E-3</v>
      </c>
      <c r="J763" s="988">
        <v>32660</v>
      </c>
    </row>
    <row r="764" spans="1:10" ht="13.8">
      <c r="A764" s="987">
        <v>3</v>
      </c>
      <c r="B764" s="988">
        <f t="shared" si="18"/>
        <v>32690</v>
      </c>
      <c r="C764" s="987" t="str">
        <f t="shared" si="19"/>
        <v>S&amp;P 500 Utility Index</v>
      </c>
      <c r="F764" s="992">
        <v>8.0399999999999985E-2</v>
      </c>
      <c r="H764" s="992">
        <v>7.9204166666666659E-3</v>
      </c>
      <c r="I764" s="986">
        <f t="shared" si="17"/>
        <v>7.2479583333333319E-2</v>
      </c>
      <c r="J764" s="988">
        <v>32690</v>
      </c>
    </row>
    <row r="765" spans="1:10" ht="13.8">
      <c r="A765" s="987">
        <v>3</v>
      </c>
      <c r="B765" s="988">
        <f t="shared" si="18"/>
        <v>32721</v>
      </c>
      <c r="C765" s="987" t="str">
        <f t="shared" si="19"/>
        <v>S&amp;P 500 Utility Index</v>
      </c>
      <c r="F765" s="992">
        <v>-5.6999999999999993E-3</v>
      </c>
      <c r="H765" s="992">
        <v>7.9289999999999985E-3</v>
      </c>
      <c r="I765" s="986">
        <f t="shared" si="17"/>
        <v>-1.3628999999999999E-2</v>
      </c>
      <c r="J765" s="988">
        <v>32721</v>
      </c>
    </row>
    <row r="766" spans="1:10" ht="13.8">
      <c r="A766" s="987">
        <v>3</v>
      </c>
      <c r="B766" s="988">
        <f t="shared" si="18"/>
        <v>32752</v>
      </c>
      <c r="C766" s="987" t="str">
        <f t="shared" si="19"/>
        <v>S&amp;P 500 Utility Index</v>
      </c>
      <c r="F766" s="992">
        <v>1.7000000000000001E-2</v>
      </c>
      <c r="H766" s="992">
        <v>7.9866666666666662E-3</v>
      </c>
      <c r="I766" s="986">
        <f t="shared" si="17"/>
        <v>9.013333333333335E-3</v>
      </c>
      <c r="J766" s="988">
        <v>32752</v>
      </c>
    </row>
    <row r="767" spans="1:10" ht="13.8">
      <c r="A767" s="987">
        <v>3</v>
      </c>
      <c r="B767" s="988">
        <f t="shared" si="18"/>
        <v>32782</v>
      </c>
      <c r="C767" s="987" t="str">
        <f t="shared" si="19"/>
        <v>S&amp;P 500 Utility Index</v>
      </c>
      <c r="F767" s="992">
        <v>4.5000000000000005E-3</v>
      </c>
      <c r="H767" s="992">
        <v>7.948499999999999E-3</v>
      </c>
      <c r="I767" s="986">
        <f t="shared" si="17"/>
        <v>-3.4484999999999984E-3</v>
      </c>
      <c r="J767" s="988">
        <v>32782</v>
      </c>
    </row>
    <row r="768" spans="1:10" ht="13.8">
      <c r="A768" s="987">
        <v>3</v>
      </c>
      <c r="B768" s="988">
        <f t="shared" si="18"/>
        <v>32813</v>
      </c>
      <c r="C768" s="987" t="str">
        <f t="shared" si="19"/>
        <v>S&amp;P 500 Utility Index</v>
      </c>
      <c r="F768" s="992">
        <v>3.3599999999999998E-2</v>
      </c>
      <c r="H768" s="992">
        <v>7.929750000000001E-3</v>
      </c>
      <c r="I768" s="986">
        <f t="shared" si="17"/>
        <v>2.5670249999999999E-2</v>
      </c>
      <c r="J768" s="988">
        <v>32813</v>
      </c>
    </row>
    <row r="769" spans="1:10" ht="13.8">
      <c r="A769" s="987">
        <v>3</v>
      </c>
      <c r="B769" s="988">
        <f t="shared" si="18"/>
        <v>32843</v>
      </c>
      <c r="C769" s="987" t="str">
        <f t="shared" si="19"/>
        <v>S&amp;P 500 Utility Index</v>
      </c>
      <c r="F769" s="992">
        <v>7.3099999999999998E-2</v>
      </c>
      <c r="H769" s="992">
        <v>7.8612500000000002E-3</v>
      </c>
      <c r="I769" s="986">
        <f t="shared" si="17"/>
        <v>6.5238749999999998E-2</v>
      </c>
      <c r="J769" s="988">
        <v>32843</v>
      </c>
    </row>
    <row r="770" spans="1:10" ht="13.8">
      <c r="A770" s="987">
        <v>3</v>
      </c>
      <c r="B770" s="988">
        <f t="shared" si="18"/>
        <v>32874</v>
      </c>
      <c r="C770" s="987" t="str">
        <f t="shared" si="19"/>
        <v>S&amp;P 500 Utility Index</v>
      </c>
      <c r="F770" s="992">
        <v>-8.09E-2</v>
      </c>
      <c r="H770" s="992">
        <v>7.9564166666666672E-3</v>
      </c>
      <c r="I770" s="986">
        <f t="shared" si="17"/>
        <v>-8.885641666666666E-2</v>
      </c>
      <c r="J770" s="988">
        <v>32874</v>
      </c>
    </row>
    <row r="771" spans="1:10" ht="13.8">
      <c r="A771" s="987">
        <v>3</v>
      </c>
      <c r="B771" s="988">
        <f t="shared" si="18"/>
        <v>32905</v>
      </c>
      <c r="C771" s="987" t="str">
        <f t="shared" si="19"/>
        <v>S&amp;P 500 Utility Index</v>
      </c>
      <c r="F771" s="992">
        <v>-1.09E-2</v>
      </c>
      <c r="H771" s="992">
        <v>8.1302500000000003E-3</v>
      </c>
      <c r="I771" s="986">
        <f t="shared" si="17"/>
        <v>-1.9030249999999999E-2</v>
      </c>
      <c r="J771" s="988">
        <v>32905</v>
      </c>
    </row>
    <row r="772" spans="1:10" ht="13.8">
      <c r="A772" s="987">
        <v>3</v>
      </c>
      <c r="B772" s="988">
        <f t="shared" si="18"/>
        <v>32933</v>
      </c>
      <c r="C772" s="987" t="str">
        <f t="shared" si="19"/>
        <v>S&amp;P 500 Utility Index</v>
      </c>
      <c r="F772" s="992">
        <v>1.8700000000000001E-2</v>
      </c>
      <c r="H772" s="992">
        <v>8.2053333333333318E-3</v>
      </c>
      <c r="I772" s="986">
        <f t="shared" si="17"/>
        <v>1.049466666666667E-2</v>
      </c>
      <c r="J772" s="988">
        <v>32933</v>
      </c>
    </row>
    <row r="773" spans="1:10" ht="13.8">
      <c r="A773" s="987">
        <v>3</v>
      </c>
      <c r="B773" s="988">
        <f t="shared" si="18"/>
        <v>32964</v>
      </c>
      <c r="C773" s="987" t="str">
        <f t="shared" si="19"/>
        <v>S&amp;P 500 Utility Index</v>
      </c>
      <c r="F773" s="992">
        <v>-3.85E-2</v>
      </c>
      <c r="H773" s="992">
        <v>8.2587500000000005E-3</v>
      </c>
      <c r="I773" s="986">
        <f t="shared" si="17"/>
        <v>-4.6758750000000002E-2</v>
      </c>
      <c r="J773" s="988">
        <v>32964</v>
      </c>
    </row>
    <row r="774" spans="1:10" ht="13.8">
      <c r="A774" s="987">
        <v>3</v>
      </c>
      <c r="B774" s="988">
        <f t="shared" si="18"/>
        <v>32994</v>
      </c>
      <c r="C774" s="987" t="str">
        <f t="shared" si="19"/>
        <v>S&amp;P 500 Utility Index</v>
      </c>
      <c r="F774" s="992">
        <v>6.8200000000000011E-2</v>
      </c>
      <c r="H774" s="992">
        <v>8.3382500000000002E-3</v>
      </c>
      <c r="I774" s="986">
        <f t="shared" si="17"/>
        <v>5.9861750000000012E-2</v>
      </c>
      <c r="J774" s="988">
        <v>32994</v>
      </c>
    </row>
    <row r="775" spans="1:10" ht="13.8">
      <c r="A775" s="987">
        <v>3</v>
      </c>
      <c r="B775" s="988">
        <f t="shared" si="18"/>
        <v>33025</v>
      </c>
      <c r="C775" s="987" t="str">
        <f t="shared" si="19"/>
        <v>S&amp;P 500 Utility Index</v>
      </c>
      <c r="F775" s="992">
        <v>-2.1099999999999997E-2</v>
      </c>
      <c r="H775" s="992">
        <v>8.175E-3</v>
      </c>
      <c r="I775" s="986">
        <f t="shared" si="17"/>
        <v>-2.9274999999999995E-2</v>
      </c>
      <c r="J775" s="988">
        <v>33025</v>
      </c>
    </row>
    <row r="776" spans="1:10" ht="13.8">
      <c r="A776" s="987">
        <v>3</v>
      </c>
      <c r="B776" s="988">
        <f t="shared" si="18"/>
        <v>33055</v>
      </c>
      <c r="C776" s="987" t="str">
        <f t="shared" si="19"/>
        <v>S&amp;P 500 Utility Index</v>
      </c>
      <c r="F776" s="992">
        <v>-3.1999999999999997E-3</v>
      </c>
      <c r="H776" s="992">
        <v>8.1317500000000001E-3</v>
      </c>
      <c r="I776" s="986">
        <f t="shared" si="17"/>
        <v>-1.133175E-2</v>
      </c>
      <c r="J776" s="988">
        <v>33055</v>
      </c>
    </row>
    <row r="777" spans="1:10" ht="13.8">
      <c r="A777" s="987">
        <v>3</v>
      </c>
      <c r="B777" s="988">
        <f t="shared" si="18"/>
        <v>33086</v>
      </c>
      <c r="C777" s="987" t="str">
        <f t="shared" si="19"/>
        <v>S&amp;P 500 Utility Index</v>
      </c>
      <c r="F777" s="992">
        <v>-7.9199999999999993E-2</v>
      </c>
      <c r="H777" s="992">
        <v>8.2464166666666658E-3</v>
      </c>
      <c r="I777" s="986">
        <f t="shared" si="17"/>
        <v>-8.7446416666666665E-2</v>
      </c>
      <c r="J777" s="988">
        <v>33086</v>
      </c>
    </row>
    <row r="778" spans="1:10" ht="13.8">
      <c r="A778" s="987">
        <v>3</v>
      </c>
      <c r="B778" s="988">
        <f t="shared" si="18"/>
        <v>33117</v>
      </c>
      <c r="C778" s="987" t="str">
        <f t="shared" si="19"/>
        <v>S&amp;P 500 Utility Index</v>
      </c>
      <c r="F778" s="992">
        <v>4.1100000000000005E-2</v>
      </c>
      <c r="H778" s="992">
        <v>8.4306666666666662E-3</v>
      </c>
      <c r="I778" s="986">
        <f t="shared" si="17"/>
        <v>3.2669333333333342E-2</v>
      </c>
      <c r="J778" s="988">
        <v>33117</v>
      </c>
    </row>
    <row r="779" spans="1:10" ht="13.8">
      <c r="A779" s="987">
        <v>3</v>
      </c>
      <c r="B779" s="988">
        <f t="shared" si="18"/>
        <v>33147</v>
      </c>
      <c r="C779" s="987" t="str">
        <f t="shared" si="19"/>
        <v>S&amp;P 500 Utility Index</v>
      </c>
      <c r="F779" s="992">
        <v>6.5299999999999997E-2</v>
      </c>
      <c r="H779" s="992">
        <v>8.3855000000000006E-3</v>
      </c>
      <c r="I779" s="986">
        <f t="shared" si="17"/>
        <v>5.6914499999999993E-2</v>
      </c>
      <c r="J779" s="988">
        <v>33147</v>
      </c>
    </row>
    <row r="780" spans="1:10" ht="13.8">
      <c r="A780" s="987">
        <v>3</v>
      </c>
      <c r="B780" s="988">
        <f t="shared" si="18"/>
        <v>33178</v>
      </c>
      <c r="C780" s="987" t="str">
        <f t="shared" si="19"/>
        <v>S&amp;P 500 Utility Index</v>
      </c>
      <c r="F780" s="992">
        <v>1.9299999999999998E-2</v>
      </c>
      <c r="H780" s="992">
        <v>8.2603333333333331E-3</v>
      </c>
      <c r="I780" s="986">
        <f t="shared" si="17"/>
        <v>1.1039666666666665E-2</v>
      </c>
      <c r="J780" s="988">
        <v>33178</v>
      </c>
    </row>
    <row r="781" spans="1:10" ht="13.8">
      <c r="A781" s="987">
        <v>3</v>
      </c>
      <c r="B781" s="988">
        <f t="shared" si="18"/>
        <v>33208</v>
      </c>
      <c r="C781" s="987" t="str">
        <f t="shared" si="19"/>
        <v>S&amp;P 500 Utility Index</v>
      </c>
      <c r="F781" s="992">
        <v>8.6E-3</v>
      </c>
      <c r="H781" s="992">
        <v>8.1091666666666656E-3</v>
      </c>
      <c r="I781" s="986">
        <f t="shared" si="17"/>
        <v>4.9083333333333444E-4</v>
      </c>
      <c r="J781" s="988">
        <v>33208</v>
      </c>
    </row>
    <row r="782" spans="1:10" ht="13.8">
      <c r="A782" s="987">
        <v>3</v>
      </c>
      <c r="B782" s="988">
        <f t="shared" si="18"/>
        <v>33239</v>
      </c>
      <c r="C782" s="987" t="str">
        <f t="shared" si="19"/>
        <v>S&amp;P 500 Utility Index</v>
      </c>
      <c r="F782" s="992">
        <v>-3.0100000000000002E-2</v>
      </c>
      <c r="H782" s="992">
        <v>8.0939166666666659E-3</v>
      </c>
      <c r="I782" s="986">
        <f t="shared" si="17"/>
        <v>-3.8193916666666668E-2</v>
      </c>
      <c r="J782" s="988">
        <v>33239</v>
      </c>
    </row>
    <row r="783" spans="1:10" ht="13.8">
      <c r="A783" s="987">
        <v>3</v>
      </c>
      <c r="B783" s="988">
        <f t="shared" si="18"/>
        <v>33270</v>
      </c>
      <c r="C783" s="987" t="str">
        <f t="shared" si="19"/>
        <v>S&amp;P 500 Utility Index</v>
      </c>
      <c r="F783" s="992">
        <v>3.49E-2</v>
      </c>
      <c r="H783" s="992">
        <v>7.8978333333333331E-3</v>
      </c>
      <c r="I783" s="986">
        <f t="shared" si="17"/>
        <v>2.7002166666666667E-2</v>
      </c>
      <c r="J783" s="988">
        <v>33270</v>
      </c>
    </row>
    <row r="784" spans="1:10" ht="13.8">
      <c r="A784" s="987">
        <v>3</v>
      </c>
      <c r="B784" s="988">
        <f t="shared" si="18"/>
        <v>33298</v>
      </c>
      <c r="C784" s="987" t="str">
        <f t="shared" si="19"/>
        <v>S&amp;P 500 Utility Index</v>
      </c>
      <c r="F784" s="992">
        <v>1.9799999999999998E-2</v>
      </c>
      <c r="H784" s="992">
        <v>7.9608333333333337E-3</v>
      </c>
      <c r="I784" s="986">
        <f t="shared" si="17"/>
        <v>1.1839166666666665E-2</v>
      </c>
      <c r="J784" s="988">
        <v>33298</v>
      </c>
    </row>
    <row r="785" spans="1:10" ht="13.8">
      <c r="A785" s="987">
        <v>3</v>
      </c>
      <c r="B785" s="988">
        <f t="shared" si="18"/>
        <v>33329</v>
      </c>
      <c r="C785" s="987" t="str">
        <f t="shared" si="19"/>
        <v>S&amp;P 500 Utility Index</v>
      </c>
      <c r="F785" s="992">
        <v>-1.6200000000000003E-2</v>
      </c>
      <c r="H785" s="992">
        <v>7.8870833333333328E-3</v>
      </c>
      <c r="I785" s="986">
        <f t="shared" si="17"/>
        <v>-2.4087083333333335E-2</v>
      </c>
      <c r="J785" s="988">
        <v>33329</v>
      </c>
    </row>
    <row r="786" spans="1:10" ht="13.8">
      <c r="A786" s="987">
        <v>3</v>
      </c>
      <c r="B786" s="988">
        <f t="shared" si="18"/>
        <v>33359</v>
      </c>
      <c r="C786" s="987" t="str">
        <f t="shared" si="19"/>
        <v>S&amp;P 500 Utility Index</v>
      </c>
      <c r="F786" s="992">
        <v>-1.2999999999999998E-2</v>
      </c>
      <c r="H786" s="992">
        <v>7.8602499999999992E-3</v>
      </c>
      <c r="I786" s="986">
        <f t="shared" si="17"/>
        <v>-2.0860249999999997E-2</v>
      </c>
      <c r="J786" s="988">
        <v>33359</v>
      </c>
    </row>
    <row r="787" spans="1:10" ht="13.8">
      <c r="A787" s="987">
        <v>3</v>
      </c>
      <c r="B787" s="988">
        <f t="shared" si="18"/>
        <v>33390</v>
      </c>
      <c r="C787" s="987" t="str">
        <f t="shared" si="19"/>
        <v>S&amp;P 500 Utility Index</v>
      </c>
      <c r="F787" s="992">
        <v>-1.3899999999999999E-2</v>
      </c>
      <c r="H787" s="992">
        <v>7.9862500000000003E-3</v>
      </c>
      <c r="I787" s="986">
        <f t="shared" si="17"/>
        <v>-2.1886249999999999E-2</v>
      </c>
      <c r="J787" s="988">
        <v>33390</v>
      </c>
    </row>
    <row r="788" spans="1:10" ht="13.8">
      <c r="A788" s="987">
        <v>3</v>
      </c>
      <c r="B788" s="988">
        <f t="shared" si="18"/>
        <v>33420</v>
      </c>
      <c r="C788" s="987" t="str">
        <f t="shared" si="19"/>
        <v>S&amp;P 500 Utility Index</v>
      </c>
      <c r="F788" s="992">
        <v>3.0700000000000002E-2</v>
      </c>
      <c r="H788" s="992">
        <v>7.9564166666666672E-3</v>
      </c>
      <c r="I788" s="986">
        <f t="shared" si="17"/>
        <v>2.2743583333333334E-2</v>
      </c>
      <c r="J788" s="988">
        <v>33420</v>
      </c>
    </row>
    <row r="789" spans="1:10" ht="13.8">
      <c r="A789" s="987">
        <v>3</v>
      </c>
      <c r="B789" s="988">
        <f t="shared" si="18"/>
        <v>33451</v>
      </c>
      <c r="C789" s="987" t="str">
        <f t="shared" si="19"/>
        <v>S&amp;P 500 Utility Index</v>
      </c>
      <c r="F789" s="992">
        <v>2.58E-2</v>
      </c>
      <c r="H789" s="992">
        <v>7.7541666666666662E-3</v>
      </c>
      <c r="I789" s="986">
        <f t="shared" si="17"/>
        <v>1.8045833333333334E-2</v>
      </c>
      <c r="J789" s="988">
        <v>33451</v>
      </c>
    </row>
    <row r="790" spans="1:10" ht="13.8">
      <c r="A790" s="987">
        <v>3</v>
      </c>
      <c r="B790" s="988">
        <f t="shared" si="18"/>
        <v>33482</v>
      </c>
      <c r="C790" s="987" t="str">
        <f t="shared" si="19"/>
        <v>S&amp;P 500 Utility Index</v>
      </c>
      <c r="F790" s="992">
        <v>2.0199999999999999E-2</v>
      </c>
      <c r="H790" s="992">
        <v>7.6383333333333338E-3</v>
      </c>
      <c r="I790" s="986">
        <f t="shared" si="17"/>
        <v>1.2561666666666665E-2</v>
      </c>
      <c r="J790" s="988">
        <v>33482</v>
      </c>
    </row>
    <row r="791" spans="1:10" ht="13.8">
      <c r="A791" s="987">
        <v>3</v>
      </c>
      <c r="B791" s="988">
        <f t="shared" si="18"/>
        <v>33512</v>
      </c>
      <c r="C791" s="987" t="str">
        <f t="shared" si="19"/>
        <v>S&amp;P 500 Utility Index</v>
      </c>
      <c r="F791" s="992">
        <v>0.02</v>
      </c>
      <c r="H791" s="992">
        <v>7.6007500000000007E-3</v>
      </c>
      <c r="I791" s="986">
        <f t="shared" si="17"/>
        <v>1.2399250000000001E-2</v>
      </c>
      <c r="J791" s="988">
        <v>33512</v>
      </c>
    </row>
    <row r="792" spans="1:10" ht="13.8">
      <c r="A792" s="987">
        <v>3</v>
      </c>
      <c r="B792" s="988">
        <f t="shared" si="18"/>
        <v>33543</v>
      </c>
      <c r="C792" s="987" t="str">
        <f t="shared" si="19"/>
        <v>S&amp;P 500 Utility Index</v>
      </c>
      <c r="F792" s="992">
        <v>-9.7999999999999997E-3</v>
      </c>
      <c r="H792" s="992">
        <v>7.5445833333333337E-3</v>
      </c>
      <c r="I792" s="986">
        <f t="shared" si="17"/>
        <v>-1.7344583333333333E-2</v>
      </c>
      <c r="J792" s="988">
        <v>33543</v>
      </c>
    </row>
    <row r="793" spans="1:10" ht="13.8">
      <c r="A793" s="987">
        <v>3</v>
      </c>
      <c r="B793" s="988">
        <f t="shared" si="18"/>
        <v>33573</v>
      </c>
      <c r="C793" s="987" t="str">
        <f t="shared" si="19"/>
        <v>S&amp;P 500 Utility Index</v>
      </c>
      <c r="F793" s="992">
        <v>7.3300000000000004E-2</v>
      </c>
      <c r="H793" s="992">
        <v>7.4162500000000001E-3</v>
      </c>
      <c r="I793" s="986">
        <f t="shared" si="17"/>
        <v>6.5883750000000005E-2</v>
      </c>
      <c r="J793" s="988">
        <v>33573</v>
      </c>
    </row>
    <row r="794" spans="1:10" ht="13.8">
      <c r="A794" s="987">
        <v>3</v>
      </c>
      <c r="B794" s="988">
        <f t="shared" si="18"/>
        <v>33604</v>
      </c>
      <c r="C794" s="987" t="str">
        <f t="shared" si="19"/>
        <v>S&amp;P 500 Utility Index</v>
      </c>
      <c r="F794" s="992">
        <v>-5.3600000000000002E-2</v>
      </c>
      <c r="H794" s="992">
        <v>7.3602500000000005E-3</v>
      </c>
      <c r="I794" s="986">
        <f t="shared" ref="I794:I857" si="20">F794-H794</f>
        <v>-6.0960250000000001E-2</v>
      </c>
      <c r="J794" s="988">
        <v>33604</v>
      </c>
    </row>
    <row r="795" spans="1:10" ht="13.8">
      <c r="A795" s="987">
        <v>3</v>
      </c>
      <c r="B795" s="988">
        <f t="shared" si="18"/>
        <v>33635</v>
      </c>
      <c r="C795" s="987" t="str">
        <f t="shared" si="19"/>
        <v>S&amp;P 500 Utility Index</v>
      </c>
      <c r="F795" s="992">
        <v>-2.7300000000000001E-2</v>
      </c>
      <c r="H795" s="992">
        <v>7.4420833333333335E-3</v>
      </c>
      <c r="I795" s="986">
        <f t="shared" si="20"/>
        <v>-3.4742083333333333E-2</v>
      </c>
      <c r="J795" s="988">
        <v>33635</v>
      </c>
    </row>
    <row r="796" spans="1:10" ht="13.8">
      <c r="A796" s="987">
        <v>3</v>
      </c>
      <c r="B796" s="988">
        <f t="shared" si="18"/>
        <v>33664</v>
      </c>
      <c r="C796" s="987" t="str">
        <f t="shared" si="19"/>
        <v>S&amp;P 500 Utility Index</v>
      </c>
      <c r="F796" s="992">
        <v>-1.43E-2</v>
      </c>
      <c r="H796" s="992">
        <v>7.4727500000000002E-3</v>
      </c>
      <c r="I796" s="986">
        <f t="shared" si="20"/>
        <v>-2.177275E-2</v>
      </c>
      <c r="J796" s="988">
        <v>33664</v>
      </c>
    </row>
    <row r="797" spans="1:10" ht="13.8">
      <c r="A797" s="987">
        <v>3</v>
      </c>
      <c r="B797" s="988">
        <f t="shared" si="18"/>
        <v>33695</v>
      </c>
      <c r="C797" s="987" t="str">
        <f t="shared" si="19"/>
        <v>S&amp;P 500 Utility Index</v>
      </c>
      <c r="F797" s="992">
        <v>6.4500000000000002E-2</v>
      </c>
      <c r="H797" s="992">
        <v>7.4380833333333339E-3</v>
      </c>
      <c r="I797" s="986">
        <f t="shared" si="20"/>
        <v>5.7061916666666671E-2</v>
      </c>
      <c r="J797" s="988">
        <v>33695</v>
      </c>
    </row>
    <row r="798" spans="1:10" ht="13.8">
      <c r="A798" s="987">
        <v>3</v>
      </c>
      <c r="B798" s="988">
        <f t="shared" si="18"/>
        <v>33725</v>
      </c>
      <c r="C798" s="987" t="str">
        <f t="shared" si="19"/>
        <v>S&amp;P 500 Utility Index</v>
      </c>
      <c r="F798" s="992">
        <v>-1.5000000000000005E-3</v>
      </c>
      <c r="H798" s="992">
        <v>7.3995833333333335E-3</v>
      </c>
      <c r="I798" s="986">
        <f t="shared" si="20"/>
        <v>-8.899583333333334E-3</v>
      </c>
      <c r="J798" s="988">
        <v>33725</v>
      </c>
    </row>
    <row r="799" spans="1:10" ht="13.8">
      <c r="A799" s="987">
        <v>3</v>
      </c>
      <c r="B799" s="988">
        <f t="shared" si="18"/>
        <v>33756</v>
      </c>
      <c r="C799" s="987" t="str">
        <f t="shared" si="19"/>
        <v>S&amp;P 500 Utility Index</v>
      </c>
      <c r="F799" s="992">
        <v>1.41E-2</v>
      </c>
      <c r="H799" s="992">
        <v>7.3230833333333325E-3</v>
      </c>
      <c r="I799" s="986">
        <f t="shared" si="20"/>
        <v>6.7769166666666672E-3</v>
      </c>
      <c r="J799" s="988">
        <v>33756</v>
      </c>
    </row>
    <row r="800" spans="1:10" ht="13.8">
      <c r="A800" s="987">
        <v>3</v>
      </c>
      <c r="B800" s="988">
        <f t="shared" si="18"/>
        <v>33786</v>
      </c>
      <c r="C800" s="987" t="str">
        <f t="shared" si="19"/>
        <v>S&amp;P 500 Utility Index</v>
      </c>
      <c r="F800" s="992">
        <v>7.9000000000000001E-2</v>
      </c>
      <c r="H800" s="992">
        <v>7.1492500000000002E-3</v>
      </c>
      <c r="I800" s="986">
        <f t="shared" si="20"/>
        <v>7.1850750000000005E-2</v>
      </c>
      <c r="J800" s="988">
        <v>33786</v>
      </c>
    </row>
    <row r="801" spans="1:10" ht="13.8">
      <c r="A801" s="987">
        <v>3</v>
      </c>
      <c r="B801" s="988">
        <f t="shared" si="18"/>
        <v>33817</v>
      </c>
      <c r="C801" s="987" t="str">
        <f t="shared" si="19"/>
        <v>S&amp;P 500 Utility Index</v>
      </c>
      <c r="F801" s="992">
        <v>-7.4000000000000012E-3</v>
      </c>
      <c r="H801" s="992">
        <v>7.031333333333333E-3</v>
      </c>
      <c r="I801" s="986">
        <f t="shared" si="20"/>
        <v>-1.4431333333333334E-2</v>
      </c>
      <c r="J801" s="988">
        <v>33817</v>
      </c>
    </row>
    <row r="802" spans="1:10" ht="13.8">
      <c r="A802" s="987">
        <v>3</v>
      </c>
      <c r="B802" s="988">
        <f t="shared" si="18"/>
        <v>33848</v>
      </c>
      <c r="C802" s="987" t="str">
        <f t="shared" si="19"/>
        <v>S&amp;P 500 Utility Index</v>
      </c>
      <c r="F802" s="992">
        <v>7.2999999999999983E-3</v>
      </c>
      <c r="H802" s="992">
        <v>7.0059166666666664E-3</v>
      </c>
      <c r="I802" s="986">
        <f t="shared" si="20"/>
        <v>2.9408333333333196E-4</v>
      </c>
      <c r="J802" s="988">
        <v>33848</v>
      </c>
    </row>
    <row r="803" spans="1:10" ht="13.8">
      <c r="A803" s="987">
        <v>3</v>
      </c>
      <c r="B803" s="988">
        <f t="shared" si="18"/>
        <v>33878</v>
      </c>
      <c r="C803" s="987" t="str">
        <f t="shared" si="19"/>
        <v>S&amp;P 500 Utility Index</v>
      </c>
      <c r="F803" s="992">
        <v>-9.3999999999999986E-3</v>
      </c>
      <c r="H803" s="992">
        <v>7.1056666666666664E-3</v>
      </c>
      <c r="I803" s="986">
        <f t="shared" si="20"/>
        <v>-1.6505666666666665E-2</v>
      </c>
      <c r="J803" s="988">
        <v>33878</v>
      </c>
    </row>
    <row r="804" spans="1:10" ht="13.8">
      <c r="A804" s="987">
        <v>3</v>
      </c>
      <c r="B804" s="988">
        <f t="shared" si="18"/>
        <v>33909</v>
      </c>
      <c r="C804" s="987" t="str">
        <f t="shared" si="19"/>
        <v>S&amp;P 500 Utility Index</v>
      </c>
      <c r="F804" s="992">
        <v>-1.5000000000000005E-3</v>
      </c>
      <c r="H804" s="992">
        <v>7.1925833333333329E-3</v>
      </c>
      <c r="I804" s="986">
        <f t="shared" si="20"/>
        <v>-8.6925833333333334E-3</v>
      </c>
      <c r="J804" s="988">
        <v>33909</v>
      </c>
    </row>
    <row r="805" spans="1:10" ht="13.8">
      <c r="A805" s="987">
        <v>3</v>
      </c>
      <c r="B805" s="988">
        <f t="shared" si="18"/>
        <v>33939</v>
      </c>
      <c r="C805" s="987" t="str">
        <f t="shared" si="19"/>
        <v>S&amp;P 500 Utility Index</v>
      </c>
      <c r="F805" s="992">
        <v>3.5799999999999998E-2</v>
      </c>
      <c r="H805" s="992">
        <v>7.0420833333333334E-3</v>
      </c>
      <c r="I805" s="986">
        <f t="shared" si="20"/>
        <v>2.8757916666666664E-2</v>
      </c>
      <c r="J805" s="988">
        <v>33939</v>
      </c>
    </row>
    <row r="806" spans="1:10" ht="13.8">
      <c r="A806" s="987">
        <v>3</v>
      </c>
      <c r="B806" s="988">
        <f t="shared" si="18"/>
        <v>33970</v>
      </c>
      <c r="C806" s="987" t="str">
        <f t="shared" si="19"/>
        <v>S&amp;P 500 Utility Index</v>
      </c>
      <c r="F806" s="992">
        <v>1.5699999999999999E-2</v>
      </c>
      <c r="H806" s="992">
        <v>6.9009166666666663E-3</v>
      </c>
      <c r="I806" s="986">
        <f t="shared" si="20"/>
        <v>8.7990833333333324E-3</v>
      </c>
      <c r="J806" s="988">
        <v>33970</v>
      </c>
    </row>
    <row r="807" spans="1:10" ht="13.8">
      <c r="A807" s="987">
        <v>3</v>
      </c>
      <c r="B807" s="988">
        <f t="shared" si="18"/>
        <v>34001</v>
      </c>
      <c r="C807" s="987" t="str">
        <f t="shared" si="19"/>
        <v>S&amp;P 500 Utility Index</v>
      </c>
      <c r="F807" s="992">
        <v>7.2099999999999997E-2</v>
      </c>
      <c r="H807" s="992">
        <v>6.7039166666666671E-3</v>
      </c>
      <c r="I807" s="986">
        <f t="shared" si="20"/>
        <v>6.5396083333333327E-2</v>
      </c>
      <c r="J807" s="988">
        <v>34001</v>
      </c>
    </row>
    <row r="808" spans="1:10" ht="13.8">
      <c r="A808" s="987">
        <v>3</v>
      </c>
      <c r="B808" s="988">
        <f t="shared" si="18"/>
        <v>34029</v>
      </c>
      <c r="C808" s="987" t="str">
        <f t="shared" si="19"/>
        <v>S&amp;P 500 Utility Index</v>
      </c>
      <c r="F808" s="992">
        <v>1.7999999999999999E-2</v>
      </c>
      <c r="H808" s="992">
        <v>6.5854999999999993E-3</v>
      </c>
      <c r="I808" s="986">
        <f t="shared" si="20"/>
        <v>1.1414499999999999E-2</v>
      </c>
      <c r="J808" s="988">
        <v>34029</v>
      </c>
    </row>
    <row r="809" spans="1:10" ht="13.8">
      <c r="A809" s="987">
        <v>3</v>
      </c>
      <c r="B809" s="988">
        <f t="shared" si="18"/>
        <v>34060</v>
      </c>
      <c r="C809" s="987" t="str">
        <f t="shared" si="19"/>
        <v>S&amp;P 500 Utility Index</v>
      </c>
      <c r="F809" s="992">
        <v>-2.6999999999999993E-3</v>
      </c>
      <c r="H809" s="992">
        <v>6.514666666666666E-3</v>
      </c>
      <c r="I809" s="986">
        <f t="shared" si="20"/>
        <v>-9.2146666666666661E-3</v>
      </c>
      <c r="J809" s="988">
        <v>34060</v>
      </c>
    </row>
    <row r="810" spans="1:10" ht="13.8">
      <c r="A810" s="987">
        <v>3</v>
      </c>
      <c r="B810" s="988">
        <f t="shared" si="18"/>
        <v>34090</v>
      </c>
      <c r="C810" s="987" t="str">
        <f t="shared" si="19"/>
        <v>S&amp;P 500 Utility Index</v>
      </c>
      <c r="F810" s="992">
        <v>-1.9099999999999999E-2</v>
      </c>
      <c r="H810" s="992">
        <v>6.5491666666666667E-3</v>
      </c>
      <c r="I810" s="986">
        <f t="shared" si="20"/>
        <v>-2.5649166666666667E-2</v>
      </c>
      <c r="J810" s="988">
        <v>34090</v>
      </c>
    </row>
    <row r="811" spans="1:10" ht="13.8">
      <c r="A811" s="987">
        <v>3</v>
      </c>
      <c r="B811" s="988">
        <f t="shared" si="18"/>
        <v>34121</v>
      </c>
      <c r="C811" s="987" t="str">
        <f t="shared" si="19"/>
        <v>S&amp;P 500 Utility Index</v>
      </c>
      <c r="F811" s="992">
        <v>4.6300000000000001E-2</v>
      </c>
      <c r="H811" s="992">
        <v>6.4693333333333339E-3</v>
      </c>
      <c r="I811" s="986">
        <f t="shared" si="20"/>
        <v>3.9830666666666667E-2</v>
      </c>
      <c r="J811" s="988">
        <v>34121</v>
      </c>
    </row>
    <row r="812" spans="1:10" ht="13.8">
      <c r="A812" s="987">
        <v>3</v>
      </c>
      <c r="B812" s="988">
        <f t="shared" si="18"/>
        <v>34151</v>
      </c>
      <c r="C812" s="987" t="str">
        <f t="shared" si="19"/>
        <v>S&amp;P 500 Utility Index</v>
      </c>
      <c r="F812" s="992">
        <v>2.2599999999999999E-2</v>
      </c>
      <c r="H812" s="992">
        <v>6.284500000000001E-3</v>
      </c>
      <c r="I812" s="986">
        <f t="shared" si="20"/>
        <v>1.6315499999999997E-2</v>
      </c>
      <c r="J812" s="988">
        <v>34151</v>
      </c>
    </row>
    <row r="813" spans="1:10" ht="13.8">
      <c r="A813" s="987">
        <v>3</v>
      </c>
      <c r="B813" s="988">
        <f t="shared" si="18"/>
        <v>34182</v>
      </c>
      <c r="C813" s="987" t="str">
        <f t="shared" si="19"/>
        <v>S&amp;P 500 Utility Index</v>
      </c>
      <c r="F813" s="992">
        <v>4.8399999999999999E-2</v>
      </c>
      <c r="H813" s="992">
        <v>6.0587500000000008E-3</v>
      </c>
      <c r="I813" s="986">
        <f t="shared" si="20"/>
        <v>4.2341249999999997E-2</v>
      </c>
      <c r="J813" s="988">
        <v>34182</v>
      </c>
    </row>
    <row r="814" spans="1:10" ht="13.8">
      <c r="A814" s="987">
        <v>3</v>
      </c>
      <c r="B814" s="988">
        <f t="shared" si="18"/>
        <v>34213</v>
      </c>
      <c r="C814" s="987" t="str">
        <f t="shared" si="19"/>
        <v>S&amp;P 500 Utility Index</v>
      </c>
      <c r="F814" s="992">
        <v>-2E-3</v>
      </c>
      <c r="H814" s="992">
        <v>5.8635000000000007E-3</v>
      </c>
      <c r="I814" s="986">
        <f t="shared" si="20"/>
        <v>-7.8635000000000007E-3</v>
      </c>
      <c r="J814" s="988">
        <v>34213</v>
      </c>
    </row>
    <row r="815" spans="1:10" ht="13.8">
      <c r="A815" s="987">
        <v>3</v>
      </c>
      <c r="B815" s="988">
        <f t="shared" si="18"/>
        <v>34243</v>
      </c>
      <c r="C815" s="987" t="str">
        <f t="shared" si="19"/>
        <v>S&amp;P 500 Utility Index</v>
      </c>
      <c r="F815" s="992">
        <v>-2.1000000000000003E-3</v>
      </c>
      <c r="H815" s="992">
        <v>5.8567500000000008E-3</v>
      </c>
      <c r="I815" s="986">
        <f t="shared" si="20"/>
        <v>-7.956750000000002E-3</v>
      </c>
      <c r="J815" s="988">
        <v>34243</v>
      </c>
    </row>
    <row r="816" spans="1:10" ht="13.8">
      <c r="A816" s="987">
        <v>3</v>
      </c>
      <c r="B816" s="988">
        <f t="shared" si="18"/>
        <v>34274</v>
      </c>
      <c r="C816" s="987" t="str">
        <f t="shared" si="19"/>
        <v>S&amp;P 500 Utility Index</v>
      </c>
      <c r="F816" s="992">
        <v>-5.0700000000000002E-2</v>
      </c>
      <c r="H816" s="992">
        <v>6.0670833333333332E-3</v>
      </c>
      <c r="I816" s="986">
        <f t="shared" si="20"/>
        <v>-5.6767083333333336E-2</v>
      </c>
      <c r="J816" s="988">
        <v>34274</v>
      </c>
    </row>
    <row r="817" spans="1:10" ht="13.8">
      <c r="A817" s="987">
        <v>3</v>
      </c>
      <c r="B817" s="988">
        <f t="shared" si="18"/>
        <v>34304</v>
      </c>
      <c r="C817" s="987" t="str">
        <f t="shared" si="19"/>
        <v>S&amp;P 500 Utility Index</v>
      </c>
      <c r="F817" s="992">
        <v>-5.3E-3</v>
      </c>
      <c r="H817" s="992">
        <v>6.1131666666666661E-3</v>
      </c>
      <c r="I817" s="986">
        <f t="shared" si="20"/>
        <v>-1.1413166666666665E-2</v>
      </c>
      <c r="J817" s="988">
        <v>34304</v>
      </c>
    </row>
    <row r="818" spans="1:10" ht="13.8">
      <c r="A818" s="987">
        <v>3</v>
      </c>
      <c r="B818" s="988">
        <f t="shared" si="18"/>
        <v>34335</v>
      </c>
      <c r="C818" s="987" t="str">
        <f t="shared" si="19"/>
        <v>S&amp;P 500 Utility Index</v>
      </c>
      <c r="F818" s="992">
        <v>7.1999999999999998E-3</v>
      </c>
      <c r="H818" s="992">
        <v>6.1104166666666668E-3</v>
      </c>
      <c r="I818" s="986">
        <f t="shared" si="20"/>
        <v>1.089583333333333E-3</v>
      </c>
      <c r="J818" s="988">
        <v>34335</v>
      </c>
    </row>
    <row r="819" spans="1:10" ht="13.8">
      <c r="A819" s="987">
        <v>3</v>
      </c>
      <c r="B819" s="988">
        <f t="shared" si="18"/>
        <v>34366</v>
      </c>
      <c r="C819" s="987" t="str">
        <f t="shared" si="19"/>
        <v>S&amp;P 500 Utility Index</v>
      </c>
      <c r="F819" s="992">
        <v>-5.67E-2</v>
      </c>
      <c r="H819" s="992">
        <v>6.2052499999999998E-3</v>
      </c>
      <c r="I819" s="986">
        <f t="shared" si="20"/>
        <v>-6.2905249999999996E-2</v>
      </c>
      <c r="J819" s="988">
        <v>34366</v>
      </c>
    </row>
    <row r="820" spans="1:10" ht="13.8">
      <c r="A820" s="987">
        <v>3</v>
      </c>
      <c r="B820" s="988">
        <f t="shared" si="18"/>
        <v>34394</v>
      </c>
      <c r="C820" s="987" t="str">
        <f t="shared" si="19"/>
        <v>S&amp;P 500 Utility Index</v>
      </c>
      <c r="F820" s="992">
        <v>-3.3800000000000004E-2</v>
      </c>
      <c r="H820" s="992">
        <v>6.527666666666666E-3</v>
      </c>
      <c r="I820" s="986">
        <f t="shared" si="20"/>
        <v>-4.0327666666666671E-2</v>
      </c>
      <c r="J820" s="988">
        <v>34394</v>
      </c>
    </row>
    <row r="821" spans="1:10" ht="13.8">
      <c r="A821" s="987">
        <v>3</v>
      </c>
      <c r="B821" s="988">
        <f t="shared" si="18"/>
        <v>34425</v>
      </c>
      <c r="C821" s="987" t="str">
        <f t="shared" si="19"/>
        <v>S&amp;P 500 Utility Index</v>
      </c>
      <c r="F821" s="992">
        <v>2.46E-2</v>
      </c>
      <c r="H821" s="992">
        <v>6.8514166666666662E-3</v>
      </c>
      <c r="I821" s="986">
        <f t="shared" si="20"/>
        <v>1.7748583333333335E-2</v>
      </c>
      <c r="J821" s="988">
        <v>34425</v>
      </c>
    </row>
    <row r="822" spans="1:10" ht="13.8">
      <c r="A822" s="987">
        <v>3</v>
      </c>
      <c r="B822" s="988">
        <f t="shared" ref="B822:B885" si="21">DATE(YEAR(B821),MONTH(B821) + 1,1)</f>
        <v>34455</v>
      </c>
      <c r="C822" s="987" t="str">
        <f t="shared" ref="C822:C885" si="22">C821</f>
        <v>S&amp;P 500 Utility Index</v>
      </c>
      <c r="F822" s="992">
        <v>-2.6800000000000001E-2</v>
      </c>
      <c r="H822" s="992">
        <v>6.9384999999999994E-3</v>
      </c>
      <c r="I822" s="986">
        <f t="shared" si="20"/>
        <v>-3.3738499999999998E-2</v>
      </c>
      <c r="J822" s="988">
        <v>34455</v>
      </c>
    </row>
    <row r="823" spans="1:10" ht="13.8">
      <c r="A823" s="987">
        <v>3</v>
      </c>
      <c r="B823" s="988">
        <f t="shared" si="21"/>
        <v>34486</v>
      </c>
      <c r="C823" s="987" t="str">
        <f t="shared" si="22"/>
        <v>S&amp;P 500 Utility Index</v>
      </c>
      <c r="F823" s="992">
        <v>2.0999999999999994E-3</v>
      </c>
      <c r="H823" s="992">
        <v>6.9234166666666663E-3</v>
      </c>
      <c r="I823" s="986">
        <f t="shared" si="20"/>
        <v>-4.8234166666666668E-3</v>
      </c>
      <c r="J823" s="988">
        <v>34486</v>
      </c>
    </row>
    <row r="824" spans="1:10" ht="13.8">
      <c r="A824" s="987">
        <v>3</v>
      </c>
      <c r="B824" s="988">
        <f t="shared" si="21"/>
        <v>34516</v>
      </c>
      <c r="C824" s="987" t="str">
        <f t="shared" si="22"/>
        <v>S&amp;P 500 Utility Index</v>
      </c>
      <c r="F824" s="992">
        <v>3.3599999999999998E-2</v>
      </c>
      <c r="H824" s="992">
        <v>7.0627500000000013E-3</v>
      </c>
      <c r="I824" s="986">
        <f t="shared" si="20"/>
        <v>2.6537249999999998E-2</v>
      </c>
      <c r="J824" s="988">
        <v>34516</v>
      </c>
    </row>
    <row r="825" spans="1:10" ht="13.8">
      <c r="A825" s="987">
        <v>3</v>
      </c>
      <c r="B825" s="988">
        <f t="shared" si="21"/>
        <v>34547</v>
      </c>
      <c r="C825" s="987" t="str">
        <f t="shared" si="22"/>
        <v>S&amp;P 500 Utility Index</v>
      </c>
      <c r="F825" s="992">
        <v>-2.7999999999999995E-3</v>
      </c>
      <c r="H825" s="992">
        <v>7.0058333333333335E-3</v>
      </c>
      <c r="I825" s="986">
        <f t="shared" si="20"/>
        <v>-9.8058333333333331E-3</v>
      </c>
      <c r="J825" s="988">
        <v>34547</v>
      </c>
    </row>
    <row r="826" spans="1:10" ht="13.8">
      <c r="A826" s="987">
        <v>3</v>
      </c>
      <c r="B826" s="988">
        <f t="shared" si="21"/>
        <v>34578</v>
      </c>
      <c r="C826" s="987" t="str">
        <f t="shared" si="22"/>
        <v>S&amp;P 500 Utility Index</v>
      </c>
      <c r="F826" s="992">
        <v>-2.5399999999999999E-2</v>
      </c>
      <c r="H826" s="992">
        <v>7.1869166666666661E-3</v>
      </c>
      <c r="I826" s="986">
        <f t="shared" si="20"/>
        <v>-3.2586916666666667E-2</v>
      </c>
      <c r="J826" s="988">
        <v>34578</v>
      </c>
    </row>
    <row r="827" spans="1:10" ht="13.8">
      <c r="A827" s="987">
        <v>3</v>
      </c>
      <c r="B827" s="988">
        <f t="shared" si="21"/>
        <v>34608</v>
      </c>
      <c r="C827" s="987" t="str">
        <f t="shared" si="22"/>
        <v>S&amp;P 500 Utility Index</v>
      </c>
      <c r="F827" s="992">
        <v>8.6E-3</v>
      </c>
      <c r="H827" s="992">
        <v>7.376999999999999E-3</v>
      </c>
      <c r="I827" s="986">
        <f t="shared" si="20"/>
        <v>1.223000000000001E-3</v>
      </c>
      <c r="J827" s="988">
        <v>34608</v>
      </c>
    </row>
    <row r="828" spans="1:10" ht="13.8">
      <c r="A828" s="987">
        <v>3</v>
      </c>
      <c r="B828" s="988">
        <f t="shared" si="21"/>
        <v>34639</v>
      </c>
      <c r="C828" s="987" t="str">
        <f t="shared" si="22"/>
        <v>S&amp;P 500 Utility Index</v>
      </c>
      <c r="F828" s="992">
        <v>-1.46E-2</v>
      </c>
      <c r="H828" s="992">
        <v>7.4862499999999998E-3</v>
      </c>
      <c r="I828" s="986">
        <f t="shared" si="20"/>
        <v>-2.2086250000000002E-2</v>
      </c>
      <c r="J828" s="988">
        <v>34639</v>
      </c>
    </row>
    <row r="829" spans="1:10" ht="13.8">
      <c r="A829" s="987">
        <v>3</v>
      </c>
      <c r="B829" s="988">
        <f t="shared" si="21"/>
        <v>34669</v>
      </c>
      <c r="C829" s="987" t="str">
        <f t="shared" si="22"/>
        <v>S&amp;P 500 Utility Index</v>
      </c>
      <c r="F829" s="992">
        <v>5.1999999999999998E-3</v>
      </c>
      <c r="H829" s="992">
        <v>7.3067500000000007E-3</v>
      </c>
      <c r="I829" s="986">
        <f t="shared" si="20"/>
        <v>-2.106750000000001E-3</v>
      </c>
      <c r="J829" s="988">
        <v>34669</v>
      </c>
    </row>
    <row r="830" spans="1:10" ht="13.8">
      <c r="A830" s="987">
        <v>3</v>
      </c>
      <c r="B830" s="988">
        <f t="shared" si="21"/>
        <v>34700</v>
      </c>
      <c r="C830" s="987" t="str">
        <f t="shared" si="22"/>
        <v>S&amp;P 500 Utility Index</v>
      </c>
      <c r="F830" s="992">
        <v>7.7900000000000011E-2</v>
      </c>
      <c r="H830" s="992">
        <v>7.2879166666666665E-3</v>
      </c>
      <c r="I830" s="986">
        <f t="shared" si="20"/>
        <v>7.0612083333333339E-2</v>
      </c>
      <c r="J830" s="988">
        <v>34700</v>
      </c>
    </row>
    <row r="831" spans="1:10" ht="13.8">
      <c r="A831" s="987">
        <v>3</v>
      </c>
      <c r="B831" s="988">
        <f t="shared" si="21"/>
        <v>34731</v>
      </c>
      <c r="C831" s="987" t="str">
        <f t="shared" si="22"/>
        <v>S&amp;P 500 Utility Index</v>
      </c>
      <c r="F831" s="992">
        <v>-1.5000000000000005E-3</v>
      </c>
      <c r="H831" s="992">
        <v>7.1083333333333328E-3</v>
      </c>
      <c r="I831" s="986">
        <f t="shared" si="20"/>
        <v>-8.6083333333333324E-3</v>
      </c>
      <c r="J831" s="988">
        <v>34731</v>
      </c>
    </row>
    <row r="832" spans="1:10" ht="13.8">
      <c r="A832" s="987">
        <v>3</v>
      </c>
      <c r="B832" s="988">
        <f t="shared" si="21"/>
        <v>34759</v>
      </c>
      <c r="C832" s="987" t="str">
        <f t="shared" si="22"/>
        <v>S&amp;P 500 Utility Index</v>
      </c>
      <c r="F832" s="992">
        <v>-6.0000000000000001E-3</v>
      </c>
      <c r="H832" s="992">
        <v>6.9785833333333332E-3</v>
      </c>
      <c r="I832" s="986">
        <f t="shared" si="20"/>
        <v>-1.2978583333333333E-2</v>
      </c>
      <c r="J832" s="988">
        <v>34759</v>
      </c>
    </row>
    <row r="833" spans="1:10" ht="13.8">
      <c r="A833" s="987">
        <v>3</v>
      </c>
      <c r="B833" s="988">
        <f t="shared" si="21"/>
        <v>34790</v>
      </c>
      <c r="C833" s="987" t="str">
        <f t="shared" si="22"/>
        <v>S&amp;P 500 Utility Index</v>
      </c>
      <c r="F833" s="992">
        <v>3.6500000000000005E-2</v>
      </c>
      <c r="H833" s="992">
        <v>6.8982499999999999E-3</v>
      </c>
      <c r="I833" s="986">
        <f t="shared" si="20"/>
        <v>2.9601750000000003E-2</v>
      </c>
      <c r="J833" s="988">
        <v>34790</v>
      </c>
    </row>
    <row r="834" spans="1:10" ht="13.8">
      <c r="A834" s="987">
        <v>3</v>
      </c>
      <c r="B834" s="988">
        <f t="shared" si="21"/>
        <v>34820</v>
      </c>
      <c r="C834" s="987" t="str">
        <f t="shared" si="22"/>
        <v>S&amp;P 500 Utility Index</v>
      </c>
      <c r="F834" s="992">
        <v>3.1600000000000003E-2</v>
      </c>
      <c r="H834" s="992">
        <v>6.6102499999999998E-3</v>
      </c>
      <c r="I834" s="986">
        <f t="shared" si="20"/>
        <v>2.4989750000000005E-2</v>
      </c>
      <c r="J834" s="988">
        <v>34820</v>
      </c>
    </row>
    <row r="835" spans="1:10" ht="13.8">
      <c r="A835" s="987">
        <v>3</v>
      </c>
      <c r="B835" s="988">
        <f t="shared" si="21"/>
        <v>34851</v>
      </c>
      <c r="C835" s="987" t="str">
        <f t="shared" si="22"/>
        <v>S&amp;P 500 Utility Index</v>
      </c>
      <c r="F835" s="992">
        <v>4.6999999999999993E-3</v>
      </c>
      <c r="H835" s="992">
        <v>6.3360000000000005E-3</v>
      </c>
      <c r="I835" s="986">
        <f t="shared" si="20"/>
        <v>-1.6360000000000012E-3</v>
      </c>
      <c r="J835" s="988">
        <v>34851</v>
      </c>
    </row>
    <row r="836" spans="1:10" ht="13.8">
      <c r="A836" s="987">
        <v>3</v>
      </c>
      <c r="B836" s="988">
        <f t="shared" si="21"/>
        <v>34881</v>
      </c>
      <c r="C836" s="987" t="str">
        <f t="shared" si="22"/>
        <v>S&amp;P 500 Utility Index</v>
      </c>
      <c r="F836" s="992">
        <v>2.5500000000000002E-2</v>
      </c>
      <c r="H836" s="992">
        <v>6.4079166666666668E-3</v>
      </c>
      <c r="I836" s="986">
        <f t="shared" si="20"/>
        <v>1.9092083333333336E-2</v>
      </c>
      <c r="J836" s="988">
        <v>34881</v>
      </c>
    </row>
    <row r="837" spans="1:10" ht="13.8">
      <c r="A837" s="987">
        <v>3</v>
      </c>
      <c r="B837" s="988">
        <f t="shared" si="21"/>
        <v>34912</v>
      </c>
      <c r="C837" s="987" t="str">
        <f t="shared" si="22"/>
        <v>S&amp;P 500 Utility Index</v>
      </c>
      <c r="F837" s="992">
        <v>2.0200000000000006E-2</v>
      </c>
      <c r="H837" s="992">
        <v>6.5322500000000007E-3</v>
      </c>
      <c r="I837" s="986">
        <f t="shared" si="20"/>
        <v>1.3667750000000006E-2</v>
      </c>
      <c r="J837" s="988">
        <v>34912</v>
      </c>
    </row>
    <row r="838" spans="1:10" ht="13.8">
      <c r="A838" s="987">
        <v>3</v>
      </c>
      <c r="B838" s="988">
        <f t="shared" si="21"/>
        <v>34943</v>
      </c>
      <c r="C838" s="987" t="str">
        <f t="shared" si="22"/>
        <v>S&amp;P 500 Utility Index</v>
      </c>
      <c r="F838" s="992">
        <v>6.3799999999999996E-2</v>
      </c>
      <c r="H838" s="992">
        <v>6.3499999999999997E-3</v>
      </c>
      <c r="I838" s="986">
        <f t="shared" si="20"/>
        <v>5.7449999999999994E-2</v>
      </c>
      <c r="J838" s="988">
        <v>34943</v>
      </c>
    </row>
    <row r="839" spans="1:10" ht="13.8">
      <c r="A839" s="987">
        <v>3</v>
      </c>
      <c r="B839" s="988">
        <f t="shared" si="21"/>
        <v>34973</v>
      </c>
      <c r="C839" s="987" t="str">
        <f t="shared" si="22"/>
        <v>S&amp;P 500 Utility Index</v>
      </c>
      <c r="F839" s="992">
        <v>2.3799999999999998E-2</v>
      </c>
      <c r="H839" s="992">
        <v>6.2238333333333338E-3</v>
      </c>
      <c r="I839" s="986">
        <f t="shared" si="20"/>
        <v>1.7576166666666664E-2</v>
      </c>
      <c r="J839" s="988">
        <v>34973</v>
      </c>
    </row>
    <row r="840" spans="1:10" ht="13.8">
      <c r="A840" s="987">
        <v>3</v>
      </c>
      <c r="B840" s="988">
        <f t="shared" si="21"/>
        <v>35004</v>
      </c>
      <c r="C840" s="987" t="str">
        <f t="shared" si="22"/>
        <v>S&amp;P 500 Utility Index</v>
      </c>
      <c r="F840" s="992">
        <v>1.3599999999999999E-2</v>
      </c>
      <c r="H840" s="992">
        <v>6.1999999999999998E-3</v>
      </c>
      <c r="I840" s="986">
        <f t="shared" si="20"/>
        <v>7.3999999999999995E-3</v>
      </c>
      <c r="J840" s="988">
        <v>35004</v>
      </c>
    </row>
    <row r="841" spans="1:10" ht="13.8">
      <c r="A841" s="987">
        <v>3</v>
      </c>
      <c r="B841" s="988">
        <f t="shared" si="21"/>
        <v>35034</v>
      </c>
      <c r="C841" s="987" t="str">
        <f t="shared" si="22"/>
        <v>S&amp;P 500 Utility Index</v>
      </c>
      <c r="F841" s="992">
        <v>7.0800000000000002E-2</v>
      </c>
      <c r="H841" s="992">
        <v>6.0447499999999998E-3</v>
      </c>
      <c r="I841" s="986">
        <f t="shared" si="20"/>
        <v>6.475525E-2</v>
      </c>
      <c r="J841" s="988">
        <v>35034</v>
      </c>
    </row>
    <row r="842" spans="1:10" ht="13.8">
      <c r="A842" s="987">
        <v>3</v>
      </c>
      <c r="B842" s="988">
        <f t="shared" si="21"/>
        <v>35065</v>
      </c>
      <c r="C842" s="987" t="str">
        <f t="shared" si="22"/>
        <v>S&amp;P 500 Utility Index</v>
      </c>
      <c r="F842" s="992">
        <v>1.29E-2</v>
      </c>
      <c r="H842" s="992">
        <v>6.005666666666667E-3</v>
      </c>
      <c r="I842" s="986">
        <f t="shared" si="20"/>
        <v>6.894333333333333E-3</v>
      </c>
      <c r="J842" s="988">
        <v>35065</v>
      </c>
    </row>
    <row r="843" spans="1:10" ht="13.8">
      <c r="A843" s="987">
        <v>3</v>
      </c>
      <c r="B843" s="988">
        <f t="shared" si="21"/>
        <v>35096</v>
      </c>
      <c r="C843" s="987" t="str">
        <f t="shared" si="22"/>
        <v>S&amp;P 500 Utility Index</v>
      </c>
      <c r="F843" s="992">
        <v>-3.95E-2</v>
      </c>
      <c r="H843" s="992">
        <v>6.1250000000000002E-3</v>
      </c>
      <c r="I843" s="986">
        <f t="shared" si="20"/>
        <v>-4.5624999999999999E-2</v>
      </c>
      <c r="J843" s="988">
        <v>35096</v>
      </c>
    </row>
    <row r="844" spans="1:10" ht="13.8">
      <c r="A844" s="987">
        <v>3</v>
      </c>
      <c r="B844" s="988">
        <f t="shared" si="21"/>
        <v>35125</v>
      </c>
      <c r="C844" s="987" t="str">
        <f t="shared" si="22"/>
        <v>S&amp;P 500 Utility Index</v>
      </c>
      <c r="F844" s="992">
        <v>-2.0299999999999999E-2</v>
      </c>
      <c r="H844" s="992">
        <v>6.4353333333333337E-3</v>
      </c>
      <c r="I844" s="986">
        <f t="shared" si="20"/>
        <v>-2.6735333333333333E-2</v>
      </c>
      <c r="J844" s="988">
        <v>35125</v>
      </c>
    </row>
    <row r="845" spans="1:10" ht="13.8">
      <c r="A845" s="987">
        <v>3</v>
      </c>
      <c r="B845" s="988">
        <f t="shared" si="21"/>
        <v>35156</v>
      </c>
      <c r="C845" s="987" t="str">
        <f t="shared" si="22"/>
        <v>S&amp;P 500 Utility Index</v>
      </c>
      <c r="F845" s="992">
        <v>1.0999999999999999E-2</v>
      </c>
      <c r="H845" s="992">
        <v>6.5698333333333338E-3</v>
      </c>
      <c r="I845" s="986">
        <f t="shared" si="20"/>
        <v>4.4301666666666656E-3</v>
      </c>
      <c r="J845" s="988">
        <v>35156</v>
      </c>
    </row>
    <row r="846" spans="1:10" ht="13.8">
      <c r="A846" s="987">
        <v>3</v>
      </c>
      <c r="B846" s="988">
        <f t="shared" si="21"/>
        <v>35186</v>
      </c>
      <c r="C846" s="987" t="str">
        <f t="shared" si="22"/>
        <v>S&amp;P 500 Utility Index</v>
      </c>
      <c r="F846" s="992">
        <v>-2.4999999999999996E-3</v>
      </c>
      <c r="H846" s="992">
        <v>6.6504166666666665E-3</v>
      </c>
      <c r="I846" s="986">
        <f t="shared" si="20"/>
        <v>-9.1504166666666661E-3</v>
      </c>
      <c r="J846" s="988">
        <v>35186</v>
      </c>
    </row>
    <row r="847" spans="1:10" ht="13.8">
      <c r="A847" s="987">
        <v>3</v>
      </c>
      <c r="B847" s="988">
        <f t="shared" si="21"/>
        <v>35217</v>
      </c>
      <c r="C847" s="987" t="str">
        <f t="shared" si="22"/>
        <v>S&amp;P 500 Utility Index</v>
      </c>
      <c r="F847" s="992">
        <v>4.1599999999999998E-2</v>
      </c>
      <c r="H847" s="992">
        <v>6.7200000000000003E-3</v>
      </c>
      <c r="I847" s="986">
        <f t="shared" si="20"/>
        <v>3.4879999999999994E-2</v>
      </c>
      <c r="J847" s="988">
        <v>35217</v>
      </c>
    </row>
    <row r="848" spans="1:10" ht="13.8">
      <c r="A848" s="987">
        <v>3</v>
      </c>
      <c r="B848" s="988">
        <f t="shared" si="21"/>
        <v>35247</v>
      </c>
      <c r="C848" s="987" t="str">
        <f t="shared" si="22"/>
        <v>S&amp;P 500 Utility Index</v>
      </c>
      <c r="F848" s="992">
        <v>-6.2800000000000009E-2</v>
      </c>
      <c r="H848" s="992">
        <v>6.6876666666666664E-3</v>
      </c>
      <c r="I848" s="986">
        <f t="shared" si="20"/>
        <v>-6.948766666666667E-2</v>
      </c>
      <c r="J848" s="988">
        <v>35247</v>
      </c>
    </row>
    <row r="849" spans="1:10" ht="13.8">
      <c r="A849" s="987">
        <v>3</v>
      </c>
      <c r="B849" s="988">
        <f t="shared" si="21"/>
        <v>35278</v>
      </c>
      <c r="C849" s="987" t="str">
        <f t="shared" si="22"/>
        <v>S&amp;P 500 Utility Index</v>
      </c>
      <c r="F849" s="992">
        <v>2.1299999999999999E-2</v>
      </c>
      <c r="H849" s="992">
        <v>6.5318333333333331E-3</v>
      </c>
      <c r="I849" s="986">
        <f t="shared" si="20"/>
        <v>1.4768166666666666E-2</v>
      </c>
      <c r="J849" s="988">
        <v>35278</v>
      </c>
    </row>
    <row r="850" spans="1:10" ht="13.8">
      <c r="A850" s="987">
        <v>3</v>
      </c>
      <c r="B850" s="988">
        <f t="shared" si="21"/>
        <v>35309</v>
      </c>
      <c r="C850" s="987" t="str">
        <f t="shared" si="22"/>
        <v>S&amp;P 500 Utility Index</v>
      </c>
      <c r="F850" s="992">
        <v>9.4999999999999998E-3</v>
      </c>
      <c r="H850" s="992">
        <v>6.6812499999999997E-3</v>
      </c>
      <c r="I850" s="986">
        <f t="shared" si="20"/>
        <v>2.8187500000000001E-3</v>
      </c>
      <c r="J850" s="988">
        <v>35309</v>
      </c>
    </row>
    <row r="851" spans="1:10" ht="13.8">
      <c r="A851" s="987">
        <v>3</v>
      </c>
      <c r="B851" s="988">
        <f t="shared" si="21"/>
        <v>35339</v>
      </c>
      <c r="C851" s="987" t="str">
        <f t="shared" si="22"/>
        <v>S&amp;P 500 Utility Index</v>
      </c>
      <c r="F851" s="992">
        <v>5.0799999999999998E-2</v>
      </c>
      <c r="H851" s="992">
        <v>6.4820833333333336E-3</v>
      </c>
      <c r="I851" s="986">
        <f t="shared" si="20"/>
        <v>4.4317916666666665E-2</v>
      </c>
      <c r="J851" s="988">
        <v>35339</v>
      </c>
    </row>
    <row r="852" spans="1:10" ht="13.8">
      <c r="A852" s="987">
        <v>3</v>
      </c>
      <c r="B852" s="988">
        <f t="shared" si="21"/>
        <v>35370</v>
      </c>
      <c r="C852" s="987" t="str">
        <f t="shared" si="22"/>
        <v>S&amp;P 500 Utility Index</v>
      </c>
      <c r="F852" s="992">
        <v>2.1099999999999997E-2</v>
      </c>
      <c r="H852" s="992">
        <v>6.2527500000000005E-3</v>
      </c>
      <c r="I852" s="986">
        <f t="shared" si="20"/>
        <v>1.4847249999999996E-2</v>
      </c>
      <c r="J852" s="988">
        <v>35370</v>
      </c>
    </row>
    <row r="853" spans="1:10" ht="13.8">
      <c r="A853" s="987">
        <v>3</v>
      </c>
      <c r="B853" s="988">
        <f t="shared" si="21"/>
        <v>35400</v>
      </c>
      <c r="C853" s="987" t="str">
        <f t="shared" si="22"/>
        <v>S&amp;P 500 Utility Index</v>
      </c>
      <c r="F853" s="992">
        <v>-6.000000000000001E-3</v>
      </c>
      <c r="H853" s="992">
        <v>6.3091666666666669E-3</v>
      </c>
      <c r="I853" s="986">
        <f t="shared" si="20"/>
        <v>-1.2309166666666668E-2</v>
      </c>
      <c r="J853" s="988">
        <v>35400</v>
      </c>
    </row>
    <row r="854" spans="1:10" ht="13.8">
      <c r="A854" s="987">
        <v>3</v>
      </c>
      <c r="B854" s="988">
        <f t="shared" si="21"/>
        <v>35431</v>
      </c>
      <c r="C854" s="987" t="str">
        <f t="shared" si="22"/>
        <v>S&amp;P 500 Utility Index</v>
      </c>
      <c r="F854" s="992">
        <v>6.6E-3</v>
      </c>
      <c r="H854" s="992">
        <v>6.4722500000000006E-3</v>
      </c>
      <c r="I854" s="986">
        <f t="shared" si="20"/>
        <v>1.2774999999999939E-4</v>
      </c>
      <c r="J854" s="988">
        <v>35431</v>
      </c>
    </row>
    <row r="855" spans="1:10" ht="13.8">
      <c r="A855" s="987">
        <v>3</v>
      </c>
      <c r="B855" s="988">
        <f t="shared" si="21"/>
        <v>35462</v>
      </c>
      <c r="C855" s="987" t="str">
        <f t="shared" si="22"/>
        <v>S&amp;P 500 Utility Index</v>
      </c>
      <c r="F855" s="992">
        <v>-9.5000000000000015E-3</v>
      </c>
      <c r="H855" s="992">
        <v>6.368833333333334E-3</v>
      </c>
      <c r="I855" s="986">
        <f t="shared" si="20"/>
        <v>-1.5868833333333335E-2</v>
      </c>
      <c r="J855" s="988">
        <v>35462</v>
      </c>
    </row>
    <row r="856" spans="1:10" ht="13.8">
      <c r="A856" s="987">
        <v>3</v>
      </c>
      <c r="B856" s="988">
        <f t="shared" si="21"/>
        <v>35490</v>
      </c>
      <c r="C856" s="987" t="str">
        <f t="shared" si="22"/>
        <v>S&amp;P 500 Utility Index</v>
      </c>
      <c r="F856" s="992">
        <v>-3.0099999999999998E-2</v>
      </c>
      <c r="H856" s="992">
        <v>6.5545833333333333E-3</v>
      </c>
      <c r="I856" s="986">
        <f t="shared" si="20"/>
        <v>-3.6654583333333331E-2</v>
      </c>
      <c r="J856" s="988">
        <v>35490</v>
      </c>
    </row>
    <row r="857" spans="1:10" ht="13.8">
      <c r="A857" s="987">
        <v>3</v>
      </c>
      <c r="B857" s="988">
        <f t="shared" si="21"/>
        <v>35521</v>
      </c>
      <c r="C857" s="987" t="str">
        <f t="shared" si="22"/>
        <v>S&amp;P 500 Utility Index</v>
      </c>
      <c r="F857" s="992">
        <v>-1.4999999999999999E-2</v>
      </c>
      <c r="H857" s="992">
        <v>6.6973333333333329E-3</v>
      </c>
      <c r="I857" s="986">
        <f t="shared" si="20"/>
        <v>-2.1697333333333332E-2</v>
      </c>
      <c r="J857" s="988">
        <v>35521</v>
      </c>
    </row>
    <row r="858" spans="1:10" ht="13.8">
      <c r="A858" s="987">
        <v>3</v>
      </c>
      <c r="B858" s="988">
        <f t="shared" si="21"/>
        <v>35551</v>
      </c>
      <c r="C858" s="987" t="str">
        <f t="shared" si="22"/>
        <v>S&amp;P 500 Utility Index</v>
      </c>
      <c r="F858" s="992">
        <v>4.2299999999999997E-2</v>
      </c>
      <c r="H858" s="992">
        <v>6.5754166666666669E-3</v>
      </c>
      <c r="I858" s="986">
        <f t="shared" ref="I858:I921" si="23">F858-H858</f>
        <v>3.572458333333333E-2</v>
      </c>
      <c r="J858" s="988">
        <v>35551</v>
      </c>
    </row>
    <row r="859" spans="1:10" ht="13.8">
      <c r="A859" s="987">
        <v>3</v>
      </c>
      <c r="B859" s="988">
        <f t="shared" si="21"/>
        <v>35582</v>
      </c>
      <c r="C859" s="987" t="str">
        <f t="shared" si="22"/>
        <v>S&amp;P 500 Utility Index</v>
      </c>
      <c r="F859" s="992">
        <v>3.1399999999999997E-2</v>
      </c>
      <c r="H859" s="992">
        <v>6.437333333333334E-3</v>
      </c>
      <c r="I859" s="986">
        <f t="shared" si="23"/>
        <v>2.4962666666666664E-2</v>
      </c>
      <c r="J859" s="988">
        <v>35582</v>
      </c>
    </row>
    <row r="860" spans="1:10" ht="13.8">
      <c r="A860" s="987">
        <v>3</v>
      </c>
      <c r="B860" s="988">
        <f t="shared" si="21"/>
        <v>35612</v>
      </c>
      <c r="C860" s="987" t="str">
        <f t="shared" si="22"/>
        <v>S&amp;P 500 Utility Index</v>
      </c>
      <c r="F860" s="992">
        <v>2.3E-2</v>
      </c>
      <c r="H860" s="992">
        <v>6.2409166666666663E-3</v>
      </c>
      <c r="I860" s="986">
        <f t="shared" si="23"/>
        <v>1.6759083333333334E-2</v>
      </c>
      <c r="J860" s="988">
        <v>35612</v>
      </c>
    </row>
    <row r="861" spans="1:10" ht="13.8">
      <c r="A861" s="987">
        <v>3</v>
      </c>
      <c r="B861" s="988">
        <f t="shared" si="21"/>
        <v>35643</v>
      </c>
      <c r="C861" s="987" t="str">
        <f t="shared" si="22"/>
        <v>S&amp;P 500 Utility Index</v>
      </c>
      <c r="F861" s="992">
        <v>-1.83E-2</v>
      </c>
      <c r="H861" s="992">
        <v>6.2475833333333333E-3</v>
      </c>
      <c r="I861" s="986">
        <f t="shared" si="23"/>
        <v>-2.4547583333333334E-2</v>
      </c>
      <c r="J861" s="988">
        <v>35643</v>
      </c>
    </row>
    <row r="862" spans="1:10" ht="13.8">
      <c r="A862" s="987">
        <v>3</v>
      </c>
      <c r="B862" s="988">
        <f t="shared" si="21"/>
        <v>35674</v>
      </c>
      <c r="C862" s="987" t="str">
        <f t="shared" si="22"/>
        <v>S&amp;P 500 Utility Index</v>
      </c>
      <c r="F862" s="992">
        <v>4.3299999999999998E-2</v>
      </c>
      <c r="H862" s="992">
        <v>6.2285833333333342E-3</v>
      </c>
      <c r="I862" s="986">
        <f t="shared" si="23"/>
        <v>3.7071416666666662E-2</v>
      </c>
      <c r="J862" s="988">
        <v>35674</v>
      </c>
    </row>
    <row r="863" spans="1:10" ht="13.8">
      <c r="A863" s="987">
        <v>3</v>
      </c>
      <c r="B863" s="988">
        <f t="shared" si="21"/>
        <v>35704</v>
      </c>
      <c r="C863" s="987" t="str">
        <f t="shared" si="22"/>
        <v>S&amp;P 500 Utility Index</v>
      </c>
      <c r="F863" s="992">
        <v>9.7999999999999997E-3</v>
      </c>
      <c r="H863" s="992">
        <v>6.130416666666666E-3</v>
      </c>
      <c r="I863" s="986">
        <f t="shared" si="23"/>
        <v>3.6695833333333337E-3</v>
      </c>
      <c r="J863" s="988">
        <v>35704</v>
      </c>
    </row>
    <row r="864" spans="1:10" ht="13.8">
      <c r="A864" s="987">
        <v>3</v>
      </c>
      <c r="B864" s="988">
        <f t="shared" si="21"/>
        <v>35735</v>
      </c>
      <c r="C864" s="987" t="str">
        <f t="shared" si="22"/>
        <v>S&amp;P 500 Utility Index</v>
      </c>
      <c r="F864" s="992">
        <v>7.0700000000000013E-2</v>
      </c>
      <c r="H864" s="992">
        <v>6.0390000000000001E-3</v>
      </c>
      <c r="I864" s="986">
        <f t="shared" si="23"/>
        <v>6.466100000000001E-2</v>
      </c>
      <c r="J864" s="988">
        <v>35735</v>
      </c>
    </row>
    <row r="865" spans="1:10" ht="13.8">
      <c r="A865" s="987">
        <v>3</v>
      </c>
      <c r="B865" s="988">
        <f t="shared" si="21"/>
        <v>35765</v>
      </c>
      <c r="C865" s="987" t="str">
        <f t="shared" si="22"/>
        <v>S&amp;P 500 Utility Index</v>
      </c>
      <c r="F865" s="992">
        <v>7.5200000000000003E-2</v>
      </c>
      <c r="H865" s="992">
        <v>5.9696666666666665E-3</v>
      </c>
      <c r="I865" s="986">
        <f t="shared" si="23"/>
        <v>6.9230333333333338E-2</v>
      </c>
      <c r="J865" s="988">
        <v>35765</v>
      </c>
    </row>
    <row r="866" spans="1:10" ht="13.8">
      <c r="A866" s="987">
        <v>3</v>
      </c>
      <c r="B866" s="988">
        <f t="shared" si="21"/>
        <v>35796</v>
      </c>
      <c r="C866" s="987" t="str">
        <f t="shared" si="22"/>
        <v>S&amp;P 500 Utility Index</v>
      </c>
      <c r="F866" s="992">
        <v>-3.95E-2</v>
      </c>
      <c r="H866" s="992">
        <v>5.8783333333333335E-3</v>
      </c>
      <c r="I866" s="986">
        <f t="shared" si="23"/>
        <v>-4.5378333333333333E-2</v>
      </c>
      <c r="J866" s="988">
        <v>35796</v>
      </c>
    </row>
    <row r="867" spans="1:10" ht="13.8">
      <c r="A867" s="987">
        <v>3</v>
      </c>
      <c r="B867" s="988">
        <f t="shared" si="21"/>
        <v>35827</v>
      </c>
      <c r="C867" s="987" t="str">
        <f t="shared" si="22"/>
        <v>S&amp;P 500 Utility Index</v>
      </c>
      <c r="F867" s="992">
        <v>3.4099999999999998E-2</v>
      </c>
      <c r="H867" s="992">
        <v>5.9315833333333338E-3</v>
      </c>
      <c r="I867" s="986">
        <f t="shared" si="23"/>
        <v>2.8168416666666665E-2</v>
      </c>
      <c r="J867" s="988">
        <v>35827</v>
      </c>
    </row>
    <row r="868" spans="1:10" ht="13.8">
      <c r="A868" s="987">
        <v>3</v>
      </c>
      <c r="B868" s="988">
        <f t="shared" si="21"/>
        <v>35855</v>
      </c>
      <c r="C868" s="987" t="str">
        <f t="shared" si="22"/>
        <v>S&amp;P 500 Utility Index</v>
      </c>
      <c r="F868" s="992">
        <v>6.4199999999999993E-2</v>
      </c>
      <c r="H868" s="992">
        <v>5.9681666666666668E-3</v>
      </c>
      <c r="I868" s="986">
        <f t="shared" si="23"/>
        <v>5.823183333333333E-2</v>
      </c>
      <c r="J868" s="988">
        <v>35855</v>
      </c>
    </row>
    <row r="869" spans="1:10" ht="13.8">
      <c r="A869" s="987">
        <v>3</v>
      </c>
      <c r="B869" s="988">
        <f t="shared" si="21"/>
        <v>35886</v>
      </c>
      <c r="C869" s="987" t="str">
        <f t="shared" si="22"/>
        <v>S&amp;P 500 Utility Index</v>
      </c>
      <c r="F869" s="992">
        <v>-1.9300000000000001E-2</v>
      </c>
      <c r="H869" s="992">
        <v>5.9682500000000005E-3</v>
      </c>
      <c r="I869" s="986">
        <f t="shared" si="23"/>
        <v>-2.5268250000000003E-2</v>
      </c>
      <c r="J869" s="988">
        <v>35886</v>
      </c>
    </row>
    <row r="870" spans="1:10" ht="13.8">
      <c r="A870" s="987">
        <v>3</v>
      </c>
      <c r="B870" s="988">
        <f t="shared" si="21"/>
        <v>35916</v>
      </c>
      <c r="C870" s="987" t="str">
        <f t="shared" si="22"/>
        <v>S&amp;P 500 Utility Index</v>
      </c>
      <c r="F870" s="992">
        <v>-5.0000000000000001E-3</v>
      </c>
      <c r="H870" s="992">
        <v>5.9691666666666669E-3</v>
      </c>
      <c r="I870" s="986">
        <f t="shared" si="23"/>
        <v>-1.0969166666666667E-2</v>
      </c>
      <c r="J870" s="988">
        <v>35916</v>
      </c>
    </row>
    <row r="871" spans="1:10" ht="13.8">
      <c r="A871" s="987">
        <v>3</v>
      </c>
      <c r="B871" s="988">
        <f t="shared" si="21"/>
        <v>35947</v>
      </c>
      <c r="C871" s="987" t="str">
        <f t="shared" si="22"/>
        <v>S&amp;P 500 Utility Index</v>
      </c>
      <c r="F871" s="992">
        <v>3.6900000000000002E-2</v>
      </c>
      <c r="H871" s="992">
        <v>5.8636666666666672E-3</v>
      </c>
      <c r="I871" s="986">
        <f t="shared" si="23"/>
        <v>3.1036333333333336E-2</v>
      </c>
      <c r="J871" s="988">
        <v>35947</v>
      </c>
    </row>
    <row r="872" spans="1:10" ht="13.8">
      <c r="A872" s="987">
        <v>3</v>
      </c>
      <c r="B872" s="988">
        <f t="shared" si="21"/>
        <v>35977</v>
      </c>
      <c r="C872" s="987" t="str">
        <f t="shared" si="22"/>
        <v>S&amp;P 500 Utility Index</v>
      </c>
      <c r="F872" s="992">
        <v>-4.9299999999999997E-2</v>
      </c>
      <c r="H872" s="992">
        <v>5.8534166666666665E-3</v>
      </c>
      <c r="I872" s="986">
        <f t="shared" si="23"/>
        <v>-5.5153416666666663E-2</v>
      </c>
      <c r="J872" s="988">
        <v>35977</v>
      </c>
    </row>
    <row r="873" spans="1:10" ht="13.8">
      <c r="A873" s="987">
        <v>3</v>
      </c>
      <c r="B873" s="988">
        <f t="shared" si="21"/>
        <v>36008</v>
      </c>
      <c r="C873" s="987" t="str">
        <f t="shared" si="22"/>
        <v>S&amp;P 500 Utility Index</v>
      </c>
      <c r="F873" s="992">
        <v>1.61E-2</v>
      </c>
      <c r="H873" s="992">
        <v>5.8349166666666662E-3</v>
      </c>
      <c r="I873" s="986">
        <f t="shared" si="23"/>
        <v>1.0265083333333334E-2</v>
      </c>
      <c r="J873" s="988">
        <v>36008</v>
      </c>
    </row>
    <row r="874" spans="1:10" ht="13.8">
      <c r="A874" s="987">
        <v>3</v>
      </c>
      <c r="B874" s="988">
        <f t="shared" si="21"/>
        <v>36039</v>
      </c>
      <c r="C874" s="987" t="str">
        <f t="shared" si="22"/>
        <v>S&amp;P 500 Utility Index</v>
      </c>
      <c r="F874" s="992">
        <v>8.3499999999999991E-2</v>
      </c>
      <c r="H874" s="992">
        <v>5.780166666666667E-3</v>
      </c>
      <c r="I874" s="986">
        <f t="shared" si="23"/>
        <v>7.7719833333333321E-2</v>
      </c>
      <c r="J874" s="988">
        <v>36039</v>
      </c>
    </row>
    <row r="875" spans="1:10" ht="13.8">
      <c r="A875" s="987">
        <v>3</v>
      </c>
      <c r="B875" s="988">
        <f t="shared" si="21"/>
        <v>36069</v>
      </c>
      <c r="C875" s="987" t="str">
        <f t="shared" si="22"/>
        <v>S&amp;P 500 Utility Index</v>
      </c>
      <c r="F875" s="992">
        <v>-1.66E-2</v>
      </c>
      <c r="H875" s="992">
        <v>5.7962499999999993E-3</v>
      </c>
      <c r="I875" s="986">
        <f t="shared" si="23"/>
        <v>-2.2396249999999999E-2</v>
      </c>
      <c r="J875" s="988">
        <v>36069</v>
      </c>
    </row>
    <row r="876" spans="1:10" ht="13.8">
      <c r="A876" s="987">
        <v>3</v>
      </c>
      <c r="B876" s="988">
        <f t="shared" si="21"/>
        <v>36100</v>
      </c>
      <c r="C876" s="987" t="str">
        <f t="shared" si="22"/>
        <v>S&amp;P 500 Utility Index</v>
      </c>
      <c r="F876" s="992">
        <v>1.3399999999999999E-2</v>
      </c>
      <c r="H876" s="992">
        <v>5.8635833333333335E-3</v>
      </c>
      <c r="I876" s="986">
        <f t="shared" si="23"/>
        <v>7.5364166666666652E-3</v>
      </c>
      <c r="J876" s="988">
        <v>36100</v>
      </c>
    </row>
    <row r="877" spans="1:10" ht="13.8">
      <c r="A877" s="987">
        <v>3</v>
      </c>
      <c r="B877" s="988">
        <f t="shared" si="21"/>
        <v>36130</v>
      </c>
      <c r="C877" s="987" t="str">
        <f t="shared" si="22"/>
        <v>S&amp;P 500 Utility Index</v>
      </c>
      <c r="F877" s="992">
        <v>2.9500000000000002E-2</v>
      </c>
      <c r="H877" s="992">
        <v>5.7568333333333334E-3</v>
      </c>
      <c r="I877" s="986">
        <f t="shared" si="23"/>
        <v>2.3743166666666669E-2</v>
      </c>
      <c r="J877" s="988">
        <v>36130</v>
      </c>
    </row>
    <row r="878" spans="1:10" ht="13.8">
      <c r="A878" s="987">
        <v>3</v>
      </c>
      <c r="B878" s="988">
        <f t="shared" si="21"/>
        <v>36161</v>
      </c>
      <c r="C878" s="987" t="str">
        <f t="shared" si="22"/>
        <v>S&amp;P 500 Utility Index</v>
      </c>
      <c r="F878" s="992">
        <v>-4.5100000000000001E-2</v>
      </c>
      <c r="H878" s="992">
        <v>5.8083333333333329E-3</v>
      </c>
      <c r="I878" s="986">
        <f t="shared" si="23"/>
        <v>-5.0908333333333333E-2</v>
      </c>
      <c r="J878" s="988">
        <v>36161</v>
      </c>
    </row>
    <row r="879" spans="1:10" ht="13.8">
      <c r="A879" s="987">
        <v>3</v>
      </c>
      <c r="B879" s="988">
        <f t="shared" si="21"/>
        <v>36192</v>
      </c>
      <c r="C879" s="987" t="str">
        <f t="shared" si="22"/>
        <v>S&amp;P 500 Utility Index</v>
      </c>
      <c r="F879" s="992">
        <v>-3.6400000000000002E-2</v>
      </c>
      <c r="H879" s="992">
        <v>5.8964999999999998E-3</v>
      </c>
      <c r="I879" s="986">
        <f t="shared" si="23"/>
        <v>-4.2296500000000001E-2</v>
      </c>
      <c r="J879" s="988">
        <v>36192</v>
      </c>
    </row>
    <row r="880" spans="1:10" ht="13.8">
      <c r="A880" s="987">
        <v>3</v>
      </c>
      <c r="B880" s="988">
        <f t="shared" si="21"/>
        <v>36220</v>
      </c>
      <c r="C880" s="987" t="str">
        <f t="shared" si="22"/>
        <v>S&amp;P 500 Utility Index</v>
      </c>
      <c r="F880" s="992">
        <v>-1.4800000000000001E-2</v>
      </c>
      <c r="H880" s="992">
        <v>6.0460000000000002E-3</v>
      </c>
      <c r="I880" s="986">
        <f t="shared" si="23"/>
        <v>-2.0846E-2</v>
      </c>
      <c r="J880" s="988">
        <v>36220</v>
      </c>
    </row>
    <row r="881" spans="1:10" ht="13.8">
      <c r="A881" s="987">
        <v>3</v>
      </c>
      <c r="B881" s="988">
        <f t="shared" si="21"/>
        <v>36251</v>
      </c>
      <c r="C881" s="987" t="str">
        <f t="shared" si="22"/>
        <v>S&amp;P 500 Utility Index</v>
      </c>
      <c r="F881" s="992">
        <v>8.8399999999999992E-2</v>
      </c>
      <c r="H881" s="992">
        <v>6.0119166666666671E-3</v>
      </c>
      <c r="I881" s="986">
        <f t="shared" si="23"/>
        <v>8.238808333333332E-2</v>
      </c>
      <c r="J881" s="988">
        <v>36251</v>
      </c>
    </row>
    <row r="882" spans="1:10" ht="13.8">
      <c r="A882" s="987">
        <v>3</v>
      </c>
      <c r="B882" s="988">
        <f t="shared" si="21"/>
        <v>36281</v>
      </c>
      <c r="C882" s="987" t="str">
        <f t="shared" si="22"/>
        <v>S&amp;P 500 Utility Index</v>
      </c>
      <c r="F882" s="992">
        <v>6.0899999999999996E-2</v>
      </c>
      <c r="H882" s="992">
        <v>6.2141666666666664E-3</v>
      </c>
      <c r="I882" s="986">
        <f t="shared" si="23"/>
        <v>5.4685833333333329E-2</v>
      </c>
      <c r="J882" s="988">
        <v>36281</v>
      </c>
    </row>
    <row r="883" spans="1:10" ht="13.8">
      <c r="A883" s="987">
        <v>3</v>
      </c>
      <c r="B883" s="988">
        <f t="shared" si="21"/>
        <v>36312</v>
      </c>
      <c r="C883" s="987" t="str">
        <f t="shared" si="22"/>
        <v>S&amp;P 500 Utility Index</v>
      </c>
      <c r="F883" s="992">
        <v>-3.32E-2</v>
      </c>
      <c r="H883" s="992">
        <v>6.445416666666667E-3</v>
      </c>
      <c r="I883" s="986">
        <f t="shared" si="23"/>
        <v>-3.9645416666666669E-2</v>
      </c>
      <c r="J883" s="988">
        <v>36312</v>
      </c>
    </row>
    <row r="884" spans="1:10" ht="13.8">
      <c r="A884" s="987">
        <v>3</v>
      </c>
      <c r="B884" s="988">
        <f t="shared" si="21"/>
        <v>36342</v>
      </c>
      <c r="C884" s="987" t="str">
        <f t="shared" si="22"/>
        <v>S&amp;P 500 Utility Index</v>
      </c>
      <c r="F884" s="992">
        <v>-1.14E-2</v>
      </c>
      <c r="H884" s="992">
        <v>6.4182499999999995E-3</v>
      </c>
      <c r="I884" s="986">
        <f t="shared" si="23"/>
        <v>-1.7818250000000001E-2</v>
      </c>
      <c r="J884" s="988">
        <v>36342</v>
      </c>
    </row>
    <row r="885" spans="1:10" ht="13.8">
      <c r="A885" s="987">
        <v>3</v>
      </c>
      <c r="B885" s="988">
        <f t="shared" si="21"/>
        <v>36373</v>
      </c>
      <c r="C885" s="987" t="str">
        <f t="shared" si="22"/>
        <v>S&amp;P 500 Utility Index</v>
      </c>
      <c r="F885" s="992">
        <v>1.1699999999999999E-2</v>
      </c>
      <c r="H885" s="992">
        <v>6.5894166666666662E-3</v>
      </c>
      <c r="I885" s="986">
        <f t="shared" si="23"/>
        <v>5.1105833333333324E-3</v>
      </c>
      <c r="J885" s="988">
        <v>36373</v>
      </c>
    </row>
    <row r="886" spans="1:10" ht="13.8">
      <c r="A886" s="987">
        <v>3</v>
      </c>
      <c r="B886" s="988">
        <f t="shared" ref="B886:B949" si="24">DATE(YEAR(B885),MONTH(B885) + 1,1)</f>
        <v>36404</v>
      </c>
      <c r="C886" s="987" t="str">
        <f t="shared" ref="C886:C949" si="25">C885</f>
        <v>S&amp;P 500 Utility Index</v>
      </c>
      <c r="F886" s="992">
        <v>-4.8000000000000001E-2</v>
      </c>
      <c r="H886" s="992">
        <v>6.6099166666666667E-3</v>
      </c>
      <c r="I886" s="986">
        <f t="shared" si="23"/>
        <v>-5.4609916666666668E-2</v>
      </c>
      <c r="J886" s="988">
        <v>36404</v>
      </c>
    </row>
    <row r="887" spans="1:10" ht="13.8">
      <c r="A887" s="987">
        <v>3</v>
      </c>
      <c r="B887" s="988">
        <f t="shared" si="24"/>
        <v>36434</v>
      </c>
      <c r="C887" s="987" t="str">
        <f t="shared" si="25"/>
        <v>S&amp;P 500 Utility Index</v>
      </c>
      <c r="F887" s="992">
        <v>1.5699999999999999E-2</v>
      </c>
      <c r="H887" s="992">
        <v>6.7205833333333327E-3</v>
      </c>
      <c r="I887" s="986">
        <f t="shared" si="23"/>
        <v>8.9794166666666668E-3</v>
      </c>
      <c r="J887" s="988">
        <v>36434</v>
      </c>
    </row>
    <row r="888" spans="1:10" ht="13.8">
      <c r="A888" s="987">
        <v>3</v>
      </c>
      <c r="B888" s="988">
        <f t="shared" si="24"/>
        <v>36465</v>
      </c>
      <c r="C888" s="987" t="str">
        <f t="shared" si="25"/>
        <v>S&amp;P 500 Utility Index</v>
      </c>
      <c r="F888" s="992">
        <v>-7.7300000000000008E-2</v>
      </c>
      <c r="H888" s="992">
        <v>6.6095833333333328E-3</v>
      </c>
      <c r="I888" s="986">
        <f t="shared" si="23"/>
        <v>-8.3909583333333343E-2</v>
      </c>
      <c r="J888" s="988">
        <v>36465</v>
      </c>
    </row>
    <row r="889" spans="1:10" ht="13.8">
      <c r="A889" s="987">
        <v>3</v>
      </c>
      <c r="B889" s="988">
        <f t="shared" si="24"/>
        <v>36495</v>
      </c>
      <c r="C889" s="987" t="str">
        <f t="shared" si="25"/>
        <v>S&amp;P 500 Utility Index</v>
      </c>
      <c r="F889" s="992">
        <v>9.2999999999999992E-3</v>
      </c>
      <c r="H889" s="992">
        <v>6.7658333333333329E-3</v>
      </c>
      <c r="I889" s="986">
        <f t="shared" si="23"/>
        <v>2.5341666666666663E-3</v>
      </c>
      <c r="J889" s="988">
        <v>36495</v>
      </c>
    </row>
    <row r="890" spans="1:10" ht="13.8">
      <c r="A890" s="987">
        <v>3</v>
      </c>
      <c r="B890" s="988">
        <f t="shared" si="24"/>
        <v>36526</v>
      </c>
      <c r="C890" s="987" t="str">
        <f t="shared" si="25"/>
        <v>S&amp;P 500 Utility Index</v>
      </c>
      <c r="F890" s="992">
        <v>0.1085</v>
      </c>
      <c r="H890" s="992">
        <v>6.9562500000000006E-3</v>
      </c>
      <c r="I890" s="986">
        <f t="shared" si="23"/>
        <v>0.10154375</v>
      </c>
      <c r="J890" s="988">
        <v>36526</v>
      </c>
    </row>
    <row r="891" spans="1:10" ht="13.8">
      <c r="A891" s="987">
        <v>3</v>
      </c>
      <c r="B891" s="988">
        <f t="shared" si="24"/>
        <v>36557</v>
      </c>
      <c r="C891" s="987" t="str">
        <f t="shared" si="25"/>
        <v>S&amp;P 500 Utility Index</v>
      </c>
      <c r="F891" s="992">
        <v>-5.7800000000000004E-2</v>
      </c>
      <c r="H891" s="992">
        <v>6.8737499999999997E-3</v>
      </c>
      <c r="I891" s="986">
        <f t="shared" si="23"/>
        <v>-6.4673750000000002E-2</v>
      </c>
      <c r="J891" s="988">
        <v>36557</v>
      </c>
    </row>
    <row r="892" spans="1:10" ht="13.8">
      <c r="A892" s="987">
        <v>3</v>
      </c>
      <c r="B892" s="988">
        <f t="shared" si="24"/>
        <v>36586</v>
      </c>
      <c r="C892" s="987" t="str">
        <f t="shared" si="25"/>
        <v>S&amp;P 500 Utility Index</v>
      </c>
      <c r="F892" s="992">
        <v>3.49E-2</v>
      </c>
      <c r="H892" s="992">
        <v>6.9058333333333341E-3</v>
      </c>
      <c r="I892" s="986">
        <f t="shared" si="23"/>
        <v>2.7994166666666667E-2</v>
      </c>
      <c r="J892" s="988">
        <v>36586</v>
      </c>
    </row>
    <row r="893" spans="1:10" ht="13.8">
      <c r="A893" s="987">
        <v>3</v>
      </c>
      <c r="B893" s="988">
        <f t="shared" si="24"/>
        <v>36617</v>
      </c>
      <c r="C893" s="987" t="str">
        <f t="shared" si="25"/>
        <v>S&amp;P 500 Utility Index</v>
      </c>
      <c r="F893" s="992">
        <v>7.9399999999999998E-2</v>
      </c>
      <c r="H893" s="992">
        <v>6.8982499999999999E-3</v>
      </c>
      <c r="I893" s="986">
        <f t="shared" si="23"/>
        <v>7.2501750000000004E-2</v>
      </c>
      <c r="J893" s="988">
        <v>36617</v>
      </c>
    </row>
    <row r="894" spans="1:10" ht="13.8">
      <c r="A894" s="987">
        <v>3</v>
      </c>
      <c r="B894" s="988">
        <f t="shared" si="24"/>
        <v>36647</v>
      </c>
      <c r="C894" s="987" t="str">
        <f t="shared" si="25"/>
        <v>S&amp;P 500 Utility Index</v>
      </c>
      <c r="F894" s="992">
        <v>4.8599999999999997E-2</v>
      </c>
      <c r="H894" s="992">
        <v>7.2435833333333336E-3</v>
      </c>
      <c r="I894" s="986">
        <f t="shared" si="23"/>
        <v>4.1356416666666666E-2</v>
      </c>
      <c r="J894" s="988">
        <v>36647</v>
      </c>
    </row>
    <row r="895" spans="1:10" ht="13.8">
      <c r="A895" s="987">
        <v>3</v>
      </c>
      <c r="B895" s="988">
        <f t="shared" si="24"/>
        <v>36678</v>
      </c>
      <c r="C895" s="987" t="str">
        <f t="shared" si="25"/>
        <v>S&amp;P 500 Utility Index</v>
      </c>
      <c r="F895" s="992">
        <v>-5.7500000000000002E-2</v>
      </c>
      <c r="H895" s="992">
        <v>6.9795833333333333E-3</v>
      </c>
      <c r="I895" s="986">
        <f t="shared" si="23"/>
        <v>-6.447958333333334E-2</v>
      </c>
      <c r="J895" s="988">
        <v>36678</v>
      </c>
    </row>
    <row r="896" spans="1:10" ht="13.8">
      <c r="A896" s="987">
        <v>3</v>
      </c>
      <c r="B896" s="988">
        <f t="shared" si="24"/>
        <v>36708</v>
      </c>
      <c r="C896" s="987" t="str">
        <f t="shared" si="25"/>
        <v>S&amp;P 500 Utility Index</v>
      </c>
      <c r="F896" s="992">
        <v>6.7699999999999996E-2</v>
      </c>
      <c r="H896" s="992">
        <v>6.8820000000000001E-3</v>
      </c>
      <c r="I896" s="986">
        <f t="shared" si="23"/>
        <v>6.0817999999999997E-2</v>
      </c>
      <c r="J896" s="988">
        <v>36708</v>
      </c>
    </row>
    <row r="897" spans="1:10" ht="13.8">
      <c r="A897" s="987">
        <v>3</v>
      </c>
      <c r="B897" s="988">
        <f t="shared" si="24"/>
        <v>36739</v>
      </c>
      <c r="C897" s="987" t="str">
        <f t="shared" si="25"/>
        <v>S&amp;P 500 Utility Index</v>
      </c>
      <c r="F897" s="992">
        <v>0.13720000000000002</v>
      </c>
      <c r="H897" s="992">
        <v>6.7739166666666677E-3</v>
      </c>
      <c r="I897" s="986">
        <f t="shared" si="23"/>
        <v>0.13042608333333336</v>
      </c>
      <c r="J897" s="988">
        <v>36739</v>
      </c>
    </row>
    <row r="898" spans="1:10" ht="13.8">
      <c r="A898" s="987">
        <v>3</v>
      </c>
      <c r="B898" s="988">
        <f t="shared" si="24"/>
        <v>36770</v>
      </c>
      <c r="C898" s="987" t="str">
        <f t="shared" si="25"/>
        <v>S&amp;P 500 Utility Index</v>
      </c>
      <c r="F898" s="992">
        <v>9.1499999999999998E-2</v>
      </c>
      <c r="H898" s="992">
        <v>6.8533333333333337E-3</v>
      </c>
      <c r="I898" s="986">
        <f t="shared" si="23"/>
        <v>8.4646666666666662E-2</v>
      </c>
      <c r="J898" s="988">
        <v>36770</v>
      </c>
    </row>
    <row r="899" spans="1:10" ht="13.8">
      <c r="A899" s="987">
        <v>3</v>
      </c>
      <c r="B899" s="988">
        <f t="shared" si="24"/>
        <v>36800</v>
      </c>
      <c r="C899" s="987" t="str">
        <f t="shared" si="25"/>
        <v>S&amp;P 500 Utility Index</v>
      </c>
      <c r="F899" s="992">
        <v>-3.5699999999999996E-2</v>
      </c>
      <c r="H899" s="992">
        <v>6.7868333333333331E-3</v>
      </c>
      <c r="I899" s="986">
        <f t="shared" si="23"/>
        <v>-4.2486833333333328E-2</v>
      </c>
      <c r="J899" s="988">
        <v>36800</v>
      </c>
    </row>
    <row r="900" spans="1:10" ht="13.8">
      <c r="A900" s="987">
        <v>3</v>
      </c>
      <c r="B900" s="988">
        <f t="shared" si="24"/>
        <v>36831</v>
      </c>
      <c r="C900" s="987" t="str">
        <f t="shared" si="25"/>
        <v>S&amp;P 500 Utility Index</v>
      </c>
      <c r="F900" s="992">
        <v>-1.32E-2</v>
      </c>
      <c r="H900" s="992">
        <v>6.7716666666666654E-3</v>
      </c>
      <c r="I900" s="986">
        <f t="shared" si="23"/>
        <v>-1.9971666666666665E-2</v>
      </c>
      <c r="J900" s="988">
        <v>36831</v>
      </c>
    </row>
    <row r="901" spans="1:10" ht="13.8">
      <c r="A901" s="987">
        <v>3</v>
      </c>
      <c r="B901" s="988">
        <f t="shared" si="24"/>
        <v>36861</v>
      </c>
      <c r="C901" s="987" t="str">
        <f t="shared" si="25"/>
        <v>S&amp;P 500 Utility Index</v>
      </c>
      <c r="F901" s="992">
        <v>9.820000000000001E-2</v>
      </c>
      <c r="H901" s="992">
        <v>6.5465000000000002E-3</v>
      </c>
      <c r="I901" s="986">
        <f t="shared" si="23"/>
        <v>9.1653500000000013E-2</v>
      </c>
      <c r="J901" s="988">
        <v>36861</v>
      </c>
    </row>
    <row r="902" spans="1:10" ht="13.8">
      <c r="A902" s="987">
        <v>3</v>
      </c>
      <c r="B902" s="988">
        <f t="shared" si="24"/>
        <v>36892</v>
      </c>
      <c r="C902" s="987" t="str">
        <f t="shared" si="25"/>
        <v>S&amp;P 500 Utility Index</v>
      </c>
      <c r="F902" s="992">
        <v>-9.6699999999999994E-2</v>
      </c>
      <c r="H902" s="992">
        <v>6.4988333333333339E-3</v>
      </c>
      <c r="I902" s="986">
        <f t="shared" si="23"/>
        <v>-0.10319883333333332</v>
      </c>
      <c r="J902" s="988">
        <v>36892</v>
      </c>
    </row>
    <row r="903" spans="1:10" ht="13.8">
      <c r="A903" s="987">
        <v>3</v>
      </c>
      <c r="B903" s="988">
        <f t="shared" si="24"/>
        <v>36923</v>
      </c>
      <c r="C903" s="987" t="str">
        <f t="shared" si="25"/>
        <v>S&amp;P 500 Utility Index</v>
      </c>
      <c r="F903" s="992">
        <v>3.5299999999999998E-2</v>
      </c>
      <c r="H903" s="992">
        <v>6.4490833333333327E-3</v>
      </c>
      <c r="I903" s="986">
        <f t="shared" si="23"/>
        <v>2.8850916666666664E-2</v>
      </c>
      <c r="J903" s="988">
        <v>36923</v>
      </c>
    </row>
    <row r="904" spans="1:10" ht="13.8">
      <c r="A904" s="987">
        <v>3</v>
      </c>
      <c r="B904" s="988">
        <f t="shared" si="24"/>
        <v>36951</v>
      </c>
      <c r="C904" s="987" t="str">
        <f t="shared" si="25"/>
        <v>S&amp;P 500 Utility Index</v>
      </c>
      <c r="F904" s="992">
        <v>-6.3E-3</v>
      </c>
      <c r="H904" s="992">
        <v>6.3935833333333336E-3</v>
      </c>
      <c r="I904" s="986">
        <f t="shared" si="23"/>
        <v>-1.2693583333333334E-2</v>
      </c>
      <c r="J904" s="988">
        <v>36951</v>
      </c>
    </row>
    <row r="905" spans="1:10" ht="13.8">
      <c r="A905" s="987">
        <v>3</v>
      </c>
      <c r="B905" s="988">
        <f t="shared" si="24"/>
        <v>36982</v>
      </c>
      <c r="C905" s="987" t="str">
        <f t="shared" si="25"/>
        <v>S&amp;P 500 Utility Index</v>
      </c>
      <c r="F905" s="992">
        <v>6.0499999999999998E-2</v>
      </c>
      <c r="H905" s="992">
        <v>6.6033333333333335E-3</v>
      </c>
      <c r="I905" s="986">
        <f t="shared" si="23"/>
        <v>5.3896666666666662E-2</v>
      </c>
      <c r="J905" s="988">
        <v>36982</v>
      </c>
    </row>
    <row r="906" spans="1:10" ht="13.8">
      <c r="A906" s="987">
        <v>3</v>
      </c>
      <c r="B906" s="988">
        <f t="shared" si="24"/>
        <v>37012</v>
      </c>
      <c r="C906" s="987" t="str">
        <f t="shared" si="25"/>
        <v>S&amp;P 500 Utility Index</v>
      </c>
      <c r="F906" s="992">
        <v>-3.4300000000000004E-2</v>
      </c>
      <c r="H906" s="992">
        <v>6.6629166666666659E-3</v>
      </c>
      <c r="I906" s="986">
        <f t="shared" si="23"/>
        <v>-4.0962916666666668E-2</v>
      </c>
      <c r="J906" s="988">
        <v>37012</v>
      </c>
    </row>
    <row r="907" spans="1:10" ht="13.8">
      <c r="A907" s="987">
        <v>3</v>
      </c>
      <c r="B907" s="988">
        <f t="shared" si="24"/>
        <v>37043</v>
      </c>
      <c r="C907" s="987" t="str">
        <f t="shared" si="25"/>
        <v>S&amp;P 500 Utility Index</v>
      </c>
      <c r="F907" s="992">
        <v>-7.9100000000000004E-2</v>
      </c>
      <c r="H907" s="992">
        <v>6.5459999999999997E-3</v>
      </c>
      <c r="I907" s="986">
        <f t="shared" si="23"/>
        <v>-8.5646E-2</v>
      </c>
      <c r="J907" s="988">
        <v>37043</v>
      </c>
    </row>
    <row r="908" spans="1:10" ht="13.8">
      <c r="A908" s="987">
        <v>3</v>
      </c>
      <c r="B908" s="988">
        <f t="shared" si="24"/>
        <v>37073</v>
      </c>
      <c r="C908" s="987" t="str">
        <f t="shared" si="25"/>
        <v>S&amp;P 500 Utility Index</v>
      </c>
      <c r="F908" s="992">
        <v>-4.4799999999999993E-2</v>
      </c>
      <c r="H908" s="992">
        <v>6.4940833333333335E-3</v>
      </c>
      <c r="I908" s="986">
        <f t="shared" si="23"/>
        <v>-5.1294083333333323E-2</v>
      </c>
      <c r="J908" s="988">
        <v>37073</v>
      </c>
    </row>
    <row r="909" spans="1:10" ht="13.8">
      <c r="A909" s="987">
        <v>3</v>
      </c>
      <c r="B909" s="988">
        <f t="shared" si="24"/>
        <v>37104</v>
      </c>
      <c r="C909" s="987" t="str">
        <f t="shared" si="25"/>
        <v>S&amp;P 500 Utility Index</v>
      </c>
      <c r="F909" s="992">
        <v>-2.9000000000000005E-2</v>
      </c>
      <c r="H909" s="992">
        <v>6.3285833333333328E-3</v>
      </c>
      <c r="I909" s="986">
        <f t="shared" si="23"/>
        <v>-3.5328583333333337E-2</v>
      </c>
      <c r="J909" s="988">
        <v>37104</v>
      </c>
    </row>
    <row r="910" spans="1:10" ht="13.8">
      <c r="A910" s="987">
        <v>3</v>
      </c>
      <c r="B910" s="988">
        <f t="shared" si="24"/>
        <v>37135</v>
      </c>
      <c r="C910" s="987" t="str">
        <f t="shared" si="25"/>
        <v>S&amp;P 500 Utility Index</v>
      </c>
      <c r="F910" s="992">
        <v>-0.1152</v>
      </c>
      <c r="H910" s="992">
        <v>6.4227500000000005E-3</v>
      </c>
      <c r="I910" s="986">
        <f t="shared" si="23"/>
        <v>-0.12162275</v>
      </c>
      <c r="J910" s="988">
        <v>37135</v>
      </c>
    </row>
    <row r="911" spans="1:10" ht="13.8">
      <c r="A911" s="987">
        <v>3</v>
      </c>
      <c r="B911" s="988">
        <f t="shared" si="24"/>
        <v>37165</v>
      </c>
      <c r="C911" s="987" t="str">
        <f t="shared" si="25"/>
        <v>S&amp;P 500 Utility Index</v>
      </c>
      <c r="F911" s="992">
        <v>-1.7000000000000001E-3</v>
      </c>
      <c r="H911" s="992">
        <v>6.3725833333333334E-3</v>
      </c>
      <c r="I911" s="986">
        <f t="shared" si="23"/>
        <v>-8.0725833333333344E-3</v>
      </c>
      <c r="J911" s="988">
        <v>37165</v>
      </c>
    </row>
    <row r="912" spans="1:10" ht="13.8">
      <c r="A912" s="987">
        <v>3</v>
      </c>
      <c r="B912" s="988">
        <f t="shared" si="24"/>
        <v>37196</v>
      </c>
      <c r="C912" s="987" t="str">
        <f t="shared" si="25"/>
        <v>S&amp;P 500 Utility Index</v>
      </c>
      <c r="F912" s="992">
        <v>-5.5199999999999999E-2</v>
      </c>
      <c r="H912" s="992">
        <v>6.2872499999999994E-3</v>
      </c>
      <c r="I912" s="986">
        <f t="shared" si="23"/>
        <v>-6.148725E-2</v>
      </c>
      <c r="J912" s="988">
        <v>37196</v>
      </c>
    </row>
    <row r="913" spans="1:10" ht="13.8">
      <c r="A913" s="987">
        <v>3</v>
      </c>
      <c r="B913" s="988">
        <f t="shared" si="24"/>
        <v>37226</v>
      </c>
      <c r="C913" s="987" t="str">
        <f t="shared" si="25"/>
        <v>S&amp;P 500 Utility Index</v>
      </c>
      <c r="F913" s="992">
        <v>2.6000000000000002E-2</v>
      </c>
      <c r="H913" s="992">
        <v>6.5259166666666668E-3</v>
      </c>
      <c r="I913" s="986">
        <f t="shared" si="23"/>
        <v>1.9474083333333336E-2</v>
      </c>
      <c r="J913" s="988">
        <v>37226</v>
      </c>
    </row>
    <row r="914" spans="1:10" ht="13.8">
      <c r="A914" s="987">
        <v>3</v>
      </c>
      <c r="B914" s="988">
        <f t="shared" si="24"/>
        <v>37257</v>
      </c>
      <c r="C914" s="987" t="str">
        <f t="shared" si="25"/>
        <v>S&amp;P 500 Utility Index</v>
      </c>
      <c r="F914" s="992">
        <v>-5.6499999999999995E-2</v>
      </c>
      <c r="H914" s="992">
        <v>6.3869166666666666E-3</v>
      </c>
      <c r="I914" s="986">
        <f t="shared" si="23"/>
        <v>-6.2886916666666667E-2</v>
      </c>
      <c r="J914" s="988">
        <v>37257</v>
      </c>
    </row>
    <row r="915" spans="1:10" ht="13.8">
      <c r="A915" s="987">
        <v>3</v>
      </c>
      <c r="B915" s="988">
        <f t="shared" si="24"/>
        <v>37288</v>
      </c>
      <c r="C915" s="987" t="str">
        <f t="shared" si="25"/>
        <v>S&amp;P 500 Utility Index</v>
      </c>
      <c r="F915" s="992">
        <v>-2.35E-2</v>
      </c>
      <c r="H915" s="992">
        <v>6.2833333333333326E-3</v>
      </c>
      <c r="I915" s="986">
        <f t="shared" si="23"/>
        <v>-2.9783333333333332E-2</v>
      </c>
      <c r="J915" s="988">
        <v>37288</v>
      </c>
    </row>
    <row r="916" spans="1:10" ht="13.8">
      <c r="A916" s="987">
        <v>3</v>
      </c>
      <c r="B916" s="988">
        <f t="shared" si="24"/>
        <v>37316</v>
      </c>
      <c r="C916" s="987" t="str">
        <f t="shared" si="25"/>
        <v>S&amp;P 500 Utility Index</v>
      </c>
      <c r="F916" s="992">
        <v>0.12229999999999999</v>
      </c>
      <c r="H916" s="992">
        <v>6.4529166666666667E-3</v>
      </c>
      <c r="I916" s="986">
        <f t="shared" si="23"/>
        <v>0.11584708333333332</v>
      </c>
      <c r="J916" s="988">
        <v>37316</v>
      </c>
    </row>
    <row r="917" spans="1:10" ht="13.8">
      <c r="A917" s="987">
        <v>3</v>
      </c>
      <c r="B917" s="988">
        <f t="shared" si="24"/>
        <v>37347</v>
      </c>
      <c r="C917" s="987" t="str">
        <f t="shared" si="25"/>
        <v>S&amp;P 500 Utility Index</v>
      </c>
      <c r="F917" s="992">
        <v>-1.7100000000000001E-2</v>
      </c>
      <c r="H917" s="992">
        <v>6.3159166666666667E-3</v>
      </c>
      <c r="I917" s="986">
        <f t="shared" si="23"/>
        <v>-2.3415916666666668E-2</v>
      </c>
      <c r="J917" s="988">
        <v>37347</v>
      </c>
    </row>
    <row r="918" spans="1:10" ht="13.8">
      <c r="A918" s="987">
        <v>3</v>
      </c>
      <c r="B918" s="988">
        <f t="shared" si="24"/>
        <v>37377</v>
      </c>
      <c r="C918" s="987" t="str">
        <f t="shared" si="25"/>
        <v>S&amp;P 500 Utility Index</v>
      </c>
      <c r="F918" s="992">
        <v>-9.0200000000000002E-2</v>
      </c>
      <c r="H918" s="992">
        <v>6.2723333333333329E-3</v>
      </c>
      <c r="I918" s="986">
        <f t="shared" si="23"/>
        <v>-9.647233333333334E-2</v>
      </c>
      <c r="J918" s="988">
        <v>37377</v>
      </c>
    </row>
    <row r="919" spans="1:10" ht="13.8">
      <c r="A919" s="987">
        <v>3</v>
      </c>
      <c r="B919" s="988">
        <f t="shared" si="24"/>
        <v>37408</v>
      </c>
      <c r="C919" s="987" t="str">
        <f t="shared" si="25"/>
        <v>S&amp;P 500 Utility Index</v>
      </c>
      <c r="F919" s="992">
        <v>-7.1000000000000008E-2</v>
      </c>
      <c r="H919" s="992">
        <v>6.1804166666666674E-3</v>
      </c>
      <c r="I919" s="986">
        <f t="shared" si="23"/>
        <v>-7.7180416666666668E-2</v>
      </c>
      <c r="J919" s="988">
        <v>37408</v>
      </c>
    </row>
    <row r="920" spans="1:10" ht="13.8">
      <c r="A920" s="987">
        <v>3</v>
      </c>
      <c r="B920" s="988">
        <f t="shared" si="24"/>
        <v>37438</v>
      </c>
      <c r="C920" s="987" t="str">
        <f t="shared" si="25"/>
        <v>S&amp;P 500 Utility Index</v>
      </c>
      <c r="F920" s="992">
        <v>-0.13799999999999998</v>
      </c>
      <c r="H920" s="992">
        <v>6.1008333333333331E-3</v>
      </c>
      <c r="I920" s="986">
        <f t="shared" si="23"/>
        <v>-0.14410083333333332</v>
      </c>
      <c r="J920" s="988">
        <v>37438</v>
      </c>
    </row>
    <row r="921" spans="1:10" ht="13.8">
      <c r="A921" s="987">
        <v>3</v>
      </c>
      <c r="B921" s="988">
        <f t="shared" si="24"/>
        <v>37469</v>
      </c>
      <c r="C921" s="987" t="str">
        <f t="shared" si="25"/>
        <v>S&amp;P 500 Utility Index</v>
      </c>
      <c r="F921" s="992">
        <v>3.5000000000000003E-2</v>
      </c>
      <c r="H921" s="992">
        <v>5.9787500000000006E-3</v>
      </c>
      <c r="I921" s="986">
        <f t="shared" si="23"/>
        <v>2.9021250000000002E-2</v>
      </c>
      <c r="J921" s="988">
        <v>37469</v>
      </c>
    </row>
    <row r="922" spans="1:10" ht="13.8">
      <c r="A922" s="987">
        <v>3</v>
      </c>
      <c r="B922" s="988">
        <f t="shared" si="24"/>
        <v>37500</v>
      </c>
      <c r="C922" s="987" t="str">
        <f t="shared" si="25"/>
        <v>S&amp;P 500 Utility Index</v>
      </c>
      <c r="F922" s="992">
        <v>-0.12830000000000003</v>
      </c>
      <c r="H922" s="992">
        <v>5.9062500000000009E-3</v>
      </c>
      <c r="I922" s="986">
        <f t="shared" ref="I922:I985" si="26">F922-H922</f>
        <v>-0.13420625000000003</v>
      </c>
      <c r="J922" s="988">
        <v>37500</v>
      </c>
    </row>
    <row r="923" spans="1:10" ht="13.8">
      <c r="A923" s="987">
        <v>3</v>
      </c>
      <c r="B923" s="988">
        <f t="shared" si="24"/>
        <v>37530</v>
      </c>
      <c r="C923" s="987" t="str">
        <f t="shared" si="25"/>
        <v>S&amp;P 500 Utility Index</v>
      </c>
      <c r="F923" s="992">
        <v>-1.7299999999999999E-2</v>
      </c>
      <c r="H923" s="992">
        <v>6.0162499999999999E-3</v>
      </c>
      <c r="I923" s="986">
        <f t="shared" si="26"/>
        <v>-2.331625E-2</v>
      </c>
      <c r="J923" s="988">
        <v>37530</v>
      </c>
    </row>
    <row r="924" spans="1:10" ht="13.8">
      <c r="A924" s="987">
        <v>3</v>
      </c>
      <c r="B924" s="988">
        <f t="shared" si="24"/>
        <v>37561</v>
      </c>
      <c r="C924" s="987" t="str">
        <f t="shared" si="25"/>
        <v>S&amp;P 500 Utility Index</v>
      </c>
      <c r="F924" s="992">
        <v>2.4900000000000002E-2</v>
      </c>
      <c r="H924" s="992">
        <v>5.9523333333333338E-3</v>
      </c>
      <c r="I924" s="986">
        <f t="shared" si="26"/>
        <v>1.8947666666666668E-2</v>
      </c>
      <c r="J924" s="988">
        <v>37561</v>
      </c>
    </row>
    <row r="925" spans="1:10" ht="13.8">
      <c r="A925" s="987">
        <v>3</v>
      </c>
      <c r="B925" s="988">
        <f t="shared" si="24"/>
        <v>37591</v>
      </c>
      <c r="C925" s="987" t="str">
        <f t="shared" si="25"/>
        <v>S&amp;P 500 Utility Index</v>
      </c>
      <c r="F925" s="992">
        <v>4.1599999999999998E-2</v>
      </c>
      <c r="H925" s="992">
        <v>5.896416666666667E-3</v>
      </c>
      <c r="I925" s="986">
        <f t="shared" si="26"/>
        <v>3.570358333333333E-2</v>
      </c>
      <c r="J925" s="988">
        <v>37591</v>
      </c>
    </row>
    <row r="926" spans="1:10" ht="13.8">
      <c r="A926" s="987">
        <v>3</v>
      </c>
      <c r="B926" s="988">
        <f t="shared" si="24"/>
        <v>37622</v>
      </c>
      <c r="C926" s="987" t="str">
        <f t="shared" si="25"/>
        <v>S&amp;P 500 Utility Index</v>
      </c>
      <c r="F926" s="992">
        <v>-2.9200000000000004E-2</v>
      </c>
      <c r="H926" s="992">
        <v>5.886916666666667E-3</v>
      </c>
      <c r="I926" s="986">
        <f t="shared" si="26"/>
        <v>-3.5086916666666669E-2</v>
      </c>
      <c r="J926" s="988">
        <v>37622</v>
      </c>
    </row>
    <row r="927" spans="1:10" ht="13.8">
      <c r="A927" s="987">
        <v>3</v>
      </c>
      <c r="B927" s="988">
        <f t="shared" si="24"/>
        <v>37653</v>
      </c>
      <c r="C927" s="987" t="str">
        <f t="shared" si="25"/>
        <v>S&amp;P 500 Utility Index</v>
      </c>
      <c r="F927" s="992">
        <v>-4.8999999999999995E-2</v>
      </c>
      <c r="H927" s="992">
        <v>5.7775833333333325E-3</v>
      </c>
      <c r="I927" s="986">
        <f t="shared" si="26"/>
        <v>-5.4777583333333324E-2</v>
      </c>
      <c r="J927" s="988">
        <v>37653</v>
      </c>
    </row>
    <row r="928" spans="1:10" ht="13.8">
      <c r="A928" s="987">
        <v>3</v>
      </c>
      <c r="B928" s="988">
        <f t="shared" si="24"/>
        <v>37681</v>
      </c>
      <c r="C928" s="987" t="str">
        <f t="shared" si="25"/>
        <v>S&amp;P 500 Utility Index</v>
      </c>
      <c r="F928" s="992">
        <v>5.050000000000001E-2</v>
      </c>
      <c r="H928" s="992">
        <v>5.6626666666666665E-3</v>
      </c>
      <c r="I928" s="986">
        <f t="shared" si="26"/>
        <v>4.483733333333334E-2</v>
      </c>
      <c r="J928" s="988">
        <v>37681</v>
      </c>
    </row>
    <row r="929" spans="1:10" ht="13.8">
      <c r="A929" s="987">
        <v>3</v>
      </c>
      <c r="B929" s="988">
        <f t="shared" si="24"/>
        <v>37712</v>
      </c>
      <c r="C929" s="987" t="str">
        <f t="shared" si="25"/>
        <v>S&amp;P 500 Utility Index</v>
      </c>
      <c r="F929" s="992">
        <v>8.8500000000000009E-2</v>
      </c>
      <c r="H929" s="992">
        <v>5.5400833333333335E-3</v>
      </c>
      <c r="I929" s="986">
        <f t="shared" si="26"/>
        <v>8.2959916666666675E-2</v>
      </c>
      <c r="J929" s="988">
        <v>37712</v>
      </c>
    </row>
    <row r="930" spans="1:10" ht="13.8">
      <c r="A930" s="987">
        <v>3</v>
      </c>
      <c r="B930" s="988">
        <f t="shared" si="24"/>
        <v>37742</v>
      </c>
      <c r="C930" s="987" t="str">
        <f t="shared" si="25"/>
        <v>S&amp;P 500 Utility Index</v>
      </c>
      <c r="F930" s="992">
        <v>0.1021</v>
      </c>
      <c r="H930" s="992">
        <v>5.3103333333333336E-3</v>
      </c>
      <c r="I930" s="986">
        <f t="shared" si="26"/>
        <v>9.6789666666666663E-2</v>
      </c>
      <c r="J930" s="988">
        <v>37742</v>
      </c>
    </row>
    <row r="931" spans="1:10" ht="13.8">
      <c r="A931" s="987">
        <v>3</v>
      </c>
      <c r="B931" s="988">
        <f t="shared" si="24"/>
        <v>37773</v>
      </c>
      <c r="C931" s="987" t="str">
        <f t="shared" si="25"/>
        <v>S&amp;P 500 Utility Index</v>
      </c>
      <c r="F931" s="992">
        <v>1.1900000000000001E-2</v>
      </c>
      <c r="H931" s="992">
        <v>5.1729999999999996E-3</v>
      </c>
      <c r="I931" s="986">
        <f t="shared" si="26"/>
        <v>6.7270000000000012E-3</v>
      </c>
      <c r="J931" s="988">
        <v>37773</v>
      </c>
    </row>
    <row r="932" spans="1:10" ht="13.8">
      <c r="A932" s="987">
        <v>3</v>
      </c>
      <c r="B932" s="988">
        <f t="shared" si="24"/>
        <v>37803</v>
      </c>
      <c r="C932" s="987" t="str">
        <f t="shared" si="25"/>
        <v>S&amp;P 500 Utility Index</v>
      </c>
      <c r="F932" s="992">
        <v>-6.5000000000000002E-2</v>
      </c>
      <c r="H932" s="992">
        <v>5.4568333333333326E-3</v>
      </c>
      <c r="I932" s="986">
        <f t="shared" si="26"/>
        <v>-7.045683333333333E-2</v>
      </c>
      <c r="J932" s="988">
        <v>37803</v>
      </c>
    </row>
    <row r="933" spans="1:10" ht="13.8">
      <c r="A933" s="987">
        <v>3</v>
      </c>
      <c r="B933" s="988">
        <f t="shared" si="24"/>
        <v>37834</v>
      </c>
      <c r="C933" s="987" t="str">
        <f t="shared" si="25"/>
        <v>S&amp;P 500 Utility Index</v>
      </c>
      <c r="F933" s="992">
        <v>1.7499999999999998E-2</v>
      </c>
      <c r="H933" s="992">
        <v>5.6591666666666674E-3</v>
      </c>
      <c r="I933" s="986">
        <f t="shared" si="26"/>
        <v>1.1840833333333332E-2</v>
      </c>
      <c r="J933" s="988">
        <v>37834</v>
      </c>
    </row>
    <row r="934" spans="1:10" ht="13.8">
      <c r="A934" s="987">
        <v>3</v>
      </c>
      <c r="B934" s="988">
        <f t="shared" si="24"/>
        <v>37865</v>
      </c>
      <c r="C934" s="987" t="str">
        <f t="shared" si="25"/>
        <v>S&amp;P 500 Utility Index</v>
      </c>
      <c r="F934" s="992">
        <v>4.5699999999999991E-2</v>
      </c>
      <c r="H934" s="992">
        <v>5.4869166666666669E-3</v>
      </c>
      <c r="I934" s="986">
        <f t="shared" si="26"/>
        <v>4.0213083333333323E-2</v>
      </c>
      <c r="J934" s="988">
        <v>37865</v>
      </c>
    </row>
    <row r="935" spans="1:10" ht="13.8">
      <c r="A935" s="987">
        <v>3</v>
      </c>
      <c r="B935" s="988">
        <f t="shared" si="24"/>
        <v>37895</v>
      </c>
      <c r="C935" s="987" t="str">
        <f t="shared" si="25"/>
        <v>S&amp;P 500 Utility Index</v>
      </c>
      <c r="F935" s="992">
        <v>1.1199999999999998E-2</v>
      </c>
      <c r="H935" s="992">
        <v>5.3500000000000006E-3</v>
      </c>
      <c r="I935" s="986">
        <f t="shared" si="26"/>
        <v>5.8499999999999976E-3</v>
      </c>
      <c r="J935" s="988">
        <v>37895</v>
      </c>
    </row>
    <row r="936" spans="1:10" ht="13.8">
      <c r="A936" s="987">
        <v>3</v>
      </c>
      <c r="B936" s="988">
        <f t="shared" si="24"/>
        <v>37926</v>
      </c>
      <c r="C936" s="987" t="str">
        <f t="shared" si="25"/>
        <v>S&amp;P 500 Utility Index</v>
      </c>
      <c r="F936" s="992">
        <v>-5.0000000000000001E-4</v>
      </c>
      <c r="H936" s="992">
        <v>5.3093333333333334E-3</v>
      </c>
      <c r="I936" s="986">
        <f t="shared" si="26"/>
        <v>-5.809333333333333E-3</v>
      </c>
      <c r="J936" s="988">
        <v>37926</v>
      </c>
    </row>
    <row r="937" spans="1:10" ht="13.8">
      <c r="A937" s="987">
        <v>3</v>
      </c>
      <c r="B937" s="988">
        <f t="shared" si="24"/>
        <v>37956</v>
      </c>
      <c r="C937" s="987" t="str">
        <f t="shared" si="25"/>
        <v>S&amp;P 500 Utility Index</v>
      </c>
      <c r="F937" s="992">
        <v>6.7499999999999991E-2</v>
      </c>
      <c r="H937" s="992">
        <v>5.2325000000000002E-3</v>
      </c>
      <c r="I937" s="986">
        <f t="shared" si="26"/>
        <v>6.226749999999999E-2</v>
      </c>
      <c r="J937" s="988">
        <v>37956</v>
      </c>
    </row>
    <row r="938" spans="1:10" ht="13.8">
      <c r="A938" s="987">
        <v>3</v>
      </c>
      <c r="B938" s="988">
        <f t="shared" si="24"/>
        <v>37987</v>
      </c>
      <c r="C938" s="987" t="str">
        <f t="shared" si="25"/>
        <v>S&amp;P 500 Utility Index</v>
      </c>
      <c r="F938" s="992">
        <v>2.1599999999999998E-2</v>
      </c>
      <c r="H938" s="992">
        <v>5.1280833333333335E-3</v>
      </c>
      <c r="I938" s="986">
        <f t="shared" si="26"/>
        <v>1.6471916666666662E-2</v>
      </c>
      <c r="J938" s="988">
        <v>37987</v>
      </c>
    </row>
    <row r="939" spans="1:10" ht="13.8">
      <c r="A939" s="987">
        <v>3</v>
      </c>
      <c r="B939" s="988">
        <f t="shared" si="24"/>
        <v>38018</v>
      </c>
      <c r="C939" s="987" t="str">
        <f t="shared" si="25"/>
        <v>S&amp;P 500 Utility Index</v>
      </c>
      <c r="F939" s="992">
        <v>1.8100000000000002E-2</v>
      </c>
      <c r="H939" s="992">
        <v>5.1250000000000011E-3</v>
      </c>
      <c r="I939" s="986">
        <f t="shared" si="26"/>
        <v>1.2975E-2</v>
      </c>
      <c r="J939" s="988">
        <v>38018</v>
      </c>
    </row>
    <row r="940" spans="1:10" ht="13.8">
      <c r="A940" s="987">
        <v>3</v>
      </c>
      <c r="B940" s="988">
        <f t="shared" si="24"/>
        <v>38047</v>
      </c>
      <c r="C940" s="987" t="str">
        <f t="shared" si="25"/>
        <v>S&amp;P 500 Utility Index</v>
      </c>
      <c r="F940" s="992">
        <v>1.04E-2</v>
      </c>
      <c r="H940" s="992">
        <v>4.9753333333333333E-3</v>
      </c>
      <c r="I940" s="986">
        <f t="shared" si="26"/>
        <v>5.4246666666666662E-3</v>
      </c>
      <c r="J940" s="988">
        <v>38047</v>
      </c>
    </row>
    <row r="941" spans="1:10" ht="13.8">
      <c r="A941" s="987">
        <v>3</v>
      </c>
      <c r="B941" s="988">
        <f t="shared" si="24"/>
        <v>38078</v>
      </c>
      <c r="C941" s="987" t="str">
        <f t="shared" si="25"/>
        <v>S&amp;P 500 Utility Index</v>
      </c>
      <c r="F941" s="992">
        <v>-3.6199999999999996E-2</v>
      </c>
      <c r="H941" s="992">
        <v>5.2710000000000005E-3</v>
      </c>
      <c r="I941" s="986">
        <f t="shared" si="26"/>
        <v>-4.1470999999999994E-2</v>
      </c>
      <c r="J941" s="988">
        <v>38078</v>
      </c>
    </row>
    <row r="942" spans="1:10" ht="13.8">
      <c r="A942" s="987">
        <v>3</v>
      </c>
      <c r="B942" s="988">
        <f t="shared" si="24"/>
        <v>38108</v>
      </c>
      <c r="C942" s="987" t="str">
        <f t="shared" si="25"/>
        <v>S&amp;P 500 Utility Index</v>
      </c>
      <c r="F942" s="992">
        <v>7.9000000000000008E-3</v>
      </c>
      <c r="H942" s="992">
        <v>5.5170833333333339E-3</v>
      </c>
      <c r="I942" s="986">
        <f t="shared" si="26"/>
        <v>2.3829166666666669E-3</v>
      </c>
      <c r="J942" s="988">
        <v>38108</v>
      </c>
    </row>
    <row r="943" spans="1:10" ht="13.8">
      <c r="A943" s="987">
        <v>3</v>
      </c>
      <c r="B943" s="988">
        <f t="shared" si="24"/>
        <v>38139</v>
      </c>
      <c r="C943" s="987" t="str">
        <f t="shared" si="25"/>
        <v>S&amp;P 500 Utility Index</v>
      </c>
      <c r="F943" s="992">
        <v>1.55E-2</v>
      </c>
      <c r="H943" s="992">
        <v>5.3876666666666673E-3</v>
      </c>
      <c r="I943" s="986">
        <f t="shared" si="26"/>
        <v>1.0112333333333333E-2</v>
      </c>
      <c r="J943" s="988">
        <v>38139</v>
      </c>
    </row>
    <row r="944" spans="1:10" ht="13.8">
      <c r="A944" s="987">
        <v>3</v>
      </c>
      <c r="B944" s="988">
        <f t="shared" si="24"/>
        <v>38169</v>
      </c>
      <c r="C944" s="987" t="str">
        <f t="shared" si="25"/>
        <v>S&amp;P 500 Utility Index</v>
      </c>
      <c r="F944" s="992">
        <v>1.7299999999999999E-2</v>
      </c>
      <c r="H944" s="992">
        <v>5.2270000000000007E-3</v>
      </c>
      <c r="I944" s="986">
        <f t="shared" si="26"/>
        <v>1.2072999999999999E-2</v>
      </c>
      <c r="J944" s="988">
        <v>38169</v>
      </c>
    </row>
    <row r="945" spans="1:10" ht="13.8">
      <c r="A945" s="987">
        <v>3</v>
      </c>
      <c r="B945" s="988">
        <f t="shared" si="24"/>
        <v>38200</v>
      </c>
      <c r="C945" s="987" t="str">
        <f t="shared" si="25"/>
        <v>S&amp;P 500 Utility Index</v>
      </c>
      <c r="F945" s="992">
        <v>3.9300000000000002E-2</v>
      </c>
      <c r="H945" s="992">
        <v>5.1234999999999996E-3</v>
      </c>
      <c r="I945" s="986">
        <f t="shared" si="26"/>
        <v>3.4176499999999999E-2</v>
      </c>
      <c r="J945" s="988">
        <v>38200</v>
      </c>
    </row>
    <row r="946" spans="1:10" ht="13.8">
      <c r="A946" s="987">
        <v>3</v>
      </c>
      <c r="B946" s="988">
        <f t="shared" si="24"/>
        <v>38231</v>
      </c>
      <c r="C946" s="987" t="str">
        <f t="shared" si="25"/>
        <v>S&amp;P 500 Utility Index</v>
      </c>
      <c r="F946" s="992">
        <v>9.1000000000000004E-3</v>
      </c>
      <c r="H946" s="992">
        <v>4.9853333333333329E-3</v>
      </c>
      <c r="I946" s="986">
        <f t="shared" si="26"/>
        <v>4.1146666666666675E-3</v>
      </c>
      <c r="J946" s="988">
        <v>38231</v>
      </c>
    </row>
    <row r="947" spans="1:10" ht="13.8">
      <c r="A947" s="987">
        <v>3</v>
      </c>
      <c r="B947" s="988">
        <f t="shared" si="24"/>
        <v>38261</v>
      </c>
      <c r="C947" s="987" t="str">
        <f t="shared" si="25"/>
        <v>S&amp;P 500 Utility Index</v>
      </c>
      <c r="F947" s="992">
        <v>4.9499999999999995E-2</v>
      </c>
      <c r="H947" s="992">
        <v>4.9920833333333327E-3</v>
      </c>
      <c r="I947" s="986">
        <f t="shared" si="26"/>
        <v>4.4507916666666661E-2</v>
      </c>
      <c r="J947" s="988">
        <v>38261</v>
      </c>
    </row>
    <row r="948" spans="1:10" ht="13.8">
      <c r="A948" s="987">
        <v>3</v>
      </c>
      <c r="B948" s="988">
        <f t="shared" si="24"/>
        <v>38292</v>
      </c>
      <c r="C948" s="987" t="str">
        <f t="shared" si="25"/>
        <v>S&amp;P 500 Utility Index</v>
      </c>
      <c r="F948" s="992">
        <v>4.07E-2</v>
      </c>
      <c r="H948" s="992">
        <v>4.9627500000000001E-3</v>
      </c>
      <c r="I948" s="986">
        <f t="shared" si="26"/>
        <v>3.5737249999999998E-2</v>
      </c>
      <c r="J948" s="988">
        <v>38292</v>
      </c>
    </row>
    <row r="949" spans="1:10" ht="13.8">
      <c r="A949" s="987">
        <v>3</v>
      </c>
      <c r="B949" s="988">
        <f t="shared" si="24"/>
        <v>38322</v>
      </c>
      <c r="C949" s="987" t="str">
        <f t="shared" si="25"/>
        <v>S&amp;P 500 Utility Index</v>
      </c>
      <c r="F949" s="992">
        <v>2.6499999999999999E-2</v>
      </c>
      <c r="H949" s="992">
        <v>4.938916666666667E-3</v>
      </c>
      <c r="I949" s="986">
        <f t="shared" si="26"/>
        <v>2.1561083333333331E-2</v>
      </c>
      <c r="J949" s="988">
        <v>38322</v>
      </c>
    </row>
    <row r="950" spans="1:10" ht="13.8">
      <c r="A950" s="987">
        <v>3</v>
      </c>
      <c r="B950" s="988">
        <f t="shared" ref="B950:B1013" si="27">DATE(YEAR(B949),MONTH(B949) + 1,1)</f>
        <v>38353</v>
      </c>
      <c r="C950" s="987" t="str">
        <f t="shared" ref="C950:C1013" si="28">C949</f>
        <v>S&amp;P 500 Utility Index</v>
      </c>
      <c r="F950" s="992">
        <v>2.2099999999999998E-2</v>
      </c>
      <c r="H950" s="992">
        <v>4.827916666666667E-3</v>
      </c>
      <c r="I950" s="986">
        <f t="shared" si="26"/>
        <v>1.727208333333333E-2</v>
      </c>
      <c r="J950" s="988">
        <v>38353</v>
      </c>
    </row>
    <row r="951" spans="1:10" ht="13.8">
      <c r="A951" s="987">
        <v>3</v>
      </c>
      <c r="B951" s="988">
        <f t="shared" si="27"/>
        <v>38384</v>
      </c>
      <c r="C951" s="987" t="str">
        <f t="shared" si="28"/>
        <v>S&amp;P 500 Utility Index</v>
      </c>
      <c r="F951" s="992">
        <v>1.9699999999999999E-2</v>
      </c>
      <c r="H951" s="992">
        <v>4.6785000000000004E-3</v>
      </c>
      <c r="I951" s="986">
        <f t="shared" si="26"/>
        <v>1.5021499999999998E-2</v>
      </c>
      <c r="J951" s="988">
        <v>38384</v>
      </c>
    </row>
    <row r="952" spans="1:10" ht="13.8">
      <c r="A952" s="987">
        <v>3</v>
      </c>
      <c r="B952" s="988">
        <f t="shared" si="27"/>
        <v>38412</v>
      </c>
      <c r="C952" s="987" t="str">
        <f t="shared" si="28"/>
        <v>S&amp;P 500 Utility Index</v>
      </c>
      <c r="F952" s="992">
        <v>1.0800000000000001E-2</v>
      </c>
      <c r="H952" s="992">
        <v>4.855333333333333E-3</v>
      </c>
      <c r="I952" s="986">
        <f t="shared" si="26"/>
        <v>5.9446666666666675E-3</v>
      </c>
      <c r="J952" s="988">
        <v>38412</v>
      </c>
    </row>
    <row r="953" spans="1:10" ht="13.8">
      <c r="A953" s="987">
        <v>3</v>
      </c>
      <c r="B953" s="988">
        <f t="shared" si="27"/>
        <v>38443</v>
      </c>
      <c r="C953" s="987" t="str">
        <f t="shared" si="28"/>
        <v>S&amp;P 500 Utility Index</v>
      </c>
      <c r="F953" s="992">
        <v>3.2100000000000004E-2</v>
      </c>
      <c r="H953" s="992">
        <v>4.7079166666666667E-3</v>
      </c>
      <c r="I953" s="986">
        <f t="shared" si="26"/>
        <v>2.7392083333333338E-2</v>
      </c>
      <c r="J953" s="988">
        <v>38443</v>
      </c>
    </row>
    <row r="954" spans="1:10" ht="13.8">
      <c r="A954" s="987">
        <v>3</v>
      </c>
      <c r="B954" s="988">
        <f t="shared" si="27"/>
        <v>38473</v>
      </c>
      <c r="C954" s="987" t="str">
        <f t="shared" si="28"/>
        <v>S&amp;P 500 Utility Index</v>
      </c>
      <c r="F954" s="992">
        <v>7.9999999999999993E-4</v>
      </c>
      <c r="H954" s="992">
        <v>4.6162499999999997E-3</v>
      </c>
      <c r="I954" s="986">
        <f t="shared" si="26"/>
        <v>-3.8162499999999998E-3</v>
      </c>
      <c r="J954" s="988">
        <v>38473</v>
      </c>
    </row>
    <row r="955" spans="1:10" ht="13.8">
      <c r="A955" s="987">
        <v>3</v>
      </c>
      <c r="B955" s="988">
        <f t="shared" si="27"/>
        <v>38504</v>
      </c>
      <c r="C955" s="987" t="str">
        <f t="shared" si="28"/>
        <v>S&amp;P 500 Utility Index</v>
      </c>
      <c r="F955" s="992">
        <v>5.7599999999999998E-2</v>
      </c>
      <c r="H955" s="992">
        <v>4.5019166666666671E-3</v>
      </c>
      <c r="I955" s="986">
        <f t="shared" si="26"/>
        <v>5.309808333333333E-2</v>
      </c>
      <c r="J955" s="988">
        <v>38504</v>
      </c>
    </row>
    <row r="956" spans="1:10" ht="13.8">
      <c r="A956" s="987">
        <v>3</v>
      </c>
      <c r="B956" s="988">
        <f t="shared" si="27"/>
        <v>38534</v>
      </c>
      <c r="C956" s="987" t="str">
        <f t="shared" si="28"/>
        <v>S&amp;P 500 Utility Index</v>
      </c>
      <c r="F956" s="992">
        <v>2.3300000000000001E-2</v>
      </c>
      <c r="H956" s="992">
        <v>4.5829166666666674E-3</v>
      </c>
      <c r="I956" s="986">
        <f t="shared" si="26"/>
        <v>1.8717083333333336E-2</v>
      </c>
      <c r="J956" s="988">
        <v>38534</v>
      </c>
    </row>
    <row r="957" spans="1:10" ht="13.8">
      <c r="A957" s="987">
        <v>3</v>
      </c>
      <c r="B957" s="988">
        <f t="shared" si="27"/>
        <v>38565</v>
      </c>
      <c r="C957" s="987" t="str">
        <f t="shared" si="28"/>
        <v>S&amp;P 500 Utility Index</v>
      </c>
      <c r="F957" s="992">
        <v>7.3000000000000001E-3</v>
      </c>
      <c r="H957" s="992">
        <v>4.5909166666666668E-3</v>
      </c>
      <c r="I957" s="986">
        <f t="shared" si="26"/>
        <v>2.7090833333333333E-3</v>
      </c>
      <c r="J957" s="988">
        <v>38565</v>
      </c>
    </row>
    <row r="958" spans="1:10" ht="13.8">
      <c r="A958" s="987">
        <v>3</v>
      </c>
      <c r="B958" s="988">
        <f t="shared" si="27"/>
        <v>38596</v>
      </c>
      <c r="C958" s="987" t="str">
        <f t="shared" si="28"/>
        <v>S&amp;P 500 Utility Index</v>
      </c>
      <c r="F958" s="992">
        <v>4.0199999999999993E-2</v>
      </c>
      <c r="H958" s="992">
        <v>4.5853333333333328E-3</v>
      </c>
      <c r="I958" s="986">
        <f t="shared" si="26"/>
        <v>3.5614666666666663E-2</v>
      </c>
      <c r="J958" s="988">
        <v>38596</v>
      </c>
    </row>
    <row r="959" spans="1:10" ht="13.8">
      <c r="A959" s="987">
        <v>3</v>
      </c>
      <c r="B959" s="988">
        <f t="shared" si="27"/>
        <v>38626</v>
      </c>
      <c r="C959" s="987" t="str">
        <f t="shared" si="28"/>
        <v>S&amp;P 500 Utility Index</v>
      </c>
      <c r="F959" s="992">
        <v>-6.1699999999999998E-2</v>
      </c>
      <c r="H959" s="992">
        <v>4.8123333333333334E-3</v>
      </c>
      <c r="I959" s="986">
        <f t="shared" si="26"/>
        <v>-6.6512333333333326E-2</v>
      </c>
      <c r="J959" s="988">
        <v>38626</v>
      </c>
    </row>
    <row r="960" spans="1:10" ht="13.8">
      <c r="A960" s="987">
        <v>3</v>
      </c>
      <c r="B960" s="988">
        <f t="shared" si="27"/>
        <v>38657</v>
      </c>
      <c r="C960" s="987" t="str">
        <f t="shared" si="28"/>
        <v>S&amp;P 500 Utility Index</v>
      </c>
      <c r="F960" s="992">
        <v>-3.8999999999999994E-3</v>
      </c>
      <c r="H960" s="992">
        <v>4.8986666666666666E-3</v>
      </c>
      <c r="I960" s="986">
        <f t="shared" si="26"/>
        <v>-8.7986666666666664E-3</v>
      </c>
      <c r="J960" s="988">
        <v>38657</v>
      </c>
    </row>
    <row r="961" spans="1:10" ht="13.8">
      <c r="A961" s="987">
        <v>3</v>
      </c>
      <c r="B961" s="988">
        <f t="shared" si="27"/>
        <v>38687</v>
      </c>
      <c r="C961" s="987" t="str">
        <f t="shared" si="28"/>
        <v>S&amp;P 500 Utility Index</v>
      </c>
      <c r="F961" s="992">
        <v>1.0999999999999999E-2</v>
      </c>
      <c r="H961" s="992">
        <v>4.8481666666666664E-3</v>
      </c>
      <c r="I961" s="986">
        <f t="shared" si="26"/>
        <v>6.1518333333333329E-3</v>
      </c>
      <c r="J961" s="988">
        <v>38687</v>
      </c>
    </row>
    <row r="962" spans="1:10" ht="13.8">
      <c r="A962" s="987">
        <v>3</v>
      </c>
      <c r="B962" s="988">
        <f t="shared" si="27"/>
        <v>38718</v>
      </c>
      <c r="C962" s="987" t="str">
        <f t="shared" si="28"/>
        <v>S&amp;P 500 Utility Index</v>
      </c>
      <c r="F962" s="992">
        <v>2.6347999999999996E-2</v>
      </c>
      <c r="H962" s="992">
        <v>4.7916666666666672E-3</v>
      </c>
      <c r="I962" s="986">
        <f t="shared" si="26"/>
        <v>2.155633333333333E-2</v>
      </c>
      <c r="J962" s="988">
        <v>38718</v>
      </c>
    </row>
    <row r="963" spans="1:10" ht="13.8">
      <c r="A963" s="987">
        <v>3</v>
      </c>
      <c r="B963" s="988">
        <f t="shared" si="27"/>
        <v>38749</v>
      </c>
      <c r="C963" s="987" t="str">
        <f t="shared" si="28"/>
        <v>S&amp;P 500 Utility Index</v>
      </c>
      <c r="F963" s="992">
        <v>9.5270000000000007E-3</v>
      </c>
      <c r="H963" s="992">
        <v>4.8500000000000001E-3</v>
      </c>
      <c r="I963" s="986">
        <f t="shared" si="26"/>
        <v>4.6770000000000006E-3</v>
      </c>
      <c r="J963" s="988">
        <v>38749</v>
      </c>
    </row>
    <row r="964" spans="1:10" ht="13.8">
      <c r="A964" s="987">
        <v>3</v>
      </c>
      <c r="B964" s="988">
        <f t="shared" si="27"/>
        <v>38777</v>
      </c>
      <c r="C964" s="987" t="str">
        <f t="shared" si="28"/>
        <v>S&amp;P 500 Utility Index</v>
      </c>
      <c r="F964" s="992">
        <v>-4.6344999999999997E-2</v>
      </c>
      <c r="H964" s="992">
        <v>4.9833333333333335E-3</v>
      </c>
      <c r="I964" s="986">
        <f t="shared" si="26"/>
        <v>-5.132833333333333E-2</v>
      </c>
      <c r="J964" s="988">
        <v>38777</v>
      </c>
    </row>
    <row r="965" spans="1:10" ht="13.8">
      <c r="A965" s="987">
        <v>3</v>
      </c>
      <c r="B965" s="988">
        <f t="shared" si="27"/>
        <v>38808</v>
      </c>
      <c r="C965" s="987" t="str">
        <f t="shared" si="28"/>
        <v>S&amp;P 500 Utility Index</v>
      </c>
      <c r="F965" s="992">
        <v>1.7167000000000002E-2</v>
      </c>
      <c r="H965" s="992">
        <v>5.241666666666667E-3</v>
      </c>
      <c r="I965" s="986">
        <f t="shared" si="26"/>
        <v>1.1925333333333335E-2</v>
      </c>
      <c r="J965" s="988">
        <v>38808</v>
      </c>
    </row>
    <row r="966" spans="1:10" ht="13.8">
      <c r="A966" s="987">
        <v>3</v>
      </c>
      <c r="B966" s="988">
        <f t="shared" si="27"/>
        <v>38838</v>
      </c>
      <c r="C966" s="987" t="str">
        <f t="shared" si="28"/>
        <v>S&amp;P 500 Utility Index</v>
      </c>
      <c r="F966" s="992">
        <v>1.4280999999999999E-2</v>
      </c>
      <c r="H966" s="992">
        <v>5.3500000000000006E-3</v>
      </c>
      <c r="I966" s="986">
        <f t="shared" si="26"/>
        <v>8.930999999999998E-3</v>
      </c>
      <c r="J966" s="988">
        <v>38838</v>
      </c>
    </row>
    <row r="967" spans="1:10" ht="13.8">
      <c r="A967" s="987">
        <v>3</v>
      </c>
      <c r="B967" s="988">
        <f t="shared" si="27"/>
        <v>38869</v>
      </c>
      <c r="C967" s="987" t="str">
        <f t="shared" si="28"/>
        <v>S&amp;P 500 Utility Index</v>
      </c>
      <c r="F967" s="992">
        <v>2.4157999999999999E-2</v>
      </c>
      <c r="H967" s="992">
        <v>5.3333333333333332E-3</v>
      </c>
      <c r="I967" s="986">
        <f t="shared" si="26"/>
        <v>1.8824666666666667E-2</v>
      </c>
      <c r="J967" s="988">
        <v>38869</v>
      </c>
    </row>
    <row r="968" spans="1:10" ht="13.8">
      <c r="A968" s="987">
        <v>3</v>
      </c>
      <c r="B968" s="988">
        <f t="shared" si="27"/>
        <v>38899</v>
      </c>
      <c r="C968" s="987" t="str">
        <f t="shared" si="28"/>
        <v>S&amp;P 500 Utility Index</v>
      </c>
      <c r="F968" s="992">
        <v>5.1109000000000002E-2</v>
      </c>
      <c r="H968" s="992">
        <v>5.3083333333333342E-3</v>
      </c>
      <c r="I968" s="986">
        <f t="shared" si="26"/>
        <v>4.580066666666667E-2</v>
      </c>
      <c r="J968" s="988">
        <v>38899</v>
      </c>
    </row>
    <row r="969" spans="1:10" ht="13.8">
      <c r="A969" s="987">
        <v>3</v>
      </c>
      <c r="B969" s="988">
        <f t="shared" si="27"/>
        <v>38930</v>
      </c>
      <c r="C969" s="987" t="str">
        <f t="shared" si="28"/>
        <v>S&amp;P 500 Utility Index</v>
      </c>
      <c r="F969" s="992">
        <v>2.7122E-2</v>
      </c>
      <c r="H969" s="992">
        <v>5.1666666666666675E-3</v>
      </c>
      <c r="I969" s="986">
        <f t="shared" si="26"/>
        <v>2.1955333333333334E-2</v>
      </c>
      <c r="J969" s="988">
        <v>38930</v>
      </c>
    </row>
    <row r="970" spans="1:10" ht="13.8">
      <c r="A970" s="987">
        <v>3</v>
      </c>
      <c r="B970" s="988">
        <f t="shared" si="27"/>
        <v>38961</v>
      </c>
      <c r="C970" s="987" t="str">
        <f t="shared" si="28"/>
        <v>S&amp;P 500 Utility Index</v>
      </c>
      <c r="F970" s="992">
        <v>-1.7362000000000002E-2</v>
      </c>
      <c r="H970" s="992">
        <v>5.0000000000000001E-3</v>
      </c>
      <c r="I970" s="986">
        <f t="shared" si="26"/>
        <v>-2.2362000000000003E-2</v>
      </c>
      <c r="J970" s="988">
        <v>38961</v>
      </c>
    </row>
    <row r="971" spans="1:10" ht="13.8">
      <c r="A971" s="987">
        <v>3</v>
      </c>
      <c r="B971" s="988">
        <f t="shared" si="27"/>
        <v>38991</v>
      </c>
      <c r="C971" s="987" t="str">
        <f t="shared" si="28"/>
        <v>S&amp;P 500 Utility Index</v>
      </c>
      <c r="F971" s="992">
        <v>5.6025999999999999E-2</v>
      </c>
      <c r="H971" s="992">
        <v>4.9833333333333335E-3</v>
      </c>
      <c r="I971" s="986">
        <f t="shared" si="26"/>
        <v>5.1042666666666667E-2</v>
      </c>
      <c r="J971" s="988">
        <v>38991</v>
      </c>
    </row>
    <row r="972" spans="1:10" ht="13.8">
      <c r="A972" s="987">
        <v>3</v>
      </c>
      <c r="B972" s="988">
        <f t="shared" si="27"/>
        <v>39022</v>
      </c>
      <c r="C972" s="987" t="str">
        <f t="shared" si="28"/>
        <v>S&amp;P 500 Utility Index</v>
      </c>
      <c r="F972" s="992">
        <v>2.1404999999999997E-2</v>
      </c>
      <c r="H972" s="992">
        <v>4.8333333333333336E-3</v>
      </c>
      <c r="I972" s="986">
        <f t="shared" si="26"/>
        <v>1.6571666666666665E-2</v>
      </c>
      <c r="J972" s="988">
        <v>39022</v>
      </c>
    </row>
    <row r="973" spans="1:10" ht="13.8">
      <c r="A973" s="987">
        <v>3</v>
      </c>
      <c r="B973" s="988">
        <f t="shared" si="27"/>
        <v>39052</v>
      </c>
      <c r="C973" s="987" t="str">
        <f t="shared" si="28"/>
        <v>S&amp;P 500 Utility Index</v>
      </c>
      <c r="F973" s="992">
        <v>1.1817000000000001E-2</v>
      </c>
      <c r="H973" s="992">
        <v>4.8416666666666669E-3</v>
      </c>
      <c r="I973" s="986">
        <f t="shared" si="26"/>
        <v>6.9753333333333343E-3</v>
      </c>
      <c r="J973" s="988">
        <v>39052</v>
      </c>
    </row>
    <row r="974" spans="1:10" ht="13.8">
      <c r="A974" s="987">
        <v>3</v>
      </c>
      <c r="B974" s="988">
        <f t="shared" si="27"/>
        <v>39083</v>
      </c>
      <c r="C974" s="987" t="str">
        <f t="shared" si="28"/>
        <v>S&amp;P 500 Utility Index</v>
      </c>
      <c r="F974" s="992">
        <v>-1.134E-3</v>
      </c>
      <c r="H974" s="992">
        <v>4.9666666666666661E-3</v>
      </c>
      <c r="I974" s="986">
        <f t="shared" si="26"/>
        <v>-6.1006666666666657E-3</v>
      </c>
      <c r="J974" s="988">
        <v>39083</v>
      </c>
    </row>
    <row r="975" spans="1:10" ht="13.8">
      <c r="A975" s="987">
        <v>3</v>
      </c>
      <c r="B975" s="988">
        <f t="shared" si="27"/>
        <v>39114</v>
      </c>
      <c r="C975" s="987" t="str">
        <f t="shared" si="28"/>
        <v>S&amp;P 500 Utility Index</v>
      </c>
      <c r="F975" s="992">
        <v>5.0340999999999997E-2</v>
      </c>
      <c r="H975" s="992">
        <v>4.9166666666666673E-3</v>
      </c>
      <c r="I975" s="986">
        <f t="shared" si="26"/>
        <v>4.542433333333333E-2</v>
      </c>
      <c r="J975" s="988">
        <v>39114</v>
      </c>
    </row>
    <row r="976" spans="1:10" ht="13.8">
      <c r="A976" s="987">
        <v>3</v>
      </c>
      <c r="B976" s="988">
        <f t="shared" si="27"/>
        <v>39142</v>
      </c>
      <c r="C976" s="987" t="str">
        <f t="shared" si="28"/>
        <v>S&amp;P 500 Utility Index</v>
      </c>
      <c r="F976" s="992">
        <v>4.1373E-2</v>
      </c>
      <c r="H976" s="992">
        <v>4.8750000000000009E-3</v>
      </c>
      <c r="I976" s="986">
        <f t="shared" si="26"/>
        <v>3.6498000000000003E-2</v>
      </c>
      <c r="J976" s="988">
        <v>39142</v>
      </c>
    </row>
    <row r="977" spans="1:10" ht="13.8">
      <c r="A977" s="987">
        <v>3</v>
      </c>
      <c r="B977" s="988">
        <f t="shared" si="27"/>
        <v>39173</v>
      </c>
      <c r="C977" s="987" t="str">
        <f t="shared" si="28"/>
        <v>S&amp;P 500 Utility Index</v>
      </c>
      <c r="F977" s="992">
        <v>4.3758999999999999E-2</v>
      </c>
      <c r="H977" s="992">
        <v>4.9750000000000003E-3</v>
      </c>
      <c r="I977" s="986">
        <f t="shared" si="26"/>
        <v>3.8783999999999999E-2</v>
      </c>
      <c r="J977" s="988">
        <v>39173</v>
      </c>
    </row>
    <row r="978" spans="1:10" ht="13.8">
      <c r="A978" s="987">
        <v>3</v>
      </c>
      <c r="B978" s="988">
        <f t="shared" si="27"/>
        <v>39203</v>
      </c>
      <c r="C978" s="987" t="str">
        <f t="shared" si="28"/>
        <v>S&amp;P 500 Utility Index</v>
      </c>
      <c r="F978" s="992">
        <v>5.1450000000000003E-3</v>
      </c>
      <c r="H978" s="992">
        <v>4.9916666666666668E-3</v>
      </c>
      <c r="I978" s="986">
        <f t="shared" si="26"/>
        <v>1.5333333333333345E-4</v>
      </c>
      <c r="J978" s="988">
        <v>39203</v>
      </c>
    </row>
    <row r="979" spans="1:10" ht="13.8">
      <c r="A979" s="987">
        <v>3</v>
      </c>
      <c r="B979" s="988">
        <f t="shared" si="27"/>
        <v>39234</v>
      </c>
      <c r="C979" s="987" t="str">
        <f t="shared" si="28"/>
        <v>S&amp;P 500 Utility Index</v>
      </c>
      <c r="F979" s="992">
        <v>-5.0620999999999999E-2</v>
      </c>
      <c r="H979" s="992">
        <v>5.2500000000000003E-3</v>
      </c>
      <c r="I979" s="986">
        <f t="shared" si="26"/>
        <v>-5.5870999999999997E-2</v>
      </c>
      <c r="J979" s="988">
        <v>39234</v>
      </c>
    </row>
    <row r="980" spans="1:10" ht="13.8">
      <c r="A980" s="987">
        <v>3</v>
      </c>
      <c r="B980" s="988">
        <f t="shared" si="27"/>
        <v>39264</v>
      </c>
      <c r="C980" s="987" t="str">
        <f t="shared" si="28"/>
        <v>S&amp;P 500 Utility Index</v>
      </c>
      <c r="F980" s="992">
        <v>-3.5666000000000003E-2</v>
      </c>
      <c r="H980" s="992">
        <v>5.2083333333333339E-3</v>
      </c>
      <c r="I980" s="986">
        <f t="shared" si="26"/>
        <v>-4.0874333333333339E-2</v>
      </c>
      <c r="J980" s="988">
        <v>39264</v>
      </c>
    </row>
    <row r="981" spans="1:10" ht="13.8">
      <c r="A981" s="987">
        <v>3</v>
      </c>
      <c r="B981" s="988">
        <f t="shared" si="27"/>
        <v>39295</v>
      </c>
      <c r="C981" s="987" t="str">
        <f t="shared" si="28"/>
        <v>S&amp;P 500 Utility Index</v>
      </c>
      <c r="F981" s="992">
        <v>2.0955999999999995E-2</v>
      </c>
      <c r="H981" s="992">
        <v>5.1999999999999998E-3</v>
      </c>
      <c r="I981" s="986">
        <f t="shared" si="26"/>
        <v>1.5755999999999996E-2</v>
      </c>
      <c r="J981" s="988">
        <v>39295</v>
      </c>
    </row>
    <row r="982" spans="1:10" ht="13.8">
      <c r="A982" s="987">
        <v>3</v>
      </c>
      <c r="B982" s="988">
        <f t="shared" si="27"/>
        <v>39326</v>
      </c>
      <c r="C982" s="987" t="str">
        <f t="shared" si="28"/>
        <v>S&amp;P 500 Utility Index</v>
      </c>
      <c r="F982" s="992">
        <v>3.5427E-2</v>
      </c>
      <c r="H982" s="992">
        <v>5.1500000000000001E-3</v>
      </c>
      <c r="I982" s="986">
        <f t="shared" si="26"/>
        <v>3.0276999999999998E-2</v>
      </c>
      <c r="J982" s="988">
        <v>39326</v>
      </c>
    </row>
    <row r="983" spans="1:10" ht="13.8">
      <c r="A983" s="987">
        <v>3</v>
      </c>
      <c r="B983" s="988">
        <f t="shared" si="27"/>
        <v>39356</v>
      </c>
      <c r="C983" s="987" t="str">
        <f t="shared" si="28"/>
        <v>S&amp;P 500 Utility Index</v>
      </c>
      <c r="F983" s="992">
        <v>6.8641000000000008E-2</v>
      </c>
      <c r="H983" s="992">
        <v>5.0916666666666662E-3</v>
      </c>
      <c r="I983" s="986">
        <f t="shared" si="26"/>
        <v>6.3549333333333347E-2</v>
      </c>
      <c r="J983" s="988">
        <v>39356</v>
      </c>
    </row>
    <row r="984" spans="1:10" ht="13.8">
      <c r="A984" s="987">
        <v>3</v>
      </c>
      <c r="B984" s="988">
        <f t="shared" si="27"/>
        <v>39387</v>
      </c>
      <c r="C984" s="987" t="str">
        <f t="shared" si="28"/>
        <v>S&amp;P 500 Utility Index</v>
      </c>
      <c r="F984" s="992">
        <v>3.405E-3</v>
      </c>
      <c r="H984" s="992">
        <v>4.9750000000000003E-3</v>
      </c>
      <c r="I984" s="986">
        <f t="shared" si="26"/>
        <v>-1.5700000000000002E-3</v>
      </c>
      <c r="J984" s="988">
        <v>39387</v>
      </c>
    </row>
    <row r="985" spans="1:10" ht="13.8">
      <c r="A985" s="987">
        <v>3</v>
      </c>
      <c r="B985" s="988">
        <f t="shared" si="27"/>
        <v>39417</v>
      </c>
      <c r="C985" s="987" t="str">
        <f t="shared" si="28"/>
        <v>S&amp;P 500 Utility Index</v>
      </c>
      <c r="F985" s="992">
        <v>2.7539999999999999E-3</v>
      </c>
      <c r="H985" s="992">
        <v>5.1333333333333335E-3</v>
      </c>
      <c r="I985" s="986">
        <f t="shared" si="26"/>
        <v>-2.3793333333333336E-3</v>
      </c>
      <c r="J985" s="988">
        <v>39417</v>
      </c>
    </row>
    <row r="986" spans="1:10" ht="13.8">
      <c r="A986" s="987">
        <v>3</v>
      </c>
      <c r="B986" s="988">
        <f t="shared" si="27"/>
        <v>39448</v>
      </c>
      <c r="C986" s="987" t="str">
        <f t="shared" si="28"/>
        <v>S&amp;P 500 Utility Index</v>
      </c>
      <c r="F986" s="992">
        <v>-6.8132999999999999E-2</v>
      </c>
      <c r="H986" s="992">
        <v>5.0166666666666658E-3</v>
      </c>
      <c r="I986" s="986">
        <f t="shared" ref="I986:I1049" si="29">F986-H986</f>
        <v>-7.3149666666666668E-2</v>
      </c>
      <c r="J986" s="988">
        <v>39448</v>
      </c>
    </row>
    <row r="987" spans="1:10" ht="13.8">
      <c r="A987" s="987">
        <v>3</v>
      </c>
      <c r="B987" s="988">
        <f t="shared" si="27"/>
        <v>39479</v>
      </c>
      <c r="C987" s="987" t="str">
        <f t="shared" si="28"/>
        <v>S&amp;P 500 Utility Index</v>
      </c>
      <c r="F987" s="992">
        <v>-4.9955999999999993E-2</v>
      </c>
      <c r="H987" s="992">
        <v>5.1749999999999999E-3</v>
      </c>
      <c r="I987" s="986">
        <f t="shared" si="29"/>
        <v>-5.5130999999999993E-2</v>
      </c>
      <c r="J987" s="988">
        <v>39479</v>
      </c>
    </row>
    <row r="988" spans="1:10" ht="13.8">
      <c r="A988" s="987">
        <v>3</v>
      </c>
      <c r="B988" s="988">
        <f t="shared" si="27"/>
        <v>39508</v>
      </c>
      <c r="C988" s="987" t="str">
        <f t="shared" si="28"/>
        <v>S&amp;P 500 Utility Index</v>
      </c>
      <c r="F988" s="992">
        <v>1.7056000000000002E-2</v>
      </c>
      <c r="H988" s="992">
        <v>5.1749999999999999E-3</v>
      </c>
      <c r="I988" s="986">
        <f t="shared" si="29"/>
        <v>1.1881000000000003E-2</v>
      </c>
      <c r="J988" s="988">
        <v>39508</v>
      </c>
    </row>
    <row r="989" spans="1:10" ht="13.8">
      <c r="A989" s="987">
        <v>3</v>
      </c>
      <c r="B989" s="988">
        <f t="shared" si="27"/>
        <v>39539</v>
      </c>
      <c r="C989" s="987" t="str">
        <f t="shared" si="28"/>
        <v>S&amp;P 500 Utility Index</v>
      </c>
      <c r="F989" s="992">
        <v>5.5163000000000004E-2</v>
      </c>
      <c r="H989" s="992">
        <v>5.241666666666667E-3</v>
      </c>
      <c r="I989" s="986">
        <f t="shared" si="29"/>
        <v>4.9921333333333338E-2</v>
      </c>
      <c r="J989" s="988">
        <v>39539</v>
      </c>
    </row>
    <row r="990" spans="1:10" ht="13.8">
      <c r="A990" s="987">
        <v>3</v>
      </c>
      <c r="B990" s="988">
        <f t="shared" si="27"/>
        <v>39569</v>
      </c>
      <c r="C990" s="987" t="str">
        <f t="shared" si="28"/>
        <v>S&amp;P 500 Utility Index</v>
      </c>
      <c r="F990" s="992">
        <v>3.1987000000000002E-2</v>
      </c>
      <c r="H990" s="992">
        <v>5.2249999999999996E-3</v>
      </c>
      <c r="I990" s="986">
        <f t="shared" si="29"/>
        <v>2.6762000000000001E-2</v>
      </c>
      <c r="J990" s="988">
        <v>39569</v>
      </c>
    </row>
    <row r="991" spans="1:10" ht="13.8">
      <c r="A991" s="987">
        <v>3</v>
      </c>
      <c r="B991" s="988">
        <f t="shared" si="27"/>
        <v>39600</v>
      </c>
      <c r="C991" s="987" t="str">
        <f t="shared" si="28"/>
        <v>S&amp;P 500 Utility Index</v>
      </c>
      <c r="F991" s="992">
        <v>-8.6680000000000004E-3</v>
      </c>
      <c r="H991" s="992">
        <v>5.3166666666666666E-3</v>
      </c>
      <c r="I991" s="986">
        <f t="shared" si="29"/>
        <v>-1.3984666666666666E-2</v>
      </c>
      <c r="J991" s="988">
        <v>39600</v>
      </c>
    </row>
    <row r="992" spans="1:10" ht="13.8">
      <c r="A992" s="987">
        <v>3</v>
      </c>
      <c r="B992" s="988">
        <f t="shared" si="27"/>
        <v>39630</v>
      </c>
      <c r="C992" s="987" t="str">
        <f t="shared" si="28"/>
        <v>S&amp;P 500 Utility Index</v>
      </c>
      <c r="F992" s="992">
        <v>-6.1108000000000003E-2</v>
      </c>
      <c r="H992" s="992">
        <v>5.3333333333333332E-3</v>
      </c>
      <c r="I992" s="986">
        <f t="shared" si="29"/>
        <v>-6.6441333333333338E-2</v>
      </c>
      <c r="J992" s="988">
        <v>39630</v>
      </c>
    </row>
    <row r="993" spans="1:10" ht="13.8">
      <c r="A993" s="987">
        <v>3</v>
      </c>
      <c r="B993" s="988">
        <f t="shared" si="27"/>
        <v>39661</v>
      </c>
      <c r="C993" s="987" t="str">
        <f t="shared" si="28"/>
        <v>S&amp;P 500 Utility Index</v>
      </c>
      <c r="F993" s="992">
        <v>-1.6601999999999999E-2</v>
      </c>
      <c r="H993" s="992">
        <v>5.3083333333333342E-3</v>
      </c>
      <c r="I993" s="986">
        <f t="shared" si="29"/>
        <v>-2.1910333333333334E-2</v>
      </c>
      <c r="J993" s="988">
        <v>39661</v>
      </c>
    </row>
    <row r="994" spans="1:10" ht="13.8">
      <c r="A994" s="987">
        <v>3</v>
      </c>
      <c r="B994" s="988">
        <f t="shared" si="27"/>
        <v>39692</v>
      </c>
      <c r="C994" s="987" t="str">
        <f t="shared" si="28"/>
        <v>S&amp;P 500 Utility Index</v>
      </c>
      <c r="F994" s="992">
        <v>-0.11482300000000001</v>
      </c>
      <c r="H994" s="992">
        <v>5.4083333333333336E-3</v>
      </c>
      <c r="I994" s="986">
        <f t="shared" si="29"/>
        <v>-0.12023133333333334</v>
      </c>
      <c r="J994" s="988">
        <v>39692</v>
      </c>
    </row>
    <row r="995" spans="1:10" ht="13.8">
      <c r="A995" s="987">
        <v>3</v>
      </c>
      <c r="B995" s="988">
        <f t="shared" si="27"/>
        <v>39722</v>
      </c>
      <c r="C995" s="987" t="str">
        <f t="shared" si="28"/>
        <v>S&amp;P 500 Utility Index</v>
      </c>
      <c r="F995" s="992">
        <v>-0.116128</v>
      </c>
      <c r="H995" s="992">
        <v>6.3E-3</v>
      </c>
      <c r="I995" s="986">
        <f t="shared" si="29"/>
        <v>-0.122428</v>
      </c>
      <c r="J995" s="988">
        <v>39722</v>
      </c>
    </row>
    <row r="996" spans="1:10" ht="13.8">
      <c r="A996" s="987">
        <v>3</v>
      </c>
      <c r="B996" s="988">
        <f t="shared" si="27"/>
        <v>39753</v>
      </c>
      <c r="C996" s="987" t="str">
        <f t="shared" si="28"/>
        <v>S&amp;P 500 Utility Index</v>
      </c>
      <c r="F996" s="992">
        <v>2.7894000000000002E-2</v>
      </c>
      <c r="H996" s="992">
        <v>6.3333333333333332E-3</v>
      </c>
      <c r="I996" s="986">
        <f t="shared" si="29"/>
        <v>2.1560666666666669E-2</v>
      </c>
      <c r="J996" s="988">
        <v>39753</v>
      </c>
    </row>
    <row r="997" spans="1:10" ht="13.8">
      <c r="A997" s="987">
        <v>3</v>
      </c>
      <c r="B997" s="988">
        <f t="shared" si="27"/>
        <v>39783</v>
      </c>
      <c r="C997" s="987" t="str">
        <f t="shared" si="28"/>
        <v>S&amp;P 500 Utility Index</v>
      </c>
      <c r="F997" s="992">
        <v>-1.6796999999999999E-2</v>
      </c>
      <c r="H997" s="992">
        <v>5.45E-3</v>
      </c>
      <c r="I997" s="986">
        <f t="shared" si="29"/>
        <v>-2.2246999999999999E-2</v>
      </c>
      <c r="J997" s="988">
        <v>39783</v>
      </c>
    </row>
    <row r="998" spans="1:10" ht="13.8">
      <c r="A998" s="987">
        <v>3</v>
      </c>
      <c r="B998" s="988">
        <f t="shared" si="27"/>
        <v>39814</v>
      </c>
      <c r="C998" s="987" t="str">
        <f t="shared" si="28"/>
        <v>S&amp;P 500 Utility Index</v>
      </c>
      <c r="F998" s="992">
        <v>-4.5409999999999999E-3</v>
      </c>
      <c r="H998" s="992">
        <v>5.3249999999999999E-3</v>
      </c>
      <c r="I998" s="986">
        <f t="shared" si="29"/>
        <v>-9.8659999999999998E-3</v>
      </c>
      <c r="J998" s="988">
        <v>39814</v>
      </c>
    </row>
    <row r="999" spans="1:10" ht="13.8">
      <c r="A999" s="987">
        <v>3</v>
      </c>
      <c r="B999" s="988">
        <f t="shared" si="27"/>
        <v>39845</v>
      </c>
      <c r="C999" s="987" t="str">
        <f t="shared" si="28"/>
        <v>S&amp;P 500 Utility Index</v>
      </c>
      <c r="F999" s="992">
        <v>-0.12570800000000001</v>
      </c>
      <c r="H999" s="992">
        <v>5.2500000000000003E-3</v>
      </c>
      <c r="I999" s="986">
        <f t="shared" si="29"/>
        <v>-0.13095800000000002</v>
      </c>
      <c r="J999" s="988">
        <v>39845</v>
      </c>
    </row>
    <row r="1000" spans="1:10" ht="13.8">
      <c r="A1000" s="987">
        <v>3</v>
      </c>
      <c r="B1000" s="988">
        <f t="shared" si="27"/>
        <v>39873</v>
      </c>
      <c r="C1000" s="987" t="str">
        <f t="shared" si="28"/>
        <v>S&amp;P 500 Utility Index</v>
      </c>
      <c r="F1000" s="992">
        <v>2.5255E-2</v>
      </c>
      <c r="H1000" s="992">
        <v>5.3500000000000006E-3</v>
      </c>
      <c r="I1000" s="986">
        <f t="shared" si="29"/>
        <v>1.9904999999999999E-2</v>
      </c>
      <c r="J1000" s="988">
        <v>39873</v>
      </c>
    </row>
    <row r="1001" spans="1:10" ht="13.8">
      <c r="A1001" s="987">
        <v>3</v>
      </c>
      <c r="B1001" s="988">
        <f t="shared" si="27"/>
        <v>39904</v>
      </c>
      <c r="C1001" s="987" t="str">
        <f t="shared" si="28"/>
        <v>S&amp;P 500 Utility Index</v>
      </c>
      <c r="F1001" s="992">
        <v>8.4620000000000008E-3</v>
      </c>
      <c r="H1001" s="992">
        <v>5.4000000000000003E-3</v>
      </c>
      <c r="I1001" s="986">
        <f t="shared" si="29"/>
        <v>3.0620000000000005E-3</v>
      </c>
      <c r="J1001" s="988">
        <v>39904</v>
      </c>
    </row>
    <row r="1002" spans="1:10" ht="13.8">
      <c r="A1002" s="987">
        <v>3</v>
      </c>
      <c r="B1002" s="988">
        <f t="shared" si="27"/>
        <v>39934</v>
      </c>
      <c r="C1002" s="987" t="str">
        <f t="shared" si="28"/>
        <v>S&amp;P 500 Utility Index</v>
      </c>
      <c r="F1002" s="992">
        <v>3.5286999999999999E-2</v>
      </c>
      <c r="H1002" s="992">
        <v>5.4083333333333336E-3</v>
      </c>
      <c r="I1002" s="986">
        <f t="shared" si="29"/>
        <v>2.9878666666666664E-2</v>
      </c>
      <c r="J1002" s="988">
        <v>39934</v>
      </c>
    </row>
    <row r="1003" spans="1:10" ht="13.8">
      <c r="A1003" s="987">
        <v>3</v>
      </c>
      <c r="B1003" s="988">
        <f t="shared" si="27"/>
        <v>39965</v>
      </c>
      <c r="C1003" s="987" t="str">
        <f t="shared" si="28"/>
        <v>S&amp;P 500 Utility Index</v>
      </c>
      <c r="F1003" s="992">
        <v>5.5202000000000001E-2</v>
      </c>
      <c r="H1003" s="992">
        <v>5.1666666666666675E-3</v>
      </c>
      <c r="I1003" s="986">
        <f t="shared" si="29"/>
        <v>5.0035333333333334E-2</v>
      </c>
      <c r="J1003" s="988">
        <v>39965</v>
      </c>
    </row>
    <row r="1004" spans="1:10" ht="13.8">
      <c r="A1004" s="987">
        <v>3</v>
      </c>
      <c r="B1004" s="988">
        <f t="shared" si="27"/>
        <v>39995</v>
      </c>
      <c r="C1004" s="987" t="str">
        <f t="shared" si="28"/>
        <v>S&amp;P 500 Utility Index</v>
      </c>
      <c r="F1004" s="992">
        <v>4.0755E-2</v>
      </c>
      <c r="H1004" s="992">
        <v>4.9750000000000003E-3</v>
      </c>
      <c r="I1004" s="986">
        <f t="shared" si="29"/>
        <v>3.5779999999999999E-2</v>
      </c>
      <c r="J1004" s="988">
        <v>39995</v>
      </c>
    </row>
    <row r="1005" spans="1:10" ht="13.8">
      <c r="A1005" s="987">
        <v>3</v>
      </c>
      <c r="B1005" s="988">
        <f t="shared" si="27"/>
        <v>40026</v>
      </c>
      <c r="C1005" s="987" t="str">
        <f t="shared" si="28"/>
        <v>S&amp;P 500 Utility Index</v>
      </c>
      <c r="F1005" s="992">
        <v>5.4599999999999996E-3</v>
      </c>
      <c r="H1005" s="992">
        <v>4.7583333333333332E-3</v>
      </c>
      <c r="I1005" s="986">
        <f t="shared" si="29"/>
        <v>7.0166666666666641E-4</v>
      </c>
      <c r="J1005" s="988">
        <v>40026</v>
      </c>
    </row>
    <row r="1006" spans="1:10" ht="13.8">
      <c r="A1006" s="987">
        <v>3</v>
      </c>
      <c r="B1006" s="988">
        <f t="shared" si="27"/>
        <v>40057</v>
      </c>
      <c r="C1006" s="987" t="str">
        <f t="shared" si="28"/>
        <v>S&amp;P 500 Utility Index</v>
      </c>
      <c r="F1006" s="992">
        <v>1.4283999999999998E-2</v>
      </c>
      <c r="H1006" s="992">
        <v>4.6083333333333341E-3</v>
      </c>
      <c r="I1006" s="986">
        <f t="shared" si="29"/>
        <v>9.675666666666664E-3</v>
      </c>
      <c r="J1006" s="988">
        <v>40057</v>
      </c>
    </row>
    <row r="1007" spans="1:10" ht="13.8">
      <c r="A1007" s="987">
        <v>3</v>
      </c>
      <c r="B1007" s="988">
        <f t="shared" si="27"/>
        <v>40087</v>
      </c>
      <c r="C1007" s="987" t="str">
        <f t="shared" si="28"/>
        <v>S&amp;P 500 Utility Index</v>
      </c>
      <c r="F1007" s="992">
        <v>-2.8427000000000001E-2</v>
      </c>
      <c r="H1007" s="992">
        <v>4.6249999999999998E-3</v>
      </c>
      <c r="I1007" s="986">
        <f t="shared" si="29"/>
        <v>-3.3051999999999998E-2</v>
      </c>
      <c r="J1007" s="988">
        <v>40087</v>
      </c>
    </row>
    <row r="1008" spans="1:10" ht="13.8">
      <c r="A1008" s="987">
        <v>3</v>
      </c>
      <c r="B1008" s="988">
        <f t="shared" si="27"/>
        <v>40118</v>
      </c>
      <c r="C1008" s="987" t="str">
        <f t="shared" si="28"/>
        <v>S&amp;P 500 Utility Index</v>
      </c>
      <c r="F1008" s="992">
        <v>4.5586000000000002E-2</v>
      </c>
      <c r="H1008" s="992">
        <v>4.6999999999999993E-3</v>
      </c>
      <c r="I1008" s="986">
        <f t="shared" si="29"/>
        <v>4.0886000000000006E-2</v>
      </c>
      <c r="J1008" s="988">
        <v>40118</v>
      </c>
    </row>
    <row r="1009" spans="1:10" ht="13.8">
      <c r="A1009" s="987">
        <v>3</v>
      </c>
      <c r="B1009" s="988">
        <f t="shared" si="27"/>
        <v>40148</v>
      </c>
      <c r="C1009" s="987" t="str">
        <f t="shared" si="28"/>
        <v>S&amp;P 500 Utility Index</v>
      </c>
      <c r="F1009" s="992">
        <v>5.5813000000000008E-2</v>
      </c>
      <c r="H1009" s="992">
        <v>4.8249999999999994E-3</v>
      </c>
      <c r="I1009" s="986">
        <f t="shared" si="29"/>
        <v>5.0988000000000006E-2</v>
      </c>
      <c r="J1009" s="988">
        <v>40148</v>
      </c>
    </row>
    <row r="1010" spans="1:10" ht="13.8">
      <c r="A1010" s="987">
        <v>3</v>
      </c>
      <c r="B1010" s="988">
        <f t="shared" si="27"/>
        <v>40179</v>
      </c>
      <c r="C1010" s="987" t="str">
        <f t="shared" si="28"/>
        <v>S&amp;P 500 Utility Index</v>
      </c>
      <c r="F1010" s="992">
        <v>-4.7493E-2</v>
      </c>
      <c r="H1010" s="992">
        <v>4.8083333333333329E-3</v>
      </c>
      <c r="I1010" s="986">
        <f t="shared" si="29"/>
        <v>-5.2301333333333332E-2</v>
      </c>
      <c r="J1010" s="988">
        <v>40179</v>
      </c>
    </row>
    <row r="1011" spans="1:10" ht="13.8">
      <c r="A1011" s="987">
        <v>3</v>
      </c>
      <c r="B1011" s="988">
        <f t="shared" si="27"/>
        <v>40210</v>
      </c>
      <c r="C1011" s="987" t="str">
        <f t="shared" si="28"/>
        <v>S&amp;P 500 Utility Index</v>
      </c>
      <c r="F1011" s="992">
        <v>-1.4896E-2</v>
      </c>
      <c r="H1011" s="992">
        <v>4.8916666666666666E-3</v>
      </c>
      <c r="I1011" s="986">
        <f t="shared" si="29"/>
        <v>-1.9787666666666665E-2</v>
      </c>
      <c r="J1011" s="988">
        <v>40210</v>
      </c>
    </row>
    <row r="1012" spans="1:10" ht="13.8">
      <c r="A1012" s="987">
        <v>3</v>
      </c>
      <c r="B1012" s="988">
        <f t="shared" si="27"/>
        <v>40238</v>
      </c>
      <c r="C1012" s="987" t="str">
        <f t="shared" si="28"/>
        <v>S&amp;P 500 Utility Index</v>
      </c>
      <c r="F1012" s="992">
        <v>2.7978000000000006E-2</v>
      </c>
      <c r="H1012" s="992">
        <v>4.8666666666666667E-3</v>
      </c>
      <c r="I1012" s="986">
        <f t="shared" si="29"/>
        <v>2.3111333333333338E-2</v>
      </c>
      <c r="J1012" s="988">
        <v>40238</v>
      </c>
    </row>
    <row r="1013" spans="1:10" ht="13.8">
      <c r="A1013" s="987">
        <v>3</v>
      </c>
      <c r="B1013" s="988">
        <f t="shared" si="27"/>
        <v>40269</v>
      </c>
      <c r="C1013" s="987" t="str">
        <f t="shared" si="28"/>
        <v>S&amp;P 500 Utility Index</v>
      </c>
      <c r="F1013" s="992">
        <v>2.8058E-2</v>
      </c>
      <c r="H1013" s="992">
        <v>4.841666666666666E-3</v>
      </c>
      <c r="I1013" s="986">
        <f t="shared" si="29"/>
        <v>2.3216333333333332E-2</v>
      </c>
      <c r="J1013" s="988">
        <v>40269</v>
      </c>
    </row>
    <row r="1014" spans="1:10" ht="13.8">
      <c r="A1014" s="987">
        <v>3</v>
      </c>
      <c r="B1014" s="988">
        <f t="shared" ref="B1014:B1077" si="30">DATE(YEAR(B1013),MONTH(B1013) + 1,1)</f>
        <v>40299</v>
      </c>
      <c r="C1014" s="987" t="str">
        <f t="shared" ref="C1014:C1077" si="31">C1013</f>
        <v>S&amp;P 500 Utility Index</v>
      </c>
      <c r="F1014" s="992">
        <v>-5.7599999999999998E-2</v>
      </c>
      <c r="H1014" s="992">
        <v>4.5833333333333334E-3</v>
      </c>
      <c r="I1014" s="986">
        <f t="shared" si="29"/>
        <v>-6.2183333333333334E-2</v>
      </c>
      <c r="J1014" s="988">
        <v>40299</v>
      </c>
    </row>
    <row r="1015" spans="1:10" ht="13.8">
      <c r="A1015" s="987">
        <v>3</v>
      </c>
      <c r="B1015" s="988">
        <f t="shared" si="30"/>
        <v>40330</v>
      </c>
      <c r="C1015" s="987" t="str">
        <f t="shared" si="31"/>
        <v>S&amp;P 500 Utility Index</v>
      </c>
      <c r="F1015" s="992">
        <v>-6.3599999999999993E-3</v>
      </c>
      <c r="H1015" s="992">
        <v>4.5500000000000002E-3</v>
      </c>
      <c r="I1015" s="986">
        <f t="shared" si="29"/>
        <v>-1.091E-2</v>
      </c>
      <c r="J1015" s="988">
        <v>40330</v>
      </c>
    </row>
    <row r="1016" spans="1:10" ht="13.8">
      <c r="A1016" s="987">
        <v>3</v>
      </c>
      <c r="B1016" s="988">
        <f t="shared" si="30"/>
        <v>40360</v>
      </c>
      <c r="C1016" s="987" t="str">
        <f t="shared" si="31"/>
        <v>S&amp;P 500 Utility Index</v>
      </c>
      <c r="F1016" s="992">
        <v>7.741300000000001E-2</v>
      </c>
      <c r="H1016" s="992">
        <v>4.3833333333333328E-3</v>
      </c>
      <c r="I1016" s="986">
        <f t="shared" si="29"/>
        <v>7.3029666666666673E-2</v>
      </c>
      <c r="J1016" s="988">
        <v>40360</v>
      </c>
    </row>
    <row r="1017" spans="1:10" ht="13.8">
      <c r="A1017" s="987">
        <v>3</v>
      </c>
      <c r="B1017" s="988">
        <f t="shared" si="30"/>
        <v>40391</v>
      </c>
      <c r="C1017" s="987" t="str">
        <f t="shared" si="31"/>
        <v>S&amp;P 500 Utility Index</v>
      </c>
      <c r="F1017" s="992">
        <v>1.2496E-2</v>
      </c>
      <c r="H1017" s="992">
        <v>4.1749999999999999E-3</v>
      </c>
      <c r="I1017" s="986">
        <f t="shared" si="29"/>
        <v>8.3210000000000003E-3</v>
      </c>
      <c r="J1017" s="988">
        <v>40391</v>
      </c>
    </row>
    <row r="1018" spans="1:10" ht="13.8">
      <c r="A1018" s="987">
        <v>3</v>
      </c>
      <c r="B1018" s="988">
        <f t="shared" si="30"/>
        <v>40422</v>
      </c>
      <c r="C1018" s="987" t="str">
        <f t="shared" si="31"/>
        <v>S&amp;P 500 Utility Index</v>
      </c>
      <c r="F1018" s="992">
        <v>2.9575000000000001E-2</v>
      </c>
      <c r="H1018" s="992">
        <v>4.1749999999999999E-3</v>
      </c>
      <c r="I1018" s="986">
        <f t="shared" si="29"/>
        <v>2.5399999999999999E-2</v>
      </c>
      <c r="J1018" s="988">
        <v>40422</v>
      </c>
    </row>
    <row r="1019" spans="1:10" ht="13.8">
      <c r="A1019" s="987">
        <v>3</v>
      </c>
      <c r="B1019" s="988">
        <f t="shared" si="30"/>
        <v>40452</v>
      </c>
      <c r="C1019" s="987" t="str">
        <f t="shared" si="31"/>
        <v>S&amp;P 500 Utility Index</v>
      </c>
      <c r="F1019" s="992">
        <v>1.2868999999999998E-2</v>
      </c>
      <c r="H1019" s="992">
        <v>4.2500000000000003E-3</v>
      </c>
      <c r="I1019" s="986">
        <f t="shared" si="29"/>
        <v>8.6189999999999982E-3</v>
      </c>
      <c r="J1019" s="988">
        <v>40452</v>
      </c>
    </row>
    <row r="1020" spans="1:10" ht="13.8">
      <c r="A1020" s="987">
        <v>3</v>
      </c>
      <c r="B1020" s="988">
        <f t="shared" si="30"/>
        <v>40483</v>
      </c>
      <c r="C1020" s="987" t="str">
        <f t="shared" si="31"/>
        <v>S&amp;P 500 Utility Index</v>
      </c>
      <c r="F1020" s="992">
        <v>-3.2323000000000005E-2</v>
      </c>
      <c r="H1020" s="992">
        <v>4.4749999999999998E-3</v>
      </c>
      <c r="I1020" s="986">
        <f t="shared" si="29"/>
        <v>-3.6798000000000004E-2</v>
      </c>
      <c r="J1020" s="988">
        <v>40483</v>
      </c>
    </row>
    <row r="1021" spans="1:10" ht="13.8">
      <c r="A1021" s="987">
        <v>3</v>
      </c>
      <c r="B1021" s="988">
        <f t="shared" si="30"/>
        <v>40513</v>
      </c>
      <c r="C1021" s="987" t="str">
        <f t="shared" si="31"/>
        <v>S&amp;P 500 Utility Index</v>
      </c>
      <c r="F1021" s="992">
        <v>3.1150999999999998E-2</v>
      </c>
      <c r="H1021" s="992">
        <v>4.6333333333333331E-3</v>
      </c>
      <c r="I1021" s="986">
        <f t="shared" si="29"/>
        <v>2.6517666666666665E-2</v>
      </c>
      <c r="J1021" s="988">
        <v>40513</v>
      </c>
    </row>
    <row r="1022" spans="1:10" ht="13.8">
      <c r="A1022" s="987">
        <v>3</v>
      </c>
      <c r="B1022" s="988">
        <f t="shared" si="30"/>
        <v>40544</v>
      </c>
      <c r="C1022" s="987" t="str">
        <f t="shared" si="31"/>
        <v>S&amp;P 500 Utility Index</v>
      </c>
      <c r="F1022" s="992">
        <v>1.4241E-2</v>
      </c>
      <c r="H1022" s="992">
        <v>4.6416666666666663E-3</v>
      </c>
      <c r="I1022" s="986">
        <f t="shared" si="29"/>
        <v>9.5993333333333347E-3</v>
      </c>
      <c r="J1022" s="988">
        <v>40544</v>
      </c>
    </row>
    <row r="1023" spans="1:10" ht="13.8">
      <c r="A1023" s="987">
        <v>3</v>
      </c>
      <c r="B1023" s="988">
        <f t="shared" si="30"/>
        <v>40575</v>
      </c>
      <c r="C1023" s="987" t="str">
        <f t="shared" si="31"/>
        <v>S&amp;P 500 Utility Index</v>
      </c>
      <c r="F1023" s="992">
        <v>1.1235E-2</v>
      </c>
      <c r="H1023" s="992">
        <v>4.7333333333333333E-3</v>
      </c>
      <c r="I1023" s="986">
        <f t="shared" si="29"/>
        <v>6.5016666666666669E-3</v>
      </c>
      <c r="J1023" s="988">
        <v>40575</v>
      </c>
    </row>
    <row r="1024" spans="1:10" ht="13.8">
      <c r="A1024" s="987">
        <v>3</v>
      </c>
      <c r="B1024" s="988">
        <f t="shared" si="30"/>
        <v>40603</v>
      </c>
      <c r="C1024" s="987" t="str">
        <f t="shared" si="31"/>
        <v>S&amp;P 500 Utility Index</v>
      </c>
      <c r="F1024" s="992">
        <v>1.474E-3</v>
      </c>
      <c r="H1024" s="992">
        <v>4.6333333333333331E-3</v>
      </c>
      <c r="I1024" s="986">
        <f t="shared" si="29"/>
        <v>-3.159333333333333E-3</v>
      </c>
      <c r="J1024" s="988">
        <v>40603</v>
      </c>
    </row>
    <row r="1025" spans="1:10" ht="13.8">
      <c r="A1025" s="987">
        <v>3</v>
      </c>
      <c r="B1025" s="988">
        <f t="shared" si="30"/>
        <v>40634</v>
      </c>
      <c r="C1025" s="987" t="str">
        <f t="shared" si="31"/>
        <v>S&amp;P 500 Utility Index</v>
      </c>
      <c r="F1025" s="992">
        <v>4.1877999999999999E-2</v>
      </c>
      <c r="H1025" s="992">
        <v>4.6249999999999998E-3</v>
      </c>
      <c r="I1025" s="986">
        <f t="shared" si="29"/>
        <v>3.7253000000000001E-2</v>
      </c>
      <c r="J1025" s="988">
        <v>40634</v>
      </c>
    </row>
    <row r="1026" spans="1:10" ht="13.8">
      <c r="A1026" s="987">
        <v>3</v>
      </c>
      <c r="B1026" s="988">
        <f t="shared" si="30"/>
        <v>40664</v>
      </c>
      <c r="C1026" s="987" t="str">
        <f t="shared" si="31"/>
        <v>S&amp;P 500 Utility Index</v>
      </c>
      <c r="F1026" s="992">
        <v>1.9754000000000001E-2</v>
      </c>
      <c r="H1026" s="992">
        <v>4.4333333333333334E-3</v>
      </c>
      <c r="I1026" s="986">
        <f t="shared" si="29"/>
        <v>1.5320666666666666E-2</v>
      </c>
      <c r="J1026" s="988">
        <v>40664</v>
      </c>
    </row>
    <row r="1027" spans="1:10" ht="13.8">
      <c r="B1027" s="988">
        <f t="shared" si="30"/>
        <v>40695</v>
      </c>
      <c r="C1027" s="987" t="str">
        <f t="shared" si="31"/>
        <v>S&amp;P 500 Utility Index</v>
      </c>
      <c r="F1027" s="992">
        <v>-1.2830000000000003E-3</v>
      </c>
      <c r="H1027" s="992">
        <v>4.3833333333333328E-3</v>
      </c>
      <c r="I1027" s="986">
        <f t="shared" si="29"/>
        <v>-5.6663333333333331E-3</v>
      </c>
      <c r="J1027" s="988">
        <v>40695</v>
      </c>
    </row>
    <row r="1028" spans="1:10" ht="13.8">
      <c r="B1028" s="988">
        <f t="shared" si="30"/>
        <v>40725</v>
      </c>
      <c r="C1028" s="987" t="str">
        <f t="shared" si="31"/>
        <v>S&amp;P 500 Utility Index</v>
      </c>
      <c r="F1028" s="992">
        <v>-7.5380000000000013E-3</v>
      </c>
      <c r="H1028" s="992">
        <v>4.3916666666666661E-3</v>
      </c>
      <c r="I1028" s="986">
        <f t="shared" si="29"/>
        <v>-1.1929666666666668E-2</v>
      </c>
      <c r="J1028" s="988">
        <v>40725</v>
      </c>
    </row>
    <row r="1029" spans="1:10" ht="13.8">
      <c r="B1029" s="988">
        <f t="shared" si="30"/>
        <v>40756</v>
      </c>
      <c r="C1029" s="987" t="str">
        <f t="shared" si="31"/>
        <v>S&amp;P 500 Utility Index</v>
      </c>
      <c r="F1029" s="992">
        <v>2.0388E-2</v>
      </c>
      <c r="H1029" s="992">
        <v>3.908333333333334E-3</v>
      </c>
      <c r="I1029" s="986">
        <f t="shared" si="29"/>
        <v>1.6479666666666667E-2</v>
      </c>
      <c r="J1029" s="988">
        <v>40756</v>
      </c>
    </row>
    <row r="1030" spans="1:10" ht="13.8">
      <c r="B1030" s="988">
        <f t="shared" si="30"/>
        <v>40787</v>
      </c>
      <c r="C1030" s="987" t="str">
        <f t="shared" si="31"/>
        <v>S&amp;P 500 Utility Index</v>
      </c>
      <c r="F1030" s="992">
        <v>2.271E-3</v>
      </c>
      <c r="H1030" s="992">
        <v>3.7333333333333333E-3</v>
      </c>
      <c r="I1030" s="986">
        <f t="shared" si="29"/>
        <v>-1.4623333333333333E-3</v>
      </c>
      <c r="J1030" s="988">
        <v>40787</v>
      </c>
    </row>
    <row r="1031" spans="1:10" ht="13.8">
      <c r="B1031" s="988">
        <f t="shared" si="30"/>
        <v>40817</v>
      </c>
      <c r="C1031" s="987" t="str">
        <f t="shared" si="31"/>
        <v>S&amp;P 500 Utility Index</v>
      </c>
      <c r="F1031" s="992">
        <v>3.8747000000000004E-2</v>
      </c>
      <c r="H1031" s="992">
        <v>3.7666666666666664E-3</v>
      </c>
      <c r="I1031" s="986">
        <f t="shared" si="29"/>
        <v>3.4980333333333335E-2</v>
      </c>
      <c r="J1031" s="988">
        <v>40817</v>
      </c>
    </row>
    <row r="1032" spans="1:10" ht="13.8">
      <c r="B1032" s="988">
        <f t="shared" si="30"/>
        <v>40848</v>
      </c>
      <c r="C1032" s="987" t="str">
        <f t="shared" si="31"/>
        <v>S&amp;P 500 Utility Index</v>
      </c>
      <c r="F1032" s="992">
        <v>8.0140000000000003E-3</v>
      </c>
      <c r="H1032" s="992">
        <v>3.5416666666666669E-3</v>
      </c>
      <c r="I1032" s="986">
        <f t="shared" si="29"/>
        <v>4.4723333333333334E-3</v>
      </c>
      <c r="J1032" s="988">
        <v>40848</v>
      </c>
    </row>
    <row r="1033" spans="1:10" ht="13.8">
      <c r="B1033" s="988">
        <f t="shared" si="30"/>
        <v>40878</v>
      </c>
      <c r="C1033" s="987" t="str">
        <f t="shared" si="31"/>
        <v>S&amp;P 500 Utility Index</v>
      </c>
      <c r="F1033" s="992">
        <v>3.3766999999999998E-2</v>
      </c>
      <c r="H1033" s="992">
        <v>3.6083333333333332E-3</v>
      </c>
      <c r="I1033" s="986">
        <f t="shared" si="29"/>
        <v>3.0158666666666667E-2</v>
      </c>
      <c r="J1033" s="988">
        <v>40878</v>
      </c>
    </row>
    <row r="1034" spans="1:10" ht="13.8">
      <c r="B1034" s="988">
        <f t="shared" si="30"/>
        <v>40909</v>
      </c>
      <c r="C1034" s="987" t="str">
        <f t="shared" si="31"/>
        <v>S&amp;P 500 Utility Index</v>
      </c>
      <c r="F1034" s="992">
        <v>-3.3237000000000003E-2</v>
      </c>
      <c r="H1034" s="992">
        <v>3.6166666666666665E-3</v>
      </c>
      <c r="I1034" s="986">
        <f t="shared" si="29"/>
        <v>-3.6853666666666667E-2</v>
      </c>
      <c r="J1034" s="988">
        <v>40909</v>
      </c>
    </row>
    <row r="1035" spans="1:10" ht="13.8">
      <c r="B1035" s="988">
        <f t="shared" si="30"/>
        <v>40940</v>
      </c>
      <c r="C1035" s="987" t="str">
        <f t="shared" si="31"/>
        <v>S&amp;P 500 Utility Index</v>
      </c>
      <c r="F1035" s="992">
        <v>3.4509999999999996E-3</v>
      </c>
      <c r="H1035" s="992">
        <v>3.6333333333333335E-3</v>
      </c>
      <c r="I1035" s="986">
        <f t="shared" si="29"/>
        <v>-1.8233333333333383E-4</v>
      </c>
      <c r="J1035" s="988">
        <v>40940</v>
      </c>
    </row>
    <row r="1036" spans="1:10" ht="13.8">
      <c r="B1036" s="988">
        <f t="shared" si="30"/>
        <v>40969</v>
      </c>
      <c r="C1036" s="987" t="str">
        <f t="shared" si="31"/>
        <v>S&amp;P 500 Utility Index</v>
      </c>
      <c r="F1036" s="992">
        <v>1.372E-2</v>
      </c>
      <c r="H1036" s="992">
        <v>3.7333333333333333E-3</v>
      </c>
      <c r="I1036" s="986">
        <f t="shared" si="29"/>
        <v>9.9866666666666663E-3</v>
      </c>
      <c r="J1036" s="988">
        <v>40969</v>
      </c>
    </row>
    <row r="1037" spans="1:10" ht="13.8">
      <c r="B1037" s="988">
        <f t="shared" si="30"/>
        <v>41000</v>
      </c>
      <c r="C1037" s="987" t="str">
        <f t="shared" si="31"/>
        <v>S&amp;P 500 Utility Index</v>
      </c>
      <c r="F1037" s="992">
        <v>2.1237000000000002E-2</v>
      </c>
      <c r="H1037" s="992">
        <v>3.6666666666666666E-3</v>
      </c>
      <c r="I1037" s="986">
        <f t="shared" si="29"/>
        <v>1.7570333333333337E-2</v>
      </c>
      <c r="J1037" s="988">
        <v>41000</v>
      </c>
    </row>
    <row r="1038" spans="1:10" ht="13.8">
      <c r="B1038" s="988">
        <f t="shared" si="30"/>
        <v>41030</v>
      </c>
      <c r="C1038" s="987" t="str">
        <f t="shared" si="31"/>
        <v>S&amp;P 500 Utility Index</v>
      </c>
      <c r="F1038" s="992">
        <v>2.1609999999999997E-3</v>
      </c>
      <c r="H1038" s="992">
        <v>3.5000000000000001E-3</v>
      </c>
      <c r="I1038" s="986">
        <f t="shared" si="29"/>
        <v>-1.3390000000000003E-3</v>
      </c>
      <c r="J1038" s="988">
        <v>41030</v>
      </c>
    </row>
    <row r="1039" spans="1:10" ht="13.8">
      <c r="B1039" s="988">
        <f t="shared" si="30"/>
        <v>41061</v>
      </c>
      <c r="C1039" s="987" t="str">
        <f t="shared" si="31"/>
        <v>S&amp;P 500 Utility Index</v>
      </c>
      <c r="F1039" s="992">
        <v>4.1003999999999999E-2</v>
      </c>
      <c r="H1039" s="992">
        <v>3.4000000000000002E-3</v>
      </c>
      <c r="I1039" s="986">
        <f t="shared" si="29"/>
        <v>3.7603999999999999E-2</v>
      </c>
      <c r="J1039" s="988">
        <v>41061</v>
      </c>
    </row>
    <row r="1040" spans="1:10" ht="13.8">
      <c r="B1040" s="988">
        <f t="shared" si="30"/>
        <v>41091</v>
      </c>
      <c r="C1040" s="987" t="str">
        <f t="shared" si="31"/>
        <v>S&amp;P 500 Utility Index</v>
      </c>
      <c r="F1040" s="992">
        <v>2.8439000000000002E-2</v>
      </c>
      <c r="H1040" s="992">
        <v>3.2750000000000001E-3</v>
      </c>
      <c r="I1040" s="986">
        <f t="shared" si="29"/>
        <v>2.5164000000000002E-2</v>
      </c>
      <c r="J1040" s="988">
        <v>41091</v>
      </c>
    </row>
    <row r="1041" spans="2:10" ht="13.8">
      <c r="B1041" s="988">
        <f t="shared" si="30"/>
        <v>41122</v>
      </c>
      <c r="C1041" s="987" t="str">
        <f t="shared" si="31"/>
        <v>S&amp;P 500 Utility Index</v>
      </c>
      <c r="F1041" s="992">
        <v>-4.4720999999999997E-2</v>
      </c>
      <c r="H1041" s="992">
        <v>3.3333333333333335E-3</v>
      </c>
      <c r="I1041" s="986">
        <f t="shared" si="29"/>
        <v>-4.8054333333333331E-2</v>
      </c>
      <c r="J1041" s="988">
        <v>41122</v>
      </c>
    </row>
    <row r="1042" spans="2:10" ht="13.8">
      <c r="B1042" s="988">
        <f t="shared" si="30"/>
        <v>41153</v>
      </c>
      <c r="C1042" s="987" t="str">
        <f t="shared" si="31"/>
        <v>S&amp;P 500 Utility Index</v>
      </c>
      <c r="F1042" s="992">
        <v>1.2281E-2</v>
      </c>
      <c r="H1042" s="992">
        <v>3.3500000000000001E-3</v>
      </c>
      <c r="I1042" s="986">
        <f t="shared" si="29"/>
        <v>8.9309999999999997E-3</v>
      </c>
      <c r="J1042" s="988">
        <v>41153</v>
      </c>
    </row>
    <row r="1043" spans="2:10" ht="13.8">
      <c r="B1043" s="988">
        <f t="shared" si="30"/>
        <v>41183</v>
      </c>
      <c r="C1043" s="987" t="str">
        <f t="shared" si="31"/>
        <v>S&amp;P 500 Utility Index</v>
      </c>
      <c r="F1043" s="992">
        <v>1.7240000000000002E-2</v>
      </c>
      <c r="H1043" s="992">
        <v>3.2583333333333336E-3</v>
      </c>
      <c r="I1043" s="986">
        <f t="shared" si="29"/>
        <v>1.3981666666666668E-2</v>
      </c>
      <c r="J1043" s="988">
        <v>41183</v>
      </c>
    </row>
    <row r="1044" spans="2:10" ht="13.8">
      <c r="B1044" s="988">
        <f t="shared" si="30"/>
        <v>41214</v>
      </c>
      <c r="C1044" s="987" t="str">
        <f t="shared" si="31"/>
        <v>S&amp;P 500 Utility Index</v>
      </c>
      <c r="F1044" s="992">
        <v>-4.6427999999999997E-2</v>
      </c>
      <c r="H1044" s="992">
        <v>3.1999999999999997E-3</v>
      </c>
      <c r="I1044" s="986">
        <f t="shared" si="29"/>
        <v>-4.9627999999999999E-2</v>
      </c>
      <c r="J1044" s="988">
        <v>41214</v>
      </c>
    </row>
    <row r="1045" spans="2:10" ht="13.8">
      <c r="B1045" s="988">
        <f t="shared" si="30"/>
        <v>41244</v>
      </c>
      <c r="C1045" s="987" t="str">
        <f t="shared" si="31"/>
        <v>S&amp;P 500 Utility Index</v>
      </c>
      <c r="F1045" s="992">
        <v>1.108E-3</v>
      </c>
      <c r="H1045" s="992">
        <v>3.3333333333333335E-3</v>
      </c>
      <c r="I1045" s="986">
        <f t="shared" si="29"/>
        <v>-2.2253333333333335E-3</v>
      </c>
      <c r="J1045" s="988">
        <v>41244</v>
      </c>
    </row>
    <row r="1046" spans="2:10" ht="13.8">
      <c r="B1046" s="988">
        <f t="shared" si="30"/>
        <v>41275</v>
      </c>
      <c r="C1046" s="987" t="str">
        <f t="shared" si="31"/>
        <v>S&amp;P 500 Utility Index</v>
      </c>
      <c r="F1046" s="992">
        <v>3.5099999999999999E-2</v>
      </c>
      <c r="H1046" s="992">
        <v>3.4583333333333337E-3</v>
      </c>
      <c r="I1046" s="986">
        <f t="shared" si="29"/>
        <v>3.1641666666666665E-2</v>
      </c>
      <c r="J1046" s="988">
        <v>41275</v>
      </c>
    </row>
    <row r="1047" spans="2:10" ht="13.8">
      <c r="B1047" s="988">
        <f t="shared" si="30"/>
        <v>41306</v>
      </c>
      <c r="C1047" s="987" t="str">
        <f t="shared" si="31"/>
        <v>S&amp;P 500 Utility Index</v>
      </c>
      <c r="F1047" s="992">
        <v>3.39E-2</v>
      </c>
      <c r="H1047" s="992">
        <v>3.4833333333333331E-3</v>
      </c>
      <c r="I1047" s="986">
        <f t="shared" si="29"/>
        <v>3.0416666666666668E-2</v>
      </c>
      <c r="J1047" s="988">
        <v>41306</v>
      </c>
    </row>
    <row r="1048" spans="2:10" ht="13.8">
      <c r="B1048" s="988">
        <f t="shared" si="30"/>
        <v>41334</v>
      </c>
      <c r="C1048" s="987" t="str">
        <f t="shared" si="31"/>
        <v>S&amp;P 500 Utility Index</v>
      </c>
      <c r="F1048" s="992">
        <v>5.3999999999999999E-2</v>
      </c>
      <c r="H1048" s="992">
        <v>3.4583333333333337E-3</v>
      </c>
      <c r="I1048" s="986">
        <f t="shared" si="29"/>
        <v>5.0541666666666665E-2</v>
      </c>
      <c r="J1048" s="988">
        <v>41334</v>
      </c>
    </row>
    <row r="1049" spans="2:10" ht="13.8">
      <c r="B1049" s="988">
        <f t="shared" si="30"/>
        <v>41365</v>
      </c>
      <c r="C1049" s="987" t="str">
        <f t="shared" si="31"/>
        <v>S&amp;P 500 Utility Index</v>
      </c>
      <c r="F1049" s="992">
        <v>5.8999999999999997E-2</v>
      </c>
      <c r="H1049" s="992">
        <v>3.3333333333333335E-3</v>
      </c>
      <c r="I1049" s="986">
        <f t="shared" si="29"/>
        <v>5.5666666666666663E-2</v>
      </c>
      <c r="J1049" s="988">
        <v>41365</v>
      </c>
    </row>
    <row r="1050" spans="2:10" ht="13.8">
      <c r="B1050" s="988">
        <f t="shared" si="30"/>
        <v>41395</v>
      </c>
      <c r="C1050" s="987" t="str">
        <f t="shared" si="31"/>
        <v>S&amp;P 500 Utility Index</v>
      </c>
      <c r="F1050" s="992">
        <v>-8.9599999999999999E-2</v>
      </c>
      <c r="H1050" s="992">
        <v>3.4750000000000002E-3</v>
      </c>
      <c r="I1050" s="986">
        <f t="shared" ref="I1050:I1113" si="32">F1050-H1050</f>
        <v>-9.3075000000000005E-2</v>
      </c>
      <c r="J1050" s="988">
        <v>41395</v>
      </c>
    </row>
    <row r="1051" spans="2:10" ht="13.8">
      <c r="B1051" s="988">
        <f t="shared" si="30"/>
        <v>41426</v>
      </c>
      <c r="C1051" s="987" t="str">
        <f t="shared" si="31"/>
        <v>S&amp;P 500 Utility Index</v>
      </c>
      <c r="F1051" s="992">
        <v>1.14E-2</v>
      </c>
      <c r="H1051" s="992">
        <v>3.7750000000000001E-3</v>
      </c>
      <c r="I1051" s="986">
        <f t="shared" si="32"/>
        <v>7.6249999999999998E-3</v>
      </c>
      <c r="J1051" s="988">
        <v>41426</v>
      </c>
    </row>
    <row r="1052" spans="2:10" ht="13.8">
      <c r="B1052" s="988">
        <f t="shared" si="30"/>
        <v>41456</v>
      </c>
      <c r="C1052" s="987" t="str">
        <f t="shared" si="31"/>
        <v>S&amp;P 500 Utility Index</v>
      </c>
      <c r="F1052" s="992">
        <v>3.85E-2</v>
      </c>
      <c r="H1052" s="992">
        <v>3.9000000000000003E-3</v>
      </c>
      <c r="I1052" s="986">
        <f t="shared" si="32"/>
        <v>3.4599999999999999E-2</v>
      </c>
      <c r="J1052" s="988">
        <v>41456</v>
      </c>
    </row>
    <row r="1053" spans="2:10" ht="13.8">
      <c r="B1053" s="988">
        <f t="shared" si="30"/>
        <v>41487</v>
      </c>
      <c r="C1053" s="987" t="str">
        <f t="shared" si="31"/>
        <v>S&amp;P 500 Utility Index</v>
      </c>
      <c r="F1053" s="992">
        <v>-0.05</v>
      </c>
      <c r="H1053" s="992">
        <v>3.9416666666666671E-3</v>
      </c>
      <c r="I1053" s="986">
        <f t="shared" si="32"/>
        <v>-5.3941666666666672E-2</v>
      </c>
      <c r="J1053" s="988">
        <v>41487</v>
      </c>
    </row>
    <row r="1054" spans="2:10" ht="13.8">
      <c r="B1054" s="988">
        <f t="shared" si="30"/>
        <v>41518</v>
      </c>
      <c r="C1054" s="987" t="str">
        <f t="shared" si="31"/>
        <v>S&amp;P 500 Utility Index</v>
      </c>
      <c r="F1054" s="992">
        <v>1.0800000000000001E-2</v>
      </c>
      <c r="H1054" s="992">
        <v>4.0000000000000001E-3</v>
      </c>
      <c r="I1054" s="986">
        <f t="shared" si="32"/>
        <v>6.8000000000000005E-3</v>
      </c>
      <c r="J1054" s="988">
        <v>41518</v>
      </c>
    </row>
    <row r="1055" spans="2:10" ht="13.8">
      <c r="B1055" s="988">
        <f t="shared" si="30"/>
        <v>41548</v>
      </c>
      <c r="C1055" s="987" t="str">
        <f t="shared" si="31"/>
        <v>S&amp;P 500 Utility Index</v>
      </c>
      <c r="F1055" s="992">
        <v>3.7699999999999997E-2</v>
      </c>
      <c r="H1055" s="992">
        <v>3.9166666666666664E-3</v>
      </c>
      <c r="I1055" s="986">
        <f t="shared" si="32"/>
        <v>3.3783333333333332E-2</v>
      </c>
      <c r="J1055" s="988">
        <v>41548</v>
      </c>
    </row>
    <row r="1056" spans="2:10" ht="13.8">
      <c r="B1056" s="988">
        <f t="shared" si="30"/>
        <v>41579</v>
      </c>
      <c r="C1056" s="987" t="str">
        <f t="shared" si="31"/>
        <v>S&amp;P 500 Utility Index</v>
      </c>
      <c r="F1056" s="992">
        <v>-1.9900000000000001E-2</v>
      </c>
      <c r="H1056" s="992">
        <v>3.9750000000000002E-3</v>
      </c>
      <c r="I1056" s="986">
        <f t="shared" si="32"/>
        <v>-2.3875E-2</v>
      </c>
      <c r="J1056" s="988">
        <v>41579</v>
      </c>
    </row>
    <row r="1057" spans="2:10" ht="13.8">
      <c r="B1057" s="988">
        <f t="shared" si="30"/>
        <v>41609</v>
      </c>
      <c r="C1057" s="987" t="str">
        <f t="shared" si="31"/>
        <v>S&amp;P 500 Utility Index</v>
      </c>
      <c r="F1057" s="992">
        <v>7.6E-3</v>
      </c>
      <c r="H1057" s="992">
        <v>4.0083333333333334E-3</v>
      </c>
      <c r="I1057" s="986">
        <f t="shared" si="32"/>
        <v>3.5916666666666666E-3</v>
      </c>
      <c r="J1057" s="988">
        <v>41609</v>
      </c>
    </row>
    <row r="1058" spans="2:10" ht="13.8">
      <c r="B1058" s="988">
        <f t="shared" si="30"/>
        <v>41640</v>
      </c>
      <c r="C1058" s="987" t="str">
        <f t="shared" si="31"/>
        <v>S&amp;P 500 Utility Index</v>
      </c>
      <c r="F1058" s="992">
        <v>2.81E-2</v>
      </c>
      <c r="H1058" s="992">
        <v>3.8583333333333334E-3</v>
      </c>
      <c r="I1058" s="986">
        <f t="shared" si="32"/>
        <v>2.4241666666666668E-2</v>
      </c>
      <c r="J1058" s="988">
        <v>41640</v>
      </c>
    </row>
    <row r="1059" spans="2:10" ht="13.8">
      <c r="B1059" s="988">
        <f t="shared" si="30"/>
        <v>41671</v>
      </c>
      <c r="C1059" s="987" t="str">
        <f t="shared" si="31"/>
        <v>S&amp;P 500 Utility Index</v>
      </c>
      <c r="F1059" s="992">
        <v>3.3500000000000002E-2</v>
      </c>
      <c r="H1059" s="992">
        <v>3.7750000000000001E-3</v>
      </c>
      <c r="I1059" s="986">
        <f t="shared" si="32"/>
        <v>2.9725000000000001E-2</v>
      </c>
      <c r="J1059" s="988">
        <v>41671</v>
      </c>
    </row>
    <row r="1060" spans="2:10" ht="13.8">
      <c r="B1060" s="988">
        <f t="shared" si="30"/>
        <v>41699</v>
      </c>
      <c r="C1060" s="987" t="str">
        <f t="shared" si="31"/>
        <v>S&amp;P 500 Utility Index</v>
      </c>
      <c r="F1060" s="992">
        <v>3.3700000000000001E-2</v>
      </c>
      <c r="H1060" s="992">
        <v>3.7583333333333336E-3</v>
      </c>
      <c r="I1060" s="986">
        <f t="shared" si="32"/>
        <v>2.9941666666666669E-2</v>
      </c>
      <c r="J1060" s="988">
        <v>41699</v>
      </c>
    </row>
    <row r="1061" spans="2:10" ht="13.8">
      <c r="B1061" s="988">
        <f t="shared" si="30"/>
        <v>41730</v>
      </c>
      <c r="C1061" s="987" t="str">
        <f t="shared" si="31"/>
        <v>S&amp;P 500 Utility Index</v>
      </c>
      <c r="F1061" s="992">
        <v>4.2599999999999999E-2</v>
      </c>
      <c r="H1061" s="992">
        <v>3.6749999999999999E-3</v>
      </c>
      <c r="I1061" s="986">
        <f t="shared" si="32"/>
        <v>3.8925000000000001E-2</v>
      </c>
      <c r="J1061" s="988">
        <v>41730</v>
      </c>
    </row>
    <row r="1062" spans="2:10" ht="13.8">
      <c r="B1062" s="988">
        <f t="shared" si="30"/>
        <v>41760</v>
      </c>
      <c r="C1062" s="987" t="str">
        <f t="shared" si="31"/>
        <v>S&amp;P 500 Utility Index</v>
      </c>
      <c r="F1062" s="992">
        <v>-1.0500000000000001E-2</v>
      </c>
      <c r="H1062" s="992">
        <v>3.5499999999999998E-3</v>
      </c>
      <c r="I1062" s="986">
        <f t="shared" si="32"/>
        <v>-1.405E-2</v>
      </c>
      <c r="J1062" s="988">
        <v>41760</v>
      </c>
    </row>
    <row r="1063" spans="2:10" ht="13.8">
      <c r="B1063" s="988">
        <f t="shared" si="30"/>
        <v>41791</v>
      </c>
      <c r="C1063" s="987" t="str">
        <f t="shared" si="31"/>
        <v>S&amp;P 500 Utility Index</v>
      </c>
      <c r="F1063" s="992">
        <v>4.48E-2</v>
      </c>
      <c r="H1063" s="992">
        <v>3.5750000000000001E-3</v>
      </c>
      <c r="I1063" s="986">
        <f t="shared" si="32"/>
        <v>4.1224999999999998E-2</v>
      </c>
      <c r="J1063" s="988">
        <v>41791</v>
      </c>
    </row>
    <row r="1064" spans="2:10" ht="13.8">
      <c r="B1064" s="988">
        <f t="shared" si="30"/>
        <v>41821</v>
      </c>
      <c r="C1064" s="987" t="str">
        <f t="shared" si="31"/>
        <v>S&amp;P 500 Utility Index</v>
      </c>
      <c r="F1064" s="992">
        <v>-6.8000000000000005E-2</v>
      </c>
      <c r="H1064" s="992">
        <v>3.5249999999999999E-3</v>
      </c>
      <c r="I1064" s="986">
        <f t="shared" si="32"/>
        <v>-7.1525000000000005E-2</v>
      </c>
      <c r="J1064" s="988">
        <v>41821</v>
      </c>
    </row>
    <row r="1065" spans="2:10" ht="13.8">
      <c r="B1065" s="988">
        <f t="shared" si="30"/>
        <v>41852</v>
      </c>
      <c r="C1065" s="987" t="str">
        <f t="shared" si="31"/>
        <v>S&amp;P 500 Utility Index</v>
      </c>
      <c r="F1065" s="992">
        <v>4.9500000000000002E-2</v>
      </c>
      <c r="H1065" s="992">
        <v>3.4416666666666671E-3</v>
      </c>
      <c r="I1065" s="986">
        <f t="shared" si="32"/>
        <v>4.6058333333333333E-2</v>
      </c>
      <c r="J1065" s="988">
        <v>41852</v>
      </c>
    </row>
    <row r="1066" spans="2:10" ht="13.8">
      <c r="B1066" s="988">
        <f t="shared" si="30"/>
        <v>41883</v>
      </c>
      <c r="C1066" s="987" t="str">
        <f t="shared" si="31"/>
        <v>S&amp;P 500 Utility Index</v>
      </c>
      <c r="F1066" s="992">
        <v>-1.8599999999999998E-2</v>
      </c>
      <c r="H1066" s="992">
        <v>3.5333333333333332E-3</v>
      </c>
      <c r="I1066" s="986">
        <f t="shared" si="32"/>
        <v>-2.2133333333333331E-2</v>
      </c>
      <c r="J1066" s="988">
        <v>41883</v>
      </c>
    </row>
    <row r="1067" spans="2:10" ht="13.8">
      <c r="B1067" s="988">
        <f t="shared" si="30"/>
        <v>41913</v>
      </c>
      <c r="C1067" s="987" t="str">
        <f t="shared" si="31"/>
        <v>S&amp;P 500 Utility Index</v>
      </c>
      <c r="F1067" s="992">
        <v>8.0199999999999994E-2</v>
      </c>
      <c r="H1067" s="992">
        <v>3.3833333333333332E-3</v>
      </c>
      <c r="I1067" s="986">
        <f t="shared" si="32"/>
        <v>7.6816666666666658E-2</v>
      </c>
      <c r="J1067" s="988">
        <v>41913</v>
      </c>
    </row>
    <row r="1068" spans="2:10" ht="13.8">
      <c r="B1068" s="988">
        <f t="shared" si="30"/>
        <v>41944</v>
      </c>
      <c r="C1068" s="987" t="str">
        <f t="shared" si="31"/>
        <v>S&amp;P 500 Utility Index</v>
      </c>
      <c r="F1068" s="992">
        <v>1.2E-2</v>
      </c>
      <c r="H1068" s="992">
        <v>3.4083333333333331E-3</v>
      </c>
      <c r="I1068" s="986">
        <f t="shared" si="32"/>
        <v>8.5916666666666676E-3</v>
      </c>
      <c r="J1068" s="988">
        <v>41944</v>
      </c>
    </row>
    <row r="1069" spans="2:10" ht="13.8">
      <c r="B1069" s="988">
        <f t="shared" si="30"/>
        <v>41974</v>
      </c>
      <c r="C1069" s="987" t="str">
        <f t="shared" si="31"/>
        <v>S&amp;P 500 Utility Index</v>
      </c>
      <c r="F1069" s="992">
        <v>3.5000000000000003E-2</v>
      </c>
      <c r="H1069" s="992">
        <v>3.2916666666666667E-3</v>
      </c>
      <c r="I1069" s="986">
        <f t="shared" si="32"/>
        <v>3.1708333333333338E-2</v>
      </c>
      <c r="J1069" s="988">
        <v>41974</v>
      </c>
    </row>
    <row r="1070" spans="2:10" ht="13.8">
      <c r="B1070" s="988">
        <f t="shared" si="30"/>
        <v>42005</v>
      </c>
      <c r="C1070" s="987" t="str">
        <f t="shared" si="31"/>
        <v>S&amp;P 500 Utility Index</v>
      </c>
      <c r="F1070" s="992">
        <v>2.3300000000000001E-2</v>
      </c>
      <c r="H1070" s="992">
        <v>2.9833333333333331E-3</v>
      </c>
      <c r="I1070" s="986">
        <f t="shared" si="32"/>
        <v>2.0316666666666667E-2</v>
      </c>
      <c r="J1070" s="988">
        <v>42005</v>
      </c>
    </row>
    <row r="1071" spans="2:10" ht="13.8">
      <c r="B1071" s="988">
        <f t="shared" si="30"/>
        <v>42036</v>
      </c>
      <c r="C1071" s="987" t="str">
        <f t="shared" si="31"/>
        <v>S&amp;P 500 Utility Index</v>
      </c>
      <c r="F1071" s="992">
        <v>-6.3299999999999995E-2</v>
      </c>
      <c r="H1071" s="992">
        <v>3.0583333333333335E-3</v>
      </c>
      <c r="I1071" s="986">
        <f t="shared" si="32"/>
        <v>-6.6358333333333325E-2</v>
      </c>
      <c r="J1071" s="988">
        <v>42036</v>
      </c>
    </row>
    <row r="1072" spans="2:10" ht="13.8">
      <c r="B1072" s="988">
        <f t="shared" si="30"/>
        <v>42064</v>
      </c>
      <c r="C1072" s="987" t="str">
        <f t="shared" si="31"/>
        <v>S&amp;P 500 Utility Index</v>
      </c>
      <c r="F1072" s="992">
        <v>-4.8999999999999998E-3</v>
      </c>
      <c r="H1072" s="992">
        <v>3.1166666666666669E-3</v>
      </c>
      <c r="I1072" s="986">
        <f t="shared" si="32"/>
        <v>-8.0166666666666667E-3</v>
      </c>
      <c r="J1072" s="988">
        <v>42064</v>
      </c>
    </row>
    <row r="1073" spans="2:10" ht="13.8">
      <c r="B1073" s="988">
        <f t="shared" si="30"/>
        <v>42095</v>
      </c>
      <c r="C1073" s="987" t="str">
        <f t="shared" si="31"/>
        <v>S&amp;P 500 Utility Index</v>
      </c>
      <c r="F1073" s="992">
        <v>-1.29E-2</v>
      </c>
      <c r="H1073" s="992">
        <v>3.1249999999999997E-3</v>
      </c>
      <c r="I1073" s="986">
        <f t="shared" si="32"/>
        <v>-1.6025000000000001E-2</v>
      </c>
      <c r="J1073" s="988">
        <v>42095</v>
      </c>
    </row>
    <row r="1074" spans="2:10" ht="13.8">
      <c r="B1074" s="988">
        <f t="shared" si="30"/>
        <v>42125</v>
      </c>
      <c r="C1074" s="987" t="str">
        <f t="shared" si="31"/>
        <v>S&amp;P 500 Utility Index</v>
      </c>
      <c r="F1074" s="992">
        <v>6.4999999999999997E-3</v>
      </c>
      <c r="H1074" s="992">
        <v>3.4750000000000002E-3</v>
      </c>
      <c r="I1074" s="986">
        <f t="shared" si="32"/>
        <v>3.0249999999999995E-3</v>
      </c>
      <c r="J1074" s="988">
        <v>42125</v>
      </c>
    </row>
    <row r="1075" spans="2:10" ht="13.8">
      <c r="B1075" s="988">
        <f t="shared" si="30"/>
        <v>42156</v>
      </c>
      <c r="C1075" s="987" t="str">
        <f t="shared" si="31"/>
        <v>S&amp;P 500 Utility Index</v>
      </c>
      <c r="F1075" s="992">
        <v>-0.06</v>
      </c>
      <c r="H1075" s="992">
        <v>3.6583333333333329E-3</v>
      </c>
      <c r="I1075" s="986">
        <f t="shared" si="32"/>
        <v>-6.3658333333333331E-2</v>
      </c>
      <c r="J1075" s="988">
        <v>42156</v>
      </c>
    </row>
    <row r="1076" spans="2:10" ht="13.8">
      <c r="B1076" s="988">
        <f t="shared" si="30"/>
        <v>42186</v>
      </c>
      <c r="C1076" s="987" t="str">
        <f t="shared" si="31"/>
        <v>S&amp;P 500 Utility Index</v>
      </c>
      <c r="F1076" s="992">
        <v>4.8099999999999997E-2</v>
      </c>
      <c r="H1076" s="992">
        <v>3.666666666666667E-3</v>
      </c>
      <c r="I1076" s="986">
        <f t="shared" si="32"/>
        <v>4.4433333333333332E-2</v>
      </c>
      <c r="J1076" s="988">
        <v>42186</v>
      </c>
    </row>
    <row r="1077" spans="2:10" ht="13.8">
      <c r="B1077" s="988">
        <f t="shared" si="30"/>
        <v>42217</v>
      </c>
      <c r="C1077" s="987" t="str">
        <f t="shared" si="31"/>
        <v>S&amp;P 500 Utility Index</v>
      </c>
      <c r="F1077" s="992">
        <v>-3.9699999999999999E-2</v>
      </c>
      <c r="H1077" s="992">
        <v>3.5416666666666669E-3</v>
      </c>
      <c r="I1077" s="986">
        <f t="shared" si="32"/>
        <v>-4.3241666666666664E-2</v>
      </c>
      <c r="J1077" s="988">
        <v>42217</v>
      </c>
    </row>
    <row r="1078" spans="2:10" ht="13.8">
      <c r="B1078" s="988">
        <f t="shared" ref="B1078:B1141" si="33">DATE(YEAR(B1077),MONTH(B1077) + 1,1)</f>
        <v>42248</v>
      </c>
      <c r="C1078" s="987" t="str">
        <f t="shared" ref="C1078:C1141" si="34">C1077</f>
        <v>S&amp;P 500 Utility Index</v>
      </c>
      <c r="F1078" s="992">
        <v>2.9000000000000001E-2</v>
      </c>
      <c r="H1078" s="992">
        <v>3.6583333333333329E-3</v>
      </c>
      <c r="I1078" s="986">
        <f t="shared" si="32"/>
        <v>2.5341666666666669E-2</v>
      </c>
      <c r="J1078" s="988">
        <v>42248</v>
      </c>
    </row>
    <row r="1079" spans="2:10" ht="13.8">
      <c r="B1079" s="988">
        <f t="shared" si="33"/>
        <v>42278</v>
      </c>
      <c r="C1079" s="987" t="str">
        <f t="shared" si="34"/>
        <v>S&amp;P 500 Utility Index</v>
      </c>
      <c r="F1079" s="992">
        <v>1.0800000000000001E-2</v>
      </c>
      <c r="H1079" s="992">
        <v>3.5750000000000001E-3</v>
      </c>
      <c r="I1079" s="986">
        <f t="shared" si="32"/>
        <v>7.2250000000000005E-3</v>
      </c>
      <c r="J1079" s="988">
        <v>42278</v>
      </c>
    </row>
    <row r="1080" spans="2:10" ht="13.8">
      <c r="B1080" s="988">
        <f t="shared" si="33"/>
        <v>42309</v>
      </c>
      <c r="C1080" s="987" t="str">
        <f t="shared" si="34"/>
        <v>S&amp;P 500 Utility Index</v>
      </c>
      <c r="F1080" s="992">
        <v>-2.1299999999999999E-2</v>
      </c>
      <c r="H1080" s="992">
        <v>3.666666666666667E-3</v>
      </c>
      <c r="I1080" s="986">
        <f t="shared" si="32"/>
        <v>-2.4966666666666665E-2</v>
      </c>
      <c r="J1080" s="988">
        <v>42309</v>
      </c>
    </row>
    <row r="1081" spans="2:10" ht="13.8">
      <c r="B1081" s="988">
        <f t="shared" si="33"/>
        <v>42339</v>
      </c>
      <c r="C1081" s="987" t="str">
        <f t="shared" si="34"/>
        <v>S&amp;P 500 Utility Index</v>
      </c>
      <c r="F1081" s="992">
        <v>2.1600000000000001E-2</v>
      </c>
      <c r="H1081" s="992">
        <v>3.6249999999999998E-3</v>
      </c>
      <c r="I1081" s="986">
        <f t="shared" si="32"/>
        <v>1.7975000000000001E-2</v>
      </c>
      <c r="J1081" s="988">
        <v>42339</v>
      </c>
    </row>
    <row r="1082" spans="2:10" ht="13.8">
      <c r="B1082" s="988">
        <f t="shared" si="33"/>
        <v>42370</v>
      </c>
      <c r="C1082" s="987" t="str">
        <f t="shared" si="34"/>
        <v>S&amp;P 500 Utility Index</v>
      </c>
      <c r="F1082" s="992">
        <v>4.9222952667868664E-2</v>
      </c>
      <c r="H1082" s="992">
        <v>3.5583333333333326E-3</v>
      </c>
      <c r="I1082" s="986">
        <f t="shared" si="32"/>
        <v>4.5664619334535334E-2</v>
      </c>
      <c r="J1082" s="988">
        <v>42370</v>
      </c>
    </row>
    <row r="1083" spans="2:10" ht="13.8">
      <c r="B1083" s="988">
        <f t="shared" si="33"/>
        <v>42401</v>
      </c>
      <c r="C1083" s="987" t="str">
        <f t="shared" si="34"/>
        <v>S&amp;P 500 Utility Index</v>
      </c>
      <c r="F1083" s="992">
        <v>1.94081804074543E-2</v>
      </c>
      <c r="H1083" s="992">
        <v>3.4250000000000001E-3</v>
      </c>
      <c r="I1083" s="986">
        <f t="shared" si="32"/>
        <v>1.5983180407454299E-2</v>
      </c>
      <c r="J1083" s="988">
        <v>42401</v>
      </c>
    </row>
    <row r="1084" spans="2:10" ht="13.8">
      <c r="B1084" s="988">
        <f t="shared" si="33"/>
        <v>42430</v>
      </c>
      <c r="C1084" s="987" t="str">
        <f t="shared" si="34"/>
        <v>S&amp;P 500 Utility Index</v>
      </c>
      <c r="F1084" s="992">
        <v>8.14E-2</v>
      </c>
      <c r="H1084" s="992">
        <v>3.4666666666666669E-3</v>
      </c>
      <c r="I1084" s="986">
        <f t="shared" si="32"/>
        <v>7.7933333333333327E-2</v>
      </c>
      <c r="J1084" s="988">
        <v>42430</v>
      </c>
    </row>
    <row r="1085" spans="2:10" ht="13.8">
      <c r="B1085" s="988">
        <f t="shared" si="33"/>
        <v>42461</v>
      </c>
      <c r="C1085" s="987" t="str">
        <f t="shared" si="34"/>
        <v>S&amp;P 500 Utility Index</v>
      </c>
      <c r="F1085" s="992">
        <v>-2.41E-2</v>
      </c>
      <c r="H1085" s="992">
        <v>3.4666666666666669E-3</v>
      </c>
      <c r="I1085" s="986">
        <f t="shared" si="32"/>
        <v>-2.7566666666666666E-2</v>
      </c>
      <c r="J1085" s="988">
        <v>42461</v>
      </c>
    </row>
    <row r="1086" spans="2:10" ht="13.8">
      <c r="B1086" s="988">
        <f t="shared" si="33"/>
        <v>42491</v>
      </c>
      <c r="C1086" s="987" t="str">
        <f t="shared" si="34"/>
        <v>S&amp;P 500 Utility Index</v>
      </c>
      <c r="F1086" s="992">
        <v>1.5100000000000001E-2</v>
      </c>
      <c r="H1086" s="992">
        <v>3.2750000000000001E-3</v>
      </c>
      <c r="I1086" s="986">
        <f t="shared" si="32"/>
        <v>1.1825E-2</v>
      </c>
      <c r="J1086" s="988">
        <v>42491</v>
      </c>
    </row>
    <row r="1087" spans="2:10" ht="13.8">
      <c r="B1087" s="988">
        <f t="shared" si="33"/>
        <v>42522</v>
      </c>
      <c r="C1087" s="987" t="str">
        <f t="shared" si="34"/>
        <v>S&amp;P 500 Utility Index</v>
      </c>
      <c r="F1087" s="992">
        <v>7.7899999999999997E-2</v>
      </c>
      <c r="H1087" s="992">
        <v>3.15E-3</v>
      </c>
      <c r="I1087" s="986">
        <f t="shared" si="32"/>
        <v>7.4749999999999997E-2</v>
      </c>
      <c r="J1087" s="988">
        <v>42522</v>
      </c>
    </row>
    <row r="1088" spans="2:10" ht="13.8">
      <c r="B1088" s="988">
        <f t="shared" si="33"/>
        <v>42552</v>
      </c>
      <c r="C1088" s="987" t="str">
        <f t="shared" si="34"/>
        <v>S&amp;P 500 Utility Index</v>
      </c>
      <c r="F1088" s="992">
        <v>-8.0000000000000002E-3</v>
      </c>
      <c r="H1088" s="992">
        <v>2.9749999999999998E-3</v>
      </c>
      <c r="I1088" s="986">
        <f t="shared" si="32"/>
        <v>-1.0975E-2</v>
      </c>
      <c r="J1088" s="988">
        <v>42552</v>
      </c>
    </row>
    <row r="1089" spans="2:10" ht="13.8">
      <c r="B1089" s="988">
        <f t="shared" si="33"/>
        <v>42583</v>
      </c>
      <c r="C1089" s="987" t="str">
        <f t="shared" si="34"/>
        <v>S&amp;P 500 Utility Index</v>
      </c>
      <c r="F1089" s="992">
        <v>-5.5100000000000003E-2</v>
      </c>
      <c r="H1089" s="992">
        <v>2.9916666666666663E-3</v>
      </c>
      <c r="I1089" s="986">
        <f t="shared" si="32"/>
        <v>-5.8091666666666666E-2</v>
      </c>
      <c r="J1089" s="988">
        <f t="shared" ref="J1089:J1152" si="35">B1089</f>
        <v>42583</v>
      </c>
    </row>
    <row r="1090" spans="2:10" ht="13.8">
      <c r="B1090" s="988">
        <f t="shared" si="33"/>
        <v>42614</v>
      </c>
      <c r="C1090" s="987" t="str">
        <f t="shared" si="34"/>
        <v>S&amp;P 500 Utility Index</v>
      </c>
      <c r="F1090" s="992">
        <v>4.0000000000000001E-3</v>
      </c>
      <c r="H1090" s="992">
        <v>3.0499999999999998E-3</v>
      </c>
      <c r="I1090" s="986">
        <f t="shared" si="32"/>
        <v>9.5000000000000032E-4</v>
      </c>
      <c r="J1090" s="988">
        <f t="shared" si="35"/>
        <v>42614</v>
      </c>
    </row>
    <row r="1091" spans="2:10" ht="13.8">
      <c r="B1091" s="988">
        <f t="shared" si="33"/>
        <v>42644</v>
      </c>
      <c r="C1091" s="987" t="str">
        <f t="shared" si="34"/>
        <v>S&amp;P 500 Utility Index</v>
      </c>
      <c r="F1091" s="992">
        <v>8.6E-3</v>
      </c>
      <c r="H1091" s="992">
        <v>3.0499999999999998E-3</v>
      </c>
      <c r="I1091" s="986">
        <f t="shared" si="32"/>
        <v>5.5500000000000002E-3</v>
      </c>
      <c r="J1091" s="988">
        <f t="shared" si="35"/>
        <v>42644</v>
      </c>
    </row>
    <row r="1092" spans="2:10" ht="13.8">
      <c r="B1092" s="988">
        <f t="shared" si="33"/>
        <v>42675</v>
      </c>
      <c r="C1092" s="987" t="str">
        <f t="shared" si="34"/>
        <v>S&amp;P 500 Utility Index</v>
      </c>
      <c r="F1092" s="992">
        <v>-5.3900000000000003E-2</v>
      </c>
      <c r="H1092" s="992">
        <v>3.4000000000000002E-3</v>
      </c>
      <c r="I1092" s="986">
        <f t="shared" si="32"/>
        <v>-5.7300000000000004E-2</v>
      </c>
      <c r="J1092" s="988">
        <f t="shared" si="35"/>
        <v>42675</v>
      </c>
    </row>
    <row r="1093" spans="2:10" ht="13.8">
      <c r="B1093" s="988">
        <f t="shared" si="33"/>
        <v>42705</v>
      </c>
      <c r="C1093" s="987" t="str">
        <f t="shared" si="34"/>
        <v>S&amp;P 500 Utility Index</v>
      </c>
      <c r="F1093" s="992">
        <v>4.9399999999999999E-2</v>
      </c>
      <c r="H1093" s="992">
        <v>3.5583333333333326E-3</v>
      </c>
      <c r="I1093" s="986">
        <f t="shared" si="32"/>
        <v>4.5841666666666669E-2</v>
      </c>
      <c r="J1093" s="988">
        <f t="shared" si="35"/>
        <v>42705</v>
      </c>
    </row>
    <row r="1094" spans="2:10" ht="13.8">
      <c r="B1094" s="988">
        <f t="shared" si="33"/>
        <v>42736</v>
      </c>
      <c r="C1094" s="987" t="str">
        <f t="shared" si="34"/>
        <v>S&amp;P 500 Utility Index</v>
      </c>
      <c r="F1094" s="992">
        <v>1.26E-2</v>
      </c>
      <c r="H1094" s="992">
        <v>3.4499999999999999E-3</v>
      </c>
      <c r="I1094" s="986">
        <f t="shared" si="32"/>
        <v>9.1500000000000001E-3</v>
      </c>
      <c r="J1094" s="988">
        <f t="shared" si="35"/>
        <v>42736</v>
      </c>
    </row>
    <row r="1095" spans="2:10" ht="13.8">
      <c r="B1095" s="988">
        <f t="shared" si="33"/>
        <v>42767</v>
      </c>
      <c r="C1095" s="987" t="str">
        <f t="shared" si="34"/>
        <v>S&amp;P 500 Utility Index</v>
      </c>
      <c r="F1095" s="992">
        <v>5.2600000000000001E-2</v>
      </c>
      <c r="H1095" s="992">
        <v>3.4250000000000001E-3</v>
      </c>
      <c r="I1095" s="986">
        <f t="shared" si="32"/>
        <v>4.9175000000000003E-2</v>
      </c>
      <c r="J1095" s="988">
        <f t="shared" si="35"/>
        <v>42767</v>
      </c>
    </row>
    <row r="1096" spans="2:10" ht="13.8">
      <c r="B1096" s="988">
        <f t="shared" si="33"/>
        <v>42795</v>
      </c>
      <c r="C1096" s="987" t="str">
        <f t="shared" si="34"/>
        <v>S&amp;P 500 Utility Index</v>
      </c>
      <c r="F1096" s="992">
        <v>2.98E-2</v>
      </c>
      <c r="H1096" s="992">
        <v>3.4833333333333331E-3</v>
      </c>
      <c r="I1096" s="986">
        <f t="shared" si="32"/>
        <v>2.6316666666666669E-2</v>
      </c>
      <c r="J1096" s="988">
        <f t="shared" si="35"/>
        <v>42795</v>
      </c>
    </row>
    <row r="1097" spans="2:10" ht="13.8">
      <c r="B1097" s="988">
        <f t="shared" si="33"/>
        <v>42826</v>
      </c>
      <c r="C1097" s="987" t="str">
        <f t="shared" si="34"/>
        <v>S&amp;P 500 Utility Index</v>
      </c>
      <c r="F1097" s="992">
        <v>7.7999999999999996E-3</v>
      </c>
      <c r="H1097" s="992">
        <v>3.4333333333333334E-3</v>
      </c>
      <c r="I1097" s="986">
        <f t="shared" si="32"/>
        <v>4.3666666666666663E-3</v>
      </c>
      <c r="J1097" s="988">
        <f t="shared" si="35"/>
        <v>42826</v>
      </c>
    </row>
    <row r="1098" spans="2:10" ht="13.8">
      <c r="B1098" s="988">
        <f t="shared" si="33"/>
        <v>42856</v>
      </c>
      <c r="C1098" s="987" t="str">
        <f t="shared" si="34"/>
        <v>S&amp;P 500 Utility Index</v>
      </c>
      <c r="F1098" s="992">
        <v>4.2200000000000001E-2</v>
      </c>
      <c r="H1098" s="992">
        <v>3.4416666666666667E-3</v>
      </c>
      <c r="I1098" s="986">
        <f t="shared" si="32"/>
        <v>3.8758333333333332E-2</v>
      </c>
      <c r="J1098" s="988">
        <f t="shared" si="35"/>
        <v>42856</v>
      </c>
    </row>
    <row r="1099" spans="2:10" ht="13.8">
      <c r="B1099" s="988">
        <f t="shared" si="33"/>
        <v>42887</v>
      </c>
      <c r="C1099" s="987" t="str">
        <f t="shared" si="34"/>
        <v>S&amp;P 500 Utility Index</v>
      </c>
      <c r="F1099" s="992">
        <v>-2.7E-2</v>
      </c>
      <c r="H1099" s="992">
        <v>3.283333333333333E-3</v>
      </c>
      <c r="I1099" s="986">
        <f t="shared" si="32"/>
        <v>-3.0283333333333332E-2</v>
      </c>
      <c r="J1099" s="988">
        <f t="shared" si="35"/>
        <v>42887</v>
      </c>
    </row>
    <row r="1100" spans="2:10" ht="13.8">
      <c r="B1100" s="988">
        <f t="shared" si="33"/>
        <v>42917</v>
      </c>
      <c r="C1100" s="987" t="str">
        <f t="shared" si="34"/>
        <v>S&amp;P 500 Utility Index</v>
      </c>
      <c r="F1100" s="992">
        <v>2.4400000000000002E-2</v>
      </c>
      <c r="H1100" s="992">
        <v>3.3749999999999995E-3</v>
      </c>
      <c r="I1100" s="986">
        <f t="shared" si="32"/>
        <v>2.1025000000000002E-2</v>
      </c>
      <c r="J1100" s="988">
        <f t="shared" si="35"/>
        <v>42917</v>
      </c>
    </row>
    <row r="1101" spans="2:10" ht="13.8">
      <c r="B1101" s="988">
        <f t="shared" si="33"/>
        <v>42948</v>
      </c>
      <c r="C1101" s="987" t="str">
        <f t="shared" si="34"/>
        <v>S&amp;P 500 Utility Index</v>
      </c>
      <c r="F1101" s="992">
        <v>3.2399999999999998E-2</v>
      </c>
      <c r="H1101" s="992">
        <v>3.3250000000000003E-3</v>
      </c>
      <c r="I1101" s="986">
        <f t="shared" si="32"/>
        <v>2.9074999999999997E-2</v>
      </c>
      <c r="J1101" s="988">
        <f t="shared" si="35"/>
        <v>42948</v>
      </c>
    </row>
    <row r="1102" spans="2:10" ht="13.8">
      <c r="B1102" s="988">
        <f t="shared" si="33"/>
        <v>42979</v>
      </c>
      <c r="C1102" s="987" t="str">
        <f t="shared" si="34"/>
        <v>S&amp;P 500 Utility Index</v>
      </c>
      <c r="F1102" s="992">
        <v>-2.7300000000000001E-2</v>
      </c>
      <c r="H1102" s="992">
        <v>3.2166666666666667E-3</v>
      </c>
      <c r="I1102" s="986">
        <f t="shared" si="32"/>
        <v>-3.0516666666666668E-2</v>
      </c>
      <c r="J1102" s="988">
        <f t="shared" si="35"/>
        <v>42979</v>
      </c>
    </row>
    <row r="1103" spans="2:10" ht="13.8">
      <c r="B1103" s="988">
        <f t="shared" si="33"/>
        <v>43009</v>
      </c>
      <c r="C1103" s="987" t="str">
        <f t="shared" si="34"/>
        <v>S&amp;P 500 Utility Index</v>
      </c>
      <c r="F1103" s="992">
        <v>3.9E-2</v>
      </c>
      <c r="H1103" s="992">
        <v>3.2583333333333336E-3</v>
      </c>
      <c r="I1103" s="986">
        <f t="shared" si="32"/>
        <v>3.5741666666666665E-2</v>
      </c>
      <c r="J1103" s="988">
        <f t="shared" si="35"/>
        <v>43009</v>
      </c>
    </row>
    <row r="1104" spans="2:10" ht="13.8">
      <c r="B1104" s="988">
        <f t="shared" si="33"/>
        <v>43040</v>
      </c>
      <c r="C1104" s="987" t="str">
        <f t="shared" si="34"/>
        <v>S&amp;P 500 Utility Index</v>
      </c>
      <c r="F1104" s="992">
        <v>2.75E-2</v>
      </c>
      <c r="H1104" s="992">
        <v>3.2583333333333336E-3</v>
      </c>
      <c r="I1104" s="986">
        <f t="shared" si="32"/>
        <v>2.4241666666666668E-2</v>
      </c>
      <c r="J1104" s="988">
        <f t="shared" si="35"/>
        <v>43040</v>
      </c>
    </row>
    <row r="1105" spans="2:10" ht="13.8">
      <c r="B1105" s="988">
        <f t="shared" si="33"/>
        <v>43070</v>
      </c>
      <c r="C1105" s="987" t="str">
        <f t="shared" si="34"/>
        <v>S&amp;P 500 Utility Index</v>
      </c>
      <c r="F1105" s="992">
        <v>-6.13E-2</v>
      </c>
      <c r="H1105" s="992">
        <v>3.1583333333333337E-3</v>
      </c>
      <c r="I1105" s="986">
        <f t="shared" si="32"/>
        <v>-6.445833333333334E-2</v>
      </c>
      <c r="J1105" s="988">
        <f t="shared" si="35"/>
        <v>43070</v>
      </c>
    </row>
    <row r="1106" spans="2:10" ht="13.8">
      <c r="B1106" s="988">
        <f t="shared" si="33"/>
        <v>43101</v>
      </c>
      <c r="C1106" s="987" t="str">
        <f t="shared" si="34"/>
        <v>S&amp;P 500 Utility Index</v>
      </c>
      <c r="F1106" s="992">
        <v>-3.0700000000000002E-2</v>
      </c>
      <c r="H1106" s="992">
        <v>3.1583333333333337E-3</v>
      </c>
      <c r="I1106" s="986">
        <f t="shared" si="32"/>
        <v>-3.3858333333333338E-2</v>
      </c>
      <c r="J1106" s="988">
        <f t="shared" si="35"/>
        <v>43101</v>
      </c>
    </row>
    <row r="1107" spans="2:10" ht="13.8">
      <c r="B1107" s="988">
        <f t="shared" si="33"/>
        <v>43132</v>
      </c>
      <c r="C1107" s="987" t="str">
        <f t="shared" si="34"/>
        <v>S&amp;P 500 Utility Index</v>
      </c>
      <c r="F1107" s="992">
        <v>-3.8399999999999997E-2</v>
      </c>
      <c r="H1107" s="992">
        <v>3.2166666666666667E-3</v>
      </c>
      <c r="I1107" s="986">
        <f t="shared" si="32"/>
        <v>-4.1616666666666663E-2</v>
      </c>
      <c r="J1107" s="988">
        <f t="shared" si="35"/>
        <v>43132</v>
      </c>
    </row>
    <row r="1108" spans="2:10" ht="13.8">
      <c r="B1108" s="988">
        <f t="shared" si="33"/>
        <v>43160</v>
      </c>
      <c r="C1108" s="987" t="str">
        <f t="shared" si="34"/>
        <v>S&amp;P 500 Utility Index</v>
      </c>
      <c r="F1108" s="992">
        <v>3.7699999999999997E-2</v>
      </c>
      <c r="H1108" s="992">
        <v>3.4416666666666667E-3</v>
      </c>
      <c r="I1108" s="986">
        <f t="shared" si="32"/>
        <v>3.4258333333333328E-2</v>
      </c>
      <c r="J1108" s="988">
        <f t="shared" si="35"/>
        <v>43160</v>
      </c>
    </row>
    <row r="1109" spans="2:10" ht="13.8">
      <c r="B1109" s="988">
        <f t="shared" si="33"/>
        <v>43191</v>
      </c>
      <c r="C1109" s="987" t="str">
        <f t="shared" si="34"/>
        <v>S&amp;P 500 Utility Index</v>
      </c>
      <c r="F1109" s="992">
        <v>2.1000000000000001E-2</v>
      </c>
      <c r="H1109" s="992">
        <v>3.4749999999999998E-3</v>
      </c>
      <c r="I1109" s="986">
        <f t="shared" si="32"/>
        <v>1.7525000000000002E-2</v>
      </c>
      <c r="J1109" s="988">
        <f t="shared" si="35"/>
        <v>43191</v>
      </c>
    </row>
    <row r="1110" spans="2:10" ht="13.8">
      <c r="B1110" s="988">
        <f t="shared" si="33"/>
        <v>43221</v>
      </c>
      <c r="C1110" s="987" t="str">
        <f t="shared" si="34"/>
        <v>S&amp;P 500 Utility Index</v>
      </c>
      <c r="F1110" s="992">
        <v>-1.14E-2</v>
      </c>
      <c r="H1110" s="992">
        <v>3.5666666666666668E-3</v>
      </c>
      <c r="I1110" s="986">
        <f t="shared" si="32"/>
        <v>-1.4966666666666666E-2</v>
      </c>
      <c r="J1110" s="988">
        <f t="shared" si="35"/>
        <v>43221</v>
      </c>
    </row>
    <row r="1111" spans="2:10" ht="13.8">
      <c r="B1111" s="988">
        <f t="shared" si="33"/>
        <v>43252</v>
      </c>
      <c r="C1111" s="987" t="str">
        <f t="shared" si="34"/>
        <v>S&amp;P 500 Utility Index</v>
      </c>
      <c r="F1111" s="992">
        <v>2.7300000000000001E-2</v>
      </c>
      <c r="H1111" s="992">
        <v>3.5583333333333326E-3</v>
      </c>
      <c r="I1111" s="986">
        <f t="shared" si="32"/>
        <v>2.3741666666666668E-2</v>
      </c>
      <c r="J1111" s="988">
        <f t="shared" si="35"/>
        <v>43252</v>
      </c>
    </row>
    <row r="1112" spans="2:10" ht="13.8">
      <c r="B1112" s="988">
        <f t="shared" si="33"/>
        <v>43282</v>
      </c>
      <c r="C1112" s="987" t="str">
        <f t="shared" si="34"/>
        <v>S&amp;P 500 Utility Index</v>
      </c>
      <c r="F1112" s="992">
        <v>1.8599999999999998E-2</v>
      </c>
      <c r="H1112" s="992">
        <v>3.5583333333333326E-3</v>
      </c>
      <c r="I1112" s="986">
        <f t="shared" si="32"/>
        <v>1.5041666666666665E-2</v>
      </c>
      <c r="J1112" s="988">
        <f t="shared" si="35"/>
        <v>43282</v>
      </c>
    </row>
    <row r="1113" spans="2:10" ht="13.8">
      <c r="B1113" s="988">
        <f t="shared" si="33"/>
        <v>43313</v>
      </c>
      <c r="C1113" s="987" t="str">
        <f t="shared" si="34"/>
        <v>S&amp;P 500 Utility Index</v>
      </c>
      <c r="F1113" s="992">
        <v>1.1299999999999999E-2</v>
      </c>
      <c r="H1113" s="992">
        <v>3.5499999999999998E-3</v>
      </c>
      <c r="I1113" s="986">
        <f t="shared" si="32"/>
        <v>7.7499999999999999E-3</v>
      </c>
      <c r="J1113" s="988">
        <f t="shared" si="35"/>
        <v>43313</v>
      </c>
    </row>
    <row r="1114" spans="2:10" ht="13.8">
      <c r="B1114" s="988">
        <f t="shared" si="33"/>
        <v>43344</v>
      </c>
      <c r="C1114" s="987" t="str">
        <f t="shared" si="34"/>
        <v>S&amp;P 500 Utility Index</v>
      </c>
      <c r="F1114" s="992">
        <v>-6.0000000000000001E-3</v>
      </c>
      <c r="H1114" s="992">
        <v>3.5499999999999998E-3</v>
      </c>
      <c r="I1114" s="986">
        <f t="shared" ref="I1114:I1165" si="36">F1114-H1114</f>
        <v>-9.5499999999999995E-3</v>
      </c>
      <c r="J1114" s="988">
        <f t="shared" si="35"/>
        <v>43344</v>
      </c>
    </row>
    <row r="1115" spans="2:10" ht="13.8">
      <c r="B1115" s="988">
        <f t="shared" si="33"/>
        <v>43374</v>
      </c>
      <c r="C1115" s="987" t="str">
        <f t="shared" si="34"/>
        <v>S&amp;P 500 Utility Index</v>
      </c>
      <c r="F1115" s="992">
        <v>1.95E-2</v>
      </c>
      <c r="H1115" s="992">
        <v>3.7083333333333334E-3</v>
      </c>
      <c r="I1115" s="986">
        <f t="shared" si="36"/>
        <v>1.5791666666666666E-2</v>
      </c>
      <c r="J1115" s="988">
        <f t="shared" si="35"/>
        <v>43374</v>
      </c>
    </row>
    <row r="1116" spans="2:10" ht="13.8">
      <c r="B1116" s="988">
        <f t="shared" si="33"/>
        <v>43405</v>
      </c>
      <c r="C1116" s="987" t="str">
        <f t="shared" si="34"/>
        <v>S&amp;P 500 Utility Index</v>
      </c>
      <c r="F1116" s="992">
        <v>3.5499999999999997E-2</v>
      </c>
      <c r="H1116" s="992">
        <v>3.7666666666666664E-3</v>
      </c>
      <c r="I1116" s="986">
        <f t="shared" si="36"/>
        <v>3.1733333333333329E-2</v>
      </c>
      <c r="J1116" s="988">
        <f t="shared" si="35"/>
        <v>43405</v>
      </c>
    </row>
    <row r="1117" spans="2:10" ht="13.8">
      <c r="B1117" s="988">
        <f t="shared" si="33"/>
        <v>43435</v>
      </c>
      <c r="C1117" s="987" t="str">
        <f t="shared" si="34"/>
        <v>S&amp;P 500 Utility Index</v>
      </c>
      <c r="F1117" s="992">
        <v>-4.0099999999999997E-2</v>
      </c>
      <c r="H1117" s="992">
        <v>3.6416666666666667E-3</v>
      </c>
      <c r="I1117" s="986">
        <f t="shared" si="36"/>
        <v>-4.3741666666666665E-2</v>
      </c>
      <c r="J1117" s="988">
        <f t="shared" si="35"/>
        <v>43435</v>
      </c>
    </row>
    <row r="1118" spans="2:10" ht="13.8">
      <c r="B1118" s="988">
        <f t="shared" si="33"/>
        <v>43466</v>
      </c>
      <c r="C1118" s="987" t="str">
        <f t="shared" si="34"/>
        <v>S&amp;P 500 Utility Index</v>
      </c>
      <c r="F1118" s="992">
        <v>4.8399999999999999E-2</v>
      </c>
      <c r="H1118" s="992">
        <v>3.6249999999999998E-3</v>
      </c>
      <c r="I1118" s="986">
        <f t="shared" si="36"/>
        <v>4.4774999999999995E-2</v>
      </c>
      <c r="J1118" s="988">
        <f t="shared" si="35"/>
        <v>43466</v>
      </c>
    </row>
    <row r="1119" spans="2:10" ht="13.8">
      <c r="B1119" s="988">
        <f t="shared" si="33"/>
        <v>43497</v>
      </c>
      <c r="C1119" s="987" t="str">
        <f t="shared" si="34"/>
        <v>S&amp;P 500 Utility Index</v>
      </c>
      <c r="F1119" s="992">
        <v>4.1099999999999998E-2</v>
      </c>
      <c r="H1119" s="992">
        <v>3.5416666666666669E-3</v>
      </c>
      <c r="I1119" s="986">
        <f t="shared" si="36"/>
        <v>3.7558333333333332E-2</v>
      </c>
      <c r="J1119" s="988">
        <f t="shared" si="35"/>
        <v>43497</v>
      </c>
    </row>
    <row r="1120" spans="2:10" ht="13.8">
      <c r="B1120" s="988">
        <f t="shared" si="33"/>
        <v>43525</v>
      </c>
      <c r="C1120" s="987" t="str">
        <f t="shared" si="34"/>
        <v>S&amp;P 500 Utility Index</v>
      </c>
      <c r="F1120" s="992">
        <v>2.8799999999999999E-2</v>
      </c>
      <c r="H1120" s="992">
        <v>3.5416666666666669E-3</v>
      </c>
      <c r="I1120" s="986">
        <f t="shared" si="36"/>
        <v>2.5258333333333334E-2</v>
      </c>
      <c r="J1120" s="988">
        <f t="shared" si="35"/>
        <v>43525</v>
      </c>
    </row>
    <row r="1121" spans="2:10" ht="13.8">
      <c r="B1121" s="988">
        <f t="shared" si="33"/>
        <v>43556</v>
      </c>
      <c r="C1121" s="987" t="str">
        <f t="shared" si="34"/>
        <v>S&amp;P 500 Utility Index</v>
      </c>
      <c r="F1121" s="992">
        <v>9.2999999999999992E-3</v>
      </c>
      <c r="H1121" s="992">
        <v>3.4000000000000002E-3</v>
      </c>
      <c r="I1121" s="986">
        <f t="shared" si="36"/>
        <v>5.899999999999999E-3</v>
      </c>
      <c r="J1121" s="988">
        <f t="shared" si="35"/>
        <v>43556</v>
      </c>
    </row>
    <row r="1122" spans="2:10" ht="13.8">
      <c r="B1122" s="988">
        <f t="shared" si="33"/>
        <v>43586</v>
      </c>
      <c r="C1122" s="987" t="str">
        <f t="shared" si="34"/>
        <v>S&amp;P 500 Utility Index</v>
      </c>
      <c r="F1122" s="992">
        <v>-7.7999999999999996E-3</v>
      </c>
      <c r="H1122" s="992">
        <v>3.3166666666666665E-3</v>
      </c>
      <c r="I1122" s="986">
        <f t="shared" si="36"/>
        <v>-1.1116666666666667E-2</v>
      </c>
      <c r="J1122" s="988">
        <f t="shared" si="35"/>
        <v>43586</v>
      </c>
    </row>
    <row r="1123" spans="2:10" ht="13.8">
      <c r="B1123" s="988">
        <f t="shared" si="33"/>
        <v>43617</v>
      </c>
      <c r="C1123" s="987" t="str">
        <f t="shared" si="34"/>
        <v>S&amp;P 500 Utility Index</v>
      </c>
      <c r="F1123" s="992">
        <v>3.2199999999999999E-2</v>
      </c>
      <c r="H1123" s="992">
        <v>3.3166666666666665E-3</v>
      </c>
      <c r="I1123" s="986">
        <f t="shared" si="36"/>
        <v>2.8883333333333334E-2</v>
      </c>
      <c r="J1123" s="988">
        <f t="shared" si="35"/>
        <v>43617</v>
      </c>
    </row>
    <row r="1124" spans="2:10" ht="13.8">
      <c r="B1124" s="988">
        <f t="shared" si="33"/>
        <v>43647</v>
      </c>
      <c r="C1124" s="987" t="str">
        <f t="shared" si="34"/>
        <v>S&amp;P 500 Utility Index</v>
      </c>
      <c r="F1124" s="992">
        <v>-2.7000000000000001E-3</v>
      </c>
      <c r="H1124" s="992">
        <v>3.075E-3</v>
      </c>
      <c r="I1124" s="986">
        <f t="shared" si="36"/>
        <v>-5.7750000000000006E-3</v>
      </c>
      <c r="J1124" s="988">
        <f t="shared" si="35"/>
        <v>43647</v>
      </c>
    </row>
    <row r="1125" spans="2:10" ht="13.8">
      <c r="B1125" s="988">
        <f t="shared" si="33"/>
        <v>43678</v>
      </c>
      <c r="C1125" s="987" t="str">
        <f t="shared" si="34"/>
        <v>S&amp;P 500 Utility Index</v>
      </c>
      <c r="F1125" s="992">
        <v>5.1299999999999998E-2</v>
      </c>
      <c r="H1125" s="992">
        <v>3.075E-3</v>
      </c>
      <c r="I1125" s="986">
        <f t="shared" si="36"/>
        <v>4.8224999999999997E-2</v>
      </c>
      <c r="J1125" s="988">
        <f t="shared" si="35"/>
        <v>43678</v>
      </c>
    </row>
    <row r="1126" spans="2:10" ht="13.8">
      <c r="B1126" s="988">
        <f t="shared" si="33"/>
        <v>43709</v>
      </c>
      <c r="C1126" s="987" t="str">
        <f t="shared" si="34"/>
        <v>S&amp;P 500 Utility Index</v>
      </c>
      <c r="F1126" s="992">
        <v>4.2500000000000003E-2</v>
      </c>
      <c r="H1126" s="992">
        <v>2.7416666666666666E-3</v>
      </c>
      <c r="I1126" s="986">
        <f t="shared" si="36"/>
        <v>3.975833333333334E-2</v>
      </c>
      <c r="J1126" s="988">
        <f t="shared" si="35"/>
        <v>43709</v>
      </c>
    </row>
    <row r="1127" spans="2:10" ht="13.8">
      <c r="B1127" s="988">
        <f t="shared" si="33"/>
        <v>43739</v>
      </c>
      <c r="C1127" s="987" t="str">
        <f t="shared" si="34"/>
        <v>S&amp;P 500 Utility Index</v>
      </c>
      <c r="F1127" s="992">
        <v>-7.7000000000000002E-3</v>
      </c>
      <c r="H1127" s="992">
        <v>2.8083333333333333E-3</v>
      </c>
      <c r="I1127" s="986">
        <f t="shared" si="36"/>
        <v>-1.0508333333333333E-2</v>
      </c>
      <c r="J1127" s="988">
        <f t="shared" si="35"/>
        <v>43739</v>
      </c>
    </row>
    <row r="1128" spans="2:10" ht="13.8">
      <c r="B1128" s="988">
        <f t="shared" si="33"/>
        <v>43770</v>
      </c>
      <c r="C1128" s="987" t="str">
        <f t="shared" si="34"/>
        <v>S&amp;P 500 Utility Index</v>
      </c>
      <c r="F1128" s="992">
        <v>-1.8599999999999998E-2</v>
      </c>
      <c r="H1128" s="992">
        <v>2.8583333333333334E-3</v>
      </c>
      <c r="I1128" s="986">
        <f t="shared" si="36"/>
        <v>-2.1458333333333333E-2</v>
      </c>
      <c r="J1128" s="988">
        <f t="shared" si="35"/>
        <v>43770</v>
      </c>
    </row>
    <row r="1129" spans="2:10" ht="13.8">
      <c r="B1129" s="988">
        <f t="shared" si="33"/>
        <v>43800</v>
      </c>
      <c r="C1129" s="987" t="str">
        <f t="shared" si="34"/>
        <v>S&amp;P 500 Utility Index</v>
      </c>
      <c r="F1129" s="992">
        <v>3.4299999999999997E-2</v>
      </c>
      <c r="H1129" s="992">
        <v>2.8333333333333331E-3</v>
      </c>
      <c r="I1129" s="986">
        <f t="shared" si="36"/>
        <v>3.1466666666666664E-2</v>
      </c>
      <c r="J1129" s="988">
        <f t="shared" si="35"/>
        <v>43800</v>
      </c>
    </row>
    <row r="1130" spans="2:10" ht="13.8">
      <c r="B1130" s="988">
        <f t="shared" si="33"/>
        <v>43831</v>
      </c>
      <c r="C1130" s="987" t="str">
        <f t="shared" si="34"/>
        <v>S&amp;P 500 Utility Index</v>
      </c>
      <c r="F1130" s="992">
        <v>6.6500000000000004E-2</v>
      </c>
      <c r="H1130" s="992">
        <v>2.6083333333333332E-3</v>
      </c>
      <c r="I1130" s="986">
        <f t="shared" si="36"/>
        <v>6.3891666666666666E-2</v>
      </c>
      <c r="J1130" s="988">
        <f t="shared" si="35"/>
        <v>43831</v>
      </c>
    </row>
    <row r="1131" spans="2:10" ht="13.8">
      <c r="B1131" s="988">
        <f t="shared" si="33"/>
        <v>43862</v>
      </c>
      <c r="C1131" s="987" t="str">
        <f t="shared" si="34"/>
        <v>S&amp;P 500 Utility Index</v>
      </c>
      <c r="F1131" s="992">
        <v>-9.8500000000000004E-2</v>
      </c>
      <c r="H1131" s="992">
        <v>2.7416666666666666E-3</v>
      </c>
      <c r="I1131" s="986">
        <f t="shared" si="36"/>
        <v>-0.10124166666666667</v>
      </c>
      <c r="J1131" s="988">
        <f t="shared" si="35"/>
        <v>43862</v>
      </c>
    </row>
    <row r="1132" spans="2:10" ht="13.8">
      <c r="B1132" s="988">
        <f t="shared" si="33"/>
        <v>43891</v>
      </c>
      <c r="C1132" s="987" t="str">
        <f t="shared" si="34"/>
        <v>S&amp;P 500 Utility Index</v>
      </c>
      <c r="F1132" s="992">
        <v>-9.9900000000000003E-2</v>
      </c>
      <c r="H1132" s="992">
        <v>2.5916666666666666E-3</v>
      </c>
      <c r="I1132" s="986">
        <f t="shared" si="36"/>
        <v>-0.10249166666666668</v>
      </c>
      <c r="J1132" s="988">
        <f t="shared" si="35"/>
        <v>43891</v>
      </c>
    </row>
    <row r="1133" spans="2:10" ht="13.8">
      <c r="B1133" s="988">
        <f t="shared" si="33"/>
        <v>43922</v>
      </c>
      <c r="C1133" s="987" t="str">
        <f t="shared" si="34"/>
        <v>S&amp;P 500 Utility Index</v>
      </c>
      <c r="F1133" s="992">
        <v>3.2300000000000002E-2</v>
      </c>
      <c r="H1133" s="992">
        <v>2.6583333333333333E-3</v>
      </c>
      <c r="I1133" s="986">
        <f t="shared" si="36"/>
        <v>2.964166666666667E-2</v>
      </c>
      <c r="J1133" s="988">
        <f t="shared" si="35"/>
        <v>43922</v>
      </c>
    </row>
    <row r="1134" spans="2:10" ht="13.8">
      <c r="B1134" s="988">
        <f t="shared" si="33"/>
        <v>43952</v>
      </c>
      <c r="C1134" s="987" t="str">
        <f t="shared" si="34"/>
        <v>S&amp;P 500 Utility Index</v>
      </c>
      <c r="F1134" s="992">
        <v>4.3499999999999997E-2</v>
      </c>
      <c r="H1134" s="992">
        <v>2.6166666666666664E-3</v>
      </c>
      <c r="I1134" s="986">
        <f t="shared" si="36"/>
        <v>4.0883333333333327E-2</v>
      </c>
      <c r="J1134" s="988">
        <f t="shared" si="35"/>
        <v>43952</v>
      </c>
    </row>
    <row r="1135" spans="2:10" ht="13.8">
      <c r="B1135" s="988">
        <f t="shared" si="33"/>
        <v>43983</v>
      </c>
      <c r="C1135" s="987" t="str">
        <f t="shared" si="34"/>
        <v>S&amp;P 500 Utility Index</v>
      </c>
      <c r="F1135" s="992">
        <v>-4.65E-2</v>
      </c>
      <c r="H1135" s="992">
        <v>2.558333333333333E-3</v>
      </c>
      <c r="I1135" s="986">
        <f t="shared" si="36"/>
        <v>-4.9058333333333336E-2</v>
      </c>
      <c r="J1135" s="988">
        <f t="shared" si="35"/>
        <v>43983</v>
      </c>
    </row>
    <row r="1136" spans="2:10" ht="13.8">
      <c r="B1136" s="988">
        <f t="shared" si="33"/>
        <v>44013</v>
      </c>
      <c r="C1136" s="987" t="str">
        <f t="shared" si="34"/>
        <v>S&amp;P 500 Utility Index</v>
      </c>
      <c r="F1136" s="992">
        <v>7.8200000000000006E-2</v>
      </c>
      <c r="H1136" s="992">
        <v>2.1333333333333334E-3</v>
      </c>
      <c r="I1136" s="986">
        <f t="shared" si="36"/>
        <v>7.6066666666666671E-2</v>
      </c>
      <c r="J1136" s="988">
        <f t="shared" si="35"/>
        <v>44013</v>
      </c>
    </row>
    <row r="1137" spans="2:10" ht="13.8">
      <c r="B1137" s="988">
        <f t="shared" si="33"/>
        <v>44044</v>
      </c>
      <c r="C1137" s="987" t="str">
        <f t="shared" si="34"/>
        <v>S&amp;P 500 Utility Index</v>
      </c>
      <c r="F1137" s="992">
        <v>-2.6499999999999999E-2</v>
      </c>
      <c r="H1137" s="992">
        <v>2.2750000000000001E-3</v>
      </c>
      <c r="I1137" s="986">
        <f t="shared" si="36"/>
        <v>-2.8774999999999998E-2</v>
      </c>
      <c r="J1137" s="988">
        <f t="shared" si="35"/>
        <v>44044</v>
      </c>
    </row>
    <row r="1138" spans="2:10" ht="13.8">
      <c r="B1138" s="988">
        <f t="shared" si="33"/>
        <v>44075</v>
      </c>
      <c r="C1138" s="987" t="str">
        <f t="shared" si="34"/>
        <v>S&amp;P 500 Utility Index</v>
      </c>
      <c r="F1138" s="992">
        <v>1.1208634977297001E-2</v>
      </c>
      <c r="H1138" s="992">
        <v>2.3666666666666667E-3</v>
      </c>
      <c r="I1138" s="986">
        <f t="shared" si="36"/>
        <v>8.8419683106303344E-3</v>
      </c>
      <c r="J1138" s="988">
        <f t="shared" si="35"/>
        <v>44075</v>
      </c>
    </row>
    <row r="1139" spans="2:10" ht="13.8">
      <c r="B1139" s="988">
        <f t="shared" si="33"/>
        <v>44105</v>
      </c>
      <c r="C1139" s="987" t="str">
        <f t="shared" si="34"/>
        <v>S&amp;P 500 Utility Index</v>
      </c>
      <c r="F1139" s="992">
        <v>5.04E-2</v>
      </c>
      <c r="H1139" s="992">
        <v>2.4583333333333336E-3</v>
      </c>
      <c r="I1139" s="986">
        <f t="shared" si="36"/>
        <v>4.7941666666666667E-2</v>
      </c>
      <c r="J1139" s="988">
        <f t="shared" si="35"/>
        <v>44105</v>
      </c>
    </row>
    <row r="1140" spans="2:10" ht="13.8">
      <c r="B1140" s="988">
        <f t="shared" si="33"/>
        <v>44136</v>
      </c>
      <c r="C1140" s="987" t="str">
        <f t="shared" si="34"/>
        <v>S&amp;P 500 Utility Index</v>
      </c>
      <c r="F1140" s="992">
        <v>7.3522810716743856E-3</v>
      </c>
      <c r="H1140" s="992">
        <v>2.3750000000000004E-3</v>
      </c>
      <c r="I1140" s="986">
        <f t="shared" si="36"/>
        <v>4.9772810716743852E-3</v>
      </c>
      <c r="J1140" s="988">
        <f t="shared" si="35"/>
        <v>44136</v>
      </c>
    </row>
    <row r="1141" spans="2:10" ht="13.8">
      <c r="B1141" s="988">
        <f t="shared" si="33"/>
        <v>44166</v>
      </c>
      <c r="C1141" s="987" t="str">
        <f t="shared" si="34"/>
        <v>S&amp;P 500 Utility Index</v>
      </c>
      <c r="F1141" s="992">
        <v>7.0325529758781969E-3</v>
      </c>
      <c r="H1141" s="992">
        <v>2.3083333333333332E-3</v>
      </c>
      <c r="I1141" s="986">
        <f t="shared" si="36"/>
        <v>4.7242196425448637E-3</v>
      </c>
      <c r="J1141" s="988">
        <f t="shared" si="35"/>
        <v>44166</v>
      </c>
    </row>
    <row r="1142" spans="2:10" ht="13.8">
      <c r="B1142" s="988">
        <f t="shared" ref="B1142:B1165" si="37">DATE(YEAR(B1141),MONTH(B1141) + 1,1)</f>
        <v>44197</v>
      </c>
      <c r="C1142" s="987" t="str">
        <f t="shared" ref="C1142:C1165" si="38">C1141</f>
        <v>S&amp;P 500 Utility Index</v>
      </c>
      <c r="F1142" s="992">
        <v>-9.1490879490143378E-3</v>
      </c>
      <c r="H1142" s="992">
        <v>2.4250000000000001E-3</v>
      </c>
      <c r="I1142" s="986">
        <f t="shared" si="36"/>
        <v>-1.1574087949014338E-2</v>
      </c>
      <c r="J1142" s="988">
        <f t="shared" si="35"/>
        <v>44197</v>
      </c>
    </row>
    <row r="1143" spans="2:10" ht="13.8">
      <c r="B1143" s="988">
        <f t="shared" si="37"/>
        <v>44228</v>
      </c>
      <c r="C1143" s="987" t="str">
        <f t="shared" si="38"/>
        <v>S&amp;P 500 Utility Index</v>
      </c>
      <c r="F1143" s="992">
        <v>-6.0949635783169254E-2</v>
      </c>
      <c r="H1143" s="992">
        <v>2.575E-3</v>
      </c>
      <c r="I1143" s="986">
        <f t="shared" si="36"/>
        <v>-6.3524635783169248E-2</v>
      </c>
      <c r="J1143" s="988">
        <f t="shared" si="35"/>
        <v>44228</v>
      </c>
    </row>
    <row r="1144" spans="2:10" ht="13.8">
      <c r="B1144" s="988">
        <f t="shared" si="37"/>
        <v>44256</v>
      </c>
      <c r="C1144" s="987" t="str">
        <f t="shared" si="38"/>
        <v>S&amp;P 500 Utility Index</v>
      </c>
      <c r="F1144" s="992">
        <v>0.10498835014976989</v>
      </c>
      <c r="H1144" s="992">
        <v>2.8666666666666667E-3</v>
      </c>
      <c r="I1144" s="986">
        <f t="shared" si="36"/>
        <v>0.10212168348310321</v>
      </c>
      <c r="J1144" s="988">
        <f t="shared" si="35"/>
        <v>44256</v>
      </c>
    </row>
    <row r="1145" spans="2:10" ht="13.8">
      <c r="B1145" s="988">
        <f t="shared" si="37"/>
        <v>44287</v>
      </c>
      <c r="C1145" s="987" t="str">
        <f t="shared" si="38"/>
        <v>S&amp;P 500 Utility Index</v>
      </c>
      <c r="F1145" s="992">
        <v>4.2771092437836097E-2</v>
      </c>
      <c r="H1145" s="992">
        <v>2.7499999999999998E-3</v>
      </c>
      <c r="I1145" s="986">
        <f t="shared" si="36"/>
        <v>4.0021092437836095E-2</v>
      </c>
      <c r="J1145" s="988">
        <f t="shared" si="35"/>
        <v>44287</v>
      </c>
    </row>
    <row r="1146" spans="2:10" ht="13.8">
      <c r="B1146" s="988">
        <f t="shared" si="37"/>
        <v>44317</v>
      </c>
      <c r="C1146" s="987" t="str">
        <f t="shared" si="38"/>
        <v>S&amp;P 500 Utility Index</v>
      </c>
      <c r="F1146" s="992">
        <v>-2.3727991736619838E-2</v>
      </c>
      <c r="H1146" s="992">
        <v>2.7750000000000001E-3</v>
      </c>
      <c r="I1146" s="986">
        <f t="shared" si="36"/>
        <v>-2.6502991736619838E-2</v>
      </c>
      <c r="J1146" s="988">
        <f t="shared" si="35"/>
        <v>44317</v>
      </c>
    </row>
    <row r="1147" spans="2:10" ht="13.8">
      <c r="B1147" s="988">
        <f t="shared" si="37"/>
        <v>44348</v>
      </c>
      <c r="C1147" s="987" t="str">
        <f t="shared" si="38"/>
        <v>S&amp;P 500 Utility Index</v>
      </c>
      <c r="F1147" s="992">
        <v>-2.1629631904666716E-2</v>
      </c>
      <c r="H1147" s="992">
        <v>2.6333333333333334E-3</v>
      </c>
      <c r="I1147" s="986">
        <f t="shared" si="36"/>
        <v>-2.4262965238000051E-2</v>
      </c>
      <c r="J1147" s="988">
        <f t="shared" si="35"/>
        <v>44348</v>
      </c>
    </row>
    <row r="1148" spans="2:10" ht="13.8">
      <c r="B1148" s="988">
        <f t="shared" si="37"/>
        <v>44378</v>
      </c>
      <c r="C1148" s="987" t="str">
        <f t="shared" si="38"/>
        <v>S&amp;P 500 Utility Index</v>
      </c>
      <c r="F1148" s="992">
        <v>3.8580129254477007E-2</v>
      </c>
      <c r="H1148" s="992">
        <v>2.4583333333333336E-3</v>
      </c>
      <c r="I1148" s="986">
        <f t="shared" si="36"/>
        <v>3.6121795921143673E-2</v>
      </c>
      <c r="J1148" s="988">
        <f t="shared" si="35"/>
        <v>44378</v>
      </c>
    </row>
    <row r="1149" spans="2:10" ht="13.8">
      <c r="B1149" s="988">
        <f t="shared" si="37"/>
        <v>44409</v>
      </c>
      <c r="C1149" s="987" t="str">
        <f t="shared" si="38"/>
        <v>S&amp;P 500 Utility Index</v>
      </c>
      <c r="F1149" s="992">
        <v>3.9754994769648354E-2</v>
      </c>
      <c r="H1149" s="992">
        <v>2.4583333333333336E-3</v>
      </c>
      <c r="I1149" s="986">
        <f t="shared" si="36"/>
        <v>3.7296661436315021E-2</v>
      </c>
      <c r="J1149" s="988">
        <f t="shared" si="35"/>
        <v>44409</v>
      </c>
    </row>
    <row r="1150" spans="2:10" ht="13.8">
      <c r="B1150" s="988">
        <f t="shared" si="37"/>
        <v>44440</v>
      </c>
      <c r="C1150" s="987" t="str">
        <f t="shared" si="38"/>
        <v>S&amp;P 500 Utility Index</v>
      </c>
      <c r="F1150" s="992">
        <v>-6.1694618844009501E-2</v>
      </c>
      <c r="H1150" s="992">
        <v>2.4666666666666669E-3</v>
      </c>
      <c r="I1150" s="986">
        <f t="shared" si="36"/>
        <v>-6.4161285510676166E-2</v>
      </c>
      <c r="J1150" s="988">
        <f t="shared" si="35"/>
        <v>44440</v>
      </c>
    </row>
    <row r="1151" spans="2:10" ht="13.8">
      <c r="B1151" s="988">
        <f t="shared" si="37"/>
        <v>44470</v>
      </c>
      <c r="C1151" s="987" t="str">
        <f t="shared" si="38"/>
        <v>S&amp;P 500 Utility Index</v>
      </c>
      <c r="F1151" s="992">
        <v>4.7338249999999998E-2</v>
      </c>
      <c r="H1151" s="992">
        <v>2.575E-3</v>
      </c>
      <c r="I1151" s="986">
        <f t="shared" si="36"/>
        <v>4.4763249999999997E-2</v>
      </c>
      <c r="J1151" s="988">
        <f t="shared" si="35"/>
        <v>44470</v>
      </c>
    </row>
    <row r="1152" spans="2:10" ht="13.8">
      <c r="B1152" s="988">
        <f t="shared" si="37"/>
        <v>44501</v>
      </c>
      <c r="C1152" s="987" t="str">
        <f t="shared" si="38"/>
        <v>S&amp;P 500 Utility Index</v>
      </c>
      <c r="F1152" s="992">
        <v>-1.6393896390234163E-2</v>
      </c>
      <c r="H1152" s="992">
        <v>2.5166666666666666E-3</v>
      </c>
      <c r="I1152" s="986">
        <f t="shared" si="36"/>
        <v>-1.891056305690083E-2</v>
      </c>
      <c r="J1152" s="988">
        <f t="shared" si="35"/>
        <v>44501</v>
      </c>
    </row>
    <row r="1153" spans="2:10" ht="13.8">
      <c r="B1153" s="988">
        <f t="shared" si="37"/>
        <v>44531</v>
      </c>
      <c r="C1153" s="987" t="str">
        <f t="shared" si="38"/>
        <v>S&amp;P 500 Utility Index</v>
      </c>
      <c r="F1153" s="992">
        <v>9.6216364270722721E-2</v>
      </c>
      <c r="H1153" s="992">
        <v>2.5333333333333336E-3</v>
      </c>
      <c r="I1153" s="986">
        <f t="shared" si="36"/>
        <v>9.3683030937389389E-2</v>
      </c>
      <c r="J1153" s="988">
        <f t="shared" ref="J1153:J1165" si="39">B1153</f>
        <v>44531</v>
      </c>
    </row>
    <row r="1154" spans="2:10" ht="13.8">
      <c r="B1154" s="988">
        <f t="shared" si="37"/>
        <v>44562</v>
      </c>
      <c r="C1154" s="987" t="str">
        <f t="shared" si="38"/>
        <v>S&amp;P 500 Utility Index</v>
      </c>
      <c r="F1154" s="992">
        <v>-3.2749444684625581E-2</v>
      </c>
      <c r="H1154" s="992">
        <v>2.7750000000000001E-3</v>
      </c>
      <c r="I1154" s="986">
        <f t="shared" si="36"/>
        <v>-3.5524444684625581E-2</v>
      </c>
      <c r="J1154" s="988">
        <f t="shared" si="39"/>
        <v>44562</v>
      </c>
    </row>
    <row r="1155" spans="2:10" ht="13.8">
      <c r="B1155" s="988">
        <f t="shared" si="37"/>
        <v>44593</v>
      </c>
      <c r="C1155" s="987" t="str">
        <f t="shared" si="38"/>
        <v>S&amp;P 500 Utility Index</v>
      </c>
      <c r="F1155" s="992">
        <v>-3.4091901875676428E-2</v>
      </c>
      <c r="H1155" s="992">
        <v>3.0666666666666672E-3</v>
      </c>
      <c r="I1155" s="986">
        <f t="shared" si="36"/>
        <v>-3.7158568542343097E-2</v>
      </c>
      <c r="J1155" s="988">
        <f t="shared" si="39"/>
        <v>44593</v>
      </c>
    </row>
    <row r="1156" spans="2:10" ht="13.8">
      <c r="B1156" s="988">
        <f t="shared" si="37"/>
        <v>44621</v>
      </c>
      <c r="C1156" s="987" t="str">
        <f t="shared" si="38"/>
        <v>S&amp;P 500 Utility Index</v>
      </c>
      <c r="F1156" s="992">
        <v>0.1034017927240516</v>
      </c>
      <c r="H1156" s="992">
        <v>3.3166666666666665E-3</v>
      </c>
      <c r="I1156" s="986">
        <f t="shared" si="36"/>
        <v>0.10008512605738494</v>
      </c>
      <c r="J1156" s="988">
        <f t="shared" si="39"/>
        <v>44621</v>
      </c>
    </row>
    <row r="1157" spans="2:10" ht="13.8">
      <c r="B1157" s="988">
        <f t="shared" si="37"/>
        <v>44652</v>
      </c>
      <c r="C1157" s="987" t="str">
        <f t="shared" si="38"/>
        <v>S&amp;P 500 Utility Index</v>
      </c>
      <c r="F1157" s="992">
        <v>-4.2501222696682647E-2</v>
      </c>
      <c r="H1157" s="992">
        <v>3.5833333333333333E-3</v>
      </c>
      <c r="I1157" s="986">
        <f t="shared" si="36"/>
        <v>-4.6084556030015981E-2</v>
      </c>
      <c r="J1157" s="988">
        <f t="shared" si="39"/>
        <v>44652</v>
      </c>
    </row>
    <row r="1158" spans="2:10" ht="13.8">
      <c r="B1158" s="988">
        <f t="shared" si="37"/>
        <v>44682</v>
      </c>
      <c r="C1158" s="987" t="str">
        <f t="shared" si="38"/>
        <v>S&amp;P 500 Utility Index</v>
      </c>
      <c r="F1158" s="992">
        <v>4.3040973370551114E-2</v>
      </c>
      <c r="H1158" s="992">
        <v>3.9583333333333328E-3</v>
      </c>
      <c r="I1158" s="986">
        <f t="shared" si="36"/>
        <v>3.9082640037217779E-2</v>
      </c>
      <c r="J1158" s="988">
        <f t="shared" si="39"/>
        <v>44682</v>
      </c>
    </row>
    <row r="1159" spans="2:10" ht="13.8">
      <c r="B1159" s="988">
        <f t="shared" si="37"/>
        <v>44713</v>
      </c>
      <c r="C1159" s="987" t="str">
        <f t="shared" si="38"/>
        <v>S&amp;P 500 Utility Index</v>
      </c>
      <c r="F1159" s="992">
        <v>-4.972550324722623E-2</v>
      </c>
      <c r="H1159" s="992">
        <v>4.0500000000000006E-3</v>
      </c>
      <c r="I1159" s="986">
        <f t="shared" si="36"/>
        <v>-5.3775503247226228E-2</v>
      </c>
      <c r="J1159" s="988">
        <f t="shared" si="39"/>
        <v>44713</v>
      </c>
    </row>
    <row r="1160" spans="2:10" ht="13.8">
      <c r="B1160" s="988">
        <f t="shared" si="37"/>
        <v>44743</v>
      </c>
      <c r="C1160" s="987" t="str">
        <f t="shared" si="38"/>
        <v>S&amp;P 500 Utility Index</v>
      </c>
      <c r="F1160" s="992">
        <v>5.4986062858527911E-2</v>
      </c>
      <c r="H1160" s="992">
        <v>3.9833333333333335E-3</v>
      </c>
      <c r="I1160" s="986">
        <f t="shared" si="36"/>
        <v>5.1002729525194579E-2</v>
      </c>
      <c r="J1160" s="988">
        <f t="shared" si="39"/>
        <v>44743</v>
      </c>
    </row>
    <row r="1161" spans="2:10" ht="13.8">
      <c r="B1161" s="988">
        <f t="shared" si="37"/>
        <v>44774</v>
      </c>
      <c r="C1161" s="987" t="str">
        <f t="shared" si="38"/>
        <v>S&amp;P 500 Utility Index</v>
      </c>
      <c r="F1161" s="992">
        <v>5.1000000000000004E-3</v>
      </c>
      <c r="H1161" s="992">
        <v>3.966666666666667E-3</v>
      </c>
      <c r="I1161" s="986">
        <f t="shared" si="36"/>
        <v>1.1333333333333334E-3</v>
      </c>
      <c r="J1161" s="988">
        <f t="shared" si="39"/>
        <v>44774</v>
      </c>
    </row>
    <row r="1162" spans="2:10" ht="13.8">
      <c r="B1162" s="988">
        <f t="shared" si="37"/>
        <v>44805</v>
      </c>
      <c r="C1162" s="987" t="str">
        <f t="shared" si="38"/>
        <v>S&amp;P 500 Utility Index</v>
      </c>
      <c r="F1162" s="992">
        <v>-0.1131647994987349</v>
      </c>
      <c r="H1162" s="992">
        <v>4.3833333333333328E-3</v>
      </c>
      <c r="I1162" s="986">
        <f t="shared" si="36"/>
        <v>-0.11754813283206823</v>
      </c>
      <c r="J1162" s="988">
        <f t="shared" si="39"/>
        <v>44805</v>
      </c>
    </row>
    <row r="1163" spans="2:10" ht="13.8">
      <c r="B1163" s="988">
        <f t="shared" si="37"/>
        <v>44835</v>
      </c>
      <c r="C1163" s="987" t="str">
        <f t="shared" si="38"/>
        <v>S&amp;P 500 Utility Index</v>
      </c>
      <c r="F1163" s="992">
        <v>1.6754063521819712E-2</v>
      </c>
      <c r="H1163" s="992">
        <v>4.8999999999999998E-3</v>
      </c>
      <c r="I1163" s="986">
        <f t="shared" si="36"/>
        <v>1.1854063521819712E-2</v>
      </c>
      <c r="J1163" s="988">
        <f t="shared" si="39"/>
        <v>44835</v>
      </c>
    </row>
    <row r="1164" spans="2:10" ht="13.8">
      <c r="B1164" s="988">
        <f t="shared" si="37"/>
        <v>44866</v>
      </c>
      <c r="C1164" s="987" t="str">
        <f t="shared" si="38"/>
        <v>S&amp;P 500 Utility Index</v>
      </c>
      <c r="F1164" s="992">
        <v>6.9878999321193083E-2</v>
      </c>
      <c r="H1164" s="992">
        <v>4.7916666666666672E-3</v>
      </c>
      <c r="I1164" s="986">
        <f t="shared" si="36"/>
        <v>6.5087332654526417E-2</v>
      </c>
      <c r="J1164" s="988">
        <f t="shared" si="39"/>
        <v>44866</v>
      </c>
    </row>
    <row r="1165" spans="2:10" ht="13.8">
      <c r="B1165" s="988">
        <f t="shared" si="37"/>
        <v>44896</v>
      </c>
      <c r="C1165" s="987" t="str">
        <f t="shared" si="38"/>
        <v>S&amp;P 500 Utility Index</v>
      </c>
      <c r="F1165" s="992">
        <v>-4.9005438196876444E-3</v>
      </c>
      <c r="H1165" s="992">
        <v>4.3916666666666661E-3</v>
      </c>
      <c r="I1165" s="986">
        <f t="shared" si="36"/>
        <v>-9.2922104863543097E-3</v>
      </c>
      <c r="J1165" s="988">
        <f t="shared" si="39"/>
        <v>44896</v>
      </c>
    </row>
    <row r="1166" spans="2:10" ht="13.8">
      <c r="F1166" s="992"/>
      <c r="H1166" s="992"/>
      <c r="I1166" s="986"/>
    </row>
    <row r="1167" spans="2:10" ht="13.8">
      <c r="F1167" s="992"/>
      <c r="H1167" s="992"/>
      <c r="I1167" s="986"/>
    </row>
    <row r="1168" spans="2:10" ht="13.8">
      <c r="F1168" s="992"/>
      <c r="H1168" s="992"/>
      <c r="I1168" s="986"/>
    </row>
    <row r="1169" spans="6:9" ht="13.8">
      <c r="F1169" s="992"/>
      <c r="H1169" s="992"/>
      <c r="I1169" s="986"/>
    </row>
    <row r="1170" spans="6:9" ht="13.8">
      <c r="F1170" s="992"/>
      <c r="H1170" s="992"/>
      <c r="I1170" s="986"/>
    </row>
    <row r="1171" spans="6:9" ht="13.8">
      <c r="F1171" s="992"/>
      <c r="H1171" s="992"/>
      <c r="I1171" s="986"/>
    </row>
    <row r="1172" spans="6:9" ht="13.8">
      <c r="F1172" s="992"/>
      <c r="H1172" s="992"/>
      <c r="I1172" s="986"/>
    </row>
    <row r="1173" spans="6:9" ht="13.8">
      <c r="F1173" s="992"/>
      <c r="H1173" s="992"/>
      <c r="I1173" s="986"/>
    </row>
    <row r="1174" spans="6:9" ht="13.8">
      <c r="F1174" s="992"/>
      <c r="H1174" s="992"/>
      <c r="I1174" s="986"/>
    </row>
    <row r="1175" spans="6:9" ht="13.8">
      <c r="F1175" s="992"/>
      <c r="H1175" s="992"/>
      <c r="I1175" s="986"/>
    </row>
    <row r="1176" spans="6:9" ht="13.8">
      <c r="F1176" s="992"/>
      <c r="H1176" s="992"/>
      <c r="I1176" s="986"/>
    </row>
    <row r="1177" spans="6:9" ht="13.8">
      <c r="F1177" s="992"/>
      <c r="H1177" s="992"/>
      <c r="I1177" s="986"/>
    </row>
    <row r="1178" spans="6:9" ht="13.8">
      <c r="F1178" s="992"/>
      <c r="H1178" s="992"/>
      <c r="I1178" s="986"/>
    </row>
    <row r="1179" spans="6:9" ht="13.8">
      <c r="F1179" s="992"/>
      <c r="H1179" s="992"/>
      <c r="I1179" s="986"/>
    </row>
    <row r="1180" spans="6:9" ht="13.8">
      <c r="F1180" s="992"/>
      <c r="H1180" s="992"/>
      <c r="I1180" s="986"/>
    </row>
    <row r="1181" spans="6:9" ht="13.8">
      <c r="F1181" s="992"/>
      <c r="H1181" s="992"/>
      <c r="I1181" s="986"/>
    </row>
    <row r="1182" spans="6:9" ht="13.8">
      <c r="F1182" s="992"/>
      <c r="H1182" s="992"/>
      <c r="I1182" s="986"/>
    </row>
    <row r="1183" spans="6:9" ht="13.8">
      <c r="F1183" s="992"/>
      <c r="H1183" s="992"/>
      <c r="I1183" s="986"/>
    </row>
    <row r="1184" spans="6:9" ht="13.8">
      <c r="F1184" s="992"/>
      <c r="H1184" s="992"/>
      <c r="I1184" s="986"/>
    </row>
    <row r="1185" spans="6:9" ht="13.8">
      <c r="F1185" s="992"/>
      <c r="H1185" s="992"/>
      <c r="I1185" s="986"/>
    </row>
    <row r="1186" spans="6:9" ht="13.8">
      <c r="F1186" s="992"/>
      <c r="H1186" s="992"/>
      <c r="I1186" s="986"/>
    </row>
    <row r="1187" spans="6:9" ht="13.8">
      <c r="F1187" s="992"/>
      <c r="H1187" s="992"/>
      <c r="I1187" s="986"/>
    </row>
    <row r="1188" spans="6:9" ht="13.8">
      <c r="F1188" s="992"/>
      <c r="H1188" s="992"/>
      <c r="I1188" s="986"/>
    </row>
    <row r="1189" spans="6:9" ht="13.8">
      <c r="F1189" s="992"/>
      <c r="H1189" s="992"/>
      <c r="I1189" s="986"/>
    </row>
    <row r="1190" spans="6:9" ht="13.8">
      <c r="F1190" s="992"/>
      <c r="H1190" s="992"/>
      <c r="I1190" s="986"/>
    </row>
    <row r="1191" spans="6:9" ht="13.8">
      <c r="F1191" s="992"/>
      <c r="H1191" s="992"/>
      <c r="I1191" s="986"/>
    </row>
    <row r="1192" spans="6:9" ht="13.8">
      <c r="F1192" s="992"/>
      <c r="H1192" s="992"/>
      <c r="I1192" s="986"/>
    </row>
    <row r="1193" spans="6:9" ht="13.8">
      <c r="F1193" s="992"/>
      <c r="H1193" s="992"/>
      <c r="I1193" s="986"/>
    </row>
    <row r="1194" spans="6:9" ht="13.8">
      <c r="F1194" s="992"/>
      <c r="H1194" s="992"/>
      <c r="I1194" s="986"/>
    </row>
    <row r="1195" spans="6:9" ht="13.8">
      <c r="F1195" s="992"/>
      <c r="H1195" s="992"/>
      <c r="I1195" s="986"/>
    </row>
    <row r="1196" spans="6:9" ht="13.8">
      <c r="F1196" s="992"/>
      <c r="H1196" s="992"/>
      <c r="I1196" s="986"/>
    </row>
    <row r="1197" spans="6:9" ht="13.8">
      <c r="F1197" s="992"/>
      <c r="H1197" s="992"/>
      <c r="I1197" s="986"/>
    </row>
    <row r="1198" spans="6:9" ht="13.8">
      <c r="F1198" s="992"/>
      <c r="H1198" s="992"/>
      <c r="I1198" s="986"/>
    </row>
    <row r="1199" spans="6:9" ht="13.8">
      <c r="F1199" s="992"/>
      <c r="H1199" s="992"/>
      <c r="I1199" s="986"/>
    </row>
    <row r="1200" spans="6:9" ht="13.8">
      <c r="F1200" s="992"/>
      <c r="H1200" s="992"/>
      <c r="I1200" s="986"/>
    </row>
    <row r="1201" spans="6:9" ht="13.8">
      <c r="F1201" s="992"/>
      <c r="H1201" s="992"/>
      <c r="I1201" s="986"/>
    </row>
    <row r="1202" spans="6:9" ht="13.8">
      <c r="F1202" s="992"/>
      <c r="H1202" s="992"/>
      <c r="I1202" s="986"/>
    </row>
    <row r="1203" spans="6:9" ht="13.8">
      <c r="F1203" s="992"/>
      <c r="H1203" s="992"/>
      <c r="I1203" s="986"/>
    </row>
    <row r="1204" spans="6:9" ht="13.8">
      <c r="F1204" s="992"/>
      <c r="H1204" s="992"/>
      <c r="I1204" s="986"/>
    </row>
    <row r="1205" spans="6:9" ht="13.8">
      <c r="F1205" s="992"/>
      <c r="H1205" s="992"/>
      <c r="I1205" s="986"/>
    </row>
    <row r="1206" spans="6:9" ht="13.8">
      <c r="F1206" s="992"/>
      <c r="H1206" s="992"/>
      <c r="I1206" s="986"/>
    </row>
    <row r="1207" spans="6:9" ht="13.8">
      <c r="F1207" s="992"/>
      <c r="H1207" s="992"/>
      <c r="I1207" s="986"/>
    </row>
    <row r="1208" spans="6:9" ht="13.8">
      <c r="F1208" s="992"/>
      <c r="H1208" s="992"/>
      <c r="I1208" s="986"/>
    </row>
    <row r="1209" spans="6:9" ht="13.8">
      <c r="F1209" s="992"/>
      <c r="H1209" s="992"/>
      <c r="I1209" s="986"/>
    </row>
    <row r="1210" spans="6:9" ht="13.8">
      <c r="F1210" s="992"/>
      <c r="H1210" s="992"/>
      <c r="I1210" s="986"/>
    </row>
    <row r="1211" spans="6:9" ht="13.8">
      <c r="F1211" s="992"/>
      <c r="H1211" s="992"/>
      <c r="I1211" s="986"/>
    </row>
    <row r="1212" spans="6:9" ht="13.8">
      <c r="F1212" s="992"/>
      <c r="H1212" s="992"/>
      <c r="I1212" s="986"/>
    </row>
    <row r="1213" spans="6:9" ht="13.8">
      <c r="F1213" s="992"/>
      <c r="H1213" s="992"/>
      <c r="I1213" s="986"/>
    </row>
    <row r="1214" spans="6:9" ht="13.8">
      <c r="F1214" s="992"/>
      <c r="H1214" s="992"/>
      <c r="I1214" s="986"/>
    </row>
    <row r="1215" spans="6:9" ht="13.8">
      <c r="F1215" s="992"/>
      <c r="H1215" s="992"/>
      <c r="I1215" s="986"/>
    </row>
    <row r="1216" spans="6:9" ht="13.8">
      <c r="F1216" s="992"/>
      <c r="H1216" s="992"/>
      <c r="I1216" s="986"/>
    </row>
    <row r="1217" spans="6:9" ht="13.8">
      <c r="F1217" s="992"/>
      <c r="H1217" s="992"/>
      <c r="I1217" s="986"/>
    </row>
    <row r="1218" spans="6:9" ht="13.8">
      <c r="F1218" s="992"/>
      <c r="H1218" s="992"/>
      <c r="I1218" s="986"/>
    </row>
    <row r="1219" spans="6:9" ht="13.8">
      <c r="F1219" s="992"/>
      <c r="H1219" s="992"/>
      <c r="I1219" s="986"/>
    </row>
    <row r="1220" spans="6:9" ht="13.8">
      <c r="F1220" s="992"/>
      <c r="H1220" s="992"/>
      <c r="I1220" s="986"/>
    </row>
    <row r="1221" spans="6:9" ht="13.8">
      <c r="F1221" s="992"/>
      <c r="H1221" s="992"/>
      <c r="I1221" s="986"/>
    </row>
    <row r="1222" spans="6:9" ht="13.8">
      <c r="F1222" s="992"/>
      <c r="H1222" s="992"/>
      <c r="I1222" s="986"/>
    </row>
    <row r="1223" spans="6:9" ht="13.8">
      <c r="F1223" s="992"/>
      <c r="H1223" s="992"/>
      <c r="I1223" s="986"/>
    </row>
    <row r="1224" spans="6:9" ht="13.8">
      <c r="F1224" s="992"/>
      <c r="H1224" s="992"/>
      <c r="I1224" s="986"/>
    </row>
    <row r="1225" spans="6:9" ht="13.8">
      <c r="F1225" s="992"/>
      <c r="H1225" s="992"/>
      <c r="I1225" s="986"/>
    </row>
    <row r="1226" spans="6:9" ht="13.8">
      <c r="F1226" s="992"/>
      <c r="H1226" s="992"/>
      <c r="I1226" s="986"/>
    </row>
    <row r="1227" spans="6:9" ht="13.8">
      <c r="F1227" s="992"/>
      <c r="H1227" s="992"/>
      <c r="I1227" s="986"/>
    </row>
    <row r="1228" spans="6:9" ht="13.8">
      <c r="F1228" s="992"/>
      <c r="H1228" s="992"/>
      <c r="I1228" s="986"/>
    </row>
    <row r="1229" spans="6:9" ht="13.8">
      <c r="F1229" s="992"/>
      <c r="H1229" s="992"/>
      <c r="I1229" s="986"/>
    </row>
    <row r="1230" spans="6:9" ht="13.8">
      <c r="F1230" s="992"/>
      <c r="H1230" s="992"/>
      <c r="I1230" s="986"/>
    </row>
    <row r="1231" spans="6:9" ht="13.8">
      <c r="F1231" s="992"/>
      <c r="H1231" s="992"/>
      <c r="I1231" s="986"/>
    </row>
    <row r="1232" spans="6:9" ht="13.8">
      <c r="F1232" s="992"/>
      <c r="H1232" s="992"/>
      <c r="I1232" s="986"/>
    </row>
    <row r="1233" spans="6:9" ht="13.8">
      <c r="F1233" s="992"/>
      <c r="H1233" s="992"/>
      <c r="I1233" s="986"/>
    </row>
    <row r="1234" spans="6:9" ht="13.8">
      <c r="F1234" s="992"/>
      <c r="H1234" s="992"/>
      <c r="I1234" s="986"/>
    </row>
    <row r="1235" spans="6:9" ht="13.8">
      <c r="F1235" s="992"/>
      <c r="H1235" s="992"/>
      <c r="I1235" s="986"/>
    </row>
    <row r="1236" spans="6:9" ht="13.8">
      <c r="F1236" s="992"/>
      <c r="H1236" s="992"/>
      <c r="I1236" s="986"/>
    </row>
    <row r="1237" spans="6:9" ht="13.8">
      <c r="F1237" s="992"/>
      <c r="H1237" s="992"/>
      <c r="I1237" s="986"/>
    </row>
    <row r="1238" spans="6:9" ht="13.8">
      <c r="F1238" s="992"/>
      <c r="H1238" s="992"/>
      <c r="I1238" s="986"/>
    </row>
    <row r="1239" spans="6:9" ht="13.8">
      <c r="F1239" s="992"/>
      <c r="H1239" s="992"/>
      <c r="I1239" s="986"/>
    </row>
    <row r="1240" spans="6:9" ht="13.8">
      <c r="F1240" s="992"/>
      <c r="H1240" s="992"/>
      <c r="I1240" s="986"/>
    </row>
    <row r="1241" spans="6:9" ht="13.8">
      <c r="F1241" s="992"/>
      <c r="H1241" s="992"/>
      <c r="I1241" s="986"/>
    </row>
    <row r="1242" spans="6:9" ht="13.8">
      <c r="F1242" s="992"/>
      <c r="H1242" s="992"/>
      <c r="I1242" s="986"/>
    </row>
    <row r="1243" spans="6:9" ht="13.8">
      <c r="F1243" s="992"/>
      <c r="H1243" s="992"/>
      <c r="I1243" s="986"/>
    </row>
    <row r="1244" spans="6:9" ht="13.8">
      <c r="F1244" s="992"/>
      <c r="H1244" s="992"/>
      <c r="I1244" s="986"/>
    </row>
    <row r="1245" spans="6:9" ht="13.8">
      <c r="F1245" s="992"/>
      <c r="H1245" s="992"/>
      <c r="I1245" s="986"/>
    </row>
    <row r="1246" spans="6:9" ht="13.8">
      <c r="F1246" s="992"/>
      <c r="H1246" s="992"/>
      <c r="I1246" s="986"/>
    </row>
    <row r="1247" spans="6:9" ht="13.8">
      <c r="F1247" s="992"/>
      <c r="H1247" s="992"/>
      <c r="I1247" s="986"/>
    </row>
    <row r="1248" spans="6:9" ht="13.8">
      <c r="F1248" s="992"/>
      <c r="H1248" s="992"/>
      <c r="I1248" s="986"/>
    </row>
    <row r="1249" spans="6:9" ht="13.8">
      <c r="F1249" s="992"/>
      <c r="H1249" s="992"/>
      <c r="I1249" s="986"/>
    </row>
    <row r="1250" spans="6:9" ht="13.8">
      <c r="F1250" s="992"/>
      <c r="H1250" s="992"/>
      <c r="I1250" s="986"/>
    </row>
    <row r="1251" spans="6:9" ht="13.8">
      <c r="F1251" s="992"/>
      <c r="H1251" s="992"/>
      <c r="I1251" s="986"/>
    </row>
    <row r="1252" spans="6:9" ht="13.8">
      <c r="F1252" s="992"/>
      <c r="H1252" s="992"/>
      <c r="I1252" s="986"/>
    </row>
    <row r="1253" spans="6:9" ht="13.8">
      <c r="F1253" s="992"/>
      <c r="H1253" s="992"/>
      <c r="I1253" s="986"/>
    </row>
    <row r="1254" spans="6:9" ht="13.8">
      <c r="F1254" s="992"/>
      <c r="H1254" s="992"/>
      <c r="I1254" s="986"/>
    </row>
    <row r="1255" spans="6:9" ht="13.8">
      <c r="F1255" s="992"/>
      <c r="H1255" s="992"/>
      <c r="I1255" s="986"/>
    </row>
    <row r="1256" spans="6:9" ht="13.8">
      <c r="F1256" s="992"/>
      <c r="H1256" s="992"/>
      <c r="I1256" s="986"/>
    </row>
    <row r="1257" spans="6:9" ht="13.8">
      <c r="F1257" s="992"/>
      <c r="H1257" s="992"/>
      <c r="I1257" s="986"/>
    </row>
    <row r="1258" spans="6:9" ht="13.8">
      <c r="F1258" s="992"/>
      <c r="H1258" s="992"/>
      <c r="I1258" s="986"/>
    </row>
    <row r="1259" spans="6:9" ht="13.8">
      <c r="F1259" s="992"/>
      <c r="H1259" s="992"/>
      <c r="I1259" s="986"/>
    </row>
    <row r="1260" spans="6:9" ht="13.8">
      <c r="F1260" s="992"/>
      <c r="H1260" s="992"/>
      <c r="I1260" s="986"/>
    </row>
    <row r="1261" spans="6:9" ht="13.8">
      <c r="F1261" s="992"/>
      <c r="H1261" s="992"/>
      <c r="I1261" s="986"/>
    </row>
    <row r="1262" spans="6:9" ht="13.8">
      <c r="F1262" s="992"/>
      <c r="H1262" s="992"/>
      <c r="I1262" s="986"/>
    </row>
    <row r="1263" spans="6:9" ht="13.8">
      <c r="F1263" s="992"/>
      <c r="H1263" s="992"/>
      <c r="I1263" s="986"/>
    </row>
    <row r="1264" spans="6:9" ht="13.8">
      <c r="F1264" s="992"/>
      <c r="H1264" s="992"/>
      <c r="I1264" s="986"/>
    </row>
    <row r="1265" spans="6:9" ht="13.8">
      <c r="F1265" s="992"/>
      <c r="H1265" s="992"/>
      <c r="I1265" s="986"/>
    </row>
    <row r="1266" spans="6:9" ht="13.8">
      <c r="F1266" s="992"/>
      <c r="H1266" s="992"/>
      <c r="I1266" s="986"/>
    </row>
    <row r="1267" spans="6:9" ht="13.8">
      <c r="F1267" s="992"/>
      <c r="H1267" s="992"/>
      <c r="I1267" s="986"/>
    </row>
    <row r="1268" spans="6:9" ht="13.8">
      <c r="F1268" s="992"/>
      <c r="H1268" s="992"/>
      <c r="I1268" s="986"/>
    </row>
    <row r="1269" spans="6:9" ht="13.8">
      <c r="F1269" s="992"/>
      <c r="H1269" s="992"/>
      <c r="I1269" s="986"/>
    </row>
    <row r="1270" spans="6:9" ht="13.8">
      <c r="F1270" s="992"/>
      <c r="H1270" s="992"/>
      <c r="I1270" s="986"/>
    </row>
    <row r="1271" spans="6:9" ht="13.8">
      <c r="F1271" s="992"/>
      <c r="H1271" s="992"/>
      <c r="I1271" s="986"/>
    </row>
    <row r="1272" spans="6:9" ht="13.8">
      <c r="F1272" s="992"/>
      <c r="H1272" s="992"/>
      <c r="I1272" s="986"/>
    </row>
    <row r="1273" spans="6:9" ht="13.8">
      <c r="F1273" s="992"/>
      <c r="H1273" s="992"/>
      <c r="I1273" s="986"/>
    </row>
    <row r="1274" spans="6:9" ht="13.8">
      <c r="F1274" s="992"/>
      <c r="H1274" s="992"/>
      <c r="I1274" s="986"/>
    </row>
    <row r="1275" spans="6:9" ht="13.8">
      <c r="F1275" s="992"/>
      <c r="H1275" s="992"/>
      <c r="I1275" s="986"/>
    </row>
    <row r="1276" spans="6:9" ht="13.8">
      <c r="F1276" s="992"/>
      <c r="H1276" s="992"/>
      <c r="I1276" s="986"/>
    </row>
    <row r="1277" spans="6:9" ht="13.8">
      <c r="F1277" s="992"/>
      <c r="H1277" s="992"/>
      <c r="I1277" s="986"/>
    </row>
    <row r="1278" spans="6:9" ht="13.8">
      <c r="F1278" s="992"/>
      <c r="H1278" s="992"/>
      <c r="I1278" s="986"/>
    </row>
    <row r="1279" spans="6:9" ht="13.8">
      <c r="F1279" s="992"/>
      <c r="H1279" s="992"/>
      <c r="I1279" s="986"/>
    </row>
    <row r="1280" spans="6:9" ht="13.8">
      <c r="F1280" s="992"/>
      <c r="H1280" s="992"/>
      <c r="I1280" s="986"/>
    </row>
    <row r="1281" spans="6:9" ht="13.8">
      <c r="F1281" s="992"/>
      <c r="H1281" s="992"/>
      <c r="I1281" s="986"/>
    </row>
    <row r="1282" spans="6:9" ht="13.8">
      <c r="F1282" s="992"/>
      <c r="H1282" s="992"/>
      <c r="I1282" s="986"/>
    </row>
    <row r="1283" spans="6:9" ht="13.8">
      <c r="F1283" s="992"/>
      <c r="H1283" s="992"/>
      <c r="I1283" s="986"/>
    </row>
    <row r="1284" spans="6:9" ht="13.8">
      <c r="F1284" s="992"/>
      <c r="H1284" s="992"/>
      <c r="I1284" s="986"/>
    </row>
    <row r="1285" spans="6:9" ht="13.8">
      <c r="F1285" s="992"/>
      <c r="H1285" s="992"/>
      <c r="I1285" s="986"/>
    </row>
    <row r="1286" spans="6:9" ht="13.8">
      <c r="F1286" s="992"/>
      <c r="H1286" s="992"/>
      <c r="I1286" s="986"/>
    </row>
    <row r="1287" spans="6:9" ht="13.8">
      <c r="F1287" s="992"/>
      <c r="H1287" s="992"/>
      <c r="I1287" s="986"/>
    </row>
    <row r="1288" spans="6:9" ht="13.8">
      <c r="F1288" s="992"/>
      <c r="H1288" s="992"/>
      <c r="I1288" s="986"/>
    </row>
    <row r="1289" spans="6:9" ht="13.8">
      <c r="F1289" s="992"/>
      <c r="H1289" s="992"/>
      <c r="I1289" s="986"/>
    </row>
    <row r="1290" spans="6:9" ht="13.8">
      <c r="F1290" s="992"/>
      <c r="H1290" s="992"/>
      <c r="I1290" s="986"/>
    </row>
    <row r="1291" spans="6:9" ht="13.8">
      <c r="F1291" s="992"/>
      <c r="H1291" s="992"/>
      <c r="I1291" s="986"/>
    </row>
    <row r="1292" spans="6:9" ht="13.8">
      <c r="F1292" s="992"/>
      <c r="H1292" s="992"/>
      <c r="I1292" s="986"/>
    </row>
    <row r="1293" spans="6:9" ht="13.8">
      <c r="F1293" s="992"/>
      <c r="H1293" s="992"/>
      <c r="I1293" s="986"/>
    </row>
    <row r="1294" spans="6:9" ht="13.8">
      <c r="F1294" s="992"/>
      <c r="H1294" s="992"/>
      <c r="I1294" s="986"/>
    </row>
    <row r="1295" spans="6:9" ht="13.8">
      <c r="F1295" s="992"/>
      <c r="H1295" s="992"/>
      <c r="I1295" s="986"/>
    </row>
    <row r="1296" spans="6:9" ht="13.8">
      <c r="F1296" s="992"/>
      <c r="H1296" s="992"/>
      <c r="I1296" s="986"/>
    </row>
    <row r="1297" spans="6:9" ht="13.8">
      <c r="F1297" s="992"/>
      <c r="H1297" s="992"/>
      <c r="I1297" s="986"/>
    </row>
    <row r="1298" spans="6:9" ht="13.8">
      <c r="F1298" s="992"/>
      <c r="H1298" s="992"/>
      <c r="I1298" s="986"/>
    </row>
    <row r="1299" spans="6:9" ht="13.8">
      <c r="F1299" s="992"/>
      <c r="H1299" s="992"/>
      <c r="I1299" s="986"/>
    </row>
    <row r="1300" spans="6:9" ht="13.8">
      <c r="F1300" s="992"/>
      <c r="H1300" s="992"/>
      <c r="I1300" s="986"/>
    </row>
    <row r="1301" spans="6:9" ht="13.8">
      <c r="F1301" s="992"/>
      <c r="H1301" s="992"/>
      <c r="I1301" s="986"/>
    </row>
    <row r="1302" spans="6:9" ht="13.8">
      <c r="F1302" s="992"/>
      <c r="H1302" s="992"/>
      <c r="I1302" s="986"/>
    </row>
    <row r="1303" spans="6:9" ht="13.8">
      <c r="F1303" s="992"/>
      <c r="H1303" s="992"/>
      <c r="I1303" s="986"/>
    </row>
    <row r="1304" spans="6:9" ht="13.8">
      <c r="F1304" s="992"/>
      <c r="H1304" s="992"/>
      <c r="I1304" s="986"/>
    </row>
    <row r="1305" spans="6:9" ht="13.8">
      <c r="F1305" s="992"/>
      <c r="H1305" s="992"/>
      <c r="I1305" s="986"/>
    </row>
    <row r="1306" spans="6:9" ht="13.8">
      <c r="F1306" s="992"/>
      <c r="H1306" s="992"/>
      <c r="I1306" s="986"/>
    </row>
    <row r="1307" spans="6:9" ht="13.8">
      <c r="F1307" s="992"/>
      <c r="H1307" s="992"/>
      <c r="I1307" s="986"/>
    </row>
    <row r="1308" spans="6:9" ht="13.8">
      <c r="F1308" s="992"/>
      <c r="H1308" s="992"/>
      <c r="I1308" s="986"/>
    </row>
    <row r="1309" spans="6:9" ht="13.8">
      <c r="F1309" s="992"/>
      <c r="H1309" s="992"/>
      <c r="I1309" s="986"/>
    </row>
    <row r="1310" spans="6:9" ht="13.8">
      <c r="F1310" s="992"/>
      <c r="H1310" s="992"/>
      <c r="I1310" s="986"/>
    </row>
    <row r="1311" spans="6:9" ht="13.8">
      <c r="F1311" s="992"/>
      <c r="H1311" s="992"/>
      <c r="I1311" s="986"/>
    </row>
    <row r="1312" spans="6:9" ht="13.8">
      <c r="F1312" s="992"/>
      <c r="H1312" s="992"/>
      <c r="I1312" s="986"/>
    </row>
    <row r="1313" spans="6:9" ht="13.8">
      <c r="F1313" s="992"/>
      <c r="H1313" s="992"/>
      <c r="I1313" s="986"/>
    </row>
    <row r="1314" spans="6:9" ht="13.8">
      <c r="F1314" s="992"/>
      <c r="H1314" s="992"/>
      <c r="I1314" s="986"/>
    </row>
    <row r="1315" spans="6:9" ht="13.8">
      <c r="F1315" s="992"/>
      <c r="H1315" s="992"/>
      <c r="I1315" s="986"/>
    </row>
    <row r="1316" spans="6:9" ht="13.8">
      <c r="F1316" s="992"/>
      <c r="H1316" s="992"/>
      <c r="I1316" s="986"/>
    </row>
    <row r="1317" spans="6:9" ht="13.8">
      <c r="F1317" s="992"/>
      <c r="H1317" s="992"/>
      <c r="I1317" s="986"/>
    </row>
    <row r="1318" spans="6:9" ht="13.8">
      <c r="F1318" s="992"/>
      <c r="H1318" s="992"/>
      <c r="I1318" s="986"/>
    </row>
    <row r="1319" spans="6:9" ht="13.8">
      <c r="F1319" s="992"/>
      <c r="H1319" s="992"/>
      <c r="I1319" s="986"/>
    </row>
    <row r="1320" spans="6:9" ht="13.8">
      <c r="F1320" s="992"/>
      <c r="H1320" s="992"/>
      <c r="I1320" s="986"/>
    </row>
    <row r="1321" spans="6:9" ht="13.8">
      <c r="F1321" s="992"/>
      <c r="H1321" s="992"/>
      <c r="I1321" s="986"/>
    </row>
    <row r="1322" spans="6:9" ht="13.8">
      <c r="F1322" s="992"/>
      <c r="H1322" s="992"/>
      <c r="I1322" s="986"/>
    </row>
    <row r="1323" spans="6:9" ht="13.8">
      <c r="F1323" s="992"/>
      <c r="H1323" s="992"/>
      <c r="I1323" s="986"/>
    </row>
    <row r="1324" spans="6:9" ht="13.8">
      <c r="F1324" s="992"/>
      <c r="H1324" s="992"/>
      <c r="I1324" s="986"/>
    </row>
    <row r="1325" spans="6:9" ht="13.8">
      <c r="F1325" s="992"/>
      <c r="H1325" s="992"/>
      <c r="I1325" s="986"/>
    </row>
    <row r="1326" spans="6:9" ht="13.8">
      <c r="F1326" s="992"/>
      <c r="H1326" s="992"/>
      <c r="I1326" s="986"/>
    </row>
    <row r="1327" spans="6:9" ht="13.8">
      <c r="F1327" s="992"/>
      <c r="H1327" s="992"/>
      <c r="I1327" s="986"/>
    </row>
    <row r="1328" spans="6:9" ht="13.8">
      <c r="F1328" s="992"/>
      <c r="H1328" s="992"/>
      <c r="I1328" s="986"/>
    </row>
    <row r="1329" spans="6:9" ht="13.8">
      <c r="F1329" s="992"/>
      <c r="H1329" s="992"/>
      <c r="I1329" s="986"/>
    </row>
    <row r="1330" spans="6:9" ht="13.8">
      <c r="F1330" s="992"/>
      <c r="H1330" s="992"/>
      <c r="I1330" s="986"/>
    </row>
    <row r="1331" spans="6:9" ht="13.8">
      <c r="F1331" s="992"/>
      <c r="H1331" s="992"/>
      <c r="I1331" s="986"/>
    </row>
    <row r="1332" spans="6:9" ht="13.8">
      <c r="F1332" s="992"/>
      <c r="H1332" s="992"/>
      <c r="I1332" s="986"/>
    </row>
    <row r="1333" spans="6:9" ht="13.8">
      <c r="F1333" s="992"/>
      <c r="H1333" s="992"/>
      <c r="I1333" s="986"/>
    </row>
    <row r="1334" spans="6:9" ht="13.8">
      <c r="F1334" s="992"/>
      <c r="H1334" s="992"/>
      <c r="I1334" s="986"/>
    </row>
    <row r="1335" spans="6:9" ht="13.8">
      <c r="F1335" s="992"/>
      <c r="H1335" s="992"/>
      <c r="I1335" s="986"/>
    </row>
    <row r="1336" spans="6:9" ht="13.8">
      <c r="F1336" s="992"/>
      <c r="H1336" s="992"/>
      <c r="I1336" s="986"/>
    </row>
    <row r="1337" spans="6:9" ht="13.8">
      <c r="F1337" s="992"/>
      <c r="H1337" s="992"/>
      <c r="I1337" s="986"/>
    </row>
    <row r="1338" spans="6:9" ht="13.8">
      <c r="F1338" s="992"/>
      <c r="H1338" s="992"/>
      <c r="I1338" s="986"/>
    </row>
    <row r="1339" spans="6:9" ht="13.8">
      <c r="F1339" s="992"/>
      <c r="H1339" s="992"/>
      <c r="I1339" s="986"/>
    </row>
    <row r="1340" spans="6:9" ht="13.8">
      <c r="F1340" s="992"/>
      <c r="H1340" s="992"/>
      <c r="I1340" s="986"/>
    </row>
    <row r="1341" spans="6:9" ht="13.8">
      <c r="F1341" s="992"/>
      <c r="H1341" s="992"/>
      <c r="I1341" s="986"/>
    </row>
    <row r="1342" spans="6:9" ht="13.8">
      <c r="F1342" s="992"/>
      <c r="H1342" s="992"/>
      <c r="I1342" s="986"/>
    </row>
    <row r="1343" spans="6:9" ht="13.8">
      <c r="F1343" s="992"/>
      <c r="H1343" s="992"/>
      <c r="I1343" s="986"/>
    </row>
    <row r="1344" spans="6:9" ht="13.8">
      <c r="F1344" s="992"/>
      <c r="H1344" s="992"/>
      <c r="I1344" s="986"/>
    </row>
    <row r="1345" spans="6:9" ht="13.8">
      <c r="F1345" s="992"/>
      <c r="H1345" s="992"/>
      <c r="I1345" s="986"/>
    </row>
    <row r="1346" spans="6:9" ht="13.8">
      <c r="F1346" s="992"/>
      <c r="H1346" s="992"/>
      <c r="I1346" s="986"/>
    </row>
    <row r="1347" spans="6:9" ht="13.8">
      <c r="F1347" s="992"/>
      <c r="H1347" s="992"/>
      <c r="I1347" s="986"/>
    </row>
    <row r="1348" spans="6:9" ht="13.8">
      <c r="F1348" s="992"/>
      <c r="H1348" s="992"/>
      <c r="I1348" s="986"/>
    </row>
    <row r="1349" spans="6:9" ht="13.8">
      <c r="F1349" s="992"/>
      <c r="H1349" s="992"/>
      <c r="I1349" s="986"/>
    </row>
    <row r="1350" spans="6:9" ht="13.8">
      <c r="F1350" s="992"/>
      <c r="H1350" s="992"/>
      <c r="I1350" s="986"/>
    </row>
    <row r="1351" spans="6:9" ht="13.8">
      <c r="F1351" s="992"/>
      <c r="H1351" s="992"/>
      <c r="I1351" s="986"/>
    </row>
    <row r="1352" spans="6:9" ht="13.8">
      <c r="F1352" s="992"/>
      <c r="H1352" s="992"/>
      <c r="I1352" s="986"/>
    </row>
    <row r="1353" spans="6:9" ht="13.8">
      <c r="F1353" s="992"/>
      <c r="H1353" s="992"/>
      <c r="I1353" s="986"/>
    </row>
    <row r="1354" spans="6:9" ht="13.8">
      <c r="F1354" s="992"/>
      <c r="H1354" s="992"/>
      <c r="I1354" s="986"/>
    </row>
    <row r="1355" spans="6:9" ht="13.8">
      <c r="F1355" s="992"/>
      <c r="H1355" s="992"/>
      <c r="I1355" s="986"/>
    </row>
    <row r="1356" spans="6:9" ht="13.8">
      <c r="F1356" s="992"/>
      <c r="H1356" s="992"/>
      <c r="I1356" s="986"/>
    </row>
    <row r="1357" spans="6:9" ht="13.8">
      <c r="F1357" s="992"/>
      <c r="H1357" s="992"/>
      <c r="I1357" s="986"/>
    </row>
    <row r="1358" spans="6:9" ht="13.8">
      <c r="F1358" s="992"/>
      <c r="H1358" s="992"/>
      <c r="I1358" s="986"/>
    </row>
    <row r="1359" spans="6:9" ht="13.8">
      <c r="F1359" s="992"/>
      <c r="H1359" s="992"/>
      <c r="I1359" s="986"/>
    </row>
    <row r="1360" spans="6:9" ht="13.8">
      <c r="F1360" s="992"/>
      <c r="H1360" s="992"/>
      <c r="I1360" s="986"/>
    </row>
    <row r="1361" spans="6:9" ht="13.8">
      <c r="F1361" s="992"/>
      <c r="H1361" s="992"/>
      <c r="I1361" s="986"/>
    </row>
    <row r="1362" spans="6:9" ht="13.8">
      <c r="F1362" s="992"/>
      <c r="H1362" s="992"/>
      <c r="I1362" s="986"/>
    </row>
    <row r="1363" spans="6:9" ht="13.8">
      <c r="F1363" s="992"/>
      <c r="H1363" s="992"/>
      <c r="I1363" s="986"/>
    </row>
    <row r="1364" spans="6:9" ht="13.8">
      <c r="F1364" s="992"/>
      <c r="H1364" s="992"/>
      <c r="I1364" s="986"/>
    </row>
    <row r="1365" spans="6:9" ht="13.8">
      <c r="F1365" s="992"/>
      <c r="H1365" s="992"/>
      <c r="I1365" s="986"/>
    </row>
    <row r="1366" spans="6:9" ht="13.8">
      <c r="F1366" s="992"/>
      <c r="H1366" s="992"/>
      <c r="I1366" s="986"/>
    </row>
    <row r="1367" spans="6:9" ht="13.8">
      <c r="F1367" s="992"/>
      <c r="H1367" s="992"/>
      <c r="I1367" s="986"/>
    </row>
    <row r="1368" spans="6:9" ht="13.8">
      <c r="F1368" s="992"/>
      <c r="H1368" s="992"/>
      <c r="I1368" s="986"/>
    </row>
    <row r="1369" spans="6:9" ht="13.8">
      <c r="F1369" s="992"/>
      <c r="H1369" s="992"/>
      <c r="I1369" s="986"/>
    </row>
    <row r="1370" spans="6:9" ht="13.8">
      <c r="F1370" s="992"/>
      <c r="H1370" s="992"/>
      <c r="I1370" s="986"/>
    </row>
    <row r="1371" spans="6:9" ht="13.8">
      <c r="F1371" s="992"/>
      <c r="H1371" s="992"/>
      <c r="I1371" s="986"/>
    </row>
    <row r="1372" spans="6:9" ht="13.8">
      <c r="F1372" s="992"/>
      <c r="H1372" s="992"/>
      <c r="I1372" s="986"/>
    </row>
    <row r="1373" spans="6:9" ht="13.8">
      <c r="F1373" s="992"/>
      <c r="H1373" s="992"/>
      <c r="I1373" s="986"/>
    </row>
    <row r="1374" spans="6:9" ht="13.8">
      <c r="F1374" s="992"/>
      <c r="H1374" s="992"/>
      <c r="I1374" s="986"/>
    </row>
    <row r="1375" spans="6:9" ht="13.8">
      <c r="F1375" s="992"/>
      <c r="H1375" s="992"/>
      <c r="I1375" s="986"/>
    </row>
    <row r="1376" spans="6:9" ht="13.8">
      <c r="F1376" s="992"/>
      <c r="H1376" s="992"/>
      <c r="I1376" s="986"/>
    </row>
    <row r="1377" spans="6:9" ht="13.8">
      <c r="F1377" s="992"/>
      <c r="H1377" s="992"/>
      <c r="I1377" s="986"/>
    </row>
    <row r="1378" spans="6:9" ht="13.8">
      <c r="F1378" s="992"/>
      <c r="H1378" s="992"/>
      <c r="I1378" s="986"/>
    </row>
    <row r="1379" spans="6:9" ht="13.8">
      <c r="F1379" s="992"/>
      <c r="H1379" s="992"/>
      <c r="I1379" s="986"/>
    </row>
    <row r="1380" spans="6:9" ht="13.8">
      <c r="F1380" s="992"/>
      <c r="H1380" s="992"/>
      <c r="I1380" s="986"/>
    </row>
    <row r="1381" spans="6:9" ht="13.8">
      <c r="F1381" s="992"/>
      <c r="H1381" s="992"/>
      <c r="I1381" s="986"/>
    </row>
    <row r="1382" spans="6:9" ht="13.8">
      <c r="F1382" s="992"/>
      <c r="H1382" s="992"/>
      <c r="I1382" s="986"/>
    </row>
    <row r="1383" spans="6:9" ht="13.8">
      <c r="F1383" s="992"/>
      <c r="H1383" s="992"/>
      <c r="I1383" s="986"/>
    </row>
    <row r="1384" spans="6:9" ht="13.8">
      <c r="F1384" s="992"/>
      <c r="H1384" s="992"/>
      <c r="I1384" s="986"/>
    </row>
    <row r="1385" spans="6:9" ht="13.8">
      <c r="F1385" s="992"/>
      <c r="H1385" s="992"/>
      <c r="I1385" s="986"/>
    </row>
    <row r="1386" spans="6:9" ht="13.8">
      <c r="F1386" s="992"/>
      <c r="H1386" s="992"/>
      <c r="I1386" s="986"/>
    </row>
    <row r="1387" spans="6:9" ht="13.8">
      <c r="F1387" s="992"/>
      <c r="H1387" s="992"/>
      <c r="I1387" s="986"/>
    </row>
    <row r="1388" spans="6:9" ht="13.8">
      <c r="F1388" s="992"/>
      <c r="H1388" s="992"/>
      <c r="I1388" s="986"/>
    </row>
    <row r="1389" spans="6:9" ht="13.8">
      <c r="F1389" s="992"/>
      <c r="H1389" s="992"/>
      <c r="I1389" s="986"/>
    </row>
    <row r="1390" spans="6:9" ht="13.8">
      <c r="F1390" s="992"/>
      <c r="H1390" s="992"/>
      <c r="I1390" s="986"/>
    </row>
    <row r="1391" spans="6:9" ht="13.8">
      <c r="F1391" s="992"/>
      <c r="H1391" s="992"/>
      <c r="I1391" s="986"/>
    </row>
    <row r="1392" spans="6:9" ht="13.8">
      <c r="F1392" s="992"/>
      <c r="H1392" s="992"/>
      <c r="I1392" s="986"/>
    </row>
    <row r="1393" spans="6:9" ht="13.8">
      <c r="F1393" s="992"/>
      <c r="H1393" s="992"/>
      <c r="I1393" s="986"/>
    </row>
    <row r="1394" spans="6:9" ht="13.8">
      <c r="F1394" s="992"/>
      <c r="H1394" s="992"/>
      <c r="I1394" s="986"/>
    </row>
    <row r="1395" spans="6:9" ht="13.8">
      <c r="F1395" s="992"/>
      <c r="H1395" s="992"/>
      <c r="I1395" s="986"/>
    </row>
    <row r="1396" spans="6:9" ht="13.8">
      <c r="F1396" s="992"/>
      <c r="H1396" s="992"/>
      <c r="I1396" s="986"/>
    </row>
    <row r="1397" spans="6:9" ht="13.8">
      <c r="F1397" s="992"/>
      <c r="H1397" s="992"/>
      <c r="I1397" s="986"/>
    </row>
    <row r="1398" spans="6:9" ht="13.8">
      <c r="F1398" s="992"/>
      <c r="H1398" s="992"/>
      <c r="I1398" s="986"/>
    </row>
    <row r="1399" spans="6:9" ht="13.8">
      <c r="F1399" s="992"/>
      <c r="H1399" s="992"/>
      <c r="I1399" s="986"/>
    </row>
    <row r="1400" spans="6:9" ht="13.8">
      <c r="F1400" s="992"/>
      <c r="H1400" s="992"/>
      <c r="I1400" s="986"/>
    </row>
    <row r="1401" spans="6:9" ht="13.8">
      <c r="F1401" s="992"/>
      <c r="H1401" s="992"/>
      <c r="I1401" s="986"/>
    </row>
    <row r="1402" spans="6:9" ht="13.8">
      <c r="F1402" s="992"/>
      <c r="H1402" s="992"/>
      <c r="I1402" s="986"/>
    </row>
    <row r="1403" spans="6:9" ht="13.8">
      <c r="F1403" s="992"/>
      <c r="H1403" s="992"/>
      <c r="I1403" s="986"/>
    </row>
    <row r="1404" spans="6:9" ht="13.8">
      <c r="F1404" s="992"/>
      <c r="H1404" s="992"/>
      <c r="I1404" s="986"/>
    </row>
    <row r="1405" spans="6:9" ht="13.8">
      <c r="F1405" s="992"/>
      <c r="H1405" s="992"/>
      <c r="I1405" s="986"/>
    </row>
    <row r="1406" spans="6:9" ht="13.8">
      <c r="F1406" s="992"/>
      <c r="H1406" s="992"/>
      <c r="I1406" s="986"/>
    </row>
    <row r="1407" spans="6:9" ht="13.8">
      <c r="F1407" s="992"/>
      <c r="H1407" s="992"/>
      <c r="I1407" s="986"/>
    </row>
    <row r="1408" spans="6:9" ht="13.8">
      <c r="F1408" s="992"/>
      <c r="H1408" s="992"/>
      <c r="I1408" s="986"/>
    </row>
    <row r="1409" spans="6:9" ht="13.8">
      <c r="F1409" s="992"/>
      <c r="H1409" s="992"/>
      <c r="I1409" s="986"/>
    </row>
    <row r="1410" spans="6:9" ht="13.8">
      <c r="F1410" s="992"/>
      <c r="H1410" s="992"/>
      <c r="I1410" s="986"/>
    </row>
    <row r="1411" spans="6:9" ht="13.8">
      <c r="F1411" s="992"/>
      <c r="H1411" s="992"/>
      <c r="I1411" s="986"/>
    </row>
    <row r="1412" spans="6:9" ht="13.8">
      <c r="F1412" s="992"/>
      <c r="H1412" s="992"/>
      <c r="I1412" s="986"/>
    </row>
    <row r="1413" spans="6:9" ht="13.8">
      <c r="F1413" s="992"/>
      <c r="H1413" s="992"/>
      <c r="I1413" s="986"/>
    </row>
    <row r="1414" spans="6:9" ht="13.8">
      <c r="F1414" s="992"/>
      <c r="H1414" s="992"/>
      <c r="I1414" s="986"/>
    </row>
    <row r="1415" spans="6:9" ht="13.8">
      <c r="F1415" s="992"/>
      <c r="H1415" s="992"/>
      <c r="I1415" s="986"/>
    </row>
    <row r="1416" spans="6:9" ht="13.8">
      <c r="F1416" s="992"/>
      <c r="H1416" s="992"/>
      <c r="I1416" s="986"/>
    </row>
    <row r="1417" spans="6:9" ht="13.8">
      <c r="F1417" s="992"/>
      <c r="H1417" s="992"/>
      <c r="I1417" s="986"/>
    </row>
    <row r="1418" spans="6:9" ht="13.8">
      <c r="F1418" s="992"/>
      <c r="H1418" s="992"/>
      <c r="I1418" s="986"/>
    </row>
    <row r="1419" spans="6:9" ht="13.8">
      <c r="F1419" s="992"/>
      <c r="H1419" s="992"/>
      <c r="I1419" s="986"/>
    </row>
    <row r="1420" spans="6:9" ht="13.8">
      <c r="F1420" s="992"/>
      <c r="H1420" s="992"/>
      <c r="I1420" s="986"/>
    </row>
    <row r="1421" spans="6:9" ht="13.8">
      <c r="F1421" s="992"/>
      <c r="H1421" s="992"/>
      <c r="I1421" s="986"/>
    </row>
    <row r="1422" spans="6:9" ht="13.8">
      <c r="F1422" s="992"/>
      <c r="H1422" s="992"/>
      <c r="I1422" s="986"/>
    </row>
    <row r="1423" spans="6:9" ht="13.8">
      <c r="F1423" s="992"/>
      <c r="H1423" s="992"/>
      <c r="I1423" s="986"/>
    </row>
    <row r="1424" spans="6:9" ht="13.8">
      <c r="F1424" s="992"/>
      <c r="H1424" s="992"/>
      <c r="I1424" s="986"/>
    </row>
    <row r="1425" spans="6:9" ht="13.8">
      <c r="F1425" s="992"/>
      <c r="H1425" s="992"/>
      <c r="I1425" s="986"/>
    </row>
    <row r="1426" spans="6:9" ht="13.8">
      <c r="F1426" s="992"/>
      <c r="H1426" s="992"/>
      <c r="I1426" s="986"/>
    </row>
    <row r="1427" spans="6:9" ht="13.8">
      <c r="F1427" s="992"/>
      <c r="H1427" s="992"/>
      <c r="I1427" s="986"/>
    </row>
    <row r="1428" spans="6:9" ht="13.8">
      <c r="F1428" s="992"/>
      <c r="H1428" s="992"/>
      <c r="I1428" s="986"/>
    </row>
    <row r="1429" spans="6:9" ht="13.8">
      <c r="F1429" s="992"/>
      <c r="H1429" s="992"/>
      <c r="I1429" s="986"/>
    </row>
    <row r="1430" spans="6:9" ht="13.8">
      <c r="F1430" s="992"/>
      <c r="H1430" s="992"/>
      <c r="I1430" s="986"/>
    </row>
    <row r="1431" spans="6:9" ht="13.8">
      <c r="F1431" s="992"/>
      <c r="H1431" s="992"/>
      <c r="I1431" s="986"/>
    </row>
    <row r="1432" spans="6:9" ht="13.8">
      <c r="F1432" s="992"/>
      <c r="H1432" s="992"/>
      <c r="I1432" s="986"/>
    </row>
    <row r="1433" spans="6:9" ht="13.8">
      <c r="F1433" s="992"/>
      <c r="H1433" s="992"/>
      <c r="I1433" s="986"/>
    </row>
    <row r="1434" spans="6:9" ht="13.8">
      <c r="F1434" s="992"/>
      <c r="H1434" s="992"/>
      <c r="I1434" s="986"/>
    </row>
    <row r="1435" spans="6:9" ht="13.8">
      <c r="F1435" s="992"/>
      <c r="H1435" s="992"/>
      <c r="I1435" s="986"/>
    </row>
    <row r="1436" spans="6:9" ht="13.8">
      <c r="F1436" s="992"/>
      <c r="H1436" s="992"/>
      <c r="I1436" s="986"/>
    </row>
    <row r="1437" spans="6:9" ht="13.8">
      <c r="F1437" s="992"/>
      <c r="H1437" s="992"/>
      <c r="I1437" s="986"/>
    </row>
    <row r="1438" spans="6:9" ht="13.8">
      <c r="F1438" s="992"/>
      <c r="H1438" s="992"/>
      <c r="I1438" s="986"/>
    </row>
    <row r="1439" spans="6:9" ht="13.8">
      <c r="F1439" s="992"/>
      <c r="H1439" s="992"/>
      <c r="I1439" s="986"/>
    </row>
    <row r="1440" spans="6:9" ht="13.8">
      <c r="F1440" s="992"/>
      <c r="H1440" s="992"/>
      <c r="I1440" s="986"/>
    </row>
    <row r="1441" spans="6:9" ht="13.8">
      <c r="F1441" s="992"/>
      <c r="H1441" s="992"/>
      <c r="I1441" s="986"/>
    </row>
    <row r="1442" spans="6:9" ht="13.8">
      <c r="F1442" s="992"/>
      <c r="H1442" s="992"/>
      <c r="I1442" s="986"/>
    </row>
    <row r="1443" spans="6:9" ht="13.8">
      <c r="F1443" s="992"/>
      <c r="H1443" s="992"/>
      <c r="I1443" s="986"/>
    </row>
    <row r="1444" spans="6:9" ht="13.8">
      <c r="F1444" s="992"/>
      <c r="H1444" s="992"/>
      <c r="I1444" s="986"/>
    </row>
    <row r="1445" spans="6:9" ht="13.8">
      <c r="F1445" s="992"/>
      <c r="H1445" s="992"/>
      <c r="I1445" s="986"/>
    </row>
    <row r="1446" spans="6:9" ht="13.8">
      <c r="F1446" s="992"/>
      <c r="H1446" s="992"/>
      <c r="I1446" s="986"/>
    </row>
    <row r="1447" spans="6:9" ht="13.8">
      <c r="F1447" s="992"/>
      <c r="H1447" s="992"/>
      <c r="I1447" s="986"/>
    </row>
    <row r="1448" spans="6:9" ht="13.8">
      <c r="F1448" s="992"/>
      <c r="H1448" s="992"/>
      <c r="I1448" s="986"/>
    </row>
    <row r="1449" spans="6:9" ht="13.8">
      <c r="F1449" s="992"/>
      <c r="H1449" s="992"/>
      <c r="I1449" s="986"/>
    </row>
    <row r="1450" spans="6:9" ht="13.8">
      <c r="F1450" s="992"/>
      <c r="H1450" s="992"/>
      <c r="I1450" s="986"/>
    </row>
    <row r="1451" spans="6:9" ht="13.8">
      <c r="F1451" s="992"/>
      <c r="H1451" s="992"/>
      <c r="I1451" s="986"/>
    </row>
    <row r="1452" spans="6:9" ht="13.8">
      <c r="F1452" s="992"/>
      <c r="H1452" s="992"/>
      <c r="I1452" s="986"/>
    </row>
    <row r="1453" spans="6:9" ht="13.8">
      <c r="F1453" s="992"/>
      <c r="H1453" s="992"/>
      <c r="I1453" s="986"/>
    </row>
    <row r="1454" spans="6:9" ht="13.8">
      <c r="F1454" s="992"/>
      <c r="H1454" s="992"/>
      <c r="I1454" s="986"/>
    </row>
    <row r="1455" spans="6:9" ht="13.8">
      <c r="F1455" s="992"/>
      <c r="H1455" s="992"/>
      <c r="I1455" s="986"/>
    </row>
    <row r="1456" spans="6:9" ht="13.8">
      <c r="F1456" s="992"/>
      <c r="H1456" s="992"/>
      <c r="I1456" s="986"/>
    </row>
    <row r="1457" spans="6:9" ht="13.8">
      <c r="F1457" s="992"/>
      <c r="H1457" s="992"/>
      <c r="I1457" s="986"/>
    </row>
    <row r="1458" spans="6:9" ht="13.8">
      <c r="F1458" s="992"/>
      <c r="H1458" s="992"/>
      <c r="I1458" s="986"/>
    </row>
    <row r="1459" spans="6:9" ht="13.8">
      <c r="F1459" s="992"/>
      <c r="H1459" s="992"/>
      <c r="I1459" s="986"/>
    </row>
    <row r="1460" spans="6:9" ht="13.8">
      <c r="F1460" s="992"/>
      <c r="H1460" s="992"/>
      <c r="I1460" s="986"/>
    </row>
    <row r="1461" spans="6:9" ht="13.8">
      <c r="F1461" s="992"/>
      <c r="H1461" s="992"/>
      <c r="I1461" s="986"/>
    </row>
    <row r="1462" spans="6:9" ht="13.8">
      <c r="F1462" s="992"/>
      <c r="H1462" s="992"/>
      <c r="I1462" s="986"/>
    </row>
    <row r="1463" spans="6:9" ht="13.8">
      <c r="F1463" s="992"/>
      <c r="H1463" s="992"/>
      <c r="I1463" s="986"/>
    </row>
    <row r="1464" spans="6:9" ht="13.8">
      <c r="F1464" s="992"/>
      <c r="H1464" s="992"/>
      <c r="I1464" s="986"/>
    </row>
    <row r="1465" spans="6:9" ht="13.8">
      <c r="F1465" s="992"/>
      <c r="H1465" s="992"/>
      <c r="I1465" s="986"/>
    </row>
    <row r="1466" spans="6:9" ht="13.8">
      <c r="F1466" s="992"/>
      <c r="H1466" s="992"/>
      <c r="I1466" s="986"/>
    </row>
    <row r="1467" spans="6:9" ht="13.8">
      <c r="F1467" s="992"/>
      <c r="H1467" s="992"/>
      <c r="I1467" s="986"/>
    </row>
    <row r="1468" spans="6:9" ht="13.8">
      <c r="F1468" s="992"/>
      <c r="H1468" s="992"/>
      <c r="I1468" s="986"/>
    </row>
    <row r="1469" spans="6:9" ht="13.8">
      <c r="F1469" s="992"/>
      <c r="H1469" s="992"/>
      <c r="I1469" s="986"/>
    </row>
    <row r="1470" spans="6:9" ht="13.8">
      <c r="F1470" s="992"/>
      <c r="H1470" s="992"/>
      <c r="I1470" s="986"/>
    </row>
    <row r="1471" spans="6:9" ht="13.8">
      <c r="F1471" s="992"/>
      <c r="H1471" s="992"/>
      <c r="I1471" s="986"/>
    </row>
    <row r="1472" spans="6:9" ht="13.8">
      <c r="F1472" s="992"/>
      <c r="H1472" s="992"/>
      <c r="I1472" s="986"/>
    </row>
    <row r="1473" spans="6:9" ht="13.8">
      <c r="F1473" s="992"/>
      <c r="H1473" s="992"/>
      <c r="I1473" s="986"/>
    </row>
    <row r="1474" spans="6:9" ht="13.8">
      <c r="F1474" s="992"/>
      <c r="H1474" s="992"/>
      <c r="I1474" s="986"/>
    </row>
    <row r="1475" spans="6:9" ht="13.8">
      <c r="F1475" s="992"/>
      <c r="H1475" s="992"/>
      <c r="I1475" s="986"/>
    </row>
    <row r="1476" spans="6:9" ht="13.8">
      <c r="F1476" s="992"/>
      <c r="H1476" s="992"/>
      <c r="I1476" s="986"/>
    </row>
    <row r="1477" spans="6:9" ht="13.8">
      <c r="F1477" s="992"/>
      <c r="H1477" s="992"/>
      <c r="I1477" s="986"/>
    </row>
    <row r="1478" spans="6:9" ht="13.8">
      <c r="F1478" s="992"/>
      <c r="H1478" s="992"/>
      <c r="I1478" s="986"/>
    </row>
    <row r="1479" spans="6:9" ht="13.8">
      <c r="F1479" s="992"/>
      <c r="H1479" s="992"/>
      <c r="I1479" s="986"/>
    </row>
    <row r="1480" spans="6:9" ht="13.8">
      <c r="F1480" s="992"/>
      <c r="H1480" s="992"/>
      <c r="I1480" s="986"/>
    </row>
    <row r="1481" spans="6:9" ht="13.8">
      <c r="F1481" s="992"/>
      <c r="H1481" s="992"/>
      <c r="I1481" s="986"/>
    </row>
    <row r="1482" spans="6:9" ht="13.8">
      <c r="F1482" s="992"/>
      <c r="H1482" s="992"/>
      <c r="I1482" s="986"/>
    </row>
    <row r="1483" spans="6:9" ht="13.8">
      <c r="F1483" s="992"/>
      <c r="H1483" s="992"/>
      <c r="I1483" s="986"/>
    </row>
    <row r="1484" spans="6:9" ht="13.8">
      <c r="F1484" s="992"/>
      <c r="H1484" s="992"/>
      <c r="I1484" s="986"/>
    </row>
    <row r="1485" spans="6:9" ht="13.8">
      <c r="F1485" s="992"/>
      <c r="H1485" s="992"/>
      <c r="I1485" s="986"/>
    </row>
    <row r="1486" spans="6:9" ht="13.8">
      <c r="F1486" s="992"/>
      <c r="H1486" s="992"/>
      <c r="I1486" s="986"/>
    </row>
    <row r="1487" spans="6:9" ht="13.8">
      <c r="F1487" s="992"/>
      <c r="H1487" s="992"/>
      <c r="I1487" s="986"/>
    </row>
    <row r="1488" spans="6:9" ht="13.8">
      <c r="F1488" s="992"/>
      <c r="H1488" s="992"/>
      <c r="I1488" s="986"/>
    </row>
    <row r="1489" spans="6:9" ht="13.8">
      <c r="F1489" s="992"/>
      <c r="H1489" s="992"/>
      <c r="I1489" s="986"/>
    </row>
    <row r="1490" spans="6:9" ht="13.8">
      <c r="F1490" s="992"/>
      <c r="H1490" s="992"/>
      <c r="I1490" s="986"/>
    </row>
    <row r="1491" spans="6:9" ht="13.8">
      <c r="F1491" s="992"/>
      <c r="H1491" s="992"/>
      <c r="I1491" s="986"/>
    </row>
    <row r="1492" spans="6:9" ht="13.8">
      <c r="F1492" s="992"/>
      <c r="H1492" s="992"/>
      <c r="I1492" s="986"/>
    </row>
    <row r="1493" spans="6:9" ht="13.8">
      <c r="F1493" s="992"/>
      <c r="H1493" s="992"/>
      <c r="I1493" s="986"/>
    </row>
    <row r="1494" spans="6:9" ht="13.8">
      <c r="F1494" s="992"/>
      <c r="H1494" s="992"/>
      <c r="I1494" s="986"/>
    </row>
    <row r="1495" spans="6:9" ht="13.8">
      <c r="F1495" s="992"/>
      <c r="H1495" s="992"/>
      <c r="I1495" s="986"/>
    </row>
    <row r="1496" spans="6:9" ht="13.8">
      <c r="F1496" s="992"/>
      <c r="H1496" s="992"/>
      <c r="I1496" s="986"/>
    </row>
    <row r="1497" spans="6:9" ht="13.8">
      <c r="F1497" s="992"/>
      <c r="H1497" s="992"/>
      <c r="I1497" s="986"/>
    </row>
    <row r="1498" spans="6:9" ht="13.8">
      <c r="F1498" s="992"/>
      <c r="H1498" s="992"/>
      <c r="I1498" s="986"/>
    </row>
    <row r="1499" spans="6:9" ht="13.8">
      <c r="F1499" s="992"/>
      <c r="H1499" s="992"/>
      <c r="I1499" s="986"/>
    </row>
    <row r="1500" spans="6:9" ht="13.8">
      <c r="F1500" s="992"/>
      <c r="H1500" s="992"/>
      <c r="I1500" s="986"/>
    </row>
    <row r="1501" spans="6:9" ht="13.8">
      <c r="F1501" s="992"/>
      <c r="H1501" s="992"/>
      <c r="I1501" s="986"/>
    </row>
    <row r="1502" spans="6:9" ht="13.8">
      <c r="F1502" s="992"/>
      <c r="H1502" s="992"/>
      <c r="I1502" s="986"/>
    </row>
    <row r="1503" spans="6:9" ht="13.8">
      <c r="F1503" s="992"/>
      <c r="H1503" s="992"/>
      <c r="I1503" s="986"/>
    </row>
    <row r="1504" spans="6:9" ht="13.8">
      <c r="F1504" s="992"/>
      <c r="H1504" s="992"/>
      <c r="I1504" s="986"/>
    </row>
    <row r="1505" spans="6:9" ht="13.8">
      <c r="F1505" s="992"/>
      <c r="H1505" s="992"/>
      <c r="I1505" s="986"/>
    </row>
    <row r="1506" spans="6:9" ht="13.8">
      <c r="F1506" s="992"/>
      <c r="H1506" s="992"/>
      <c r="I1506" s="986"/>
    </row>
    <row r="1507" spans="6:9" ht="13.8">
      <c r="F1507" s="992"/>
      <c r="H1507" s="992"/>
      <c r="I1507" s="986"/>
    </row>
    <row r="1508" spans="6:9" ht="13.8">
      <c r="F1508" s="992"/>
      <c r="H1508" s="992"/>
      <c r="I1508" s="986"/>
    </row>
    <row r="1509" spans="6:9" ht="13.8">
      <c r="F1509" s="992"/>
      <c r="H1509" s="992"/>
      <c r="I1509" s="986"/>
    </row>
    <row r="1510" spans="6:9" ht="13.8">
      <c r="F1510" s="992"/>
      <c r="H1510" s="992"/>
      <c r="I1510" s="986"/>
    </row>
    <row r="1511" spans="6:9" ht="13.8">
      <c r="F1511" s="992"/>
      <c r="H1511" s="992"/>
      <c r="I1511" s="986"/>
    </row>
    <row r="1512" spans="6:9" ht="13.8">
      <c r="F1512" s="992"/>
      <c r="H1512" s="992"/>
      <c r="I1512" s="986"/>
    </row>
    <row r="1513" spans="6:9" ht="13.8">
      <c r="F1513" s="992"/>
      <c r="H1513" s="992"/>
      <c r="I1513" s="986"/>
    </row>
    <row r="1514" spans="6:9" ht="13.8">
      <c r="F1514" s="992"/>
      <c r="H1514" s="992"/>
      <c r="I1514" s="986"/>
    </row>
    <row r="1515" spans="6:9" ht="13.8">
      <c r="F1515" s="992"/>
      <c r="H1515" s="992"/>
      <c r="I1515" s="986"/>
    </row>
    <row r="1516" spans="6:9" ht="13.8">
      <c r="F1516" s="992"/>
      <c r="H1516" s="992"/>
      <c r="I1516" s="986"/>
    </row>
    <row r="1517" spans="6:9" ht="13.8">
      <c r="F1517" s="992"/>
      <c r="H1517" s="992"/>
      <c r="I1517" s="986"/>
    </row>
    <row r="1518" spans="6:9" ht="13.8">
      <c r="F1518" s="992"/>
      <c r="H1518" s="992"/>
      <c r="I1518" s="986"/>
    </row>
    <row r="1519" spans="6:9" ht="13.8">
      <c r="F1519" s="992"/>
      <c r="H1519" s="992"/>
      <c r="I1519" s="986"/>
    </row>
    <row r="1520" spans="6:9" ht="13.8">
      <c r="F1520" s="992"/>
      <c r="H1520" s="992"/>
      <c r="I1520" s="986"/>
    </row>
    <row r="1521" spans="6:9" ht="13.8">
      <c r="F1521" s="992"/>
      <c r="H1521" s="992"/>
      <c r="I1521" s="986"/>
    </row>
    <row r="1522" spans="6:9" ht="13.8">
      <c r="F1522" s="992"/>
      <c r="H1522" s="992"/>
      <c r="I1522" s="986"/>
    </row>
    <row r="1523" spans="6:9" ht="13.8">
      <c r="F1523" s="992"/>
      <c r="H1523" s="992"/>
      <c r="I1523" s="986"/>
    </row>
    <row r="1524" spans="6:9" ht="13.8">
      <c r="F1524" s="992"/>
      <c r="H1524" s="992"/>
      <c r="I1524" s="986"/>
    </row>
    <row r="1525" spans="6:9" ht="13.8">
      <c r="F1525" s="992"/>
      <c r="H1525" s="992"/>
      <c r="I1525" s="986"/>
    </row>
    <row r="1526" spans="6:9" ht="13.8">
      <c r="F1526" s="992"/>
      <c r="H1526" s="992"/>
      <c r="I1526" s="986"/>
    </row>
    <row r="1527" spans="6:9" ht="13.8">
      <c r="F1527" s="992"/>
      <c r="H1527" s="992"/>
      <c r="I1527" s="986"/>
    </row>
    <row r="1528" spans="6:9" ht="13.8">
      <c r="F1528" s="992"/>
      <c r="H1528" s="992"/>
      <c r="I1528" s="986"/>
    </row>
    <row r="1529" spans="6:9" ht="13.8">
      <c r="F1529" s="992"/>
      <c r="H1529" s="992"/>
      <c r="I1529" s="986"/>
    </row>
    <row r="1530" spans="6:9" ht="13.8">
      <c r="F1530" s="992"/>
      <c r="H1530" s="992"/>
      <c r="I1530" s="986"/>
    </row>
    <row r="1531" spans="6:9" ht="13.8">
      <c r="F1531" s="992"/>
      <c r="H1531" s="992"/>
      <c r="I1531" s="986"/>
    </row>
    <row r="1532" spans="6:9" ht="13.8">
      <c r="F1532" s="992"/>
      <c r="H1532" s="992"/>
      <c r="I1532" s="986"/>
    </row>
    <row r="1533" spans="6:9" ht="13.8">
      <c r="F1533" s="992"/>
      <c r="H1533" s="992"/>
      <c r="I1533" s="986"/>
    </row>
    <row r="1534" spans="6:9" ht="13.8">
      <c r="F1534" s="992"/>
      <c r="H1534" s="992"/>
      <c r="I1534" s="986"/>
    </row>
    <row r="1535" spans="6:9" ht="13.8">
      <c r="F1535" s="992"/>
      <c r="H1535" s="992"/>
      <c r="I1535" s="986"/>
    </row>
    <row r="1536" spans="6:9" ht="13.8">
      <c r="F1536" s="992"/>
      <c r="H1536" s="992"/>
      <c r="I1536" s="986"/>
    </row>
    <row r="1537" spans="6:9" ht="13.8">
      <c r="F1537" s="992"/>
      <c r="H1537" s="992"/>
      <c r="I1537" s="986"/>
    </row>
    <row r="1538" spans="6:9" ht="13.8">
      <c r="F1538" s="992"/>
      <c r="H1538" s="992"/>
      <c r="I1538" s="986"/>
    </row>
    <row r="1539" spans="6:9" ht="13.8">
      <c r="F1539" s="992"/>
      <c r="H1539" s="992"/>
      <c r="I1539" s="986"/>
    </row>
    <row r="1540" spans="6:9" ht="13.8">
      <c r="F1540" s="992"/>
      <c r="H1540" s="992"/>
      <c r="I1540" s="986"/>
    </row>
    <row r="1541" spans="6:9" ht="13.8">
      <c r="F1541" s="992"/>
      <c r="H1541" s="992"/>
      <c r="I1541" s="986"/>
    </row>
    <row r="1542" spans="6:9" ht="13.8">
      <c r="F1542" s="992"/>
      <c r="H1542" s="992"/>
      <c r="I1542" s="986"/>
    </row>
    <row r="1543" spans="6:9" ht="13.8">
      <c r="F1543" s="992"/>
      <c r="H1543" s="992"/>
      <c r="I1543" s="986"/>
    </row>
    <row r="1544" spans="6:9" ht="13.8">
      <c r="F1544" s="992"/>
      <c r="H1544" s="992"/>
      <c r="I1544" s="986"/>
    </row>
    <row r="1545" spans="6:9" ht="13.8">
      <c r="F1545" s="992"/>
      <c r="H1545" s="992"/>
      <c r="I1545" s="986"/>
    </row>
    <row r="1546" spans="6:9" ht="13.8">
      <c r="F1546" s="992"/>
      <c r="H1546" s="992"/>
      <c r="I1546" s="986"/>
    </row>
    <row r="1547" spans="6:9" ht="13.8">
      <c r="F1547" s="992"/>
      <c r="H1547" s="992"/>
      <c r="I1547" s="986"/>
    </row>
    <row r="1548" spans="6:9" ht="13.8">
      <c r="F1548" s="992"/>
      <c r="H1548" s="992"/>
      <c r="I1548" s="986"/>
    </row>
    <row r="1549" spans="6:9" ht="13.8">
      <c r="F1549" s="992"/>
      <c r="H1549" s="992"/>
      <c r="I1549" s="986"/>
    </row>
    <row r="1550" spans="6:9" ht="13.8">
      <c r="F1550" s="992"/>
      <c r="H1550" s="992"/>
      <c r="I1550" s="986"/>
    </row>
    <row r="1551" spans="6:9" ht="13.8">
      <c r="F1551" s="992"/>
      <c r="H1551" s="992"/>
      <c r="I1551" s="986"/>
    </row>
    <row r="1552" spans="6:9" ht="13.8">
      <c r="F1552" s="992"/>
      <c r="H1552" s="992"/>
      <c r="I1552" s="986"/>
    </row>
    <row r="1553" spans="6:9" ht="13.8">
      <c r="F1553" s="992"/>
      <c r="H1553" s="992"/>
      <c r="I1553" s="986"/>
    </row>
    <row r="1554" spans="6:9" ht="13.8">
      <c r="F1554" s="992"/>
      <c r="H1554" s="992"/>
      <c r="I1554" s="986"/>
    </row>
    <row r="1555" spans="6:9" ht="13.8">
      <c r="F1555" s="992"/>
      <c r="H1555" s="992"/>
      <c r="I1555" s="986"/>
    </row>
    <row r="1556" spans="6:9" ht="13.8">
      <c r="F1556" s="992"/>
      <c r="H1556" s="992"/>
      <c r="I1556" s="986"/>
    </row>
    <row r="1557" spans="6:9" ht="13.8">
      <c r="F1557" s="992"/>
      <c r="H1557" s="992"/>
      <c r="I1557" s="986"/>
    </row>
    <row r="1558" spans="6:9" ht="13.8">
      <c r="F1558" s="992"/>
      <c r="H1558" s="992"/>
      <c r="I1558" s="986"/>
    </row>
    <row r="1559" spans="6:9" ht="13.8">
      <c r="F1559" s="992"/>
      <c r="H1559" s="992"/>
      <c r="I1559" s="986"/>
    </row>
    <row r="1560" spans="6:9" ht="13.8">
      <c r="F1560" s="992"/>
      <c r="H1560" s="992"/>
      <c r="I1560" s="986"/>
    </row>
    <row r="1561" spans="6:9" ht="13.8">
      <c r="F1561" s="992"/>
      <c r="H1561" s="992"/>
      <c r="I1561" s="986"/>
    </row>
    <row r="1562" spans="6:9" ht="13.8">
      <c r="F1562" s="992"/>
      <c r="H1562" s="992"/>
      <c r="I1562" s="986"/>
    </row>
    <row r="1563" spans="6:9" ht="13.8">
      <c r="F1563" s="992"/>
      <c r="H1563" s="992"/>
      <c r="I1563" s="986"/>
    </row>
    <row r="1564" spans="6:9" ht="13.8">
      <c r="F1564" s="992"/>
      <c r="H1564" s="992"/>
      <c r="I1564" s="986"/>
    </row>
    <row r="1565" spans="6:9" ht="13.8">
      <c r="F1565" s="992"/>
      <c r="H1565" s="992"/>
      <c r="I1565" s="986"/>
    </row>
    <row r="1566" spans="6:9" ht="13.8">
      <c r="F1566" s="992"/>
      <c r="H1566" s="992"/>
      <c r="I1566" s="986"/>
    </row>
    <row r="1567" spans="6:9" ht="13.8">
      <c r="F1567" s="992"/>
      <c r="H1567" s="992"/>
      <c r="I1567" s="986"/>
    </row>
    <row r="1568" spans="6:9" ht="13.8">
      <c r="F1568" s="992"/>
      <c r="H1568" s="992"/>
      <c r="I1568" s="986"/>
    </row>
    <row r="1569" spans="6:9" ht="13.8">
      <c r="F1569" s="992"/>
      <c r="H1569" s="992"/>
      <c r="I1569" s="986"/>
    </row>
    <row r="1570" spans="6:9" ht="13.8">
      <c r="F1570" s="992"/>
      <c r="H1570" s="992"/>
      <c r="I1570" s="986"/>
    </row>
    <row r="1571" spans="6:9" ht="13.8">
      <c r="F1571" s="992"/>
      <c r="H1571" s="992"/>
      <c r="I1571" s="986"/>
    </row>
    <row r="1572" spans="6:9" ht="13.8">
      <c r="F1572" s="992"/>
      <c r="H1572" s="992"/>
      <c r="I1572" s="986"/>
    </row>
    <row r="1573" spans="6:9" ht="13.8">
      <c r="F1573" s="992"/>
      <c r="H1573" s="992"/>
      <c r="I1573" s="986"/>
    </row>
    <row r="1574" spans="6:9" ht="13.8">
      <c r="F1574" s="992"/>
      <c r="H1574" s="992"/>
      <c r="I1574" s="986"/>
    </row>
    <row r="1575" spans="6:9" ht="13.8">
      <c r="F1575" s="992"/>
      <c r="H1575" s="992"/>
      <c r="I1575" s="986"/>
    </row>
    <row r="1576" spans="6:9" ht="13.8">
      <c r="F1576" s="992"/>
      <c r="H1576" s="992"/>
      <c r="I1576" s="986"/>
    </row>
    <row r="1577" spans="6:9" ht="13.8">
      <c r="F1577" s="992"/>
      <c r="H1577" s="992"/>
      <c r="I1577" s="986"/>
    </row>
    <row r="1578" spans="6:9" ht="13.8">
      <c r="F1578" s="992"/>
      <c r="H1578" s="992"/>
      <c r="I1578" s="986"/>
    </row>
    <row r="1579" spans="6:9" ht="13.8">
      <c r="F1579" s="992"/>
      <c r="H1579" s="992"/>
      <c r="I1579" s="986"/>
    </row>
    <row r="1580" spans="6:9" ht="13.8">
      <c r="F1580" s="992"/>
      <c r="H1580" s="992"/>
      <c r="I1580" s="986"/>
    </row>
    <row r="1581" spans="6:9" ht="13.8">
      <c r="F1581" s="992"/>
      <c r="H1581" s="992"/>
      <c r="I1581" s="986"/>
    </row>
    <row r="1582" spans="6:9" ht="13.8">
      <c r="F1582" s="992"/>
      <c r="H1582" s="992"/>
      <c r="I1582" s="986"/>
    </row>
    <row r="1583" spans="6:9" ht="13.8">
      <c r="F1583" s="992"/>
      <c r="H1583" s="992"/>
      <c r="I1583" s="986"/>
    </row>
    <row r="1584" spans="6:9" ht="13.8">
      <c r="F1584" s="992"/>
      <c r="H1584" s="992"/>
      <c r="I1584" s="986"/>
    </row>
    <row r="1585" spans="6:9" ht="13.8">
      <c r="F1585" s="992"/>
      <c r="H1585" s="992"/>
      <c r="I1585" s="986"/>
    </row>
    <row r="1586" spans="6:9" ht="13.8">
      <c r="F1586" s="992"/>
      <c r="H1586" s="992"/>
      <c r="I1586" s="986"/>
    </row>
    <row r="1587" spans="6:9" ht="13.8">
      <c r="F1587" s="992"/>
      <c r="H1587" s="992"/>
      <c r="I1587" s="986"/>
    </row>
    <row r="1588" spans="6:9" ht="13.8">
      <c r="F1588" s="992"/>
      <c r="H1588" s="992"/>
      <c r="I1588" s="986"/>
    </row>
    <row r="1589" spans="6:9" ht="13.8">
      <c r="F1589" s="992"/>
      <c r="H1589" s="992"/>
      <c r="I1589" s="986"/>
    </row>
    <row r="1590" spans="6:9" ht="13.8">
      <c r="F1590" s="992"/>
      <c r="H1590" s="992"/>
      <c r="I1590" s="986"/>
    </row>
    <row r="1591" spans="6:9" ht="13.8">
      <c r="F1591" s="992"/>
      <c r="H1591" s="992"/>
      <c r="I1591" s="986"/>
    </row>
    <row r="1592" spans="6:9" ht="13.8">
      <c r="F1592" s="992"/>
      <c r="H1592" s="992"/>
      <c r="I1592" s="986"/>
    </row>
    <row r="1593" spans="6:9" ht="13.8">
      <c r="F1593" s="992"/>
      <c r="H1593" s="992"/>
      <c r="I1593" s="986"/>
    </row>
    <row r="1594" spans="6:9" ht="13.8">
      <c r="F1594" s="992"/>
      <c r="H1594" s="992"/>
      <c r="I1594" s="986"/>
    </row>
    <row r="1595" spans="6:9" ht="13.8">
      <c r="F1595" s="992"/>
      <c r="H1595" s="992"/>
      <c r="I1595" s="986"/>
    </row>
    <row r="1596" spans="6:9" ht="13.8">
      <c r="F1596" s="992"/>
      <c r="H1596" s="992"/>
      <c r="I1596" s="986"/>
    </row>
    <row r="1597" spans="6:9" ht="13.8">
      <c r="F1597" s="992"/>
      <c r="H1597" s="992"/>
      <c r="I1597" s="986"/>
    </row>
    <row r="1598" spans="6:9" ht="13.8">
      <c r="F1598" s="992"/>
      <c r="H1598" s="992"/>
      <c r="I1598" s="986"/>
    </row>
    <row r="1599" spans="6:9" ht="13.8">
      <c r="F1599" s="992"/>
      <c r="H1599" s="992"/>
      <c r="I1599" s="986"/>
    </row>
    <row r="1600" spans="6:9" ht="13.8">
      <c r="F1600" s="992"/>
      <c r="H1600" s="992"/>
      <c r="I1600" s="986"/>
    </row>
    <row r="1601" spans="6:9" ht="13.8">
      <c r="F1601" s="992"/>
      <c r="H1601" s="992"/>
      <c r="I1601" s="986"/>
    </row>
    <row r="1602" spans="6:9" ht="13.8">
      <c r="F1602" s="992"/>
      <c r="H1602" s="992"/>
      <c r="I1602" s="986"/>
    </row>
    <row r="1603" spans="6:9" ht="13.8">
      <c r="F1603" s="992"/>
      <c r="H1603" s="992"/>
      <c r="I1603" s="986"/>
    </row>
    <row r="1604" spans="6:9" ht="13.8">
      <c r="F1604" s="992"/>
      <c r="H1604" s="992"/>
      <c r="I1604" s="986"/>
    </row>
    <row r="1605" spans="6:9" ht="13.8">
      <c r="F1605" s="992"/>
      <c r="H1605" s="992"/>
      <c r="I1605" s="986"/>
    </row>
    <row r="1606" spans="6:9" ht="13.8">
      <c r="F1606" s="992"/>
      <c r="H1606" s="992"/>
      <c r="I1606" s="986"/>
    </row>
    <row r="1607" spans="6:9" ht="13.8">
      <c r="F1607" s="992"/>
      <c r="H1607" s="992"/>
      <c r="I1607" s="986"/>
    </row>
    <row r="1608" spans="6:9" ht="13.8">
      <c r="F1608" s="992"/>
      <c r="H1608" s="992"/>
      <c r="I1608" s="986"/>
    </row>
    <row r="1609" spans="6:9" ht="13.8">
      <c r="F1609" s="992"/>
      <c r="H1609" s="992"/>
      <c r="I1609" s="986"/>
    </row>
    <row r="1610" spans="6:9" ht="13.8">
      <c r="F1610" s="992"/>
      <c r="H1610" s="992"/>
      <c r="I1610" s="986"/>
    </row>
    <row r="1611" spans="6:9" ht="13.8">
      <c r="F1611" s="992"/>
      <c r="H1611" s="992"/>
      <c r="I1611" s="986"/>
    </row>
    <row r="1612" spans="6:9" ht="13.8">
      <c r="F1612" s="992"/>
      <c r="H1612" s="992"/>
      <c r="I1612" s="986"/>
    </row>
    <row r="1613" spans="6:9" ht="13.8">
      <c r="F1613" s="992"/>
      <c r="H1613" s="992"/>
      <c r="I1613" s="986"/>
    </row>
    <row r="1614" spans="6:9" ht="13.8">
      <c r="F1614" s="992"/>
      <c r="H1614" s="992"/>
      <c r="I1614" s="986"/>
    </row>
    <row r="1615" spans="6:9" ht="13.8">
      <c r="F1615" s="992"/>
      <c r="H1615" s="992"/>
      <c r="I1615" s="986"/>
    </row>
    <row r="1616" spans="6:9" ht="13.8">
      <c r="F1616" s="992"/>
      <c r="H1616" s="992"/>
      <c r="I1616" s="986"/>
    </row>
    <row r="1617" spans="6:9" ht="13.8">
      <c r="F1617" s="992"/>
      <c r="H1617" s="992"/>
      <c r="I1617" s="986"/>
    </row>
    <row r="1618" spans="6:9" ht="13.8">
      <c r="F1618" s="992"/>
      <c r="H1618" s="992"/>
      <c r="I1618" s="986"/>
    </row>
    <row r="1619" spans="6:9" ht="13.8">
      <c r="F1619" s="992"/>
      <c r="H1619" s="992"/>
      <c r="I1619" s="986"/>
    </row>
    <row r="1620" spans="6:9" ht="13.8">
      <c r="F1620" s="992"/>
      <c r="H1620" s="992"/>
      <c r="I1620" s="986"/>
    </row>
    <row r="1621" spans="6:9" ht="13.8">
      <c r="F1621" s="992"/>
      <c r="H1621" s="992"/>
      <c r="I1621" s="986"/>
    </row>
    <row r="1622" spans="6:9" ht="13.8">
      <c r="F1622" s="992"/>
      <c r="H1622" s="992"/>
      <c r="I1622" s="986"/>
    </row>
    <row r="1623" spans="6:9" ht="13.8">
      <c r="F1623" s="992"/>
      <c r="H1623" s="992"/>
      <c r="I1623" s="986"/>
    </row>
    <row r="1624" spans="6:9" ht="13.8">
      <c r="F1624" s="992"/>
      <c r="H1624" s="992"/>
      <c r="I1624" s="986"/>
    </row>
    <row r="1625" spans="6:9" ht="13.8">
      <c r="F1625" s="992"/>
      <c r="H1625" s="992"/>
      <c r="I1625" s="986"/>
    </row>
    <row r="1626" spans="6:9" ht="13.8">
      <c r="F1626" s="992"/>
      <c r="H1626" s="992"/>
      <c r="I1626" s="986"/>
    </row>
    <row r="1627" spans="6:9" ht="13.8">
      <c r="F1627" s="992"/>
      <c r="H1627" s="992"/>
      <c r="I1627" s="986"/>
    </row>
    <row r="1628" spans="6:9" ht="13.8">
      <c r="F1628" s="992"/>
      <c r="H1628" s="992"/>
      <c r="I1628" s="986"/>
    </row>
    <row r="1629" spans="6:9" ht="13.8">
      <c r="F1629" s="992"/>
      <c r="H1629" s="992"/>
      <c r="I1629" s="986"/>
    </row>
    <row r="1630" spans="6:9" ht="13.8">
      <c r="F1630" s="992"/>
      <c r="H1630" s="992"/>
      <c r="I1630" s="986"/>
    </row>
    <row r="1631" spans="6:9" ht="13.8">
      <c r="F1631" s="992"/>
      <c r="H1631" s="992"/>
      <c r="I1631" s="986"/>
    </row>
    <row r="1632" spans="6:9" ht="13.8">
      <c r="F1632" s="992"/>
      <c r="H1632" s="992"/>
      <c r="I1632" s="986"/>
    </row>
    <row r="1633" spans="6:9" ht="13.8">
      <c r="F1633" s="992"/>
      <c r="H1633" s="992"/>
      <c r="I1633" s="986"/>
    </row>
    <row r="1634" spans="6:9" ht="13.8">
      <c r="F1634" s="992"/>
      <c r="H1634" s="992"/>
      <c r="I1634" s="986"/>
    </row>
    <row r="1635" spans="6:9" ht="13.8">
      <c r="F1635" s="992"/>
      <c r="H1635" s="992"/>
      <c r="I1635" s="986"/>
    </row>
    <row r="1636" spans="6:9" ht="13.8">
      <c r="F1636" s="992"/>
      <c r="H1636" s="992"/>
      <c r="I1636" s="986"/>
    </row>
    <row r="1637" spans="6:9" ht="13.8">
      <c r="F1637" s="992"/>
      <c r="H1637" s="992"/>
      <c r="I1637" s="986"/>
    </row>
    <row r="1638" spans="6:9" ht="13.8">
      <c r="F1638" s="992"/>
      <c r="H1638" s="992"/>
      <c r="I1638" s="986"/>
    </row>
    <row r="1639" spans="6:9" ht="13.8">
      <c r="F1639" s="992"/>
      <c r="H1639" s="992"/>
      <c r="I1639" s="986"/>
    </row>
    <row r="1640" spans="6:9" ht="13.8">
      <c r="F1640" s="992"/>
      <c r="H1640" s="992"/>
      <c r="I1640" s="986"/>
    </row>
    <row r="1641" spans="6:9" ht="13.8">
      <c r="F1641" s="992"/>
      <c r="H1641" s="992"/>
      <c r="I1641" s="986"/>
    </row>
    <row r="1642" spans="6:9" ht="13.8">
      <c r="F1642" s="992"/>
      <c r="H1642" s="992"/>
      <c r="I1642" s="986"/>
    </row>
    <row r="1643" spans="6:9" ht="13.8">
      <c r="F1643" s="992"/>
      <c r="H1643" s="992"/>
      <c r="I1643" s="986"/>
    </row>
    <row r="1644" spans="6:9" ht="13.8">
      <c r="F1644" s="992"/>
      <c r="H1644" s="992"/>
      <c r="I1644" s="986"/>
    </row>
    <row r="1645" spans="6:9" ht="13.8">
      <c r="F1645" s="992"/>
      <c r="H1645" s="992"/>
      <c r="I1645" s="986"/>
    </row>
    <row r="1646" spans="6:9" ht="13.8">
      <c r="F1646" s="992"/>
      <c r="H1646" s="992"/>
      <c r="I1646" s="986"/>
    </row>
    <row r="1647" spans="6:9" ht="13.8">
      <c r="F1647" s="992"/>
      <c r="H1647" s="992"/>
      <c r="I1647" s="986"/>
    </row>
    <row r="1648" spans="6:9" ht="13.8">
      <c r="F1648" s="992"/>
      <c r="H1648" s="992"/>
      <c r="I1648" s="986"/>
    </row>
    <row r="1649" spans="6:9" ht="13.8">
      <c r="F1649" s="992"/>
      <c r="H1649" s="992"/>
      <c r="I1649" s="986"/>
    </row>
    <row r="1650" spans="6:9" ht="13.8">
      <c r="F1650" s="992"/>
      <c r="H1650" s="992"/>
      <c r="I1650" s="986"/>
    </row>
    <row r="1651" spans="6:9" ht="13.8">
      <c r="F1651" s="992"/>
      <c r="H1651" s="992"/>
      <c r="I1651" s="986"/>
    </row>
    <row r="1652" spans="6:9" ht="13.8">
      <c r="F1652" s="992"/>
      <c r="H1652" s="992"/>
      <c r="I1652" s="986"/>
    </row>
    <row r="1653" spans="6:9" ht="13.8">
      <c r="F1653" s="992"/>
      <c r="H1653" s="992"/>
      <c r="I1653" s="986"/>
    </row>
    <row r="1654" spans="6:9" ht="13.8">
      <c r="F1654" s="992"/>
      <c r="H1654" s="992"/>
      <c r="I1654" s="986"/>
    </row>
    <row r="1655" spans="6:9" ht="13.8">
      <c r="F1655" s="992"/>
      <c r="H1655" s="992"/>
      <c r="I1655" s="986"/>
    </row>
    <row r="1656" spans="6:9" ht="13.8">
      <c r="F1656" s="992"/>
      <c r="H1656" s="992"/>
      <c r="I1656" s="986"/>
    </row>
    <row r="1657" spans="6:9" ht="13.8">
      <c r="F1657" s="992"/>
      <c r="H1657" s="992"/>
      <c r="I1657" s="986"/>
    </row>
    <row r="1658" spans="6:9" ht="13.8">
      <c r="F1658" s="992"/>
      <c r="H1658" s="992"/>
      <c r="I1658" s="986"/>
    </row>
    <row r="1659" spans="6:9" ht="13.8">
      <c r="F1659" s="992"/>
      <c r="H1659" s="992"/>
      <c r="I1659" s="986"/>
    </row>
    <row r="1660" spans="6:9" ht="13.8">
      <c r="F1660" s="992"/>
      <c r="H1660" s="992"/>
      <c r="I1660" s="986"/>
    </row>
    <row r="1661" spans="6:9" ht="13.8">
      <c r="F1661" s="992"/>
      <c r="H1661" s="992"/>
      <c r="I1661" s="986"/>
    </row>
    <row r="1662" spans="6:9" ht="13.8">
      <c r="F1662" s="992"/>
      <c r="H1662" s="992"/>
      <c r="I1662" s="986"/>
    </row>
    <row r="1663" spans="6:9" ht="13.8">
      <c r="F1663" s="992"/>
      <c r="H1663" s="992"/>
      <c r="I1663" s="986"/>
    </row>
    <row r="1664" spans="6:9" ht="13.8">
      <c r="F1664" s="992"/>
      <c r="H1664" s="992"/>
      <c r="I1664" s="986"/>
    </row>
    <row r="1665" spans="6:9" ht="13.8">
      <c r="F1665" s="992"/>
      <c r="H1665" s="992"/>
      <c r="I1665" s="986"/>
    </row>
    <row r="1666" spans="6:9" ht="13.8">
      <c r="F1666" s="992"/>
      <c r="H1666" s="992"/>
      <c r="I1666" s="986"/>
    </row>
    <row r="1667" spans="6:9" ht="13.8">
      <c r="F1667" s="992"/>
      <c r="H1667" s="992"/>
      <c r="I1667" s="986"/>
    </row>
    <row r="1668" spans="6:9" ht="13.8">
      <c r="F1668" s="992"/>
      <c r="H1668" s="992"/>
      <c r="I1668" s="986"/>
    </row>
    <row r="1669" spans="6:9" ht="13.8">
      <c r="F1669" s="992"/>
      <c r="H1669" s="992"/>
      <c r="I1669" s="986"/>
    </row>
    <row r="1670" spans="6:9" ht="13.8">
      <c r="F1670" s="992"/>
      <c r="H1670" s="992"/>
      <c r="I1670" s="986"/>
    </row>
    <row r="1671" spans="6:9" ht="13.8">
      <c r="F1671" s="992"/>
      <c r="H1671" s="992"/>
      <c r="I1671" s="986"/>
    </row>
    <row r="1672" spans="6:9" ht="13.8">
      <c r="F1672" s="992"/>
      <c r="H1672" s="992"/>
      <c r="I1672" s="986"/>
    </row>
    <row r="1673" spans="6:9" ht="13.8">
      <c r="F1673" s="992"/>
      <c r="H1673" s="992"/>
      <c r="I1673" s="986"/>
    </row>
    <row r="1674" spans="6:9" ht="13.8">
      <c r="F1674" s="992"/>
      <c r="H1674" s="992"/>
      <c r="I1674" s="986"/>
    </row>
    <row r="1675" spans="6:9" ht="13.8">
      <c r="F1675" s="992"/>
      <c r="H1675" s="992"/>
      <c r="I1675" s="986"/>
    </row>
    <row r="1676" spans="6:9" ht="13.8">
      <c r="F1676" s="992"/>
      <c r="H1676" s="992"/>
      <c r="I1676" s="986"/>
    </row>
    <row r="1677" spans="6:9" ht="13.8">
      <c r="F1677" s="992"/>
      <c r="H1677" s="992"/>
      <c r="I1677" s="986"/>
    </row>
    <row r="1678" spans="6:9" ht="13.8">
      <c r="F1678" s="992"/>
      <c r="H1678" s="992"/>
      <c r="I1678" s="986"/>
    </row>
    <row r="1679" spans="6:9" ht="13.8">
      <c r="F1679" s="992"/>
      <c r="H1679" s="992"/>
      <c r="I1679" s="986"/>
    </row>
    <row r="1680" spans="6:9" ht="13.8">
      <c r="F1680" s="992"/>
      <c r="H1680" s="992"/>
      <c r="I1680" s="986"/>
    </row>
    <row r="1681" spans="6:9" ht="13.8">
      <c r="F1681" s="992"/>
      <c r="H1681" s="992"/>
      <c r="I1681" s="986"/>
    </row>
    <row r="1682" spans="6:9" ht="13.8">
      <c r="F1682" s="992"/>
      <c r="H1682" s="992"/>
      <c r="I1682" s="986"/>
    </row>
    <row r="1683" spans="6:9" ht="13.8">
      <c r="F1683" s="992"/>
      <c r="H1683" s="992"/>
      <c r="I1683" s="986"/>
    </row>
    <row r="1684" spans="6:9" ht="13.8">
      <c r="F1684" s="992"/>
      <c r="H1684" s="992"/>
      <c r="I1684" s="986"/>
    </row>
    <row r="1685" spans="6:9" ht="13.8">
      <c r="F1685" s="992"/>
      <c r="H1685" s="992"/>
      <c r="I1685" s="986"/>
    </row>
    <row r="1686" spans="6:9" ht="13.8">
      <c r="F1686" s="992"/>
      <c r="H1686" s="992"/>
      <c r="I1686" s="986"/>
    </row>
    <row r="1687" spans="6:9" ht="13.8">
      <c r="F1687" s="992"/>
      <c r="H1687" s="992"/>
      <c r="I1687" s="986"/>
    </row>
    <row r="1688" spans="6:9" ht="13.8">
      <c r="F1688" s="992"/>
      <c r="H1688" s="992"/>
      <c r="I1688" s="986"/>
    </row>
    <row r="1689" spans="6:9" ht="13.8">
      <c r="F1689" s="992"/>
      <c r="H1689" s="992"/>
      <c r="I1689" s="986"/>
    </row>
    <row r="1690" spans="6:9" ht="13.8">
      <c r="F1690" s="992"/>
      <c r="H1690" s="992"/>
      <c r="I1690" s="986"/>
    </row>
    <row r="1691" spans="6:9" ht="13.8">
      <c r="F1691" s="992"/>
      <c r="H1691" s="992"/>
      <c r="I1691" s="986"/>
    </row>
    <row r="1692" spans="6:9" ht="13.8">
      <c r="F1692" s="992"/>
      <c r="H1692" s="992"/>
      <c r="I1692" s="986"/>
    </row>
    <row r="1693" spans="6:9" ht="13.8">
      <c r="F1693" s="992"/>
      <c r="H1693" s="992"/>
      <c r="I1693" s="986"/>
    </row>
    <row r="1694" spans="6:9" ht="13.8">
      <c r="F1694" s="992"/>
      <c r="H1694" s="992"/>
      <c r="I1694" s="986"/>
    </row>
    <row r="1695" spans="6:9" ht="13.8">
      <c r="F1695" s="992"/>
      <c r="H1695" s="992"/>
      <c r="I1695" s="986"/>
    </row>
    <row r="1696" spans="6:9" ht="13.8">
      <c r="F1696" s="992"/>
      <c r="H1696" s="992"/>
      <c r="I1696" s="986"/>
    </row>
    <row r="1697" spans="6:9" ht="13.8">
      <c r="F1697" s="992"/>
      <c r="H1697" s="992"/>
      <c r="I1697" s="986"/>
    </row>
    <row r="1698" spans="6:9" ht="13.8">
      <c r="F1698" s="992"/>
      <c r="H1698" s="992"/>
      <c r="I1698" s="986"/>
    </row>
    <row r="1699" spans="6:9" ht="13.8">
      <c r="F1699" s="992"/>
      <c r="H1699" s="992"/>
      <c r="I1699" s="986"/>
    </row>
    <row r="1700" spans="6:9" ht="13.8">
      <c r="F1700" s="992"/>
      <c r="H1700" s="992"/>
      <c r="I1700" s="986"/>
    </row>
    <row r="1701" spans="6:9" ht="13.8">
      <c r="F1701" s="992"/>
      <c r="H1701" s="992"/>
      <c r="I1701" s="986"/>
    </row>
    <row r="1702" spans="6:9" ht="13.8">
      <c r="F1702" s="992"/>
      <c r="H1702" s="992"/>
      <c r="I1702" s="986"/>
    </row>
    <row r="1703" spans="6:9" ht="13.8">
      <c r="F1703" s="992"/>
      <c r="H1703" s="992"/>
      <c r="I1703" s="986"/>
    </row>
    <row r="1704" spans="6:9" ht="13.8">
      <c r="F1704" s="992"/>
      <c r="H1704" s="992"/>
      <c r="I1704" s="986"/>
    </row>
    <row r="1705" spans="6:9" ht="13.8">
      <c r="F1705" s="992"/>
      <c r="H1705" s="992"/>
      <c r="I1705" s="986"/>
    </row>
    <row r="1706" spans="6:9" ht="13.8">
      <c r="F1706" s="992"/>
      <c r="H1706" s="992"/>
      <c r="I1706" s="986"/>
    </row>
    <row r="1707" spans="6:9" ht="13.8">
      <c r="F1707" s="992"/>
      <c r="H1707" s="992"/>
      <c r="I1707" s="986"/>
    </row>
    <row r="1708" spans="6:9" ht="13.8">
      <c r="F1708" s="992"/>
      <c r="H1708" s="992"/>
      <c r="I1708" s="986"/>
    </row>
    <row r="1709" spans="6:9" ht="13.8">
      <c r="F1709" s="992"/>
      <c r="H1709" s="992"/>
      <c r="I1709" s="986"/>
    </row>
    <row r="1710" spans="6:9" ht="13.8">
      <c r="F1710" s="992"/>
      <c r="H1710" s="992"/>
      <c r="I1710" s="986"/>
    </row>
    <row r="1711" spans="6:9" ht="13.8">
      <c r="F1711" s="992"/>
      <c r="H1711" s="992"/>
      <c r="I1711" s="986"/>
    </row>
    <row r="1712" spans="6:9" ht="13.8">
      <c r="F1712" s="992"/>
      <c r="H1712" s="992"/>
      <c r="I1712" s="986"/>
    </row>
    <row r="1713" spans="6:9" ht="13.8">
      <c r="F1713" s="992"/>
      <c r="H1713" s="992"/>
      <c r="I1713" s="986"/>
    </row>
    <row r="1714" spans="6:9" ht="13.8">
      <c r="F1714" s="992"/>
      <c r="H1714" s="992"/>
      <c r="I1714" s="986"/>
    </row>
    <row r="1715" spans="6:9" ht="13.8">
      <c r="F1715" s="992"/>
      <c r="H1715" s="992"/>
      <c r="I1715" s="986"/>
    </row>
    <row r="1716" spans="6:9" ht="13.8">
      <c r="F1716" s="992"/>
      <c r="H1716" s="992"/>
      <c r="I1716" s="986"/>
    </row>
    <row r="1717" spans="6:9" ht="13.8">
      <c r="F1717" s="992"/>
      <c r="H1717" s="992"/>
      <c r="I1717" s="986"/>
    </row>
    <row r="1718" spans="6:9" ht="13.8">
      <c r="F1718" s="992"/>
      <c r="H1718" s="992"/>
      <c r="I1718" s="986"/>
    </row>
    <row r="1719" spans="6:9" ht="13.8">
      <c r="F1719" s="992"/>
      <c r="H1719" s="992"/>
      <c r="I1719" s="986"/>
    </row>
    <row r="1720" spans="6:9" ht="13.8">
      <c r="F1720" s="992"/>
      <c r="H1720" s="992"/>
      <c r="I1720" s="986"/>
    </row>
    <row r="1721" spans="6:9" ht="13.8">
      <c r="F1721" s="992"/>
      <c r="H1721" s="992"/>
      <c r="I1721" s="986"/>
    </row>
    <row r="1722" spans="6:9" ht="13.8">
      <c r="F1722" s="992"/>
      <c r="H1722" s="992"/>
      <c r="I1722" s="986"/>
    </row>
    <row r="1723" spans="6:9" ht="13.8">
      <c r="F1723" s="992"/>
      <c r="H1723" s="992"/>
      <c r="I1723" s="986"/>
    </row>
    <row r="1724" spans="6:9" ht="13.8">
      <c r="F1724" s="992"/>
      <c r="H1724" s="992"/>
      <c r="I1724" s="986"/>
    </row>
    <row r="1725" spans="6:9" ht="13.8">
      <c r="F1725" s="992"/>
      <c r="H1725" s="992"/>
      <c r="I1725" s="986"/>
    </row>
    <row r="1726" spans="6:9" ht="13.8">
      <c r="F1726" s="992"/>
      <c r="H1726" s="992"/>
      <c r="I1726" s="986"/>
    </row>
    <row r="1727" spans="6:9" ht="13.8">
      <c r="F1727" s="992"/>
      <c r="H1727" s="992"/>
      <c r="I1727" s="986"/>
    </row>
    <row r="1728" spans="6:9" ht="13.8">
      <c r="F1728" s="992"/>
      <c r="H1728" s="992"/>
      <c r="I1728" s="986"/>
    </row>
    <row r="1729" spans="6:9" ht="13.8">
      <c r="F1729" s="992"/>
      <c r="H1729" s="992"/>
      <c r="I1729" s="986"/>
    </row>
    <row r="1730" spans="6:9" ht="13.8">
      <c r="F1730" s="992"/>
      <c r="H1730" s="992"/>
      <c r="I1730" s="986"/>
    </row>
    <row r="1731" spans="6:9" ht="13.8">
      <c r="F1731" s="992"/>
      <c r="H1731" s="992"/>
      <c r="I1731" s="986"/>
    </row>
    <row r="1732" spans="6:9" ht="13.8">
      <c r="F1732" s="992"/>
      <c r="H1732" s="992"/>
      <c r="I1732" s="986"/>
    </row>
    <row r="1733" spans="6:9" ht="13.8">
      <c r="F1733" s="992"/>
      <c r="H1733" s="992"/>
      <c r="I1733" s="986"/>
    </row>
    <row r="1734" spans="6:9" ht="13.8">
      <c r="F1734" s="992"/>
      <c r="H1734" s="992"/>
      <c r="I1734" s="986"/>
    </row>
    <row r="1735" spans="6:9" ht="13.8">
      <c r="F1735" s="992"/>
      <c r="H1735" s="992"/>
      <c r="I1735" s="986"/>
    </row>
    <row r="1736" spans="6:9" ht="13.8">
      <c r="F1736" s="992"/>
      <c r="H1736" s="992"/>
      <c r="I1736" s="986"/>
    </row>
    <row r="1737" spans="6:9" ht="13.8">
      <c r="F1737" s="992"/>
      <c r="H1737" s="992"/>
      <c r="I1737" s="986"/>
    </row>
    <row r="1738" spans="6:9" ht="13.8">
      <c r="F1738" s="992"/>
      <c r="H1738" s="992"/>
      <c r="I1738" s="986"/>
    </row>
    <row r="1739" spans="6:9" ht="13.8">
      <c r="F1739" s="992"/>
      <c r="H1739" s="992"/>
      <c r="I1739" s="986"/>
    </row>
    <row r="1740" spans="6:9" ht="13.8">
      <c r="F1740" s="992"/>
      <c r="H1740" s="992"/>
      <c r="I1740" s="986"/>
    </row>
    <row r="1741" spans="6:9" ht="13.8">
      <c r="F1741" s="992"/>
      <c r="H1741" s="992"/>
      <c r="I1741" s="986"/>
    </row>
    <row r="1742" spans="6:9" ht="13.8">
      <c r="F1742" s="992"/>
      <c r="H1742" s="992"/>
      <c r="I1742" s="986"/>
    </row>
    <row r="1743" spans="6:9" ht="13.8">
      <c r="F1743" s="992"/>
      <c r="H1743" s="992"/>
      <c r="I1743" s="986"/>
    </row>
    <row r="1744" spans="6:9" ht="13.8">
      <c r="F1744" s="992"/>
      <c r="H1744" s="992"/>
      <c r="I1744" s="986"/>
    </row>
    <row r="1745" spans="6:9" ht="13.8">
      <c r="F1745" s="992"/>
      <c r="H1745" s="992"/>
      <c r="I1745" s="986"/>
    </row>
    <row r="1746" spans="6:9" ht="13.8">
      <c r="F1746" s="992"/>
      <c r="H1746" s="992"/>
      <c r="I1746" s="986"/>
    </row>
    <row r="1747" spans="6:9" ht="13.8">
      <c r="F1747" s="992"/>
      <c r="H1747" s="992"/>
      <c r="I1747" s="986"/>
    </row>
    <row r="1748" spans="6:9" ht="13.8">
      <c r="F1748" s="992"/>
      <c r="H1748" s="992"/>
      <c r="I1748" s="986"/>
    </row>
    <row r="1749" spans="6:9" ht="13.8">
      <c r="F1749" s="992"/>
      <c r="H1749" s="992"/>
      <c r="I1749" s="986"/>
    </row>
    <row r="1750" spans="6:9" ht="13.8">
      <c r="F1750" s="992"/>
      <c r="H1750" s="992"/>
      <c r="I1750" s="986"/>
    </row>
    <row r="1751" spans="6:9" ht="13.8">
      <c r="F1751" s="992"/>
      <c r="H1751" s="992"/>
      <c r="I1751" s="986"/>
    </row>
    <row r="1752" spans="6:9" ht="13.8">
      <c r="F1752" s="992"/>
      <c r="H1752" s="992"/>
      <c r="I1752" s="986"/>
    </row>
    <row r="1753" spans="6:9" ht="13.8">
      <c r="F1753" s="992"/>
      <c r="H1753" s="992"/>
      <c r="I1753" s="986"/>
    </row>
    <row r="1754" spans="6:9" ht="13.8">
      <c r="F1754" s="992"/>
      <c r="H1754" s="992"/>
      <c r="I1754" s="986"/>
    </row>
    <row r="1755" spans="6:9" ht="13.8">
      <c r="F1755" s="992"/>
      <c r="H1755" s="992"/>
      <c r="I1755" s="986"/>
    </row>
    <row r="1756" spans="6:9" ht="13.8">
      <c r="F1756" s="992"/>
      <c r="H1756" s="992"/>
      <c r="I1756" s="986"/>
    </row>
    <row r="1757" spans="6:9" ht="13.8">
      <c r="F1757" s="992"/>
      <c r="H1757" s="992"/>
      <c r="I1757" s="986"/>
    </row>
    <row r="1758" spans="6:9" ht="13.8">
      <c r="F1758" s="992"/>
      <c r="H1758" s="992"/>
      <c r="I1758" s="986"/>
    </row>
    <row r="1759" spans="6:9" ht="13.8">
      <c r="F1759" s="992"/>
      <c r="H1759" s="992"/>
      <c r="I1759" s="986"/>
    </row>
    <row r="1760" spans="6:9" ht="13.8">
      <c r="F1760" s="992"/>
      <c r="H1760" s="992"/>
      <c r="I1760" s="986"/>
    </row>
    <row r="1761" spans="6:9" ht="13.8">
      <c r="F1761" s="992"/>
      <c r="H1761" s="992"/>
      <c r="I1761" s="986"/>
    </row>
    <row r="1762" spans="6:9" ht="13.8">
      <c r="F1762" s="992"/>
      <c r="H1762" s="992"/>
      <c r="I1762" s="986"/>
    </row>
    <row r="1763" spans="6:9" ht="13.8">
      <c r="F1763" s="992"/>
      <c r="H1763" s="992"/>
      <c r="I1763" s="986"/>
    </row>
    <row r="1764" spans="6:9" ht="13.8">
      <c r="F1764" s="992"/>
      <c r="H1764" s="992"/>
      <c r="I1764" s="986"/>
    </row>
    <row r="1765" spans="6:9" ht="13.8">
      <c r="F1765" s="992"/>
      <c r="H1765" s="992"/>
      <c r="I1765" s="986"/>
    </row>
    <row r="1766" spans="6:9" ht="13.8">
      <c r="F1766" s="992"/>
      <c r="H1766" s="992"/>
      <c r="I1766" s="986"/>
    </row>
    <row r="1767" spans="6:9" ht="13.8">
      <c r="F1767" s="992"/>
      <c r="H1767" s="992"/>
      <c r="I1767" s="986"/>
    </row>
    <row r="1768" spans="6:9" ht="13.8">
      <c r="F1768" s="992"/>
      <c r="H1768" s="992"/>
      <c r="I1768" s="986"/>
    </row>
    <row r="1769" spans="6:9" ht="13.8">
      <c r="F1769" s="992"/>
      <c r="H1769" s="992"/>
      <c r="I1769" s="986"/>
    </row>
    <row r="1770" spans="6:9" ht="13.8">
      <c r="F1770" s="992"/>
      <c r="H1770" s="992"/>
      <c r="I1770" s="986"/>
    </row>
    <row r="1771" spans="6:9" ht="13.8">
      <c r="F1771" s="992"/>
      <c r="H1771" s="992"/>
      <c r="I1771" s="986"/>
    </row>
    <row r="1772" spans="6:9" ht="13.8">
      <c r="F1772" s="992"/>
      <c r="H1772" s="992"/>
      <c r="I1772" s="986"/>
    </row>
    <row r="1773" spans="6:9" ht="13.8">
      <c r="F1773" s="992"/>
      <c r="H1773" s="992"/>
      <c r="I1773" s="986"/>
    </row>
    <row r="1774" spans="6:9" ht="13.8">
      <c r="F1774" s="992"/>
      <c r="H1774" s="992"/>
      <c r="I1774" s="986"/>
    </row>
    <row r="1775" spans="6:9" ht="13.8">
      <c r="F1775" s="992"/>
      <c r="H1775" s="992"/>
      <c r="I1775" s="986"/>
    </row>
    <row r="1776" spans="6:9" ht="13.8">
      <c r="F1776" s="992"/>
      <c r="H1776" s="992"/>
      <c r="I1776" s="986"/>
    </row>
    <row r="1777" spans="6:9" ht="13.8">
      <c r="F1777" s="992"/>
      <c r="H1777" s="992"/>
      <c r="I1777" s="986"/>
    </row>
    <row r="1778" spans="6:9" ht="13.8">
      <c r="F1778" s="992"/>
      <c r="H1778" s="992"/>
      <c r="I1778" s="986"/>
    </row>
    <row r="1779" spans="6:9" ht="13.8">
      <c r="F1779" s="992"/>
      <c r="H1779" s="992"/>
      <c r="I1779" s="986"/>
    </row>
    <row r="1780" spans="6:9" ht="13.8">
      <c r="F1780" s="992"/>
      <c r="H1780" s="992"/>
      <c r="I1780" s="986"/>
    </row>
    <row r="1781" spans="6:9" ht="13.8">
      <c r="F1781" s="992"/>
      <c r="H1781" s="992"/>
      <c r="I1781" s="986"/>
    </row>
    <row r="1782" spans="6:9" ht="13.8">
      <c r="F1782" s="992"/>
      <c r="H1782" s="992"/>
      <c r="I1782" s="986"/>
    </row>
    <row r="1783" spans="6:9" ht="13.8">
      <c r="F1783" s="992"/>
      <c r="H1783" s="992"/>
      <c r="I1783" s="986"/>
    </row>
    <row r="1784" spans="6:9" ht="13.8">
      <c r="F1784" s="992"/>
      <c r="H1784" s="992"/>
      <c r="I1784" s="986"/>
    </row>
    <row r="1785" spans="6:9" ht="13.8">
      <c r="F1785" s="992"/>
      <c r="H1785" s="992"/>
      <c r="I1785" s="986"/>
    </row>
    <row r="1786" spans="6:9" ht="13.8">
      <c r="F1786" s="992"/>
      <c r="H1786" s="992"/>
      <c r="I1786" s="986"/>
    </row>
    <row r="1787" spans="6:9" ht="13.8">
      <c r="F1787" s="992"/>
      <c r="H1787" s="992"/>
      <c r="I1787" s="986"/>
    </row>
    <row r="1788" spans="6:9" ht="13.8">
      <c r="F1788" s="992"/>
      <c r="H1788" s="992"/>
      <c r="I1788" s="986"/>
    </row>
    <row r="1789" spans="6:9" ht="13.8">
      <c r="F1789" s="992"/>
      <c r="H1789" s="992"/>
      <c r="I1789" s="986"/>
    </row>
    <row r="1790" spans="6:9" ht="13.8">
      <c r="F1790" s="992"/>
      <c r="H1790" s="992"/>
      <c r="I1790" s="986"/>
    </row>
    <row r="1791" spans="6:9" ht="13.8">
      <c r="F1791" s="992"/>
      <c r="H1791" s="992"/>
      <c r="I1791" s="986"/>
    </row>
    <row r="1792" spans="6:9" ht="13.8">
      <c r="F1792" s="992"/>
      <c r="H1792" s="992"/>
      <c r="I1792" s="986"/>
    </row>
    <row r="1793" spans="6:9" ht="13.8">
      <c r="F1793" s="992"/>
      <c r="H1793" s="992"/>
      <c r="I1793" s="986"/>
    </row>
    <row r="1794" spans="6:9" ht="13.8">
      <c r="F1794" s="992"/>
      <c r="H1794" s="992"/>
      <c r="I1794" s="986"/>
    </row>
    <row r="1795" spans="6:9" ht="13.8">
      <c r="F1795" s="992"/>
      <c r="H1795" s="992"/>
      <c r="I1795" s="986"/>
    </row>
    <row r="1796" spans="6:9" ht="13.8">
      <c r="F1796" s="992"/>
      <c r="H1796" s="992"/>
      <c r="I1796" s="986"/>
    </row>
    <row r="1797" spans="6:9" ht="13.8">
      <c r="F1797" s="992"/>
      <c r="H1797" s="992"/>
      <c r="I1797" s="986"/>
    </row>
    <row r="1798" spans="6:9" ht="13.8">
      <c r="F1798" s="992"/>
      <c r="H1798" s="992"/>
      <c r="I1798" s="986"/>
    </row>
    <row r="1799" spans="6:9" ht="13.8">
      <c r="F1799" s="992"/>
      <c r="H1799" s="992"/>
      <c r="I1799" s="986"/>
    </row>
    <row r="1800" spans="6:9" ht="13.8">
      <c r="F1800" s="992"/>
      <c r="H1800" s="992"/>
      <c r="I1800" s="986"/>
    </row>
    <row r="1801" spans="6:9" ht="13.8">
      <c r="F1801" s="992"/>
      <c r="H1801" s="992"/>
      <c r="I1801" s="986"/>
    </row>
    <row r="1802" spans="6:9" ht="13.8">
      <c r="F1802" s="992"/>
      <c r="H1802" s="992"/>
      <c r="I1802" s="986"/>
    </row>
    <row r="1803" spans="6:9" ht="13.8">
      <c r="F1803" s="992"/>
      <c r="H1803" s="992"/>
      <c r="I1803" s="986"/>
    </row>
    <row r="1804" spans="6:9" ht="13.8">
      <c r="F1804" s="992"/>
      <c r="H1804" s="992"/>
      <c r="I1804" s="986"/>
    </row>
    <row r="1805" spans="6:9" ht="13.8">
      <c r="F1805" s="992"/>
      <c r="H1805" s="992"/>
      <c r="I1805" s="986"/>
    </row>
    <row r="1806" spans="6:9" ht="13.8">
      <c r="F1806" s="992"/>
      <c r="H1806" s="992"/>
      <c r="I1806" s="986"/>
    </row>
    <row r="1807" spans="6:9" ht="13.8">
      <c r="F1807" s="992"/>
      <c r="H1807" s="992"/>
      <c r="I1807" s="986"/>
    </row>
    <row r="1808" spans="6:9" ht="13.8">
      <c r="F1808" s="992"/>
      <c r="H1808" s="992"/>
      <c r="I1808" s="986"/>
    </row>
    <row r="1809" spans="6:9" ht="13.8">
      <c r="F1809" s="992"/>
      <c r="H1809" s="992"/>
      <c r="I1809" s="986"/>
    </row>
    <row r="1810" spans="6:9" ht="13.8">
      <c r="F1810" s="992"/>
      <c r="H1810" s="992"/>
      <c r="I1810" s="986"/>
    </row>
    <row r="1811" spans="6:9" ht="13.8">
      <c r="F1811" s="992"/>
      <c r="H1811" s="992"/>
      <c r="I1811" s="986"/>
    </row>
    <row r="1812" spans="6:9" ht="13.8">
      <c r="F1812" s="992"/>
      <c r="H1812" s="992"/>
      <c r="I1812" s="986"/>
    </row>
    <row r="1813" spans="6:9" ht="13.8">
      <c r="F1813" s="992"/>
      <c r="H1813" s="992"/>
      <c r="I1813" s="986"/>
    </row>
    <row r="1814" spans="6:9" ht="13.8">
      <c r="F1814" s="992"/>
      <c r="H1814" s="992"/>
      <c r="I1814" s="986"/>
    </row>
    <row r="1815" spans="6:9" ht="13.8">
      <c r="F1815" s="992"/>
      <c r="H1815" s="992"/>
      <c r="I1815" s="986"/>
    </row>
    <row r="1816" spans="6:9" ht="13.8">
      <c r="F1816" s="992"/>
      <c r="H1816" s="992"/>
      <c r="I1816" s="986"/>
    </row>
    <row r="1817" spans="6:9" ht="13.8">
      <c r="F1817" s="992"/>
      <c r="H1817" s="992"/>
      <c r="I1817" s="986"/>
    </row>
    <row r="1818" spans="6:9" ht="13.8">
      <c r="F1818" s="992"/>
      <c r="H1818" s="992"/>
      <c r="I1818" s="986"/>
    </row>
    <row r="1819" spans="6:9" ht="13.8">
      <c r="F1819" s="992"/>
      <c r="H1819" s="992"/>
      <c r="I1819" s="986"/>
    </row>
    <row r="1820" spans="6:9" ht="13.8">
      <c r="F1820" s="992"/>
      <c r="H1820" s="992"/>
      <c r="I1820" s="986"/>
    </row>
    <row r="1821" spans="6:9" ht="13.8">
      <c r="F1821" s="992"/>
      <c r="H1821" s="992"/>
      <c r="I1821" s="986"/>
    </row>
    <row r="1822" spans="6:9" ht="13.8">
      <c r="F1822" s="992"/>
      <c r="H1822" s="992"/>
      <c r="I1822" s="986"/>
    </row>
    <row r="1823" spans="6:9" ht="13.8">
      <c r="F1823" s="992"/>
      <c r="H1823" s="992"/>
      <c r="I1823" s="986"/>
    </row>
    <row r="1824" spans="6:9" ht="13.8">
      <c r="F1824" s="992"/>
      <c r="H1824" s="992"/>
      <c r="I1824" s="986"/>
    </row>
    <row r="1825" spans="6:9" ht="13.8">
      <c r="F1825" s="992"/>
      <c r="H1825" s="992"/>
      <c r="I1825" s="986"/>
    </row>
    <row r="1826" spans="6:9" ht="13.8">
      <c r="F1826" s="992"/>
      <c r="H1826" s="992"/>
      <c r="I1826" s="986"/>
    </row>
    <row r="1827" spans="6:9" ht="13.8">
      <c r="F1827" s="992"/>
      <c r="H1827" s="992"/>
      <c r="I1827" s="986"/>
    </row>
    <row r="1828" spans="6:9" ht="13.8">
      <c r="F1828" s="992"/>
      <c r="H1828" s="992"/>
      <c r="I1828" s="986"/>
    </row>
    <row r="1829" spans="6:9" ht="13.8">
      <c r="F1829" s="992"/>
      <c r="H1829" s="992"/>
      <c r="I1829" s="986"/>
    </row>
    <row r="1830" spans="6:9" ht="13.8">
      <c r="F1830" s="992"/>
      <c r="H1830" s="992"/>
      <c r="I1830" s="986"/>
    </row>
    <row r="1831" spans="6:9" ht="13.8">
      <c r="F1831" s="992"/>
      <c r="H1831" s="992"/>
      <c r="I1831" s="986"/>
    </row>
    <row r="1832" spans="6:9" ht="13.8">
      <c r="F1832" s="992"/>
      <c r="H1832" s="992"/>
      <c r="I1832" s="986"/>
    </row>
    <row r="1833" spans="6:9" ht="13.8">
      <c r="F1833" s="992"/>
      <c r="H1833" s="992"/>
      <c r="I1833" s="986"/>
    </row>
    <row r="1834" spans="6:9" ht="13.8">
      <c r="F1834" s="992"/>
      <c r="H1834" s="992"/>
      <c r="I1834" s="986"/>
    </row>
    <row r="1835" spans="6:9" ht="13.8">
      <c r="F1835" s="992"/>
      <c r="H1835" s="992"/>
      <c r="I1835" s="986"/>
    </row>
    <row r="1836" spans="6:9" ht="13.8">
      <c r="F1836" s="992"/>
      <c r="H1836" s="992"/>
      <c r="I1836" s="986"/>
    </row>
    <row r="1837" spans="6:9" ht="13.8">
      <c r="F1837" s="992"/>
      <c r="H1837" s="992"/>
      <c r="I1837" s="986"/>
    </row>
    <row r="1838" spans="6:9" ht="13.8">
      <c r="F1838" s="992"/>
      <c r="H1838" s="992"/>
      <c r="I1838" s="986"/>
    </row>
    <row r="1839" spans="6:9" ht="13.8">
      <c r="F1839" s="992"/>
      <c r="H1839" s="992"/>
      <c r="I1839" s="986"/>
    </row>
    <row r="1840" spans="6:9" ht="13.8">
      <c r="F1840" s="992"/>
      <c r="H1840" s="992"/>
      <c r="I1840" s="986"/>
    </row>
    <row r="1841" spans="6:9" ht="13.8">
      <c r="F1841" s="992"/>
      <c r="H1841" s="992"/>
      <c r="I1841" s="986"/>
    </row>
    <row r="1842" spans="6:9" ht="13.8">
      <c r="F1842" s="992"/>
      <c r="H1842" s="992"/>
      <c r="I1842" s="986"/>
    </row>
    <row r="1843" spans="6:9" ht="13.8">
      <c r="F1843" s="992"/>
      <c r="H1843" s="992"/>
      <c r="I1843" s="986"/>
    </row>
    <row r="1844" spans="6:9" ht="13.8">
      <c r="F1844" s="992"/>
      <c r="H1844" s="992"/>
      <c r="I1844" s="986"/>
    </row>
    <row r="1845" spans="6:9" ht="13.8">
      <c r="F1845" s="992"/>
      <c r="H1845" s="992"/>
      <c r="I1845" s="986"/>
    </row>
    <row r="1846" spans="6:9" ht="13.8">
      <c r="F1846" s="992"/>
      <c r="H1846" s="992"/>
      <c r="I1846" s="986"/>
    </row>
    <row r="1847" spans="6:9" ht="13.8">
      <c r="F1847" s="992"/>
      <c r="H1847" s="992"/>
      <c r="I1847" s="986"/>
    </row>
    <row r="1848" spans="6:9" ht="13.8">
      <c r="F1848" s="992"/>
      <c r="H1848" s="992"/>
      <c r="I1848" s="986"/>
    </row>
    <row r="1849" spans="6:9" ht="13.8">
      <c r="F1849" s="992"/>
      <c r="H1849" s="992"/>
      <c r="I1849" s="986"/>
    </row>
    <row r="1850" spans="6:9" ht="13.8">
      <c r="F1850" s="992"/>
      <c r="H1850" s="992"/>
      <c r="I1850" s="986"/>
    </row>
    <row r="1851" spans="6:9" ht="13.8">
      <c r="F1851" s="992"/>
      <c r="H1851" s="992"/>
      <c r="I1851" s="986"/>
    </row>
    <row r="1852" spans="6:9" ht="13.8">
      <c r="F1852" s="992"/>
      <c r="H1852" s="992"/>
      <c r="I1852" s="986"/>
    </row>
    <row r="1853" spans="6:9" ht="13.8">
      <c r="F1853" s="992"/>
      <c r="H1853" s="992"/>
      <c r="I1853" s="986"/>
    </row>
    <row r="1854" spans="6:9" ht="13.8">
      <c r="F1854" s="992"/>
      <c r="H1854" s="992"/>
      <c r="I1854" s="986"/>
    </row>
    <row r="1855" spans="6:9" ht="13.8">
      <c r="F1855" s="992"/>
      <c r="H1855" s="992"/>
      <c r="I1855" s="986"/>
    </row>
    <row r="1856" spans="6:9" ht="13.8">
      <c r="F1856" s="992"/>
      <c r="H1856" s="992"/>
      <c r="I1856" s="986"/>
    </row>
    <row r="1857" spans="6:9" ht="13.8">
      <c r="F1857" s="992"/>
      <c r="H1857" s="992"/>
      <c r="I1857" s="986"/>
    </row>
    <row r="1858" spans="6:9" ht="13.8">
      <c r="F1858" s="992"/>
      <c r="H1858" s="992"/>
      <c r="I1858" s="986"/>
    </row>
    <row r="1859" spans="6:9" ht="13.8">
      <c r="F1859" s="992"/>
      <c r="H1859" s="992"/>
      <c r="I1859" s="986"/>
    </row>
    <row r="1860" spans="6:9" ht="13.8">
      <c r="F1860" s="992"/>
      <c r="H1860" s="992"/>
      <c r="I1860" s="986"/>
    </row>
    <row r="1861" spans="6:9" ht="13.8">
      <c r="F1861" s="992"/>
      <c r="H1861" s="992"/>
      <c r="I1861" s="986"/>
    </row>
    <row r="1862" spans="6:9" ht="13.8">
      <c r="F1862" s="992"/>
      <c r="H1862" s="992"/>
      <c r="I1862" s="986"/>
    </row>
    <row r="1863" spans="6:9" ht="13.8">
      <c r="F1863" s="992"/>
      <c r="H1863" s="992"/>
      <c r="I1863" s="986"/>
    </row>
    <row r="1864" spans="6:9" ht="13.8">
      <c r="F1864" s="992"/>
      <c r="H1864" s="992"/>
      <c r="I1864" s="986"/>
    </row>
    <row r="1865" spans="6:9" ht="13.8">
      <c r="F1865" s="992"/>
      <c r="H1865" s="992"/>
      <c r="I1865" s="986"/>
    </row>
    <row r="1866" spans="6:9" ht="13.8">
      <c r="F1866" s="992"/>
      <c r="H1866" s="992"/>
      <c r="I1866" s="986"/>
    </row>
    <row r="1867" spans="6:9" ht="13.8">
      <c r="F1867" s="992"/>
      <c r="H1867" s="992"/>
      <c r="I1867" s="986"/>
    </row>
    <row r="1868" spans="6:9" ht="13.8">
      <c r="F1868" s="992"/>
      <c r="H1868" s="992"/>
      <c r="I1868" s="986"/>
    </row>
    <row r="1869" spans="6:9" ht="13.8">
      <c r="F1869" s="992"/>
      <c r="H1869" s="992"/>
      <c r="I1869" s="986"/>
    </row>
    <row r="1870" spans="6:9" ht="13.8">
      <c r="F1870" s="992"/>
      <c r="H1870" s="992"/>
      <c r="I1870" s="986"/>
    </row>
    <row r="1871" spans="6:9" ht="13.8">
      <c r="F1871" s="992"/>
      <c r="H1871" s="992"/>
      <c r="I1871" s="986"/>
    </row>
    <row r="1872" spans="6:9" ht="13.8">
      <c r="F1872" s="992"/>
      <c r="H1872" s="992"/>
      <c r="I1872" s="986"/>
    </row>
    <row r="1873" spans="6:9" ht="13.8">
      <c r="F1873" s="992"/>
      <c r="H1873" s="992"/>
      <c r="I1873" s="986"/>
    </row>
    <row r="1874" spans="6:9" ht="13.8">
      <c r="F1874" s="992"/>
      <c r="H1874" s="992"/>
      <c r="I1874" s="986"/>
    </row>
    <row r="1875" spans="6:9" ht="13.8">
      <c r="F1875" s="992"/>
      <c r="H1875" s="992"/>
      <c r="I1875" s="986"/>
    </row>
    <row r="1876" spans="6:9" ht="13.8">
      <c r="F1876" s="992"/>
      <c r="H1876" s="992"/>
      <c r="I1876" s="986"/>
    </row>
    <row r="1877" spans="6:9" ht="13.8">
      <c r="F1877" s="992"/>
      <c r="H1877" s="992"/>
      <c r="I1877" s="986"/>
    </row>
    <row r="1878" spans="6:9" ht="13.8">
      <c r="F1878" s="992"/>
      <c r="H1878" s="992"/>
      <c r="I1878" s="986"/>
    </row>
    <row r="1879" spans="6:9" ht="13.8">
      <c r="F1879" s="992"/>
      <c r="H1879" s="992"/>
      <c r="I1879" s="986"/>
    </row>
    <row r="1880" spans="6:9" ht="13.8">
      <c r="F1880" s="992"/>
      <c r="H1880" s="992"/>
      <c r="I1880" s="986"/>
    </row>
    <row r="1881" spans="6:9" ht="13.8">
      <c r="F1881" s="992"/>
      <c r="H1881" s="992"/>
      <c r="I1881" s="986"/>
    </row>
    <row r="1882" spans="6:9" ht="13.8">
      <c r="F1882" s="992"/>
      <c r="H1882" s="992"/>
      <c r="I1882" s="986"/>
    </row>
    <row r="1883" spans="6:9" ht="13.8">
      <c r="F1883" s="992"/>
      <c r="H1883" s="992"/>
      <c r="I1883" s="986"/>
    </row>
    <row r="1884" spans="6:9" ht="13.8">
      <c r="F1884" s="992"/>
      <c r="H1884" s="992"/>
      <c r="I1884" s="986"/>
    </row>
    <row r="1885" spans="6:9" ht="13.8">
      <c r="F1885" s="992"/>
      <c r="H1885" s="992"/>
      <c r="I1885" s="986"/>
    </row>
    <row r="1886" spans="6:9" ht="13.8">
      <c r="F1886" s="992"/>
      <c r="H1886" s="992"/>
      <c r="I1886" s="986"/>
    </row>
    <row r="1887" spans="6:9" ht="13.8">
      <c r="F1887" s="992"/>
      <c r="H1887" s="992"/>
      <c r="I1887" s="986"/>
    </row>
    <row r="1888" spans="6:9" ht="13.8">
      <c r="F1888" s="992"/>
      <c r="H1888" s="992"/>
      <c r="I1888" s="986"/>
    </row>
    <row r="1889" spans="6:9" ht="13.8">
      <c r="F1889" s="992"/>
      <c r="H1889" s="992"/>
      <c r="I1889" s="986"/>
    </row>
    <row r="1890" spans="6:9" ht="13.8">
      <c r="F1890" s="992"/>
      <c r="H1890" s="992"/>
      <c r="I1890" s="986"/>
    </row>
    <row r="1891" spans="6:9" ht="13.8">
      <c r="F1891" s="992"/>
      <c r="H1891" s="992"/>
      <c r="I1891" s="986"/>
    </row>
    <row r="1892" spans="6:9" ht="13.8">
      <c r="F1892" s="992"/>
      <c r="H1892" s="992"/>
      <c r="I1892" s="986"/>
    </row>
    <row r="1893" spans="6:9" ht="13.8">
      <c r="F1893" s="992"/>
      <c r="H1893" s="992"/>
      <c r="I1893" s="986"/>
    </row>
    <row r="1894" spans="6:9" ht="13.8">
      <c r="F1894" s="992"/>
      <c r="H1894" s="992"/>
      <c r="I1894" s="986"/>
    </row>
    <row r="1895" spans="6:9" ht="13.8">
      <c r="F1895" s="992"/>
      <c r="H1895" s="992"/>
      <c r="I1895" s="986"/>
    </row>
    <row r="1896" spans="6:9" ht="13.8">
      <c r="F1896" s="992"/>
      <c r="H1896" s="992"/>
      <c r="I1896" s="986"/>
    </row>
    <row r="1897" spans="6:9" ht="13.8">
      <c r="F1897" s="992"/>
      <c r="H1897" s="992"/>
      <c r="I1897" s="986"/>
    </row>
    <row r="1898" spans="6:9" ht="13.8">
      <c r="F1898" s="992"/>
      <c r="H1898" s="992"/>
      <c r="I1898" s="986"/>
    </row>
    <row r="1899" spans="6:9" ht="13.8">
      <c r="F1899" s="992"/>
      <c r="H1899" s="992"/>
      <c r="I1899" s="986"/>
    </row>
    <row r="1900" spans="6:9" ht="13.8">
      <c r="F1900" s="992"/>
      <c r="H1900" s="992"/>
      <c r="I1900" s="986"/>
    </row>
    <row r="1901" spans="6:9" ht="13.8">
      <c r="F1901" s="992"/>
      <c r="H1901" s="992"/>
      <c r="I1901" s="986"/>
    </row>
    <row r="1902" spans="6:9" ht="13.8">
      <c r="F1902" s="992"/>
      <c r="H1902" s="992"/>
      <c r="I1902" s="986"/>
    </row>
    <row r="1903" spans="6:9" ht="13.8">
      <c r="F1903" s="992"/>
      <c r="H1903" s="992"/>
      <c r="I1903" s="986"/>
    </row>
    <row r="1904" spans="6:9" ht="13.8">
      <c r="F1904" s="992"/>
      <c r="H1904" s="992"/>
      <c r="I1904" s="986"/>
    </row>
    <row r="1905" spans="6:9" ht="13.8">
      <c r="F1905" s="992"/>
      <c r="H1905" s="992"/>
      <c r="I1905" s="986"/>
    </row>
    <row r="1906" spans="6:9" ht="13.8">
      <c r="F1906" s="992"/>
      <c r="H1906" s="992"/>
      <c r="I1906" s="986"/>
    </row>
    <row r="1907" spans="6:9" ht="13.8">
      <c r="F1907" s="992"/>
      <c r="H1907" s="992"/>
      <c r="I1907" s="986"/>
    </row>
    <row r="1908" spans="6:9" ht="13.8">
      <c r="F1908" s="992"/>
      <c r="H1908" s="992"/>
      <c r="I1908" s="986"/>
    </row>
    <row r="1909" spans="6:9" ht="13.8">
      <c r="F1909" s="992"/>
      <c r="H1909" s="992"/>
      <c r="I1909" s="986"/>
    </row>
    <row r="1910" spans="6:9" ht="13.8">
      <c r="F1910" s="992"/>
      <c r="H1910" s="992"/>
      <c r="I1910" s="986"/>
    </row>
    <row r="1911" spans="6:9" ht="13.8">
      <c r="F1911" s="992"/>
      <c r="H1911" s="992"/>
      <c r="I1911" s="986"/>
    </row>
    <row r="1912" spans="6:9" ht="13.8">
      <c r="F1912" s="992"/>
      <c r="H1912" s="992"/>
      <c r="I1912" s="986"/>
    </row>
    <row r="1913" spans="6:9" ht="13.8">
      <c r="F1913" s="992"/>
      <c r="H1913" s="992"/>
      <c r="I1913" s="986"/>
    </row>
    <row r="1914" spans="6:9" ht="13.8">
      <c r="F1914" s="992"/>
      <c r="H1914" s="992"/>
      <c r="I1914" s="986"/>
    </row>
    <row r="1915" spans="6:9" ht="13.8">
      <c r="F1915" s="992"/>
      <c r="H1915" s="992"/>
      <c r="I1915" s="986"/>
    </row>
    <row r="1916" spans="6:9" ht="13.8">
      <c r="F1916" s="992"/>
      <c r="H1916" s="992"/>
      <c r="I1916" s="986"/>
    </row>
    <row r="1917" spans="6:9" ht="13.8">
      <c r="F1917" s="992"/>
      <c r="H1917" s="992"/>
      <c r="I1917" s="986"/>
    </row>
    <row r="1918" spans="6:9" ht="13.8">
      <c r="F1918" s="992"/>
      <c r="H1918" s="992"/>
      <c r="I1918" s="986"/>
    </row>
    <row r="1919" spans="6:9" ht="13.8">
      <c r="F1919" s="992"/>
      <c r="H1919" s="992"/>
      <c r="I1919" s="986"/>
    </row>
    <row r="1920" spans="6:9" ht="13.8">
      <c r="F1920" s="992"/>
      <c r="H1920" s="992"/>
      <c r="I1920" s="986"/>
    </row>
    <row r="1921" spans="6:9" ht="13.8">
      <c r="F1921" s="992"/>
      <c r="H1921" s="992"/>
      <c r="I1921" s="986"/>
    </row>
    <row r="1922" spans="6:9" ht="13.8">
      <c r="F1922" s="992"/>
      <c r="H1922" s="992"/>
      <c r="I1922" s="986"/>
    </row>
    <row r="1923" spans="6:9" ht="13.8">
      <c r="F1923" s="992"/>
      <c r="H1923" s="992"/>
      <c r="I1923" s="986"/>
    </row>
    <row r="1924" spans="6:9" ht="13.8">
      <c r="F1924" s="992"/>
      <c r="H1924" s="992"/>
      <c r="I1924" s="986"/>
    </row>
    <row r="1925" spans="6:9" ht="13.8">
      <c r="F1925" s="992"/>
      <c r="H1925" s="992"/>
      <c r="I1925" s="986"/>
    </row>
    <row r="1926" spans="6:9" ht="13.8">
      <c r="F1926" s="992"/>
      <c r="H1926" s="992"/>
      <c r="I1926" s="986"/>
    </row>
    <row r="1927" spans="6:9" ht="13.8">
      <c r="F1927" s="992"/>
      <c r="H1927" s="992"/>
      <c r="I1927" s="986"/>
    </row>
    <row r="1928" spans="6:9" ht="13.8">
      <c r="F1928" s="992"/>
      <c r="H1928" s="992"/>
      <c r="I1928" s="986"/>
    </row>
    <row r="1929" spans="6:9" ht="13.8">
      <c r="F1929" s="992"/>
      <c r="H1929" s="992"/>
      <c r="I1929" s="986"/>
    </row>
    <row r="1930" spans="6:9" ht="13.8">
      <c r="F1930" s="992"/>
      <c r="H1930" s="992"/>
      <c r="I1930" s="986"/>
    </row>
    <row r="1931" spans="6:9" ht="13.8">
      <c r="F1931" s="992"/>
      <c r="H1931" s="992"/>
      <c r="I1931" s="986"/>
    </row>
    <row r="1932" spans="6:9" ht="13.8">
      <c r="F1932" s="992"/>
      <c r="H1932" s="992"/>
      <c r="I1932" s="986"/>
    </row>
    <row r="1933" spans="6:9" ht="13.8">
      <c r="F1933" s="992"/>
      <c r="H1933" s="992"/>
      <c r="I1933" s="986"/>
    </row>
    <row r="1934" spans="6:9" ht="13.8">
      <c r="F1934" s="992"/>
      <c r="H1934" s="992"/>
      <c r="I1934" s="986"/>
    </row>
    <row r="1935" spans="6:9" ht="13.8">
      <c r="F1935" s="992"/>
      <c r="H1935" s="992"/>
      <c r="I1935" s="986"/>
    </row>
    <row r="1936" spans="6:9" ht="13.8">
      <c r="F1936" s="992"/>
      <c r="H1936" s="992"/>
      <c r="I1936" s="986"/>
    </row>
    <row r="1937" spans="6:9" ht="13.8">
      <c r="F1937" s="992"/>
      <c r="H1937" s="992"/>
      <c r="I1937" s="986"/>
    </row>
    <row r="1938" spans="6:9" ht="13.8">
      <c r="F1938" s="992"/>
      <c r="H1938" s="992"/>
      <c r="I1938" s="986"/>
    </row>
    <row r="1939" spans="6:9" ht="13.8">
      <c r="F1939" s="992"/>
      <c r="H1939" s="992"/>
      <c r="I1939" s="986"/>
    </row>
    <row r="1940" spans="6:9" ht="13.8">
      <c r="F1940" s="992"/>
      <c r="H1940" s="992"/>
      <c r="I1940" s="986"/>
    </row>
    <row r="1941" spans="6:9" ht="13.8">
      <c r="F1941" s="992"/>
      <c r="H1941" s="992"/>
      <c r="I1941" s="986"/>
    </row>
    <row r="1942" spans="6:9" ht="13.8">
      <c r="F1942" s="992"/>
      <c r="H1942" s="992"/>
      <c r="I1942" s="986"/>
    </row>
    <row r="1943" spans="6:9" ht="13.8">
      <c r="F1943" s="992"/>
      <c r="H1943" s="992"/>
      <c r="I1943" s="986"/>
    </row>
    <row r="1944" spans="6:9" ht="13.8">
      <c r="F1944" s="992"/>
      <c r="H1944" s="992"/>
      <c r="I1944" s="986"/>
    </row>
    <row r="1945" spans="6:9" ht="13.8">
      <c r="F1945" s="992"/>
      <c r="H1945" s="992"/>
      <c r="I1945" s="986"/>
    </row>
    <row r="1946" spans="6:9" ht="13.8">
      <c r="F1946" s="992"/>
      <c r="H1946" s="992"/>
      <c r="I1946" s="986"/>
    </row>
    <row r="1947" spans="6:9" ht="13.8">
      <c r="F1947" s="992"/>
      <c r="H1947" s="992"/>
      <c r="I1947" s="986"/>
    </row>
    <row r="1948" spans="6:9" ht="13.8">
      <c r="F1948" s="992"/>
      <c r="H1948" s="992"/>
      <c r="I1948" s="986"/>
    </row>
    <row r="1949" spans="6:9" ht="13.8">
      <c r="F1949" s="992"/>
      <c r="H1949" s="992"/>
      <c r="I1949" s="986"/>
    </row>
    <row r="1950" spans="6:9" ht="13.8">
      <c r="F1950" s="992"/>
      <c r="H1950" s="992"/>
      <c r="I1950" s="986"/>
    </row>
    <row r="1951" spans="6:9" ht="13.8">
      <c r="F1951" s="992"/>
      <c r="H1951" s="992"/>
      <c r="I1951" s="986"/>
    </row>
    <row r="1952" spans="6:9" ht="13.8">
      <c r="F1952" s="992"/>
      <c r="H1952" s="992"/>
      <c r="I1952" s="986"/>
    </row>
    <row r="1953" spans="6:9" ht="13.8">
      <c r="F1953" s="992"/>
      <c r="H1953" s="992"/>
      <c r="I1953" s="986"/>
    </row>
    <row r="1954" spans="6:9" ht="13.8">
      <c r="F1954" s="992"/>
      <c r="H1954" s="992"/>
      <c r="I1954" s="986"/>
    </row>
    <row r="1955" spans="6:9" ht="13.8">
      <c r="F1955" s="992"/>
      <c r="H1955" s="992"/>
      <c r="I1955" s="986"/>
    </row>
    <row r="1956" spans="6:9" ht="13.8">
      <c r="F1956" s="992"/>
      <c r="H1956" s="992"/>
      <c r="I1956" s="986"/>
    </row>
    <row r="1957" spans="6:9" ht="13.8">
      <c r="F1957" s="992"/>
      <c r="H1957" s="992"/>
      <c r="I1957" s="986"/>
    </row>
    <row r="1958" spans="6:9" ht="13.8">
      <c r="F1958" s="992"/>
      <c r="H1958" s="992"/>
      <c r="I1958" s="986"/>
    </row>
    <row r="1959" spans="6:9" ht="13.8">
      <c r="F1959" s="992"/>
      <c r="H1959" s="992"/>
      <c r="I1959" s="986"/>
    </row>
    <row r="1960" spans="6:9" ht="13.8">
      <c r="F1960" s="992"/>
      <c r="H1960" s="992"/>
      <c r="I1960" s="986"/>
    </row>
    <row r="1961" spans="6:9" ht="13.8">
      <c r="F1961" s="992"/>
      <c r="H1961" s="992"/>
      <c r="I1961" s="986"/>
    </row>
    <row r="1962" spans="6:9" ht="13.8">
      <c r="F1962" s="992"/>
      <c r="H1962" s="992"/>
      <c r="I1962" s="986"/>
    </row>
    <row r="1963" spans="6:9" ht="13.8">
      <c r="F1963" s="992"/>
      <c r="H1963" s="992"/>
      <c r="I1963" s="986"/>
    </row>
  </sheetData>
  <conditionalFormatting sqref="E565:E1026">
    <cfRule type="cellIs" dxfId="14" priority="1" stopIfTrue="1" operator="lessThan">
      <formula>0</formula>
    </cfRule>
  </conditionalFormatting>
  <pageMargins left="0.70000000000000007" right="0.70000000000000007" top="0.75" bottom="0.75" header="0.30000000000000004" footer="0.30000000000000004"/>
  <pageSetup paperSize="0" scale="90" fitToWidth="0" fitToHeight="0" orientation="portrait" horizontalDpi="0" verticalDpi="0" copie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5"/>
  <sheetViews>
    <sheetView workbookViewId="0"/>
  </sheetViews>
  <sheetFormatPr defaultColWidth="9" defaultRowHeight="13.2"/>
  <cols>
    <col min="1" max="1" width="11.33203125" style="987" customWidth="1"/>
    <col min="2" max="2" width="10.5546875" style="988" bestFit="1" customWidth="1"/>
    <col min="3" max="3" width="29" style="987" bestFit="1" customWidth="1"/>
    <col min="4" max="4" width="6.88671875" style="987" customWidth="1"/>
    <col min="5" max="5" width="10.109375" style="987" customWidth="1"/>
    <col min="6" max="6" width="9.109375" style="987" bestFit="1" customWidth="1"/>
    <col min="7" max="7" width="10.33203125" style="987" customWidth="1"/>
    <col min="8" max="9" width="9.6640625" style="987" bestFit="1" customWidth="1"/>
    <col min="10" max="10" width="10.109375" style="988" bestFit="1" customWidth="1"/>
    <col min="11" max="11" width="9.5546875" style="987" customWidth="1"/>
    <col min="12" max="16384" width="9" style="987"/>
  </cols>
  <sheetData>
    <row r="1" spans="1:10" ht="39.6">
      <c r="A1" s="984" t="s">
        <v>4619</v>
      </c>
      <c r="B1" s="985" t="s">
        <v>4620</v>
      </c>
      <c r="C1" s="984" t="s">
        <v>4621</v>
      </c>
      <c r="D1" s="984" t="s">
        <v>181</v>
      </c>
      <c r="E1" s="984" t="s">
        <v>4622</v>
      </c>
      <c r="F1" s="984" t="s">
        <v>4623</v>
      </c>
      <c r="G1" s="984" t="s">
        <v>4624</v>
      </c>
      <c r="H1" s="986" t="s">
        <v>4629</v>
      </c>
      <c r="I1" s="987" t="s">
        <v>1482</v>
      </c>
      <c r="J1" s="985" t="s">
        <v>4620</v>
      </c>
    </row>
    <row r="2" spans="1:10">
      <c r="B2" s="988">
        <v>9498</v>
      </c>
      <c r="F2" s="989"/>
      <c r="H2" s="986"/>
      <c r="I2" s="986"/>
      <c r="J2" s="988">
        <v>9498</v>
      </c>
    </row>
    <row r="3" spans="1:10">
      <c r="B3" s="988">
        <v>9529</v>
      </c>
      <c r="F3" s="989"/>
      <c r="H3" s="986"/>
      <c r="I3" s="986"/>
      <c r="J3" s="988">
        <v>9529</v>
      </c>
    </row>
    <row r="4" spans="1:10">
      <c r="B4" s="988">
        <v>9557</v>
      </c>
      <c r="F4" s="989"/>
      <c r="H4" s="986"/>
      <c r="I4" s="986"/>
      <c r="J4" s="988">
        <v>9557</v>
      </c>
    </row>
    <row r="5" spans="1:10">
      <c r="B5" s="988">
        <v>9588</v>
      </c>
      <c r="F5" s="989"/>
      <c r="H5" s="986"/>
      <c r="I5" s="986"/>
      <c r="J5" s="988">
        <v>9588</v>
      </c>
    </row>
    <row r="6" spans="1:10">
      <c r="B6" s="988">
        <v>9618</v>
      </c>
      <c r="F6" s="989"/>
      <c r="H6" s="986"/>
      <c r="I6" s="986"/>
      <c r="J6" s="988">
        <v>9618</v>
      </c>
    </row>
    <row r="7" spans="1:10">
      <c r="B7" s="988">
        <v>9649</v>
      </c>
      <c r="F7" s="989"/>
      <c r="H7" s="986"/>
      <c r="I7" s="986"/>
      <c r="J7" s="988">
        <v>9649</v>
      </c>
    </row>
    <row r="8" spans="1:10">
      <c r="B8" s="988">
        <v>9679</v>
      </c>
      <c r="F8" s="989"/>
      <c r="H8" s="986"/>
      <c r="I8" s="986"/>
      <c r="J8" s="988">
        <v>9679</v>
      </c>
    </row>
    <row r="9" spans="1:10">
      <c r="B9" s="988">
        <v>9710</v>
      </c>
      <c r="F9" s="989"/>
      <c r="H9" s="986"/>
      <c r="I9" s="986"/>
      <c r="J9" s="988">
        <v>9710</v>
      </c>
    </row>
    <row r="10" spans="1:10">
      <c r="B10" s="988">
        <v>9741</v>
      </c>
      <c r="F10" s="989"/>
      <c r="H10" s="986"/>
      <c r="I10" s="986"/>
      <c r="J10" s="988">
        <v>9741</v>
      </c>
    </row>
    <row r="11" spans="1:10">
      <c r="B11" s="988">
        <v>9771</v>
      </c>
      <c r="F11" s="989"/>
      <c r="H11" s="986"/>
      <c r="I11" s="986"/>
      <c r="J11" s="988">
        <v>9771</v>
      </c>
    </row>
    <row r="12" spans="1:10">
      <c r="B12" s="988">
        <v>9802</v>
      </c>
      <c r="F12" s="989"/>
      <c r="H12" s="986"/>
      <c r="I12" s="986"/>
      <c r="J12" s="988">
        <v>9802</v>
      </c>
    </row>
    <row r="13" spans="1:10">
      <c r="B13" s="988">
        <v>9832</v>
      </c>
      <c r="F13" s="989"/>
      <c r="H13" s="986"/>
      <c r="I13" s="986"/>
      <c r="J13" s="988">
        <v>9832</v>
      </c>
    </row>
    <row r="14" spans="1:10">
      <c r="B14" s="988">
        <v>9863</v>
      </c>
      <c r="F14" s="989"/>
      <c r="H14" s="986"/>
      <c r="I14" s="986"/>
      <c r="J14" s="988">
        <v>9863</v>
      </c>
    </row>
    <row r="15" spans="1:10">
      <c r="B15" s="988">
        <v>9894</v>
      </c>
      <c r="F15" s="989"/>
      <c r="H15" s="986"/>
      <c r="I15" s="986"/>
      <c r="J15" s="988">
        <v>9894</v>
      </c>
    </row>
    <row r="16" spans="1:10">
      <c r="B16" s="988">
        <v>9922</v>
      </c>
      <c r="F16" s="989"/>
      <c r="H16" s="986"/>
      <c r="I16" s="986"/>
      <c r="J16" s="988">
        <v>9922</v>
      </c>
    </row>
    <row r="17" spans="2:10">
      <c r="B17" s="988">
        <v>9953</v>
      </c>
      <c r="F17" s="989"/>
      <c r="H17" s="986"/>
      <c r="I17" s="986"/>
      <c r="J17" s="988">
        <v>9953</v>
      </c>
    </row>
    <row r="18" spans="2:10">
      <c r="B18" s="988">
        <v>9983</v>
      </c>
      <c r="F18" s="989"/>
      <c r="H18" s="986"/>
      <c r="I18" s="986"/>
      <c r="J18" s="988">
        <v>9983</v>
      </c>
    </row>
    <row r="19" spans="2:10">
      <c r="B19" s="988">
        <v>10014</v>
      </c>
      <c r="F19" s="989"/>
      <c r="H19" s="986"/>
      <c r="I19" s="986"/>
      <c r="J19" s="988">
        <v>10014</v>
      </c>
    </row>
    <row r="20" spans="2:10">
      <c r="B20" s="988">
        <v>10044</v>
      </c>
      <c r="F20" s="989"/>
      <c r="H20" s="986"/>
      <c r="I20" s="986"/>
      <c r="J20" s="988">
        <v>10044</v>
      </c>
    </row>
    <row r="21" spans="2:10">
      <c r="B21" s="988">
        <v>10075</v>
      </c>
      <c r="F21" s="989"/>
      <c r="H21" s="986"/>
      <c r="I21" s="986"/>
      <c r="J21" s="988">
        <v>10075</v>
      </c>
    </row>
    <row r="22" spans="2:10">
      <c r="B22" s="988">
        <v>10106</v>
      </c>
      <c r="F22" s="989"/>
      <c r="H22" s="986"/>
      <c r="I22" s="986"/>
      <c r="J22" s="988">
        <v>10106</v>
      </c>
    </row>
    <row r="23" spans="2:10">
      <c r="B23" s="988">
        <v>10136</v>
      </c>
      <c r="F23" s="989"/>
      <c r="H23" s="986"/>
      <c r="I23" s="986"/>
      <c r="J23" s="988">
        <v>10136</v>
      </c>
    </row>
    <row r="24" spans="2:10">
      <c r="B24" s="988">
        <v>10167</v>
      </c>
      <c r="F24" s="989"/>
      <c r="H24" s="986"/>
      <c r="I24" s="986"/>
      <c r="J24" s="988">
        <v>10167</v>
      </c>
    </row>
    <row r="25" spans="2:10">
      <c r="B25" s="988">
        <v>10197</v>
      </c>
      <c r="F25" s="989"/>
      <c r="H25" s="986"/>
      <c r="I25" s="986"/>
      <c r="J25" s="988">
        <v>10197</v>
      </c>
    </row>
    <row r="26" spans="2:10">
      <c r="B26" s="988">
        <v>10228</v>
      </c>
      <c r="C26" s="987" t="s">
        <v>4630</v>
      </c>
      <c r="F26" s="989">
        <v>-4.0000000000000001E-3</v>
      </c>
      <c r="H26" s="993">
        <v>3.7791666666666668E-3</v>
      </c>
      <c r="I26" s="986">
        <f t="shared" ref="I26:I89" si="0">F26-H26</f>
        <v>-7.7791666666666669E-3</v>
      </c>
      <c r="J26" s="988">
        <v>10228</v>
      </c>
    </row>
    <row r="27" spans="2:10">
      <c r="B27" s="988">
        <v>10259</v>
      </c>
      <c r="C27" s="987" t="s">
        <v>4630</v>
      </c>
      <c r="F27" s="989">
        <v>-1.2500000000000001E-2</v>
      </c>
      <c r="H27" s="993">
        <v>3.7791666666666668E-3</v>
      </c>
      <c r="I27" s="986">
        <f t="shared" si="0"/>
        <v>-1.6279166666666667E-2</v>
      </c>
      <c r="J27" s="988">
        <v>10259</v>
      </c>
    </row>
    <row r="28" spans="2:10">
      <c r="B28" s="988">
        <v>10288</v>
      </c>
      <c r="C28" s="987" t="s">
        <v>4630</v>
      </c>
      <c r="F28" s="989">
        <v>0.1101</v>
      </c>
      <c r="H28" s="993">
        <v>3.7708333333333331E-3</v>
      </c>
      <c r="I28" s="986">
        <f t="shared" si="0"/>
        <v>0.10632916666666667</v>
      </c>
      <c r="J28" s="988">
        <v>10288</v>
      </c>
    </row>
    <row r="29" spans="2:10">
      <c r="B29" s="988">
        <v>10319</v>
      </c>
      <c r="C29" s="987" t="s">
        <v>4630</v>
      </c>
      <c r="F29" s="989">
        <v>3.4500000000000003E-2</v>
      </c>
      <c r="H29" s="993">
        <v>3.7749999999999993E-3</v>
      </c>
      <c r="I29" s="986">
        <f t="shared" si="0"/>
        <v>3.0725000000000002E-2</v>
      </c>
      <c r="J29" s="988">
        <v>10319</v>
      </c>
    </row>
    <row r="30" spans="2:10">
      <c r="B30" s="988">
        <v>10349</v>
      </c>
      <c r="C30" s="987" t="s">
        <v>4630</v>
      </c>
      <c r="F30" s="989">
        <v>1.9699999999999999E-2</v>
      </c>
      <c r="H30" s="993">
        <v>3.8041666666666666E-3</v>
      </c>
      <c r="I30" s="986">
        <f t="shared" si="0"/>
        <v>1.5895833333333331E-2</v>
      </c>
      <c r="J30" s="988">
        <v>10349</v>
      </c>
    </row>
    <row r="31" spans="2:10">
      <c r="B31" s="988">
        <v>10380</v>
      </c>
      <c r="C31" s="987" t="s">
        <v>4630</v>
      </c>
      <c r="F31" s="989">
        <v>-3.85E-2</v>
      </c>
      <c r="H31" s="993">
        <v>3.8833333333333333E-3</v>
      </c>
      <c r="I31" s="986">
        <f t="shared" si="0"/>
        <v>-4.2383333333333335E-2</v>
      </c>
      <c r="J31" s="988">
        <v>10380</v>
      </c>
    </row>
    <row r="32" spans="2:10">
      <c r="B32" s="988">
        <v>10410</v>
      </c>
      <c r="C32" s="987" t="s">
        <v>4630</v>
      </c>
      <c r="F32" s="989">
        <v>1.41E-2</v>
      </c>
      <c r="H32" s="993">
        <v>3.9166666666666673E-3</v>
      </c>
      <c r="I32" s="986">
        <f t="shared" si="0"/>
        <v>1.0183333333333332E-2</v>
      </c>
      <c r="J32" s="988">
        <v>10410</v>
      </c>
    </row>
    <row r="33" spans="2:10">
      <c r="B33" s="988">
        <v>10441</v>
      </c>
      <c r="C33" s="987" t="s">
        <v>4630</v>
      </c>
      <c r="F33" s="989">
        <v>8.0299999999999996E-2</v>
      </c>
      <c r="H33" s="993">
        <v>3.9416666666666662E-3</v>
      </c>
      <c r="I33" s="986">
        <f t="shared" si="0"/>
        <v>7.6358333333333334E-2</v>
      </c>
      <c r="J33" s="988">
        <v>10441</v>
      </c>
    </row>
    <row r="34" spans="2:10">
      <c r="B34" s="988">
        <v>10472</v>
      </c>
      <c r="C34" s="987" t="s">
        <v>4630</v>
      </c>
      <c r="F34" s="989">
        <v>2.5899999999999999E-2</v>
      </c>
      <c r="H34" s="993">
        <v>3.9166666666666673E-3</v>
      </c>
      <c r="I34" s="986">
        <f t="shared" si="0"/>
        <v>2.1983333333333334E-2</v>
      </c>
      <c r="J34" s="988">
        <v>10472</v>
      </c>
    </row>
    <row r="35" spans="2:10">
      <c r="B35" s="988">
        <v>10502</v>
      </c>
      <c r="C35" s="987" t="s">
        <v>4630</v>
      </c>
      <c r="F35" s="989">
        <v>1.6799999999999999E-2</v>
      </c>
      <c r="H35" s="993">
        <v>3.9125000000000002E-3</v>
      </c>
      <c r="I35" s="986">
        <f t="shared" si="0"/>
        <v>1.28875E-2</v>
      </c>
      <c r="J35" s="988">
        <v>10502</v>
      </c>
    </row>
    <row r="36" spans="2:10">
      <c r="B36" s="988">
        <v>10533</v>
      </c>
      <c r="C36" s="987" t="s">
        <v>4630</v>
      </c>
      <c r="F36" s="989">
        <v>0.12920000000000001</v>
      </c>
      <c r="H36" s="993">
        <v>3.8749999999999995E-3</v>
      </c>
      <c r="I36" s="986">
        <f t="shared" si="0"/>
        <v>0.12532500000000002</v>
      </c>
      <c r="J36" s="988">
        <v>10533</v>
      </c>
    </row>
    <row r="37" spans="2:10">
      <c r="B37" s="988">
        <v>10563</v>
      </c>
      <c r="C37" s="987" t="s">
        <v>4630</v>
      </c>
      <c r="F37" s="989">
        <v>4.8999999999999998E-3</v>
      </c>
      <c r="H37" s="993">
        <v>3.908333333333334E-3</v>
      </c>
      <c r="I37" s="986">
        <f t="shared" si="0"/>
        <v>9.9166666666666587E-4</v>
      </c>
      <c r="J37" s="988">
        <v>10563</v>
      </c>
    </row>
    <row r="38" spans="2:10">
      <c r="B38" s="988">
        <v>10594</v>
      </c>
      <c r="C38" s="987" t="s">
        <v>4630</v>
      </c>
      <c r="F38" s="989">
        <v>5.8299999999999998E-2</v>
      </c>
      <c r="H38" s="993">
        <v>3.9208333333333335E-3</v>
      </c>
      <c r="I38" s="986">
        <f t="shared" si="0"/>
        <v>5.4379166666666666E-2</v>
      </c>
      <c r="J38" s="988">
        <v>10594</v>
      </c>
    </row>
    <row r="39" spans="2:10">
      <c r="B39" s="988">
        <v>10625</v>
      </c>
      <c r="C39" s="987" t="s">
        <v>4630</v>
      </c>
      <c r="F39" s="989">
        <v>-1.9E-3</v>
      </c>
      <c r="H39" s="993">
        <v>3.966666666666667E-3</v>
      </c>
      <c r="I39" s="986">
        <f t="shared" si="0"/>
        <v>-5.8666666666666667E-3</v>
      </c>
      <c r="J39" s="988">
        <v>10625</v>
      </c>
    </row>
    <row r="40" spans="2:10">
      <c r="B40" s="988">
        <v>10653</v>
      </c>
      <c r="C40" s="987" t="s">
        <v>4630</v>
      </c>
      <c r="F40" s="989">
        <v>-1.1999999999999999E-3</v>
      </c>
      <c r="H40" s="993">
        <v>4.0083333333333334E-3</v>
      </c>
      <c r="I40" s="986">
        <f t="shared" si="0"/>
        <v>-5.208333333333333E-3</v>
      </c>
      <c r="J40" s="988">
        <v>10653</v>
      </c>
    </row>
    <row r="41" spans="2:10">
      <c r="B41" s="988">
        <v>10684</v>
      </c>
      <c r="C41" s="987" t="s">
        <v>4630</v>
      </c>
      <c r="F41" s="989">
        <v>1.7600000000000001E-2</v>
      </c>
      <c r="H41" s="993">
        <v>4.0000000000000001E-3</v>
      </c>
      <c r="I41" s="986">
        <f t="shared" si="0"/>
        <v>1.3600000000000001E-2</v>
      </c>
      <c r="J41" s="988">
        <v>10684</v>
      </c>
    </row>
    <row r="42" spans="2:10">
      <c r="B42" s="988">
        <v>10714</v>
      </c>
      <c r="C42" s="987" t="s">
        <v>4630</v>
      </c>
      <c r="F42" s="989">
        <v>-3.6200000000000003E-2</v>
      </c>
      <c r="H42" s="993">
        <v>4.0041666666666663E-3</v>
      </c>
      <c r="I42" s="986">
        <f t="shared" si="0"/>
        <v>-4.0204166666666666E-2</v>
      </c>
      <c r="J42" s="988">
        <v>10714</v>
      </c>
    </row>
    <row r="43" spans="2:10">
      <c r="B43" s="988">
        <v>10745</v>
      </c>
      <c r="C43" s="987" t="s">
        <v>4630</v>
      </c>
      <c r="F43" s="989">
        <v>0.114</v>
      </c>
      <c r="H43" s="993">
        <v>4.0625000000000001E-3</v>
      </c>
      <c r="I43" s="986">
        <f t="shared" si="0"/>
        <v>0.10993750000000001</v>
      </c>
      <c r="J43" s="988">
        <v>10745</v>
      </c>
    </row>
    <row r="44" spans="2:10">
      <c r="B44" s="988">
        <v>10775</v>
      </c>
      <c r="C44" s="987" t="s">
        <v>4630</v>
      </c>
      <c r="F44" s="989">
        <v>4.7100000000000003E-2</v>
      </c>
      <c r="H44" s="993">
        <v>4.0583333333333331E-3</v>
      </c>
      <c r="I44" s="986">
        <f t="shared" si="0"/>
        <v>4.3041666666666673E-2</v>
      </c>
      <c r="J44" s="988">
        <v>10775</v>
      </c>
    </row>
    <row r="45" spans="2:10">
      <c r="B45" s="988">
        <v>10806</v>
      </c>
      <c r="C45" s="987" t="s">
        <v>4630</v>
      </c>
      <c r="F45" s="989">
        <v>0.1028</v>
      </c>
      <c r="H45" s="993">
        <v>4.0749999999999996E-3</v>
      </c>
      <c r="I45" s="986">
        <f t="shared" si="0"/>
        <v>9.8725000000000007E-2</v>
      </c>
      <c r="J45" s="988">
        <v>10806</v>
      </c>
    </row>
    <row r="46" spans="2:10">
      <c r="B46" s="988">
        <v>10837</v>
      </c>
      <c r="C46" s="987" t="s">
        <v>4630</v>
      </c>
      <c r="F46" s="989">
        <v>-4.7600000000000003E-2</v>
      </c>
      <c r="H46" s="993">
        <v>4.0874999999999991E-3</v>
      </c>
      <c r="I46" s="986">
        <f t="shared" si="0"/>
        <v>-5.1687500000000004E-2</v>
      </c>
      <c r="J46" s="988">
        <v>10837</v>
      </c>
    </row>
    <row r="47" spans="2:10">
      <c r="B47" s="988">
        <v>10867</v>
      </c>
      <c r="C47" s="987" t="s">
        <v>4630</v>
      </c>
      <c r="F47" s="989">
        <v>-0.1973</v>
      </c>
      <c r="H47" s="993">
        <v>4.0749999999999996E-3</v>
      </c>
      <c r="I47" s="986">
        <f t="shared" si="0"/>
        <v>-0.201375</v>
      </c>
      <c r="J47" s="988">
        <v>10867</v>
      </c>
    </row>
    <row r="48" spans="2:10">
      <c r="B48" s="988">
        <v>10898</v>
      </c>
      <c r="C48" s="987" t="s">
        <v>4630</v>
      </c>
      <c r="F48" s="989">
        <v>-0.1246</v>
      </c>
      <c r="H48" s="993">
        <v>4.0416666666666665E-3</v>
      </c>
      <c r="I48" s="986">
        <f t="shared" si="0"/>
        <v>-0.12864166666666668</v>
      </c>
      <c r="J48" s="988">
        <v>10898</v>
      </c>
    </row>
    <row r="49" spans="2:10">
      <c r="B49" s="988">
        <v>10928</v>
      </c>
      <c r="C49" s="987" t="s">
        <v>4630</v>
      </c>
      <c r="F49" s="989">
        <v>2.8199999999999999E-2</v>
      </c>
      <c r="H49" s="993">
        <v>3.9624999999999999E-3</v>
      </c>
      <c r="I49" s="986">
        <f t="shared" si="0"/>
        <v>2.4237499999999999E-2</v>
      </c>
      <c r="J49" s="988">
        <v>10928</v>
      </c>
    </row>
    <row r="50" spans="2:10">
      <c r="B50" s="988">
        <v>10959</v>
      </c>
      <c r="C50" s="987" t="s">
        <v>4630</v>
      </c>
      <c r="F50" s="989">
        <v>6.3899999999999998E-2</v>
      </c>
      <c r="H50" s="993">
        <v>3.966666666666667E-3</v>
      </c>
      <c r="I50" s="986">
        <f t="shared" si="0"/>
        <v>5.9933333333333332E-2</v>
      </c>
      <c r="J50" s="988">
        <v>10959</v>
      </c>
    </row>
    <row r="51" spans="2:10">
      <c r="B51" s="988">
        <v>10990</v>
      </c>
      <c r="C51" s="987" t="s">
        <v>4630</v>
      </c>
      <c r="F51" s="989">
        <v>2.5899999999999999E-2</v>
      </c>
      <c r="H51" s="993">
        <v>3.9916666666666668E-3</v>
      </c>
      <c r="I51" s="986">
        <f t="shared" si="0"/>
        <v>2.1908333333333332E-2</v>
      </c>
      <c r="J51" s="988">
        <v>10990</v>
      </c>
    </row>
    <row r="52" spans="2:10">
      <c r="B52" s="988">
        <v>11018</v>
      </c>
      <c r="C52" s="987" t="s">
        <v>4630</v>
      </c>
      <c r="F52" s="989">
        <v>8.1199999999999994E-2</v>
      </c>
      <c r="H52" s="993">
        <v>3.9249999999999997E-3</v>
      </c>
      <c r="I52" s="986">
        <f t="shared" si="0"/>
        <v>7.7274999999999996E-2</v>
      </c>
      <c r="J52" s="988">
        <v>11018</v>
      </c>
    </row>
    <row r="53" spans="2:10">
      <c r="B53" s="988">
        <v>11049</v>
      </c>
      <c r="C53" s="987" t="s">
        <v>4630</v>
      </c>
      <c r="F53" s="989">
        <v>-8.0000000000000002E-3</v>
      </c>
      <c r="H53" s="993">
        <v>3.908333333333334E-3</v>
      </c>
      <c r="I53" s="986">
        <f t="shared" si="0"/>
        <v>-1.1908333333333333E-2</v>
      </c>
      <c r="J53" s="988">
        <v>11049</v>
      </c>
    </row>
    <row r="54" spans="2:10">
      <c r="B54" s="988">
        <v>11079</v>
      </c>
      <c r="C54" s="987" t="s">
        <v>4630</v>
      </c>
      <c r="F54" s="989">
        <v>-9.5999999999999992E-3</v>
      </c>
      <c r="H54" s="993">
        <v>3.9041666666666665E-3</v>
      </c>
      <c r="I54" s="986">
        <f t="shared" si="0"/>
        <v>-1.3504166666666666E-2</v>
      </c>
      <c r="J54" s="988">
        <v>11079</v>
      </c>
    </row>
    <row r="55" spans="2:10">
      <c r="B55" s="988">
        <v>11110</v>
      </c>
      <c r="C55" s="987" t="s">
        <v>4630</v>
      </c>
      <c r="F55" s="989">
        <v>-0.16250000000000001</v>
      </c>
      <c r="H55" s="993">
        <v>3.8875000000000003E-3</v>
      </c>
      <c r="I55" s="986">
        <f t="shared" si="0"/>
        <v>-0.16638749999999999</v>
      </c>
      <c r="J55" s="988">
        <v>11110</v>
      </c>
    </row>
    <row r="56" spans="2:10">
      <c r="B56" s="988">
        <v>11140</v>
      </c>
      <c r="C56" s="987" t="s">
        <v>4630</v>
      </c>
      <c r="F56" s="989">
        <v>3.8600000000000002E-2</v>
      </c>
      <c r="H56" s="993">
        <v>3.8583333333333334E-3</v>
      </c>
      <c r="I56" s="986">
        <f t="shared" si="0"/>
        <v>3.4741666666666671E-2</v>
      </c>
      <c r="J56" s="988">
        <v>11140</v>
      </c>
    </row>
    <row r="57" spans="2:10">
      <c r="B57" s="988">
        <v>11171</v>
      </c>
      <c r="C57" s="987" t="s">
        <v>4630</v>
      </c>
      <c r="F57" s="989">
        <v>1.41E-2</v>
      </c>
      <c r="H57" s="993">
        <v>3.8124999999999999E-3</v>
      </c>
      <c r="I57" s="986">
        <f t="shared" si="0"/>
        <v>1.02875E-2</v>
      </c>
      <c r="J57" s="988">
        <v>11171</v>
      </c>
    </row>
    <row r="58" spans="2:10">
      <c r="B58" s="988">
        <v>11202</v>
      </c>
      <c r="C58" s="987" t="s">
        <v>4630</v>
      </c>
      <c r="F58" s="989">
        <v>-0.12820000000000001</v>
      </c>
      <c r="H58" s="993">
        <v>3.7791666666666668E-3</v>
      </c>
      <c r="I58" s="986">
        <f t="shared" si="0"/>
        <v>-0.13197916666666668</v>
      </c>
      <c r="J58" s="988">
        <v>11202</v>
      </c>
    </row>
    <row r="59" spans="2:10">
      <c r="B59" s="988">
        <v>11232</v>
      </c>
      <c r="C59" s="987" t="s">
        <v>4630</v>
      </c>
      <c r="F59" s="989">
        <v>-8.5500000000000007E-2</v>
      </c>
      <c r="H59" s="993">
        <v>3.7875000000000005E-3</v>
      </c>
      <c r="I59" s="986">
        <f t="shared" si="0"/>
        <v>-8.9287500000000006E-2</v>
      </c>
      <c r="J59" s="988">
        <v>11232</v>
      </c>
    </row>
    <row r="60" spans="2:10">
      <c r="B60" s="988">
        <v>11263</v>
      </c>
      <c r="C60" s="987" t="s">
        <v>4630</v>
      </c>
      <c r="F60" s="989">
        <v>-8.8999999999999999E-3</v>
      </c>
      <c r="H60" s="993">
        <v>3.8416666666666664E-3</v>
      </c>
      <c r="I60" s="986">
        <f t="shared" si="0"/>
        <v>-1.2741666666666667E-2</v>
      </c>
      <c r="J60" s="988">
        <v>11263</v>
      </c>
    </row>
    <row r="61" spans="2:10">
      <c r="B61" s="988">
        <v>11293</v>
      </c>
      <c r="C61" s="987" t="s">
        <v>4630</v>
      </c>
      <c r="F61" s="989">
        <v>-7.0599999999999996E-2</v>
      </c>
      <c r="H61" s="993">
        <v>3.9041666666666665E-3</v>
      </c>
      <c r="I61" s="986">
        <f t="shared" si="0"/>
        <v>-7.4504166666666663E-2</v>
      </c>
      <c r="J61" s="988">
        <v>11293</v>
      </c>
    </row>
    <row r="62" spans="2:10">
      <c r="B62" s="988">
        <v>11324</v>
      </c>
      <c r="C62" s="987" t="s">
        <v>4630</v>
      </c>
      <c r="F62" s="989">
        <v>5.0200000000000002E-2</v>
      </c>
      <c r="H62" s="993">
        <v>3.8E-3</v>
      </c>
      <c r="I62" s="986">
        <f t="shared" si="0"/>
        <v>4.6400000000000004E-2</v>
      </c>
      <c r="J62" s="988">
        <v>11324</v>
      </c>
    </row>
    <row r="63" spans="2:10">
      <c r="B63" s="988">
        <v>11355</v>
      </c>
      <c r="C63" s="987" t="s">
        <v>4630</v>
      </c>
      <c r="F63" s="989">
        <v>0.1193</v>
      </c>
      <c r="H63" s="993">
        <v>3.8041666666666662E-3</v>
      </c>
      <c r="I63" s="986">
        <f t="shared" si="0"/>
        <v>0.11549583333333334</v>
      </c>
      <c r="J63" s="988">
        <v>11355</v>
      </c>
    </row>
    <row r="64" spans="2:10">
      <c r="B64" s="988">
        <v>11383</v>
      </c>
      <c r="C64" s="987" t="s">
        <v>4630</v>
      </c>
      <c r="F64" s="989">
        <v>-6.7500000000000004E-2</v>
      </c>
      <c r="H64" s="993">
        <v>3.7749999999999993E-3</v>
      </c>
      <c r="I64" s="986">
        <f t="shared" si="0"/>
        <v>-7.1275000000000005E-2</v>
      </c>
      <c r="J64" s="988">
        <v>11383</v>
      </c>
    </row>
    <row r="65" spans="2:10">
      <c r="B65" s="988">
        <v>11414</v>
      </c>
      <c r="C65" s="987" t="s">
        <v>4630</v>
      </c>
      <c r="F65" s="989">
        <v>-9.35E-2</v>
      </c>
      <c r="H65" s="993">
        <v>3.816666666666667E-3</v>
      </c>
      <c r="I65" s="986">
        <f t="shared" si="0"/>
        <v>-9.7316666666666662E-2</v>
      </c>
      <c r="J65" s="988">
        <v>11414</v>
      </c>
    </row>
    <row r="66" spans="2:10">
      <c r="B66" s="988">
        <v>11444</v>
      </c>
      <c r="C66" s="987" t="s">
        <v>4630</v>
      </c>
      <c r="F66" s="989">
        <v>-0.12790000000000001</v>
      </c>
      <c r="H66" s="993">
        <v>3.8041666666666666E-3</v>
      </c>
      <c r="I66" s="986">
        <f t="shared" si="0"/>
        <v>-0.13170416666666668</v>
      </c>
      <c r="J66" s="988">
        <v>11444</v>
      </c>
    </row>
    <row r="67" spans="2:10">
      <c r="B67" s="988">
        <v>11475</v>
      </c>
      <c r="C67" s="987" t="s">
        <v>4630</v>
      </c>
      <c r="F67" s="989">
        <v>0.1421</v>
      </c>
      <c r="H67" s="993">
        <v>3.8208333333333332E-3</v>
      </c>
      <c r="I67" s="986">
        <f t="shared" si="0"/>
        <v>0.13827916666666668</v>
      </c>
      <c r="J67" s="988">
        <v>11475</v>
      </c>
    </row>
    <row r="68" spans="2:10">
      <c r="B68" s="988">
        <v>11505</v>
      </c>
      <c r="C68" s="987" t="s">
        <v>4630</v>
      </c>
      <c r="F68" s="989">
        <v>-7.22E-2</v>
      </c>
      <c r="H68" s="993">
        <v>3.8208333333333332E-3</v>
      </c>
      <c r="I68" s="986">
        <f t="shared" si="0"/>
        <v>-7.6020833333333329E-2</v>
      </c>
      <c r="J68" s="988">
        <v>11505</v>
      </c>
    </row>
    <row r="69" spans="2:10">
      <c r="B69" s="988">
        <v>11536</v>
      </c>
      <c r="C69" s="987" t="s">
        <v>4630</v>
      </c>
      <c r="F69" s="989">
        <v>1.8200000000000001E-2</v>
      </c>
      <c r="H69" s="993">
        <v>3.8541666666666663E-3</v>
      </c>
      <c r="I69" s="986">
        <f t="shared" si="0"/>
        <v>1.4345833333333335E-2</v>
      </c>
      <c r="J69" s="988">
        <v>11536</v>
      </c>
    </row>
    <row r="70" spans="2:10">
      <c r="B70" s="988">
        <v>11567</v>
      </c>
      <c r="C70" s="987" t="s">
        <v>4630</v>
      </c>
      <c r="F70" s="989">
        <v>-0.29730000000000001</v>
      </c>
      <c r="H70" s="993">
        <v>4.0124999999999996E-3</v>
      </c>
      <c r="I70" s="986">
        <f t="shared" si="0"/>
        <v>-0.30131249999999998</v>
      </c>
      <c r="J70" s="988">
        <v>11567</v>
      </c>
    </row>
    <row r="71" spans="2:10">
      <c r="B71" s="988">
        <v>11597</v>
      </c>
      <c r="C71" s="987" t="s">
        <v>4630</v>
      </c>
      <c r="F71" s="989">
        <v>8.9599999999999999E-2</v>
      </c>
      <c r="H71" s="993">
        <v>4.4000000000000003E-3</v>
      </c>
      <c r="I71" s="986">
        <f t="shared" si="0"/>
        <v>8.5199999999999998E-2</v>
      </c>
      <c r="J71" s="988">
        <v>11597</v>
      </c>
    </row>
    <row r="72" spans="2:10">
      <c r="B72" s="988">
        <v>11628</v>
      </c>
      <c r="C72" s="987" t="s">
        <v>4630</v>
      </c>
      <c r="F72" s="989">
        <v>-7.9799999999999996E-2</v>
      </c>
      <c r="H72" s="993">
        <v>4.3958333333333332E-3</v>
      </c>
      <c r="I72" s="986">
        <f t="shared" si="0"/>
        <v>-8.4195833333333331E-2</v>
      </c>
      <c r="J72" s="988">
        <v>11628</v>
      </c>
    </row>
    <row r="73" spans="2:10">
      <c r="B73" s="988">
        <v>11658</v>
      </c>
      <c r="C73" s="987" t="s">
        <v>4630</v>
      </c>
      <c r="F73" s="989">
        <v>-0.14000000000000001</v>
      </c>
      <c r="H73" s="993">
        <v>4.8249999999999994E-3</v>
      </c>
      <c r="I73" s="986">
        <f t="shared" si="0"/>
        <v>-0.14482500000000001</v>
      </c>
      <c r="J73" s="988">
        <v>11658</v>
      </c>
    </row>
    <row r="74" spans="2:10">
      <c r="B74" s="988">
        <v>11689</v>
      </c>
      <c r="C74" s="987" t="s">
        <v>4630</v>
      </c>
      <c r="F74" s="989">
        <v>-2.7099999999999999E-2</v>
      </c>
      <c r="H74" s="993">
        <v>4.7000000000000002E-3</v>
      </c>
      <c r="I74" s="986">
        <f t="shared" si="0"/>
        <v>-3.1800000000000002E-2</v>
      </c>
      <c r="J74" s="988">
        <v>11689</v>
      </c>
    </row>
    <row r="75" spans="2:10">
      <c r="B75" s="988">
        <v>11720</v>
      </c>
      <c r="C75" s="987" t="s">
        <v>4630</v>
      </c>
      <c r="F75" s="989">
        <v>5.7000000000000002E-2</v>
      </c>
      <c r="H75" s="993">
        <v>4.7333333333333342E-3</v>
      </c>
      <c r="I75" s="986">
        <f t="shared" si="0"/>
        <v>5.226666666666667E-2</v>
      </c>
      <c r="J75" s="988">
        <v>11720</v>
      </c>
    </row>
    <row r="76" spans="2:10">
      <c r="B76" s="988">
        <v>11749</v>
      </c>
      <c r="C76" s="987" t="s">
        <v>4630</v>
      </c>
      <c r="F76" s="989">
        <v>-0.1158</v>
      </c>
      <c r="H76" s="993">
        <v>4.5125E-3</v>
      </c>
      <c r="I76" s="986">
        <f t="shared" si="0"/>
        <v>-0.1203125</v>
      </c>
      <c r="J76" s="988">
        <v>11749</v>
      </c>
    </row>
    <row r="77" spans="2:10">
      <c r="B77" s="988">
        <v>11780</v>
      </c>
      <c r="C77" s="987" t="s">
        <v>4630</v>
      </c>
      <c r="F77" s="989">
        <v>-0.19969999999999999</v>
      </c>
      <c r="H77" s="993">
        <v>4.6999999999999993E-3</v>
      </c>
      <c r="I77" s="986">
        <f t="shared" si="0"/>
        <v>-0.2044</v>
      </c>
      <c r="J77" s="988">
        <v>11780</v>
      </c>
    </row>
    <row r="78" spans="2:10">
      <c r="B78" s="988">
        <v>11810</v>
      </c>
      <c r="C78" s="987" t="s">
        <v>4630</v>
      </c>
      <c r="F78" s="989">
        <v>-0.21959999999999999</v>
      </c>
      <c r="H78" s="993">
        <v>4.8916666666666666E-3</v>
      </c>
      <c r="I78" s="986">
        <f t="shared" si="0"/>
        <v>-0.22449166666666664</v>
      </c>
      <c r="J78" s="988">
        <v>11810</v>
      </c>
    </row>
    <row r="79" spans="2:10">
      <c r="B79" s="988">
        <v>11841</v>
      </c>
      <c r="C79" s="987" t="s">
        <v>4630</v>
      </c>
      <c r="F79" s="989">
        <v>-2.2000000000000001E-3</v>
      </c>
      <c r="H79" s="993">
        <v>5.0041666666666663E-3</v>
      </c>
      <c r="I79" s="986">
        <f t="shared" si="0"/>
        <v>-7.204166666666666E-3</v>
      </c>
      <c r="J79" s="988">
        <v>11841</v>
      </c>
    </row>
    <row r="80" spans="2:10">
      <c r="B80" s="988">
        <v>11871</v>
      </c>
      <c r="C80" s="987" t="s">
        <v>4630</v>
      </c>
      <c r="F80" s="989">
        <v>0.38150000000000001</v>
      </c>
      <c r="H80" s="993">
        <v>4.904166666666666E-3</v>
      </c>
      <c r="I80" s="986">
        <f t="shared" si="0"/>
        <v>0.37659583333333335</v>
      </c>
      <c r="J80" s="988">
        <v>11871</v>
      </c>
    </row>
    <row r="81" spans="2:10">
      <c r="B81" s="988">
        <v>11902</v>
      </c>
      <c r="C81" s="987" t="s">
        <v>4630</v>
      </c>
      <c r="F81" s="989">
        <v>0.38690000000000002</v>
      </c>
      <c r="H81" s="993">
        <v>4.4749999999999998E-3</v>
      </c>
      <c r="I81" s="986">
        <f t="shared" si="0"/>
        <v>0.38242500000000001</v>
      </c>
      <c r="J81" s="988">
        <v>11902</v>
      </c>
    </row>
    <row r="82" spans="2:10">
      <c r="B82" s="988">
        <v>11933</v>
      </c>
      <c r="C82" s="987" t="s">
        <v>4630</v>
      </c>
      <c r="F82" s="989">
        <v>-3.4599999999999999E-2</v>
      </c>
      <c r="H82" s="993">
        <v>4.266666666666666E-3</v>
      </c>
      <c r="I82" s="986">
        <f t="shared" si="0"/>
        <v>-3.8866666666666667E-2</v>
      </c>
      <c r="J82" s="988">
        <v>11933</v>
      </c>
    </row>
    <row r="83" spans="2:10">
      <c r="B83" s="988">
        <v>11963</v>
      </c>
      <c r="C83" s="987" t="s">
        <v>4630</v>
      </c>
      <c r="F83" s="989">
        <v>-0.13489999999999999</v>
      </c>
      <c r="H83" s="993">
        <v>4.2291666666666667E-3</v>
      </c>
      <c r="I83" s="986">
        <f t="shared" si="0"/>
        <v>-0.13912916666666666</v>
      </c>
      <c r="J83" s="988">
        <v>11963</v>
      </c>
    </row>
    <row r="84" spans="2:10">
      <c r="B84" s="988">
        <v>11994</v>
      </c>
      <c r="C84" s="987" t="s">
        <v>4630</v>
      </c>
      <c r="F84" s="989">
        <v>-4.1700000000000001E-2</v>
      </c>
      <c r="H84" s="993">
        <v>4.2500000000000003E-3</v>
      </c>
      <c r="I84" s="986">
        <f t="shared" si="0"/>
        <v>-4.5950000000000005E-2</v>
      </c>
      <c r="J84" s="988">
        <v>11994</v>
      </c>
    </row>
    <row r="85" spans="2:10">
      <c r="B85" s="988">
        <v>12024</v>
      </c>
      <c r="C85" s="987" t="s">
        <v>4630</v>
      </c>
      <c r="F85" s="989">
        <v>5.6500000000000002E-2</v>
      </c>
      <c r="H85" s="993">
        <v>4.2458333333333332E-3</v>
      </c>
      <c r="I85" s="986">
        <f t="shared" si="0"/>
        <v>5.2254166666666671E-2</v>
      </c>
      <c r="J85" s="988">
        <v>12024</v>
      </c>
    </row>
    <row r="86" spans="2:10" ht="13.8">
      <c r="B86" s="988">
        <v>12055</v>
      </c>
      <c r="C86" s="987" t="s">
        <v>4630</v>
      </c>
      <c r="F86" s="990">
        <v>8.6999999999999994E-3</v>
      </c>
      <c r="H86" s="993">
        <v>4.0583333333333339E-3</v>
      </c>
      <c r="I86" s="986">
        <f t="shared" si="0"/>
        <v>4.6416666666666655E-3</v>
      </c>
      <c r="J86" s="988">
        <v>12055</v>
      </c>
    </row>
    <row r="87" spans="2:10" ht="13.8">
      <c r="B87" s="988">
        <v>12086</v>
      </c>
      <c r="C87" s="987" t="s">
        <v>4630</v>
      </c>
      <c r="F87" s="990">
        <v>-0.1772</v>
      </c>
      <c r="H87" s="993">
        <v>4.0958333333333333E-3</v>
      </c>
      <c r="I87" s="986">
        <f t="shared" si="0"/>
        <v>-0.18129583333333332</v>
      </c>
      <c r="J87" s="988">
        <v>12086</v>
      </c>
    </row>
    <row r="88" spans="2:10" ht="13.8">
      <c r="B88" s="988">
        <v>12114</v>
      </c>
      <c r="C88" s="987" t="s">
        <v>4630</v>
      </c>
      <c r="F88" s="990">
        <v>3.5299999999999998E-2</v>
      </c>
      <c r="H88" s="993">
        <v>4.2874999999999996E-3</v>
      </c>
      <c r="I88" s="986">
        <f t="shared" si="0"/>
        <v>3.1012499999999998E-2</v>
      </c>
      <c r="J88" s="988">
        <v>12114</v>
      </c>
    </row>
    <row r="89" spans="2:10" ht="13.8">
      <c r="B89" s="988">
        <v>12145</v>
      </c>
      <c r="C89" s="987" t="s">
        <v>4630</v>
      </c>
      <c r="F89" s="990">
        <v>0.42559999999999998</v>
      </c>
      <c r="H89" s="993">
        <v>4.4125000000000006E-3</v>
      </c>
      <c r="I89" s="986">
        <f t="shared" si="0"/>
        <v>0.42118749999999999</v>
      </c>
      <c r="J89" s="988">
        <v>12145</v>
      </c>
    </row>
    <row r="90" spans="2:10" ht="13.8">
      <c r="B90" s="988">
        <v>12175</v>
      </c>
      <c r="C90" s="987" t="s">
        <v>4630</v>
      </c>
      <c r="F90" s="990">
        <v>0.16830000000000001</v>
      </c>
      <c r="H90" s="993">
        <v>4.179166666666667E-3</v>
      </c>
      <c r="I90" s="986">
        <f t="shared" ref="I90:I153" si="1">F90-H90</f>
        <v>0.16412083333333333</v>
      </c>
      <c r="J90" s="988">
        <v>12175</v>
      </c>
    </row>
    <row r="91" spans="2:10" ht="13.8">
      <c r="B91" s="988">
        <v>12206</v>
      </c>
      <c r="C91" s="987" t="s">
        <v>4630</v>
      </c>
      <c r="F91" s="990">
        <v>0.1338</v>
      </c>
      <c r="H91" s="993">
        <v>3.9791666666666664E-3</v>
      </c>
      <c r="I91" s="986">
        <f t="shared" si="1"/>
        <v>0.12982083333333333</v>
      </c>
      <c r="J91" s="988">
        <v>12206</v>
      </c>
    </row>
    <row r="92" spans="2:10" ht="13.8">
      <c r="B92" s="988">
        <v>12236</v>
      </c>
      <c r="C92" s="987" t="s">
        <v>4630</v>
      </c>
      <c r="F92" s="990">
        <v>-8.6199999999999999E-2</v>
      </c>
      <c r="H92" s="993">
        <v>3.8291666666666669E-3</v>
      </c>
      <c r="I92" s="986">
        <f t="shared" si="1"/>
        <v>-9.002916666666666E-2</v>
      </c>
      <c r="J92" s="988">
        <v>12236</v>
      </c>
    </row>
    <row r="93" spans="2:10" ht="13.8">
      <c r="B93" s="988">
        <v>12267</v>
      </c>
      <c r="C93" s="987" t="s">
        <v>4630</v>
      </c>
      <c r="F93" s="990">
        <v>0.1206</v>
      </c>
      <c r="H93" s="993">
        <v>3.7791666666666668E-3</v>
      </c>
      <c r="I93" s="986">
        <f t="shared" si="1"/>
        <v>0.11682083333333333</v>
      </c>
      <c r="J93" s="988">
        <v>12267</v>
      </c>
    </row>
    <row r="94" spans="2:10" ht="13.8">
      <c r="B94" s="988">
        <v>12298</v>
      </c>
      <c r="C94" s="987" t="s">
        <v>4630</v>
      </c>
      <c r="F94" s="990">
        <v>-0.1118</v>
      </c>
      <c r="H94" s="993">
        <v>3.8833333333333333E-3</v>
      </c>
      <c r="I94" s="986">
        <f t="shared" si="1"/>
        <v>-0.11568333333333333</v>
      </c>
      <c r="J94" s="988">
        <v>12298</v>
      </c>
    </row>
    <row r="95" spans="2:10" ht="13.8">
      <c r="B95" s="988">
        <v>12328</v>
      </c>
      <c r="C95" s="987" t="s">
        <v>4630</v>
      </c>
      <c r="F95" s="990">
        <v>-8.5500000000000007E-2</v>
      </c>
      <c r="H95" s="993">
        <v>3.8791666666666662E-3</v>
      </c>
      <c r="I95" s="986">
        <f t="shared" si="1"/>
        <v>-8.9379166666666676E-2</v>
      </c>
      <c r="J95" s="988">
        <v>12328</v>
      </c>
    </row>
    <row r="96" spans="2:10" ht="13.8">
      <c r="B96" s="988">
        <v>12359</v>
      </c>
      <c r="C96" s="987" t="s">
        <v>4630</v>
      </c>
      <c r="F96" s="990">
        <v>0.11269999999999999</v>
      </c>
      <c r="H96" s="993">
        <v>4.120833333333334E-3</v>
      </c>
      <c r="I96" s="986">
        <f t="shared" si="1"/>
        <v>0.10857916666666666</v>
      </c>
      <c r="J96" s="988">
        <v>12359</v>
      </c>
    </row>
    <row r="97" spans="2:10" ht="13.8">
      <c r="B97" s="988">
        <v>12389</v>
      </c>
      <c r="C97" s="987" t="s">
        <v>4630</v>
      </c>
      <c r="F97" s="990">
        <v>2.53E-2</v>
      </c>
      <c r="H97" s="993">
        <v>4.0708333333333334E-3</v>
      </c>
      <c r="I97" s="986">
        <f t="shared" si="1"/>
        <v>2.1229166666666667E-2</v>
      </c>
      <c r="J97" s="988">
        <v>12389</v>
      </c>
    </row>
    <row r="98" spans="2:10" ht="13.8">
      <c r="B98" s="988">
        <v>12420</v>
      </c>
      <c r="C98" s="987" t="s">
        <v>4630</v>
      </c>
      <c r="F98" s="990">
        <v>0.1069</v>
      </c>
      <c r="H98" s="993">
        <v>3.8958333333333332E-3</v>
      </c>
      <c r="I98" s="986">
        <f t="shared" si="1"/>
        <v>0.10300416666666666</v>
      </c>
      <c r="J98" s="988">
        <v>12420</v>
      </c>
    </row>
    <row r="99" spans="2:10" ht="13.8">
      <c r="B99" s="988">
        <v>12451</v>
      </c>
      <c r="C99" s="987" t="s">
        <v>4630</v>
      </c>
      <c r="F99" s="990">
        <v>-3.2199999999999999E-2</v>
      </c>
      <c r="H99" s="993">
        <v>3.7083333333333334E-3</v>
      </c>
      <c r="I99" s="986">
        <f t="shared" si="1"/>
        <v>-3.5908333333333334E-2</v>
      </c>
      <c r="J99" s="988">
        <v>12451</v>
      </c>
    </row>
    <row r="100" spans="2:10" ht="13.8">
      <c r="B100" s="988">
        <v>12479</v>
      </c>
      <c r="C100" s="987" t="s">
        <v>4630</v>
      </c>
      <c r="F100" s="990">
        <v>0</v>
      </c>
      <c r="H100" s="993">
        <v>3.6166666666666669E-3</v>
      </c>
      <c r="I100" s="986">
        <f t="shared" si="1"/>
        <v>-3.6166666666666669E-3</v>
      </c>
      <c r="J100" s="988">
        <v>12479</v>
      </c>
    </row>
    <row r="101" spans="2:10" ht="13.8">
      <c r="B101" s="988">
        <v>12510</v>
      </c>
      <c r="C101" s="987" t="s">
        <v>4630</v>
      </c>
      <c r="F101" s="990">
        <v>-2.5100000000000001E-2</v>
      </c>
      <c r="H101" s="993">
        <v>3.5416666666666665E-3</v>
      </c>
      <c r="I101" s="986">
        <f t="shared" si="1"/>
        <v>-2.8641666666666666E-2</v>
      </c>
      <c r="J101" s="988">
        <v>12510</v>
      </c>
    </row>
    <row r="102" spans="2:10" ht="13.8">
      <c r="B102" s="988">
        <v>12540</v>
      </c>
      <c r="C102" s="987" t="s">
        <v>4630</v>
      </c>
      <c r="F102" s="990">
        <v>-7.3599999999999999E-2</v>
      </c>
      <c r="H102" s="993">
        <v>3.4916666666666668E-3</v>
      </c>
      <c r="I102" s="986">
        <f t="shared" si="1"/>
        <v>-7.7091666666666669E-2</v>
      </c>
      <c r="J102" s="988">
        <v>12540</v>
      </c>
    </row>
    <row r="103" spans="2:10" ht="13.8">
      <c r="B103" s="988">
        <v>12571</v>
      </c>
      <c r="C103" s="987" t="s">
        <v>4630</v>
      </c>
      <c r="F103" s="990">
        <v>2.29E-2</v>
      </c>
      <c r="H103" s="993">
        <v>3.4291666666666663E-3</v>
      </c>
      <c r="I103" s="986">
        <f t="shared" si="1"/>
        <v>1.9470833333333333E-2</v>
      </c>
      <c r="J103" s="988">
        <v>12571</v>
      </c>
    </row>
    <row r="104" spans="2:10" ht="13.8">
      <c r="B104" s="988">
        <v>12601</v>
      </c>
      <c r="C104" s="987" t="s">
        <v>4630</v>
      </c>
      <c r="F104" s="990">
        <v>-0.1132</v>
      </c>
      <c r="H104" s="993">
        <v>3.4041666666666669E-3</v>
      </c>
      <c r="I104" s="986">
        <f t="shared" si="1"/>
        <v>-0.11660416666666666</v>
      </c>
      <c r="J104" s="988">
        <v>12601</v>
      </c>
    </row>
    <row r="105" spans="2:10" ht="13.8">
      <c r="B105" s="988">
        <v>12632</v>
      </c>
      <c r="C105" s="987" t="s">
        <v>4630</v>
      </c>
      <c r="F105" s="990">
        <v>6.1100000000000002E-2</v>
      </c>
      <c r="H105" s="993">
        <v>3.4458333333333337E-3</v>
      </c>
      <c r="I105" s="986">
        <f t="shared" si="1"/>
        <v>5.7654166666666666E-2</v>
      </c>
      <c r="J105" s="988">
        <v>12632</v>
      </c>
    </row>
    <row r="106" spans="2:10" ht="13.8">
      <c r="B106" s="988">
        <v>12663</v>
      </c>
      <c r="C106" s="987" t="s">
        <v>4630</v>
      </c>
      <c r="F106" s="990">
        <v>-3.3E-3</v>
      </c>
      <c r="H106" s="993">
        <v>3.4916666666666668E-3</v>
      </c>
      <c r="I106" s="986">
        <f t="shared" si="1"/>
        <v>-6.7916666666666663E-3</v>
      </c>
      <c r="J106" s="988">
        <v>12663</v>
      </c>
    </row>
    <row r="107" spans="2:10" ht="13.8">
      <c r="B107" s="988">
        <v>12693</v>
      </c>
      <c r="C107" s="987" t="s">
        <v>4630</v>
      </c>
      <c r="F107" s="990">
        <v>-2.86E-2</v>
      </c>
      <c r="H107" s="993">
        <v>3.4416666666666667E-3</v>
      </c>
      <c r="I107" s="986">
        <f t="shared" si="1"/>
        <v>-3.204166666666667E-2</v>
      </c>
      <c r="J107" s="988">
        <v>12693</v>
      </c>
    </row>
    <row r="108" spans="2:10" ht="13.8">
      <c r="B108" s="988">
        <v>12724</v>
      </c>
      <c r="C108" s="987" t="s">
        <v>4630</v>
      </c>
      <c r="F108" s="990">
        <v>9.4200000000000006E-2</v>
      </c>
      <c r="H108" s="993">
        <v>3.3916666666666665E-3</v>
      </c>
      <c r="I108" s="986">
        <f t="shared" si="1"/>
        <v>9.0808333333333338E-2</v>
      </c>
      <c r="J108" s="988">
        <v>12724</v>
      </c>
    </row>
    <row r="109" spans="2:10" ht="13.8">
      <c r="B109" s="988">
        <v>12754</v>
      </c>
      <c r="C109" s="987" t="s">
        <v>4630</v>
      </c>
      <c r="F109" s="990">
        <v>-1E-3</v>
      </c>
      <c r="H109" s="993">
        <v>3.3666666666666667E-3</v>
      </c>
      <c r="I109" s="986">
        <f t="shared" si="1"/>
        <v>-4.3666666666666663E-3</v>
      </c>
      <c r="J109" s="988">
        <v>12754</v>
      </c>
    </row>
    <row r="110" spans="2:10" ht="13.8">
      <c r="B110" s="988">
        <v>12785</v>
      </c>
      <c r="C110" s="987" t="s">
        <v>4630</v>
      </c>
      <c r="F110" s="990">
        <v>-4.1099999999999998E-2</v>
      </c>
      <c r="H110" s="993">
        <v>3.3250000000000003E-3</v>
      </c>
      <c r="I110" s="986">
        <f t="shared" si="1"/>
        <v>-4.4424999999999999E-2</v>
      </c>
      <c r="J110" s="988">
        <v>12785</v>
      </c>
    </row>
    <row r="111" spans="2:10" ht="13.8">
      <c r="B111" s="988">
        <v>12816</v>
      </c>
      <c r="C111" s="987" t="s">
        <v>4630</v>
      </c>
      <c r="F111" s="990">
        <v>-3.4099999999999998E-2</v>
      </c>
      <c r="H111" s="993">
        <v>3.2583333333333331E-3</v>
      </c>
      <c r="I111" s="986">
        <f t="shared" si="1"/>
        <v>-3.7358333333333334E-2</v>
      </c>
      <c r="J111" s="988">
        <v>12816</v>
      </c>
    </row>
    <row r="112" spans="2:10" ht="13.8">
      <c r="B112" s="988">
        <v>12844</v>
      </c>
      <c r="C112" s="987" t="s">
        <v>4630</v>
      </c>
      <c r="F112" s="990">
        <v>-2.86E-2</v>
      </c>
      <c r="H112" s="993">
        <v>3.241666666666667E-3</v>
      </c>
      <c r="I112" s="986">
        <f t="shared" si="1"/>
        <v>-3.1841666666666671E-2</v>
      </c>
      <c r="J112" s="988">
        <v>12844</v>
      </c>
    </row>
    <row r="113" spans="2:10" ht="13.8">
      <c r="B113" s="988">
        <v>12875</v>
      </c>
      <c r="C113" s="987" t="s">
        <v>4630</v>
      </c>
      <c r="F113" s="990">
        <v>9.8000000000000004E-2</v>
      </c>
      <c r="H113" s="993">
        <v>3.225E-3</v>
      </c>
      <c r="I113" s="986">
        <f t="shared" si="1"/>
        <v>9.4774999999999998E-2</v>
      </c>
      <c r="J113" s="988">
        <v>12875</v>
      </c>
    </row>
    <row r="114" spans="2:10" ht="13.8">
      <c r="B114" s="988">
        <v>12905</v>
      </c>
      <c r="C114" s="987" t="s">
        <v>4630</v>
      </c>
      <c r="F114" s="990">
        <v>4.0899999999999999E-2</v>
      </c>
      <c r="H114" s="993">
        <v>3.2000000000000002E-3</v>
      </c>
      <c r="I114" s="986">
        <f t="shared" si="1"/>
        <v>3.7699999999999997E-2</v>
      </c>
      <c r="J114" s="988">
        <v>12905</v>
      </c>
    </row>
    <row r="115" spans="2:10" ht="13.8">
      <c r="B115" s="988">
        <v>12936</v>
      </c>
      <c r="C115" s="987" t="s">
        <v>4630</v>
      </c>
      <c r="F115" s="990">
        <v>6.9900000000000004E-2</v>
      </c>
      <c r="H115" s="993">
        <v>3.1666666666666666E-3</v>
      </c>
      <c r="I115" s="986">
        <f t="shared" si="1"/>
        <v>6.6733333333333339E-2</v>
      </c>
      <c r="J115" s="988">
        <v>12936</v>
      </c>
    </row>
    <row r="116" spans="2:10" ht="13.8">
      <c r="B116" s="988">
        <v>12966</v>
      </c>
      <c r="C116" s="987" t="s">
        <v>4630</v>
      </c>
      <c r="F116" s="990">
        <v>8.5000000000000006E-2</v>
      </c>
      <c r="H116" s="993">
        <v>3.1041666666666665E-3</v>
      </c>
      <c r="I116" s="986">
        <f t="shared" si="1"/>
        <v>8.1895833333333334E-2</v>
      </c>
      <c r="J116" s="988">
        <v>12966</v>
      </c>
    </row>
    <row r="117" spans="2:10" ht="13.8">
      <c r="B117" s="988">
        <v>12997</v>
      </c>
      <c r="C117" s="987" t="s">
        <v>4630</v>
      </c>
      <c r="F117" s="990">
        <v>2.8000000000000001E-2</v>
      </c>
      <c r="H117" s="993">
        <v>3.1125000000000002E-3</v>
      </c>
      <c r="I117" s="986">
        <f t="shared" si="1"/>
        <v>2.48875E-2</v>
      </c>
      <c r="J117" s="988">
        <v>12997</v>
      </c>
    </row>
    <row r="118" spans="2:10" ht="13.8">
      <c r="B118" s="988">
        <v>13028</v>
      </c>
      <c r="C118" s="987" t="s">
        <v>4630</v>
      </c>
      <c r="F118" s="990">
        <v>2.5600000000000001E-2</v>
      </c>
      <c r="H118" s="993">
        <v>3.0999999999999999E-3</v>
      </c>
      <c r="I118" s="986">
        <f t="shared" si="1"/>
        <v>2.2500000000000003E-2</v>
      </c>
      <c r="J118" s="988">
        <v>13028</v>
      </c>
    </row>
    <row r="119" spans="2:10" ht="13.8">
      <c r="B119" s="988">
        <v>13058</v>
      </c>
      <c r="C119" s="987" t="s">
        <v>4630</v>
      </c>
      <c r="F119" s="990">
        <v>7.7700000000000005E-2</v>
      </c>
      <c r="H119" s="993">
        <v>3.058333333333333E-3</v>
      </c>
      <c r="I119" s="986">
        <f t="shared" si="1"/>
        <v>7.4641666666666676E-2</v>
      </c>
      <c r="J119" s="988">
        <v>13058</v>
      </c>
    </row>
    <row r="120" spans="2:10" ht="13.8">
      <c r="B120" s="988">
        <v>13089</v>
      </c>
      <c r="C120" s="987" t="s">
        <v>4630</v>
      </c>
      <c r="F120" s="990">
        <v>4.7399999999999998E-2</v>
      </c>
      <c r="H120" s="993">
        <v>3.0000000000000005E-3</v>
      </c>
      <c r="I120" s="986">
        <f t="shared" si="1"/>
        <v>4.4399999999999995E-2</v>
      </c>
      <c r="J120" s="988">
        <v>13089</v>
      </c>
    </row>
    <row r="121" spans="2:10" ht="13.8">
      <c r="B121" s="988">
        <v>13119</v>
      </c>
      <c r="C121" s="987" t="s">
        <v>4630</v>
      </c>
      <c r="F121" s="990">
        <v>3.9399999999999998E-2</v>
      </c>
      <c r="H121" s="993">
        <v>2.9541666666666666E-3</v>
      </c>
      <c r="I121" s="986">
        <f t="shared" si="1"/>
        <v>3.644583333333333E-2</v>
      </c>
      <c r="J121" s="988">
        <v>13119</v>
      </c>
    </row>
    <row r="122" spans="2:10" ht="13.8">
      <c r="B122" s="988">
        <v>13150</v>
      </c>
      <c r="C122" s="987" t="s">
        <v>4630</v>
      </c>
      <c r="F122" s="990">
        <v>6.7000000000000004E-2</v>
      </c>
      <c r="H122" s="993">
        <v>2.891666666666667E-3</v>
      </c>
      <c r="I122" s="986">
        <f t="shared" si="1"/>
        <v>6.4108333333333337E-2</v>
      </c>
      <c r="J122" s="988">
        <v>13150</v>
      </c>
    </row>
    <row r="123" spans="2:10" ht="13.8">
      <c r="B123" s="988">
        <v>13181</v>
      </c>
      <c r="C123" s="987" t="s">
        <v>4630</v>
      </c>
      <c r="F123" s="990">
        <v>2.24E-2</v>
      </c>
      <c r="H123" s="993">
        <v>2.8625E-3</v>
      </c>
      <c r="I123" s="986">
        <f t="shared" si="1"/>
        <v>1.9537499999999999E-2</v>
      </c>
      <c r="J123" s="988">
        <v>13181</v>
      </c>
    </row>
    <row r="124" spans="2:10" ht="13.8">
      <c r="B124" s="988">
        <v>13210</v>
      </c>
      <c r="C124" s="987" t="s">
        <v>4630</v>
      </c>
      <c r="F124" s="990">
        <v>2.6800000000000001E-2</v>
      </c>
      <c r="H124" s="993">
        <v>2.8500000000000001E-3</v>
      </c>
      <c r="I124" s="986">
        <f t="shared" si="1"/>
        <v>2.3949999999999999E-2</v>
      </c>
      <c r="J124" s="988">
        <v>13210</v>
      </c>
    </row>
    <row r="125" spans="2:10" ht="13.8">
      <c r="B125" s="988">
        <v>13241</v>
      </c>
      <c r="C125" s="987" t="s">
        <v>4630</v>
      </c>
      <c r="F125" s="990">
        <v>-7.51E-2</v>
      </c>
      <c r="H125" s="993">
        <v>2.8583333333333334E-3</v>
      </c>
      <c r="I125" s="986">
        <f t="shared" si="1"/>
        <v>-7.7958333333333338E-2</v>
      </c>
      <c r="J125" s="988">
        <v>13241</v>
      </c>
    </row>
    <row r="126" spans="2:10" ht="13.8">
      <c r="B126" s="988">
        <v>13271</v>
      </c>
      <c r="C126" s="987" t="s">
        <v>4630</v>
      </c>
      <c r="F126" s="990">
        <v>5.45E-2</v>
      </c>
      <c r="H126" s="993">
        <v>2.8333333333333331E-3</v>
      </c>
      <c r="I126" s="986">
        <f t="shared" si="1"/>
        <v>5.1666666666666666E-2</v>
      </c>
      <c r="J126" s="988">
        <v>13271</v>
      </c>
    </row>
    <row r="127" spans="2:10" ht="13.8">
      <c r="B127" s="988">
        <v>13302</v>
      </c>
      <c r="C127" s="987" t="s">
        <v>4630</v>
      </c>
      <c r="F127" s="990">
        <v>3.3300000000000003E-2</v>
      </c>
      <c r="H127" s="993">
        <v>2.8124999999999999E-3</v>
      </c>
      <c r="I127" s="986">
        <f t="shared" si="1"/>
        <v>3.0487500000000004E-2</v>
      </c>
      <c r="J127" s="988">
        <v>13302</v>
      </c>
    </row>
    <row r="128" spans="2:10" ht="13.8">
      <c r="B128" s="988">
        <v>13332</v>
      </c>
      <c r="C128" s="987" t="s">
        <v>4630</v>
      </c>
      <c r="F128" s="990">
        <v>7.0099999999999996E-2</v>
      </c>
      <c r="H128" s="993">
        <v>2.7958333333333329E-3</v>
      </c>
      <c r="I128" s="986">
        <f t="shared" si="1"/>
        <v>6.7304166666666665E-2</v>
      </c>
      <c r="J128" s="988">
        <v>13332</v>
      </c>
    </row>
    <row r="129" spans="2:10" ht="13.8">
      <c r="B129" s="988">
        <v>13363</v>
      </c>
      <c r="C129" s="987" t="s">
        <v>4630</v>
      </c>
      <c r="F129" s="990">
        <v>1.5100000000000001E-2</v>
      </c>
      <c r="H129" s="993">
        <v>2.7708333333333335E-3</v>
      </c>
      <c r="I129" s="986">
        <f t="shared" si="1"/>
        <v>1.2329166666666667E-2</v>
      </c>
      <c r="J129" s="988">
        <v>13363</v>
      </c>
    </row>
    <row r="130" spans="2:10" ht="13.8">
      <c r="B130" s="988">
        <v>13394</v>
      </c>
      <c r="C130" s="987" t="s">
        <v>4630</v>
      </c>
      <c r="F130" s="990">
        <v>3.0999999999999999E-3</v>
      </c>
      <c r="H130" s="993">
        <v>2.7458333333333336E-3</v>
      </c>
      <c r="I130" s="986">
        <f t="shared" si="1"/>
        <v>3.5416666666666626E-4</v>
      </c>
      <c r="J130" s="988">
        <v>13394</v>
      </c>
    </row>
    <row r="131" spans="2:10" ht="13.8">
      <c r="B131" s="988">
        <v>13424</v>
      </c>
      <c r="C131" s="987" t="s">
        <v>4630</v>
      </c>
      <c r="F131" s="990">
        <v>7.7499999999999999E-2</v>
      </c>
      <c r="H131" s="993">
        <v>2.7291666666666671E-3</v>
      </c>
      <c r="I131" s="986">
        <f t="shared" si="1"/>
        <v>7.4770833333333328E-2</v>
      </c>
      <c r="J131" s="988">
        <v>13424</v>
      </c>
    </row>
    <row r="132" spans="2:10" ht="13.8">
      <c r="B132" s="988">
        <v>13455</v>
      </c>
      <c r="C132" s="987" t="s">
        <v>4630</v>
      </c>
      <c r="F132" s="990">
        <v>1.34E-2</v>
      </c>
      <c r="H132" s="993">
        <v>2.6916666666666669E-3</v>
      </c>
      <c r="I132" s="986">
        <f t="shared" si="1"/>
        <v>1.0708333333333334E-2</v>
      </c>
      <c r="J132" s="988">
        <v>13455</v>
      </c>
    </row>
    <row r="133" spans="2:10" ht="13.8">
      <c r="B133" s="988">
        <v>13485</v>
      </c>
      <c r="C133" s="987" t="s">
        <v>4630</v>
      </c>
      <c r="F133" s="990">
        <v>-2.8999999999999998E-3</v>
      </c>
      <c r="H133" s="993">
        <v>2.6583333333333337E-3</v>
      </c>
      <c r="I133" s="986">
        <f t="shared" si="1"/>
        <v>-5.5583333333333335E-3</v>
      </c>
      <c r="J133" s="988">
        <v>13485</v>
      </c>
    </row>
    <row r="134" spans="2:10" ht="13.8">
      <c r="B134" s="988">
        <v>13516</v>
      </c>
      <c r="C134" s="987" t="s">
        <v>4630</v>
      </c>
      <c r="F134" s="990">
        <v>3.9E-2</v>
      </c>
      <c r="H134" s="993">
        <v>2.6666666666666666E-3</v>
      </c>
      <c r="I134" s="986">
        <f t="shared" si="1"/>
        <v>3.6333333333333336E-2</v>
      </c>
      <c r="J134" s="988">
        <v>13516</v>
      </c>
    </row>
    <row r="135" spans="2:10" ht="13.8">
      <c r="B135" s="988">
        <v>13547</v>
      </c>
      <c r="C135" s="987" t="s">
        <v>4630</v>
      </c>
      <c r="F135" s="990">
        <v>1.9099999999999999E-2</v>
      </c>
      <c r="H135" s="993">
        <v>2.7583333333333336E-3</v>
      </c>
      <c r="I135" s="986">
        <f t="shared" si="1"/>
        <v>1.6341666666666664E-2</v>
      </c>
      <c r="J135" s="988">
        <v>13547</v>
      </c>
    </row>
    <row r="136" spans="2:10" ht="13.8">
      <c r="B136" s="988">
        <v>13575</v>
      </c>
      <c r="C136" s="987" t="s">
        <v>4630</v>
      </c>
      <c r="F136" s="990">
        <v>-7.7000000000000002E-3</v>
      </c>
      <c r="H136" s="993">
        <v>2.8416666666666668E-3</v>
      </c>
      <c r="I136" s="986">
        <f t="shared" si="1"/>
        <v>-1.0541666666666668E-2</v>
      </c>
      <c r="J136" s="988">
        <v>13575</v>
      </c>
    </row>
    <row r="137" spans="2:10" ht="13.8">
      <c r="B137" s="988">
        <v>13606</v>
      </c>
      <c r="C137" s="987" t="s">
        <v>4630</v>
      </c>
      <c r="F137" s="990">
        <v>-8.09E-2</v>
      </c>
      <c r="H137" s="993">
        <v>2.9125000000000002E-3</v>
      </c>
      <c r="I137" s="986">
        <f t="shared" si="1"/>
        <v>-8.3812499999999998E-2</v>
      </c>
      <c r="J137" s="988">
        <v>13606</v>
      </c>
    </row>
    <row r="138" spans="2:10" ht="13.8">
      <c r="B138" s="988">
        <v>13636</v>
      </c>
      <c r="C138" s="987" t="s">
        <v>4630</v>
      </c>
      <c r="F138" s="990">
        <v>-2.3999999999999998E-3</v>
      </c>
      <c r="H138" s="993">
        <v>2.8375000000000002E-3</v>
      </c>
      <c r="I138" s="986">
        <f t="shared" si="1"/>
        <v>-5.2375E-3</v>
      </c>
      <c r="J138" s="988">
        <v>13636</v>
      </c>
    </row>
    <row r="139" spans="2:10" ht="13.8">
      <c r="B139" s="988">
        <v>13667</v>
      </c>
      <c r="C139" s="987" t="s">
        <v>4630</v>
      </c>
      <c r="F139" s="990">
        <v>-5.04E-2</v>
      </c>
      <c r="H139" s="993">
        <v>2.7958333333333329E-3</v>
      </c>
      <c r="I139" s="986">
        <f t="shared" si="1"/>
        <v>-5.3195833333333331E-2</v>
      </c>
      <c r="J139" s="988">
        <v>13667</v>
      </c>
    </row>
    <row r="140" spans="2:10" ht="13.8">
      <c r="B140" s="988">
        <v>13697</v>
      </c>
      <c r="C140" s="987" t="s">
        <v>4630</v>
      </c>
      <c r="F140" s="990">
        <v>0.1045</v>
      </c>
      <c r="H140" s="993">
        <v>2.7749999999999997E-3</v>
      </c>
      <c r="I140" s="986">
        <f t="shared" si="1"/>
        <v>0.101725</v>
      </c>
      <c r="J140" s="988">
        <v>13697</v>
      </c>
    </row>
    <row r="141" spans="2:10" ht="13.8">
      <c r="B141" s="988">
        <v>13728</v>
      </c>
      <c r="C141" s="987" t="s">
        <v>4630</v>
      </c>
      <c r="F141" s="990">
        <v>-4.8300000000000003E-2</v>
      </c>
      <c r="H141" s="993">
        <v>2.7708333333333335E-3</v>
      </c>
      <c r="I141" s="986">
        <f t="shared" si="1"/>
        <v>-5.1070833333333336E-2</v>
      </c>
      <c r="J141" s="988">
        <v>13728</v>
      </c>
    </row>
    <row r="142" spans="2:10" ht="13.8">
      <c r="B142" s="988">
        <v>13759</v>
      </c>
      <c r="C142" s="987" t="s">
        <v>4630</v>
      </c>
      <c r="F142" s="990">
        <v>-0.14030000000000001</v>
      </c>
      <c r="H142" s="993">
        <v>2.8083333333333333E-3</v>
      </c>
      <c r="I142" s="986">
        <f t="shared" si="1"/>
        <v>-0.14310833333333334</v>
      </c>
      <c r="J142" s="988">
        <v>13759</v>
      </c>
    </row>
    <row r="143" spans="2:10" ht="13.8">
      <c r="B143" s="988">
        <v>13789</v>
      </c>
      <c r="C143" s="987" t="s">
        <v>4630</v>
      </c>
      <c r="F143" s="990">
        <v>-9.8100000000000007E-2</v>
      </c>
      <c r="H143" s="993">
        <v>2.8333333333333331E-3</v>
      </c>
      <c r="I143" s="986">
        <f t="shared" si="1"/>
        <v>-0.10093333333333333</v>
      </c>
      <c r="J143" s="988">
        <v>13789</v>
      </c>
    </row>
    <row r="144" spans="2:10" ht="13.8">
      <c r="B144" s="988">
        <v>13820</v>
      </c>
      <c r="C144" s="987" t="s">
        <v>4630</v>
      </c>
      <c r="F144" s="990">
        <v>-8.6599999999999996E-2</v>
      </c>
      <c r="H144" s="993">
        <v>2.8249999999999998E-3</v>
      </c>
      <c r="I144" s="986">
        <f t="shared" si="1"/>
        <v>-8.9424999999999991E-2</v>
      </c>
      <c r="J144" s="988">
        <v>13820</v>
      </c>
    </row>
    <row r="145" spans="2:10" ht="13.8">
      <c r="B145" s="988">
        <v>13850</v>
      </c>
      <c r="C145" s="987" t="s">
        <v>4630</v>
      </c>
      <c r="F145" s="990">
        <v>-4.5900000000000003E-2</v>
      </c>
      <c r="H145" s="993">
        <v>2.7958333333333333E-3</v>
      </c>
      <c r="I145" s="986">
        <f t="shared" si="1"/>
        <v>-4.8695833333333334E-2</v>
      </c>
      <c r="J145" s="988">
        <v>13850</v>
      </c>
    </row>
    <row r="146" spans="2:10" ht="13.8">
      <c r="B146" s="988">
        <v>13881</v>
      </c>
      <c r="C146" s="987" t="s">
        <v>4630</v>
      </c>
      <c r="F146" s="990">
        <v>1.52E-2</v>
      </c>
      <c r="H146" s="993">
        <v>2.7791666666666672E-3</v>
      </c>
      <c r="I146" s="986">
        <f t="shared" si="1"/>
        <v>1.2420833333333332E-2</v>
      </c>
      <c r="J146" s="988">
        <v>13881</v>
      </c>
    </row>
    <row r="147" spans="2:10" ht="13.8">
      <c r="B147" s="988">
        <v>13912</v>
      </c>
      <c r="C147" s="987" t="s">
        <v>4630</v>
      </c>
      <c r="F147" s="990">
        <v>6.7400000000000002E-2</v>
      </c>
      <c r="H147" s="993">
        <v>2.7958333333333329E-3</v>
      </c>
      <c r="I147" s="986">
        <f t="shared" si="1"/>
        <v>6.4604166666666671E-2</v>
      </c>
      <c r="J147" s="988">
        <v>13912</v>
      </c>
    </row>
    <row r="148" spans="2:10" ht="13.8">
      <c r="B148" s="988">
        <v>13940</v>
      </c>
      <c r="C148" s="987" t="s">
        <v>4630</v>
      </c>
      <c r="F148" s="990">
        <v>-0.2487</v>
      </c>
      <c r="H148" s="993">
        <v>2.8250000000000003E-3</v>
      </c>
      <c r="I148" s="986">
        <f t="shared" si="1"/>
        <v>-0.251525</v>
      </c>
      <c r="J148" s="988">
        <v>13940</v>
      </c>
    </row>
    <row r="149" spans="2:10" ht="13.8">
      <c r="B149" s="988">
        <v>13971</v>
      </c>
      <c r="C149" s="987" t="s">
        <v>4630</v>
      </c>
      <c r="F149" s="990">
        <v>0.1447</v>
      </c>
      <c r="H149" s="993">
        <v>2.9291666666666667E-3</v>
      </c>
      <c r="I149" s="986">
        <f t="shared" si="1"/>
        <v>0.14177083333333332</v>
      </c>
      <c r="J149" s="988">
        <v>13971</v>
      </c>
    </row>
    <row r="150" spans="2:10" ht="13.8">
      <c r="B150" s="988">
        <v>14001</v>
      </c>
      <c r="C150" s="987" t="s">
        <v>4630</v>
      </c>
      <c r="F150" s="990">
        <v>-3.3000000000000002E-2</v>
      </c>
      <c r="H150" s="993">
        <v>2.8250000000000003E-3</v>
      </c>
      <c r="I150" s="986">
        <f t="shared" si="1"/>
        <v>-3.5825000000000003E-2</v>
      </c>
      <c r="J150" s="988">
        <v>14001</v>
      </c>
    </row>
    <row r="151" spans="2:10" ht="13.8">
      <c r="B151" s="988">
        <v>14032</v>
      </c>
      <c r="C151" s="987" t="s">
        <v>4630</v>
      </c>
      <c r="F151" s="990">
        <v>0.25030000000000002</v>
      </c>
      <c r="H151" s="993">
        <v>2.891666666666667E-3</v>
      </c>
      <c r="I151" s="986">
        <f t="shared" si="1"/>
        <v>0.24740833333333337</v>
      </c>
      <c r="J151" s="988">
        <v>14032</v>
      </c>
    </row>
    <row r="152" spans="2:10" ht="13.8">
      <c r="B152" s="988">
        <v>14062</v>
      </c>
      <c r="C152" s="987" t="s">
        <v>4630</v>
      </c>
      <c r="F152" s="990">
        <v>7.4399999999999994E-2</v>
      </c>
      <c r="H152" s="993">
        <v>2.8500000000000001E-3</v>
      </c>
      <c r="I152" s="986">
        <f t="shared" si="1"/>
        <v>7.1549999999999989E-2</v>
      </c>
      <c r="J152" s="988">
        <v>14062</v>
      </c>
    </row>
    <row r="153" spans="2:10" ht="13.8">
      <c r="B153" s="988">
        <v>14093</v>
      </c>
      <c r="C153" s="987" t="s">
        <v>4630</v>
      </c>
      <c r="F153" s="990">
        <v>-2.2599999999999999E-2</v>
      </c>
      <c r="H153" s="993">
        <v>2.8124999999999999E-3</v>
      </c>
      <c r="I153" s="986">
        <f t="shared" si="1"/>
        <v>-2.5412499999999998E-2</v>
      </c>
      <c r="J153" s="988">
        <v>14093</v>
      </c>
    </row>
    <row r="154" spans="2:10" ht="13.8">
      <c r="B154" s="988">
        <v>14124</v>
      </c>
      <c r="C154" s="987" t="s">
        <v>4630</v>
      </c>
      <c r="F154" s="990">
        <v>1.66E-2</v>
      </c>
      <c r="H154" s="993">
        <v>2.8375000000000002E-3</v>
      </c>
      <c r="I154" s="986">
        <f t="shared" ref="I154:I217" si="2">F154-H154</f>
        <v>1.37625E-2</v>
      </c>
      <c r="J154" s="988">
        <v>14124</v>
      </c>
    </row>
    <row r="155" spans="2:10" ht="13.8">
      <c r="B155" s="988">
        <v>14154</v>
      </c>
      <c r="C155" s="987" t="s">
        <v>4630</v>
      </c>
      <c r="F155" s="990">
        <v>7.7600000000000002E-2</v>
      </c>
      <c r="H155" s="993">
        <v>2.7833333333333334E-3</v>
      </c>
      <c r="I155" s="986">
        <f t="shared" si="2"/>
        <v>7.481666666666667E-2</v>
      </c>
      <c r="J155" s="988">
        <v>14154</v>
      </c>
    </row>
    <row r="156" spans="2:10" ht="13.8">
      <c r="B156" s="988">
        <v>14185</v>
      </c>
      <c r="C156" s="987" t="s">
        <v>4630</v>
      </c>
      <c r="F156" s="990">
        <v>-2.7300000000000001E-2</v>
      </c>
      <c r="H156" s="993">
        <v>2.7333333333333333E-3</v>
      </c>
      <c r="I156" s="986">
        <f t="shared" si="2"/>
        <v>-3.0033333333333335E-2</v>
      </c>
      <c r="J156" s="988">
        <v>14185</v>
      </c>
    </row>
    <row r="157" spans="2:10" ht="13.8">
      <c r="B157" s="988">
        <v>14215</v>
      </c>
      <c r="C157" s="987" t="s">
        <v>4630</v>
      </c>
      <c r="F157" s="990">
        <v>4.0099999999999997E-2</v>
      </c>
      <c r="H157" s="993">
        <v>2.708333333333333E-3</v>
      </c>
      <c r="I157" s="986">
        <f t="shared" si="2"/>
        <v>3.7391666666666663E-2</v>
      </c>
      <c r="J157" s="988">
        <v>14215</v>
      </c>
    </row>
    <row r="158" spans="2:10" ht="13.8">
      <c r="B158" s="988">
        <v>14246</v>
      </c>
      <c r="C158" s="987" t="s">
        <v>4630</v>
      </c>
      <c r="F158" s="990">
        <v>-6.7400000000000002E-2</v>
      </c>
      <c r="H158" s="993">
        <v>2.6374999999999997E-3</v>
      </c>
      <c r="I158" s="986">
        <f t="shared" si="2"/>
        <v>-7.0037500000000003E-2</v>
      </c>
      <c r="J158" s="988">
        <v>14246</v>
      </c>
    </row>
    <row r="159" spans="2:10" ht="13.8">
      <c r="B159" s="988">
        <v>14277</v>
      </c>
      <c r="C159" s="987" t="s">
        <v>4630</v>
      </c>
      <c r="F159" s="990">
        <v>3.9E-2</v>
      </c>
      <c r="H159" s="993">
        <v>2.6083333333333336E-3</v>
      </c>
      <c r="I159" s="986">
        <f t="shared" si="2"/>
        <v>3.6391666666666669E-2</v>
      </c>
      <c r="J159" s="988">
        <v>14277</v>
      </c>
    </row>
    <row r="160" spans="2:10" ht="13.8">
      <c r="B160" s="988">
        <v>14305</v>
      </c>
      <c r="C160" s="987" t="s">
        <v>4630</v>
      </c>
      <c r="F160" s="990">
        <v>-0.13389999999999999</v>
      </c>
      <c r="H160" s="993">
        <v>2.5875000000000004E-3</v>
      </c>
      <c r="I160" s="986">
        <f t="shared" si="2"/>
        <v>-0.13648749999999998</v>
      </c>
      <c r="J160" s="988">
        <v>14305</v>
      </c>
    </row>
    <row r="161" spans="2:10" ht="13.8">
      <c r="B161" s="988">
        <v>14336</v>
      </c>
      <c r="C161" s="987" t="s">
        <v>4630</v>
      </c>
      <c r="F161" s="990">
        <v>-2.7000000000000001E-3</v>
      </c>
      <c r="H161" s="993">
        <v>2.5999999999999999E-3</v>
      </c>
      <c r="I161" s="986">
        <f t="shared" si="2"/>
        <v>-5.3E-3</v>
      </c>
      <c r="J161" s="988">
        <v>14336</v>
      </c>
    </row>
    <row r="162" spans="2:10" ht="13.8">
      <c r="B162" s="988">
        <v>14366</v>
      </c>
      <c r="C162" s="987" t="s">
        <v>4630</v>
      </c>
      <c r="F162" s="990">
        <v>7.3300000000000004E-2</v>
      </c>
      <c r="H162" s="993">
        <v>2.5541666666666668E-3</v>
      </c>
      <c r="I162" s="986">
        <f t="shared" si="2"/>
        <v>7.0745833333333341E-2</v>
      </c>
      <c r="J162" s="988">
        <v>14366</v>
      </c>
    </row>
    <row r="163" spans="2:10" ht="13.8">
      <c r="B163" s="988">
        <v>14397</v>
      </c>
      <c r="C163" s="987" t="s">
        <v>4630</v>
      </c>
      <c r="F163" s="990">
        <v>-6.1199999999999997E-2</v>
      </c>
      <c r="H163" s="993">
        <v>2.5208333333333333E-3</v>
      </c>
      <c r="I163" s="986">
        <f t="shared" si="2"/>
        <v>-6.3720833333333338E-2</v>
      </c>
      <c r="J163" s="988">
        <v>14397</v>
      </c>
    </row>
    <row r="164" spans="2:10" ht="13.8">
      <c r="B164" s="988">
        <v>14427</v>
      </c>
      <c r="C164" s="987" t="s">
        <v>4630</v>
      </c>
      <c r="F164" s="990">
        <v>0.1105</v>
      </c>
      <c r="H164" s="993">
        <v>2.4875000000000001E-3</v>
      </c>
      <c r="I164" s="986">
        <f t="shared" si="2"/>
        <v>0.1080125</v>
      </c>
      <c r="J164" s="988">
        <v>14427</v>
      </c>
    </row>
    <row r="165" spans="2:10" ht="13.8">
      <c r="B165" s="988">
        <v>14458</v>
      </c>
      <c r="C165" s="987" t="s">
        <v>4630</v>
      </c>
      <c r="F165" s="990">
        <v>-6.4799999999999996E-2</v>
      </c>
      <c r="H165" s="993">
        <v>2.5166666666666666E-3</v>
      </c>
      <c r="I165" s="986">
        <f t="shared" si="2"/>
        <v>-6.7316666666666664E-2</v>
      </c>
      <c r="J165" s="988">
        <v>14458</v>
      </c>
    </row>
    <row r="166" spans="2:10" ht="13.8">
      <c r="B166" s="988">
        <v>14489</v>
      </c>
      <c r="C166" s="987" t="s">
        <v>4630</v>
      </c>
      <c r="F166" s="990">
        <v>0.1673</v>
      </c>
      <c r="H166" s="993">
        <v>2.8083333333333333E-3</v>
      </c>
      <c r="I166" s="986">
        <f t="shared" si="2"/>
        <v>0.16449166666666667</v>
      </c>
      <c r="J166" s="988">
        <v>14489</v>
      </c>
    </row>
    <row r="167" spans="2:10" ht="13.8">
      <c r="B167" s="988">
        <v>14519</v>
      </c>
      <c r="C167" s="987" t="s">
        <v>4630</v>
      </c>
      <c r="F167" s="990">
        <v>-1.23E-2</v>
      </c>
      <c r="H167" s="993">
        <v>2.7083333333333339E-3</v>
      </c>
      <c r="I167" s="986">
        <f t="shared" si="2"/>
        <v>-1.5008333333333334E-2</v>
      </c>
      <c r="J167" s="988">
        <v>14519</v>
      </c>
    </row>
    <row r="168" spans="2:10" ht="13.8">
      <c r="B168" s="988">
        <v>14550</v>
      </c>
      <c r="C168" s="987" t="s">
        <v>4630</v>
      </c>
      <c r="F168" s="990">
        <v>-3.9800000000000002E-2</v>
      </c>
      <c r="H168" s="993">
        <v>2.5666666666666672E-3</v>
      </c>
      <c r="I168" s="986">
        <f t="shared" si="2"/>
        <v>-4.2366666666666671E-2</v>
      </c>
      <c r="J168" s="988">
        <v>14550</v>
      </c>
    </row>
    <row r="169" spans="2:10" ht="13.8">
      <c r="B169" s="988">
        <v>14580</v>
      </c>
      <c r="C169" s="987" t="s">
        <v>4630</v>
      </c>
      <c r="F169" s="990">
        <v>2.7E-2</v>
      </c>
      <c r="H169" s="993">
        <v>2.5333333333333332E-3</v>
      </c>
      <c r="I169" s="986">
        <f t="shared" si="2"/>
        <v>2.4466666666666668E-2</v>
      </c>
      <c r="J169" s="988">
        <v>14580</v>
      </c>
    </row>
    <row r="170" spans="2:10" ht="13.8">
      <c r="B170" s="988">
        <v>14611</v>
      </c>
      <c r="C170" s="987" t="s">
        <v>4630</v>
      </c>
      <c r="F170" s="990">
        <v>-3.3599999999999998E-2</v>
      </c>
      <c r="H170" s="993">
        <v>2.4833333333333331E-3</v>
      </c>
      <c r="I170" s="986">
        <f t="shared" si="2"/>
        <v>-3.6083333333333328E-2</v>
      </c>
      <c r="J170" s="988">
        <v>14611</v>
      </c>
    </row>
    <row r="171" spans="2:10" ht="13.8">
      <c r="B171" s="988">
        <v>14642</v>
      </c>
      <c r="C171" s="987" t="s">
        <v>4630</v>
      </c>
      <c r="F171" s="990">
        <v>1.3299999999999999E-2</v>
      </c>
      <c r="H171" s="993">
        <v>2.4624999999999998E-3</v>
      </c>
      <c r="I171" s="986">
        <f t="shared" si="2"/>
        <v>1.08375E-2</v>
      </c>
      <c r="J171" s="988">
        <v>14642</v>
      </c>
    </row>
    <row r="172" spans="2:10" ht="13.8">
      <c r="B172" s="988">
        <v>14671</v>
      </c>
      <c r="C172" s="987" t="s">
        <v>4630</v>
      </c>
      <c r="F172" s="990">
        <v>1.24E-2</v>
      </c>
      <c r="H172" s="993">
        <v>2.4499999999999999E-3</v>
      </c>
      <c r="I172" s="986">
        <f t="shared" si="2"/>
        <v>9.9500000000000005E-3</v>
      </c>
      <c r="J172" s="988">
        <v>14671</v>
      </c>
    </row>
    <row r="173" spans="2:10" ht="13.8">
      <c r="B173" s="988">
        <v>14702</v>
      </c>
      <c r="C173" s="987" t="s">
        <v>4630</v>
      </c>
      <c r="F173" s="990">
        <v>-2.3999999999999998E-3</v>
      </c>
      <c r="H173" s="993">
        <v>2.420833333333333E-3</v>
      </c>
      <c r="I173" s="986">
        <f t="shared" si="2"/>
        <v>-4.8208333333333332E-3</v>
      </c>
      <c r="J173" s="988">
        <v>14702</v>
      </c>
    </row>
    <row r="174" spans="2:10" ht="13.8">
      <c r="B174" s="988">
        <v>14732</v>
      </c>
      <c r="C174" s="987" t="s">
        <v>4630</v>
      </c>
      <c r="F174" s="990">
        <v>-0.22889999999999999</v>
      </c>
      <c r="H174" s="993">
        <v>2.5041666666666667E-3</v>
      </c>
      <c r="I174" s="986">
        <f t="shared" si="2"/>
        <v>-0.23140416666666666</v>
      </c>
      <c r="J174" s="988">
        <v>14732</v>
      </c>
    </row>
    <row r="175" spans="2:10" ht="13.8">
      <c r="B175" s="988">
        <v>14763</v>
      </c>
      <c r="C175" s="987" t="s">
        <v>4630</v>
      </c>
      <c r="F175" s="990">
        <v>8.09E-2</v>
      </c>
      <c r="H175" s="993">
        <v>2.5249999999999999E-3</v>
      </c>
      <c r="I175" s="986">
        <f t="shared" si="2"/>
        <v>7.8375E-2</v>
      </c>
      <c r="J175" s="988">
        <v>14763</v>
      </c>
    </row>
    <row r="176" spans="2:10" ht="13.8">
      <c r="B176" s="988">
        <v>14793</v>
      </c>
      <c r="C176" s="987" t="s">
        <v>4630</v>
      </c>
      <c r="F176" s="990">
        <v>3.4099999999999998E-2</v>
      </c>
      <c r="H176" s="993">
        <v>2.4541666666666666E-3</v>
      </c>
      <c r="I176" s="986">
        <f t="shared" si="2"/>
        <v>3.1645833333333331E-2</v>
      </c>
      <c r="J176" s="988">
        <v>14793</v>
      </c>
    </row>
    <row r="177" spans="2:10" ht="13.8">
      <c r="B177" s="988">
        <v>14824</v>
      </c>
      <c r="C177" s="987" t="s">
        <v>4630</v>
      </c>
      <c r="F177" s="990">
        <v>3.5000000000000003E-2</v>
      </c>
      <c r="H177" s="993">
        <v>2.4499999999999999E-3</v>
      </c>
      <c r="I177" s="986">
        <f t="shared" si="2"/>
        <v>3.2550000000000003E-2</v>
      </c>
      <c r="J177" s="988">
        <v>14824</v>
      </c>
    </row>
    <row r="178" spans="2:10" ht="13.8">
      <c r="B178" s="988">
        <v>14855</v>
      </c>
      <c r="C178" s="987" t="s">
        <v>4630</v>
      </c>
      <c r="F178" s="990">
        <v>1.23E-2</v>
      </c>
      <c r="H178" s="993">
        <v>2.4291666666666663E-3</v>
      </c>
      <c r="I178" s="986">
        <f t="shared" si="2"/>
        <v>9.8708333333333339E-3</v>
      </c>
      <c r="J178" s="988">
        <v>14855</v>
      </c>
    </row>
    <row r="179" spans="2:10" ht="13.8">
      <c r="B179" s="988">
        <v>14885</v>
      </c>
      <c r="C179" s="987" t="s">
        <v>4630</v>
      </c>
      <c r="F179" s="990">
        <v>4.2200000000000001E-2</v>
      </c>
      <c r="H179" s="993">
        <v>2.4166666666666664E-3</v>
      </c>
      <c r="I179" s="986">
        <f t="shared" si="2"/>
        <v>3.9783333333333337E-2</v>
      </c>
      <c r="J179" s="988">
        <v>14885</v>
      </c>
    </row>
    <row r="180" spans="2:10" ht="13.8">
      <c r="B180" s="988">
        <v>14916</v>
      </c>
      <c r="C180" s="987" t="s">
        <v>4630</v>
      </c>
      <c r="F180" s="990">
        <v>-3.1600000000000003E-2</v>
      </c>
      <c r="H180" s="993">
        <v>2.3791666666666666E-3</v>
      </c>
      <c r="I180" s="986">
        <f t="shared" si="2"/>
        <v>-3.3979166666666671E-2</v>
      </c>
      <c r="J180" s="988">
        <v>14916</v>
      </c>
    </row>
    <row r="181" spans="2:10" ht="13.8">
      <c r="B181" s="988">
        <v>14946</v>
      </c>
      <c r="C181" s="987" t="s">
        <v>4630</v>
      </c>
      <c r="F181" s="990">
        <v>8.9999999999999998E-4</v>
      </c>
      <c r="H181" s="993">
        <v>2.345833333333333E-3</v>
      </c>
      <c r="I181" s="986">
        <f t="shared" si="2"/>
        <v>-1.445833333333333E-3</v>
      </c>
      <c r="J181" s="988">
        <v>14946</v>
      </c>
    </row>
    <row r="182" spans="2:10" ht="13.8">
      <c r="B182" s="988">
        <v>14977</v>
      </c>
      <c r="C182" s="987" t="s">
        <v>4630</v>
      </c>
      <c r="F182" s="990">
        <v>-4.6300000000000001E-2</v>
      </c>
      <c r="H182" s="993">
        <v>2.3749999999999999E-3</v>
      </c>
      <c r="I182" s="986">
        <f t="shared" si="2"/>
        <v>-4.8675000000000003E-2</v>
      </c>
      <c r="J182" s="988">
        <v>14977</v>
      </c>
    </row>
    <row r="183" spans="2:10" ht="13.8">
      <c r="B183" s="988">
        <v>15008</v>
      </c>
      <c r="C183" s="987" t="s">
        <v>4630</v>
      </c>
      <c r="F183" s="990">
        <v>-6.0000000000000001E-3</v>
      </c>
      <c r="H183" s="993">
        <v>2.4083333333333335E-3</v>
      </c>
      <c r="I183" s="986">
        <f t="shared" si="2"/>
        <v>-8.4083333333333336E-3</v>
      </c>
      <c r="J183" s="988">
        <v>15008</v>
      </c>
    </row>
    <row r="184" spans="2:10" ht="13.8">
      <c r="B184" s="988">
        <v>15036</v>
      </c>
      <c r="C184" s="987" t="s">
        <v>4630</v>
      </c>
      <c r="F184" s="990">
        <v>7.1000000000000004E-3</v>
      </c>
      <c r="H184" s="993">
        <v>2.420833333333333E-3</v>
      </c>
      <c r="I184" s="986">
        <f t="shared" si="2"/>
        <v>4.6791666666666674E-3</v>
      </c>
      <c r="J184" s="988">
        <v>15036</v>
      </c>
    </row>
    <row r="185" spans="2:10" ht="13.8">
      <c r="B185" s="988">
        <v>15067</v>
      </c>
      <c r="C185" s="987" t="s">
        <v>4630</v>
      </c>
      <c r="F185" s="990">
        <v>-6.1199999999999997E-2</v>
      </c>
      <c r="H185" s="993">
        <v>2.4416666666666666E-3</v>
      </c>
      <c r="I185" s="986">
        <f t="shared" si="2"/>
        <v>-6.3641666666666666E-2</v>
      </c>
      <c r="J185" s="988">
        <v>15067</v>
      </c>
    </row>
    <row r="186" spans="2:10" ht="13.8">
      <c r="B186" s="988">
        <v>15097</v>
      </c>
      <c r="C186" s="987" t="s">
        <v>4630</v>
      </c>
      <c r="F186" s="990">
        <v>1.83E-2</v>
      </c>
      <c r="H186" s="993">
        <v>2.4166666666666668E-3</v>
      </c>
      <c r="I186" s="986">
        <f t="shared" si="2"/>
        <v>1.5883333333333333E-2</v>
      </c>
      <c r="J186" s="988">
        <v>15097</v>
      </c>
    </row>
    <row r="187" spans="2:10" ht="13.8">
      <c r="B187" s="988">
        <v>15128</v>
      </c>
      <c r="C187" s="987" t="s">
        <v>4630</v>
      </c>
      <c r="F187" s="990">
        <v>5.7799999999999997E-2</v>
      </c>
      <c r="H187" s="993">
        <v>2.3833333333333332E-3</v>
      </c>
      <c r="I187" s="986">
        <f t="shared" si="2"/>
        <v>5.5416666666666663E-2</v>
      </c>
      <c r="J187" s="988">
        <v>15128</v>
      </c>
    </row>
    <row r="188" spans="2:10" ht="13.8">
      <c r="B188" s="988">
        <v>15158</v>
      </c>
      <c r="C188" s="987" t="s">
        <v>4630</v>
      </c>
      <c r="F188" s="990">
        <v>5.79E-2</v>
      </c>
      <c r="H188" s="993">
        <v>2.3500000000000001E-3</v>
      </c>
      <c r="I188" s="986">
        <f t="shared" si="2"/>
        <v>5.5550000000000002E-2</v>
      </c>
      <c r="J188" s="988">
        <v>15158</v>
      </c>
    </row>
    <row r="189" spans="2:10" ht="13.8">
      <c r="B189" s="988">
        <v>15189</v>
      </c>
      <c r="C189" s="987" t="s">
        <v>4630</v>
      </c>
      <c r="F189" s="990">
        <v>1E-3</v>
      </c>
      <c r="H189" s="993">
        <v>2.3500000000000001E-3</v>
      </c>
      <c r="I189" s="986">
        <f t="shared" si="2"/>
        <v>-1.3500000000000001E-3</v>
      </c>
      <c r="J189" s="988">
        <v>15189</v>
      </c>
    </row>
    <row r="190" spans="2:10" ht="13.8">
      <c r="B190" s="988">
        <v>15220</v>
      </c>
      <c r="C190" s="987" t="s">
        <v>4630</v>
      </c>
      <c r="F190" s="990">
        <v>-6.7999999999999996E-3</v>
      </c>
      <c r="H190" s="993">
        <v>2.3583333333333334E-3</v>
      </c>
      <c r="I190" s="986">
        <f t="shared" si="2"/>
        <v>-9.1583333333333326E-3</v>
      </c>
      <c r="J190" s="988">
        <v>15220</v>
      </c>
    </row>
    <row r="191" spans="2:10" ht="13.8">
      <c r="B191" s="988">
        <v>15250</v>
      </c>
      <c r="C191" s="987" t="s">
        <v>4630</v>
      </c>
      <c r="F191" s="990">
        <v>-6.5699999999999995E-2</v>
      </c>
      <c r="H191" s="993">
        <v>2.3333333333333335E-3</v>
      </c>
      <c r="I191" s="986">
        <f t="shared" si="2"/>
        <v>-6.8033333333333335E-2</v>
      </c>
      <c r="J191" s="988">
        <v>15250</v>
      </c>
    </row>
    <row r="192" spans="2:10" ht="13.8">
      <c r="B192" s="988">
        <v>15281</v>
      </c>
      <c r="C192" s="987" t="s">
        <v>4630</v>
      </c>
      <c r="F192" s="990">
        <v>-2.8400000000000002E-2</v>
      </c>
      <c r="H192" s="993">
        <v>2.3249999999999998E-3</v>
      </c>
      <c r="I192" s="986">
        <f t="shared" si="2"/>
        <v>-3.0725000000000002E-2</v>
      </c>
      <c r="J192" s="988">
        <v>15281</v>
      </c>
    </row>
    <row r="193" spans="2:10" ht="13.8">
      <c r="B193" s="988">
        <v>15311</v>
      </c>
      <c r="C193" s="987" t="s">
        <v>4630</v>
      </c>
      <c r="F193" s="990">
        <v>-4.07E-2</v>
      </c>
      <c r="H193" s="993">
        <v>2.3958333333333331E-3</v>
      </c>
      <c r="I193" s="986">
        <f t="shared" si="2"/>
        <v>-4.3095833333333333E-2</v>
      </c>
      <c r="J193" s="988">
        <v>15311</v>
      </c>
    </row>
    <row r="194" spans="2:10" ht="13.8">
      <c r="B194" s="988">
        <v>15342</v>
      </c>
      <c r="C194" s="987" t="s">
        <v>4630</v>
      </c>
      <c r="F194" s="990">
        <v>1.61E-2</v>
      </c>
      <c r="H194" s="993">
        <v>2.4125000000000001E-3</v>
      </c>
      <c r="I194" s="986">
        <f t="shared" si="2"/>
        <v>1.36875E-2</v>
      </c>
      <c r="J194" s="988">
        <v>15342</v>
      </c>
    </row>
    <row r="195" spans="2:10" ht="13.8">
      <c r="B195" s="988">
        <v>15373</v>
      </c>
      <c r="C195" s="987" t="s">
        <v>4630</v>
      </c>
      <c r="F195" s="990">
        <v>-1.5900000000000001E-2</v>
      </c>
      <c r="H195" s="993">
        <v>2.4291666666666667E-3</v>
      </c>
      <c r="I195" s="986">
        <f t="shared" si="2"/>
        <v>-1.8329166666666667E-2</v>
      </c>
      <c r="J195" s="988">
        <v>15373</v>
      </c>
    </row>
    <row r="196" spans="2:10" ht="13.8">
      <c r="B196" s="988">
        <v>15401</v>
      </c>
      <c r="C196" s="987" t="s">
        <v>4630</v>
      </c>
      <c r="F196" s="990">
        <v>-6.5199999999999994E-2</v>
      </c>
      <c r="H196" s="993">
        <v>2.4416666666666666E-3</v>
      </c>
      <c r="I196" s="986">
        <f t="shared" si="2"/>
        <v>-6.7641666666666656E-2</v>
      </c>
      <c r="J196" s="988">
        <v>15401</v>
      </c>
    </row>
    <row r="197" spans="2:10" ht="13.8">
      <c r="B197" s="988">
        <v>15432</v>
      </c>
      <c r="C197" s="987" t="s">
        <v>4630</v>
      </c>
      <c r="F197" s="990">
        <v>-3.9899999999999998E-2</v>
      </c>
      <c r="H197" s="993">
        <v>2.420833333333333E-3</v>
      </c>
      <c r="I197" s="986">
        <f t="shared" si="2"/>
        <v>-4.2320833333333328E-2</v>
      </c>
      <c r="J197" s="988">
        <v>15432</v>
      </c>
    </row>
    <row r="198" spans="2:10" ht="13.8">
      <c r="B198" s="988">
        <v>15462</v>
      </c>
      <c r="C198" s="987" t="s">
        <v>4630</v>
      </c>
      <c r="F198" s="990">
        <v>7.9600000000000004E-2</v>
      </c>
      <c r="H198" s="993">
        <v>2.4375000000000004E-3</v>
      </c>
      <c r="I198" s="986">
        <f t="shared" si="2"/>
        <v>7.7162500000000009E-2</v>
      </c>
      <c r="J198" s="988">
        <v>15462</v>
      </c>
    </row>
    <row r="199" spans="2:10" ht="13.8">
      <c r="B199" s="988">
        <v>15493</v>
      </c>
      <c r="C199" s="987" t="s">
        <v>4630</v>
      </c>
      <c r="F199" s="990">
        <v>2.2100000000000002E-2</v>
      </c>
      <c r="H199" s="993">
        <v>2.4416666666666666E-3</v>
      </c>
      <c r="I199" s="986">
        <f t="shared" si="2"/>
        <v>1.9658333333333333E-2</v>
      </c>
      <c r="J199" s="988">
        <v>15493</v>
      </c>
    </row>
    <row r="200" spans="2:10" ht="13.8">
      <c r="B200" s="988">
        <v>15523</v>
      </c>
      <c r="C200" s="987" t="s">
        <v>4630</v>
      </c>
      <c r="F200" s="990">
        <v>3.3700000000000001E-2</v>
      </c>
      <c r="H200" s="993">
        <v>2.4250000000000001E-3</v>
      </c>
      <c r="I200" s="986">
        <f t="shared" si="2"/>
        <v>3.1274999999999997E-2</v>
      </c>
      <c r="J200" s="988">
        <v>15523</v>
      </c>
    </row>
    <row r="201" spans="2:10" ht="13.8">
      <c r="B201" s="988">
        <v>15554</v>
      </c>
      <c r="C201" s="987" t="s">
        <v>4630</v>
      </c>
      <c r="F201" s="990">
        <v>1.6400000000000001E-2</v>
      </c>
      <c r="H201" s="993">
        <v>2.4166666666666668E-3</v>
      </c>
      <c r="I201" s="986">
        <f t="shared" si="2"/>
        <v>1.3983333333333334E-2</v>
      </c>
      <c r="J201" s="988">
        <v>15554</v>
      </c>
    </row>
    <row r="202" spans="2:10" ht="13.8">
      <c r="B202" s="988">
        <v>15585</v>
      </c>
      <c r="C202" s="987" t="s">
        <v>4630</v>
      </c>
      <c r="F202" s="990">
        <v>2.9000000000000001E-2</v>
      </c>
      <c r="H202" s="993">
        <v>2.4083333333333331E-3</v>
      </c>
      <c r="I202" s="986">
        <f t="shared" si="2"/>
        <v>2.659166666666667E-2</v>
      </c>
      <c r="J202" s="988">
        <v>15585</v>
      </c>
    </row>
    <row r="203" spans="2:10" ht="13.8">
      <c r="B203" s="988">
        <v>15615</v>
      </c>
      <c r="C203" s="987" t="s">
        <v>4630</v>
      </c>
      <c r="F203" s="990">
        <v>6.7799999999999999E-2</v>
      </c>
      <c r="H203" s="993">
        <v>2.3958333333333331E-3</v>
      </c>
      <c r="I203" s="986">
        <f t="shared" si="2"/>
        <v>6.5404166666666666E-2</v>
      </c>
      <c r="J203" s="988">
        <v>15615</v>
      </c>
    </row>
    <row r="204" spans="2:10" ht="13.8">
      <c r="B204" s="988">
        <v>15646</v>
      </c>
      <c r="C204" s="987" t="s">
        <v>4630</v>
      </c>
      <c r="F204" s="990">
        <v>-2.0999999999999999E-3</v>
      </c>
      <c r="H204" s="993">
        <v>2.3875000000000003E-3</v>
      </c>
      <c r="I204" s="986">
        <f t="shared" si="2"/>
        <v>-4.4875000000000002E-3</v>
      </c>
      <c r="J204" s="988">
        <v>15646</v>
      </c>
    </row>
    <row r="205" spans="2:10" ht="13.8">
      <c r="B205" s="988">
        <v>15676</v>
      </c>
      <c r="C205" s="987" t="s">
        <v>4630</v>
      </c>
      <c r="F205" s="990">
        <v>5.4899999999999997E-2</v>
      </c>
      <c r="H205" s="993">
        <v>2.4041666666666669E-3</v>
      </c>
      <c r="I205" s="986">
        <f t="shared" si="2"/>
        <v>5.2495833333333332E-2</v>
      </c>
      <c r="J205" s="988">
        <v>15676</v>
      </c>
    </row>
    <row r="206" spans="2:10" ht="13.8">
      <c r="B206" s="988">
        <v>15707</v>
      </c>
      <c r="C206" s="987" t="s">
        <v>4630</v>
      </c>
      <c r="F206" s="990">
        <v>7.3700000000000002E-2</v>
      </c>
      <c r="H206" s="993">
        <v>2.3833333333333332E-3</v>
      </c>
      <c r="I206" s="986">
        <f t="shared" si="2"/>
        <v>7.1316666666666667E-2</v>
      </c>
      <c r="J206" s="988">
        <v>15707</v>
      </c>
    </row>
    <row r="207" spans="2:10" ht="13.8">
      <c r="B207" s="988">
        <v>15738</v>
      </c>
      <c r="C207" s="987" t="s">
        <v>4630</v>
      </c>
      <c r="F207" s="990">
        <v>5.8299999999999998E-2</v>
      </c>
      <c r="H207" s="993">
        <v>2.3583333333333334E-3</v>
      </c>
      <c r="I207" s="986">
        <f t="shared" si="2"/>
        <v>5.5941666666666667E-2</v>
      </c>
      <c r="J207" s="988">
        <v>15738</v>
      </c>
    </row>
    <row r="208" spans="2:10" ht="13.8">
      <c r="B208" s="988">
        <v>15766</v>
      </c>
      <c r="C208" s="987" t="s">
        <v>4630</v>
      </c>
      <c r="F208" s="990">
        <v>5.45E-2</v>
      </c>
      <c r="H208" s="993">
        <v>2.3499999999999997E-3</v>
      </c>
      <c r="I208" s="986">
        <f t="shared" si="2"/>
        <v>5.2150000000000002E-2</v>
      </c>
      <c r="J208" s="988">
        <v>15766</v>
      </c>
    </row>
    <row r="209" spans="2:10" ht="13.8">
      <c r="B209" s="988">
        <v>15797</v>
      </c>
      <c r="C209" s="987" t="s">
        <v>4630</v>
      </c>
      <c r="F209" s="990">
        <v>3.5000000000000001E-3</v>
      </c>
      <c r="H209" s="993">
        <v>2.3499999999999997E-3</v>
      </c>
      <c r="I209" s="986">
        <f t="shared" si="2"/>
        <v>1.1500000000000004E-3</v>
      </c>
      <c r="J209" s="988">
        <v>15797</v>
      </c>
    </row>
    <row r="210" spans="2:10" ht="13.8">
      <c r="B210" s="988">
        <v>15827</v>
      </c>
      <c r="C210" s="987" t="s">
        <v>4630</v>
      </c>
      <c r="F210" s="990">
        <v>5.5199999999999999E-2</v>
      </c>
      <c r="H210" s="993">
        <v>2.3375000000000002E-3</v>
      </c>
      <c r="I210" s="986">
        <f t="shared" si="2"/>
        <v>5.28625E-2</v>
      </c>
      <c r="J210" s="988">
        <v>15827</v>
      </c>
    </row>
    <row r="211" spans="2:10" ht="13.8">
      <c r="B211" s="988">
        <v>15858</v>
      </c>
      <c r="C211" s="987" t="s">
        <v>4630</v>
      </c>
      <c r="F211" s="990">
        <v>2.23E-2</v>
      </c>
      <c r="H211" s="993">
        <v>2.3208333333333336E-3</v>
      </c>
      <c r="I211" s="986">
        <f t="shared" si="2"/>
        <v>1.9979166666666666E-2</v>
      </c>
      <c r="J211" s="988">
        <v>15858</v>
      </c>
    </row>
    <row r="212" spans="2:10" ht="13.8">
      <c r="B212" s="988">
        <v>15888</v>
      </c>
      <c r="C212" s="987" t="s">
        <v>4630</v>
      </c>
      <c r="F212" s="990">
        <v>-5.2600000000000001E-2</v>
      </c>
      <c r="H212" s="993">
        <v>2.2958333333333329E-3</v>
      </c>
      <c r="I212" s="986">
        <f t="shared" si="2"/>
        <v>-5.4895833333333331E-2</v>
      </c>
      <c r="J212" s="988">
        <v>15888</v>
      </c>
    </row>
    <row r="213" spans="2:10" ht="13.8">
      <c r="B213" s="988">
        <v>15919</v>
      </c>
      <c r="C213" s="987" t="s">
        <v>4630</v>
      </c>
      <c r="F213" s="990">
        <v>1.7100000000000001E-2</v>
      </c>
      <c r="H213" s="993">
        <v>2.2916666666666667E-3</v>
      </c>
      <c r="I213" s="986">
        <f t="shared" si="2"/>
        <v>1.4808333333333333E-2</v>
      </c>
      <c r="J213" s="988">
        <v>15919</v>
      </c>
    </row>
    <row r="214" spans="2:10" ht="13.8">
      <c r="B214" s="988">
        <v>15950</v>
      </c>
      <c r="C214" s="987" t="s">
        <v>4630</v>
      </c>
      <c r="F214" s="990">
        <v>2.63E-2</v>
      </c>
      <c r="H214" s="993">
        <v>2.2958333333333329E-3</v>
      </c>
      <c r="I214" s="986">
        <f t="shared" si="2"/>
        <v>2.4004166666666667E-2</v>
      </c>
      <c r="J214" s="988">
        <v>15950</v>
      </c>
    </row>
    <row r="215" spans="2:10" ht="13.8">
      <c r="B215" s="988">
        <v>15980</v>
      </c>
      <c r="C215" s="987" t="s">
        <v>4630</v>
      </c>
      <c r="F215" s="990">
        <v>-1.0800000000000001E-2</v>
      </c>
      <c r="H215" s="993">
        <v>2.3041666666666666E-3</v>
      </c>
      <c r="I215" s="986">
        <f t="shared" si="2"/>
        <v>-1.3104166666666667E-2</v>
      </c>
      <c r="J215" s="988">
        <v>15980</v>
      </c>
    </row>
    <row r="216" spans="2:10" ht="13.8">
      <c r="B216" s="988">
        <v>16011</v>
      </c>
      <c r="C216" s="987" t="s">
        <v>4630</v>
      </c>
      <c r="F216" s="990">
        <v>-6.54E-2</v>
      </c>
      <c r="H216" s="993">
        <v>2.3125000000000003E-3</v>
      </c>
      <c r="I216" s="986">
        <f t="shared" si="2"/>
        <v>-6.7712499999999995E-2</v>
      </c>
      <c r="J216" s="988">
        <v>16011</v>
      </c>
    </row>
    <row r="217" spans="2:10" ht="13.8">
      <c r="B217" s="988">
        <v>16041</v>
      </c>
      <c r="C217" s="987" t="s">
        <v>4630</v>
      </c>
      <c r="F217" s="990">
        <v>6.1699999999999998E-2</v>
      </c>
      <c r="H217" s="993">
        <v>2.3375000000000002E-3</v>
      </c>
      <c r="I217" s="986">
        <f t="shared" si="2"/>
        <v>5.9362499999999999E-2</v>
      </c>
      <c r="J217" s="988">
        <v>16041</v>
      </c>
    </row>
    <row r="218" spans="2:10" ht="13.8">
      <c r="B218" s="988">
        <v>16072</v>
      </c>
      <c r="C218" s="987" t="s">
        <v>4630</v>
      </c>
      <c r="F218" s="990">
        <v>1.7100000000000001E-2</v>
      </c>
      <c r="H218" s="993">
        <v>2.3125000000000003E-3</v>
      </c>
      <c r="I218" s="986">
        <f t="shared" ref="I218:I281" si="3">F218-H218</f>
        <v>1.47875E-2</v>
      </c>
      <c r="J218" s="988">
        <v>16072</v>
      </c>
    </row>
    <row r="219" spans="2:10" ht="13.8">
      <c r="B219" s="988">
        <v>16103</v>
      </c>
      <c r="C219" s="987" t="s">
        <v>4630</v>
      </c>
      <c r="F219" s="990">
        <v>4.1999999999999997E-3</v>
      </c>
      <c r="H219" s="993">
        <v>2.3208333333333336E-3</v>
      </c>
      <c r="I219" s="986">
        <f t="shared" si="3"/>
        <v>1.8791666666666661E-3</v>
      </c>
      <c r="J219" s="988">
        <v>16103</v>
      </c>
    </row>
    <row r="220" spans="2:10" ht="13.8">
      <c r="B220" s="988">
        <v>16132</v>
      </c>
      <c r="C220" s="987" t="s">
        <v>4630</v>
      </c>
      <c r="F220" s="990">
        <v>1.95E-2</v>
      </c>
      <c r="H220" s="993">
        <v>2.316666666666667E-3</v>
      </c>
      <c r="I220" s="986">
        <f t="shared" si="3"/>
        <v>1.7183333333333332E-2</v>
      </c>
      <c r="J220" s="988">
        <v>16132</v>
      </c>
    </row>
    <row r="221" spans="2:10" ht="13.8">
      <c r="B221" s="988">
        <v>16163</v>
      </c>
      <c r="C221" s="987" t="s">
        <v>4630</v>
      </c>
      <c r="F221" s="990">
        <v>-0.01</v>
      </c>
      <c r="H221" s="993">
        <v>2.316666666666667E-3</v>
      </c>
      <c r="I221" s="986">
        <f t="shared" si="3"/>
        <v>-1.2316666666666667E-2</v>
      </c>
      <c r="J221" s="988">
        <v>16163</v>
      </c>
    </row>
    <row r="222" spans="2:10" ht="13.8">
      <c r="B222" s="988">
        <v>16193</v>
      </c>
      <c r="C222" s="987" t="s">
        <v>4630</v>
      </c>
      <c r="F222" s="990">
        <v>5.0500000000000003E-2</v>
      </c>
      <c r="H222" s="993">
        <v>2.3083333333333332E-3</v>
      </c>
      <c r="I222" s="986">
        <f t="shared" si="3"/>
        <v>4.8191666666666667E-2</v>
      </c>
      <c r="J222" s="988">
        <v>16193</v>
      </c>
    </row>
    <row r="223" spans="2:10" ht="13.8">
      <c r="B223" s="988">
        <v>16224</v>
      </c>
      <c r="C223" s="987" t="s">
        <v>4630</v>
      </c>
      <c r="F223" s="990">
        <v>5.4300000000000001E-2</v>
      </c>
      <c r="H223" s="993">
        <v>2.3083333333333332E-3</v>
      </c>
      <c r="I223" s="986">
        <f t="shared" si="3"/>
        <v>5.1991666666666665E-2</v>
      </c>
      <c r="J223" s="988">
        <v>16224</v>
      </c>
    </row>
    <row r="224" spans="2:10" ht="13.8">
      <c r="B224" s="988">
        <v>16254</v>
      </c>
      <c r="C224" s="987" t="s">
        <v>4630</v>
      </c>
      <c r="F224" s="990">
        <v>-1.9300000000000001E-2</v>
      </c>
      <c r="H224" s="993">
        <v>2.3E-3</v>
      </c>
      <c r="I224" s="986">
        <f t="shared" si="3"/>
        <v>-2.1600000000000001E-2</v>
      </c>
      <c r="J224" s="988">
        <v>16254</v>
      </c>
    </row>
    <row r="225" spans="2:10" ht="13.8">
      <c r="B225" s="988">
        <v>16285</v>
      </c>
      <c r="C225" s="987" t="s">
        <v>4630</v>
      </c>
      <c r="F225" s="990">
        <v>1.5699999999999999E-2</v>
      </c>
      <c r="H225" s="993">
        <v>2.2916666666666667E-3</v>
      </c>
      <c r="I225" s="986">
        <f t="shared" si="3"/>
        <v>1.3408333333333331E-2</v>
      </c>
      <c r="J225" s="988">
        <v>16285</v>
      </c>
    </row>
    <row r="226" spans="2:10" ht="13.8">
      <c r="B226" s="988">
        <v>16316</v>
      </c>
      <c r="C226" s="987" t="s">
        <v>4630</v>
      </c>
      <c r="F226" s="990">
        <v>-8.0000000000000004E-4</v>
      </c>
      <c r="H226" s="993">
        <v>2.2958333333333338E-3</v>
      </c>
      <c r="I226" s="986">
        <f t="shared" si="3"/>
        <v>-3.0958333333333337E-3</v>
      </c>
      <c r="J226" s="988">
        <v>16316</v>
      </c>
    </row>
    <row r="227" spans="2:10" ht="13.8">
      <c r="B227" s="988">
        <v>16346</v>
      </c>
      <c r="C227" s="987" t="s">
        <v>4630</v>
      </c>
      <c r="F227" s="990">
        <v>2.3E-3</v>
      </c>
      <c r="H227" s="993">
        <v>2.3041666666666666E-3</v>
      </c>
      <c r="I227" s="986">
        <f t="shared" si="3"/>
        <v>-4.1666666666666415E-6</v>
      </c>
      <c r="J227" s="988">
        <v>16346</v>
      </c>
    </row>
    <row r="228" spans="2:10" ht="13.8">
      <c r="B228" s="988">
        <v>16377</v>
      </c>
      <c r="C228" s="987" t="s">
        <v>4630</v>
      </c>
      <c r="F228" s="990">
        <v>1.3299999999999999E-2</v>
      </c>
      <c r="H228" s="993">
        <v>2.3E-3</v>
      </c>
      <c r="I228" s="986">
        <f t="shared" si="3"/>
        <v>1.0999999999999999E-2</v>
      </c>
      <c r="J228" s="988">
        <v>16377</v>
      </c>
    </row>
    <row r="229" spans="2:10" ht="13.8">
      <c r="B229" s="988">
        <v>16407</v>
      </c>
      <c r="C229" s="987" t="s">
        <v>4630</v>
      </c>
      <c r="F229" s="990">
        <v>3.7400000000000003E-2</v>
      </c>
      <c r="H229" s="993">
        <v>2.2749999999999997E-3</v>
      </c>
      <c r="I229" s="986">
        <f t="shared" si="3"/>
        <v>3.5125000000000003E-2</v>
      </c>
      <c r="J229" s="988">
        <v>16407</v>
      </c>
    </row>
    <row r="230" spans="2:10" ht="13.8">
      <c r="B230" s="988">
        <v>16438</v>
      </c>
      <c r="C230" s="987" t="s">
        <v>4630</v>
      </c>
      <c r="F230" s="990">
        <v>1.5800000000000002E-2</v>
      </c>
      <c r="H230" s="993">
        <v>2.270833333333333E-3</v>
      </c>
      <c r="I230" s="986">
        <f t="shared" si="3"/>
        <v>1.3529166666666669E-2</v>
      </c>
      <c r="J230" s="988">
        <v>16438</v>
      </c>
    </row>
    <row r="231" spans="2:10" ht="13.8">
      <c r="B231" s="988">
        <v>16469</v>
      </c>
      <c r="C231" s="987" t="s">
        <v>4630</v>
      </c>
      <c r="F231" s="990">
        <v>6.83E-2</v>
      </c>
      <c r="H231" s="993">
        <v>2.241666666666667E-3</v>
      </c>
      <c r="I231" s="986">
        <f t="shared" si="3"/>
        <v>6.605833333333333E-2</v>
      </c>
      <c r="J231" s="988">
        <v>16469</v>
      </c>
    </row>
    <row r="232" spans="2:10" ht="13.8">
      <c r="B232" s="988">
        <v>16497</v>
      </c>
      <c r="C232" s="987" t="s">
        <v>4630</v>
      </c>
      <c r="F232" s="990">
        <v>-4.41E-2</v>
      </c>
      <c r="H232" s="993">
        <v>2.2250000000000004E-3</v>
      </c>
      <c r="I232" s="986">
        <f t="shared" si="3"/>
        <v>-4.6324999999999998E-2</v>
      </c>
      <c r="J232" s="988">
        <v>16497</v>
      </c>
    </row>
    <row r="233" spans="2:10" ht="13.8">
      <c r="B233" s="988">
        <v>16528</v>
      </c>
      <c r="C233" s="987" t="s">
        <v>4630</v>
      </c>
      <c r="F233" s="990">
        <v>9.0200000000000002E-2</v>
      </c>
      <c r="H233" s="993">
        <v>2.225E-3</v>
      </c>
      <c r="I233" s="986">
        <f t="shared" si="3"/>
        <v>8.7974999999999998E-2</v>
      </c>
      <c r="J233" s="988">
        <v>16528</v>
      </c>
    </row>
    <row r="234" spans="2:10" ht="13.8">
      <c r="B234" s="988">
        <v>16558</v>
      </c>
      <c r="C234" s="987" t="s">
        <v>4630</v>
      </c>
      <c r="F234" s="990">
        <v>1.95E-2</v>
      </c>
      <c r="H234" s="993">
        <v>2.2250000000000004E-3</v>
      </c>
      <c r="I234" s="986">
        <f t="shared" si="3"/>
        <v>1.7274999999999999E-2</v>
      </c>
      <c r="J234" s="988">
        <v>16558</v>
      </c>
    </row>
    <row r="235" spans="2:10" ht="13.8">
      <c r="B235" s="988">
        <v>16589</v>
      </c>
      <c r="C235" s="987" t="s">
        <v>4630</v>
      </c>
      <c r="F235" s="990">
        <v>-6.9999999999999999E-4</v>
      </c>
      <c r="H235" s="993">
        <v>2.2083333333333334E-3</v>
      </c>
      <c r="I235" s="986">
        <f t="shared" si="3"/>
        <v>-2.9083333333333335E-3</v>
      </c>
      <c r="J235" s="988">
        <v>16589</v>
      </c>
    </row>
    <row r="236" spans="2:10" ht="13.8">
      <c r="B236" s="988">
        <v>16619</v>
      </c>
      <c r="C236" s="987" t="s">
        <v>4630</v>
      </c>
      <c r="F236" s="990">
        <v>-1.7999999999999999E-2</v>
      </c>
      <c r="H236" s="993">
        <v>2.2000000000000001E-3</v>
      </c>
      <c r="I236" s="986">
        <f t="shared" si="3"/>
        <v>-2.0199999999999999E-2</v>
      </c>
      <c r="J236" s="988">
        <v>16619</v>
      </c>
    </row>
    <row r="237" spans="2:10" ht="13.8">
      <c r="B237" s="988">
        <v>16650</v>
      </c>
      <c r="C237" s="987" t="s">
        <v>4630</v>
      </c>
      <c r="F237" s="990">
        <v>6.4100000000000004E-2</v>
      </c>
      <c r="H237" s="993">
        <v>2.2125000000000001E-3</v>
      </c>
      <c r="I237" s="986">
        <f t="shared" si="3"/>
        <v>6.1887500000000005E-2</v>
      </c>
      <c r="J237" s="988">
        <v>16650</v>
      </c>
    </row>
    <row r="238" spans="2:10" ht="13.8">
      <c r="B238" s="988">
        <v>16681</v>
      </c>
      <c r="C238" s="987" t="s">
        <v>4630</v>
      </c>
      <c r="F238" s="990">
        <v>4.3799999999999999E-2</v>
      </c>
      <c r="H238" s="993">
        <v>2.2166666666666667E-3</v>
      </c>
      <c r="I238" s="986">
        <f t="shared" si="3"/>
        <v>4.1583333333333333E-2</v>
      </c>
      <c r="J238" s="988">
        <v>16681</v>
      </c>
    </row>
    <row r="239" spans="2:10" ht="13.8">
      <c r="B239" s="988">
        <v>16711</v>
      </c>
      <c r="C239" s="987" t="s">
        <v>4630</v>
      </c>
      <c r="F239" s="990">
        <v>3.2199999999999999E-2</v>
      </c>
      <c r="H239" s="993">
        <v>2.2166666666666667E-3</v>
      </c>
      <c r="I239" s="986">
        <f t="shared" si="3"/>
        <v>2.9983333333333334E-2</v>
      </c>
      <c r="J239" s="988">
        <v>16711</v>
      </c>
    </row>
    <row r="240" spans="2:10" ht="13.8">
      <c r="B240" s="988">
        <v>16742</v>
      </c>
      <c r="C240" s="987" t="s">
        <v>4630</v>
      </c>
      <c r="F240" s="990">
        <v>3.9600000000000003E-2</v>
      </c>
      <c r="H240" s="993">
        <v>2.2083333333333334E-3</v>
      </c>
      <c r="I240" s="986">
        <f t="shared" si="3"/>
        <v>3.739166666666667E-2</v>
      </c>
      <c r="J240" s="988">
        <v>16742</v>
      </c>
    </row>
    <row r="241" spans="1:10" ht="13.8">
      <c r="B241" s="988">
        <v>16772</v>
      </c>
      <c r="C241" s="987" t="s">
        <v>4630</v>
      </c>
      <c r="F241" s="990">
        <v>1.1599999999999999E-2</v>
      </c>
      <c r="H241" s="993">
        <v>2.2041666666666668E-3</v>
      </c>
      <c r="I241" s="986">
        <f t="shared" si="3"/>
        <v>9.3958333333333324E-3</v>
      </c>
      <c r="J241" s="988">
        <v>16772</v>
      </c>
    </row>
    <row r="242" spans="1:10" ht="13.8">
      <c r="B242" s="988">
        <v>16803</v>
      </c>
      <c r="C242" s="987" t="s">
        <v>4630</v>
      </c>
      <c r="F242" s="990">
        <v>7.1400000000000005E-2</v>
      </c>
      <c r="H242" s="993">
        <v>2.1500000000000004E-3</v>
      </c>
      <c r="I242" s="986">
        <f t="shared" si="3"/>
        <v>6.9250000000000006E-2</v>
      </c>
      <c r="J242" s="988">
        <v>16803</v>
      </c>
    </row>
    <row r="243" spans="1:10" ht="13.8">
      <c r="B243" s="988">
        <v>16834</v>
      </c>
      <c r="C243" s="987" t="s">
        <v>4630</v>
      </c>
      <c r="F243" s="990">
        <v>-6.4100000000000004E-2</v>
      </c>
      <c r="H243" s="993">
        <v>2.1000000000000003E-3</v>
      </c>
      <c r="I243" s="986">
        <f t="shared" si="3"/>
        <v>-6.6200000000000009E-2</v>
      </c>
      <c r="J243" s="988">
        <v>16834</v>
      </c>
    </row>
    <row r="244" spans="1:10" ht="13.8">
      <c r="B244" s="988">
        <v>16862</v>
      </c>
      <c r="C244" s="987" t="s">
        <v>4630</v>
      </c>
      <c r="F244" s="990">
        <v>4.8000000000000001E-2</v>
      </c>
      <c r="H244" s="993">
        <v>2.0874999999999999E-3</v>
      </c>
      <c r="I244" s="986">
        <f t="shared" si="3"/>
        <v>4.5912500000000002E-2</v>
      </c>
      <c r="J244" s="988">
        <v>16862</v>
      </c>
    </row>
    <row r="245" spans="1:10" ht="13.8">
      <c r="B245" s="988">
        <v>16893</v>
      </c>
      <c r="C245" s="987" t="s">
        <v>4630</v>
      </c>
      <c r="F245" s="990">
        <v>3.9300000000000002E-2</v>
      </c>
      <c r="H245" s="993">
        <v>2.0916666666666666E-3</v>
      </c>
      <c r="I245" s="986">
        <f t="shared" si="3"/>
        <v>3.7208333333333336E-2</v>
      </c>
      <c r="J245" s="988">
        <v>16893</v>
      </c>
    </row>
    <row r="246" spans="1:10" ht="13.8">
      <c r="B246" s="988">
        <v>16923</v>
      </c>
      <c r="C246" s="987" t="s">
        <v>4630</v>
      </c>
      <c r="F246" s="990">
        <v>2.8799999999999999E-2</v>
      </c>
      <c r="H246" s="993">
        <v>2.1208333333333331E-3</v>
      </c>
      <c r="I246" s="986">
        <f t="shared" si="3"/>
        <v>2.6679166666666667E-2</v>
      </c>
      <c r="J246" s="988">
        <v>16923</v>
      </c>
    </row>
    <row r="247" spans="1:10" ht="13.8">
      <c r="B247" s="988">
        <v>16954</v>
      </c>
      <c r="C247" s="987" t="s">
        <v>4630</v>
      </c>
      <c r="F247" s="990">
        <v>-3.6999999999999998E-2</v>
      </c>
      <c r="H247" s="993">
        <v>2.1166666666666669E-3</v>
      </c>
      <c r="I247" s="986">
        <f t="shared" si="3"/>
        <v>-3.9116666666666668E-2</v>
      </c>
      <c r="J247" s="988">
        <v>16954</v>
      </c>
    </row>
    <row r="248" spans="1:10" ht="13.8">
      <c r="B248" s="988">
        <v>16984</v>
      </c>
      <c r="C248" s="987" t="s">
        <v>4630</v>
      </c>
      <c r="F248" s="990">
        <v>-2.3900000000000001E-2</v>
      </c>
      <c r="H248" s="993">
        <v>2.1124999999999998E-3</v>
      </c>
      <c r="I248" s="986">
        <f t="shared" si="3"/>
        <v>-2.6012500000000001E-2</v>
      </c>
      <c r="J248" s="988">
        <v>16984</v>
      </c>
    </row>
    <row r="249" spans="1:10" ht="13.8">
      <c r="B249" s="988">
        <v>17015</v>
      </c>
      <c r="C249" s="987" t="s">
        <v>4630</v>
      </c>
      <c r="F249" s="990">
        <v>-6.7400000000000002E-2</v>
      </c>
      <c r="H249" s="993">
        <v>2.1375000000000001E-3</v>
      </c>
      <c r="I249" s="986">
        <f t="shared" si="3"/>
        <v>-6.9537500000000002E-2</v>
      </c>
      <c r="J249" s="988">
        <v>17015</v>
      </c>
    </row>
    <row r="250" spans="1:10" ht="13.8">
      <c r="B250" s="988">
        <v>17046</v>
      </c>
      <c r="C250" s="987" t="s">
        <v>4630</v>
      </c>
      <c r="F250" s="990">
        <v>-9.9699999999999997E-2</v>
      </c>
      <c r="H250" s="993">
        <v>2.1916666666666668E-3</v>
      </c>
      <c r="I250" s="986">
        <f t="shared" si="3"/>
        <v>-0.10189166666666666</v>
      </c>
      <c r="J250" s="988">
        <v>17046</v>
      </c>
    </row>
    <row r="251" spans="1:10" ht="13.8">
      <c r="B251" s="988">
        <v>17076</v>
      </c>
      <c r="C251" s="987" t="s">
        <v>4630</v>
      </c>
      <c r="F251" s="990">
        <v>-6.0000000000000001E-3</v>
      </c>
      <c r="H251" s="993">
        <v>2.2083333333333334E-3</v>
      </c>
      <c r="I251" s="986">
        <f t="shared" si="3"/>
        <v>-8.2083333333333331E-3</v>
      </c>
      <c r="J251" s="988">
        <v>17076</v>
      </c>
    </row>
    <row r="252" spans="1:10" ht="13.8">
      <c r="B252" s="988">
        <v>17107</v>
      </c>
      <c r="C252" s="987" t="s">
        <v>4630</v>
      </c>
      <c r="F252" s="990">
        <v>-2.7000000000000001E-3</v>
      </c>
      <c r="H252" s="993">
        <v>2.1999999999999997E-3</v>
      </c>
      <c r="I252" s="986">
        <f t="shared" si="3"/>
        <v>-4.8999999999999998E-3</v>
      </c>
      <c r="J252" s="988">
        <v>17107</v>
      </c>
    </row>
    <row r="253" spans="1:10" ht="13.8">
      <c r="A253" s="987">
        <v>17</v>
      </c>
      <c r="B253" s="988">
        <v>17137</v>
      </c>
      <c r="C253" s="987" t="s">
        <v>4630</v>
      </c>
      <c r="F253" s="990">
        <v>4.5699999999999998E-2</v>
      </c>
      <c r="H253" s="993">
        <v>2.2083333333333334E-3</v>
      </c>
      <c r="I253" s="986">
        <f t="shared" si="3"/>
        <v>4.3491666666666665E-2</v>
      </c>
      <c r="J253" s="988">
        <v>17137</v>
      </c>
    </row>
    <row r="254" spans="1:10" ht="13.8">
      <c r="A254" s="987">
        <v>17</v>
      </c>
      <c r="B254" s="988">
        <v>17168</v>
      </c>
      <c r="C254" s="987" t="s">
        <v>4630</v>
      </c>
      <c r="F254" s="990">
        <v>2.5499999999999998E-2</v>
      </c>
      <c r="H254" s="993">
        <v>2.1749999999999999E-3</v>
      </c>
      <c r="I254" s="986">
        <f t="shared" si="3"/>
        <v>2.3324999999999999E-2</v>
      </c>
      <c r="J254" s="988">
        <v>17168</v>
      </c>
    </row>
    <row r="255" spans="1:10" ht="13.8">
      <c r="A255" s="987">
        <v>17</v>
      </c>
      <c r="B255" s="988">
        <v>17199</v>
      </c>
      <c r="C255" s="987" t="s">
        <v>4630</v>
      </c>
      <c r="F255" s="990">
        <v>-7.7000000000000002E-3</v>
      </c>
      <c r="H255" s="993">
        <v>2.1624999999999999E-3</v>
      </c>
      <c r="I255" s="986">
        <f t="shared" si="3"/>
        <v>-9.8624999999999997E-3</v>
      </c>
      <c r="J255" s="988">
        <v>17199</v>
      </c>
    </row>
    <row r="256" spans="1:10" ht="13.8">
      <c r="A256" s="987">
        <v>17</v>
      </c>
      <c r="B256" s="988">
        <v>17227</v>
      </c>
      <c r="C256" s="987" t="s">
        <v>4630</v>
      </c>
      <c r="F256" s="990">
        <v>-1.49E-2</v>
      </c>
      <c r="H256" s="993">
        <v>2.1624999999999999E-3</v>
      </c>
      <c r="I256" s="986">
        <f t="shared" si="3"/>
        <v>-1.7062500000000001E-2</v>
      </c>
      <c r="J256" s="988">
        <v>17227</v>
      </c>
    </row>
    <row r="257" spans="1:10" ht="13.8">
      <c r="A257" s="987">
        <v>17</v>
      </c>
      <c r="B257" s="988">
        <v>17258</v>
      </c>
      <c r="C257" s="987" t="s">
        <v>4630</v>
      </c>
      <c r="F257" s="990">
        <v>-3.6299999999999999E-2</v>
      </c>
      <c r="H257" s="993">
        <v>2.1499999999999996E-3</v>
      </c>
      <c r="I257" s="986">
        <f t="shared" si="3"/>
        <v>-3.8449999999999998E-2</v>
      </c>
      <c r="J257" s="988">
        <v>17258</v>
      </c>
    </row>
    <row r="258" spans="1:10" ht="13.8">
      <c r="A258" s="987">
        <v>17</v>
      </c>
      <c r="B258" s="988">
        <v>17288</v>
      </c>
      <c r="C258" s="987" t="s">
        <v>4630</v>
      </c>
      <c r="F258" s="990">
        <v>1.4E-3</v>
      </c>
      <c r="H258" s="993">
        <v>2.1499999999999996E-3</v>
      </c>
      <c r="I258" s="986">
        <f t="shared" si="3"/>
        <v>-7.4999999999999958E-4</v>
      </c>
      <c r="J258" s="988">
        <v>17288</v>
      </c>
    </row>
    <row r="259" spans="1:10" ht="13.8">
      <c r="A259" s="987">
        <v>17</v>
      </c>
      <c r="B259" s="988">
        <v>17319</v>
      </c>
      <c r="C259" s="987" t="s">
        <v>4630</v>
      </c>
      <c r="F259" s="990">
        <v>5.5399999999999998E-2</v>
      </c>
      <c r="H259" s="993">
        <v>2.1624999999999999E-3</v>
      </c>
      <c r="I259" s="986">
        <f t="shared" si="3"/>
        <v>5.32375E-2</v>
      </c>
      <c r="J259" s="988">
        <v>17319</v>
      </c>
    </row>
    <row r="260" spans="1:10" ht="13.8">
      <c r="A260" s="987">
        <v>17</v>
      </c>
      <c r="B260" s="988">
        <v>17349</v>
      </c>
      <c r="C260" s="987" t="s">
        <v>4630</v>
      </c>
      <c r="F260" s="990">
        <v>3.8100000000000002E-2</v>
      </c>
      <c r="H260" s="993">
        <v>2.1624999999999999E-3</v>
      </c>
      <c r="I260" s="986">
        <f t="shared" si="3"/>
        <v>3.5937500000000004E-2</v>
      </c>
      <c r="J260" s="988">
        <v>17349</v>
      </c>
    </row>
    <row r="261" spans="1:10" ht="13.8">
      <c r="A261" s="987">
        <v>17</v>
      </c>
      <c r="B261" s="988">
        <v>17380</v>
      </c>
      <c r="C261" s="987" t="s">
        <v>4630</v>
      </c>
      <c r="F261" s="990">
        <v>-2.0299999999999999E-2</v>
      </c>
      <c r="H261" s="993">
        <v>2.1666666666666666E-3</v>
      </c>
      <c r="I261" s="986">
        <f t="shared" si="3"/>
        <v>-2.2466666666666666E-2</v>
      </c>
      <c r="J261" s="988">
        <v>17380</v>
      </c>
    </row>
    <row r="262" spans="1:10" ht="13.8">
      <c r="A262" s="987">
        <v>17</v>
      </c>
      <c r="B262" s="988">
        <v>17411</v>
      </c>
      <c r="C262" s="987" t="s">
        <v>4630</v>
      </c>
      <c r="F262" s="990">
        <v>-1.11E-2</v>
      </c>
      <c r="H262" s="993">
        <v>2.2083333333333334E-3</v>
      </c>
      <c r="I262" s="986">
        <f t="shared" si="3"/>
        <v>-1.3308333333333333E-2</v>
      </c>
      <c r="J262" s="988">
        <v>17411</v>
      </c>
    </row>
    <row r="263" spans="1:10" ht="13.8">
      <c r="A263" s="987">
        <v>17</v>
      </c>
      <c r="B263" s="988">
        <v>17441</v>
      </c>
      <c r="C263" s="987" t="s">
        <v>4630</v>
      </c>
      <c r="F263" s="990">
        <v>2.3800000000000002E-2</v>
      </c>
      <c r="H263" s="993">
        <v>2.2875E-3</v>
      </c>
      <c r="I263" s="986">
        <f t="shared" si="3"/>
        <v>2.15125E-2</v>
      </c>
      <c r="J263" s="988">
        <v>17441</v>
      </c>
    </row>
    <row r="264" spans="1:10" ht="13.8">
      <c r="A264" s="987">
        <v>17</v>
      </c>
      <c r="B264" s="988">
        <v>17472</v>
      </c>
      <c r="C264" s="987" t="s">
        <v>4630</v>
      </c>
      <c r="F264" s="990">
        <v>-1.7500000000000002E-2</v>
      </c>
      <c r="H264" s="993">
        <v>2.3416666666666668E-3</v>
      </c>
      <c r="I264" s="986">
        <f t="shared" si="3"/>
        <v>-1.9841666666666667E-2</v>
      </c>
      <c r="J264" s="988">
        <v>17472</v>
      </c>
    </row>
    <row r="265" spans="1:10" ht="13.8">
      <c r="A265" s="987">
        <v>17</v>
      </c>
      <c r="B265" s="988">
        <v>17502</v>
      </c>
      <c r="C265" s="987" t="s">
        <v>4630</v>
      </c>
      <c r="F265" s="990">
        <v>2.3300000000000001E-2</v>
      </c>
      <c r="H265" s="993">
        <v>2.4166666666666664E-3</v>
      </c>
      <c r="I265" s="986">
        <f t="shared" si="3"/>
        <v>2.0883333333333334E-2</v>
      </c>
      <c r="J265" s="988">
        <v>17502</v>
      </c>
    </row>
    <row r="266" spans="1:10" ht="13.8">
      <c r="A266" s="987">
        <v>17</v>
      </c>
      <c r="B266" s="988">
        <v>17533</v>
      </c>
      <c r="C266" s="987" t="s">
        <v>4630</v>
      </c>
      <c r="F266" s="990">
        <v>-3.7900000000000003E-2</v>
      </c>
      <c r="H266" s="993">
        <v>2.4166666666666664E-3</v>
      </c>
      <c r="I266" s="986">
        <f t="shared" si="3"/>
        <v>-4.0316666666666667E-2</v>
      </c>
      <c r="J266" s="988">
        <v>17533</v>
      </c>
    </row>
    <row r="267" spans="1:10" ht="13.8">
      <c r="A267" s="987">
        <v>17</v>
      </c>
      <c r="B267" s="988">
        <v>17564</v>
      </c>
      <c r="C267" s="987" t="s">
        <v>4630</v>
      </c>
      <c r="F267" s="990">
        <v>-3.8800000000000001E-2</v>
      </c>
      <c r="H267" s="993">
        <v>2.4083333333333335E-3</v>
      </c>
      <c r="I267" s="986">
        <f t="shared" si="3"/>
        <v>-4.1208333333333333E-2</v>
      </c>
      <c r="J267" s="988">
        <v>17564</v>
      </c>
    </row>
    <row r="268" spans="1:10" ht="13.8">
      <c r="A268" s="987">
        <v>17</v>
      </c>
      <c r="B268" s="988">
        <v>17593</v>
      </c>
      <c r="C268" s="987" t="s">
        <v>4630</v>
      </c>
      <c r="F268" s="990">
        <v>7.9299999999999995E-2</v>
      </c>
      <c r="H268" s="993">
        <v>2.3875000000000003E-3</v>
      </c>
      <c r="I268" s="986">
        <f t="shared" si="3"/>
        <v>7.6912499999999995E-2</v>
      </c>
      <c r="J268" s="988">
        <v>17593</v>
      </c>
    </row>
    <row r="269" spans="1:10" ht="13.8">
      <c r="A269" s="987">
        <v>17</v>
      </c>
      <c r="B269" s="988">
        <v>17624</v>
      </c>
      <c r="C269" s="987" t="s">
        <v>4630</v>
      </c>
      <c r="F269" s="990">
        <v>2.92E-2</v>
      </c>
      <c r="H269" s="993">
        <v>2.3541666666666667E-3</v>
      </c>
      <c r="I269" s="986">
        <f t="shared" si="3"/>
        <v>2.6845833333333333E-2</v>
      </c>
      <c r="J269" s="988">
        <v>17624</v>
      </c>
    </row>
    <row r="270" spans="1:10" ht="13.8">
      <c r="A270" s="987">
        <v>17</v>
      </c>
      <c r="B270" s="988">
        <v>17654</v>
      </c>
      <c r="C270" s="987" t="s">
        <v>4630</v>
      </c>
      <c r="F270" s="990">
        <v>8.7900000000000006E-2</v>
      </c>
      <c r="H270" s="993">
        <v>2.3416666666666664E-3</v>
      </c>
      <c r="I270" s="986">
        <f t="shared" si="3"/>
        <v>8.5558333333333333E-2</v>
      </c>
      <c r="J270" s="988">
        <v>17654</v>
      </c>
    </row>
    <row r="271" spans="1:10" ht="13.8">
      <c r="A271" s="987">
        <v>17</v>
      </c>
      <c r="B271" s="988">
        <v>17685</v>
      </c>
      <c r="C271" s="987" t="s">
        <v>4630</v>
      </c>
      <c r="F271" s="990">
        <v>5.4000000000000003E-3</v>
      </c>
      <c r="H271" s="993">
        <v>2.3375000000000002E-3</v>
      </c>
      <c r="I271" s="986">
        <f t="shared" si="3"/>
        <v>3.0625000000000001E-3</v>
      </c>
      <c r="J271" s="988">
        <v>17685</v>
      </c>
    </row>
    <row r="272" spans="1:10" ht="13.8">
      <c r="A272" s="987">
        <v>17</v>
      </c>
      <c r="B272" s="988">
        <v>17715</v>
      </c>
      <c r="C272" s="987" t="s">
        <v>4630</v>
      </c>
      <c r="F272" s="990">
        <v>-5.0799999999999998E-2</v>
      </c>
      <c r="H272" s="993">
        <v>2.3749999999999999E-3</v>
      </c>
      <c r="I272" s="986">
        <f t="shared" si="3"/>
        <v>-5.3175E-2</v>
      </c>
      <c r="J272" s="988">
        <v>17715</v>
      </c>
    </row>
    <row r="273" spans="1:10" ht="13.8">
      <c r="A273" s="987">
        <v>17</v>
      </c>
      <c r="B273" s="988">
        <v>17746</v>
      </c>
      <c r="C273" s="987" t="s">
        <v>4630</v>
      </c>
      <c r="F273" s="990">
        <v>1.5800000000000002E-2</v>
      </c>
      <c r="H273" s="993">
        <v>2.4083333333333335E-3</v>
      </c>
      <c r="I273" s="986">
        <f t="shared" si="3"/>
        <v>1.3391666666666668E-2</v>
      </c>
      <c r="J273" s="988">
        <v>17746</v>
      </c>
    </row>
    <row r="274" spans="1:10" ht="13.8">
      <c r="A274" s="987">
        <v>17</v>
      </c>
      <c r="B274" s="988">
        <v>17777</v>
      </c>
      <c r="C274" s="987" t="s">
        <v>4630</v>
      </c>
      <c r="F274" s="990">
        <v>-2.76E-2</v>
      </c>
      <c r="H274" s="993">
        <v>2.4041666666666669E-3</v>
      </c>
      <c r="I274" s="986">
        <f t="shared" si="3"/>
        <v>-3.0004166666666665E-2</v>
      </c>
      <c r="J274" s="988">
        <v>17777</v>
      </c>
    </row>
    <row r="275" spans="1:10" ht="13.8">
      <c r="A275" s="987">
        <v>17</v>
      </c>
      <c r="B275" s="988">
        <v>17807</v>
      </c>
      <c r="C275" s="987" t="s">
        <v>4630</v>
      </c>
      <c r="F275" s="990">
        <v>7.0999999999999994E-2</v>
      </c>
      <c r="H275" s="993">
        <v>2.4083333333333335E-3</v>
      </c>
      <c r="I275" s="986">
        <f t="shared" si="3"/>
        <v>6.8591666666666662E-2</v>
      </c>
      <c r="J275" s="988">
        <v>17807</v>
      </c>
    </row>
    <row r="276" spans="1:10" ht="13.8">
      <c r="A276" s="987">
        <v>17</v>
      </c>
      <c r="B276" s="988">
        <v>17838</v>
      </c>
      <c r="C276" s="987" t="s">
        <v>4630</v>
      </c>
      <c r="F276" s="990">
        <v>-9.6100000000000005E-2</v>
      </c>
      <c r="H276" s="993">
        <v>2.3999999999999998E-3</v>
      </c>
      <c r="I276" s="986">
        <f t="shared" si="3"/>
        <v>-9.8500000000000004E-2</v>
      </c>
      <c r="J276" s="988">
        <v>17838</v>
      </c>
    </row>
    <row r="277" spans="1:10" ht="13.8">
      <c r="A277" s="987">
        <v>17</v>
      </c>
      <c r="B277" s="988">
        <v>17868</v>
      </c>
      <c r="C277" s="987" t="s">
        <v>4630</v>
      </c>
      <c r="F277" s="990">
        <v>3.4599999999999999E-2</v>
      </c>
      <c r="H277" s="993">
        <v>2.3625E-3</v>
      </c>
      <c r="I277" s="986">
        <f t="shared" si="3"/>
        <v>3.2237500000000002E-2</v>
      </c>
      <c r="J277" s="988">
        <v>17868</v>
      </c>
    </row>
    <row r="278" spans="1:10" ht="13.8">
      <c r="A278" s="987">
        <v>17</v>
      </c>
      <c r="B278" s="988">
        <v>17899</v>
      </c>
      <c r="C278" s="987" t="s">
        <v>4630</v>
      </c>
      <c r="F278" s="990">
        <v>3.8999999999999998E-3</v>
      </c>
      <c r="H278" s="993">
        <v>2.3E-3</v>
      </c>
      <c r="I278" s="986">
        <f t="shared" si="3"/>
        <v>1.5999999999999999E-3</v>
      </c>
      <c r="J278" s="988">
        <v>17899</v>
      </c>
    </row>
    <row r="279" spans="1:10" ht="13.8">
      <c r="A279" s="987">
        <v>17</v>
      </c>
      <c r="B279" s="988">
        <v>17930</v>
      </c>
      <c r="C279" s="987" t="s">
        <v>4630</v>
      </c>
      <c r="F279" s="990">
        <v>-2.9600000000000001E-2</v>
      </c>
      <c r="H279" s="993">
        <v>2.2958333333333329E-3</v>
      </c>
      <c r="I279" s="986">
        <f t="shared" si="3"/>
        <v>-3.1895833333333332E-2</v>
      </c>
      <c r="J279" s="988">
        <v>17930</v>
      </c>
    </row>
    <row r="280" spans="1:10" ht="13.8">
      <c r="A280" s="987">
        <v>17</v>
      </c>
      <c r="B280" s="988">
        <v>17958</v>
      </c>
      <c r="C280" s="987" t="s">
        <v>4630</v>
      </c>
      <c r="F280" s="990">
        <v>3.2800000000000003E-2</v>
      </c>
      <c r="H280" s="993">
        <v>2.2875E-3</v>
      </c>
      <c r="I280" s="986">
        <f t="shared" si="3"/>
        <v>3.0512500000000001E-2</v>
      </c>
      <c r="J280" s="988">
        <v>17958</v>
      </c>
    </row>
    <row r="281" spans="1:10" ht="13.8">
      <c r="A281" s="987">
        <v>17</v>
      </c>
      <c r="B281" s="988">
        <v>17989</v>
      </c>
      <c r="C281" s="987" t="s">
        <v>4630</v>
      </c>
      <c r="F281" s="990">
        <v>-1.7899999999999999E-2</v>
      </c>
      <c r="H281" s="993">
        <v>2.2875E-3</v>
      </c>
      <c r="I281" s="986">
        <f t="shared" si="3"/>
        <v>-2.0187500000000001E-2</v>
      </c>
      <c r="J281" s="988">
        <v>17989</v>
      </c>
    </row>
    <row r="282" spans="1:10" ht="13.8">
      <c r="A282" s="987">
        <v>17</v>
      </c>
      <c r="B282" s="988">
        <v>18019</v>
      </c>
      <c r="C282" s="987" t="s">
        <v>4630</v>
      </c>
      <c r="F282" s="990">
        <v>-2.58E-2</v>
      </c>
      <c r="H282" s="993">
        <v>2.2875E-3</v>
      </c>
      <c r="I282" s="986">
        <f t="shared" ref="I282:I345" si="4">F282-H282</f>
        <v>-2.8087500000000001E-2</v>
      </c>
      <c r="J282" s="988">
        <v>18019</v>
      </c>
    </row>
    <row r="283" spans="1:10" ht="13.8">
      <c r="A283" s="987">
        <v>17</v>
      </c>
      <c r="B283" s="988">
        <v>18050</v>
      </c>
      <c r="C283" s="987" t="s">
        <v>4630</v>
      </c>
      <c r="F283" s="990">
        <v>1.4E-3</v>
      </c>
      <c r="H283" s="993">
        <v>2.2875E-3</v>
      </c>
      <c r="I283" s="986">
        <f t="shared" si="4"/>
        <v>-8.8750000000000005E-4</v>
      </c>
      <c r="J283" s="988">
        <v>18050</v>
      </c>
    </row>
    <row r="284" spans="1:10" ht="13.8">
      <c r="A284" s="987">
        <v>17</v>
      </c>
      <c r="B284" s="988">
        <v>18080</v>
      </c>
      <c r="C284" s="987" t="s">
        <v>4630</v>
      </c>
      <c r="F284" s="990">
        <v>6.5000000000000002E-2</v>
      </c>
      <c r="H284" s="993">
        <v>2.2583333333333331E-3</v>
      </c>
      <c r="I284" s="986">
        <f t="shared" si="4"/>
        <v>6.2741666666666668E-2</v>
      </c>
      <c r="J284" s="988">
        <v>18080</v>
      </c>
    </row>
    <row r="285" spans="1:10" ht="13.8">
      <c r="A285" s="987">
        <v>17</v>
      </c>
      <c r="B285" s="988">
        <v>18111</v>
      </c>
      <c r="C285" s="987" t="s">
        <v>4630</v>
      </c>
      <c r="F285" s="990">
        <v>2.1899999999999999E-2</v>
      </c>
      <c r="H285" s="993">
        <v>2.2208333333333333E-3</v>
      </c>
      <c r="I285" s="986">
        <f t="shared" si="4"/>
        <v>1.9679166666666664E-2</v>
      </c>
      <c r="J285" s="988">
        <v>18111</v>
      </c>
    </row>
    <row r="286" spans="1:10" ht="13.8">
      <c r="A286" s="987">
        <v>17</v>
      </c>
      <c r="B286" s="988">
        <v>18142</v>
      </c>
      <c r="C286" s="987" t="s">
        <v>4630</v>
      </c>
      <c r="F286" s="990">
        <v>2.63E-2</v>
      </c>
      <c r="H286" s="993">
        <v>2.2041666666666663E-3</v>
      </c>
      <c r="I286" s="986">
        <f t="shared" si="4"/>
        <v>2.4095833333333334E-2</v>
      </c>
      <c r="J286" s="988">
        <v>18142</v>
      </c>
    </row>
    <row r="287" spans="1:10" ht="13.8">
      <c r="A287" s="987">
        <v>17</v>
      </c>
      <c r="B287" s="988">
        <v>18172</v>
      </c>
      <c r="C287" s="987" t="s">
        <v>4630</v>
      </c>
      <c r="F287" s="990">
        <v>3.4000000000000002E-2</v>
      </c>
      <c r="H287" s="993">
        <v>2.2125000000000001E-3</v>
      </c>
      <c r="I287" s="986">
        <f t="shared" si="4"/>
        <v>3.1787500000000003E-2</v>
      </c>
      <c r="J287" s="988">
        <v>18172</v>
      </c>
    </row>
    <row r="288" spans="1:10" ht="13.8">
      <c r="A288" s="987">
        <v>17</v>
      </c>
      <c r="B288" s="988">
        <v>18203</v>
      </c>
      <c r="C288" s="987" t="s">
        <v>4630</v>
      </c>
      <c r="F288" s="990">
        <v>1.7500000000000002E-2</v>
      </c>
      <c r="H288" s="993">
        <v>2.2000000000000001E-3</v>
      </c>
      <c r="I288" s="986">
        <f t="shared" si="4"/>
        <v>1.5300000000000001E-2</v>
      </c>
      <c r="J288" s="988">
        <v>18203</v>
      </c>
    </row>
    <row r="289" spans="1:10" ht="13.8">
      <c r="A289" s="987">
        <v>17</v>
      </c>
      <c r="B289" s="988">
        <v>18233</v>
      </c>
      <c r="C289" s="987" t="s">
        <v>4630</v>
      </c>
      <c r="F289" s="990">
        <v>4.8599999999999997E-2</v>
      </c>
      <c r="H289" s="993">
        <v>2.1875000000000002E-3</v>
      </c>
      <c r="I289" s="986">
        <f t="shared" si="4"/>
        <v>4.6412499999999995E-2</v>
      </c>
      <c r="J289" s="988">
        <v>18233</v>
      </c>
    </row>
    <row r="290" spans="1:10" ht="13.8">
      <c r="A290" s="987">
        <v>17</v>
      </c>
      <c r="B290" s="988">
        <v>18264</v>
      </c>
      <c r="C290" s="987" t="s">
        <v>4630</v>
      </c>
      <c r="F290" s="990">
        <v>1.9699999999999999E-2</v>
      </c>
      <c r="H290" s="993">
        <v>2.1749999999999999E-3</v>
      </c>
      <c r="I290" s="986">
        <f t="shared" si="4"/>
        <v>1.7524999999999999E-2</v>
      </c>
      <c r="J290" s="988">
        <v>18264</v>
      </c>
    </row>
    <row r="291" spans="1:10" ht="13.8">
      <c r="A291" s="987">
        <v>17</v>
      </c>
      <c r="B291" s="988">
        <v>18295</v>
      </c>
      <c r="C291" s="987" t="s">
        <v>4630</v>
      </c>
      <c r="F291" s="990">
        <v>1.9900000000000001E-2</v>
      </c>
      <c r="H291" s="993">
        <v>2.1791666666666665E-3</v>
      </c>
      <c r="I291" s="986">
        <f t="shared" si="4"/>
        <v>1.7720833333333335E-2</v>
      </c>
      <c r="J291" s="988">
        <v>18295</v>
      </c>
    </row>
    <row r="292" spans="1:10" ht="13.8">
      <c r="A292" s="987">
        <v>17</v>
      </c>
      <c r="B292" s="988">
        <v>18323</v>
      </c>
      <c r="C292" s="987" t="s">
        <v>4630</v>
      </c>
      <c r="F292" s="990">
        <v>7.0000000000000001E-3</v>
      </c>
      <c r="H292" s="993">
        <v>2.1833333333333331E-3</v>
      </c>
      <c r="I292" s="986">
        <f t="shared" si="4"/>
        <v>4.816666666666667E-3</v>
      </c>
      <c r="J292" s="988">
        <v>18323</v>
      </c>
    </row>
    <row r="293" spans="1:10" ht="13.8">
      <c r="A293" s="987">
        <v>17</v>
      </c>
      <c r="B293" s="988">
        <v>18354</v>
      </c>
      <c r="C293" s="987" t="s">
        <v>4630</v>
      </c>
      <c r="F293" s="990">
        <v>4.8599999999999997E-2</v>
      </c>
      <c r="H293" s="993">
        <v>2.1916666666666668E-3</v>
      </c>
      <c r="I293" s="986">
        <f t="shared" si="4"/>
        <v>4.6408333333333329E-2</v>
      </c>
      <c r="J293" s="988">
        <v>18354</v>
      </c>
    </row>
    <row r="294" spans="1:10" ht="13.8">
      <c r="A294" s="987">
        <v>17</v>
      </c>
      <c r="B294" s="988">
        <v>18384</v>
      </c>
      <c r="C294" s="987" t="s">
        <v>4630</v>
      </c>
      <c r="F294" s="990">
        <v>5.0900000000000001E-2</v>
      </c>
      <c r="H294" s="993">
        <v>2.2083333333333334E-3</v>
      </c>
      <c r="I294" s="986">
        <f t="shared" si="4"/>
        <v>4.8691666666666668E-2</v>
      </c>
      <c r="J294" s="988">
        <v>18384</v>
      </c>
    </row>
    <row r="295" spans="1:10" ht="13.8">
      <c r="A295" s="987">
        <v>17</v>
      </c>
      <c r="B295" s="988">
        <v>18415</v>
      </c>
      <c r="C295" s="987" t="s">
        <v>4630</v>
      </c>
      <c r="F295" s="990">
        <v>-5.4800000000000001E-2</v>
      </c>
      <c r="H295" s="993">
        <v>2.2125000000000001E-3</v>
      </c>
      <c r="I295" s="986">
        <f t="shared" si="4"/>
        <v>-5.7012500000000001E-2</v>
      </c>
      <c r="J295" s="988">
        <v>18415</v>
      </c>
    </row>
    <row r="296" spans="1:10" ht="13.8">
      <c r="A296" s="987">
        <v>17</v>
      </c>
      <c r="B296" s="988">
        <v>18445</v>
      </c>
      <c r="C296" s="987" t="s">
        <v>4630</v>
      </c>
      <c r="F296" s="990">
        <v>1.1900000000000001E-2</v>
      </c>
      <c r="H296" s="993">
        <v>2.2374999999999999E-3</v>
      </c>
      <c r="I296" s="986">
        <f t="shared" si="4"/>
        <v>9.6625000000000009E-3</v>
      </c>
      <c r="J296" s="988">
        <v>18445</v>
      </c>
    </row>
    <row r="297" spans="1:10" ht="13.8">
      <c r="A297" s="987">
        <v>17</v>
      </c>
      <c r="B297" s="988">
        <v>18476</v>
      </c>
      <c r="C297" s="987" t="s">
        <v>4630</v>
      </c>
      <c r="F297" s="990">
        <v>4.4299999999999999E-2</v>
      </c>
      <c r="H297" s="993">
        <v>2.2000000000000001E-3</v>
      </c>
      <c r="I297" s="986">
        <f t="shared" si="4"/>
        <v>4.2099999999999999E-2</v>
      </c>
      <c r="J297" s="988">
        <v>18476</v>
      </c>
    </row>
    <row r="298" spans="1:10" ht="13.8">
      <c r="A298" s="987">
        <v>17</v>
      </c>
      <c r="B298" s="988">
        <v>18507</v>
      </c>
      <c r="C298" s="987" t="s">
        <v>4630</v>
      </c>
      <c r="F298" s="990">
        <v>5.9200000000000003E-2</v>
      </c>
      <c r="H298" s="993">
        <v>2.2291666666666666E-3</v>
      </c>
      <c r="I298" s="986">
        <f t="shared" si="4"/>
        <v>5.6970833333333339E-2</v>
      </c>
      <c r="J298" s="988">
        <v>18507</v>
      </c>
    </row>
    <row r="299" spans="1:10" ht="13.8">
      <c r="A299" s="987">
        <v>17</v>
      </c>
      <c r="B299" s="988">
        <v>18537</v>
      </c>
      <c r="C299" s="987" t="s">
        <v>4630</v>
      </c>
      <c r="F299" s="990">
        <v>9.2999999999999992E-3</v>
      </c>
      <c r="H299" s="993">
        <v>2.2458333333333336E-3</v>
      </c>
      <c r="I299" s="986">
        <f t="shared" si="4"/>
        <v>7.0541666666666652E-3</v>
      </c>
      <c r="J299" s="988">
        <v>18537</v>
      </c>
    </row>
    <row r="300" spans="1:10" ht="13.8">
      <c r="A300" s="987">
        <v>17</v>
      </c>
      <c r="B300" s="988">
        <v>18568</v>
      </c>
      <c r="C300" s="987" t="s">
        <v>4630</v>
      </c>
      <c r="F300" s="990">
        <v>1.6899999999999998E-2</v>
      </c>
      <c r="H300" s="993">
        <v>2.2458333333333336E-3</v>
      </c>
      <c r="I300" s="986">
        <f t="shared" si="4"/>
        <v>1.4654166666666664E-2</v>
      </c>
      <c r="J300" s="988">
        <v>18568</v>
      </c>
    </row>
    <row r="301" spans="1:10" ht="13.8">
      <c r="A301" s="987">
        <v>17</v>
      </c>
      <c r="B301" s="988">
        <v>18598</v>
      </c>
      <c r="C301" s="987" t="s">
        <v>4630</v>
      </c>
      <c r="F301" s="990">
        <v>5.1299999999999998E-2</v>
      </c>
      <c r="H301" s="993">
        <v>2.2458333333333336E-3</v>
      </c>
      <c r="I301" s="986">
        <f t="shared" si="4"/>
        <v>4.9054166666666663E-2</v>
      </c>
      <c r="J301" s="988">
        <v>18598</v>
      </c>
    </row>
    <row r="302" spans="1:10" ht="13.8">
      <c r="A302" s="987">
        <v>17</v>
      </c>
      <c r="B302" s="988">
        <v>18629</v>
      </c>
      <c r="C302" s="987" t="s">
        <v>4630</v>
      </c>
      <c r="F302" s="990">
        <v>6.3700000000000007E-2</v>
      </c>
      <c r="H302" s="993">
        <v>2.2374999999999999E-3</v>
      </c>
      <c r="I302" s="986">
        <f t="shared" si="4"/>
        <v>6.1462500000000003E-2</v>
      </c>
      <c r="J302" s="988">
        <v>18629</v>
      </c>
    </row>
    <row r="303" spans="1:10" ht="13.8">
      <c r="A303" s="987">
        <v>17</v>
      </c>
      <c r="B303" s="988">
        <v>18660</v>
      </c>
      <c r="C303" s="987" t="s">
        <v>4630</v>
      </c>
      <c r="F303" s="990">
        <v>1.5699999999999999E-2</v>
      </c>
      <c r="H303" s="993">
        <v>2.2374999999999999E-3</v>
      </c>
      <c r="I303" s="986">
        <f t="shared" si="4"/>
        <v>1.3462499999999999E-2</v>
      </c>
      <c r="J303" s="988">
        <v>18660</v>
      </c>
    </row>
    <row r="304" spans="1:10" ht="13.8">
      <c r="A304" s="987">
        <v>17</v>
      </c>
      <c r="B304" s="988">
        <v>18688</v>
      </c>
      <c r="C304" s="987" t="s">
        <v>4630</v>
      </c>
      <c r="F304" s="990">
        <v>-1.5599999999999999E-2</v>
      </c>
      <c r="H304" s="993">
        <v>2.3333333333333335E-3</v>
      </c>
      <c r="I304" s="986">
        <f t="shared" si="4"/>
        <v>-1.7933333333333332E-2</v>
      </c>
      <c r="J304" s="988">
        <v>18688</v>
      </c>
    </row>
    <row r="305" spans="1:10" ht="13.8">
      <c r="A305" s="987">
        <v>17</v>
      </c>
      <c r="B305" s="988">
        <v>18719</v>
      </c>
      <c r="C305" s="987" t="s">
        <v>4630</v>
      </c>
      <c r="F305" s="990">
        <v>5.0900000000000001E-2</v>
      </c>
      <c r="H305" s="993">
        <v>2.4166666666666668E-3</v>
      </c>
      <c r="I305" s="986">
        <f t="shared" si="4"/>
        <v>4.8483333333333337E-2</v>
      </c>
      <c r="J305" s="988">
        <v>18719</v>
      </c>
    </row>
    <row r="306" spans="1:10" ht="13.8">
      <c r="A306" s="987">
        <v>17</v>
      </c>
      <c r="B306" s="988">
        <v>18749</v>
      </c>
      <c r="C306" s="987" t="s">
        <v>4630</v>
      </c>
      <c r="F306" s="990">
        <v>-2.9899999999999999E-2</v>
      </c>
      <c r="H306" s="993">
        <v>2.4250000000000001E-3</v>
      </c>
      <c r="I306" s="986">
        <f t="shared" si="4"/>
        <v>-3.2325E-2</v>
      </c>
      <c r="J306" s="988">
        <v>18749</v>
      </c>
    </row>
    <row r="307" spans="1:10" ht="13.8">
      <c r="A307" s="987">
        <v>17</v>
      </c>
      <c r="B307" s="988">
        <v>18780</v>
      </c>
      <c r="C307" s="987" t="s">
        <v>4630</v>
      </c>
      <c r="F307" s="990">
        <v>-2.2800000000000001E-2</v>
      </c>
      <c r="H307" s="993">
        <v>2.4708333333333331E-3</v>
      </c>
      <c r="I307" s="986">
        <f t="shared" si="4"/>
        <v>-2.5270833333333333E-2</v>
      </c>
      <c r="J307" s="988">
        <v>18780</v>
      </c>
    </row>
    <row r="308" spans="1:10" ht="13.8">
      <c r="A308" s="987">
        <v>17</v>
      </c>
      <c r="B308" s="988">
        <v>18810</v>
      </c>
      <c r="C308" s="987" t="s">
        <v>4630</v>
      </c>
      <c r="F308" s="990">
        <v>7.1099999999999997E-2</v>
      </c>
      <c r="H308" s="993">
        <v>2.4708333333333331E-3</v>
      </c>
      <c r="I308" s="986">
        <f t="shared" si="4"/>
        <v>6.8629166666666658E-2</v>
      </c>
      <c r="J308" s="988">
        <v>18810</v>
      </c>
    </row>
    <row r="309" spans="1:10" ht="13.8">
      <c r="A309" s="987">
        <v>17</v>
      </c>
      <c r="B309" s="988">
        <v>18841</v>
      </c>
      <c r="C309" s="987" t="s">
        <v>4630</v>
      </c>
      <c r="F309" s="990">
        <v>4.7800000000000002E-2</v>
      </c>
      <c r="H309" s="993">
        <v>2.4166666666666664E-3</v>
      </c>
      <c r="I309" s="986">
        <f t="shared" si="4"/>
        <v>4.5383333333333338E-2</v>
      </c>
      <c r="J309" s="988">
        <v>18841</v>
      </c>
    </row>
    <row r="310" spans="1:10" ht="13.8">
      <c r="A310" s="987">
        <v>17</v>
      </c>
      <c r="B310" s="988">
        <v>18872</v>
      </c>
      <c r="C310" s="987" t="s">
        <v>4630</v>
      </c>
      <c r="F310" s="990">
        <v>1.2999999999999999E-3</v>
      </c>
      <c r="H310" s="993">
        <v>2.3833333333333332E-3</v>
      </c>
      <c r="I310" s="986">
        <f t="shared" si="4"/>
        <v>-1.0833333333333333E-3</v>
      </c>
      <c r="J310" s="988">
        <v>18872</v>
      </c>
    </row>
    <row r="311" spans="1:10" ht="13.8">
      <c r="A311" s="987">
        <v>17</v>
      </c>
      <c r="B311" s="988">
        <v>18902</v>
      </c>
      <c r="C311" s="987" t="s">
        <v>4630</v>
      </c>
      <c r="F311" s="990">
        <v>-1.03E-2</v>
      </c>
      <c r="H311" s="993">
        <v>2.4250000000000001E-3</v>
      </c>
      <c r="I311" s="986">
        <f t="shared" si="4"/>
        <v>-1.2725E-2</v>
      </c>
      <c r="J311" s="988">
        <v>18902</v>
      </c>
    </row>
    <row r="312" spans="1:10" ht="13.8">
      <c r="A312" s="987">
        <v>17</v>
      </c>
      <c r="B312" s="988">
        <v>18933</v>
      </c>
      <c r="C312" s="987" t="s">
        <v>4630</v>
      </c>
      <c r="F312" s="990">
        <v>9.5999999999999992E-3</v>
      </c>
      <c r="H312" s="993">
        <v>2.4916666666666663E-3</v>
      </c>
      <c r="I312" s="986">
        <f t="shared" si="4"/>
        <v>7.1083333333333328E-3</v>
      </c>
      <c r="J312" s="988">
        <v>18933</v>
      </c>
    </row>
    <row r="313" spans="1:10" ht="13.8">
      <c r="A313" s="987">
        <v>17</v>
      </c>
      <c r="B313" s="988">
        <v>18963</v>
      </c>
      <c r="C313" s="987" t="s">
        <v>4630</v>
      </c>
      <c r="F313" s="990">
        <v>4.24E-2</v>
      </c>
      <c r="H313" s="993">
        <v>2.529166666666667E-3</v>
      </c>
      <c r="I313" s="986">
        <f t="shared" si="4"/>
        <v>3.9870833333333335E-2</v>
      </c>
      <c r="J313" s="988">
        <v>18963</v>
      </c>
    </row>
    <row r="314" spans="1:10" ht="13.8">
      <c r="A314" s="987">
        <v>17</v>
      </c>
      <c r="B314" s="988">
        <v>18994</v>
      </c>
      <c r="C314" s="987" t="s">
        <v>4630</v>
      </c>
      <c r="F314" s="990">
        <v>1.8100000000000002E-2</v>
      </c>
      <c r="H314" s="993">
        <v>2.5124999999999995E-3</v>
      </c>
      <c r="I314" s="986">
        <f t="shared" si="4"/>
        <v>1.5587500000000002E-2</v>
      </c>
      <c r="J314" s="988">
        <v>18994</v>
      </c>
    </row>
    <row r="315" spans="1:10" ht="13.8">
      <c r="A315" s="987">
        <v>17</v>
      </c>
      <c r="B315" s="988">
        <v>19025</v>
      </c>
      <c r="C315" s="987" t="s">
        <v>4630</v>
      </c>
      <c r="F315" s="990">
        <v>-2.8199999999999999E-2</v>
      </c>
      <c r="H315" s="993">
        <v>2.4749999999999998E-3</v>
      </c>
      <c r="I315" s="986">
        <f t="shared" si="4"/>
        <v>-3.0675000000000001E-2</v>
      </c>
      <c r="J315" s="988">
        <v>19025</v>
      </c>
    </row>
    <row r="316" spans="1:10" ht="13.8">
      <c r="A316" s="987">
        <v>17</v>
      </c>
      <c r="B316" s="988">
        <v>19054</v>
      </c>
      <c r="C316" s="987" t="s">
        <v>4630</v>
      </c>
      <c r="F316" s="990">
        <v>5.0299999999999997E-2</v>
      </c>
      <c r="H316" s="993">
        <v>2.4958333333333334E-3</v>
      </c>
      <c r="I316" s="986">
        <f t="shared" si="4"/>
        <v>4.7804166666666661E-2</v>
      </c>
      <c r="J316" s="988">
        <v>19054</v>
      </c>
    </row>
    <row r="317" spans="1:10" ht="13.8">
      <c r="A317" s="987">
        <v>17</v>
      </c>
      <c r="B317" s="988">
        <v>19085</v>
      </c>
      <c r="C317" s="987" t="s">
        <v>4630</v>
      </c>
      <c r="F317" s="990">
        <v>-4.02E-2</v>
      </c>
      <c r="H317" s="993">
        <v>2.4749999999999998E-3</v>
      </c>
      <c r="I317" s="986">
        <f t="shared" si="4"/>
        <v>-4.2674999999999998E-2</v>
      </c>
      <c r="J317" s="988">
        <v>19085</v>
      </c>
    </row>
    <row r="318" spans="1:10" ht="13.8">
      <c r="A318" s="987">
        <v>17</v>
      </c>
      <c r="B318" s="988">
        <v>19115</v>
      </c>
      <c r="C318" s="987" t="s">
        <v>4630</v>
      </c>
      <c r="F318" s="990">
        <v>3.4299999999999997E-2</v>
      </c>
      <c r="H318" s="993">
        <v>2.4708333333333331E-3</v>
      </c>
      <c r="I318" s="986">
        <f t="shared" si="4"/>
        <v>3.1829166666666665E-2</v>
      </c>
      <c r="J318" s="988">
        <v>19115</v>
      </c>
    </row>
    <row r="319" spans="1:10" ht="13.8">
      <c r="A319" s="987">
        <v>17</v>
      </c>
      <c r="B319" s="988">
        <v>19146</v>
      </c>
      <c r="C319" s="987" t="s">
        <v>4630</v>
      </c>
      <c r="F319" s="990">
        <v>4.9000000000000002E-2</v>
      </c>
      <c r="H319" s="993">
        <v>2.4875000000000001E-3</v>
      </c>
      <c r="I319" s="986">
        <f t="shared" si="4"/>
        <v>4.6512499999999998E-2</v>
      </c>
      <c r="J319" s="988">
        <v>19146</v>
      </c>
    </row>
    <row r="320" spans="1:10" ht="13.8">
      <c r="A320" s="987">
        <v>17</v>
      </c>
      <c r="B320" s="988">
        <v>19176</v>
      </c>
      <c r="C320" s="987" t="s">
        <v>4630</v>
      </c>
      <c r="F320" s="990">
        <v>1.9599999999999999E-2</v>
      </c>
      <c r="H320" s="993">
        <v>2.4958333333333334E-3</v>
      </c>
      <c r="I320" s="986">
        <f t="shared" si="4"/>
        <v>1.7104166666666667E-2</v>
      </c>
      <c r="J320" s="988">
        <v>19176</v>
      </c>
    </row>
    <row r="321" spans="1:10" ht="13.8">
      <c r="A321" s="987">
        <v>17</v>
      </c>
      <c r="B321" s="988">
        <v>19207</v>
      </c>
      <c r="C321" s="987" t="s">
        <v>4630</v>
      </c>
      <c r="F321" s="990">
        <v>-7.1000000000000004E-3</v>
      </c>
      <c r="H321" s="993">
        <v>2.5000000000000001E-3</v>
      </c>
      <c r="I321" s="986">
        <f t="shared" si="4"/>
        <v>-9.6000000000000009E-3</v>
      </c>
      <c r="J321" s="988">
        <v>19207</v>
      </c>
    </row>
    <row r="322" spans="1:10" ht="13.8">
      <c r="A322" s="987">
        <v>17</v>
      </c>
      <c r="B322" s="988">
        <v>19238</v>
      </c>
      <c r="C322" s="987" t="s">
        <v>4630</v>
      </c>
      <c r="F322" s="990">
        <v>-1.7600000000000001E-2</v>
      </c>
      <c r="H322" s="993">
        <v>2.5083333333333333E-3</v>
      </c>
      <c r="I322" s="986">
        <f t="shared" si="4"/>
        <v>-2.0108333333333336E-2</v>
      </c>
      <c r="J322" s="988">
        <v>19238</v>
      </c>
    </row>
    <row r="323" spans="1:10" ht="13.8">
      <c r="A323" s="987">
        <v>17</v>
      </c>
      <c r="B323" s="988">
        <v>19268</v>
      </c>
      <c r="C323" s="987" t="s">
        <v>4630</v>
      </c>
      <c r="F323" s="990">
        <v>2E-3</v>
      </c>
      <c r="H323" s="993">
        <v>2.5374999999999998E-3</v>
      </c>
      <c r="I323" s="986">
        <f t="shared" si="4"/>
        <v>-5.3749999999999978E-4</v>
      </c>
      <c r="J323" s="988">
        <v>19268</v>
      </c>
    </row>
    <row r="324" spans="1:10" ht="13.8">
      <c r="A324" s="987">
        <v>17</v>
      </c>
      <c r="B324" s="988">
        <v>19299</v>
      </c>
      <c r="C324" s="987" t="s">
        <v>4630</v>
      </c>
      <c r="F324" s="990">
        <v>5.7099999999999998E-2</v>
      </c>
      <c r="H324" s="993">
        <v>2.5166666666666666E-3</v>
      </c>
      <c r="I324" s="986">
        <f t="shared" si="4"/>
        <v>5.4583333333333331E-2</v>
      </c>
      <c r="J324" s="988">
        <v>19299</v>
      </c>
    </row>
    <row r="325" spans="1:10" ht="13.8">
      <c r="A325" s="987">
        <v>17</v>
      </c>
      <c r="B325" s="988">
        <v>19329</v>
      </c>
      <c r="C325" s="987" t="s">
        <v>4630</v>
      </c>
      <c r="F325" s="990">
        <v>3.8199999999999998E-2</v>
      </c>
      <c r="H325" s="993">
        <v>2.5083333333333333E-3</v>
      </c>
      <c r="I325" s="986">
        <f t="shared" si="4"/>
        <v>3.5691666666666663E-2</v>
      </c>
      <c r="J325" s="988">
        <v>19329</v>
      </c>
    </row>
    <row r="326" spans="1:10" ht="13.8">
      <c r="A326" s="987">
        <v>17</v>
      </c>
      <c r="B326" s="988">
        <v>19360</v>
      </c>
      <c r="C326" s="987" t="s">
        <v>4630</v>
      </c>
      <c r="F326" s="990">
        <v>-4.8999999999999998E-3</v>
      </c>
      <c r="H326" s="993">
        <v>2.5458333333333331E-3</v>
      </c>
      <c r="I326" s="986">
        <f t="shared" si="4"/>
        <v>-7.4458333333333329E-3</v>
      </c>
      <c r="J326" s="988">
        <v>19360</v>
      </c>
    </row>
    <row r="327" spans="1:10" ht="13.8">
      <c r="A327" s="987">
        <v>17</v>
      </c>
      <c r="B327" s="988">
        <v>19391</v>
      </c>
      <c r="C327" s="987" t="s">
        <v>4630</v>
      </c>
      <c r="F327" s="990">
        <v>-1.06E-2</v>
      </c>
      <c r="H327" s="993">
        <v>2.5875E-3</v>
      </c>
      <c r="I327" s="986">
        <f t="shared" si="4"/>
        <v>-1.31875E-2</v>
      </c>
      <c r="J327" s="988">
        <v>19391</v>
      </c>
    </row>
    <row r="328" spans="1:10" ht="13.8">
      <c r="A328" s="987">
        <v>17</v>
      </c>
      <c r="B328" s="988">
        <v>19419</v>
      </c>
      <c r="C328" s="987" t="s">
        <v>4630</v>
      </c>
      <c r="F328" s="990">
        <v>-2.12E-2</v>
      </c>
      <c r="H328" s="993">
        <v>2.6250000000000002E-3</v>
      </c>
      <c r="I328" s="986">
        <f t="shared" si="4"/>
        <v>-2.3824999999999999E-2</v>
      </c>
      <c r="J328" s="988">
        <v>19419</v>
      </c>
    </row>
    <row r="329" spans="1:10" ht="13.8">
      <c r="A329" s="987">
        <v>17</v>
      </c>
      <c r="B329" s="988">
        <v>19450</v>
      </c>
      <c r="C329" s="987" t="s">
        <v>4630</v>
      </c>
      <c r="F329" s="990">
        <v>-2.3699999999999999E-2</v>
      </c>
      <c r="H329" s="993">
        <v>2.7166666666666667E-3</v>
      </c>
      <c r="I329" s="986">
        <f t="shared" si="4"/>
        <v>-2.6416666666666665E-2</v>
      </c>
      <c r="J329" s="988">
        <v>19450</v>
      </c>
    </row>
    <row r="330" spans="1:10" ht="13.8">
      <c r="A330" s="987">
        <v>17</v>
      </c>
      <c r="B330" s="988">
        <v>19480</v>
      </c>
      <c r="C330" s="987" t="s">
        <v>4630</v>
      </c>
      <c r="F330" s="990">
        <v>7.7000000000000002E-3</v>
      </c>
      <c r="H330" s="993">
        <v>2.8124999999999999E-3</v>
      </c>
      <c r="I330" s="986">
        <f t="shared" si="4"/>
        <v>4.8875000000000004E-3</v>
      </c>
      <c r="J330" s="988">
        <v>19480</v>
      </c>
    </row>
    <row r="331" spans="1:10" ht="13.8">
      <c r="A331" s="987">
        <v>17</v>
      </c>
      <c r="B331" s="988">
        <v>19511</v>
      </c>
      <c r="C331" s="987" t="s">
        <v>4630</v>
      </c>
      <c r="F331" s="990">
        <v>-1.34E-2</v>
      </c>
      <c r="H331" s="993">
        <v>2.875E-3</v>
      </c>
      <c r="I331" s="986">
        <f t="shared" si="4"/>
        <v>-1.6275000000000001E-2</v>
      </c>
      <c r="J331" s="988">
        <v>19511</v>
      </c>
    </row>
    <row r="332" spans="1:10" ht="13.8">
      <c r="A332" s="987">
        <v>17</v>
      </c>
      <c r="B332" s="988">
        <v>19541</v>
      </c>
      <c r="C332" s="987" t="s">
        <v>4630</v>
      </c>
      <c r="F332" s="990">
        <v>2.7300000000000001E-2</v>
      </c>
      <c r="H332" s="993">
        <v>2.7916666666666667E-3</v>
      </c>
      <c r="I332" s="986">
        <f t="shared" si="4"/>
        <v>2.4508333333333333E-2</v>
      </c>
      <c r="J332" s="988">
        <v>19541</v>
      </c>
    </row>
    <row r="333" spans="1:10" ht="13.8">
      <c r="A333" s="987">
        <v>17</v>
      </c>
      <c r="B333" s="988">
        <v>19572</v>
      </c>
      <c r="C333" s="987" t="s">
        <v>4630</v>
      </c>
      <c r="F333" s="990">
        <v>-5.0099999999999999E-2</v>
      </c>
      <c r="H333" s="993">
        <v>2.7624999999999998E-3</v>
      </c>
      <c r="I333" s="986">
        <f t="shared" si="4"/>
        <v>-5.28625E-2</v>
      </c>
      <c r="J333" s="988">
        <v>19572</v>
      </c>
    </row>
    <row r="334" spans="1:10" ht="13.8">
      <c r="A334" s="987">
        <v>17</v>
      </c>
      <c r="B334" s="988">
        <v>19603</v>
      </c>
      <c r="C334" s="987" t="s">
        <v>4630</v>
      </c>
      <c r="F334" s="990">
        <v>3.3999999999999998E-3</v>
      </c>
      <c r="H334" s="993">
        <v>2.8000000000000004E-3</v>
      </c>
      <c r="I334" s="986">
        <f t="shared" si="4"/>
        <v>5.9999999999999941E-4</v>
      </c>
      <c r="J334" s="988">
        <v>19603</v>
      </c>
    </row>
    <row r="335" spans="1:10" ht="13.8">
      <c r="A335" s="987">
        <v>17</v>
      </c>
      <c r="B335" s="988">
        <v>19633</v>
      </c>
      <c r="C335" s="987" t="s">
        <v>4630</v>
      </c>
      <c r="F335" s="990">
        <v>5.3999999999999999E-2</v>
      </c>
      <c r="H335" s="993">
        <v>2.7041666666666668E-3</v>
      </c>
      <c r="I335" s="986">
        <f t="shared" si="4"/>
        <v>5.1295833333333332E-2</v>
      </c>
      <c r="J335" s="988">
        <v>19633</v>
      </c>
    </row>
    <row r="336" spans="1:10" ht="13.8">
      <c r="A336" s="987">
        <v>17</v>
      </c>
      <c r="B336" s="988">
        <v>19664</v>
      </c>
      <c r="C336" s="987" t="s">
        <v>4630</v>
      </c>
      <c r="F336" s="990">
        <v>2.0400000000000001E-2</v>
      </c>
      <c r="H336" s="993">
        <v>2.6583333333333337E-3</v>
      </c>
      <c r="I336" s="986">
        <f t="shared" si="4"/>
        <v>1.7741666666666669E-2</v>
      </c>
      <c r="J336" s="988">
        <v>19664</v>
      </c>
    </row>
    <row r="337" spans="1:10" ht="13.8">
      <c r="A337" s="987">
        <v>17</v>
      </c>
      <c r="B337" s="988">
        <v>19694</v>
      </c>
      <c r="C337" s="987" t="s">
        <v>4630</v>
      </c>
      <c r="F337" s="990">
        <v>5.1999999999999998E-3</v>
      </c>
      <c r="H337" s="993">
        <v>2.6708333333333332E-3</v>
      </c>
      <c r="I337" s="986">
        <f t="shared" si="4"/>
        <v>2.5291666666666665E-3</v>
      </c>
      <c r="J337" s="988">
        <v>19694</v>
      </c>
    </row>
    <row r="338" spans="1:10" ht="13.8">
      <c r="A338" s="987">
        <v>17</v>
      </c>
      <c r="B338" s="988">
        <v>19725</v>
      </c>
      <c r="C338" s="987" t="s">
        <v>4630</v>
      </c>
      <c r="F338" s="990">
        <v>5.3600000000000002E-2</v>
      </c>
      <c r="H338" s="993">
        <v>2.6166666666666673E-3</v>
      </c>
      <c r="I338" s="986">
        <f t="shared" si="4"/>
        <v>5.0983333333333332E-2</v>
      </c>
      <c r="J338" s="988">
        <v>19725</v>
      </c>
    </row>
    <row r="339" spans="1:10" ht="13.8">
      <c r="A339" s="987">
        <v>17</v>
      </c>
      <c r="B339" s="988">
        <v>19756</v>
      </c>
      <c r="C339" s="987" t="s">
        <v>4630</v>
      </c>
      <c r="F339" s="990">
        <v>1.11E-2</v>
      </c>
      <c r="H339" s="993">
        <v>2.529166666666667E-3</v>
      </c>
      <c r="I339" s="986">
        <f t="shared" si="4"/>
        <v>8.5708333333333331E-3</v>
      </c>
      <c r="J339" s="988">
        <v>19756</v>
      </c>
    </row>
    <row r="340" spans="1:10" ht="13.8">
      <c r="A340" s="987">
        <v>17</v>
      </c>
      <c r="B340" s="988">
        <v>19784</v>
      </c>
      <c r="C340" s="987" t="s">
        <v>4630</v>
      </c>
      <c r="F340" s="990">
        <v>3.2500000000000001E-2</v>
      </c>
      <c r="H340" s="993">
        <v>2.4541666666666666E-3</v>
      </c>
      <c r="I340" s="986">
        <f t="shared" si="4"/>
        <v>3.0045833333333334E-2</v>
      </c>
      <c r="J340" s="988">
        <v>19784</v>
      </c>
    </row>
    <row r="341" spans="1:10" ht="13.8">
      <c r="A341" s="987">
        <v>17</v>
      </c>
      <c r="B341" s="988">
        <v>19815</v>
      </c>
      <c r="C341" s="987" t="s">
        <v>4630</v>
      </c>
      <c r="F341" s="990">
        <v>5.16E-2</v>
      </c>
      <c r="H341" s="993">
        <v>2.4375000000000004E-3</v>
      </c>
      <c r="I341" s="986">
        <f t="shared" si="4"/>
        <v>4.9162499999999998E-2</v>
      </c>
      <c r="J341" s="988">
        <v>19815</v>
      </c>
    </row>
    <row r="342" spans="1:10" ht="13.8">
      <c r="A342" s="987">
        <v>17</v>
      </c>
      <c r="B342" s="988">
        <v>19845</v>
      </c>
      <c r="C342" s="987" t="s">
        <v>4630</v>
      </c>
      <c r="F342" s="990">
        <v>4.1799999999999997E-2</v>
      </c>
      <c r="H342" s="993">
        <v>2.4624999999999998E-3</v>
      </c>
      <c r="I342" s="986">
        <f t="shared" si="4"/>
        <v>3.9337499999999997E-2</v>
      </c>
      <c r="J342" s="988">
        <v>19845</v>
      </c>
    </row>
    <row r="343" spans="1:10" ht="13.8">
      <c r="A343" s="987">
        <v>17</v>
      </c>
      <c r="B343" s="988">
        <v>19876</v>
      </c>
      <c r="C343" s="987" t="s">
        <v>4630</v>
      </c>
      <c r="F343" s="990">
        <v>3.0999999999999999E-3</v>
      </c>
      <c r="H343" s="993">
        <v>2.4833333333333335E-3</v>
      </c>
      <c r="I343" s="986">
        <f t="shared" si="4"/>
        <v>6.166666666666664E-4</v>
      </c>
      <c r="J343" s="988">
        <v>19876</v>
      </c>
    </row>
    <row r="344" spans="1:10" ht="13.8">
      <c r="A344" s="987">
        <v>17</v>
      </c>
      <c r="B344" s="988">
        <v>19906</v>
      </c>
      <c r="C344" s="987" t="s">
        <v>4630</v>
      </c>
      <c r="F344" s="990">
        <v>5.8900000000000001E-2</v>
      </c>
      <c r="H344" s="993">
        <v>2.4708333333333336E-3</v>
      </c>
      <c r="I344" s="986">
        <f t="shared" si="4"/>
        <v>5.6429166666666669E-2</v>
      </c>
      <c r="J344" s="988">
        <v>19906</v>
      </c>
    </row>
    <row r="345" spans="1:10" ht="13.8">
      <c r="A345" s="987">
        <v>17</v>
      </c>
      <c r="B345" s="988">
        <v>19937</v>
      </c>
      <c r="C345" s="987" t="s">
        <v>4630</v>
      </c>
      <c r="F345" s="990">
        <v>-2.75E-2</v>
      </c>
      <c r="H345" s="993">
        <v>2.4583333333333336E-3</v>
      </c>
      <c r="I345" s="986">
        <f t="shared" si="4"/>
        <v>-2.9958333333333333E-2</v>
      </c>
      <c r="J345" s="988">
        <v>19937</v>
      </c>
    </row>
    <row r="346" spans="1:10" ht="13.8">
      <c r="A346" s="987">
        <v>17</v>
      </c>
      <c r="B346" s="988">
        <v>19968</v>
      </c>
      <c r="C346" s="987" t="s">
        <v>4630</v>
      </c>
      <c r="F346" s="990">
        <v>8.5099999999999995E-2</v>
      </c>
      <c r="H346" s="993">
        <v>2.4708333333333336E-3</v>
      </c>
      <c r="I346" s="986">
        <f t="shared" ref="I346:I409" si="5">F346-H346</f>
        <v>8.2629166666666656E-2</v>
      </c>
      <c r="J346" s="988">
        <v>19968</v>
      </c>
    </row>
    <row r="347" spans="1:10" ht="13.8">
      <c r="A347" s="987">
        <v>17</v>
      </c>
      <c r="B347" s="988">
        <v>19998</v>
      </c>
      <c r="C347" s="987" t="s">
        <v>4630</v>
      </c>
      <c r="F347" s="990">
        <v>-1.67E-2</v>
      </c>
      <c r="H347" s="993">
        <v>2.4625000000000003E-3</v>
      </c>
      <c r="I347" s="986">
        <f t="shared" si="5"/>
        <v>-1.9162499999999999E-2</v>
      </c>
      <c r="J347" s="988">
        <v>19998</v>
      </c>
    </row>
    <row r="348" spans="1:10" ht="13.8">
      <c r="A348" s="987">
        <v>17</v>
      </c>
      <c r="B348" s="988">
        <v>20029</v>
      </c>
      <c r="C348" s="987" t="s">
        <v>4630</v>
      </c>
      <c r="F348" s="990">
        <v>9.0899999999999995E-2</v>
      </c>
      <c r="H348" s="993">
        <v>2.4708333333333336E-3</v>
      </c>
      <c r="I348" s="986">
        <f t="shared" si="5"/>
        <v>8.8429166666666656E-2</v>
      </c>
      <c r="J348" s="988">
        <v>20029</v>
      </c>
    </row>
    <row r="349" spans="1:10" ht="13.8">
      <c r="A349" s="987">
        <v>17</v>
      </c>
      <c r="B349" s="988">
        <v>20059</v>
      </c>
      <c r="C349" s="987" t="s">
        <v>4630</v>
      </c>
      <c r="F349" s="990">
        <v>5.3400000000000003E-2</v>
      </c>
      <c r="H349" s="993">
        <v>2.4749999999999998E-3</v>
      </c>
      <c r="I349" s="986">
        <f t="shared" si="5"/>
        <v>5.0925000000000005E-2</v>
      </c>
      <c r="J349" s="988">
        <v>20059</v>
      </c>
    </row>
    <row r="350" spans="1:10" ht="13.8">
      <c r="A350" s="987">
        <v>17</v>
      </c>
      <c r="B350" s="988">
        <v>20090</v>
      </c>
      <c r="C350" s="987" t="s">
        <v>4630</v>
      </c>
      <c r="F350" s="990">
        <v>1.9699999999999999E-2</v>
      </c>
      <c r="H350" s="993">
        <v>2.4958333333333334E-3</v>
      </c>
      <c r="I350" s="986">
        <f t="shared" si="5"/>
        <v>1.7204166666666666E-2</v>
      </c>
      <c r="J350" s="988">
        <v>20090</v>
      </c>
    </row>
    <row r="351" spans="1:10" ht="13.8">
      <c r="A351" s="987">
        <v>17</v>
      </c>
      <c r="B351" s="988">
        <v>20121</v>
      </c>
      <c r="C351" s="987" t="s">
        <v>4630</v>
      </c>
      <c r="F351" s="990">
        <v>9.7999999999999997E-3</v>
      </c>
      <c r="H351" s="993">
        <v>2.5125000000000004E-3</v>
      </c>
      <c r="I351" s="986">
        <f t="shared" si="5"/>
        <v>7.2874999999999988E-3</v>
      </c>
      <c r="J351" s="988">
        <v>20121</v>
      </c>
    </row>
    <row r="352" spans="1:10" ht="13.8">
      <c r="A352" s="987">
        <v>17</v>
      </c>
      <c r="B352" s="988">
        <v>20149</v>
      </c>
      <c r="C352" s="987" t="s">
        <v>4630</v>
      </c>
      <c r="F352" s="990">
        <v>-3.0000000000000001E-3</v>
      </c>
      <c r="H352" s="993">
        <v>2.5624999999999997E-3</v>
      </c>
      <c r="I352" s="986">
        <f t="shared" si="5"/>
        <v>-5.5624999999999997E-3</v>
      </c>
      <c r="J352" s="988">
        <v>20149</v>
      </c>
    </row>
    <row r="353" spans="1:10" ht="13.8">
      <c r="A353" s="987">
        <v>17</v>
      </c>
      <c r="B353" s="988">
        <v>20180</v>
      </c>
      <c r="C353" s="987" t="s">
        <v>4630</v>
      </c>
      <c r="F353" s="990">
        <v>3.9600000000000003E-2</v>
      </c>
      <c r="H353" s="993">
        <v>2.558333333333333E-3</v>
      </c>
      <c r="I353" s="986">
        <f t="shared" si="5"/>
        <v>3.7041666666666667E-2</v>
      </c>
      <c r="J353" s="988">
        <v>20180</v>
      </c>
    </row>
    <row r="354" spans="1:10" ht="13.8">
      <c r="A354" s="987">
        <v>17</v>
      </c>
      <c r="B354" s="988">
        <v>20210</v>
      </c>
      <c r="C354" s="987" t="s">
        <v>4630</v>
      </c>
      <c r="F354" s="990">
        <v>5.4999999999999997E-3</v>
      </c>
      <c r="H354" s="993">
        <v>2.5791666666666667E-3</v>
      </c>
      <c r="I354" s="986">
        <f t="shared" si="5"/>
        <v>2.920833333333333E-3</v>
      </c>
      <c r="J354" s="988">
        <v>20210</v>
      </c>
    </row>
    <row r="355" spans="1:10" ht="13.8">
      <c r="A355" s="987">
        <v>17</v>
      </c>
      <c r="B355" s="988">
        <v>20241</v>
      </c>
      <c r="C355" s="987" t="s">
        <v>4630</v>
      </c>
      <c r="F355" s="990">
        <v>8.4099999999999994E-2</v>
      </c>
      <c r="H355" s="993">
        <v>2.5791666666666667E-3</v>
      </c>
      <c r="I355" s="986">
        <f t="shared" si="5"/>
        <v>8.1520833333333334E-2</v>
      </c>
      <c r="J355" s="988">
        <v>20241</v>
      </c>
    </row>
    <row r="356" spans="1:10" ht="13.8">
      <c r="A356" s="987">
        <v>17</v>
      </c>
      <c r="B356" s="988">
        <v>20271</v>
      </c>
      <c r="C356" s="987" t="s">
        <v>4630</v>
      </c>
      <c r="F356" s="990">
        <v>6.2199999999999998E-2</v>
      </c>
      <c r="H356" s="993">
        <v>2.5833333333333329E-3</v>
      </c>
      <c r="I356" s="986">
        <f t="shared" si="5"/>
        <v>5.9616666666666665E-2</v>
      </c>
      <c r="J356" s="988">
        <v>20271</v>
      </c>
    </row>
    <row r="357" spans="1:10" ht="13.8">
      <c r="A357" s="987">
        <v>17</v>
      </c>
      <c r="B357" s="988">
        <v>20302</v>
      </c>
      <c r="C357" s="987" t="s">
        <v>4630</v>
      </c>
      <c r="F357" s="990">
        <v>-2.5000000000000001E-3</v>
      </c>
      <c r="H357" s="993">
        <v>2.6291666666666668E-3</v>
      </c>
      <c r="I357" s="986">
        <f t="shared" si="5"/>
        <v>-5.1291666666666673E-3</v>
      </c>
      <c r="J357" s="988">
        <v>20302</v>
      </c>
    </row>
    <row r="358" spans="1:10" ht="13.8">
      <c r="A358" s="987">
        <v>17</v>
      </c>
      <c r="B358" s="988">
        <v>20333</v>
      </c>
      <c r="C358" s="987" t="s">
        <v>4630</v>
      </c>
      <c r="F358" s="990">
        <v>1.2999999999999999E-2</v>
      </c>
      <c r="H358" s="993">
        <v>2.6458333333333334E-3</v>
      </c>
      <c r="I358" s="986">
        <f t="shared" si="5"/>
        <v>1.0354166666666666E-2</v>
      </c>
      <c r="J358" s="988">
        <v>20333</v>
      </c>
    </row>
    <row r="359" spans="1:10" ht="13.8">
      <c r="A359" s="987">
        <v>17</v>
      </c>
      <c r="B359" s="988">
        <v>20363</v>
      </c>
      <c r="C359" s="987" t="s">
        <v>4630</v>
      </c>
      <c r="F359" s="990">
        <v>-2.8400000000000002E-2</v>
      </c>
      <c r="H359" s="993">
        <v>2.6208333333333335E-3</v>
      </c>
      <c r="I359" s="986">
        <f t="shared" si="5"/>
        <v>-3.1020833333333334E-2</v>
      </c>
      <c r="J359" s="988">
        <v>20363</v>
      </c>
    </row>
    <row r="360" spans="1:10" ht="13.8">
      <c r="A360" s="987">
        <v>17</v>
      </c>
      <c r="B360" s="988">
        <v>20394</v>
      </c>
      <c r="C360" s="987" t="s">
        <v>4630</v>
      </c>
      <c r="F360" s="990">
        <v>8.2699999999999996E-2</v>
      </c>
      <c r="H360" s="993">
        <v>2.6166666666666673E-3</v>
      </c>
      <c r="I360" s="986">
        <f t="shared" si="5"/>
        <v>8.0083333333333326E-2</v>
      </c>
      <c r="J360" s="988">
        <v>20394</v>
      </c>
    </row>
    <row r="361" spans="1:10" ht="13.8">
      <c r="A361" s="987">
        <v>17</v>
      </c>
      <c r="B361" s="988">
        <v>20424</v>
      </c>
      <c r="C361" s="987" t="s">
        <v>4630</v>
      </c>
      <c r="F361" s="990">
        <v>1.5E-3</v>
      </c>
      <c r="H361" s="993">
        <v>2.6541666666666671E-3</v>
      </c>
      <c r="I361" s="986">
        <f t="shared" si="5"/>
        <v>-1.1541666666666671E-3</v>
      </c>
      <c r="J361" s="988">
        <v>20424</v>
      </c>
    </row>
    <row r="362" spans="1:10" ht="13.8">
      <c r="A362" s="987">
        <v>17</v>
      </c>
      <c r="B362" s="988">
        <v>20455</v>
      </c>
      <c r="C362" s="987" t="s">
        <v>4630</v>
      </c>
      <c r="F362" s="990">
        <v>-3.4700000000000002E-2</v>
      </c>
      <c r="H362" s="993">
        <v>2.6249999999999997E-3</v>
      </c>
      <c r="I362" s="986">
        <f t="shared" si="5"/>
        <v>-3.7325000000000004E-2</v>
      </c>
      <c r="J362" s="988">
        <v>20455</v>
      </c>
    </row>
    <row r="363" spans="1:10" ht="13.8">
      <c r="A363" s="987">
        <v>17</v>
      </c>
      <c r="B363" s="988">
        <v>20486</v>
      </c>
      <c r="C363" s="987" t="s">
        <v>4630</v>
      </c>
      <c r="F363" s="990">
        <v>4.1300000000000003E-2</v>
      </c>
      <c r="H363" s="993">
        <v>2.5999999999999999E-3</v>
      </c>
      <c r="I363" s="986">
        <f t="shared" si="5"/>
        <v>3.8700000000000005E-2</v>
      </c>
      <c r="J363" s="988">
        <v>20486</v>
      </c>
    </row>
    <row r="364" spans="1:10" ht="13.8">
      <c r="A364" s="987">
        <v>17</v>
      </c>
      <c r="B364" s="988">
        <v>20515</v>
      </c>
      <c r="C364" s="987" t="s">
        <v>4630</v>
      </c>
      <c r="F364" s="990">
        <v>7.0999999999999994E-2</v>
      </c>
      <c r="H364" s="993">
        <v>2.6166666666666673E-3</v>
      </c>
      <c r="I364" s="986">
        <f t="shared" si="5"/>
        <v>6.8383333333333324E-2</v>
      </c>
      <c r="J364" s="988">
        <v>20515</v>
      </c>
    </row>
    <row r="365" spans="1:10" ht="13.8">
      <c r="A365" s="987">
        <v>17</v>
      </c>
      <c r="B365" s="988">
        <v>20546</v>
      </c>
      <c r="C365" s="987" t="s">
        <v>4630</v>
      </c>
      <c r="F365" s="990">
        <v>-4.0000000000000002E-4</v>
      </c>
      <c r="H365" s="993">
        <v>2.7249999999999996E-3</v>
      </c>
      <c r="I365" s="986">
        <f t="shared" si="5"/>
        <v>-3.1249999999999997E-3</v>
      </c>
      <c r="J365" s="988">
        <v>20546</v>
      </c>
    </row>
    <row r="366" spans="1:10" ht="13.8">
      <c r="A366" s="987">
        <v>17</v>
      </c>
      <c r="B366" s="988">
        <v>20576</v>
      </c>
      <c r="C366" s="987" t="s">
        <v>4630</v>
      </c>
      <c r="F366" s="990">
        <v>-5.9299999999999999E-2</v>
      </c>
      <c r="H366" s="993">
        <v>2.7583333333333331E-3</v>
      </c>
      <c r="I366" s="986">
        <f t="shared" si="5"/>
        <v>-6.2058333333333333E-2</v>
      </c>
      <c r="J366" s="988">
        <v>20576</v>
      </c>
    </row>
    <row r="367" spans="1:10" ht="13.8">
      <c r="A367" s="987">
        <v>17</v>
      </c>
      <c r="B367" s="988">
        <v>20607</v>
      </c>
      <c r="C367" s="987" t="s">
        <v>4630</v>
      </c>
      <c r="F367" s="990">
        <v>4.0899999999999999E-2</v>
      </c>
      <c r="H367" s="993">
        <v>2.7541666666666665E-3</v>
      </c>
      <c r="I367" s="986">
        <f t="shared" si="5"/>
        <v>3.814583333333333E-2</v>
      </c>
      <c r="J367" s="988">
        <v>20607</v>
      </c>
    </row>
    <row r="368" spans="1:10" ht="13.8">
      <c r="A368" s="987">
        <v>17</v>
      </c>
      <c r="B368" s="988">
        <v>20637</v>
      </c>
      <c r="C368" s="987" t="s">
        <v>4630</v>
      </c>
      <c r="F368" s="990">
        <v>5.2999999999999999E-2</v>
      </c>
      <c r="H368" s="993">
        <v>2.7791666666666672E-3</v>
      </c>
      <c r="I368" s="986">
        <f t="shared" si="5"/>
        <v>5.0220833333333333E-2</v>
      </c>
      <c r="J368" s="988">
        <v>20637</v>
      </c>
    </row>
    <row r="369" spans="1:10" ht="13.8">
      <c r="A369" s="987">
        <v>17</v>
      </c>
      <c r="B369" s="988">
        <v>20668</v>
      </c>
      <c r="C369" s="987" t="s">
        <v>4630</v>
      </c>
      <c r="F369" s="990">
        <v>-3.2800000000000003E-2</v>
      </c>
      <c r="H369" s="993">
        <v>2.8874999999999999E-3</v>
      </c>
      <c r="I369" s="986">
        <f t="shared" si="5"/>
        <v>-3.5687500000000004E-2</v>
      </c>
      <c r="J369" s="988">
        <v>20668</v>
      </c>
    </row>
    <row r="370" spans="1:10" ht="13.8">
      <c r="A370" s="987">
        <v>17</v>
      </c>
      <c r="B370" s="988">
        <v>20699</v>
      </c>
      <c r="C370" s="987" t="s">
        <v>4630</v>
      </c>
      <c r="F370" s="990">
        <v>-4.3999999999999997E-2</v>
      </c>
      <c r="H370" s="993">
        <v>2.995833333333333E-3</v>
      </c>
      <c r="I370" s="986">
        <f t="shared" si="5"/>
        <v>-4.6995833333333334E-2</v>
      </c>
      <c r="J370" s="988">
        <v>20699</v>
      </c>
    </row>
    <row r="371" spans="1:10" ht="13.8">
      <c r="A371" s="987">
        <v>17</v>
      </c>
      <c r="B371" s="988">
        <v>20729</v>
      </c>
      <c r="C371" s="987" t="s">
        <v>4630</v>
      </c>
      <c r="F371" s="990">
        <v>6.6E-3</v>
      </c>
      <c r="H371" s="993">
        <v>3.0333333333333336E-3</v>
      </c>
      <c r="I371" s="986">
        <f t="shared" si="5"/>
        <v>3.5666666666666663E-3</v>
      </c>
      <c r="J371" s="988">
        <v>20729</v>
      </c>
    </row>
    <row r="372" spans="1:10" ht="13.8">
      <c r="A372" s="987">
        <v>17</v>
      </c>
      <c r="B372" s="988">
        <v>20760</v>
      </c>
      <c r="C372" s="987" t="s">
        <v>4630</v>
      </c>
      <c r="F372" s="990">
        <v>-5.0000000000000001E-3</v>
      </c>
      <c r="H372" s="993">
        <v>3.1041666666666665E-3</v>
      </c>
      <c r="I372" s="986">
        <f t="shared" si="5"/>
        <v>-8.1041666666666658E-3</v>
      </c>
      <c r="J372" s="988">
        <v>20760</v>
      </c>
    </row>
    <row r="373" spans="1:10" ht="13.8">
      <c r="A373" s="987">
        <v>17</v>
      </c>
      <c r="B373" s="988">
        <v>20790</v>
      </c>
      <c r="C373" s="987" t="s">
        <v>4630</v>
      </c>
      <c r="F373" s="990">
        <v>3.6999999999999998E-2</v>
      </c>
      <c r="H373" s="993">
        <v>3.1666666666666666E-3</v>
      </c>
      <c r="I373" s="986">
        <f t="shared" si="5"/>
        <v>3.3833333333333333E-2</v>
      </c>
      <c r="J373" s="988">
        <v>20790</v>
      </c>
    </row>
    <row r="374" spans="1:10" ht="13.8">
      <c r="A374" s="987">
        <v>17</v>
      </c>
      <c r="B374" s="988">
        <v>20821</v>
      </c>
      <c r="C374" s="987" t="s">
        <v>4630</v>
      </c>
      <c r="F374" s="990">
        <v>-4.0099999999999997E-2</v>
      </c>
      <c r="H374" s="993">
        <v>3.1916666666666664E-3</v>
      </c>
      <c r="I374" s="986">
        <f t="shared" si="5"/>
        <v>-4.3291666666666666E-2</v>
      </c>
      <c r="J374" s="988">
        <v>20821</v>
      </c>
    </row>
    <row r="375" spans="1:10" ht="13.8">
      <c r="A375" s="987">
        <v>17</v>
      </c>
      <c r="B375" s="988">
        <v>20852</v>
      </c>
      <c r="C375" s="987" t="s">
        <v>4630</v>
      </c>
      <c r="F375" s="990">
        <v>-2.64E-2</v>
      </c>
      <c r="H375" s="993">
        <v>3.1250000000000002E-3</v>
      </c>
      <c r="I375" s="986">
        <f t="shared" si="5"/>
        <v>-2.9524999999999999E-2</v>
      </c>
      <c r="J375" s="988">
        <v>20852</v>
      </c>
    </row>
    <row r="376" spans="1:10" ht="13.8">
      <c r="A376" s="987">
        <v>17</v>
      </c>
      <c r="B376" s="988">
        <v>20880</v>
      </c>
      <c r="C376" s="987" t="s">
        <v>4630</v>
      </c>
      <c r="F376" s="990">
        <v>2.1499999999999998E-2</v>
      </c>
      <c r="H376" s="993">
        <v>3.1083333333333327E-3</v>
      </c>
      <c r="I376" s="986">
        <f t="shared" si="5"/>
        <v>1.8391666666666667E-2</v>
      </c>
      <c r="J376" s="988">
        <v>20880</v>
      </c>
    </row>
    <row r="377" spans="1:10" ht="13.8">
      <c r="A377" s="987">
        <v>17</v>
      </c>
      <c r="B377" s="988">
        <v>20911</v>
      </c>
      <c r="C377" s="987" t="s">
        <v>4630</v>
      </c>
      <c r="F377" s="990">
        <v>3.8800000000000001E-2</v>
      </c>
      <c r="H377" s="993">
        <v>3.1083333333333336E-3</v>
      </c>
      <c r="I377" s="986">
        <f t="shared" si="5"/>
        <v>3.569166666666667E-2</v>
      </c>
      <c r="J377" s="988">
        <v>20911</v>
      </c>
    </row>
    <row r="378" spans="1:10" ht="13.8">
      <c r="A378" s="987">
        <v>17</v>
      </c>
      <c r="B378" s="988">
        <v>20941</v>
      </c>
      <c r="C378" s="987" t="s">
        <v>4630</v>
      </c>
      <c r="F378" s="990">
        <v>4.3700000000000003E-2</v>
      </c>
      <c r="H378" s="993">
        <v>3.1541666666666667E-3</v>
      </c>
      <c r="I378" s="986">
        <f t="shared" si="5"/>
        <v>4.0545833333333337E-2</v>
      </c>
      <c r="J378" s="988">
        <v>20941</v>
      </c>
    </row>
    <row r="379" spans="1:10" ht="13.8">
      <c r="A379" s="987">
        <v>17</v>
      </c>
      <c r="B379" s="988">
        <v>20972</v>
      </c>
      <c r="C379" s="987" t="s">
        <v>4630</v>
      </c>
      <c r="F379" s="990">
        <v>4.0000000000000002E-4</v>
      </c>
      <c r="H379" s="993">
        <v>3.2875000000000001E-3</v>
      </c>
      <c r="I379" s="986">
        <f t="shared" si="5"/>
        <v>-2.8874999999999999E-3</v>
      </c>
      <c r="J379" s="988">
        <v>20972</v>
      </c>
    </row>
    <row r="380" spans="1:10" ht="13.8">
      <c r="A380" s="987">
        <v>17</v>
      </c>
      <c r="B380" s="988">
        <v>21002</v>
      </c>
      <c r="C380" s="987" t="s">
        <v>4630</v>
      </c>
      <c r="F380" s="990">
        <v>1.3100000000000001E-2</v>
      </c>
      <c r="H380" s="993">
        <v>3.3708333333333329E-3</v>
      </c>
      <c r="I380" s="986">
        <f t="shared" si="5"/>
        <v>9.7291666666666672E-3</v>
      </c>
      <c r="J380" s="988">
        <v>21002</v>
      </c>
    </row>
    <row r="381" spans="1:10" ht="13.8">
      <c r="A381" s="987">
        <v>17</v>
      </c>
      <c r="B381" s="988">
        <v>21033</v>
      </c>
      <c r="C381" s="987" t="s">
        <v>4630</v>
      </c>
      <c r="F381" s="990">
        <v>-5.0500000000000003E-2</v>
      </c>
      <c r="H381" s="993">
        <v>3.4624999999999994E-3</v>
      </c>
      <c r="I381" s="986">
        <f t="shared" si="5"/>
        <v>-5.3962500000000004E-2</v>
      </c>
      <c r="J381" s="988">
        <v>21033</v>
      </c>
    </row>
    <row r="382" spans="1:10" ht="13.8">
      <c r="A382" s="987">
        <v>17</v>
      </c>
      <c r="B382" s="988">
        <v>21064</v>
      </c>
      <c r="C382" s="987" t="s">
        <v>4630</v>
      </c>
      <c r="F382" s="990">
        <v>-6.0199999999999997E-2</v>
      </c>
      <c r="H382" s="993">
        <v>3.4916666666666664E-3</v>
      </c>
      <c r="I382" s="986">
        <f t="shared" si="5"/>
        <v>-6.369166666666666E-2</v>
      </c>
      <c r="J382" s="988">
        <v>21064</v>
      </c>
    </row>
    <row r="383" spans="1:10" ht="13.8">
      <c r="A383" s="987">
        <v>17</v>
      </c>
      <c r="B383" s="988">
        <v>21094</v>
      </c>
      <c r="C383" s="987" t="s">
        <v>4630</v>
      </c>
      <c r="F383" s="990">
        <v>-3.0200000000000001E-2</v>
      </c>
      <c r="H383" s="993">
        <v>3.4916666666666664E-3</v>
      </c>
      <c r="I383" s="986">
        <f t="shared" si="5"/>
        <v>-3.3691666666666668E-2</v>
      </c>
      <c r="J383" s="988">
        <v>21094</v>
      </c>
    </row>
    <row r="384" spans="1:10" ht="13.8">
      <c r="A384" s="987">
        <v>17</v>
      </c>
      <c r="B384" s="988">
        <v>21125</v>
      </c>
      <c r="C384" s="987" t="s">
        <v>4630</v>
      </c>
      <c r="F384" s="990">
        <v>2.3099999999999999E-2</v>
      </c>
      <c r="H384" s="993">
        <v>3.4875000000000001E-3</v>
      </c>
      <c r="I384" s="986">
        <f t="shared" si="5"/>
        <v>1.9612499999999998E-2</v>
      </c>
      <c r="J384" s="988">
        <v>21125</v>
      </c>
    </row>
    <row r="385" spans="1:10" ht="13.8">
      <c r="A385" s="987">
        <v>17</v>
      </c>
      <c r="B385" s="988">
        <v>21155</v>
      </c>
      <c r="C385" s="987" t="s">
        <v>4630</v>
      </c>
      <c r="F385" s="990">
        <v>-3.95E-2</v>
      </c>
      <c r="H385" s="993">
        <v>3.2875000000000001E-3</v>
      </c>
      <c r="I385" s="986">
        <f t="shared" si="5"/>
        <v>-4.2787499999999999E-2</v>
      </c>
      <c r="J385" s="988">
        <v>21155</v>
      </c>
    </row>
    <row r="386" spans="1:10" ht="13.8">
      <c r="A386" s="987">
        <v>17</v>
      </c>
      <c r="B386" s="988">
        <v>21186</v>
      </c>
      <c r="C386" s="987" t="s">
        <v>4630</v>
      </c>
      <c r="F386" s="990">
        <v>4.4499999999999998E-2</v>
      </c>
      <c r="H386" s="993">
        <v>3.0874999999999995E-3</v>
      </c>
      <c r="I386" s="986">
        <f t="shared" si="5"/>
        <v>4.1412499999999998E-2</v>
      </c>
      <c r="J386" s="988">
        <v>21186</v>
      </c>
    </row>
    <row r="387" spans="1:10" ht="13.8">
      <c r="A387" s="987">
        <v>17</v>
      </c>
      <c r="B387" s="988">
        <v>21217</v>
      </c>
      <c r="C387" s="987" t="s">
        <v>4630</v>
      </c>
      <c r="F387" s="990">
        <v>-1.41E-2</v>
      </c>
      <c r="H387" s="993">
        <v>3.0666666666666663E-3</v>
      </c>
      <c r="I387" s="986">
        <f t="shared" si="5"/>
        <v>-1.7166666666666667E-2</v>
      </c>
      <c r="J387" s="988">
        <v>21217</v>
      </c>
    </row>
    <row r="388" spans="1:10" ht="13.8">
      <c r="A388" s="987">
        <v>17</v>
      </c>
      <c r="B388" s="988">
        <v>21245</v>
      </c>
      <c r="C388" s="987" t="s">
        <v>4630</v>
      </c>
      <c r="F388" s="990">
        <v>3.2800000000000003E-2</v>
      </c>
      <c r="H388" s="993">
        <v>3.0874999999999995E-3</v>
      </c>
      <c r="I388" s="986">
        <f t="shared" si="5"/>
        <v>2.9712500000000003E-2</v>
      </c>
      <c r="J388" s="988">
        <v>21245</v>
      </c>
    </row>
    <row r="389" spans="1:10" ht="13.8">
      <c r="A389" s="987">
        <v>17</v>
      </c>
      <c r="B389" s="988">
        <v>21276</v>
      </c>
      <c r="C389" s="987" t="s">
        <v>4630</v>
      </c>
      <c r="F389" s="990">
        <v>3.3700000000000001E-2</v>
      </c>
      <c r="H389" s="993">
        <v>3.075E-3</v>
      </c>
      <c r="I389" s="986">
        <f t="shared" si="5"/>
        <v>3.0624999999999999E-2</v>
      </c>
      <c r="J389" s="988">
        <v>21276</v>
      </c>
    </row>
    <row r="390" spans="1:10" ht="13.8">
      <c r="A390" s="987">
        <v>17</v>
      </c>
      <c r="B390" s="988">
        <v>21306</v>
      </c>
      <c r="C390" s="987" t="s">
        <v>4630</v>
      </c>
      <c r="F390" s="990">
        <v>2.12E-2</v>
      </c>
      <c r="H390" s="993">
        <v>3.0625000000000001E-3</v>
      </c>
      <c r="I390" s="986">
        <f t="shared" si="5"/>
        <v>1.8137500000000001E-2</v>
      </c>
      <c r="J390" s="988">
        <v>21306</v>
      </c>
    </row>
    <row r="391" spans="1:10" ht="13.8">
      <c r="A391" s="987">
        <v>17</v>
      </c>
      <c r="B391" s="988">
        <v>21337</v>
      </c>
      <c r="C391" s="987" t="s">
        <v>4630</v>
      </c>
      <c r="F391" s="990">
        <v>2.7900000000000001E-2</v>
      </c>
      <c r="H391" s="993">
        <v>3.0625000000000001E-3</v>
      </c>
      <c r="I391" s="986">
        <f t="shared" si="5"/>
        <v>2.4837500000000002E-2</v>
      </c>
      <c r="J391" s="988">
        <v>21337</v>
      </c>
    </row>
    <row r="392" spans="1:10" ht="13.8">
      <c r="A392" s="987">
        <v>17</v>
      </c>
      <c r="B392" s="988">
        <v>21367</v>
      </c>
      <c r="C392" s="987" t="s">
        <v>4630</v>
      </c>
      <c r="F392" s="990">
        <v>4.4900000000000002E-2</v>
      </c>
      <c r="H392" s="993">
        <v>3.1250000000000002E-3</v>
      </c>
      <c r="I392" s="986">
        <f t="shared" si="5"/>
        <v>4.1775E-2</v>
      </c>
      <c r="J392" s="988">
        <v>21367</v>
      </c>
    </row>
    <row r="393" spans="1:10" ht="13.8">
      <c r="A393" s="987">
        <v>17</v>
      </c>
      <c r="B393" s="988">
        <v>21398</v>
      </c>
      <c r="C393" s="987" t="s">
        <v>4630</v>
      </c>
      <c r="F393" s="990">
        <v>1.7600000000000001E-2</v>
      </c>
      <c r="H393" s="993">
        <v>3.2625000000000002E-3</v>
      </c>
      <c r="I393" s="986">
        <f t="shared" si="5"/>
        <v>1.4337500000000001E-2</v>
      </c>
      <c r="J393" s="988">
        <v>21398</v>
      </c>
    </row>
    <row r="394" spans="1:10" ht="13.8">
      <c r="A394" s="987">
        <v>17</v>
      </c>
      <c r="B394" s="988">
        <v>21429</v>
      </c>
      <c r="C394" s="987" t="s">
        <v>4630</v>
      </c>
      <c r="F394" s="990">
        <v>5.0099999999999999E-2</v>
      </c>
      <c r="H394" s="993">
        <v>3.454166666666667E-3</v>
      </c>
      <c r="I394" s="986">
        <f t="shared" si="5"/>
        <v>4.6645833333333331E-2</v>
      </c>
      <c r="J394" s="988">
        <v>21429</v>
      </c>
    </row>
    <row r="395" spans="1:10" ht="13.8">
      <c r="A395" s="987">
        <v>17</v>
      </c>
      <c r="B395" s="988">
        <v>21459</v>
      </c>
      <c r="C395" s="987" t="s">
        <v>4630</v>
      </c>
      <c r="F395" s="990">
        <v>2.7E-2</v>
      </c>
      <c r="H395" s="993">
        <v>3.4666666666666669E-3</v>
      </c>
      <c r="I395" s="986">
        <f t="shared" si="5"/>
        <v>2.3533333333333333E-2</v>
      </c>
      <c r="J395" s="988">
        <v>21459</v>
      </c>
    </row>
    <row r="396" spans="1:10" ht="13.8">
      <c r="A396" s="987">
        <v>17</v>
      </c>
      <c r="B396" s="988">
        <v>21490</v>
      </c>
      <c r="C396" s="987" t="s">
        <v>4630</v>
      </c>
      <c r="F396" s="990">
        <v>2.8400000000000002E-2</v>
      </c>
      <c r="H396" s="993">
        <v>3.4583333333333332E-3</v>
      </c>
      <c r="I396" s="986">
        <f t="shared" si="5"/>
        <v>2.4941666666666668E-2</v>
      </c>
      <c r="J396" s="988">
        <v>21490</v>
      </c>
    </row>
    <row r="397" spans="1:10" ht="13.8">
      <c r="A397" s="987">
        <v>17</v>
      </c>
      <c r="B397" s="988">
        <v>21520</v>
      </c>
      <c r="C397" s="987" t="s">
        <v>4630</v>
      </c>
      <c r="F397" s="990">
        <v>5.3499999999999999E-2</v>
      </c>
      <c r="H397" s="993">
        <v>3.4416666666666667E-3</v>
      </c>
      <c r="I397" s="986">
        <f t="shared" si="5"/>
        <v>5.005833333333333E-2</v>
      </c>
      <c r="J397" s="988">
        <v>21520</v>
      </c>
    </row>
    <row r="398" spans="1:10" ht="13.8">
      <c r="A398" s="987">
        <v>17</v>
      </c>
      <c r="B398" s="988">
        <v>21551</v>
      </c>
      <c r="C398" s="987" t="s">
        <v>4630</v>
      </c>
      <c r="F398" s="990">
        <v>5.3E-3</v>
      </c>
      <c r="H398" s="993">
        <v>3.4749999999999998E-3</v>
      </c>
      <c r="I398" s="986">
        <f t="shared" si="5"/>
        <v>1.8250000000000002E-3</v>
      </c>
      <c r="J398" s="988">
        <v>21551</v>
      </c>
    </row>
    <row r="399" spans="1:10" ht="13.8">
      <c r="A399" s="987">
        <v>17</v>
      </c>
      <c r="B399" s="988">
        <v>21582</v>
      </c>
      <c r="C399" s="987" t="s">
        <v>4630</v>
      </c>
      <c r="F399" s="990">
        <v>4.8999999999999998E-3</v>
      </c>
      <c r="H399" s="993">
        <v>3.4916666666666664E-3</v>
      </c>
      <c r="I399" s="986">
        <f t="shared" si="5"/>
        <v>1.4083333333333335E-3</v>
      </c>
      <c r="J399" s="988">
        <v>21582</v>
      </c>
    </row>
    <row r="400" spans="1:10" ht="13.8">
      <c r="A400" s="987">
        <v>17</v>
      </c>
      <c r="B400" s="988">
        <v>21610</v>
      </c>
      <c r="C400" s="987" t="s">
        <v>4630</v>
      </c>
      <c r="F400" s="990">
        <v>2E-3</v>
      </c>
      <c r="H400" s="993">
        <v>3.4833333333333339E-3</v>
      </c>
      <c r="I400" s="986">
        <f t="shared" si="5"/>
        <v>-1.4833333333333339E-3</v>
      </c>
      <c r="J400" s="988">
        <v>21610</v>
      </c>
    </row>
    <row r="401" spans="1:10" ht="13.8">
      <c r="A401" s="987">
        <v>17</v>
      </c>
      <c r="B401" s="988">
        <v>21641</v>
      </c>
      <c r="C401" s="987" t="s">
        <v>4630</v>
      </c>
      <c r="F401" s="990">
        <v>4.02E-2</v>
      </c>
      <c r="H401" s="993">
        <v>3.5625000000000006E-3</v>
      </c>
      <c r="I401" s="986">
        <f t="shared" si="5"/>
        <v>3.6637499999999996E-2</v>
      </c>
      <c r="J401" s="988">
        <v>21641</v>
      </c>
    </row>
    <row r="402" spans="1:10" ht="13.8">
      <c r="A402" s="987">
        <v>17</v>
      </c>
      <c r="B402" s="988">
        <v>21671</v>
      </c>
      <c r="C402" s="987" t="s">
        <v>4630</v>
      </c>
      <c r="F402" s="990">
        <v>2.4E-2</v>
      </c>
      <c r="H402" s="993">
        <v>3.6791666666666665E-3</v>
      </c>
      <c r="I402" s="986">
        <f t="shared" si="5"/>
        <v>2.0320833333333333E-2</v>
      </c>
      <c r="J402" s="988">
        <v>21671</v>
      </c>
    </row>
    <row r="403" spans="1:10" ht="13.8">
      <c r="A403" s="987">
        <v>17</v>
      </c>
      <c r="B403" s="988">
        <v>21702</v>
      </c>
      <c r="C403" s="987" t="s">
        <v>4630</v>
      </c>
      <c r="F403" s="990">
        <v>-2.2000000000000001E-3</v>
      </c>
      <c r="H403" s="993">
        <v>3.7583333333333331E-3</v>
      </c>
      <c r="I403" s="986">
        <f t="shared" si="5"/>
        <v>-5.9583333333333328E-3</v>
      </c>
      <c r="J403" s="988">
        <v>21702</v>
      </c>
    </row>
    <row r="404" spans="1:10" ht="13.8">
      <c r="A404" s="987">
        <v>17</v>
      </c>
      <c r="B404" s="988">
        <v>21732</v>
      </c>
      <c r="C404" s="987" t="s">
        <v>4630</v>
      </c>
      <c r="F404" s="990">
        <v>3.6299999999999999E-2</v>
      </c>
      <c r="H404" s="993">
        <v>3.7708333333333331E-3</v>
      </c>
      <c r="I404" s="986">
        <f t="shared" si="5"/>
        <v>3.2529166666666665E-2</v>
      </c>
      <c r="J404" s="988">
        <v>21732</v>
      </c>
    </row>
    <row r="405" spans="1:10" ht="13.8">
      <c r="A405" s="987">
        <v>17</v>
      </c>
      <c r="B405" s="988">
        <v>21763</v>
      </c>
      <c r="C405" s="987" t="s">
        <v>4630</v>
      </c>
      <c r="F405" s="990">
        <v>-1.0200000000000001E-2</v>
      </c>
      <c r="H405" s="993">
        <v>3.7541666666666661E-3</v>
      </c>
      <c r="I405" s="986">
        <f t="shared" si="5"/>
        <v>-1.3954166666666667E-2</v>
      </c>
      <c r="J405" s="988">
        <v>21763</v>
      </c>
    </row>
    <row r="406" spans="1:10" ht="13.8">
      <c r="A406" s="987">
        <v>17</v>
      </c>
      <c r="B406" s="988">
        <v>21794</v>
      </c>
      <c r="C406" s="987" t="s">
        <v>4630</v>
      </c>
      <c r="F406" s="990">
        <v>-4.4299999999999999E-2</v>
      </c>
      <c r="H406" s="993">
        <v>3.8375000000000002E-3</v>
      </c>
      <c r="I406" s="986">
        <f t="shared" si="5"/>
        <v>-4.81375E-2</v>
      </c>
      <c r="J406" s="988">
        <v>21794</v>
      </c>
    </row>
    <row r="407" spans="1:10" ht="13.8">
      <c r="A407" s="987">
        <v>17</v>
      </c>
      <c r="B407" s="988">
        <v>21824</v>
      </c>
      <c r="C407" s="987" t="s">
        <v>4630</v>
      </c>
      <c r="F407" s="990">
        <v>1.2800000000000001E-2</v>
      </c>
      <c r="H407" s="993">
        <v>3.8875000000000003E-3</v>
      </c>
      <c r="I407" s="986">
        <f t="shared" si="5"/>
        <v>8.9125000000000003E-3</v>
      </c>
      <c r="J407" s="988">
        <v>21824</v>
      </c>
    </row>
    <row r="408" spans="1:10" ht="13.8">
      <c r="A408" s="987">
        <v>17</v>
      </c>
      <c r="B408" s="988">
        <v>21855</v>
      </c>
      <c r="C408" s="987" t="s">
        <v>4630</v>
      </c>
      <c r="F408" s="990">
        <v>1.8599999999999998E-2</v>
      </c>
      <c r="H408" s="993">
        <v>3.858333333333333E-3</v>
      </c>
      <c r="I408" s="986">
        <f t="shared" si="5"/>
        <v>1.4741666666666665E-2</v>
      </c>
      <c r="J408" s="988">
        <v>21855</v>
      </c>
    </row>
    <row r="409" spans="1:10" ht="13.8">
      <c r="A409" s="987">
        <v>17</v>
      </c>
      <c r="B409" s="988">
        <v>21885</v>
      </c>
      <c r="C409" s="987" t="s">
        <v>4630</v>
      </c>
      <c r="F409" s="990">
        <v>2.92E-2</v>
      </c>
      <c r="H409" s="993">
        <v>3.8833333333333333E-3</v>
      </c>
      <c r="I409" s="986">
        <f t="shared" si="5"/>
        <v>2.5316666666666668E-2</v>
      </c>
      <c r="J409" s="988">
        <v>21885</v>
      </c>
    </row>
    <row r="410" spans="1:10" ht="13.8">
      <c r="A410" s="987">
        <v>17</v>
      </c>
      <c r="B410" s="988">
        <v>21916</v>
      </c>
      <c r="C410" s="987" t="s">
        <v>4630</v>
      </c>
      <c r="F410" s="990">
        <v>-7.0000000000000007E-2</v>
      </c>
      <c r="H410" s="993">
        <v>3.908333333333334E-3</v>
      </c>
      <c r="I410" s="986">
        <f t="shared" ref="I410:I473" si="6">F410-H410</f>
        <v>-7.390833333333334E-2</v>
      </c>
      <c r="J410" s="988">
        <v>21916</v>
      </c>
    </row>
    <row r="411" spans="1:10" ht="13.8">
      <c r="A411" s="987">
        <v>17</v>
      </c>
      <c r="B411" s="988">
        <v>21947</v>
      </c>
      <c r="C411" s="987" t="s">
        <v>4630</v>
      </c>
      <c r="F411" s="990">
        <v>1.47E-2</v>
      </c>
      <c r="H411" s="993">
        <v>3.8624999999999996E-3</v>
      </c>
      <c r="I411" s="986">
        <f t="shared" si="6"/>
        <v>1.08375E-2</v>
      </c>
      <c r="J411" s="988">
        <v>21947</v>
      </c>
    </row>
    <row r="412" spans="1:10" ht="13.8">
      <c r="A412" s="987">
        <v>17</v>
      </c>
      <c r="B412" s="988">
        <v>21976</v>
      </c>
      <c r="C412" s="987" t="s">
        <v>4630</v>
      </c>
      <c r="F412" s="990">
        <v>-1.23E-2</v>
      </c>
      <c r="H412" s="993">
        <v>3.7958333333333338E-3</v>
      </c>
      <c r="I412" s="986">
        <f t="shared" si="6"/>
        <v>-1.6095833333333334E-2</v>
      </c>
      <c r="J412" s="988">
        <v>21976</v>
      </c>
    </row>
    <row r="413" spans="1:10" ht="13.8">
      <c r="A413" s="987">
        <v>17</v>
      </c>
      <c r="B413" s="988">
        <v>22007</v>
      </c>
      <c r="C413" s="987" t="s">
        <v>4630</v>
      </c>
      <c r="F413" s="990">
        <v>-1.61E-2</v>
      </c>
      <c r="H413" s="993">
        <v>3.7624999999999998E-3</v>
      </c>
      <c r="I413" s="986">
        <f t="shared" si="6"/>
        <v>-1.9862499999999998E-2</v>
      </c>
      <c r="J413" s="988">
        <v>22007</v>
      </c>
    </row>
    <row r="414" spans="1:10" ht="13.8">
      <c r="A414" s="987">
        <v>17</v>
      </c>
      <c r="B414" s="988">
        <v>22037</v>
      </c>
      <c r="C414" s="987" t="s">
        <v>4630</v>
      </c>
      <c r="F414" s="990">
        <v>3.2599999999999997E-2</v>
      </c>
      <c r="H414" s="993">
        <v>3.7791666666666668E-3</v>
      </c>
      <c r="I414" s="986">
        <f t="shared" si="6"/>
        <v>2.882083333333333E-2</v>
      </c>
      <c r="J414" s="988">
        <v>22037</v>
      </c>
    </row>
    <row r="415" spans="1:10" ht="13.8">
      <c r="A415" s="987">
        <v>17</v>
      </c>
      <c r="B415" s="988">
        <v>22068</v>
      </c>
      <c r="C415" s="987" t="s">
        <v>4630</v>
      </c>
      <c r="F415" s="990">
        <v>2.1100000000000001E-2</v>
      </c>
      <c r="H415" s="993">
        <v>3.7708333333333331E-3</v>
      </c>
      <c r="I415" s="986">
        <f t="shared" si="6"/>
        <v>1.7329166666666666E-2</v>
      </c>
      <c r="J415" s="988">
        <v>22068</v>
      </c>
    </row>
    <row r="416" spans="1:10" ht="13.8">
      <c r="A416" s="987">
        <v>17</v>
      </c>
      <c r="B416" s="988">
        <v>22098</v>
      </c>
      <c r="C416" s="987" t="s">
        <v>4630</v>
      </c>
      <c r="F416" s="990">
        <v>-2.3400000000000001E-2</v>
      </c>
      <c r="H416" s="993">
        <v>3.7374999999999995E-3</v>
      </c>
      <c r="I416" s="986">
        <f t="shared" si="6"/>
        <v>-2.7137500000000002E-2</v>
      </c>
      <c r="J416" s="988">
        <v>22098</v>
      </c>
    </row>
    <row r="417" spans="1:10" ht="13.8">
      <c r="A417" s="987">
        <v>17</v>
      </c>
      <c r="B417" s="988">
        <v>22129</v>
      </c>
      <c r="C417" s="987" t="s">
        <v>4630</v>
      </c>
      <c r="F417" s="990">
        <v>3.1699999999999999E-2</v>
      </c>
      <c r="H417" s="993">
        <v>3.6333333333333339E-3</v>
      </c>
      <c r="I417" s="986">
        <f t="shared" si="6"/>
        <v>2.8066666666666663E-2</v>
      </c>
      <c r="J417" s="988">
        <v>22129</v>
      </c>
    </row>
    <row r="418" spans="1:10" ht="13.8">
      <c r="A418" s="987">
        <v>17</v>
      </c>
      <c r="B418" s="988">
        <v>22160</v>
      </c>
      <c r="C418" s="987" t="s">
        <v>4630</v>
      </c>
      <c r="F418" s="990">
        <v>-5.8999999999999997E-2</v>
      </c>
      <c r="H418" s="993">
        <v>3.6083333333333332E-3</v>
      </c>
      <c r="I418" s="986">
        <f t="shared" si="6"/>
        <v>-6.2608333333333335E-2</v>
      </c>
      <c r="J418" s="988">
        <v>22160</v>
      </c>
    </row>
    <row r="419" spans="1:10" ht="13.8">
      <c r="A419" s="987">
        <v>17</v>
      </c>
      <c r="B419" s="988">
        <v>22190</v>
      </c>
      <c r="C419" s="987" t="s">
        <v>4630</v>
      </c>
      <c r="F419" s="990">
        <v>-6.9999999999999999E-4</v>
      </c>
      <c r="H419" s="993">
        <v>3.6416666666666667E-3</v>
      </c>
      <c r="I419" s="986">
        <f t="shared" si="6"/>
        <v>-4.3416666666666664E-3</v>
      </c>
      <c r="J419" s="988">
        <v>22190</v>
      </c>
    </row>
    <row r="420" spans="1:10" ht="13.8">
      <c r="A420" s="987">
        <v>17</v>
      </c>
      <c r="B420" s="988">
        <v>22221</v>
      </c>
      <c r="C420" s="987" t="s">
        <v>4630</v>
      </c>
      <c r="F420" s="990">
        <v>4.65E-2</v>
      </c>
      <c r="H420" s="993">
        <v>3.6583333333333333E-3</v>
      </c>
      <c r="I420" s="986">
        <f t="shared" si="6"/>
        <v>4.2841666666666667E-2</v>
      </c>
      <c r="J420" s="988">
        <v>22221</v>
      </c>
    </row>
    <row r="421" spans="1:10" ht="13.8">
      <c r="A421" s="987">
        <v>17</v>
      </c>
      <c r="B421" s="988">
        <v>22251</v>
      </c>
      <c r="C421" s="987" t="s">
        <v>4630</v>
      </c>
      <c r="F421" s="990">
        <v>4.7899999999999998E-2</v>
      </c>
      <c r="H421" s="993">
        <v>3.6875000000000002E-3</v>
      </c>
      <c r="I421" s="986">
        <f t="shared" si="6"/>
        <v>4.4212499999999995E-2</v>
      </c>
      <c r="J421" s="988">
        <v>22251</v>
      </c>
    </row>
    <row r="422" spans="1:10" ht="13.8">
      <c r="A422" s="987">
        <v>17</v>
      </c>
      <c r="B422" s="988">
        <v>22282</v>
      </c>
      <c r="C422" s="987" t="s">
        <v>4630</v>
      </c>
      <c r="F422" s="990">
        <v>6.4500000000000002E-2</v>
      </c>
      <c r="H422" s="993">
        <v>3.666666666666667E-3</v>
      </c>
      <c r="I422" s="986">
        <f t="shared" si="6"/>
        <v>6.0833333333333336E-2</v>
      </c>
      <c r="J422" s="988">
        <v>22282</v>
      </c>
    </row>
    <row r="423" spans="1:10" ht="13.8">
      <c r="A423" s="987">
        <v>17</v>
      </c>
      <c r="B423" s="988">
        <v>22313</v>
      </c>
      <c r="C423" s="987" t="s">
        <v>4630</v>
      </c>
      <c r="F423" s="990">
        <v>3.1899999999999998E-2</v>
      </c>
      <c r="H423" s="993">
        <v>3.6124999999999994E-3</v>
      </c>
      <c r="I423" s="986">
        <f t="shared" si="6"/>
        <v>2.82875E-2</v>
      </c>
      <c r="J423" s="988">
        <v>22313</v>
      </c>
    </row>
    <row r="424" spans="1:10" ht="13.8">
      <c r="A424" s="987">
        <v>17</v>
      </c>
      <c r="B424" s="988">
        <v>22341</v>
      </c>
      <c r="C424" s="987" t="s">
        <v>4630</v>
      </c>
      <c r="F424" s="990">
        <v>2.7E-2</v>
      </c>
      <c r="H424" s="993">
        <v>3.5624999999999997E-3</v>
      </c>
      <c r="I424" s="986">
        <f t="shared" si="6"/>
        <v>2.34375E-2</v>
      </c>
      <c r="J424" s="988">
        <v>22341</v>
      </c>
    </row>
    <row r="425" spans="1:10" ht="13.8">
      <c r="A425" s="987">
        <v>17</v>
      </c>
      <c r="B425" s="988">
        <v>22372</v>
      </c>
      <c r="C425" s="987" t="s">
        <v>4630</v>
      </c>
      <c r="F425" s="990">
        <v>5.1000000000000004E-3</v>
      </c>
      <c r="H425" s="993">
        <v>3.5916666666666671E-3</v>
      </c>
      <c r="I425" s="986">
        <f t="shared" si="6"/>
        <v>1.5083333333333333E-3</v>
      </c>
      <c r="J425" s="988">
        <v>22372</v>
      </c>
    </row>
    <row r="426" spans="1:10" ht="13.8">
      <c r="A426" s="987">
        <v>17</v>
      </c>
      <c r="B426" s="988">
        <v>22402</v>
      </c>
      <c r="C426" s="987" t="s">
        <v>4630</v>
      </c>
      <c r="F426" s="990">
        <v>2.3900000000000001E-2</v>
      </c>
      <c r="H426" s="993">
        <v>3.6166666666666665E-3</v>
      </c>
      <c r="I426" s="986">
        <f t="shared" si="6"/>
        <v>2.0283333333333334E-2</v>
      </c>
      <c r="J426" s="988">
        <v>22402</v>
      </c>
    </row>
    <row r="427" spans="1:10" ht="13.8">
      <c r="A427" s="987">
        <v>17</v>
      </c>
      <c r="B427" s="988">
        <v>22433</v>
      </c>
      <c r="C427" s="987" t="s">
        <v>4630</v>
      </c>
      <c r="F427" s="990">
        <v>-2.75E-2</v>
      </c>
      <c r="H427" s="993">
        <v>3.6583333333333333E-3</v>
      </c>
      <c r="I427" s="986">
        <f t="shared" si="6"/>
        <v>-3.1158333333333333E-2</v>
      </c>
      <c r="J427" s="988">
        <v>22433</v>
      </c>
    </row>
    <row r="428" spans="1:10" ht="13.8">
      <c r="A428" s="987">
        <v>17</v>
      </c>
      <c r="B428" s="988">
        <v>22463</v>
      </c>
      <c r="C428" s="987" t="s">
        <v>4630</v>
      </c>
      <c r="F428" s="990">
        <v>3.4200000000000001E-2</v>
      </c>
      <c r="H428" s="993">
        <v>3.725E-3</v>
      </c>
      <c r="I428" s="986">
        <f t="shared" si="6"/>
        <v>3.0475000000000002E-2</v>
      </c>
      <c r="J428" s="988">
        <v>22463</v>
      </c>
    </row>
    <row r="429" spans="1:10" ht="13.8">
      <c r="A429" s="987">
        <v>17</v>
      </c>
      <c r="B429" s="988">
        <v>22494</v>
      </c>
      <c r="C429" s="987" t="s">
        <v>4630</v>
      </c>
      <c r="F429" s="990">
        <v>2.4299999999999999E-2</v>
      </c>
      <c r="H429" s="993">
        <v>3.7583333333333336E-3</v>
      </c>
      <c r="I429" s="986">
        <f t="shared" si="6"/>
        <v>2.0541666666666666E-2</v>
      </c>
      <c r="J429" s="988">
        <v>22494</v>
      </c>
    </row>
    <row r="430" spans="1:10" ht="13.8">
      <c r="A430" s="987">
        <v>17</v>
      </c>
      <c r="B430" s="988">
        <v>22525</v>
      </c>
      <c r="C430" s="987" t="s">
        <v>4630</v>
      </c>
      <c r="F430" s="990">
        <v>-1.84E-2</v>
      </c>
      <c r="H430" s="993">
        <v>3.7666666666666669E-3</v>
      </c>
      <c r="I430" s="986">
        <f t="shared" si="6"/>
        <v>-2.2166666666666668E-2</v>
      </c>
      <c r="J430" s="988">
        <v>22525</v>
      </c>
    </row>
    <row r="431" spans="1:10" ht="13.8">
      <c r="A431" s="987">
        <v>17</v>
      </c>
      <c r="B431" s="988">
        <v>22555</v>
      </c>
      <c r="C431" s="987" t="s">
        <v>4630</v>
      </c>
      <c r="F431" s="990">
        <v>2.98E-2</v>
      </c>
      <c r="H431" s="993">
        <v>3.7416666666666666E-3</v>
      </c>
      <c r="I431" s="986">
        <f t="shared" si="6"/>
        <v>2.6058333333333333E-2</v>
      </c>
      <c r="J431" s="988">
        <v>22555</v>
      </c>
    </row>
    <row r="432" spans="1:10" ht="13.8">
      <c r="A432" s="987">
        <v>17</v>
      </c>
      <c r="B432" s="988">
        <v>22586</v>
      </c>
      <c r="C432" s="987" t="s">
        <v>4630</v>
      </c>
      <c r="F432" s="990">
        <v>4.4699999999999997E-2</v>
      </c>
      <c r="H432" s="993">
        <v>3.7208333333333334E-3</v>
      </c>
      <c r="I432" s="986">
        <f t="shared" si="6"/>
        <v>4.0979166666666664E-2</v>
      </c>
      <c r="J432" s="988">
        <v>22586</v>
      </c>
    </row>
    <row r="433" spans="1:10" ht="13.8">
      <c r="A433" s="987">
        <v>17</v>
      </c>
      <c r="B433" s="988">
        <v>22616</v>
      </c>
      <c r="C433" s="987" t="s">
        <v>4630</v>
      </c>
      <c r="F433" s="990">
        <v>4.5999999999999999E-3</v>
      </c>
      <c r="H433" s="993">
        <v>3.7416666666666666E-3</v>
      </c>
      <c r="I433" s="986">
        <f t="shared" si="6"/>
        <v>8.5833333333333334E-4</v>
      </c>
      <c r="J433" s="988">
        <v>22616</v>
      </c>
    </row>
    <row r="434" spans="1:10" ht="13.8">
      <c r="A434" s="987">
        <v>17</v>
      </c>
      <c r="B434" s="988">
        <v>22647</v>
      </c>
      <c r="C434" s="987" t="s">
        <v>4630</v>
      </c>
      <c r="F434" s="990">
        <v>-3.6600000000000001E-2</v>
      </c>
      <c r="H434" s="993">
        <v>3.7375000000000004E-3</v>
      </c>
      <c r="I434" s="986">
        <f t="shared" si="6"/>
        <v>-4.0337499999999998E-2</v>
      </c>
      <c r="J434" s="988">
        <v>22647</v>
      </c>
    </row>
    <row r="435" spans="1:10" ht="13.8">
      <c r="A435" s="987">
        <v>17</v>
      </c>
      <c r="B435" s="988">
        <v>22678</v>
      </c>
      <c r="C435" s="987" t="s">
        <v>4630</v>
      </c>
      <c r="F435" s="990">
        <v>2.0899999999999998E-2</v>
      </c>
      <c r="H435" s="993">
        <v>3.7416666666666666E-3</v>
      </c>
      <c r="I435" s="986">
        <f t="shared" si="6"/>
        <v>1.7158333333333331E-2</v>
      </c>
      <c r="J435" s="988">
        <v>22678</v>
      </c>
    </row>
    <row r="436" spans="1:10" ht="13.8">
      <c r="A436" s="987">
        <v>17</v>
      </c>
      <c r="B436" s="988">
        <v>22706</v>
      </c>
      <c r="C436" s="987" t="s">
        <v>4630</v>
      </c>
      <c r="F436" s="990">
        <v>-4.5999999999999999E-3</v>
      </c>
      <c r="H436" s="993">
        <v>3.7166666666666663E-3</v>
      </c>
      <c r="I436" s="986">
        <f t="shared" si="6"/>
        <v>-8.3166666666666667E-3</v>
      </c>
      <c r="J436" s="988">
        <v>22706</v>
      </c>
    </row>
    <row r="437" spans="1:10" ht="13.8">
      <c r="A437" s="987">
        <v>17</v>
      </c>
      <c r="B437" s="988">
        <v>22737</v>
      </c>
      <c r="C437" s="987" t="s">
        <v>4630</v>
      </c>
      <c r="F437" s="990">
        <v>-6.0699999999999997E-2</v>
      </c>
      <c r="H437" s="993">
        <v>3.6750000000000003E-3</v>
      </c>
      <c r="I437" s="986">
        <f t="shared" si="6"/>
        <v>-6.4375000000000002E-2</v>
      </c>
      <c r="J437" s="988">
        <v>22737</v>
      </c>
    </row>
    <row r="438" spans="1:10" ht="13.8">
      <c r="A438" s="987">
        <v>17</v>
      </c>
      <c r="B438" s="988">
        <v>22767</v>
      </c>
      <c r="C438" s="987" t="s">
        <v>4630</v>
      </c>
      <c r="F438" s="990">
        <v>-8.1100000000000005E-2</v>
      </c>
      <c r="H438" s="993">
        <v>3.6291666666666668E-3</v>
      </c>
      <c r="I438" s="986">
        <f t="shared" si="6"/>
        <v>-8.4729166666666675E-2</v>
      </c>
      <c r="J438" s="988">
        <v>22767</v>
      </c>
    </row>
    <row r="439" spans="1:10" ht="13.8">
      <c r="A439" s="987">
        <v>17</v>
      </c>
      <c r="B439" s="988">
        <v>22798</v>
      </c>
      <c r="C439" s="987" t="s">
        <v>4630</v>
      </c>
      <c r="F439" s="990">
        <v>-8.0299999999999996E-2</v>
      </c>
      <c r="H439" s="993">
        <v>3.6333333333333339E-3</v>
      </c>
      <c r="I439" s="986">
        <f t="shared" si="6"/>
        <v>-8.3933333333333332E-2</v>
      </c>
      <c r="J439" s="988">
        <v>22798</v>
      </c>
    </row>
    <row r="440" spans="1:10" ht="13.8">
      <c r="A440" s="987">
        <v>17</v>
      </c>
      <c r="B440" s="988">
        <v>22828</v>
      </c>
      <c r="C440" s="987" t="s">
        <v>4630</v>
      </c>
      <c r="F440" s="990">
        <v>6.5199999999999994E-2</v>
      </c>
      <c r="H440" s="993">
        <v>3.6791666666666665E-3</v>
      </c>
      <c r="I440" s="986">
        <f t="shared" si="6"/>
        <v>6.152083333333333E-2</v>
      </c>
      <c r="J440" s="988">
        <v>22828</v>
      </c>
    </row>
    <row r="441" spans="1:10" ht="13.8">
      <c r="A441" s="987">
        <v>17</v>
      </c>
      <c r="B441" s="988">
        <v>22859</v>
      </c>
      <c r="C441" s="987" t="s">
        <v>4630</v>
      </c>
      <c r="F441" s="990">
        <v>2.0799999999999999E-2</v>
      </c>
      <c r="H441" s="993">
        <v>3.6833333333333336E-3</v>
      </c>
      <c r="I441" s="986">
        <f t="shared" si="6"/>
        <v>1.7116666666666665E-2</v>
      </c>
      <c r="J441" s="988">
        <v>22859</v>
      </c>
    </row>
    <row r="442" spans="1:10" ht="13.8">
      <c r="A442" s="987">
        <v>17</v>
      </c>
      <c r="B442" s="988">
        <v>22890</v>
      </c>
      <c r="C442" s="987" t="s">
        <v>4630</v>
      </c>
      <c r="F442" s="990">
        <v>-4.65E-2</v>
      </c>
      <c r="H442" s="993">
        <v>3.6583333333333333E-3</v>
      </c>
      <c r="I442" s="986">
        <f t="shared" si="6"/>
        <v>-5.0158333333333333E-2</v>
      </c>
      <c r="J442" s="988">
        <v>22890</v>
      </c>
    </row>
    <row r="443" spans="1:10" ht="13.8">
      <c r="A443" s="987">
        <v>17</v>
      </c>
      <c r="B443" s="988">
        <v>22920</v>
      </c>
      <c r="C443" s="987" t="s">
        <v>4630</v>
      </c>
      <c r="F443" s="990">
        <v>6.4000000000000003E-3</v>
      </c>
      <c r="H443" s="993">
        <v>3.6208333333333331E-3</v>
      </c>
      <c r="I443" s="986">
        <f t="shared" si="6"/>
        <v>2.7791666666666672E-3</v>
      </c>
      <c r="J443" s="988">
        <v>22920</v>
      </c>
    </row>
    <row r="444" spans="1:10" ht="13.8">
      <c r="A444" s="987">
        <v>17</v>
      </c>
      <c r="B444" s="988">
        <v>22951</v>
      </c>
      <c r="C444" s="987" t="s">
        <v>4630</v>
      </c>
      <c r="F444" s="990">
        <v>0.1086</v>
      </c>
      <c r="H444" s="993">
        <v>3.604166666666667E-3</v>
      </c>
      <c r="I444" s="986">
        <f t="shared" si="6"/>
        <v>0.10499583333333333</v>
      </c>
      <c r="J444" s="988">
        <v>22951</v>
      </c>
    </row>
    <row r="445" spans="1:10" ht="13.8">
      <c r="A445" s="987">
        <v>17</v>
      </c>
      <c r="B445" s="988">
        <v>22981</v>
      </c>
      <c r="C445" s="987" t="s">
        <v>4630</v>
      </c>
      <c r="F445" s="990">
        <v>1.5299999999999999E-2</v>
      </c>
      <c r="H445" s="993">
        <v>3.5916666666666662E-3</v>
      </c>
      <c r="I445" s="986">
        <f t="shared" si="6"/>
        <v>1.1708333333333333E-2</v>
      </c>
      <c r="J445" s="988">
        <v>22981</v>
      </c>
    </row>
    <row r="446" spans="1:10" ht="13.8">
      <c r="A446" s="987">
        <v>17</v>
      </c>
      <c r="B446" s="988">
        <v>23012</v>
      </c>
      <c r="C446" s="987" t="s">
        <v>4630</v>
      </c>
      <c r="F446" s="990">
        <v>5.0599999999999999E-2</v>
      </c>
      <c r="H446" s="993">
        <v>3.5750000000000005E-3</v>
      </c>
      <c r="I446" s="986">
        <f t="shared" si="6"/>
        <v>4.7024999999999997E-2</v>
      </c>
      <c r="J446" s="988">
        <v>23012</v>
      </c>
    </row>
    <row r="447" spans="1:10" ht="13.8">
      <c r="A447" s="987">
        <v>17</v>
      </c>
      <c r="B447" s="988">
        <v>23043</v>
      </c>
      <c r="C447" s="987" t="s">
        <v>4630</v>
      </c>
      <c r="F447" s="990">
        <v>-2.3900000000000001E-2</v>
      </c>
      <c r="H447" s="993">
        <v>3.5625000000000001E-3</v>
      </c>
      <c r="I447" s="986">
        <f t="shared" si="6"/>
        <v>-2.7462500000000001E-2</v>
      </c>
      <c r="J447" s="988">
        <v>23043</v>
      </c>
    </row>
    <row r="448" spans="1:10" ht="13.8">
      <c r="A448" s="987">
        <v>17</v>
      </c>
      <c r="B448" s="988">
        <v>23071</v>
      </c>
      <c r="C448" s="987" t="s">
        <v>4630</v>
      </c>
      <c r="F448" s="990">
        <v>3.6999999999999998E-2</v>
      </c>
      <c r="H448" s="993">
        <v>3.5541666666666664E-3</v>
      </c>
      <c r="I448" s="986">
        <f t="shared" si="6"/>
        <v>3.3445833333333334E-2</v>
      </c>
      <c r="J448" s="988">
        <v>23071</v>
      </c>
    </row>
    <row r="449" spans="1:10" ht="13.8">
      <c r="A449" s="987">
        <v>17</v>
      </c>
      <c r="B449" s="988">
        <v>23102</v>
      </c>
      <c r="C449" s="987" t="s">
        <v>4630</v>
      </c>
      <c r="F449" s="990">
        <v>0.05</v>
      </c>
      <c r="H449" s="993">
        <v>3.5666666666666668E-3</v>
      </c>
      <c r="I449" s="986">
        <f t="shared" si="6"/>
        <v>4.6433333333333333E-2</v>
      </c>
      <c r="J449" s="988">
        <v>23102</v>
      </c>
    </row>
    <row r="450" spans="1:10" ht="13.8">
      <c r="A450" s="987">
        <v>17</v>
      </c>
      <c r="B450" s="988">
        <v>23132</v>
      </c>
      <c r="C450" s="987" t="s">
        <v>4630</v>
      </c>
      <c r="F450" s="990">
        <v>1.9300000000000001E-2</v>
      </c>
      <c r="H450" s="993">
        <v>3.5750000000000001E-3</v>
      </c>
      <c r="I450" s="986">
        <f t="shared" si="6"/>
        <v>1.5725000000000003E-2</v>
      </c>
      <c r="J450" s="988">
        <v>23132</v>
      </c>
    </row>
    <row r="451" spans="1:10" ht="13.8">
      <c r="A451" s="987">
        <v>17</v>
      </c>
      <c r="B451" s="988">
        <v>23163</v>
      </c>
      <c r="C451" s="987" t="s">
        <v>4630</v>
      </c>
      <c r="F451" s="990">
        <v>-1.8800000000000001E-2</v>
      </c>
      <c r="H451" s="993">
        <v>3.5791666666666667E-3</v>
      </c>
      <c r="I451" s="986">
        <f t="shared" si="6"/>
        <v>-2.2379166666666669E-2</v>
      </c>
      <c r="J451" s="988">
        <v>23163</v>
      </c>
    </row>
    <row r="452" spans="1:10" ht="13.8">
      <c r="A452" s="987">
        <v>17</v>
      </c>
      <c r="B452" s="988">
        <v>23193</v>
      </c>
      <c r="C452" s="987" t="s">
        <v>4630</v>
      </c>
      <c r="F452" s="990">
        <v>-2.2000000000000001E-3</v>
      </c>
      <c r="H452" s="993">
        <v>3.6041666666666661E-3</v>
      </c>
      <c r="I452" s="986">
        <f t="shared" si="6"/>
        <v>-5.8041666666666658E-3</v>
      </c>
      <c r="J452" s="988">
        <v>23193</v>
      </c>
    </row>
    <row r="453" spans="1:10" ht="13.8">
      <c r="A453" s="987">
        <v>17</v>
      </c>
      <c r="B453" s="988">
        <v>23224</v>
      </c>
      <c r="C453" s="987" t="s">
        <v>4630</v>
      </c>
      <c r="F453" s="990">
        <v>5.3499999999999999E-2</v>
      </c>
      <c r="H453" s="993">
        <v>3.6208333333333331E-3</v>
      </c>
      <c r="I453" s="986">
        <f t="shared" si="6"/>
        <v>4.9879166666666669E-2</v>
      </c>
      <c r="J453" s="988">
        <v>23224</v>
      </c>
    </row>
    <row r="454" spans="1:10" ht="13.8">
      <c r="A454" s="987">
        <v>17</v>
      </c>
      <c r="B454" s="988">
        <v>23255</v>
      </c>
      <c r="C454" s="987" t="s">
        <v>4630</v>
      </c>
      <c r="F454" s="990">
        <v>-9.7000000000000003E-3</v>
      </c>
      <c r="H454" s="993">
        <v>3.633333333333333E-3</v>
      </c>
      <c r="I454" s="986">
        <f t="shared" si="6"/>
        <v>-1.3333333333333332E-2</v>
      </c>
      <c r="J454" s="988">
        <v>23255</v>
      </c>
    </row>
    <row r="455" spans="1:10" ht="13.8">
      <c r="A455" s="987">
        <v>17</v>
      </c>
      <c r="B455" s="988">
        <v>23285</v>
      </c>
      <c r="C455" s="987" t="s">
        <v>4630</v>
      </c>
      <c r="F455" s="990">
        <v>3.39E-2</v>
      </c>
      <c r="H455" s="993">
        <v>3.6458333333333338E-3</v>
      </c>
      <c r="I455" s="986">
        <f t="shared" si="6"/>
        <v>3.0254166666666665E-2</v>
      </c>
      <c r="J455" s="988">
        <v>23285</v>
      </c>
    </row>
    <row r="456" spans="1:10" ht="13.8">
      <c r="A456" s="987">
        <v>17</v>
      </c>
      <c r="B456" s="988">
        <v>23316</v>
      </c>
      <c r="C456" s="987" t="s">
        <v>4630</v>
      </c>
      <c r="F456" s="990">
        <v>-4.5999999999999999E-3</v>
      </c>
      <c r="H456" s="993">
        <v>3.6541666666666671E-3</v>
      </c>
      <c r="I456" s="986">
        <f t="shared" si="6"/>
        <v>-8.2541666666666666E-3</v>
      </c>
      <c r="J456" s="988">
        <v>23316</v>
      </c>
    </row>
    <row r="457" spans="1:10" ht="13.8">
      <c r="A457" s="987">
        <v>17</v>
      </c>
      <c r="B457" s="988">
        <v>23346</v>
      </c>
      <c r="C457" s="987" t="s">
        <v>4630</v>
      </c>
      <c r="F457" s="990">
        <v>2.6200000000000001E-2</v>
      </c>
      <c r="H457" s="993">
        <v>3.6708333333333332E-3</v>
      </c>
      <c r="I457" s="986">
        <f t="shared" si="6"/>
        <v>2.252916666666667E-2</v>
      </c>
      <c r="J457" s="988">
        <v>23346</v>
      </c>
    </row>
    <row r="458" spans="1:10" ht="13.8">
      <c r="A458" s="987">
        <v>17</v>
      </c>
      <c r="B458" s="988">
        <v>23377</v>
      </c>
      <c r="C458" s="987" t="s">
        <v>4630</v>
      </c>
      <c r="F458" s="990">
        <v>2.8299999999999999E-2</v>
      </c>
      <c r="H458" s="993">
        <v>3.6916666666666669E-3</v>
      </c>
      <c r="I458" s="986">
        <f t="shared" si="6"/>
        <v>2.4608333333333333E-2</v>
      </c>
      <c r="J458" s="988">
        <v>23377</v>
      </c>
    </row>
    <row r="459" spans="1:10" ht="13.8">
      <c r="A459" s="987">
        <v>17</v>
      </c>
      <c r="B459" s="988">
        <v>23408</v>
      </c>
      <c r="C459" s="987" t="s">
        <v>4630</v>
      </c>
      <c r="F459" s="990">
        <v>1.47E-2</v>
      </c>
      <c r="H459" s="993">
        <v>3.6749999999999999E-3</v>
      </c>
      <c r="I459" s="986">
        <f t="shared" si="6"/>
        <v>1.1025E-2</v>
      </c>
      <c r="J459" s="988">
        <v>23408</v>
      </c>
    </row>
    <row r="460" spans="1:10" ht="13.8">
      <c r="A460" s="987">
        <v>17</v>
      </c>
      <c r="B460" s="988">
        <v>23437</v>
      </c>
      <c r="C460" s="987" t="s">
        <v>4630</v>
      </c>
      <c r="F460" s="990">
        <v>1.6500000000000001E-2</v>
      </c>
      <c r="H460" s="993">
        <v>3.6875000000000002E-3</v>
      </c>
      <c r="I460" s="986">
        <f t="shared" si="6"/>
        <v>1.2812500000000001E-2</v>
      </c>
      <c r="J460" s="988">
        <v>23437</v>
      </c>
    </row>
    <row r="461" spans="1:10" ht="13.8">
      <c r="A461" s="987">
        <v>17</v>
      </c>
      <c r="B461" s="988">
        <v>23468</v>
      </c>
      <c r="C461" s="987" t="s">
        <v>4630</v>
      </c>
      <c r="F461" s="990">
        <v>7.4999999999999997E-3</v>
      </c>
      <c r="H461" s="993">
        <v>3.7041666666666672E-3</v>
      </c>
      <c r="I461" s="986">
        <f t="shared" si="6"/>
        <v>3.7958333333333325E-3</v>
      </c>
      <c r="J461" s="988">
        <v>23468</v>
      </c>
    </row>
    <row r="462" spans="1:10" ht="13.8">
      <c r="A462" s="987">
        <v>17</v>
      </c>
      <c r="B462" s="988">
        <v>23498</v>
      </c>
      <c r="C462" s="987" t="s">
        <v>4630</v>
      </c>
      <c r="F462" s="990">
        <v>1.6199999999999999E-2</v>
      </c>
      <c r="H462" s="993">
        <v>3.7124999999999997E-3</v>
      </c>
      <c r="I462" s="986">
        <f t="shared" si="6"/>
        <v>1.2487499999999999E-2</v>
      </c>
      <c r="J462" s="988">
        <v>23498</v>
      </c>
    </row>
    <row r="463" spans="1:10" ht="13.8">
      <c r="A463" s="987">
        <v>17</v>
      </c>
      <c r="B463" s="988">
        <v>23529</v>
      </c>
      <c r="C463" s="987" t="s">
        <v>4630</v>
      </c>
      <c r="F463" s="990">
        <v>1.78E-2</v>
      </c>
      <c r="H463" s="993">
        <v>3.7166666666666663E-3</v>
      </c>
      <c r="I463" s="986">
        <f t="shared" si="6"/>
        <v>1.4083333333333333E-2</v>
      </c>
      <c r="J463" s="988">
        <v>23529</v>
      </c>
    </row>
    <row r="464" spans="1:10" ht="13.8">
      <c r="A464" s="987">
        <v>17</v>
      </c>
      <c r="B464" s="988">
        <v>23559</v>
      </c>
      <c r="C464" s="987" t="s">
        <v>4630</v>
      </c>
      <c r="F464" s="990">
        <v>1.95E-2</v>
      </c>
      <c r="H464" s="993">
        <v>3.7083333333333334E-3</v>
      </c>
      <c r="I464" s="986">
        <f t="shared" si="6"/>
        <v>1.5791666666666666E-2</v>
      </c>
      <c r="J464" s="988">
        <v>23559</v>
      </c>
    </row>
    <row r="465" spans="1:10" ht="13.8">
      <c r="A465" s="987">
        <v>17</v>
      </c>
      <c r="B465" s="988">
        <v>23590</v>
      </c>
      <c r="C465" s="987" t="s">
        <v>4630</v>
      </c>
      <c r="F465" s="990">
        <v>-1.18E-2</v>
      </c>
      <c r="H465" s="993">
        <v>3.7083333333333334E-3</v>
      </c>
      <c r="I465" s="986">
        <f t="shared" si="6"/>
        <v>-1.5508333333333332E-2</v>
      </c>
      <c r="J465" s="988">
        <v>23590</v>
      </c>
    </row>
    <row r="466" spans="1:10" ht="13.8">
      <c r="A466" s="987">
        <v>17</v>
      </c>
      <c r="B466" s="988">
        <v>23621</v>
      </c>
      <c r="C466" s="987" t="s">
        <v>4630</v>
      </c>
      <c r="F466" s="990">
        <v>3.0099999999999998E-2</v>
      </c>
      <c r="H466" s="993">
        <v>3.7083333333333334E-3</v>
      </c>
      <c r="I466" s="986">
        <f t="shared" si="6"/>
        <v>2.6391666666666664E-2</v>
      </c>
      <c r="J466" s="988">
        <v>23621</v>
      </c>
    </row>
    <row r="467" spans="1:10" ht="13.8">
      <c r="A467" s="987">
        <v>17</v>
      </c>
      <c r="B467" s="988">
        <v>23651</v>
      </c>
      <c r="C467" s="987" t="s">
        <v>4630</v>
      </c>
      <c r="F467" s="990">
        <v>9.5999999999999992E-3</v>
      </c>
      <c r="H467" s="993">
        <v>3.7125000000000001E-3</v>
      </c>
      <c r="I467" s="986">
        <f t="shared" si="6"/>
        <v>5.8874999999999986E-3</v>
      </c>
      <c r="J467" s="988">
        <v>23651</v>
      </c>
    </row>
    <row r="468" spans="1:10" ht="13.8">
      <c r="A468" s="987">
        <v>17</v>
      </c>
      <c r="B468" s="988">
        <v>23682</v>
      </c>
      <c r="C468" s="987" t="s">
        <v>4630</v>
      </c>
      <c r="F468" s="990">
        <v>5.0000000000000001E-4</v>
      </c>
      <c r="H468" s="993">
        <v>3.7166666666666672E-3</v>
      </c>
      <c r="I468" s="986">
        <f t="shared" si="6"/>
        <v>-3.2166666666666672E-3</v>
      </c>
      <c r="J468" s="988">
        <v>23682</v>
      </c>
    </row>
    <row r="469" spans="1:10" ht="13.8">
      <c r="A469" s="987">
        <v>17</v>
      </c>
      <c r="B469" s="988">
        <v>23712</v>
      </c>
      <c r="C469" s="987" t="s">
        <v>4630</v>
      </c>
      <c r="F469" s="990">
        <v>5.5999999999999999E-3</v>
      </c>
      <c r="H469" s="993">
        <v>3.7250000000000004E-3</v>
      </c>
      <c r="I469" s="986">
        <f t="shared" si="6"/>
        <v>1.8749999999999995E-3</v>
      </c>
      <c r="J469" s="988">
        <v>23712</v>
      </c>
    </row>
    <row r="470" spans="1:10" ht="13.8">
      <c r="A470" s="987">
        <v>17</v>
      </c>
      <c r="B470" s="988">
        <v>23743</v>
      </c>
      <c r="C470" s="987" t="s">
        <v>4630</v>
      </c>
      <c r="F470" s="990">
        <v>3.4500000000000003E-2</v>
      </c>
      <c r="H470" s="993">
        <v>3.7124999999999997E-3</v>
      </c>
      <c r="I470" s="986">
        <f t="shared" si="6"/>
        <v>3.0787500000000002E-2</v>
      </c>
      <c r="J470" s="988">
        <v>23743</v>
      </c>
    </row>
    <row r="471" spans="1:10" ht="13.8">
      <c r="A471" s="987">
        <v>17</v>
      </c>
      <c r="B471" s="988">
        <v>23774</v>
      </c>
      <c r="C471" s="987" t="s">
        <v>4630</v>
      </c>
      <c r="F471" s="990">
        <v>3.0999999999999999E-3</v>
      </c>
      <c r="H471" s="993">
        <v>3.6958333333333331E-3</v>
      </c>
      <c r="I471" s="986">
        <f t="shared" si="6"/>
        <v>-5.958333333333332E-4</v>
      </c>
      <c r="J471" s="988">
        <v>23774</v>
      </c>
    </row>
    <row r="472" spans="1:10" ht="13.8">
      <c r="A472" s="987">
        <v>17</v>
      </c>
      <c r="B472" s="988">
        <v>23802</v>
      </c>
      <c r="C472" s="987" t="s">
        <v>4630</v>
      </c>
      <c r="F472" s="990">
        <v>-1.3299999999999999E-2</v>
      </c>
      <c r="H472" s="993">
        <v>3.7083333333333334E-3</v>
      </c>
      <c r="I472" s="986">
        <f t="shared" si="6"/>
        <v>-1.7008333333333334E-2</v>
      </c>
      <c r="J472" s="988">
        <v>23802</v>
      </c>
    </row>
    <row r="473" spans="1:10" ht="13.8">
      <c r="A473" s="987">
        <v>17</v>
      </c>
      <c r="B473" s="988">
        <v>23833</v>
      </c>
      <c r="C473" s="987" t="s">
        <v>4630</v>
      </c>
      <c r="F473" s="990">
        <v>3.56E-2</v>
      </c>
      <c r="H473" s="993">
        <v>3.7124999999999997E-3</v>
      </c>
      <c r="I473" s="986">
        <f t="shared" si="6"/>
        <v>3.1887499999999999E-2</v>
      </c>
      <c r="J473" s="988">
        <v>23833</v>
      </c>
    </row>
    <row r="474" spans="1:10" ht="13.8">
      <c r="A474" s="987">
        <v>17</v>
      </c>
      <c r="B474" s="988">
        <v>23863</v>
      </c>
      <c r="C474" s="987" t="s">
        <v>4630</v>
      </c>
      <c r="F474" s="990">
        <v>-3.0000000000000001E-3</v>
      </c>
      <c r="H474" s="993">
        <v>3.7208333333333338E-3</v>
      </c>
      <c r="I474" s="986">
        <f t="shared" ref="I474:I537" si="7">F474-H474</f>
        <v>-6.7208333333333339E-3</v>
      </c>
      <c r="J474" s="988">
        <v>23863</v>
      </c>
    </row>
    <row r="475" spans="1:10" ht="13.8">
      <c r="A475" s="987">
        <v>17</v>
      </c>
      <c r="B475" s="988">
        <v>23894</v>
      </c>
      <c r="C475" s="987" t="s">
        <v>4630</v>
      </c>
      <c r="F475" s="990">
        <v>-4.7300000000000002E-2</v>
      </c>
      <c r="H475" s="993">
        <v>3.7416666666666666E-3</v>
      </c>
      <c r="I475" s="986">
        <f t="shared" si="7"/>
        <v>-5.1041666666666666E-2</v>
      </c>
      <c r="J475" s="988">
        <v>23894</v>
      </c>
    </row>
    <row r="476" spans="1:10" ht="13.8">
      <c r="A476" s="987">
        <v>17</v>
      </c>
      <c r="B476" s="988">
        <v>23924</v>
      </c>
      <c r="C476" s="987" t="s">
        <v>4630</v>
      </c>
      <c r="F476" s="990">
        <v>1.47E-2</v>
      </c>
      <c r="H476" s="993">
        <v>3.7666666666666664E-3</v>
      </c>
      <c r="I476" s="986">
        <f t="shared" si="7"/>
        <v>1.0933333333333333E-2</v>
      </c>
      <c r="J476" s="988">
        <v>23924</v>
      </c>
    </row>
    <row r="477" spans="1:10" ht="13.8">
      <c r="A477" s="987">
        <v>17</v>
      </c>
      <c r="B477" s="988">
        <v>23955</v>
      </c>
      <c r="C477" s="987" t="s">
        <v>4630</v>
      </c>
      <c r="F477" s="990">
        <v>2.7199999999999998E-2</v>
      </c>
      <c r="H477" s="993">
        <v>3.7833333333333334E-3</v>
      </c>
      <c r="I477" s="986">
        <f t="shared" si="7"/>
        <v>2.3416666666666665E-2</v>
      </c>
      <c r="J477" s="988">
        <v>23955</v>
      </c>
    </row>
    <row r="478" spans="1:10" ht="13.8">
      <c r="A478" s="987">
        <v>17</v>
      </c>
      <c r="B478" s="988">
        <v>23986</v>
      </c>
      <c r="C478" s="987" t="s">
        <v>4630</v>
      </c>
      <c r="F478" s="990">
        <v>3.3399999999999999E-2</v>
      </c>
      <c r="H478" s="993">
        <v>3.8124999999999999E-3</v>
      </c>
      <c r="I478" s="986">
        <f t="shared" si="7"/>
        <v>2.9587499999999999E-2</v>
      </c>
      <c r="J478" s="988">
        <v>23986</v>
      </c>
    </row>
    <row r="479" spans="1:10" ht="13.8">
      <c r="A479" s="987">
        <v>17</v>
      </c>
      <c r="B479" s="988">
        <v>24016</v>
      </c>
      <c r="C479" s="987" t="s">
        <v>4630</v>
      </c>
      <c r="F479" s="990">
        <v>2.8899999999999999E-2</v>
      </c>
      <c r="H479" s="993">
        <v>3.8416666666666664E-3</v>
      </c>
      <c r="I479" s="986">
        <f t="shared" si="7"/>
        <v>2.5058333333333332E-2</v>
      </c>
      <c r="J479" s="988">
        <v>24016</v>
      </c>
    </row>
    <row r="480" spans="1:10" ht="13.8">
      <c r="A480" s="987">
        <v>17</v>
      </c>
      <c r="B480" s="988">
        <v>24047</v>
      </c>
      <c r="C480" s="987" t="s">
        <v>4630</v>
      </c>
      <c r="F480" s="990">
        <v>-3.0999999999999999E-3</v>
      </c>
      <c r="H480" s="993">
        <v>3.8708333333333333E-3</v>
      </c>
      <c r="I480" s="986">
        <f t="shared" si="7"/>
        <v>-6.9708333333333332E-3</v>
      </c>
      <c r="J480" s="988">
        <v>24047</v>
      </c>
    </row>
    <row r="481" spans="1:10" ht="13.8">
      <c r="A481" s="987">
        <v>17</v>
      </c>
      <c r="B481" s="988">
        <v>24077</v>
      </c>
      <c r="C481" s="987" t="s">
        <v>4630</v>
      </c>
      <c r="F481" s="990">
        <v>1.06E-2</v>
      </c>
      <c r="H481" s="993">
        <v>3.9499999999999995E-3</v>
      </c>
      <c r="I481" s="986">
        <f t="shared" si="7"/>
        <v>6.6500000000000005E-3</v>
      </c>
      <c r="J481" s="988">
        <v>24077</v>
      </c>
    </row>
    <row r="482" spans="1:10" ht="13.8">
      <c r="A482" s="987">
        <v>17</v>
      </c>
      <c r="B482" s="988">
        <v>24108</v>
      </c>
      <c r="C482" s="987" t="s">
        <v>4630</v>
      </c>
      <c r="F482" s="990">
        <v>6.1999999999999998E-3</v>
      </c>
      <c r="H482" s="993">
        <v>3.9875000000000006E-3</v>
      </c>
      <c r="I482" s="986">
        <f t="shared" si="7"/>
        <v>2.2124999999999992E-3</v>
      </c>
      <c r="J482" s="988">
        <v>24108</v>
      </c>
    </row>
    <row r="483" spans="1:10" ht="13.8">
      <c r="A483" s="987">
        <v>17</v>
      </c>
      <c r="B483" s="988">
        <v>24139</v>
      </c>
      <c r="C483" s="987" t="s">
        <v>4630</v>
      </c>
      <c r="F483" s="990">
        <v>-1.3100000000000001E-2</v>
      </c>
      <c r="H483" s="993">
        <v>4.0333333333333341E-3</v>
      </c>
      <c r="I483" s="986">
        <f t="shared" si="7"/>
        <v>-1.7133333333333334E-2</v>
      </c>
      <c r="J483" s="988">
        <v>24139</v>
      </c>
    </row>
    <row r="484" spans="1:10" ht="13.8">
      <c r="A484" s="987">
        <v>17</v>
      </c>
      <c r="B484" s="988">
        <v>24167</v>
      </c>
      <c r="C484" s="987" t="s">
        <v>4630</v>
      </c>
      <c r="F484" s="990">
        <v>-2.0500000000000001E-2</v>
      </c>
      <c r="H484" s="993">
        <v>4.1541666666666663E-3</v>
      </c>
      <c r="I484" s="986">
        <f t="shared" si="7"/>
        <v>-2.4654166666666668E-2</v>
      </c>
      <c r="J484" s="988">
        <v>24167</v>
      </c>
    </row>
    <row r="485" spans="1:10" ht="13.8">
      <c r="A485" s="987">
        <v>17</v>
      </c>
      <c r="B485" s="988">
        <v>24198</v>
      </c>
      <c r="C485" s="987" t="s">
        <v>4630</v>
      </c>
      <c r="F485" s="990">
        <v>2.1999999999999999E-2</v>
      </c>
      <c r="H485" s="993">
        <v>4.179166666666667E-3</v>
      </c>
      <c r="I485" s="986">
        <f t="shared" si="7"/>
        <v>1.7820833333333331E-2</v>
      </c>
      <c r="J485" s="988">
        <v>24198</v>
      </c>
    </row>
    <row r="486" spans="1:10" ht="13.8">
      <c r="A486" s="987">
        <v>17</v>
      </c>
      <c r="B486" s="988">
        <v>24228</v>
      </c>
      <c r="C486" s="987" t="s">
        <v>4630</v>
      </c>
      <c r="F486" s="990">
        <v>-4.9200000000000001E-2</v>
      </c>
      <c r="H486" s="993">
        <v>4.2000000000000006E-3</v>
      </c>
      <c r="I486" s="986">
        <f t="shared" si="7"/>
        <v>-5.3400000000000003E-2</v>
      </c>
      <c r="J486" s="988">
        <v>24228</v>
      </c>
    </row>
    <row r="487" spans="1:10" ht="13.8">
      <c r="A487" s="987">
        <v>17</v>
      </c>
      <c r="B487" s="988">
        <v>24259</v>
      </c>
      <c r="C487" s="987" t="s">
        <v>4630</v>
      </c>
      <c r="F487" s="990">
        <v>-1.46E-2</v>
      </c>
      <c r="H487" s="993">
        <v>4.2624999999999998E-3</v>
      </c>
      <c r="I487" s="986">
        <f t="shared" si="7"/>
        <v>-1.8862500000000001E-2</v>
      </c>
      <c r="J487" s="988">
        <v>24259</v>
      </c>
    </row>
    <row r="488" spans="1:10" ht="13.8">
      <c r="A488" s="987">
        <v>17</v>
      </c>
      <c r="B488" s="988">
        <v>24289</v>
      </c>
      <c r="C488" s="987" t="s">
        <v>4630</v>
      </c>
      <c r="F488" s="990">
        <v>-1.2E-2</v>
      </c>
      <c r="H488" s="993">
        <v>4.3374999999999993E-3</v>
      </c>
      <c r="I488" s="986">
        <f t="shared" si="7"/>
        <v>-1.6337499999999998E-2</v>
      </c>
      <c r="J488" s="988">
        <v>24289</v>
      </c>
    </row>
    <row r="489" spans="1:10" ht="13.8">
      <c r="A489" s="987">
        <v>17</v>
      </c>
      <c r="B489" s="988">
        <v>24320</v>
      </c>
      <c r="C489" s="987" t="s">
        <v>4630</v>
      </c>
      <c r="F489" s="990">
        <v>-7.2499999999999995E-2</v>
      </c>
      <c r="H489" s="993">
        <v>4.4541666666666662E-3</v>
      </c>
      <c r="I489" s="986">
        <f t="shared" si="7"/>
        <v>-7.6954166666666657E-2</v>
      </c>
      <c r="J489" s="988">
        <v>24320</v>
      </c>
    </row>
    <row r="490" spans="1:10" ht="13.8">
      <c r="A490" s="987">
        <v>17</v>
      </c>
      <c r="B490" s="988">
        <v>24351</v>
      </c>
      <c r="C490" s="987" t="s">
        <v>4630</v>
      </c>
      <c r="F490" s="990">
        <v>-5.3E-3</v>
      </c>
      <c r="H490" s="993">
        <v>4.6125000000000003E-3</v>
      </c>
      <c r="I490" s="986">
        <f t="shared" si="7"/>
        <v>-9.9125000000000012E-3</v>
      </c>
      <c r="J490" s="988">
        <v>24351</v>
      </c>
    </row>
    <row r="491" spans="1:10" ht="13.8">
      <c r="A491" s="987">
        <v>17</v>
      </c>
      <c r="B491" s="988">
        <v>24381</v>
      </c>
      <c r="C491" s="987" t="s">
        <v>4630</v>
      </c>
      <c r="F491" s="990">
        <v>4.9399999999999999E-2</v>
      </c>
      <c r="H491" s="993">
        <v>4.5458333333333331E-3</v>
      </c>
      <c r="I491" s="986">
        <f t="shared" si="7"/>
        <v>4.4854166666666667E-2</v>
      </c>
      <c r="J491" s="988">
        <v>24381</v>
      </c>
    </row>
    <row r="492" spans="1:10" ht="13.8">
      <c r="A492" s="987">
        <v>17</v>
      </c>
      <c r="B492" s="988">
        <v>24412</v>
      </c>
      <c r="C492" s="987" t="s">
        <v>4630</v>
      </c>
      <c r="F492" s="990">
        <v>9.4999999999999998E-3</v>
      </c>
      <c r="H492" s="993">
        <v>4.5041666666666667E-3</v>
      </c>
      <c r="I492" s="986">
        <f t="shared" si="7"/>
        <v>4.995833333333333E-3</v>
      </c>
      <c r="J492" s="988">
        <v>24412</v>
      </c>
    </row>
    <row r="493" spans="1:10" ht="13.8">
      <c r="A493" s="987">
        <v>17</v>
      </c>
      <c r="B493" s="988">
        <v>24442</v>
      </c>
      <c r="C493" s="987" t="s">
        <v>4630</v>
      </c>
      <c r="F493" s="990">
        <v>2.0000000000000001E-4</v>
      </c>
      <c r="H493" s="993">
        <v>4.5291666666666666E-3</v>
      </c>
      <c r="I493" s="986">
        <f t="shared" si="7"/>
        <v>-4.3291666666666669E-3</v>
      </c>
      <c r="J493" s="988">
        <v>24442</v>
      </c>
    </row>
    <row r="494" spans="1:10" ht="13.8">
      <c r="A494" s="987">
        <v>17</v>
      </c>
      <c r="B494" s="988">
        <v>24473</v>
      </c>
      <c r="C494" s="987" t="s">
        <v>4630</v>
      </c>
      <c r="F494" s="990">
        <v>7.9799999999999996E-2</v>
      </c>
      <c r="H494" s="993">
        <v>4.3750000000000004E-3</v>
      </c>
      <c r="I494" s="986">
        <f t="shared" si="7"/>
        <v>7.5424999999999992E-2</v>
      </c>
      <c r="J494" s="988">
        <v>24473</v>
      </c>
    </row>
    <row r="495" spans="1:10" ht="13.8">
      <c r="A495" s="987">
        <v>17</v>
      </c>
      <c r="B495" s="988">
        <v>24504</v>
      </c>
      <c r="C495" s="987" t="s">
        <v>4630</v>
      </c>
      <c r="F495" s="990">
        <v>7.1999999999999998E-3</v>
      </c>
      <c r="H495" s="993">
        <v>4.2541666666666665E-3</v>
      </c>
      <c r="I495" s="986">
        <f t="shared" si="7"/>
        <v>2.9458333333333333E-3</v>
      </c>
      <c r="J495" s="988">
        <v>24504</v>
      </c>
    </row>
    <row r="496" spans="1:10" ht="13.8">
      <c r="A496" s="987">
        <v>17</v>
      </c>
      <c r="B496" s="988">
        <v>24532</v>
      </c>
      <c r="C496" s="987" t="s">
        <v>4630</v>
      </c>
      <c r="F496" s="990">
        <v>4.0899999999999999E-2</v>
      </c>
      <c r="H496" s="993">
        <v>4.3166666666666666E-3</v>
      </c>
      <c r="I496" s="986">
        <f t="shared" si="7"/>
        <v>3.6583333333333329E-2</v>
      </c>
      <c r="J496" s="988">
        <v>24532</v>
      </c>
    </row>
    <row r="497" spans="1:10" ht="13.8">
      <c r="A497" s="987">
        <v>17</v>
      </c>
      <c r="B497" s="988">
        <v>24563</v>
      </c>
      <c r="C497" s="987" t="s">
        <v>4630</v>
      </c>
      <c r="F497" s="990">
        <v>4.3700000000000003E-2</v>
      </c>
      <c r="H497" s="993">
        <v>4.3208333333333328E-3</v>
      </c>
      <c r="I497" s="986">
        <f t="shared" si="7"/>
        <v>3.9379166666666673E-2</v>
      </c>
      <c r="J497" s="988">
        <v>24563</v>
      </c>
    </row>
    <row r="498" spans="1:10" ht="13.8">
      <c r="A498" s="987">
        <v>17</v>
      </c>
      <c r="B498" s="988">
        <v>24593</v>
      </c>
      <c r="C498" s="987" t="s">
        <v>4630</v>
      </c>
      <c r="F498" s="990">
        <v>-4.7699999999999999E-2</v>
      </c>
      <c r="H498" s="993">
        <v>4.4416666666666667E-3</v>
      </c>
      <c r="I498" s="986">
        <f t="shared" si="7"/>
        <v>-5.2141666666666669E-2</v>
      </c>
      <c r="J498" s="988">
        <v>24593</v>
      </c>
    </row>
    <row r="499" spans="1:10" ht="13.8">
      <c r="A499" s="987">
        <v>17</v>
      </c>
      <c r="B499" s="988">
        <v>24624</v>
      </c>
      <c r="C499" s="987" t="s">
        <v>4630</v>
      </c>
      <c r="F499" s="990">
        <v>1.9E-2</v>
      </c>
      <c r="H499" s="993">
        <v>4.6125000000000003E-3</v>
      </c>
      <c r="I499" s="986">
        <f t="shared" si="7"/>
        <v>1.4387499999999999E-2</v>
      </c>
      <c r="J499" s="988">
        <v>24624</v>
      </c>
    </row>
    <row r="500" spans="1:10" ht="13.8">
      <c r="A500" s="987">
        <v>17</v>
      </c>
      <c r="B500" s="988">
        <v>24654</v>
      </c>
      <c r="C500" s="987" t="s">
        <v>4630</v>
      </c>
      <c r="F500" s="990">
        <v>4.6800000000000001E-2</v>
      </c>
      <c r="H500" s="993">
        <v>4.7083333333333335E-3</v>
      </c>
      <c r="I500" s="986">
        <f t="shared" si="7"/>
        <v>4.2091666666666666E-2</v>
      </c>
      <c r="J500" s="988">
        <v>24654</v>
      </c>
    </row>
    <row r="501" spans="1:10" ht="13.8">
      <c r="A501" s="987">
        <v>17</v>
      </c>
      <c r="B501" s="988">
        <v>24685</v>
      </c>
      <c r="C501" s="987" t="s">
        <v>4630</v>
      </c>
      <c r="F501" s="990">
        <v>-7.0000000000000001E-3</v>
      </c>
      <c r="H501" s="993">
        <v>4.7416666666666666E-3</v>
      </c>
      <c r="I501" s="986">
        <f t="shared" si="7"/>
        <v>-1.1741666666666668E-2</v>
      </c>
      <c r="J501" s="988">
        <v>24685</v>
      </c>
    </row>
    <row r="502" spans="1:10" ht="13.8">
      <c r="A502" s="987">
        <v>17</v>
      </c>
      <c r="B502" s="988">
        <v>24716</v>
      </c>
      <c r="C502" s="987" t="s">
        <v>4630</v>
      </c>
      <c r="F502" s="990">
        <v>3.4200000000000001E-2</v>
      </c>
      <c r="H502" s="993">
        <v>4.8000000000000004E-3</v>
      </c>
      <c r="I502" s="986">
        <f t="shared" si="7"/>
        <v>2.9400000000000003E-2</v>
      </c>
      <c r="J502" s="988">
        <v>24716</v>
      </c>
    </row>
    <row r="503" spans="1:10" ht="13.8">
      <c r="A503" s="987">
        <v>17</v>
      </c>
      <c r="B503" s="988">
        <v>24746</v>
      </c>
      <c r="C503" s="987" t="s">
        <v>4630</v>
      </c>
      <c r="F503" s="990">
        <v>-2.76E-2</v>
      </c>
      <c r="H503" s="993">
        <v>4.9291666666666668E-3</v>
      </c>
      <c r="I503" s="986">
        <f t="shared" si="7"/>
        <v>-3.2529166666666665E-2</v>
      </c>
      <c r="J503" s="988">
        <v>24746</v>
      </c>
    </row>
    <row r="504" spans="1:10" ht="13.8">
      <c r="A504" s="987">
        <v>17</v>
      </c>
      <c r="B504" s="988">
        <v>24777</v>
      </c>
      <c r="C504" s="987" t="s">
        <v>4630</v>
      </c>
      <c r="F504" s="990">
        <v>6.4999999999999997E-3</v>
      </c>
      <c r="H504" s="993">
        <v>5.1249999999999993E-3</v>
      </c>
      <c r="I504" s="986">
        <f t="shared" si="7"/>
        <v>1.3750000000000004E-3</v>
      </c>
      <c r="J504" s="988">
        <v>24777</v>
      </c>
    </row>
    <row r="505" spans="1:10" ht="13.8">
      <c r="A505" s="987">
        <v>17</v>
      </c>
      <c r="B505" s="988">
        <v>24807</v>
      </c>
      <c r="C505" s="987" t="s">
        <v>4630</v>
      </c>
      <c r="F505" s="990">
        <v>2.7799999999999998E-2</v>
      </c>
      <c r="H505" s="993">
        <v>5.2249999999999996E-3</v>
      </c>
      <c r="I505" s="986">
        <f t="shared" si="7"/>
        <v>2.2574999999999998E-2</v>
      </c>
      <c r="J505" s="988">
        <v>24807</v>
      </c>
    </row>
    <row r="506" spans="1:10" ht="13.8">
      <c r="A506" s="987">
        <v>17</v>
      </c>
      <c r="B506" s="988">
        <v>24838</v>
      </c>
      <c r="C506" s="987" t="s">
        <v>4630</v>
      </c>
      <c r="F506" s="990">
        <v>-4.2500000000000003E-2</v>
      </c>
      <c r="H506" s="993">
        <v>5.1916666666666665E-3</v>
      </c>
      <c r="I506" s="986">
        <f t="shared" si="7"/>
        <v>-4.7691666666666667E-2</v>
      </c>
      <c r="J506" s="988">
        <v>24838</v>
      </c>
    </row>
    <row r="507" spans="1:10" ht="13.8">
      <c r="A507" s="987">
        <v>17</v>
      </c>
      <c r="B507" s="988">
        <v>24869</v>
      </c>
      <c r="C507" s="987" t="s">
        <v>4630</v>
      </c>
      <c r="F507" s="990">
        <v>-2.6100000000000002E-2</v>
      </c>
      <c r="H507" s="993">
        <v>5.1541666666666663E-3</v>
      </c>
      <c r="I507" s="986">
        <f t="shared" si="7"/>
        <v>-3.1254166666666666E-2</v>
      </c>
      <c r="J507" s="988">
        <v>24869</v>
      </c>
    </row>
    <row r="508" spans="1:10" ht="13.8">
      <c r="A508" s="987">
        <v>17</v>
      </c>
      <c r="B508" s="988">
        <v>24898</v>
      </c>
      <c r="C508" s="987" t="s">
        <v>4630</v>
      </c>
      <c r="F508" s="990">
        <v>1.0999999999999999E-2</v>
      </c>
      <c r="H508" s="993">
        <v>5.1624999999999996E-3</v>
      </c>
      <c r="I508" s="986">
        <f t="shared" si="7"/>
        <v>5.8374999999999998E-3</v>
      </c>
      <c r="J508" s="988">
        <v>24898</v>
      </c>
    </row>
    <row r="509" spans="1:10" ht="13.8">
      <c r="A509" s="987">
        <v>17</v>
      </c>
      <c r="B509" s="988">
        <v>24929</v>
      </c>
      <c r="C509" s="987" t="s">
        <v>4630</v>
      </c>
      <c r="F509" s="990">
        <v>8.3400000000000002E-2</v>
      </c>
      <c r="H509" s="993">
        <v>5.2458333333333333E-3</v>
      </c>
      <c r="I509" s="986">
        <f t="shared" si="7"/>
        <v>7.8154166666666663E-2</v>
      </c>
      <c r="J509" s="988">
        <v>24929</v>
      </c>
    </row>
    <row r="510" spans="1:10" ht="13.8">
      <c r="A510" s="987">
        <v>17</v>
      </c>
      <c r="B510" s="988">
        <v>24959</v>
      </c>
      <c r="C510" s="987" t="s">
        <v>4630</v>
      </c>
      <c r="F510" s="990">
        <v>1.61E-2</v>
      </c>
      <c r="H510" s="993">
        <v>5.3125000000000004E-3</v>
      </c>
      <c r="I510" s="986">
        <f t="shared" si="7"/>
        <v>1.0787499999999998E-2</v>
      </c>
      <c r="J510" s="988">
        <v>24959</v>
      </c>
    </row>
    <row r="511" spans="1:10" ht="13.8">
      <c r="A511" s="987">
        <v>17</v>
      </c>
      <c r="B511" s="988">
        <v>24990</v>
      </c>
      <c r="C511" s="987" t="s">
        <v>4630</v>
      </c>
      <c r="F511" s="990">
        <v>1.0500000000000001E-2</v>
      </c>
      <c r="H511" s="993">
        <v>5.3249999999999999E-3</v>
      </c>
      <c r="I511" s="986">
        <f t="shared" si="7"/>
        <v>5.1750000000000008E-3</v>
      </c>
      <c r="J511" s="988">
        <v>24990</v>
      </c>
    </row>
    <row r="512" spans="1:10" ht="13.8">
      <c r="A512" s="987">
        <v>17</v>
      </c>
      <c r="B512" s="988">
        <v>25020</v>
      </c>
      <c r="C512" s="987" t="s">
        <v>4630</v>
      </c>
      <c r="F512" s="990">
        <v>-1.72E-2</v>
      </c>
      <c r="H512" s="993">
        <v>5.2875000000000005E-3</v>
      </c>
      <c r="I512" s="986">
        <f t="shared" si="7"/>
        <v>-2.2487500000000001E-2</v>
      </c>
      <c r="J512" s="988">
        <v>25020</v>
      </c>
    </row>
    <row r="513" spans="1:10" ht="13.8">
      <c r="A513" s="987">
        <v>17</v>
      </c>
      <c r="B513" s="988">
        <v>25051</v>
      </c>
      <c r="C513" s="987" t="s">
        <v>4630</v>
      </c>
      <c r="F513" s="990">
        <v>1.6400000000000001E-2</v>
      </c>
      <c r="H513" s="993">
        <v>5.1124999999999999E-3</v>
      </c>
      <c r="I513" s="986">
        <f t="shared" si="7"/>
        <v>1.1287500000000002E-2</v>
      </c>
      <c r="J513" s="988">
        <v>25051</v>
      </c>
    </row>
    <row r="514" spans="1:10" ht="13.8">
      <c r="A514" s="987">
        <v>17</v>
      </c>
      <c r="B514" s="988">
        <v>25082</v>
      </c>
      <c r="C514" s="987" t="s">
        <v>4630</v>
      </c>
      <c r="F514" s="990">
        <v>0.04</v>
      </c>
      <c r="H514" s="993">
        <v>5.0833333333333329E-3</v>
      </c>
      <c r="I514" s="986">
        <f t="shared" si="7"/>
        <v>3.4916666666666665E-2</v>
      </c>
      <c r="J514" s="988">
        <v>25082</v>
      </c>
    </row>
    <row r="515" spans="1:10" ht="13.8">
      <c r="A515" s="987">
        <v>17</v>
      </c>
      <c r="B515" s="988">
        <v>25112</v>
      </c>
      <c r="C515" s="987" t="s">
        <v>4630</v>
      </c>
      <c r="F515" s="990">
        <v>8.6999999999999994E-3</v>
      </c>
      <c r="H515" s="993">
        <v>5.1708333333333337E-3</v>
      </c>
      <c r="I515" s="986">
        <f t="shared" si="7"/>
        <v>3.5291666666666657E-3</v>
      </c>
      <c r="J515" s="988">
        <v>25112</v>
      </c>
    </row>
    <row r="516" spans="1:10" ht="13.8">
      <c r="A516" s="987">
        <v>17</v>
      </c>
      <c r="B516" s="988">
        <v>25143</v>
      </c>
      <c r="C516" s="987" t="s">
        <v>4630</v>
      </c>
      <c r="F516" s="990">
        <v>5.3100000000000001E-2</v>
      </c>
      <c r="H516" s="993">
        <v>5.266666666666666E-3</v>
      </c>
      <c r="I516" s="986">
        <f t="shared" si="7"/>
        <v>4.7833333333333339E-2</v>
      </c>
      <c r="J516" s="988">
        <v>25143</v>
      </c>
    </row>
    <row r="517" spans="1:10" ht="13.8">
      <c r="A517" s="987">
        <v>17</v>
      </c>
      <c r="B517" s="988">
        <v>25173</v>
      </c>
      <c r="C517" s="987" t="s">
        <v>4630</v>
      </c>
      <c r="F517" s="990">
        <v>-4.02E-2</v>
      </c>
      <c r="H517" s="993">
        <v>5.4625000000000003E-3</v>
      </c>
      <c r="I517" s="986">
        <f t="shared" si="7"/>
        <v>-4.5662500000000002E-2</v>
      </c>
      <c r="J517" s="988">
        <v>25173</v>
      </c>
    </row>
    <row r="518" spans="1:10" ht="13.8">
      <c r="A518" s="987">
        <v>17</v>
      </c>
      <c r="B518" s="988">
        <v>25204</v>
      </c>
      <c r="C518" s="987" t="s">
        <v>4630</v>
      </c>
      <c r="F518" s="990">
        <v>-6.7999999999999996E-3</v>
      </c>
      <c r="H518" s="993">
        <v>5.5500000000000002E-3</v>
      </c>
      <c r="I518" s="986">
        <f t="shared" si="7"/>
        <v>-1.235E-2</v>
      </c>
      <c r="J518" s="988">
        <v>25204</v>
      </c>
    </row>
    <row r="519" spans="1:10" ht="13.8">
      <c r="A519" s="987">
        <v>17</v>
      </c>
      <c r="B519" s="988">
        <v>25235</v>
      </c>
      <c r="C519" s="987" t="s">
        <v>4630</v>
      </c>
      <c r="F519" s="990">
        <v>-4.2599999999999999E-2</v>
      </c>
      <c r="H519" s="993">
        <v>5.5958333333333329E-3</v>
      </c>
      <c r="I519" s="986">
        <f t="shared" si="7"/>
        <v>-4.8195833333333334E-2</v>
      </c>
      <c r="J519" s="988">
        <v>25235</v>
      </c>
    </row>
    <row r="520" spans="1:10" ht="13.8">
      <c r="A520" s="987">
        <v>17</v>
      </c>
      <c r="B520" s="988">
        <v>25263</v>
      </c>
      <c r="C520" s="987" t="s">
        <v>4630</v>
      </c>
      <c r="F520" s="990">
        <v>3.5900000000000001E-2</v>
      </c>
      <c r="H520" s="993">
        <v>5.7499999999999999E-3</v>
      </c>
      <c r="I520" s="986">
        <f t="shared" si="7"/>
        <v>3.0150000000000003E-2</v>
      </c>
      <c r="J520" s="988">
        <v>25263</v>
      </c>
    </row>
    <row r="521" spans="1:10" ht="13.8">
      <c r="A521" s="987">
        <v>17</v>
      </c>
      <c r="B521" s="988">
        <v>25294</v>
      </c>
      <c r="C521" s="987" t="s">
        <v>4630</v>
      </c>
      <c r="F521" s="990">
        <v>2.29E-2</v>
      </c>
      <c r="H521" s="993">
        <v>5.7958333333333334E-3</v>
      </c>
      <c r="I521" s="986">
        <f t="shared" si="7"/>
        <v>1.7104166666666667E-2</v>
      </c>
      <c r="J521" s="988">
        <v>25294</v>
      </c>
    </row>
    <row r="522" spans="1:10" ht="13.8">
      <c r="A522" s="987">
        <v>17</v>
      </c>
      <c r="B522" s="988">
        <v>25324</v>
      </c>
      <c r="C522" s="987" t="s">
        <v>4630</v>
      </c>
      <c r="F522" s="990">
        <v>2.5999999999999999E-3</v>
      </c>
      <c r="H522" s="993">
        <v>5.7291666666666663E-3</v>
      </c>
      <c r="I522" s="986">
        <f t="shared" si="7"/>
        <v>-3.1291666666666664E-3</v>
      </c>
      <c r="J522" s="988">
        <v>25324</v>
      </c>
    </row>
    <row r="523" spans="1:10" ht="13.8">
      <c r="A523" s="987">
        <v>17</v>
      </c>
      <c r="B523" s="988">
        <v>25355</v>
      </c>
      <c r="C523" s="987" t="s">
        <v>4630</v>
      </c>
      <c r="F523" s="990">
        <v>-5.4199999999999998E-2</v>
      </c>
      <c r="H523" s="993">
        <v>5.875E-3</v>
      </c>
      <c r="I523" s="986">
        <f t="shared" si="7"/>
        <v>-6.0074999999999996E-2</v>
      </c>
      <c r="J523" s="988">
        <v>25355</v>
      </c>
    </row>
    <row r="524" spans="1:10" ht="13.8">
      <c r="A524" s="987">
        <v>17</v>
      </c>
      <c r="B524" s="988">
        <v>25385</v>
      </c>
      <c r="C524" s="987" t="s">
        <v>4630</v>
      </c>
      <c r="F524" s="990">
        <v>-5.8700000000000002E-2</v>
      </c>
      <c r="H524" s="993">
        <v>5.966666666666667E-3</v>
      </c>
      <c r="I524" s="986">
        <f t="shared" si="7"/>
        <v>-6.4666666666666664E-2</v>
      </c>
      <c r="J524" s="988">
        <v>25385</v>
      </c>
    </row>
    <row r="525" spans="1:10" ht="13.8">
      <c r="A525" s="987">
        <v>17</v>
      </c>
      <c r="B525" s="988">
        <v>25416</v>
      </c>
      <c r="C525" s="987" t="s">
        <v>4630</v>
      </c>
      <c r="F525" s="990">
        <v>4.5400000000000003E-2</v>
      </c>
      <c r="H525" s="993">
        <v>5.9166666666666664E-3</v>
      </c>
      <c r="I525" s="986">
        <f t="shared" si="7"/>
        <v>3.9483333333333336E-2</v>
      </c>
      <c r="J525" s="988">
        <v>25416</v>
      </c>
    </row>
    <row r="526" spans="1:10" ht="13.8">
      <c r="A526" s="987">
        <v>17</v>
      </c>
      <c r="B526" s="988">
        <v>25447</v>
      </c>
      <c r="C526" s="987" t="s">
        <v>4630</v>
      </c>
      <c r="F526" s="990">
        <v>-2.3599999999999999E-2</v>
      </c>
      <c r="H526" s="993">
        <v>6.0416666666666674E-3</v>
      </c>
      <c r="I526" s="986">
        <f t="shared" si="7"/>
        <v>-2.9641666666666667E-2</v>
      </c>
      <c r="J526" s="988">
        <v>25447</v>
      </c>
    </row>
    <row r="527" spans="1:10" ht="13.8">
      <c r="A527" s="987">
        <v>17</v>
      </c>
      <c r="B527" s="988">
        <v>25477</v>
      </c>
      <c r="C527" s="987" t="s">
        <v>4630</v>
      </c>
      <c r="F527" s="990">
        <v>4.5900000000000003E-2</v>
      </c>
      <c r="H527" s="993">
        <v>6.1916666666666665E-3</v>
      </c>
      <c r="I527" s="986">
        <f t="shared" si="7"/>
        <v>3.9708333333333339E-2</v>
      </c>
      <c r="J527" s="988">
        <v>25477</v>
      </c>
    </row>
    <row r="528" spans="1:10" ht="13.8">
      <c r="A528" s="987">
        <v>17</v>
      </c>
      <c r="B528" s="988">
        <v>25508</v>
      </c>
      <c r="C528" s="987" t="s">
        <v>4630</v>
      </c>
      <c r="F528" s="990">
        <v>-2.9700000000000001E-2</v>
      </c>
      <c r="H528" s="993">
        <v>6.2208333333333334E-3</v>
      </c>
      <c r="I528" s="986">
        <f t="shared" si="7"/>
        <v>-3.5920833333333332E-2</v>
      </c>
      <c r="J528" s="988">
        <v>25508</v>
      </c>
    </row>
    <row r="529" spans="1:10" ht="13.8">
      <c r="A529" s="987">
        <v>17</v>
      </c>
      <c r="B529" s="988">
        <v>25538</v>
      </c>
      <c r="C529" s="987" t="s">
        <v>4630</v>
      </c>
      <c r="F529" s="990">
        <v>-1.77E-2</v>
      </c>
      <c r="H529" s="993">
        <v>6.5208333333333333E-3</v>
      </c>
      <c r="I529" s="986">
        <f t="shared" si="7"/>
        <v>-2.4220833333333334E-2</v>
      </c>
      <c r="J529" s="988">
        <v>25538</v>
      </c>
    </row>
    <row r="530" spans="1:10" ht="13.8">
      <c r="A530" s="987">
        <v>17</v>
      </c>
      <c r="B530" s="988">
        <v>25569</v>
      </c>
      <c r="C530" s="987" t="s">
        <v>4630</v>
      </c>
      <c r="F530" s="990">
        <v>-7.4300000000000005E-2</v>
      </c>
      <c r="H530" s="993">
        <v>6.6916666666666669E-3</v>
      </c>
      <c r="I530" s="986">
        <f t="shared" si="7"/>
        <v>-8.099166666666667E-2</v>
      </c>
      <c r="J530" s="988">
        <v>25569</v>
      </c>
    </row>
    <row r="531" spans="1:10" ht="13.8">
      <c r="A531" s="987">
        <v>17</v>
      </c>
      <c r="B531" s="988">
        <v>25600</v>
      </c>
      <c r="C531" s="987" t="s">
        <v>4630</v>
      </c>
      <c r="F531" s="990">
        <v>5.8599999999999999E-2</v>
      </c>
      <c r="H531" s="993">
        <v>6.6916666666666669E-3</v>
      </c>
      <c r="I531" s="986">
        <f t="shared" si="7"/>
        <v>5.1908333333333334E-2</v>
      </c>
      <c r="J531" s="988">
        <v>25600</v>
      </c>
    </row>
    <row r="532" spans="1:10" ht="13.8">
      <c r="A532" s="987">
        <v>17</v>
      </c>
      <c r="B532" s="988">
        <v>25628</v>
      </c>
      <c r="C532" s="987" t="s">
        <v>4630</v>
      </c>
      <c r="F532" s="990">
        <v>3.0000000000000001E-3</v>
      </c>
      <c r="H532" s="993">
        <v>6.6250000000000007E-3</v>
      </c>
      <c r="I532" s="986">
        <f t="shared" si="7"/>
        <v>-3.6250000000000006E-3</v>
      </c>
      <c r="J532" s="988">
        <v>25628</v>
      </c>
    </row>
    <row r="533" spans="1:10" ht="13.8">
      <c r="A533" s="987">
        <v>17</v>
      </c>
      <c r="B533" s="988">
        <v>25659</v>
      </c>
      <c r="C533" s="987" t="s">
        <v>4630</v>
      </c>
      <c r="F533" s="990">
        <v>-8.8900000000000007E-2</v>
      </c>
      <c r="H533" s="993">
        <v>6.6083333333333324E-3</v>
      </c>
      <c r="I533" s="986">
        <f t="shared" si="7"/>
        <v>-9.5508333333333334E-2</v>
      </c>
      <c r="J533" s="988">
        <v>25659</v>
      </c>
    </row>
    <row r="534" spans="1:10" ht="13.8">
      <c r="A534" s="987">
        <v>17</v>
      </c>
      <c r="B534" s="988">
        <v>25689</v>
      </c>
      <c r="C534" s="987" t="s">
        <v>4630</v>
      </c>
      <c r="F534" s="990">
        <v>-5.4699999999999999E-2</v>
      </c>
      <c r="H534" s="993">
        <v>6.8124999999999991E-3</v>
      </c>
      <c r="I534" s="986">
        <f t="shared" si="7"/>
        <v>-6.1512499999999998E-2</v>
      </c>
      <c r="J534" s="988">
        <v>25689</v>
      </c>
    </row>
    <row r="535" spans="1:10" ht="13.8">
      <c r="A535" s="987">
        <v>17</v>
      </c>
      <c r="B535" s="988">
        <v>25720</v>
      </c>
      <c r="C535" s="987" t="s">
        <v>4630</v>
      </c>
      <c r="F535" s="990">
        <v>-4.82E-2</v>
      </c>
      <c r="H535" s="993">
        <v>7.1083333333333328E-3</v>
      </c>
      <c r="I535" s="986">
        <f t="shared" si="7"/>
        <v>-5.5308333333333334E-2</v>
      </c>
      <c r="J535" s="988">
        <v>25720</v>
      </c>
    </row>
    <row r="536" spans="1:10" ht="13.8">
      <c r="A536" s="987">
        <v>17</v>
      </c>
      <c r="B536" s="988">
        <v>25750</v>
      </c>
      <c r="C536" s="987" t="s">
        <v>4630</v>
      </c>
      <c r="F536" s="990">
        <v>7.5200000000000003E-2</v>
      </c>
      <c r="H536" s="993">
        <v>7.116666666666667E-3</v>
      </c>
      <c r="I536" s="986">
        <f t="shared" si="7"/>
        <v>6.8083333333333329E-2</v>
      </c>
      <c r="J536" s="988">
        <v>25750</v>
      </c>
    </row>
    <row r="537" spans="1:10" ht="13.8">
      <c r="A537" s="987">
        <v>17</v>
      </c>
      <c r="B537" s="988">
        <v>25781</v>
      </c>
      <c r="C537" s="987" t="s">
        <v>4630</v>
      </c>
      <c r="F537" s="990">
        <v>5.0900000000000001E-2</v>
      </c>
      <c r="H537" s="993">
        <v>6.9250000000000015E-3</v>
      </c>
      <c r="I537" s="986">
        <f t="shared" si="7"/>
        <v>4.3975E-2</v>
      </c>
      <c r="J537" s="988">
        <v>25781</v>
      </c>
    </row>
    <row r="538" spans="1:10" ht="13.8">
      <c r="A538" s="987">
        <v>17</v>
      </c>
      <c r="B538" s="988">
        <v>25812</v>
      </c>
      <c r="C538" s="987" t="s">
        <v>4630</v>
      </c>
      <c r="F538" s="990">
        <v>3.4700000000000002E-2</v>
      </c>
      <c r="H538" s="993">
        <v>6.9000000000000008E-3</v>
      </c>
      <c r="I538" s="986">
        <f t="shared" ref="I538:I601" si="8">F538-H538</f>
        <v>2.7800000000000002E-2</v>
      </c>
      <c r="J538" s="988">
        <v>25812</v>
      </c>
    </row>
    <row r="539" spans="1:10" ht="13.8">
      <c r="A539" s="987">
        <v>17</v>
      </c>
      <c r="B539" s="988">
        <v>25842</v>
      </c>
      <c r="C539" s="987" t="s">
        <v>4630</v>
      </c>
      <c r="F539" s="990">
        <v>-9.7000000000000003E-3</v>
      </c>
      <c r="H539" s="993">
        <v>6.8624999999999988E-3</v>
      </c>
      <c r="I539" s="986">
        <f t="shared" si="8"/>
        <v>-1.6562500000000001E-2</v>
      </c>
      <c r="J539" s="988">
        <v>25842</v>
      </c>
    </row>
    <row r="540" spans="1:10" ht="13.8">
      <c r="A540" s="987">
        <v>17</v>
      </c>
      <c r="B540" s="988">
        <v>25873</v>
      </c>
      <c r="C540" s="987" t="s">
        <v>4630</v>
      </c>
      <c r="F540" s="990">
        <v>5.3600000000000002E-2</v>
      </c>
      <c r="H540" s="993">
        <v>6.8625000000000005E-3</v>
      </c>
      <c r="I540" s="986">
        <f t="shared" si="8"/>
        <v>4.6737500000000001E-2</v>
      </c>
      <c r="J540" s="988">
        <v>25873</v>
      </c>
    </row>
    <row r="541" spans="1:10" ht="13.8">
      <c r="A541" s="987">
        <v>17</v>
      </c>
      <c r="B541" s="988">
        <v>25903</v>
      </c>
      <c r="C541" s="987" t="s">
        <v>4630</v>
      </c>
      <c r="F541" s="990">
        <v>5.8400000000000001E-2</v>
      </c>
      <c r="H541" s="993">
        <v>6.5708333333333339E-3</v>
      </c>
      <c r="I541" s="986">
        <f t="shared" si="8"/>
        <v>5.1829166666666669E-2</v>
      </c>
      <c r="J541" s="988">
        <v>25903</v>
      </c>
    </row>
    <row r="542" spans="1:10" ht="13.8">
      <c r="A542" s="987">
        <v>17</v>
      </c>
      <c r="B542" s="988">
        <v>25934</v>
      </c>
      <c r="C542" s="987" t="s">
        <v>4630</v>
      </c>
      <c r="F542" s="990">
        <v>4.19E-2</v>
      </c>
      <c r="H542" s="993">
        <v>6.3583333333333339E-3</v>
      </c>
      <c r="I542" s="986">
        <f t="shared" si="8"/>
        <v>3.5541666666666666E-2</v>
      </c>
      <c r="J542" s="988">
        <v>25934</v>
      </c>
    </row>
    <row r="543" spans="1:10" ht="13.8">
      <c r="A543" s="987">
        <v>17</v>
      </c>
      <c r="B543" s="988">
        <v>25965</v>
      </c>
      <c r="C543" s="987" t="s">
        <v>4630</v>
      </c>
      <c r="F543" s="990">
        <v>1.41E-2</v>
      </c>
      <c r="H543" s="993">
        <v>6.145833333333333E-3</v>
      </c>
      <c r="I543" s="986">
        <f t="shared" si="8"/>
        <v>7.9541666666666667E-3</v>
      </c>
      <c r="J543" s="988">
        <v>25965</v>
      </c>
    </row>
    <row r="544" spans="1:10" ht="13.8">
      <c r="A544" s="987">
        <v>17</v>
      </c>
      <c r="B544" s="988">
        <v>25993</v>
      </c>
      <c r="C544" s="987" t="s">
        <v>4630</v>
      </c>
      <c r="F544" s="990">
        <v>3.8199999999999998E-2</v>
      </c>
      <c r="H544" s="993">
        <v>6.2250000000000005E-3</v>
      </c>
      <c r="I544" s="986">
        <f t="shared" si="8"/>
        <v>3.1974999999999996E-2</v>
      </c>
      <c r="J544" s="988">
        <v>25993</v>
      </c>
    </row>
    <row r="545" spans="1:10" ht="13.8">
      <c r="A545" s="987">
        <v>17</v>
      </c>
      <c r="B545" s="988">
        <v>26024</v>
      </c>
      <c r="C545" s="987" t="s">
        <v>4630</v>
      </c>
      <c r="F545" s="990">
        <v>3.7699999999999997E-2</v>
      </c>
      <c r="H545" s="993">
        <v>6.2458333333333324E-3</v>
      </c>
      <c r="I545" s="986">
        <f t="shared" si="8"/>
        <v>3.1454166666666665E-2</v>
      </c>
      <c r="J545" s="988">
        <v>26024</v>
      </c>
    </row>
    <row r="546" spans="1:10" ht="13.8">
      <c r="A546" s="987">
        <v>17</v>
      </c>
      <c r="B546" s="988">
        <v>26054</v>
      </c>
      <c r="C546" s="987" t="s">
        <v>4630</v>
      </c>
      <c r="F546" s="990">
        <v>-3.6700000000000003E-2</v>
      </c>
      <c r="H546" s="993">
        <v>6.4041666666666665E-3</v>
      </c>
      <c r="I546" s="986">
        <f t="shared" si="8"/>
        <v>-4.3104166666666673E-2</v>
      </c>
      <c r="J546" s="988">
        <v>26054</v>
      </c>
    </row>
    <row r="547" spans="1:10" ht="13.8">
      <c r="A547" s="987">
        <v>17</v>
      </c>
      <c r="B547" s="988">
        <v>26085</v>
      </c>
      <c r="C547" s="987" t="s">
        <v>4630</v>
      </c>
      <c r="F547" s="990">
        <v>2.0999999999999999E-3</v>
      </c>
      <c r="H547" s="993">
        <v>6.4999999999999988E-3</v>
      </c>
      <c r="I547" s="986">
        <f t="shared" si="8"/>
        <v>-4.3999999999999994E-3</v>
      </c>
      <c r="J547" s="988">
        <v>26085</v>
      </c>
    </row>
    <row r="548" spans="1:10" ht="13.8">
      <c r="A548" s="987">
        <v>17</v>
      </c>
      <c r="B548" s="988">
        <v>26115</v>
      </c>
      <c r="C548" s="987" t="s">
        <v>4630</v>
      </c>
      <c r="F548" s="990">
        <v>-3.9899999999999998E-2</v>
      </c>
      <c r="H548" s="993">
        <v>6.4999999999999988E-3</v>
      </c>
      <c r="I548" s="986">
        <f t="shared" si="8"/>
        <v>-4.6399999999999997E-2</v>
      </c>
      <c r="J548" s="988">
        <v>26115</v>
      </c>
    </row>
    <row r="549" spans="1:10" ht="13.8">
      <c r="A549" s="987">
        <v>17</v>
      </c>
      <c r="B549" s="988">
        <v>26146</v>
      </c>
      <c r="C549" s="987" t="s">
        <v>4630</v>
      </c>
      <c r="F549" s="990">
        <v>4.1200000000000001E-2</v>
      </c>
      <c r="H549" s="993">
        <v>6.4666666666666657E-3</v>
      </c>
      <c r="I549" s="986">
        <f t="shared" si="8"/>
        <v>3.4733333333333338E-2</v>
      </c>
      <c r="J549" s="988">
        <v>26146</v>
      </c>
    </row>
    <row r="550" spans="1:10" ht="13.8">
      <c r="A550" s="987">
        <v>17</v>
      </c>
      <c r="B550" s="988">
        <v>26177</v>
      </c>
      <c r="C550" s="987" t="s">
        <v>4630</v>
      </c>
      <c r="F550" s="990">
        <v>-5.5999999999999999E-3</v>
      </c>
      <c r="H550" s="993">
        <v>6.3541666666666659E-3</v>
      </c>
      <c r="I550" s="986">
        <f t="shared" si="8"/>
        <v>-1.1954166666666665E-2</v>
      </c>
      <c r="J550" s="988">
        <v>26177</v>
      </c>
    </row>
    <row r="551" spans="1:10" ht="13.8">
      <c r="A551" s="987">
        <v>17</v>
      </c>
      <c r="B551" s="988">
        <v>26207</v>
      </c>
      <c r="C551" s="987" t="s">
        <v>4630</v>
      </c>
      <c r="F551" s="990">
        <v>-4.0399999999999998E-2</v>
      </c>
      <c r="H551" s="993">
        <v>6.2833333333333343E-3</v>
      </c>
      <c r="I551" s="986">
        <f t="shared" si="8"/>
        <v>-4.6683333333333334E-2</v>
      </c>
      <c r="J551" s="988">
        <v>26207</v>
      </c>
    </row>
    <row r="552" spans="1:10" ht="13.8">
      <c r="A552" s="987">
        <v>17</v>
      </c>
      <c r="B552" s="988">
        <v>26238</v>
      </c>
      <c r="C552" s="987" t="s">
        <v>4630</v>
      </c>
      <c r="F552" s="990">
        <v>2.7000000000000001E-3</v>
      </c>
      <c r="H552" s="993">
        <v>6.1749999999999991E-3</v>
      </c>
      <c r="I552" s="986">
        <f t="shared" si="8"/>
        <v>-3.4749999999999989E-3</v>
      </c>
      <c r="J552" s="988">
        <v>26238</v>
      </c>
    </row>
    <row r="553" spans="1:10" ht="13.8">
      <c r="A553" s="987">
        <v>17</v>
      </c>
      <c r="B553" s="988">
        <v>26268</v>
      </c>
      <c r="C553" s="987" t="s">
        <v>4630</v>
      </c>
      <c r="F553" s="990">
        <v>8.77E-2</v>
      </c>
      <c r="H553" s="993">
        <v>6.1749999999999991E-3</v>
      </c>
      <c r="I553" s="986">
        <f t="shared" si="8"/>
        <v>8.1525E-2</v>
      </c>
      <c r="J553" s="988">
        <v>26268</v>
      </c>
    </row>
    <row r="554" spans="1:10" ht="13.8">
      <c r="A554" s="987">
        <v>17</v>
      </c>
      <c r="B554" s="988">
        <v>26299</v>
      </c>
      <c r="C554" s="987" t="s">
        <v>4630</v>
      </c>
      <c r="F554" s="990">
        <v>1.9400000000000001E-2</v>
      </c>
      <c r="H554" s="993">
        <v>6.1291666666666664E-3</v>
      </c>
      <c r="I554" s="986">
        <f t="shared" si="8"/>
        <v>1.3270833333333334E-2</v>
      </c>
      <c r="J554" s="988">
        <v>26299</v>
      </c>
    </row>
    <row r="555" spans="1:10" ht="13.8">
      <c r="A555" s="987">
        <v>17</v>
      </c>
      <c r="B555" s="988">
        <v>26330</v>
      </c>
      <c r="C555" s="987" t="s">
        <v>4630</v>
      </c>
      <c r="F555" s="990">
        <v>2.9899999999999999E-2</v>
      </c>
      <c r="H555" s="993">
        <v>6.1624999999999996E-3</v>
      </c>
      <c r="I555" s="986">
        <f t="shared" si="8"/>
        <v>2.3737500000000002E-2</v>
      </c>
      <c r="J555" s="988">
        <v>26330</v>
      </c>
    </row>
    <row r="556" spans="1:10" ht="13.8">
      <c r="A556" s="987">
        <v>17</v>
      </c>
      <c r="B556" s="988">
        <v>26359</v>
      </c>
      <c r="C556" s="987" t="s">
        <v>4630</v>
      </c>
      <c r="F556" s="990">
        <v>7.1999999999999998E-3</v>
      </c>
      <c r="H556" s="993">
        <v>6.1541666666666672E-3</v>
      </c>
      <c r="I556" s="986">
        <f t="shared" si="8"/>
        <v>1.0458333333333326E-3</v>
      </c>
      <c r="J556" s="988">
        <v>26359</v>
      </c>
    </row>
    <row r="557" spans="1:10" ht="13.8">
      <c r="A557" s="987">
        <v>17</v>
      </c>
      <c r="B557" s="988">
        <v>26390</v>
      </c>
      <c r="C557" s="987" t="s">
        <v>4630</v>
      </c>
      <c r="F557" s="990">
        <v>5.7000000000000002E-3</v>
      </c>
      <c r="H557" s="993">
        <v>6.1958333333333336E-3</v>
      </c>
      <c r="I557" s="986">
        <f t="shared" si="8"/>
        <v>-4.9583333333333337E-4</v>
      </c>
      <c r="J557" s="988">
        <v>26390</v>
      </c>
    </row>
    <row r="558" spans="1:10" ht="13.8">
      <c r="A558" s="987">
        <v>17</v>
      </c>
      <c r="B558" s="988">
        <v>26420</v>
      </c>
      <c r="C558" s="987" t="s">
        <v>4630</v>
      </c>
      <c r="F558" s="990">
        <v>2.1899999999999999E-2</v>
      </c>
      <c r="H558" s="993">
        <v>6.1916666666666665E-3</v>
      </c>
      <c r="I558" s="986">
        <f t="shared" si="8"/>
        <v>1.5708333333333331E-2</v>
      </c>
      <c r="J558" s="988">
        <v>26420</v>
      </c>
    </row>
    <row r="559" spans="1:10" ht="13.8">
      <c r="A559" s="987">
        <v>17</v>
      </c>
      <c r="B559" s="988">
        <v>26451</v>
      </c>
      <c r="C559" s="987" t="s">
        <v>4630</v>
      </c>
      <c r="F559" s="990">
        <v>-2.0500000000000001E-2</v>
      </c>
      <c r="H559" s="993">
        <v>6.1416666666666677E-3</v>
      </c>
      <c r="I559" s="986">
        <f t="shared" si="8"/>
        <v>-2.6641666666666668E-2</v>
      </c>
      <c r="J559" s="988">
        <v>26451</v>
      </c>
    </row>
    <row r="560" spans="1:10" ht="13.8">
      <c r="A560" s="987">
        <v>17</v>
      </c>
      <c r="B560" s="988">
        <v>26481</v>
      </c>
      <c r="C560" s="987" t="s">
        <v>4630</v>
      </c>
      <c r="F560" s="990">
        <v>3.5999999999999999E-3</v>
      </c>
      <c r="H560" s="993">
        <v>6.1291666666666664E-3</v>
      </c>
      <c r="I560" s="986">
        <f t="shared" si="8"/>
        <v>-2.5291666666666665E-3</v>
      </c>
      <c r="J560" s="988">
        <v>26481</v>
      </c>
    </row>
    <row r="561" spans="1:10" ht="13.8">
      <c r="A561" s="987">
        <v>17</v>
      </c>
      <c r="B561" s="988">
        <v>26512</v>
      </c>
      <c r="C561" s="987" t="s">
        <v>4630</v>
      </c>
      <c r="F561" s="990">
        <v>3.9100000000000003E-2</v>
      </c>
      <c r="H561" s="993">
        <v>6.0916666666666662E-3</v>
      </c>
      <c r="I561" s="986">
        <f t="shared" si="8"/>
        <v>3.3008333333333334E-2</v>
      </c>
      <c r="J561" s="988">
        <v>26512</v>
      </c>
    </row>
    <row r="562" spans="1:10" ht="13.8">
      <c r="A562" s="987">
        <v>17</v>
      </c>
      <c r="B562" s="988">
        <v>26543</v>
      </c>
      <c r="C562" s="987" t="s">
        <v>4630</v>
      </c>
      <c r="F562" s="990">
        <v>-3.5999999999999999E-3</v>
      </c>
      <c r="H562" s="993">
        <v>6.0958333333333333E-3</v>
      </c>
      <c r="I562" s="986">
        <f t="shared" si="8"/>
        <v>-9.6958333333333341E-3</v>
      </c>
      <c r="J562" s="988">
        <v>26543</v>
      </c>
    </row>
    <row r="563" spans="1:10" ht="13.8">
      <c r="A563" s="987">
        <v>17</v>
      </c>
      <c r="B563" s="988">
        <v>26573</v>
      </c>
      <c r="C563" s="987" t="s">
        <v>4630</v>
      </c>
      <c r="F563" s="990">
        <v>1.0699999999999999E-2</v>
      </c>
      <c r="H563" s="993">
        <v>6.1083333333333337E-3</v>
      </c>
      <c r="I563" s="986">
        <f t="shared" si="8"/>
        <v>4.5916666666666658E-3</v>
      </c>
      <c r="J563" s="988">
        <v>26573</v>
      </c>
    </row>
    <row r="564" spans="1:10" ht="13.8">
      <c r="A564" s="987">
        <v>17</v>
      </c>
      <c r="B564" s="988">
        <v>26604</v>
      </c>
      <c r="C564" s="987" t="s">
        <v>4630</v>
      </c>
      <c r="F564" s="990">
        <v>5.0500000000000003E-2</v>
      </c>
      <c r="H564" s="993">
        <v>6.0458333333333336E-3</v>
      </c>
      <c r="I564" s="986">
        <f t="shared" si="8"/>
        <v>4.445416666666667E-2</v>
      </c>
      <c r="J564" s="988">
        <v>26604</v>
      </c>
    </row>
    <row r="565" spans="1:10" ht="13.8">
      <c r="A565" s="987">
        <v>17</v>
      </c>
      <c r="B565" s="988">
        <v>26634</v>
      </c>
      <c r="C565" s="987" t="s">
        <v>4630</v>
      </c>
      <c r="F565" s="990">
        <v>1.3100000000000001E-2</v>
      </c>
      <c r="H565" s="993">
        <v>6.0166666666666667E-3</v>
      </c>
      <c r="I565" s="986">
        <f t="shared" si="8"/>
        <v>7.0833333333333338E-3</v>
      </c>
      <c r="J565" s="988">
        <v>26634</v>
      </c>
    </row>
    <row r="566" spans="1:10" ht="13.8">
      <c r="A566" s="987">
        <v>17</v>
      </c>
      <c r="B566" s="988">
        <v>26665</v>
      </c>
      <c r="C566" s="987" t="s">
        <v>4630</v>
      </c>
      <c r="F566" s="990">
        <v>-1.5900000000000001E-2</v>
      </c>
      <c r="H566" s="993">
        <v>6.0499999999999998E-3</v>
      </c>
      <c r="I566" s="986">
        <f t="shared" si="8"/>
        <v>-2.1950000000000001E-2</v>
      </c>
      <c r="J566" s="988">
        <v>26665</v>
      </c>
    </row>
    <row r="567" spans="1:10" ht="13.8">
      <c r="A567" s="987">
        <v>17</v>
      </c>
      <c r="B567" s="988">
        <v>26696</v>
      </c>
      <c r="C567" s="987" t="s">
        <v>4630</v>
      </c>
      <c r="F567" s="990">
        <v>-3.3300000000000003E-2</v>
      </c>
      <c r="H567" s="993">
        <v>6.1208333333333332E-3</v>
      </c>
      <c r="I567" s="986">
        <f t="shared" si="8"/>
        <v>-3.9420833333333336E-2</v>
      </c>
      <c r="J567" s="988">
        <v>26696</v>
      </c>
    </row>
    <row r="568" spans="1:10" ht="13.8">
      <c r="A568" s="987">
        <v>17</v>
      </c>
      <c r="B568" s="988">
        <v>26724</v>
      </c>
      <c r="C568" s="987" t="s">
        <v>4630</v>
      </c>
      <c r="F568" s="990">
        <v>-2.0000000000000001E-4</v>
      </c>
      <c r="H568" s="993">
        <v>6.1583333333333334E-3</v>
      </c>
      <c r="I568" s="986">
        <f t="shared" si="8"/>
        <v>-6.358333333333333E-3</v>
      </c>
      <c r="J568" s="988">
        <v>26724</v>
      </c>
    </row>
    <row r="569" spans="1:10" ht="13.8">
      <c r="A569" s="987">
        <v>17</v>
      </c>
      <c r="B569" s="988">
        <v>26755</v>
      </c>
      <c r="C569" s="987" t="s">
        <v>4630</v>
      </c>
      <c r="F569" s="990">
        <v>-3.95E-2</v>
      </c>
      <c r="H569" s="993">
        <v>6.145833333333333E-3</v>
      </c>
      <c r="I569" s="986">
        <f t="shared" si="8"/>
        <v>-4.564583333333333E-2</v>
      </c>
      <c r="J569" s="988">
        <v>26755</v>
      </c>
    </row>
    <row r="570" spans="1:10" ht="13.8">
      <c r="A570" s="987">
        <v>17</v>
      </c>
      <c r="B570" s="988">
        <v>26785</v>
      </c>
      <c r="C570" s="987" t="s">
        <v>4630</v>
      </c>
      <c r="F570" s="990">
        <v>-1.3899999999999999E-2</v>
      </c>
      <c r="H570" s="993">
        <v>6.1583333333333334E-3</v>
      </c>
      <c r="I570" s="986">
        <f t="shared" si="8"/>
        <v>-2.0058333333333331E-2</v>
      </c>
      <c r="J570" s="988">
        <v>26785</v>
      </c>
    </row>
    <row r="571" spans="1:10" ht="13.8">
      <c r="A571" s="987">
        <v>17</v>
      </c>
      <c r="B571" s="988">
        <v>26816</v>
      </c>
      <c r="C571" s="987" t="s">
        <v>4630</v>
      </c>
      <c r="F571" s="990">
        <v>-5.1000000000000004E-3</v>
      </c>
      <c r="H571" s="993">
        <v>6.2166666666666655E-3</v>
      </c>
      <c r="I571" s="986">
        <f t="shared" si="8"/>
        <v>-1.1316666666666666E-2</v>
      </c>
      <c r="J571" s="988">
        <v>26816</v>
      </c>
    </row>
    <row r="572" spans="1:10" ht="13.8">
      <c r="A572" s="987">
        <v>17</v>
      </c>
      <c r="B572" s="988">
        <v>26846</v>
      </c>
      <c r="C572" s="987" t="s">
        <v>4630</v>
      </c>
      <c r="F572" s="990">
        <v>3.9399999999999998E-2</v>
      </c>
      <c r="H572" s="993">
        <v>6.2874999999999988E-3</v>
      </c>
      <c r="I572" s="986">
        <f t="shared" si="8"/>
        <v>3.3112499999999996E-2</v>
      </c>
      <c r="J572" s="988">
        <v>26846</v>
      </c>
    </row>
    <row r="573" spans="1:10" ht="13.8">
      <c r="A573" s="987">
        <v>17</v>
      </c>
      <c r="B573" s="988">
        <v>26877</v>
      </c>
      <c r="C573" s="987" t="s">
        <v>4630</v>
      </c>
      <c r="F573" s="990">
        <v>-3.1800000000000002E-2</v>
      </c>
      <c r="H573" s="993">
        <v>6.4666666666666674E-3</v>
      </c>
      <c r="I573" s="986">
        <f t="shared" si="8"/>
        <v>-3.8266666666666671E-2</v>
      </c>
      <c r="J573" s="988">
        <v>26877</v>
      </c>
    </row>
    <row r="574" spans="1:10" ht="13.8">
      <c r="A574" s="987">
        <v>17</v>
      </c>
      <c r="B574" s="988">
        <v>26908</v>
      </c>
      <c r="C574" s="987" t="s">
        <v>4630</v>
      </c>
      <c r="F574" s="990">
        <v>4.1500000000000002E-2</v>
      </c>
      <c r="H574" s="993">
        <v>6.4541666666666671E-3</v>
      </c>
      <c r="I574" s="986">
        <f t="shared" si="8"/>
        <v>3.5045833333333332E-2</v>
      </c>
      <c r="J574" s="988">
        <v>26908</v>
      </c>
    </row>
    <row r="575" spans="1:10" ht="13.8">
      <c r="A575" s="987">
        <v>17</v>
      </c>
      <c r="B575" s="988">
        <v>26938</v>
      </c>
      <c r="C575" s="987" t="s">
        <v>4630</v>
      </c>
      <c r="F575" s="990">
        <v>2.9999999999999997E-4</v>
      </c>
      <c r="H575" s="993">
        <v>6.4333333333333334E-3</v>
      </c>
      <c r="I575" s="986">
        <f t="shared" si="8"/>
        <v>-6.1333333333333335E-3</v>
      </c>
      <c r="J575" s="988">
        <v>26938</v>
      </c>
    </row>
    <row r="576" spans="1:10" ht="13.8">
      <c r="A576" s="987">
        <v>17</v>
      </c>
      <c r="B576" s="988">
        <v>26969</v>
      </c>
      <c r="C576" s="987" t="s">
        <v>4630</v>
      </c>
      <c r="F576" s="990">
        <v>-0.1082</v>
      </c>
      <c r="H576" s="993">
        <v>6.4874999999999993E-3</v>
      </c>
      <c r="I576" s="986">
        <f t="shared" si="8"/>
        <v>-0.1146875</v>
      </c>
      <c r="J576" s="988">
        <v>26969</v>
      </c>
    </row>
    <row r="577" spans="1:10" ht="13.8">
      <c r="A577" s="987">
        <v>17</v>
      </c>
      <c r="B577" s="988">
        <v>26999</v>
      </c>
      <c r="C577" s="987" t="s">
        <v>4630</v>
      </c>
      <c r="F577" s="990">
        <v>1.83E-2</v>
      </c>
      <c r="H577" s="993">
        <v>6.5000000000000006E-3</v>
      </c>
      <c r="I577" s="986">
        <f t="shared" si="8"/>
        <v>1.18E-2</v>
      </c>
      <c r="J577" s="988">
        <v>26999</v>
      </c>
    </row>
    <row r="578" spans="1:10" ht="13.8">
      <c r="A578" s="987">
        <v>17</v>
      </c>
      <c r="B578" s="988">
        <v>27030</v>
      </c>
      <c r="C578" s="987" t="s">
        <v>4630</v>
      </c>
      <c r="F578" s="990">
        <v>-8.5000000000000006E-3</v>
      </c>
      <c r="H578" s="993">
        <v>6.5958333333333329E-3</v>
      </c>
      <c r="I578" s="986">
        <f t="shared" si="8"/>
        <v>-1.5095833333333333E-2</v>
      </c>
      <c r="J578" s="988">
        <v>27030</v>
      </c>
    </row>
    <row r="579" spans="1:10" ht="13.8">
      <c r="A579" s="987">
        <v>17</v>
      </c>
      <c r="B579" s="988">
        <v>27061</v>
      </c>
      <c r="C579" s="987" t="s">
        <v>4630</v>
      </c>
      <c r="F579" s="990">
        <v>1.9E-3</v>
      </c>
      <c r="H579" s="993">
        <v>6.6250000000000007E-3</v>
      </c>
      <c r="I579" s="986">
        <f t="shared" si="8"/>
        <v>-4.7250000000000009E-3</v>
      </c>
      <c r="J579" s="988">
        <v>27061</v>
      </c>
    </row>
    <row r="580" spans="1:10" ht="13.8">
      <c r="A580" s="987">
        <v>17</v>
      </c>
      <c r="B580" s="988">
        <v>27089</v>
      </c>
      <c r="C580" s="987" t="s">
        <v>4630</v>
      </c>
      <c r="F580" s="990">
        <v>-2.1700000000000001E-2</v>
      </c>
      <c r="H580" s="993">
        <v>6.7458333333333328E-3</v>
      </c>
      <c r="I580" s="986">
        <f t="shared" si="8"/>
        <v>-2.8445833333333333E-2</v>
      </c>
      <c r="J580" s="988">
        <v>27089</v>
      </c>
    </row>
    <row r="581" spans="1:10" ht="13.8">
      <c r="A581" s="987">
        <v>17</v>
      </c>
      <c r="B581" s="988">
        <v>27120</v>
      </c>
      <c r="C581" s="987" t="s">
        <v>4630</v>
      </c>
      <c r="F581" s="990">
        <v>-3.73E-2</v>
      </c>
      <c r="H581" s="993">
        <v>6.9500000000000004E-3</v>
      </c>
      <c r="I581" s="986">
        <f t="shared" si="8"/>
        <v>-4.4249999999999998E-2</v>
      </c>
      <c r="J581" s="988">
        <v>27120</v>
      </c>
    </row>
    <row r="582" spans="1:10" ht="13.8">
      <c r="A582" s="987">
        <v>17</v>
      </c>
      <c r="B582" s="988">
        <v>27150</v>
      </c>
      <c r="C582" s="987" t="s">
        <v>4630</v>
      </c>
      <c r="F582" s="990">
        <v>-2.7199999999999998E-2</v>
      </c>
      <c r="H582" s="993">
        <v>7.0624999999999993E-3</v>
      </c>
      <c r="I582" s="986">
        <f t="shared" si="8"/>
        <v>-3.4262500000000001E-2</v>
      </c>
      <c r="J582" s="988">
        <v>27150</v>
      </c>
    </row>
    <row r="583" spans="1:10" ht="13.8">
      <c r="A583" s="987">
        <v>17</v>
      </c>
      <c r="B583" s="988">
        <v>27181</v>
      </c>
      <c r="C583" s="987" t="s">
        <v>4630</v>
      </c>
      <c r="F583" s="990">
        <v>-1.2800000000000001E-2</v>
      </c>
      <c r="H583" s="993">
        <v>7.175E-3</v>
      </c>
      <c r="I583" s="986">
        <f t="shared" si="8"/>
        <v>-1.9975E-2</v>
      </c>
      <c r="J583" s="988">
        <v>27181</v>
      </c>
    </row>
    <row r="584" spans="1:10" ht="13.8">
      <c r="A584" s="987">
        <v>17</v>
      </c>
      <c r="B584" s="988">
        <v>27211</v>
      </c>
      <c r="C584" s="987" t="s">
        <v>4630</v>
      </c>
      <c r="F584" s="990">
        <v>-7.5899999999999995E-2</v>
      </c>
      <c r="H584" s="993">
        <v>7.3875E-3</v>
      </c>
      <c r="I584" s="986">
        <f t="shared" si="8"/>
        <v>-8.32875E-2</v>
      </c>
      <c r="J584" s="988">
        <v>27211</v>
      </c>
    </row>
    <row r="585" spans="1:10" ht="13.8">
      <c r="A585" s="987">
        <v>17</v>
      </c>
      <c r="B585" s="988">
        <v>27242</v>
      </c>
      <c r="C585" s="987" t="s">
        <v>4630</v>
      </c>
      <c r="F585" s="990">
        <v>-8.2799999999999999E-2</v>
      </c>
      <c r="H585" s="993">
        <v>7.6166666666666674E-3</v>
      </c>
      <c r="I585" s="986">
        <f t="shared" si="8"/>
        <v>-9.0416666666666673E-2</v>
      </c>
      <c r="J585" s="988">
        <v>27242</v>
      </c>
    </row>
    <row r="586" spans="1:10" ht="13.8">
      <c r="A586" s="987">
        <v>17</v>
      </c>
      <c r="B586" s="988">
        <v>27273</v>
      </c>
      <c r="C586" s="987" t="s">
        <v>4630</v>
      </c>
      <c r="F586" s="990">
        <v>-0.11700000000000001</v>
      </c>
      <c r="H586" s="993">
        <v>7.8750000000000001E-3</v>
      </c>
      <c r="I586" s="986">
        <f t="shared" si="8"/>
        <v>-0.12487500000000001</v>
      </c>
      <c r="J586" s="988">
        <v>27273</v>
      </c>
    </row>
    <row r="587" spans="1:10" ht="13.8">
      <c r="A587" s="987">
        <v>17</v>
      </c>
      <c r="B587" s="988">
        <v>27303</v>
      </c>
      <c r="C587" s="987" t="s">
        <v>4630</v>
      </c>
      <c r="F587" s="990">
        <v>0.16569999999999999</v>
      </c>
      <c r="H587" s="993">
        <v>7.8791666666666663E-3</v>
      </c>
      <c r="I587" s="986">
        <f t="shared" si="8"/>
        <v>0.15782083333333333</v>
      </c>
      <c r="J587" s="988">
        <v>27303</v>
      </c>
    </row>
    <row r="588" spans="1:10" ht="13.8">
      <c r="A588" s="987">
        <v>17</v>
      </c>
      <c r="B588" s="988">
        <v>27334</v>
      </c>
      <c r="C588" s="987" t="s">
        <v>4630</v>
      </c>
      <c r="F588" s="990">
        <v>-4.48E-2</v>
      </c>
      <c r="H588" s="993">
        <v>7.5958333333333329E-3</v>
      </c>
      <c r="I588" s="986">
        <f t="shared" si="8"/>
        <v>-5.2395833333333336E-2</v>
      </c>
      <c r="J588" s="988">
        <v>27334</v>
      </c>
    </row>
    <row r="589" spans="1:10" ht="13.8">
      <c r="A589" s="987">
        <v>17</v>
      </c>
      <c r="B589" s="988">
        <v>27364</v>
      </c>
      <c r="C589" s="987" t="s">
        <v>4630</v>
      </c>
      <c r="F589" s="990">
        <v>-1.77E-2</v>
      </c>
      <c r="H589" s="993">
        <v>7.5374999999999991E-3</v>
      </c>
      <c r="I589" s="986">
        <f t="shared" si="8"/>
        <v>-2.52375E-2</v>
      </c>
      <c r="J589" s="988">
        <v>27364</v>
      </c>
    </row>
    <row r="590" spans="1:10" ht="13.8">
      <c r="A590" s="987">
        <v>17</v>
      </c>
      <c r="B590" s="988">
        <v>27395</v>
      </c>
      <c r="C590" s="987" t="s">
        <v>4630</v>
      </c>
      <c r="F590" s="990">
        <v>0.12509999999999999</v>
      </c>
      <c r="H590" s="993">
        <v>7.4833333333333332E-3</v>
      </c>
      <c r="I590" s="986">
        <f t="shared" si="8"/>
        <v>0.11761666666666666</v>
      </c>
      <c r="J590" s="988">
        <v>27395</v>
      </c>
    </row>
    <row r="591" spans="1:10" ht="13.8">
      <c r="A591" s="987">
        <v>17</v>
      </c>
      <c r="B591" s="988">
        <v>27426</v>
      </c>
      <c r="C591" s="987" t="s">
        <v>4630</v>
      </c>
      <c r="F591" s="990">
        <v>6.7400000000000002E-2</v>
      </c>
      <c r="H591" s="993">
        <v>7.3041666666666671E-3</v>
      </c>
      <c r="I591" s="986">
        <f t="shared" si="8"/>
        <v>6.0095833333333334E-2</v>
      </c>
      <c r="J591" s="988">
        <v>27426</v>
      </c>
    </row>
    <row r="592" spans="1:10" ht="13.8">
      <c r="A592" s="987">
        <v>17</v>
      </c>
      <c r="B592" s="988">
        <v>27454</v>
      </c>
      <c r="C592" s="987" t="s">
        <v>4630</v>
      </c>
      <c r="F592" s="990">
        <v>2.3699999999999999E-2</v>
      </c>
      <c r="H592" s="993">
        <v>7.329166666666667E-3</v>
      </c>
      <c r="I592" s="986">
        <f t="shared" si="8"/>
        <v>1.6370833333333331E-2</v>
      </c>
      <c r="J592" s="988">
        <v>27454</v>
      </c>
    </row>
    <row r="593" spans="1:10" ht="13.8">
      <c r="A593" s="987">
        <v>17</v>
      </c>
      <c r="B593" s="988">
        <v>27485</v>
      </c>
      <c r="C593" s="987" t="s">
        <v>4630</v>
      </c>
      <c r="F593" s="990">
        <v>4.9299999999999997E-2</v>
      </c>
      <c r="H593" s="993">
        <v>7.5583333333333327E-3</v>
      </c>
      <c r="I593" s="986">
        <f t="shared" si="8"/>
        <v>4.1741666666666663E-2</v>
      </c>
      <c r="J593" s="988">
        <v>27485</v>
      </c>
    </row>
    <row r="594" spans="1:10" ht="13.8">
      <c r="A594" s="987">
        <v>17</v>
      </c>
      <c r="B594" s="988">
        <v>27515</v>
      </c>
      <c r="C594" s="987" t="s">
        <v>4630</v>
      </c>
      <c r="F594" s="990">
        <v>5.0900000000000001E-2</v>
      </c>
      <c r="H594" s="993">
        <v>7.5583333333333336E-3</v>
      </c>
      <c r="I594" s="986">
        <f t="shared" si="8"/>
        <v>4.3341666666666667E-2</v>
      </c>
      <c r="J594" s="988">
        <v>27515</v>
      </c>
    </row>
    <row r="595" spans="1:10" ht="13.8">
      <c r="A595" s="987">
        <v>17</v>
      </c>
      <c r="B595" s="988">
        <v>27546</v>
      </c>
      <c r="C595" s="987" t="s">
        <v>4630</v>
      </c>
      <c r="F595" s="990">
        <v>4.6199999999999998E-2</v>
      </c>
      <c r="H595" s="993">
        <v>7.4583333333333333E-3</v>
      </c>
      <c r="I595" s="986">
        <f t="shared" si="8"/>
        <v>3.8741666666666667E-2</v>
      </c>
      <c r="J595" s="988">
        <v>27546</v>
      </c>
    </row>
    <row r="596" spans="1:10" ht="13.8">
      <c r="A596" s="987">
        <v>17</v>
      </c>
      <c r="B596" s="988">
        <v>27576</v>
      </c>
      <c r="C596" s="987" t="s">
        <v>4630</v>
      </c>
      <c r="F596" s="990">
        <v>-6.59E-2</v>
      </c>
      <c r="H596" s="993">
        <v>7.4875000000000002E-3</v>
      </c>
      <c r="I596" s="986">
        <f t="shared" si="8"/>
        <v>-7.3387499999999994E-2</v>
      </c>
      <c r="J596" s="988">
        <v>27576</v>
      </c>
    </row>
    <row r="597" spans="1:10" ht="13.8">
      <c r="A597" s="987">
        <v>17</v>
      </c>
      <c r="B597" s="988">
        <v>27607</v>
      </c>
      <c r="C597" s="987" t="s">
        <v>4630</v>
      </c>
      <c r="F597" s="990">
        <v>-1.44E-2</v>
      </c>
      <c r="H597" s="993">
        <v>7.5749999999999993E-3</v>
      </c>
      <c r="I597" s="986">
        <f t="shared" si="8"/>
        <v>-2.1974999999999998E-2</v>
      </c>
      <c r="J597" s="988">
        <v>27607</v>
      </c>
    </row>
    <row r="598" spans="1:10" ht="13.8">
      <c r="A598" s="987">
        <v>17</v>
      </c>
      <c r="B598" s="988">
        <v>27638</v>
      </c>
      <c r="C598" s="987" t="s">
        <v>4630</v>
      </c>
      <c r="F598" s="990">
        <v>-3.2800000000000003E-2</v>
      </c>
      <c r="H598" s="993">
        <v>7.6249999999999998E-3</v>
      </c>
      <c r="I598" s="986">
        <f t="shared" si="8"/>
        <v>-4.0425000000000003E-2</v>
      </c>
      <c r="J598" s="988">
        <v>27638</v>
      </c>
    </row>
    <row r="599" spans="1:10" ht="13.8">
      <c r="A599" s="987">
        <v>17</v>
      </c>
      <c r="B599" s="988">
        <v>27668</v>
      </c>
      <c r="C599" s="987" t="s">
        <v>4630</v>
      </c>
      <c r="F599" s="990">
        <v>6.3700000000000007E-2</v>
      </c>
      <c r="H599" s="993">
        <v>7.575000000000001E-3</v>
      </c>
      <c r="I599" s="986">
        <f t="shared" si="8"/>
        <v>5.6125000000000008E-2</v>
      </c>
      <c r="J599" s="988">
        <v>27668</v>
      </c>
    </row>
    <row r="600" spans="1:10" ht="13.8">
      <c r="A600" s="987">
        <v>17</v>
      </c>
      <c r="B600" s="988">
        <v>27699</v>
      </c>
      <c r="C600" s="987" t="s">
        <v>4630</v>
      </c>
      <c r="F600" s="990">
        <v>3.1300000000000001E-2</v>
      </c>
      <c r="H600" s="993">
        <v>7.5041666666666659E-3</v>
      </c>
      <c r="I600" s="986">
        <f t="shared" si="8"/>
        <v>2.3795833333333336E-2</v>
      </c>
      <c r="J600" s="988">
        <v>27699</v>
      </c>
    </row>
    <row r="601" spans="1:10" ht="13.8">
      <c r="A601" s="987">
        <v>17</v>
      </c>
      <c r="B601" s="988">
        <v>27729</v>
      </c>
      <c r="C601" s="987" t="s">
        <v>4630</v>
      </c>
      <c r="F601" s="990">
        <v>-9.5999999999999992E-3</v>
      </c>
      <c r="H601" s="993">
        <v>7.5187500000000011E-3</v>
      </c>
      <c r="I601" s="986">
        <f t="shared" si="8"/>
        <v>-1.7118750000000002E-2</v>
      </c>
      <c r="J601" s="988">
        <v>27729</v>
      </c>
    </row>
    <row r="602" spans="1:10" ht="13.8">
      <c r="A602" s="987">
        <v>17</v>
      </c>
      <c r="B602" s="988">
        <v>27760</v>
      </c>
      <c r="C602" s="987" t="s">
        <v>4630</v>
      </c>
      <c r="F602" s="990">
        <v>0.11990000000000001</v>
      </c>
      <c r="H602" s="993">
        <v>7.3875E-3</v>
      </c>
      <c r="I602" s="986">
        <f t="shared" ref="I602:I665" si="9">F602-H602</f>
        <v>0.1125125</v>
      </c>
      <c r="J602" s="988">
        <v>27760</v>
      </c>
    </row>
    <row r="603" spans="1:10" ht="13.8">
      <c r="A603" s="987">
        <v>17</v>
      </c>
      <c r="B603" s="988">
        <v>27791</v>
      </c>
      <c r="C603" s="987" t="s">
        <v>4630</v>
      </c>
      <c r="F603" s="990">
        <v>-5.7999999999999996E-3</v>
      </c>
      <c r="H603" s="993">
        <v>7.3208333333333328E-3</v>
      </c>
      <c r="I603" s="986">
        <f t="shared" si="9"/>
        <v>-1.3120833333333332E-2</v>
      </c>
      <c r="J603" s="988">
        <v>27791</v>
      </c>
    </row>
    <row r="604" spans="1:10" ht="13.8">
      <c r="A604" s="987">
        <v>17</v>
      </c>
      <c r="B604" s="988">
        <v>27820</v>
      </c>
      <c r="C604" s="987" t="s">
        <v>4630</v>
      </c>
      <c r="F604" s="990">
        <v>3.2599999999999997E-2</v>
      </c>
      <c r="H604" s="993">
        <v>7.3041666666666671E-3</v>
      </c>
      <c r="I604" s="986">
        <f t="shared" si="9"/>
        <v>2.529583333333333E-2</v>
      </c>
      <c r="J604" s="988">
        <v>27820</v>
      </c>
    </row>
    <row r="605" spans="1:10" ht="13.8">
      <c r="A605" s="987">
        <v>17</v>
      </c>
      <c r="B605" s="988">
        <v>27851</v>
      </c>
      <c r="C605" s="987" t="s">
        <v>4630</v>
      </c>
      <c r="F605" s="990">
        <v>-9.9000000000000008E-3</v>
      </c>
      <c r="H605" s="993">
        <v>7.2041666666666669E-3</v>
      </c>
      <c r="I605" s="986">
        <f t="shared" si="9"/>
        <v>-1.7104166666666667E-2</v>
      </c>
      <c r="J605" s="988">
        <v>27851</v>
      </c>
    </row>
    <row r="606" spans="1:10" ht="13.8">
      <c r="A606" s="987">
        <v>17</v>
      </c>
      <c r="B606" s="988">
        <v>27881</v>
      </c>
      <c r="C606" s="987" t="s">
        <v>4630</v>
      </c>
      <c r="F606" s="990">
        <v>-7.3000000000000001E-3</v>
      </c>
      <c r="H606" s="993">
        <v>7.2916666666666659E-3</v>
      </c>
      <c r="I606" s="986">
        <f t="shared" si="9"/>
        <v>-1.4591666666666666E-2</v>
      </c>
      <c r="J606" s="988">
        <v>27881</v>
      </c>
    </row>
    <row r="607" spans="1:10" ht="13.8">
      <c r="A607" s="987">
        <v>17</v>
      </c>
      <c r="B607" s="988">
        <v>27912</v>
      </c>
      <c r="C607" s="987" t="s">
        <v>4630</v>
      </c>
      <c r="F607" s="990">
        <v>4.2700000000000002E-2</v>
      </c>
      <c r="H607" s="993">
        <v>7.2958333333333321E-3</v>
      </c>
      <c r="I607" s="986">
        <f t="shared" si="9"/>
        <v>3.5404166666666667E-2</v>
      </c>
      <c r="J607" s="988">
        <v>27912</v>
      </c>
    </row>
    <row r="608" spans="1:10" ht="13.8">
      <c r="A608" s="987">
        <v>17</v>
      </c>
      <c r="B608" s="988">
        <v>27942</v>
      </c>
      <c r="C608" s="987" t="s">
        <v>4630</v>
      </c>
      <c r="F608" s="990">
        <v>-6.7999999999999996E-3</v>
      </c>
      <c r="H608" s="993">
        <v>7.2375000000000009E-3</v>
      </c>
      <c r="I608" s="986">
        <f t="shared" si="9"/>
        <v>-1.4037500000000001E-2</v>
      </c>
      <c r="J608" s="988">
        <v>27942</v>
      </c>
    </row>
    <row r="609" spans="1:10" ht="13.8">
      <c r="A609" s="987">
        <v>17</v>
      </c>
      <c r="B609" s="988">
        <v>27973</v>
      </c>
      <c r="C609" s="987" t="s">
        <v>4630</v>
      </c>
      <c r="F609" s="990">
        <v>1.4E-3</v>
      </c>
      <c r="H609" s="993">
        <v>7.1291666666666665E-3</v>
      </c>
      <c r="I609" s="986">
        <f t="shared" si="9"/>
        <v>-5.7291666666666663E-3</v>
      </c>
      <c r="J609" s="988">
        <v>27973</v>
      </c>
    </row>
    <row r="610" spans="1:10" ht="13.8">
      <c r="A610" s="987">
        <v>17</v>
      </c>
      <c r="B610" s="988">
        <v>28004</v>
      </c>
      <c r="C610" s="987" t="s">
        <v>4630</v>
      </c>
      <c r="F610" s="990">
        <v>2.47E-2</v>
      </c>
      <c r="H610" s="993">
        <v>7.0499999999999998E-3</v>
      </c>
      <c r="I610" s="986">
        <f t="shared" si="9"/>
        <v>1.7649999999999999E-2</v>
      </c>
      <c r="J610" s="988">
        <v>28004</v>
      </c>
    </row>
    <row r="611" spans="1:10" ht="13.8">
      <c r="A611" s="987">
        <v>17</v>
      </c>
      <c r="B611" s="988">
        <v>28034</v>
      </c>
      <c r="C611" s="987" t="s">
        <v>4630</v>
      </c>
      <c r="F611" s="990">
        <v>-2.06E-2</v>
      </c>
      <c r="H611" s="993">
        <v>6.9999999999999993E-3</v>
      </c>
      <c r="I611" s="986">
        <f t="shared" si="9"/>
        <v>-2.76E-2</v>
      </c>
      <c r="J611" s="988">
        <v>28034</v>
      </c>
    </row>
    <row r="612" spans="1:10" ht="13.8">
      <c r="A612" s="987">
        <v>17</v>
      </c>
      <c r="B612" s="988">
        <v>28065</v>
      </c>
      <c r="C612" s="987" t="s">
        <v>4630</v>
      </c>
      <c r="F612" s="990">
        <v>-8.9999999999999998E-4</v>
      </c>
      <c r="H612" s="993">
        <v>6.9624999999999999E-3</v>
      </c>
      <c r="I612" s="986">
        <f t="shared" si="9"/>
        <v>-7.8624999999999997E-3</v>
      </c>
      <c r="J612" s="988">
        <v>28065</v>
      </c>
    </row>
    <row r="613" spans="1:10" ht="13.8">
      <c r="A613" s="987">
        <v>17</v>
      </c>
      <c r="B613" s="988">
        <v>28095</v>
      </c>
      <c r="C613" s="987" t="s">
        <v>4630</v>
      </c>
      <c r="F613" s="990">
        <v>5.3999999999999999E-2</v>
      </c>
      <c r="H613" s="993">
        <v>6.7604166666666663E-3</v>
      </c>
      <c r="I613" s="986">
        <f t="shared" si="9"/>
        <v>4.7239583333333335E-2</v>
      </c>
      <c r="J613" s="988">
        <v>28095</v>
      </c>
    </row>
    <row r="614" spans="1:10" ht="13.8">
      <c r="A614" s="987">
        <v>17</v>
      </c>
      <c r="B614" s="988">
        <v>28126</v>
      </c>
      <c r="C614" s="987" t="s">
        <v>4630</v>
      </c>
      <c r="F614" s="990">
        <v>-4.8899999999999999E-2</v>
      </c>
      <c r="H614" s="993">
        <v>6.7166666666666659E-3</v>
      </c>
      <c r="I614" s="986">
        <f t="shared" si="9"/>
        <v>-5.5616666666666661E-2</v>
      </c>
      <c r="J614" s="988">
        <v>28126</v>
      </c>
    </row>
    <row r="615" spans="1:10" ht="13.8">
      <c r="A615" s="987">
        <v>17</v>
      </c>
      <c r="B615" s="988">
        <v>28157</v>
      </c>
      <c r="C615" s="987" t="s">
        <v>4630</v>
      </c>
      <c r="F615" s="990">
        <v>-1.5100000000000001E-2</v>
      </c>
      <c r="H615" s="993">
        <v>6.7916666666666672E-3</v>
      </c>
      <c r="I615" s="986">
        <f t="shared" si="9"/>
        <v>-2.1891666666666667E-2</v>
      </c>
      <c r="J615" s="988">
        <v>28157</v>
      </c>
    </row>
    <row r="616" spans="1:10" ht="13.8">
      <c r="A616" s="987">
        <v>17</v>
      </c>
      <c r="B616" s="988">
        <v>28185</v>
      </c>
      <c r="C616" s="987" t="s">
        <v>4630</v>
      </c>
      <c r="F616" s="990">
        <v>-1.1900000000000001E-2</v>
      </c>
      <c r="H616" s="993">
        <v>6.8249999999999986E-3</v>
      </c>
      <c r="I616" s="986">
        <f t="shared" si="9"/>
        <v>-1.8724999999999999E-2</v>
      </c>
      <c r="J616" s="988">
        <v>28185</v>
      </c>
    </row>
    <row r="617" spans="1:10" ht="13.8">
      <c r="A617" s="987">
        <v>17</v>
      </c>
      <c r="B617" s="988">
        <v>28216</v>
      </c>
      <c r="C617" s="987" t="s">
        <v>4630</v>
      </c>
      <c r="F617" s="990">
        <v>1.4E-3</v>
      </c>
      <c r="H617" s="993">
        <v>6.7999999999999996E-3</v>
      </c>
      <c r="I617" s="986">
        <f t="shared" si="9"/>
        <v>-5.3999999999999994E-3</v>
      </c>
      <c r="J617" s="988">
        <v>28216</v>
      </c>
    </row>
    <row r="618" spans="1:10" ht="13.8">
      <c r="A618" s="987">
        <v>17</v>
      </c>
      <c r="B618" s="988">
        <v>28246</v>
      </c>
      <c r="C618" s="987" t="s">
        <v>4630</v>
      </c>
      <c r="F618" s="990">
        <v>-1.4999999999999999E-2</v>
      </c>
      <c r="H618" s="993">
        <v>6.8041666666666667E-3</v>
      </c>
      <c r="I618" s="986">
        <f t="shared" si="9"/>
        <v>-2.1804166666666666E-2</v>
      </c>
      <c r="J618" s="988">
        <v>28246</v>
      </c>
    </row>
    <row r="619" spans="1:10" ht="13.8">
      <c r="A619" s="987">
        <v>17</v>
      </c>
      <c r="B619" s="988">
        <v>28277</v>
      </c>
      <c r="C619" s="987" t="s">
        <v>4630</v>
      </c>
      <c r="F619" s="990">
        <v>4.7500000000000001E-2</v>
      </c>
      <c r="H619" s="993">
        <v>6.7250000000000001E-3</v>
      </c>
      <c r="I619" s="986">
        <f t="shared" si="9"/>
        <v>4.0774999999999999E-2</v>
      </c>
      <c r="J619" s="988">
        <v>28277</v>
      </c>
    </row>
    <row r="620" spans="1:10" ht="13.8">
      <c r="A620" s="987">
        <v>17</v>
      </c>
      <c r="B620" s="988">
        <v>28307</v>
      </c>
      <c r="C620" s="987" t="s">
        <v>4630</v>
      </c>
      <c r="F620" s="990">
        <v>-1.5100000000000001E-2</v>
      </c>
      <c r="H620" s="993">
        <v>6.6916666666666669E-3</v>
      </c>
      <c r="I620" s="986">
        <f t="shared" si="9"/>
        <v>-2.1791666666666668E-2</v>
      </c>
      <c r="J620" s="988">
        <v>28307</v>
      </c>
    </row>
    <row r="621" spans="1:10" ht="13.8">
      <c r="A621" s="987">
        <v>17</v>
      </c>
      <c r="B621" s="988">
        <v>28338</v>
      </c>
      <c r="C621" s="987" t="s">
        <v>4630</v>
      </c>
      <c r="F621" s="990">
        <v>-1.3299999999999999E-2</v>
      </c>
      <c r="H621" s="993">
        <v>6.7291666666666663E-3</v>
      </c>
      <c r="I621" s="986">
        <f t="shared" si="9"/>
        <v>-2.0029166666666667E-2</v>
      </c>
      <c r="J621" s="988">
        <v>28338</v>
      </c>
    </row>
    <row r="622" spans="1:10" ht="13.8">
      <c r="A622" s="987">
        <v>17</v>
      </c>
      <c r="B622" s="988">
        <v>28369</v>
      </c>
      <c r="C622" s="987" t="s">
        <v>4630</v>
      </c>
      <c r="F622" s="990">
        <v>0</v>
      </c>
      <c r="H622" s="993">
        <v>6.695833333333334E-3</v>
      </c>
      <c r="I622" s="986">
        <f t="shared" si="9"/>
        <v>-6.695833333333334E-3</v>
      </c>
      <c r="J622" s="988">
        <v>28369</v>
      </c>
    </row>
    <row r="623" spans="1:10" ht="13.8">
      <c r="A623" s="987">
        <v>17</v>
      </c>
      <c r="B623" s="988">
        <v>28399</v>
      </c>
      <c r="C623" s="987" t="s">
        <v>4630</v>
      </c>
      <c r="F623" s="990">
        <v>-4.1500000000000002E-2</v>
      </c>
      <c r="H623" s="993">
        <v>6.7916666666666672E-3</v>
      </c>
      <c r="I623" s="986">
        <f t="shared" si="9"/>
        <v>-4.829166666666667E-2</v>
      </c>
      <c r="J623" s="988">
        <v>28399</v>
      </c>
    </row>
    <row r="624" spans="1:10" ht="13.8">
      <c r="A624" s="987">
        <v>17</v>
      </c>
      <c r="B624" s="988">
        <v>28430</v>
      </c>
      <c r="C624" s="987" t="s">
        <v>4630</v>
      </c>
      <c r="F624" s="990">
        <v>3.6999999999999998E-2</v>
      </c>
      <c r="H624" s="993">
        <v>6.841666666666666E-3</v>
      </c>
      <c r="I624" s="986">
        <f t="shared" si="9"/>
        <v>3.0158333333333332E-2</v>
      </c>
      <c r="J624" s="988">
        <v>28430</v>
      </c>
    </row>
    <row r="625" spans="1:10" ht="13.8">
      <c r="A625" s="987">
        <v>17</v>
      </c>
      <c r="B625" s="988">
        <v>28460</v>
      </c>
      <c r="C625" s="987" t="s">
        <v>4630</v>
      </c>
      <c r="F625" s="990">
        <v>4.7999999999999996E-3</v>
      </c>
      <c r="H625" s="993">
        <v>6.9145833333333325E-3</v>
      </c>
      <c r="I625" s="986">
        <f t="shared" si="9"/>
        <v>-2.1145833333333329E-3</v>
      </c>
      <c r="J625" s="988">
        <v>28460</v>
      </c>
    </row>
    <row r="626" spans="1:10" ht="13.8">
      <c r="A626" s="987">
        <v>17</v>
      </c>
      <c r="B626" s="988">
        <v>28491</v>
      </c>
      <c r="C626" s="987" t="s">
        <v>4630</v>
      </c>
      <c r="F626" s="990">
        <v>-5.96E-2</v>
      </c>
      <c r="H626" s="993">
        <v>7.083333333333333E-3</v>
      </c>
      <c r="I626" s="986">
        <f t="shared" si="9"/>
        <v>-6.6683333333333331E-2</v>
      </c>
      <c r="J626" s="988">
        <v>28491</v>
      </c>
    </row>
    <row r="627" spans="1:10" ht="13.8">
      <c r="A627" s="987">
        <v>17</v>
      </c>
      <c r="B627" s="988">
        <v>28522</v>
      </c>
      <c r="C627" s="987" t="s">
        <v>4630</v>
      </c>
      <c r="F627" s="990">
        <v>-1.61E-2</v>
      </c>
      <c r="H627" s="993">
        <v>7.1333333333333335E-3</v>
      </c>
      <c r="I627" s="986">
        <f t="shared" si="9"/>
        <v>-2.3233333333333335E-2</v>
      </c>
      <c r="J627" s="988">
        <v>28522</v>
      </c>
    </row>
    <row r="628" spans="1:10" ht="13.8">
      <c r="A628" s="987">
        <v>17</v>
      </c>
      <c r="B628" s="988">
        <v>28550</v>
      </c>
      <c r="C628" s="987" t="s">
        <v>4630</v>
      </c>
      <c r="F628" s="990">
        <v>2.76E-2</v>
      </c>
      <c r="H628" s="993">
        <v>7.1375000000000015E-3</v>
      </c>
      <c r="I628" s="986">
        <f t="shared" si="9"/>
        <v>2.0462499999999998E-2</v>
      </c>
      <c r="J628" s="988">
        <v>28550</v>
      </c>
    </row>
    <row r="629" spans="1:10" ht="13.8">
      <c r="A629" s="987">
        <v>17</v>
      </c>
      <c r="B629" s="988">
        <v>28581</v>
      </c>
      <c r="C629" s="987" t="s">
        <v>4630</v>
      </c>
      <c r="F629" s="990">
        <v>8.6999999999999994E-2</v>
      </c>
      <c r="H629" s="993">
        <v>7.2041666666666669E-3</v>
      </c>
      <c r="I629" s="986">
        <f t="shared" si="9"/>
        <v>7.979583333333333E-2</v>
      </c>
      <c r="J629" s="988">
        <v>28581</v>
      </c>
    </row>
    <row r="630" spans="1:10" ht="13.8">
      <c r="A630" s="987">
        <v>17</v>
      </c>
      <c r="B630" s="988">
        <v>28611</v>
      </c>
      <c r="C630" s="987" t="s">
        <v>4630</v>
      </c>
      <c r="F630" s="990">
        <v>1.3599999999999999E-2</v>
      </c>
      <c r="H630" s="993">
        <v>7.3041666666666671E-3</v>
      </c>
      <c r="I630" s="986">
        <f t="shared" si="9"/>
        <v>6.2958333333333321E-3</v>
      </c>
      <c r="J630" s="988">
        <v>28611</v>
      </c>
    </row>
    <row r="631" spans="1:10" ht="13.8">
      <c r="A631" s="987">
        <v>17</v>
      </c>
      <c r="B631" s="988">
        <v>28642</v>
      </c>
      <c r="C631" s="987" t="s">
        <v>4630</v>
      </c>
      <c r="F631" s="990">
        <v>-1.52E-2</v>
      </c>
      <c r="H631" s="993">
        <v>7.3791666666666658E-3</v>
      </c>
      <c r="I631" s="986">
        <f t="shared" si="9"/>
        <v>-2.2579166666666664E-2</v>
      </c>
      <c r="J631" s="988">
        <v>28642</v>
      </c>
    </row>
    <row r="632" spans="1:10" ht="13.8">
      <c r="A632" s="987">
        <v>17</v>
      </c>
      <c r="B632" s="988">
        <v>28672</v>
      </c>
      <c r="C632" s="987" t="s">
        <v>4630</v>
      </c>
      <c r="F632" s="990">
        <v>5.6000000000000001E-2</v>
      </c>
      <c r="H632" s="993">
        <v>7.4791666666666678E-3</v>
      </c>
      <c r="I632" s="986">
        <f t="shared" si="9"/>
        <v>4.8520833333333332E-2</v>
      </c>
      <c r="J632" s="988">
        <v>28672</v>
      </c>
    </row>
    <row r="633" spans="1:10" ht="13.8">
      <c r="A633" s="987">
        <v>17</v>
      </c>
      <c r="B633" s="988">
        <v>28703</v>
      </c>
      <c r="C633" s="987" t="s">
        <v>4630</v>
      </c>
      <c r="F633" s="990">
        <v>3.4000000000000002E-2</v>
      </c>
      <c r="H633" s="993">
        <v>7.354166666666666E-3</v>
      </c>
      <c r="I633" s="986">
        <f t="shared" si="9"/>
        <v>2.6645833333333337E-2</v>
      </c>
      <c r="J633" s="988">
        <v>28703</v>
      </c>
    </row>
    <row r="634" spans="1:10" ht="13.8">
      <c r="A634" s="987">
        <v>17</v>
      </c>
      <c r="B634" s="988">
        <v>28734</v>
      </c>
      <c r="C634" s="987" t="s">
        <v>4630</v>
      </c>
      <c r="F634" s="990">
        <v>-4.7999999999999996E-3</v>
      </c>
      <c r="H634" s="993">
        <v>7.3374999999999994E-3</v>
      </c>
      <c r="I634" s="986">
        <f t="shared" si="9"/>
        <v>-1.2137499999999999E-2</v>
      </c>
      <c r="J634" s="988">
        <v>28734</v>
      </c>
    </row>
    <row r="635" spans="1:10" ht="13.8">
      <c r="A635" s="987">
        <v>17</v>
      </c>
      <c r="B635" s="988">
        <v>28764</v>
      </c>
      <c r="C635" s="987" t="s">
        <v>4630</v>
      </c>
      <c r="F635" s="990">
        <v>-8.9099999999999999E-2</v>
      </c>
      <c r="H635" s="993">
        <v>7.4833333333333332E-3</v>
      </c>
      <c r="I635" s="986">
        <f t="shared" si="9"/>
        <v>-9.6583333333333327E-2</v>
      </c>
      <c r="J635" s="988">
        <v>28764</v>
      </c>
    </row>
    <row r="636" spans="1:10" ht="13.8">
      <c r="A636" s="987">
        <v>17</v>
      </c>
      <c r="B636" s="988">
        <v>28795</v>
      </c>
      <c r="C636" s="987" t="s">
        <v>4630</v>
      </c>
      <c r="F636" s="990">
        <v>2.5999999999999999E-2</v>
      </c>
      <c r="H636" s="993">
        <v>7.6124999999999995E-3</v>
      </c>
      <c r="I636" s="986">
        <f t="shared" si="9"/>
        <v>1.8387500000000001E-2</v>
      </c>
      <c r="J636" s="988">
        <v>28795</v>
      </c>
    </row>
    <row r="637" spans="1:10" ht="13.8">
      <c r="A637" s="987">
        <v>17</v>
      </c>
      <c r="B637" s="988">
        <v>28825</v>
      </c>
      <c r="C637" s="987" t="s">
        <v>4630</v>
      </c>
      <c r="F637" s="990">
        <v>1.72E-2</v>
      </c>
      <c r="H637" s="993">
        <v>7.7041666666666665E-3</v>
      </c>
      <c r="I637" s="986">
        <f t="shared" si="9"/>
        <v>9.4958333333333336E-3</v>
      </c>
      <c r="J637" s="988">
        <v>28825</v>
      </c>
    </row>
    <row r="638" spans="1:10" ht="13.8">
      <c r="A638" s="987">
        <v>17</v>
      </c>
      <c r="B638" s="988">
        <v>28856</v>
      </c>
      <c r="C638" s="987" t="s">
        <v>4630</v>
      </c>
      <c r="F638" s="990">
        <v>4.2099999999999999E-2</v>
      </c>
      <c r="H638" s="993">
        <v>7.8041666666666676E-3</v>
      </c>
      <c r="I638" s="986">
        <f t="shared" si="9"/>
        <v>3.4295833333333331E-2</v>
      </c>
      <c r="J638" s="988">
        <v>28856</v>
      </c>
    </row>
    <row r="639" spans="1:10" ht="13.8">
      <c r="A639" s="987">
        <v>17</v>
      </c>
      <c r="B639" s="988">
        <v>28887</v>
      </c>
      <c r="C639" s="987" t="s">
        <v>4630</v>
      </c>
      <c r="F639" s="990">
        <v>-2.8400000000000002E-2</v>
      </c>
      <c r="H639" s="993">
        <v>7.8166666666666662E-3</v>
      </c>
      <c r="I639" s="986">
        <f t="shared" si="9"/>
        <v>-3.6216666666666668E-2</v>
      </c>
      <c r="J639" s="988">
        <v>28887</v>
      </c>
    </row>
    <row r="640" spans="1:10" ht="13.8">
      <c r="A640" s="987">
        <v>17</v>
      </c>
      <c r="B640" s="988">
        <v>28915</v>
      </c>
      <c r="C640" s="987" t="s">
        <v>4630</v>
      </c>
      <c r="F640" s="990">
        <v>5.7500000000000002E-2</v>
      </c>
      <c r="H640" s="993">
        <v>7.9083333333333332E-3</v>
      </c>
      <c r="I640" s="986">
        <f t="shared" si="9"/>
        <v>4.9591666666666673E-2</v>
      </c>
      <c r="J640" s="988">
        <v>28915</v>
      </c>
    </row>
    <row r="641" spans="1:10" ht="13.8">
      <c r="A641" s="987">
        <v>17</v>
      </c>
      <c r="B641" s="988">
        <v>28946</v>
      </c>
      <c r="C641" s="987" t="s">
        <v>4630</v>
      </c>
      <c r="F641" s="990">
        <v>3.5999999999999999E-3</v>
      </c>
      <c r="H641" s="993">
        <v>7.9291666666666677E-3</v>
      </c>
      <c r="I641" s="986">
        <f t="shared" si="9"/>
        <v>-4.3291666666666678E-3</v>
      </c>
      <c r="J641" s="988">
        <v>28946</v>
      </c>
    </row>
    <row r="642" spans="1:10" ht="13.8">
      <c r="A642" s="987">
        <v>17</v>
      </c>
      <c r="B642" s="988">
        <v>28976</v>
      </c>
      <c r="C642" s="987" t="s">
        <v>4630</v>
      </c>
      <c r="F642" s="990">
        <v>-1.6799999999999999E-2</v>
      </c>
      <c r="H642" s="993">
        <v>8.0666666666666664E-3</v>
      </c>
      <c r="I642" s="986">
        <f t="shared" si="9"/>
        <v>-2.4866666666666665E-2</v>
      </c>
      <c r="J642" s="988">
        <v>28976</v>
      </c>
    </row>
    <row r="643" spans="1:10" ht="13.8">
      <c r="A643" s="987">
        <v>17</v>
      </c>
      <c r="B643" s="988">
        <v>29007</v>
      </c>
      <c r="C643" s="987" t="s">
        <v>4630</v>
      </c>
      <c r="F643" s="990">
        <v>4.1000000000000002E-2</v>
      </c>
      <c r="H643" s="993">
        <v>7.8958333333333328E-3</v>
      </c>
      <c r="I643" s="986">
        <f t="shared" si="9"/>
        <v>3.3104166666666671E-2</v>
      </c>
      <c r="J643" s="988">
        <v>29007</v>
      </c>
    </row>
    <row r="644" spans="1:10" ht="13.8">
      <c r="A644" s="987">
        <v>17</v>
      </c>
      <c r="B644" s="988">
        <v>29037</v>
      </c>
      <c r="C644" s="987" t="s">
        <v>4630</v>
      </c>
      <c r="F644" s="990">
        <v>1.0999999999999999E-2</v>
      </c>
      <c r="H644" s="993">
        <v>7.7875000000000002E-3</v>
      </c>
      <c r="I644" s="986">
        <f t="shared" si="9"/>
        <v>3.2124999999999992E-3</v>
      </c>
      <c r="J644" s="988">
        <v>29037</v>
      </c>
    </row>
    <row r="645" spans="1:10" ht="13.8">
      <c r="A645" s="987">
        <v>17</v>
      </c>
      <c r="B645" s="988">
        <v>29068</v>
      </c>
      <c r="C645" s="987" t="s">
        <v>4630</v>
      </c>
      <c r="F645" s="990">
        <v>6.1100000000000002E-2</v>
      </c>
      <c r="H645" s="993">
        <v>7.8166666666666662E-3</v>
      </c>
      <c r="I645" s="986">
        <f t="shared" si="9"/>
        <v>5.3283333333333335E-2</v>
      </c>
      <c r="J645" s="988">
        <v>29068</v>
      </c>
    </row>
    <row r="646" spans="1:10" ht="13.8">
      <c r="A646" s="987">
        <v>17</v>
      </c>
      <c r="B646" s="988">
        <v>29099</v>
      </c>
      <c r="C646" s="987" t="s">
        <v>4630</v>
      </c>
      <c r="F646" s="990">
        <v>2.5000000000000001E-3</v>
      </c>
      <c r="H646" s="993">
        <v>7.9749999999999995E-3</v>
      </c>
      <c r="I646" s="986">
        <f t="shared" si="9"/>
        <v>-5.474999999999999E-3</v>
      </c>
      <c r="J646" s="988">
        <v>29099</v>
      </c>
    </row>
    <row r="647" spans="1:10" ht="13.8">
      <c r="A647" s="987">
        <v>17</v>
      </c>
      <c r="B647" s="988">
        <v>29129</v>
      </c>
      <c r="C647" s="987" t="s">
        <v>4630</v>
      </c>
      <c r="F647" s="990">
        <v>-6.5600000000000006E-2</v>
      </c>
      <c r="H647" s="993">
        <v>8.5791666666666672E-3</v>
      </c>
      <c r="I647" s="986">
        <f t="shared" si="9"/>
        <v>-7.4179166666666671E-2</v>
      </c>
      <c r="J647" s="988">
        <v>29129</v>
      </c>
    </row>
    <row r="648" spans="1:10" ht="13.8">
      <c r="A648" s="987">
        <v>17</v>
      </c>
      <c r="B648" s="988">
        <v>29160</v>
      </c>
      <c r="C648" s="987" t="s">
        <v>4630</v>
      </c>
      <c r="F648" s="990">
        <v>5.1400000000000001E-2</v>
      </c>
      <c r="H648" s="993">
        <v>9.1583333333333326E-3</v>
      </c>
      <c r="I648" s="986">
        <f t="shared" si="9"/>
        <v>4.224166666666667E-2</v>
      </c>
      <c r="J648" s="988">
        <v>29160</v>
      </c>
    </row>
    <row r="649" spans="1:10" ht="13.8">
      <c r="A649" s="987">
        <v>17</v>
      </c>
      <c r="B649" s="988">
        <v>29190</v>
      </c>
      <c r="C649" s="987" t="s">
        <v>4630</v>
      </c>
      <c r="F649" s="990">
        <v>1.9199999999999998E-2</v>
      </c>
      <c r="H649" s="993">
        <v>9.1208333333333332E-3</v>
      </c>
      <c r="I649" s="986">
        <f t="shared" si="9"/>
        <v>1.0079166666666665E-2</v>
      </c>
      <c r="J649" s="988">
        <v>29190</v>
      </c>
    </row>
    <row r="650" spans="1:10" ht="13.8">
      <c r="A650" s="987">
        <v>17</v>
      </c>
      <c r="B650" s="988">
        <v>29221</v>
      </c>
      <c r="C650" s="987" t="s">
        <v>4630</v>
      </c>
      <c r="F650" s="990">
        <v>6.0999999999999999E-2</v>
      </c>
      <c r="H650" s="993">
        <v>9.4375000000000014E-3</v>
      </c>
      <c r="I650" s="986">
        <f t="shared" si="9"/>
        <v>5.1562499999999997E-2</v>
      </c>
      <c r="J650" s="988">
        <v>29221</v>
      </c>
    </row>
    <row r="651" spans="1:10" ht="13.8">
      <c r="A651" s="987">
        <v>17</v>
      </c>
      <c r="B651" s="988">
        <v>29252</v>
      </c>
      <c r="C651" s="987" t="s">
        <v>4630</v>
      </c>
      <c r="F651" s="990">
        <v>3.0999999999999999E-3</v>
      </c>
      <c r="H651" s="993">
        <v>1.0462500000000001E-2</v>
      </c>
      <c r="I651" s="986">
        <f t="shared" si="9"/>
        <v>-7.362500000000001E-3</v>
      </c>
      <c r="J651" s="988">
        <v>29252</v>
      </c>
    </row>
    <row r="652" spans="1:10" ht="13.8">
      <c r="A652" s="987">
        <v>17</v>
      </c>
      <c r="B652" s="988">
        <v>29281</v>
      </c>
      <c r="C652" s="987" t="s">
        <v>4630</v>
      </c>
      <c r="F652" s="990">
        <v>-9.8699999999999996E-2</v>
      </c>
      <c r="H652" s="993">
        <v>1.1029166666666668E-2</v>
      </c>
      <c r="I652" s="986">
        <f t="shared" si="9"/>
        <v>-0.10972916666666667</v>
      </c>
      <c r="J652" s="988">
        <v>29281</v>
      </c>
    </row>
    <row r="653" spans="1:10" ht="13.8">
      <c r="A653" s="987">
        <v>17</v>
      </c>
      <c r="B653" s="988">
        <v>29312</v>
      </c>
      <c r="C653" s="987" t="s">
        <v>4630</v>
      </c>
      <c r="F653" s="990">
        <v>4.2900000000000001E-2</v>
      </c>
      <c r="H653" s="993">
        <v>1.0458333333333333E-2</v>
      </c>
      <c r="I653" s="986">
        <f t="shared" si="9"/>
        <v>3.2441666666666667E-2</v>
      </c>
      <c r="J653" s="988">
        <v>29312</v>
      </c>
    </row>
    <row r="654" spans="1:10" ht="13.8">
      <c r="A654" s="987">
        <v>17</v>
      </c>
      <c r="B654" s="988">
        <v>29342</v>
      </c>
      <c r="C654" s="987" t="s">
        <v>4630</v>
      </c>
      <c r="F654" s="990">
        <v>5.62E-2</v>
      </c>
      <c r="H654" s="993">
        <v>9.541666666666667E-3</v>
      </c>
      <c r="I654" s="986">
        <f t="shared" si="9"/>
        <v>4.6658333333333329E-2</v>
      </c>
      <c r="J654" s="988">
        <v>29342</v>
      </c>
    </row>
    <row r="655" spans="1:10" ht="13.8">
      <c r="A655" s="987">
        <v>17</v>
      </c>
      <c r="B655" s="988">
        <v>29373</v>
      </c>
      <c r="C655" s="987" t="s">
        <v>4630</v>
      </c>
      <c r="F655" s="990">
        <v>2.9600000000000001E-2</v>
      </c>
      <c r="H655" s="993">
        <v>9.1541666666666681E-3</v>
      </c>
      <c r="I655" s="986">
        <f t="shared" si="9"/>
        <v>2.0445833333333333E-2</v>
      </c>
      <c r="J655" s="988">
        <v>29373</v>
      </c>
    </row>
    <row r="656" spans="1:10" ht="13.8">
      <c r="A656" s="987">
        <v>17</v>
      </c>
      <c r="B656" s="988">
        <v>29403</v>
      </c>
      <c r="C656" s="987" t="s">
        <v>4630</v>
      </c>
      <c r="F656" s="990">
        <v>6.7599999999999993E-2</v>
      </c>
      <c r="H656" s="993">
        <v>9.3749999999999997E-3</v>
      </c>
      <c r="I656" s="986">
        <f t="shared" si="9"/>
        <v>5.8224999999999992E-2</v>
      </c>
      <c r="J656" s="988">
        <v>29403</v>
      </c>
    </row>
    <row r="657" spans="1:10" ht="13.8">
      <c r="A657" s="987">
        <v>17</v>
      </c>
      <c r="B657" s="988">
        <v>29434</v>
      </c>
      <c r="C657" s="987" t="s">
        <v>4630</v>
      </c>
      <c r="F657" s="990">
        <v>1.3100000000000001E-2</v>
      </c>
      <c r="H657" s="993">
        <v>9.8875000000000005E-3</v>
      </c>
      <c r="I657" s="986">
        <f t="shared" si="9"/>
        <v>3.2125000000000001E-3</v>
      </c>
      <c r="J657" s="988">
        <v>29434</v>
      </c>
    </row>
    <row r="658" spans="1:10" ht="13.8">
      <c r="A658" s="987">
        <v>17</v>
      </c>
      <c r="B658" s="988">
        <v>29465</v>
      </c>
      <c r="C658" s="987" t="s">
        <v>4630</v>
      </c>
      <c r="F658" s="990">
        <v>2.81E-2</v>
      </c>
      <c r="H658" s="993">
        <v>1.0225E-2</v>
      </c>
      <c r="I658" s="986">
        <f t="shared" si="9"/>
        <v>1.7875000000000002E-2</v>
      </c>
      <c r="J658" s="988">
        <v>29465</v>
      </c>
    </row>
    <row r="659" spans="1:10" ht="13.8">
      <c r="A659" s="987">
        <v>17</v>
      </c>
      <c r="B659" s="988">
        <v>29495</v>
      </c>
      <c r="C659" s="987" t="s">
        <v>4630</v>
      </c>
      <c r="F659" s="990">
        <v>1.8700000000000001E-2</v>
      </c>
      <c r="H659" s="993">
        <v>1.04125E-2</v>
      </c>
      <c r="I659" s="986">
        <f t="shared" si="9"/>
        <v>8.2875000000000015E-3</v>
      </c>
      <c r="J659" s="988">
        <v>29495</v>
      </c>
    </row>
    <row r="660" spans="1:10" ht="13.8">
      <c r="A660" s="987">
        <v>17</v>
      </c>
      <c r="B660" s="988">
        <v>29526</v>
      </c>
      <c r="C660" s="987" t="s">
        <v>4630</v>
      </c>
      <c r="F660" s="990">
        <v>0.1095</v>
      </c>
      <c r="H660" s="993">
        <v>1.09625E-2</v>
      </c>
      <c r="I660" s="986">
        <f t="shared" si="9"/>
        <v>9.85375E-2</v>
      </c>
      <c r="J660" s="988">
        <v>29526</v>
      </c>
    </row>
    <row r="661" spans="1:10" ht="13.8">
      <c r="A661" s="987">
        <v>17</v>
      </c>
      <c r="B661" s="988">
        <v>29556</v>
      </c>
      <c r="C661" s="987" t="s">
        <v>4630</v>
      </c>
      <c r="F661" s="990">
        <v>-3.15E-2</v>
      </c>
      <c r="H661" s="993">
        <v>1.1245833333333333E-2</v>
      </c>
      <c r="I661" s="986">
        <f t="shared" si="9"/>
        <v>-4.274583333333333E-2</v>
      </c>
      <c r="J661" s="988">
        <v>29556</v>
      </c>
    </row>
    <row r="662" spans="1:10" ht="13.8">
      <c r="A662" s="987">
        <v>17</v>
      </c>
      <c r="B662" s="988">
        <v>29587</v>
      </c>
      <c r="C662" s="987" t="s">
        <v>4630</v>
      </c>
      <c r="F662" s="990">
        <v>-4.3799999999999999E-2</v>
      </c>
      <c r="H662" s="993">
        <v>1.0970833333333334E-2</v>
      </c>
      <c r="I662" s="986">
        <f t="shared" si="9"/>
        <v>-5.4770833333333331E-2</v>
      </c>
      <c r="J662" s="988">
        <v>29587</v>
      </c>
    </row>
    <row r="663" spans="1:10" ht="13.8">
      <c r="A663" s="987">
        <v>17</v>
      </c>
      <c r="B663" s="988">
        <v>29618</v>
      </c>
      <c r="C663" s="987" t="s">
        <v>4630</v>
      </c>
      <c r="F663" s="990">
        <v>2.0799999999999999E-2</v>
      </c>
      <c r="H663" s="993">
        <v>1.1350000000000001E-2</v>
      </c>
      <c r="I663" s="986">
        <f t="shared" si="9"/>
        <v>9.4499999999999983E-3</v>
      </c>
      <c r="J663" s="988">
        <v>29618</v>
      </c>
    </row>
    <row r="664" spans="1:10" ht="13.8">
      <c r="A664" s="987">
        <v>17</v>
      </c>
      <c r="B664" s="988">
        <v>29646</v>
      </c>
      <c r="C664" s="987" t="s">
        <v>4630</v>
      </c>
      <c r="F664" s="990">
        <v>3.7999999999999999E-2</v>
      </c>
      <c r="H664" s="993">
        <v>1.1345833333333335E-2</v>
      </c>
      <c r="I664" s="986">
        <f t="shared" si="9"/>
        <v>2.6654166666666666E-2</v>
      </c>
      <c r="J664" s="988">
        <v>29646</v>
      </c>
    </row>
    <row r="665" spans="1:10" ht="13.8">
      <c r="A665" s="987">
        <v>17</v>
      </c>
      <c r="B665" s="988">
        <v>29677</v>
      </c>
      <c r="C665" s="987" t="s">
        <v>4630</v>
      </c>
      <c r="F665" s="990">
        <v>-2.1299999999999999E-2</v>
      </c>
      <c r="H665" s="993">
        <v>1.1779166666666667E-2</v>
      </c>
      <c r="I665" s="986">
        <f t="shared" si="9"/>
        <v>-3.3079166666666666E-2</v>
      </c>
      <c r="J665" s="988">
        <v>29677</v>
      </c>
    </row>
    <row r="666" spans="1:10" ht="13.8">
      <c r="A666" s="987">
        <v>17</v>
      </c>
      <c r="B666" s="988">
        <v>29707</v>
      </c>
      <c r="C666" s="987" t="s">
        <v>4630</v>
      </c>
      <c r="F666" s="990">
        <v>6.1999999999999998E-3</v>
      </c>
      <c r="H666" s="993">
        <v>1.2166666666666668E-2</v>
      </c>
      <c r="I666" s="986">
        <f t="shared" ref="I666:I729" si="10">F666-H666</f>
        <v>-5.9666666666666679E-3</v>
      </c>
      <c r="J666" s="988">
        <v>29707</v>
      </c>
    </row>
    <row r="667" spans="1:10" ht="13.8">
      <c r="A667" s="987">
        <v>17</v>
      </c>
      <c r="B667" s="988">
        <v>29738</v>
      </c>
      <c r="C667" s="987" t="s">
        <v>4630</v>
      </c>
      <c r="F667" s="990">
        <v>-8.0000000000000002E-3</v>
      </c>
      <c r="H667" s="993">
        <v>1.1733333333333333E-2</v>
      </c>
      <c r="I667" s="986">
        <f t="shared" si="10"/>
        <v>-1.9733333333333332E-2</v>
      </c>
      <c r="J667" s="988">
        <v>29738</v>
      </c>
    </row>
    <row r="668" spans="1:10" ht="13.8">
      <c r="A668" s="987">
        <v>17</v>
      </c>
      <c r="B668" s="988">
        <v>29768</v>
      </c>
      <c r="C668" s="987" t="s">
        <v>4630</v>
      </c>
      <c r="F668" s="990">
        <v>6.9999999999999999E-4</v>
      </c>
      <c r="H668" s="993">
        <v>1.2154166666666666E-2</v>
      </c>
      <c r="I668" s="986">
        <f t="shared" si="10"/>
        <v>-1.1454166666666666E-2</v>
      </c>
      <c r="J668" s="988">
        <v>29768</v>
      </c>
    </row>
    <row r="669" spans="1:10" ht="13.8">
      <c r="A669" s="987">
        <v>17</v>
      </c>
      <c r="B669" s="988">
        <v>29799</v>
      </c>
      <c r="C669" s="987" t="s">
        <v>4630</v>
      </c>
      <c r="F669" s="990">
        <v>-5.5399999999999998E-2</v>
      </c>
      <c r="H669" s="993">
        <v>1.2629166666666667E-2</v>
      </c>
      <c r="I669" s="986">
        <f t="shared" si="10"/>
        <v>-6.8029166666666668E-2</v>
      </c>
      <c r="J669" s="988">
        <v>29799</v>
      </c>
    </row>
    <row r="670" spans="1:10" ht="13.8">
      <c r="A670" s="987">
        <v>17</v>
      </c>
      <c r="B670" s="988">
        <v>29830</v>
      </c>
      <c r="C670" s="987" t="s">
        <v>4630</v>
      </c>
      <c r="F670" s="990">
        <v>-5.0200000000000002E-2</v>
      </c>
      <c r="H670" s="993">
        <v>1.3100000000000001E-2</v>
      </c>
      <c r="I670" s="986">
        <f t="shared" si="10"/>
        <v>-6.3299999999999995E-2</v>
      </c>
      <c r="J670" s="988">
        <v>29830</v>
      </c>
    </row>
    <row r="671" spans="1:10" ht="13.8">
      <c r="A671" s="987">
        <v>17</v>
      </c>
      <c r="B671" s="988">
        <v>29860</v>
      </c>
      <c r="C671" s="987" t="s">
        <v>4630</v>
      </c>
      <c r="F671" s="990">
        <v>5.28E-2</v>
      </c>
      <c r="H671" s="993">
        <v>1.3008333333333334E-2</v>
      </c>
      <c r="I671" s="986">
        <f t="shared" si="10"/>
        <v>3.979166666666667E-2</v>
      </c>
      <c r="J671" s="988">
        <v>29860</v>
      </c>
    </row>
    <row r="672" spans="1:10" ht="13.8">
      <c r="A672" s="987">
        <v>17</v>
      </c>
      <c r="B672" s="988">
        <v>29891</v>
      </c>
      <c r="C672" s="987" t="s">
        <v>4630</v>
      </c>
      <c r="F672" s="990">
        <v>4.41E-2</v>
      </c>
      <c r="H672" s="993">
        <v>1.21625E-2</v>
      </c>
      <c r="I672" s="986">
        <f t="shared" si="10"/>
        <v>3.1937500000000001E-2</v>
      </c>
      <c r="J672" s="988">
        <v>29891</v>
      </c>
    </row>
    <row r="673" spans="1:10" ht="13.8">
      <c r="A673" s="987">
        <v>17</v>
      </c>
      <c r="B673" s="988">
        <v>29921</v>
      </c>
      <c r="C673" s="987" t="s">
        <v>4630</v>
      </c>
      <c r="F673" s="990">
        <v>-2.6499999999999999E-2</v>
      </c>
      <c r="H673" s="993">
        <v>1.2179166666666665E-2</v>
      </c>
      <c r="I673" s="986">
        <f t="shared" si="10"/>
        <v>-3.8679166666666667E-2</v>
      </c>
      <c r="J673" s="988">
        <v>29921</v>
      </c>
    </row>
    <row r="674" spans="1:10" ht="13.8">
      <c r="A674" s="987">
        <v>17</v>
      </c>
      <c r="B674" s="988">
        <v>29952</v>
      </c>
      <c r="C674" s="987" t="s">
        <v>4630</v>
      </c>
      <c r="F674" s="990">
        <v>-1.6299999999999999E-2</v>
      </c>
      <c r="H674" s="993">
        <v>1.2887499999999998E-2</v>
      </c>
      <c r="I674" s="986">
        <f t="shared" si="10"/>
        <v>-2.9187499999999998E-2</v>
      </c>
      <c r="J674" s="988">
        <v>29952</v>
      </c>
    </row>
    <row r="675" spans="1:10" ht="13.8">
      <c r="A675" s="987">
        <v>17</v>
      </c>
      <c r="B675" s="988">
        <v>29983</v>
      </c>
      <c r="C675" s="987" t="s">
        <v>4630</v>
      </c>
      <c r="F675" s="990">
        <v>-5.1200000000000002E-2</v>
      </c>
      <c r="H675" s="993">
        <v>1.29125E-2</v>
      </c>
      <c r="I675" s="986">
        <f t="shared" si="10"/>
        <v>-6.4112500000000003E-2</v>
      </c>
      <c r="J675" s="988">
        <v>29983</v>
      </c>
    </row>
    <row r="676" spans="1:10" ht="13.8">
      <c r="A676" s="987">
        <v>17</v>
      </c>
      <c r="B676" s="988">
        <v>30011</v>
      </c>
      <c r="C676" s="987" t="s">
        <v>4630</v>
      </c>
      <c r="F676" s="990">
        <v>-6.0000000000000001E-3</v>
      </c>
      <c r="H676" s="993">
        <v>1.24125E-2</v>
      </c>
      <c r="I676" s="986">
        <f t="shared" si="10"/>
        <v>-1.8412499999999998E-2</v>
      </c>
      <c r="J676" s="988">
        <v>30011</v>
      </c>
    </row>
    <row r="677" spans="1:10" ht="13.8">
      <c r="A677" s="987">
        <v>17</v>
      </c>
      <c r="B677" s="988">
        <v>30042</v>
      </c>
      <c r="C677" s="987" t="s">
        <v>4630</v>
      </c>
      <c r="F677" s="990">
        <v>4.1399999999999999E-2</v>
      </c>
      <c r="H677" s="993">
        <v>1.2233333333333334E-2</v>
      </c>
      <c r="I677" s="986">
        <f t="shared" si="10"/>
        <v>2.9166666666666667E-2</v>
      </c>
      <c r="J677" s="988">
        <v>30042</v>
      </c>
    </row>
    <row r="678" spans="1:10" ht="13.8">
      <c r="A678" s="987">
        <v>17</v>
      </c>
      <c r="B678" s="988">
        <v>30072</v>
      </c>
      <c r="C678" s="987" t="s">
        <v>4630</v>
      </c>
      <c r="F678" s="990">
        <v>-2.8799999999999999E-2</v>
      </c>
      <c r="H678" s="993">
        <v>1.2095833333333332E-2</v>
      </c>
      <c r="I678" s="986">
        <f t="shared" si="10"/>
        <v>-4.0895833333333333E-2</v>
      </c>
      <c r="J678" s="988">
        <v>30072</v>
      </c>
    </row>
    <row r="679" spans="1:10" ht="13.8">
      <c r="A679" s="987">
        <v>17</v>
      </c>
      <c r="B679" s="988">
        <v>30103</v>
      </c>
      <c r="C679" s="987" t="s">
        <v>4630</v>
      </c>
      <c r="F679" s="990">
        <v>-1.7399999999999999E-2</v>
      </c>
      <c r="H679" s="993">
        <v>1.2529166666666668E-2</v>
      </c>
      <c r="I679" s="986">
        <f t="shared" si="10"/>
        <v>-2.9929166666666666E-2</v>
      </c>
      <c r="J679" s="988">
        <v>30103</v>
      </c>
    </row>
    <row r="680" spans="1:10" ht="13.8">
      <c r="A680" s="987">
        <v>17</v>
      </c>
      <c r="B680" s="988">
        <v>30133</v>
      </c>
      <c r="C680" s="987" t="s">
        <v>4630</v>
      </c>
      <c r="F680" s="990">
        <v>-2.1499999999999998E-2</v>
      </c>
      <c r="H680" s="993">
        <v>1.2425000000000002E-2</v>
      </c>
      <c r="I680" s="986">
        <f t="shared" si="10"/>
        <v>-3.3924999999999997E-2</v>
      </c>
      <c r="J680" s="988">
        <v>30133</v>
      </c>
    </row>
    <row r="681" spans="1:10" ht="13.8">
      <c r="A681" s="987">
        <v>17</v>
      </c>
      <c r="B681" s="988">
        <v>30164</v>
      </c>
      <c r="C681" s="987" t="s">
        <v>4630</v>
      </c>
      <c r="F681" s="990">
        <v>0.12670000000000001</v>
      </c>
      <c r="H681" s="993">
        <v>1.1745833333333336E-2</v>
      </c>
      <c r="I681" s="986">
        <f t="shared" si="10"/>
        <v>0.11495416666666668</v>
      </c>
      <c r="J681" s="988">
        <v>30164</v>
      </c>
    </row>
    <row r="682" spans="1:10" ht="13.8">
      <c r="A682" s="987">
        <v>17</v>
      </c>
      <c r="B682" s="988">
        <v>30195</v>
      </c>
      <c r="C682" s="987" t="s">
        <v>4630</v>
      </c>
      <c r="F682" s="990">
        <v>1.0999999999999999E-2</v>
      </c>
      <c r="H682" s="993">
        <v>1.1108333333333333E-2</v>
      </c>
      <c r="I682" s="986">
        <f t="shared" si="10"/>
        <v>-1.0833333333333355E-4</v>
      </c>
      <c r="J682" s="988">
        <v>30195</v>
      </c>
    </row>
    <row r="683" spans="1:10" ht="13.8">
      <c r="A683" s="987">
        <v>17</v>
      </c>
      <c r="B683" s="988">
        <v>30225</v>
      </c>
      <c r="C683" s="987" t="s">
        <v>4630</v>
      </c>
      <c r="F683" s="990">
        <v>0.11260000000000001</v>
      </c>
      <c r="H683" s="993">
        <v>1.0454166666666667E-2</v>
      </c>
      <c r="I683" s="986">
        <f t="shared" si="10"/>
        <v>0.10214583333333334</v>
      </c>
      <c r="J683" s="988">
        <v>30225</v>
      </c>
    </row>
    <row r="684" spans="1:10" ht="13.8">
      <c r="A684" s="987">
        <v>17</v>
      </c>
      <c r="B684" s="988">
        <v>30256</v>
      </c>
      <c r="C684" s="987" t="s">
        <v>4630</v>
      </c>
      <c r="F684" s="990">
        <v>4.3799999999999999E-2</v>
      </c>
      <c r="H684" s="993">
        <v>1.0079166666666665E-2</v>
      </c>
      <c r="I684" s="986">
        <f t="shared" si="10"/>
        <v>3.3720833333333332E-2</v>
      </c>
      <c r="J684" s="988">
        <v>30256</v>
      </c>
    </row>
    <row r="685" spans="1:10" ht="13.8">
      <c r="A685" s="987">
        <v>17</v>
      </c>
      <c r="B685" s="988">
        <v>30286</v>
      </c>
      <c r="C685" s="987" t="s">
        <v>4630</v>
      </c>
      <c r="F685" s="990">
        <v>1.7299999999999999E-2</v>
      </c>
      <c r="H685" s="993">
        <v>1.01125E-2</v>
      </c>
      <c r="I685" s="986">
        <f t="shared" si="10"/>
        <v>7.1874999999999994E-3</v>
      </c>
      <c r="J685" s="988">
        <v>30286</v>
      </c>
    </row>
    <row r="686" spans="1:10" ht="13.8">
      <c r="A686" s="987">
        <v>17</v>
      </c>
      <c r="B686" s="988">
        <v>30317</v>
      </c>
      <c r="C686" s="987" t="s">
        <v>4630</v>
      </c>
      <c r="F686" s="990">
        <v>3.4799999999999998E-2</v>
      </c>
      <c r="H686" s="993">
        <v>1.0058333333333334E-2</v>
      </c>
      <c r="I686" s="986">
        <f t="shared" si="10"/>
        <v>2.4741666666666662E-2</v>
      </c>
      <c r="J686" s="988">
        <v>30317</v>
      </c>
    </row>
    <row r="687" spans="1:10" ht="13.8">
      <c r="A687" s="987">
        <v>17</v>
      </c>
      <c r="B687" s="988">
        <v>30348</v>
      </c>
      <c r="C687" s="987" t="s">
        <v>4630</v>
      </c>
      <c r="F687" s="990">
        <v>2.5999999999999999E-2</v>
      </c>
      <c r="H687" s="993">
        <v>1.0245833333333332E-2</v>
      </c>
      <c r="I687" s="986">
        <f t="shared" si="10"/>
        <v>1.5754166666666666E-2</v>
      </c>
      <c r="J687" s="988">
        <v>30348</v>
      </c>
    </row>
    <row r="688" spans="1:10" ht="13.8">
      <c r="A688" s="987">
        <v>17</v>
      </c>
      <c r="B688" s="988">
        <v>30376</v>
      </c>
      <c r="C688" s="987" t="s">
        <v>4630</v>
      </c>
      <c r="F688" s="990">
        <v>3.6499999999999998E-2</v>
      </c>
      <c r="H688" s="993">
        <v>1.0020833333333333E-2</v>
      </c>
      <c r="I688" s="986">
        <f t="shared" si="10"/>
        <v>2.6479166666666665E-2</v>
      </c>
      <c r="J688" s="988">
        <v>30376</v>
      </c>
    </row>
    <row r="689" spans="1:10" ht="13.8">
      <c r="A689" s="987">
        <v>17</v>
      </c>
      <c r="B689" s="988">
        <v>30407</v>
      </c>
      <c r="C689" s="987" t="s">
        <v>4630</v>
      </c>
      <c r="F689" s="990">
        <v>7.5800000000000006E-2</v>
      </c>
      <c r="H689" s="993">
        <v>9.8208333333333342E-3</v>
      </c>
      <c r="I689" s="986">
        <f t="shared" si="10"/>
        <v>6.5979166666666672E-2</v>
      </c>
      <c r="J689" s="988">
        <v>30407</v>
      </c>
    </row>
    <row r="690" spans="1:10" ht="13.8">
      <c r="A690" s="987">
        <v>17</v>
      </c>
      <c r="B690" s="988">
        <v>30437</v>
      </c>
      <c r="C690" s="987" t="s">
        <v>4630</v>
      </c>
      <c r="F690" s="990">
        <v>-5.1999999999999998E-3</v>
      </c>
      <c r="H690" s="993">
        <v>9.7541666666666662E-3</v>
      </c>
      <c r="I690" s="986">
        <f t="shared" si="10"/>
        <v>-1.4954166666666666E-2</v>
      </c>
      <c r="J690" s="988">
        <v>30437</v>
      </c>
    </row>
    <row r="691" spans="1:10" ht="13.8">
      <c r="A691" s="987">
        <v>17</v>
      </c>
      <c r="B691" s="988">
        <v>30468</v>
      </c>
      <c r="C691" s="987" t="s">
        <v>4630</v>
      </c>
      <c r="F691" s="990">
        <v>3.8199999999999998E-2</v>
      </c>
      <c r="H691" s="993">
        <v>9.9541666666666667E-3</v>
      </c>
      <c r="I691" s="986">
        <f t="shared" si="10"/>
        <v>2.8245833333333331E-2</v>
      </c>
      <c r="J691" s="988">
        <v>30468</v>
      </c>
    </row>
    <row r="692" spans="1:10" ht="13.8">
      <c r="A692" s="987">
        <v>17</v>
      </c>
      <c r="B692" s="988">
        <v>30498</v>
      </c>
      <c r="C692" s="987" t="s">
        <v>4630</v>
      </c>
      <c r="F692" s="990">
        <v>-3.1300000000000001E-2</v>
      </c>
      <c r="H692" s="993">
        <v>1.0225E-2</v>
      </c>
      <c r="I692" s="986">
        <f t="shared" si="10"/>
        <v>-4.1524999999999999E-2</v>
      </c>
      <c r="J692" s="988">
        <v>30498</v>
      </c>
    </row>
    <row r="693" spans="1:10" ht="13.8">
      <c r="A693" s="987">
        <v>17</v>
      </c>
      <c r="B693" s="988">
        <v>30529</v>
      </c>
      <c r="C693" s="987" t="s">
        <v>4630</v>
      </c>
      <c r="F693" s="990">
        <v>1.7000000000000001E-2</v>
      </c>
      <c r="H693" s="993">
        <v>1.0512500000000001E-2</v>
      </c>
      <c r="I693" s="986">
        <f t="shared" si="10"/>
        <v>6.4875000000000002E-3</v>
      </c>
      <c r="J693" s="988">
        <v>30529</v>
      </c>
    </row>
    <row r="694" spans="1:10" ht="13.8">
      <c r="A694" s="987">
        <v>17</v>
      </c>
      <c r="B694" s="988">
        <v>30560</v>
      </c>
      <c r="C694" s="987" t="s">
        <v>4630</v>
      </c>
      <c r="F694" s="990">
        <v>1.3599999999999999E-2</v>
      </c>
      <c r="H694" s="993">
        <v>1.0412499999999998E-2</v>
      </c>
      <c r="I694" s="986">
        <f t="shared" si="10"/>
        <v>3.1875000000000011E-3</v>
      </c>
      <c r="J694" s="988">
        <v>30560</v>
      </c>
    </row>
    <row r="695" spans="1:10" ht="13.8">
      <c r="A695" s="987">
        <v>17</v>
      </c>
      <c r="B695" s="988">
        <v>30590</v>
      </c>
      <c r="C695" s="987" t="s">
        <v>4630</v>
      </c>
      <c r="F695" s="990">
        <v>-1.34E-2</v>
      </c>
      <c r="H695" s="993">
        <v>1.0308333333333333E-2</v>
      </c>
      <c r="I695" s="986">
        <f t="shared" si="10"/>
        <v>-2.3708333333333331E-2</v>
      </c>
      <c r="J695" s="988">
        <v>30590</v>
      </c>
    </row>
    <row r="696" spans="1:10" ht="13.8">
      <c r="A696" s="987">
        <v>17</v>
      </c>
      <c r="B696" s="988">
        <v>30621</v>
      </c>
      <c r="C696" s="987" t="s">
        <v>4630</v>
      </c>
      <c r="F696" s="990">
        <v>2.3300000000000001E-2</v>
      </c>
      <c r="H696" s="993">
        <v>1.0425E-2</v>
      </c>
      <c r="I696" s="986">
        <f t="shared" si="10"/>
        <v>1.2875000000000001E-2</v>
      </c>
      <c r="J696" s="988">
        <v>30621</v>
      </c>
    </row>
    <row r="697" spans="1:10" ht="13.8">
      <c r="A697" s="987">
        <v>17</v>
      </c>
      <c r="B697" s="988">
        <v>30651</v>
      </c>
      <c r="C697" s="987" t="s">
        <v>4630</v>
      </c>
      <c r="F697" s="990">
        <v>-6.1000000000000004E-3</v>
      </c>
      <c r="H697" s="993">
        <v>1.0554166666666667E-2</v>
      </c>
      <c r="I697" s="986">
        <f t="shared" si="10"/>
        <v>-1.6654166666666668E-2</v>
      </c>
      <c r="J697" s="988">
        <v>30651</v>
      </c>
    </row>
    <row r="698" spans="1:10" ht="13.8">
      <c r="A698" s="987">
        <v>17</v>
      </c>
      <c r="B698" s="988">
        <v>30682</v>
      </c>
      <c r="C698" s="987" t="s">
        <v>4630</v>
      </c>
      <c r="F698" s="990">
        <v>-6.4999999999999997E-3</v>
      </c>
      <c r="H698" s="993">
        <v>1.0379166666666668E-2</v>
      </c>
      <c r="I698" s="986">
        <f t="shared" si="10"/>
        <v>-1.6879166666666667E-2</v>
      </c>
      <c r="J698" s="988">
        <v>30682</v>
      </c>
    </row>
    <row r="699" spans="1:10" ht="13.8">
      <c r="A699" s="987">
        <v>17</v>
      </c>
      <c r="B699" s="988">
        <v>30713</v>
      </c>
      <c r="C699" s="987" t="s">
        <v>4630</v>
      </c>
      <c r="F699" s="990">
        <v>-3.2800000000000003E-2</v>
      </c>
      <c r="H699" s="993">
        <v>1.0324999999999999E-2</v>
      </c>
      <c r="I699" s="986">
        <f t="shared" si="10"/>
        <v>-4.3125000000000004E-2</v>
      </c>
      <c r="J699" s="988">
        <v>30713</v>
      </c>
    </row>
    <row r="700" spans="1:10" ht="13.8">
      <c r="A700" s="987">
        <v>17</v>
      </c>
      <c r="B700" s="988">
        <v>30742</v>
      </c>
      <c r="C700" s="987" t="s">
        <v>4630</v>
      </c>
      <c r="F700" s="990">
        <v>1.7100000000000001E-2</v>
      </c>
      <c r="H700" s="993">
        <v>1.0745833333333335E-2</v>
      </c>
      <c r="I700" s="986">
        <f t="shared" si="10"/>
        <v>6.3541666666666659E-3</v>
      </c>
      <c r="J700" s="988">
        <v>30742</v>
      </c>
    </row>
    <row r="701" spans="1:10" ht="13.8">
      <c r="A701" s="987">
        <v>17</v>
      </c>
      <c r="B701" s="988">
        <v>30773</v>
      </c>
      <c r="C701" s="987" t="s">
        <v>4630</v>
      </c>
      <c r="F701" s="990">
        <v>6.8999999999999999E-3</v>
      </c>
      <c r="H701" s="993">
        <v>1.0954166666666668E-2</v>
      </c>
      <c r="I701" s="986">
        <f t="shared" si="10"/>
        <v>-4.0541666666666677E-3</v>
      </c>
      <c r="J701" s="988">
        <v>30773</v>
      </c>
    </row>
    <row r="702" spans="1:10" ht="13.8">
      <c r="A702" s="987">
        <v>17</v>
      </c>
      <c r="B702" s="988">
        <v>30803</v>
      </c>
      <c r="C702" s="987" t="s">
        <v>4630</v>
      </c>
      <c r="F702" s="990">
        <v>-5.3400000000000003E-2</v>
      </c>
      <c r="H702" s="993">
        <v>1.1408333333333333E-2</v>
      </c>
      <c r="I702" s="986">
        <f t="shared" si="10"/>
        <v>-6.4808333333333329E-2</v>
      </c>
      <c r="J702" s="988">
        <v>30803</v>
      </c>
    </row>
    <row r="703" spans="1:10" ht="13.8">
      <c r="A703" s="987">
        <v>17</v>
      </c>
      <c r="B703" s="988">
        <v>30834</v>
      </c>
      <c r="C703" s="987" t="s">
        <v>4630</v>
      </c>
      <c r="F703" s="990">
        <v>2.2100000000000002E-2</v>
      </c>
      <c r="H703" s="993">
        <v>1.1616666666666666E-2</v>
      </c>
      <c r="I703" s="986">
        <f t="shared" si="10"/>
        <v>1.0483333333333336E-2</v>
      </c>
      <c r="J703" s="988">
        <v>30834</v>
      </c>
    </row>
    <row r="704" spans="1:10" ht="13.8">
      <c r="A704" s="987">
        <v>17</v>
      </c>
      <c r="B704" s="988">
        <v>30864</v>
      </c>
      <c r="C704" s="987" t="s">
        <v>4630</v>
      </c>
      <c r="F704" s="990">
        <v>-1.43E-2</v>
      </c>
      <c r="H704" s="993">
        <v>1.1483333333333332E-2</v>
      </c>
      <c r="I704" s="986">
        <f t="shared" si="10"/>
        <v>-2.5783333333333332E-2</v>
      </c>
      <c r="J704" s="988">
        <v>30864</v>
      </c>
    </row>
    <row r="705" spans="1:10" ht="13.8">
      <c r="A705" s="987">
        <v>17</v>
      </c>
      <c r="B705" s="988">
        <v>30895</v>
      </c>
      <c r="C705" s="987" t="s">
        <v>4630</v>
      </c>
      <c r="F705" s="990">
        <v>0.1125</v>
      </c>
      <c r="H705" s="993">
        <v>1.0975000000000002E-2</v>
      </c>
      <c r="I705" s="986">
        <f t="shared" si="10"/>
        <v>0.101525</v>
      </c>
      <c r="J705" s="988">
        <v>30895</v>
      </c>
    </row>
    <row r="706" spans="1:10" ht="13.8">
      <c r="A706" s="987">
        <v>17</v>
      </c>
      <c r="B706" s="988">
        <v>30926</v>
      </c>
      <c r="C706" s="987" t="s">
        <v>4630</v>
      </c>
      <c r="F706" s="990">
        <v>2.0000000000000001E-4</v>
      </c>
      <c r="H706" s="993">
        <v>1.0804166666666665E-2</v>
      </c>
      <c r="I706" s="986">
        <f t="shared" si="10"/>
        <v>-1.0604166666666665E-2</v>
      </c>
      <c r="J706" s="988">
        <v>30926</v>
      </c>
    </row>
    <row r="707" spans="1:10" ht="13.8">
      <c r="A707" s="987">
        <v>17</v>
      </c>
      <c r="B707" s="988">
        <v>30956</v>
      </c>
      <c r="C707" s="987" t="s">
        <v>4630</v>
      </c>
      <c r="F707" s="990">
        <v>2.5999999999999999E-3</v>
      </c>
      <c r="H707" s="993">
        <v>1.0725E-2</v>
      </c>
      <c r="I707" s="986">
        <f t="shared" si="10"/>
        <v>-8.1250000000000003E-3</v>
      </c>
      <c r="J707" s="988">
        <v>30956</v>
      </c>
    </row>
    <row r="708" spans="1:10" ht="13.8">
      <c r="A708" s="987">
        <v>17</v>
      </c>
      <c r="B708" s="988">
        <v>30987</v>
      </c>
      <c r="C708" s="987" t="s">
        <v>4630</v>
      </c>
      <c r="F708" s="990">
        <v>-1.01E-2</v>
      </c>
      <c r="H708" s="993">
        <v>1.0395833333333333E-2</v>
      </c>
      <c r="I708" s="986">
        <f t="shared" si="10"/>
        <v>-2.0495833333333331E-2</v>
      </c>
      <c r="J708" s="988">
        <v>30987</v>
      </c>
    </row>
    <row r="709" spans="1:10" ht="13.8">
      <c r="A709" s="987">
        <v>17</v>
      </c>
      <c r="B709" s="988">
        <v>31017</v>
      </c>
      <c r="C709" s="987" t="s">
        <v>4630</v>
      </c>
      <c r="F709" s="990">
        <v>2.53E-2</v>
      </c>
      <c r="H709" s="993">
        <v>1.0262500000000001E-2</v>
      </c>
      <c r="I709" s="986">
        <f t="shared" si="10"/>
        <v>1.5037499999999999E-2</v>
      </c>
      <c r="J709" s="988">
        <v>31017</v>
      </c>
    </row>
    <row r="710" spans="1:10" ht="13.8">
      <c r="A710" s="987">
        <v>17</v>
      </c>
      <c r="B710" s="988">
        <v>31048</v>
      </c>
      <c r="C710" s="987" t="s">
        <v>4630</v>
      </c>
      <c r="F710" s="990">
        <v>7.6799999999999993E-2</v>
      </c>
      <c r="H710" s="993">
        <v>1.0212499999999999E-2</v>
      </c>
      <c r="I710" s="986">
        <f t="shared" si="10"/>
        <v>6.6587499999999994E-2</v>
      </c>
      <c r="J710" s="988">
        <v>31048</v>
      </c>
    </row>
    <row r="711" spans="1:10" ht="13.8">
      <c r="A711" s="987">
        <v>17</v>
      </c>
      <c r="B711" s="988">
        <v>31079</v>
      </c>
      <c r="C711" s="987" t="s">
        <v>4630</v>
      </c>
      <c r="F711" s="990">
        <v>1.37E-2</v>
      </c>
      <c r="H711" s="993">
        <v>1.0258333333333335E-2</v>
      </c>
      <c r="I711" s="986">
        <f t="shared" si="10"/>
        <v>3.4416666666666658E-3</v>
      </c>
      <c r="J711" s="988">
        <v>31079</v>
      </c>
    </row>
    <row r="712" spans="1:10" ht="13.8">
      <c r="A712" s="987">
        <v>17</v>
      </c>
      <c r="B712" s="988">
        <v>31107</v>
      </c>
      <c r="C712" s="987" t="s">
        <v>4630</v>
      </c>
      <c r="F712" s="990">
        <v>1.8E-3</v>
      </c>
      <c r="H712" s="993">
        <v>1.06125E-2</v>
      </c>
      <c r="I712" s="986">
        <f t="shared" si="10"/>
        <v>-8.8125000000000009E-3</v>
      </c>
      <c r="J712" s="988">
        <v>31107</v>
      </c>
    </row>
    <row r="713" spans="1:10" ht="13.8">
      <c r="A713" s="987">
        <v>17</v>
      </c>
      <c r="B713" s="988">
        <v>31138</v>
      </c>
      <c r="C713" s="987" t="s">
        <v>4630</v>
      </c>
      <c r="F713" s="990">
        <v>-3.2000000000000002E-3</v>
      </c>
      <c r="H713" s="993">
        <v>1.0383333333333333E-2</v>
      </c>
      <c r="I713" s="986">
        <f t="shared" si="10"/>
        <v>-1.3583333333333333E-2</v>
      </c>
      <c r="J713" s="988">
        <v>31138</v>
      </c>
    </row>
    <row r="714" spans="1:10" ht="13.8">
      <c r="A714" s="987">
        <v>17</v>
      </c>
      <c r="B714" s="988">
        <v>31168</v>
      </c>
      <c r="C714" s="987" t="s">
        <v>4630</v>
      </c>
      <c r="F714" s="990">
        <v>6.1499999999999999E-2</v>
      </c>
      <c r="H714" s="993">
        <v>1.0008333333333334E-2</v>
      </c>
      <c r="I714" s="986">
        <f t="shared" si="10"/>
        <v>5.1491666666666665E-2</v>
      </c>
      <c r="J714" s="988">
        <v>31168</v>
      </c>
    </row>
    <row r="715" spans="1:10" ht="13.8">
      <c r="A715" s="987">
        <v>17</v>
      </c>
      <c r="B715" s="988">
        <v>31199</v>
      </c>
      <c r="C715" s="987" t="s">
        <v>4630</v>
      </c>
      <c r="F715" s="990">
        <v>1.5900000000000001E-2</v>
      </c>
      <c r="H715" s="993">
        <v>9.3333333333333341E-3</v>
      </c>
      <c r="I715" s="986">
        <f t="shared" si="10"/>
        <v>6.5666666666666668E-3</v>
      </c>
      <c r="J715" s="988">
        <v>31199</v>
      </c>
    </row>
    <row r="716" spans="1:10" ht="13.8">
      <c r="A716" s="987">
        <v>17</v>
      </c>
      <c r="B716" s="988">
        <v>31229</v>
      </c>
      <c r="C716" s="987" t="s">
        <v>4630</v>
      </c>
      <c r="F716" s="990">
        <v>-2.5999999999999999E-3</v>
      </c>
      <c r="H716" s="993">
        <v>9.3291666666666662E-3</v>
      </c>
      <c r="I716" s="986">
        <f t="shared" si="10"/>
        <v>-1.1929166666666666E-2</v>
      </c>
      <c r="J716" s="988">
        <v>31229</v>
      </c>
    </row>
    <row r="717" spans="1:10" ht="13.8">
      <c r="A717" s="987">
        <v>17</v>
      </c>
      <c r="B717" s="988">
        <v>31260</v>
      </c>
      <c r="C717" s="987" t="s">
        <v>4630</v>
      </c>
      <c r="F717" s="990">
        <v>-6.1000000000000004E-3</v>
      </c>
      <c r="H717" s="993">
        <v>9.3833333333333338E-3</v>
      </c>
      <c r="I717" s="986">
        <f t="shared" si="10"/>
        <v>-1.5483333333333335E-2</v>
      </c>
      <c r="J717" s="988">
        <v>31260</v>
      </c>
    </row>
    <row r="718" spans="1:10" ht="13.8">
      <c r="A718" s="987">
        <v>17</v>
      </c>
      <c r="B718" s="988">
        <v>31291</v>
      </c>
      <c r="C718" s="987" t="s">
        <v>4630</v>
      </c>
      <c r="F718" s="990">
        <v>-3.2099999999999997E-2</v>
      </c>
      <c r="H718" s="993">
        <v>9.3875E-3</v>
      </c>
      <c r="I718" s="986">
        <f t="shared" si="10"/>
        <v>-4.1487499999999997E-2</v>
      </c>
      <c r="J718" s="988">
        <v>31291</v>
      </c>
    </row>
    <row r="719" spans="1:10" ht="13.8">
      <c r="A719" s="987">
        <v>17</v>
      </c>
      <c r="B719" s="988">
        <v>31321</v>
      </c>
      <c r="C719" s="987" t="s">
        <v>4630</v>
      </c>
      <c r="F719" s="990">
        <v>4.4699999999999997E-2</v>
      </c>
      <c r="H719" s="993">
        <v>9.362500000000001E-3</v>
      </c>
      <c r="I719" s="986">
        <f t="shared" si="10"/>
        <v>3.5337499999999994E-2</v>
      </c>
      <c r="J719" s="988">
        <v>31321</v>
      </c>
    </row>
    <row r="720" spans="1:10" ht="13.8">
      <c r="A720" s="987">
        <v>17</v>
      </c>
      <c r="B720" s="988">
        <v>31352</v>
      </c>
      <c r="C720" s="987" t="s">
        <v>4630</v>
      </c>
      <c r="F720" s="990">
        <v>7.1599999999999997E-2</v>
      </c>
      <c r="H720" s="993">
        <v>9.0083333333333335E-3</v>
      </c>
      <c r="I720" s="986">
        <f t="shared" si="10"/>
        <v>6.2591666666666657E-2</v>
      </c>
      <c r="J720" s="988">
        <v>31352</v>
      </c>
    </row>
    <row r="721" spans="1:10" ht="13.8">
      <c r="A721" s="987">
        <v>17</v>
      </c>
      <c r="B721" s="988">
        <v>31382</v>
      </c>
      <c r="C721" s="987" t="s">
        <v>4630</v>
      </c>
      <c r="F721" s="990">
        <v>4.6699999999999998E-2</v>
      </c>
      <c r="H721" s="993">
        <v>8.6625000000000001E-3</v>
      </c>
      <c r="I721" s="986">
        <f t="shared" si="10"/>
        <v>3.8037500000000002E-2</v>
      </c>
      <c r="J721" s="988">
        <v>31382</v>
      </c>
    </row>
    <row r="722" spans="1:10" ht="13.8">
      <c r="A722" s="987">
        <v>17</v>
      </c>
      <c r="B722" s="988">
        <v>31413</v>
      </c>
      <c r="C722" s="987" t="s">
        <v>4630</v>
      </c>
      <c r="F722" s="990">
        <v>4.4000000000000003E-3</v>
      </c>
      <c r="H722" s="993">
        <v>8.5458333333333341E-3</v>
      </c>
      <c r="I722" s="986">
        <f t="shared" si="10"/>
        <v>-4.1458333333333338E-3</v>
      </c>
      <c r="J722" s="988">
        <v>31413</v>
      </c>
    </row>
    <row r="723" spans="1:10" ht="13.8">
      <c r="A723" s="987">
        <v>17</v>
      </c>
      <c r="B723" s="988">
        <v>31444</v>
      </c>
      <c r="C723" s="987" t="s">
        <v>4630</v>
      </c>
      <c r="F723" s="990">
        <v>7.6100000000000001E-2</v>
      </c>
      <c r="H723" s="993">
        <v>8.2500000000000004E-3</v>
      </c>
      <c r="I723" s="986">
        <f t="shared" si="10"/>
        <v>6.7849999999999994E-2</v>
      </c>
      <c r="J723" s="988">
        <v>31444</v>
      </c>
    </row>
    <row r="724" spans="1:10" ht="13.8">
      <c r="A724" s="987">
        <v>17</v>
      </c>
      <c r="B724" s="988">
        <v>31472</v>
      </c>
      <c r="C724" s="987" t="s">
        <v>4630</v>
      </c>
      <c r="F724" s="990">
        <v>5.5399999999999998E-2</v>
      </c>
      <c r="H724" s="993">
        <v>7.7041666666666673E-3</v>
      </c>
      <c r="I724" s="986">
        <f t="shared" si="10"/>
        <v>4.7695833333333333E-2</v>
      </c>
      <c r="J724" s="988">
        <v>31472</v>
      </c>
    </row>
    <row r="725" spans="1:10" ht="13.8">
      <c r="A725" s="987">
        <v>17</v>
      </c>
      <c r="B725" s="988">
        <v>31503</v>
      </c>
      <c r="C725" s="987" t="s">
        <v>4630</v>
      </c>
      <c r="F725" s="990">
        <v>-1.24E-2</v>
      </c>
      <c r="H725" s="993">
        <v>7.4999999999999997E-3</v>
      </c>
      <c r="I725" s="986">
        <f t="shared" si="10"/>
        <v>-1.9900000000000001E-2</v>
      </c>
      <c r="J725" s="988">
        <v>31503</v>
      </c>
    </row>
    <row r="726" spans="1:10" ht="13.8">
      <c r="A726" s="987">
        <v>17</v>
      </c>
      <c r="B726" s="988">
        <v>31533</v>
      </c>
      <c r="C726" s="987" t="s">
        <v>4630</v>
      </c>
      <c r="F726" s="990">
        <v>5.4899999999999997E-2</v>
      </c>
      <c r="H726" s="993">
        <v>7.7166666666666659E-3</v>
      </c>
      <c r="I726" s="986">
        <f t="shared" si="10"/>
        <v>4.7183333333333334E-2</v>
      </c>
      <c r="J726" s="988">
        <v>31533</v>
      </c>
    </row>
    <row r="727" spans="1:10" ht="13.8">
      <c r="A727" s="987">
        <v>17</v>
      </c>
      <c r="B727" s="988">
        <v>31564</v>
      </c>
      <c r="C727" s="987" t="s">
        <v>4630</v>
      </c>
      <c r="F727" s="990">
        <v>1.66E-2</v>
      </c>
      <c r="H727" s="993">
        <v>7.7583333333333341E-3</v>
      </c>
      <c r="I727" s="986">
        <f t="shared" si="10"/>
        <v>8.8416666666666661E-3</v>
      </c>
      <c r="J727" s="988">
        <v>31564</v>
      </c>
    </row>
    <row r="728" spans="1:10" ht="13.8">
      <c r="A728" s="987">
        <v>17</v>
      </c>
      <c r="B728" s="988">
        <v>31594</v>
      </c>
      <c r="C728" s="987" t="s">
        <v>4630</v>
      </c>
      <c r="F728" s="990">
        <v>-5.6899999999999999E-2</v>
      </c>
      <c r="H728" s="993">
        <v>7.5666666666666669E-3</v>
      </c>
      <c r="I728" s="986">
        <f t="shared" si="10"/>
        <v>-6.4466666666666672E-2</v>
      </c>
      <c r="J728" s="988">
        <v>31594</v>
      </c>
    </row>
    <row r="729" spans="1:10" ht="13.8">
      <c r="A729" s="987">
        <v>17</v>
      </c>
      <c r="B729" s="988">
        <v>31625</v>
      </c>
      <c r="C729" s="987" t="s">
        <v>4630</v>
      </c>
      <c r="F729" s="990">
        <v>7.4800000000000005E-2</v>
      </c>
      <c r="H729" s="993">
        <v>7.4750000000000007E-3</v>
      </c>
      <c r="I729" s="986">
        <f t="shared" si="10"/>
        <v>6.732500000000001E-2</v>
      </c>
      <c r="J729" s="988">
        <v>31625</v>
      </c>
    </row>
    <row r="730" spans="1:10" ht="13.8">
      <c r="A730" s="987">
        <v>17</v>
      </c>
      <c r="B730" s="988">
        <v>31656</v>
      </c>
      <c r="C730" s="987" t="s">
        <v>4630</v>
      </c>
      <c r="F730" s="990">
        <v>-8.2199999999999995E-2</v>
      </c>
      <c r="H730" s="993">
        <v>7.6041666666666662E-3</v>
      </c>
      <c r="I730" s="986">
        <f t="shared" ref="I730:I793" si="11">F730-H730</f>
        <v>-8.9804166666666657E-2</v>
      </c>
      <c r="J730" s="988">
        <v>31656</v>
      </c>
    </row>
    <row r="731" spans="1:10" ht="13.8">
      <c r="A731" s="987">
        <v>17</v>
      </c>
      <c r="B731" s="988">
        <v>31686</v>
      </c>
      <c r="C731" s="987" t="s">
        <v>4630</v>
      </c>
      <c r="F731" s="990">
        <v>5.5599999999999997E-2</v>
      </c>
      <c r="H731" s="993">
        <v>7.5791666666666655E-3</v>
      </c>
      <c r="I731" s="986">
        <f t="shared" si="11"/>
        <v>4.8020833333333332E-2</v>
      </c>
      <c r="J731" s="988">
        <v>31686</v>
      </c>
    </row>
    <row r="732" spans="1:10" ht="13.8">
      <c r="A732" s="987">
        <v>17</v>
      </c>
      <c r="B732" s="988">
        <v>31717</v>
      </c>
      <c r="C732" s="987" t="s">
        <v>4630</v>
      </c>
      <c r="F732" s="990">
        <v>2.5600000000000001E-2</v>
      </c>
      <c r="H732" s="993">
        <v>7.4499999999999992E-3</v>
      </c>
      <c r="I732" s="986">
        <f t="shared" si="11"/>
        <v>1.8150000000000003E-2</v>
      </c>
      <c r="J732" s="988">
        <v>31717</v>
      </c>
    </row>
    <row r="733" spans="1:10" ht="13.8">
      <c r="A733" s="987">
        <v>17</v>
      </c>
      <c r="B733" s="988">
        <v>31747</v>
      </c>
      <c r="C733" s="987" t="s">
        <v>4630</v>
      </c>
      <c r="F733" s="990">
        <v>-2.64E-2</v>
      </c>
      <c r="H733" s="993">
        <v>7.2958333333333321E-3</v>
      </c>
      <c r="I733" s="986">
        <f t="shared" si="11"/>
        <v>-3.3695833333333335E-2</v>
      </c>
      <c r="J733" s="988">
        <v>31747</v>
      </c>
    </row>
    <row r="734" spans="1:10" ht="13.8">
      <c r="A734" s="987">
        <v>17</v>
      </c>
      <c r="B734" s="988">
        <v>31778</v>
      </c>
      <c r="C734" s="987" t="s">
        <v>4630</v>
      </c>
      <c r="F734" s="990">
        <v>0.1343</v>
      </c>
      <c r="H734" s="993">
        <v>7.175E-3</v>
      </c>
      <c r="I734" s="986">
        <f t="shared" si="11"/>
        <v>0.12712500000000002</v>
      </c>
      <c r="J734" s="988">
        <v>31778</v>
      </c>
    </row>
    <row r="735" spans="1:10" ht="13.8">
      <c r="A735" s="987">
        <v>17</v>
      </c>
      <c r="B735" s="988">
        <v>31809</v>
      </c>
      <c r="C735" s="987" t="s">
        <v>4630</v>
      </c>
      <c r="F735" s="990">
        <v>4.1300000000000003E-2</v>
      </c>
      <c r="H735" s="993">
        <v>7.1916666666666674E-3</v>
      </c>
      <c r="I735" s="986">
        <f t="shared" si="11"/>
        <v>3.4108333333333338E-2</v>
      </c>
      <c r="J735" s="988">
        <v>31809</v>
      </c>
    </row>
    <row r="736" spans="1:10" ht="13.8">
      <c r="A736" s="987">
        <v>17</v>
      </c>
      <c r="B736" s="988">
        <v>31837</v>
      </c>
      <c r="C736" s="987" t="s">
        <v>4630</v>
      </c>
      <c r="F736" s="990">
        <v>2.7199999999999998E-2</v>
      </c>
      <c r="H736" s="993">
        <v>7.1666666666666667E-3</v>
      </c>
      <c r="I736" s="986">
        <f t="shared" si="11"/>
        <v>2.0033333333333334E-2</v>
      </c>
      <c r="J736" s="988">
        <v>31837</v>
      </c>
    </row>
    <row r="737" spans="1:10" ht="13.8">
      <c r="A737" s="987">
        <v>17</v>
      </c>
      <c r="B737" s="988">
        <v>31868</v>
      </c>
      <c r="C737" s="987" t="s">
        <v>4630</v>
      </c>
      <c r="F737" s="990">
        <v>-8.8000000000000005E-3</v>
      </c>
      <c r="H737" s="993">
        <v>7.4999999999999997E-3</v>
      </c>
      <c r="I737" s="986">
        <f t="shared" si="11"/>
        <v>-1.6300000000000002E-2</v>
      </c>
      <c r="J737" s="988">
        <v>31868</v>
      </c>
    </row>
    <row r="738" spans="1:10" ht="13.8">
      <c r="A738" s="987">
        <v>17</v>
      </c>
      <c r="B738" s="988">
        <v>31898</v>
      </c>
      <c r="C738" s="987" t="s">
        <v>4630</v>
      </c>
      <c r="F738" s="990">
        <v>1.03E-2</v>
      </c>
      <c r="H738" s="993">
        <v>7.8833333333333325E-3</v>
      </c>
      <c r="I738" s="986">
        <f t="shared" si="11"/>
        <v>2.4166666666666677E-3</v>
      </c>
      <c r="J738" s="988">
        <v>31898</v>
      </c>
    </row>
    <row r="739" spans="1:10" ht="13.8">
      <c r="A739" s="987">
        <v>17</v>
      </c>
      <c r="B739" s="988">
        <v>31929</v>
      </c>
      <c r="C739" s="987" t="s">
        <v>4630</v>
      </c>
      <c r="F739" s="990">
        <v>4.99E-2</v>
      </c>
      <c r="H739" s="993">
        <v>7.904166666666667E-3</v>
      </c>
      <c r="I739" s="986">
        <f t="shared" si="11"/>
        <v>4.1995833333333329E-2</v>
      </c>
      <c r="J739" s="988">
        <v>31929</v>
      </c>
    </row>
    <row r="740" spans="1:10" ht="13.8">
      <c r="A740" s="987">
        <v>17</v>
      </c>
      <c r="B740" s="988">
        <v>31959</v>
      </c>
      <c r="C740" s="987" t="s">
        <v>4630</v>
      </c>
      <c r="F740" s="990">
        <v>4.9799999999999997E-2</v>
      </c>
      <c r="H740" s="993">
        <v>7.9458333333333343E-3</v>
      </c>
      <c r="I740" s="986">
        <f t="shared" si="11"/>
        <v>4.1854166666666665E-2</v>
      </c>
      <c r="J740" s="988">
        <v>31959</v>
      </c>
    </row>
    <row r="741" spans="1:10" ht="13.8">
      <c r="A741" s="987">
        <v>17</v>
      </c>
      <c r="B741" s="988">
        <v>31990</v>
      </c>
      <c r="C741" s="987" t="s">
        <v>4630</v>
      </c>
      <c r="F741" s="990">
        <v>3.85E-2</v>
      </c>
      <c r="H741" s="993">
        <v>8.1374999999999989E-3</v>
      </c>
      <c r="I741" s="986">
        <f t="shared" si="11"/>
        <v>3.0362500000000001E-2</v>
      </c>
      <c r="J741" s="988">
        <v>31990</v>
      </c>
    </row>
    <row r="742" spans="1:10" ht="13.8">
      <c r="A742" s="987">
        <v>17</v>
      </c>
      <c r="B742" s="988">
        <v>32021</v>
      </c>
      <c r="C742" s="987" t="s">
        <v>4630</v>
      </c>
      <c r="F742" s="990">
        <v>-2.1999999999999999E-2</v>
      </c>
      <c r="H742" s="993">
        <v>8.5541666666666665E-3</v>
      </c>
      <c r="I742" s="986">
        <f t="shared" si="11"/>
        <v>-3.0554166666666667E-2</v>
      </c>
      <c r="J742" s="988">
        <v>32021</v>
      </c>
    </row>
    <row r="743" spans="1:10" ht="13.8">
      <c r="A743" s="987">
        <v>17</v>
      </c>
      <c r="B743" s="988">
        <v>32051</v>
      </c>
      <c r="C743" s="987" t="s">
        <v>4630</v>
      </c>
      <c r="F743" s="990">
        <v>-0.2152</v>
      </c>
      <c r="H743" s="993">
        <v>8.8583333333333326E-3</v>
      </c>
      <c r="I743" s="986">
        <f t="shared" si="11"/>
        <v>-0.22405833333333333</v>
      </c>
      <c r="J743" s="988">
        <v>32051</v>
      </c>
    </row>
    <row r="744" spans="1:10" ht="13.8">
      <c r="A744" s="987">
        <v>17</v>
      </c>
      <c r="B744" s="988">
        <v>32082</v>
      </c>
      <c r="C744" s="987" t="s">
        <v>4630</v>
      </c>
      <c r="F744" s="990">
        <v>-8.1900000000000001E-2</v>
      </c>
      <c r="H744" s="993">
        <v>8.4499999999999992E-3</v>
      </c>
      <c r="I744" s="986">
        <f t="shared" si="11"/>
        <v>-9.035E-2</v>
      </c>
      <c r="J744" s="988">
        <v>32082</v>
      </c>
    </row>
    <row r="745" spans="1:10" ht="13.8">
      <c r="A745" s="987">
        <v>17</v>
      </c>
      <c r="B745" s="988">
        <v>32112</v>
      </c>
      <c r="C745" s="987" t="s">
        <v>4630</v>
      </c>
      <c r="F745" s="990">
        <v>7.3800000000000004E-2</v>
      </c>
      <c r="H745" s="993">
        <v>8.5166666666666654E-3</v>
      </c>
      <c r="I745" s="986">
        <f t="shared" si="11"/>
        <v>6.5283333333333332E-2</v>
      </c>
      <c r="J745" s="988">
        <v>32112</v>
      </c>
    </row>
    <row r="746" spans="1:10" ht="13.8">
      <c r="A746" s="987">
        <v>17</v>
      </c>
      <c r="B746" s="988">
        <v>32143</v>
      </c>
      <c r="C746" s="987" t="s">
        <v>4630</v>
      </c>
      <c r="F746" s="990">
        <v>4.2700000000000002E-2</v>
      </c>
      <c r="H746" s="993">
        <v>8.3208333333333329E-3</v>
      </c>
      <c r="I746" s="986">
        <f t="shared" si="11"/>
        <v>3.4379166666666669E-2</v>
      </c>
      <c r="J746" s="988">
        <v>32143</v>
      </c>
    </row>
    <row r="747" spans="1:10" ht="13.8">
      <c r="A747" s="987">
        <v>17</v>
      </c>
      <c r="B747" s="988">
        <v>32174</v>
      </c>
      <c r="C747" s="987" t="s">
        <v>4630</v>
      </c>
      <c r="F747" s="990">
        <v>4.7E-2</v>
      </c>
      <c r="H747" s="993">
        <v>7.9166666666666656E-3</v>
      </c>
      <c r="I747" s="986">
        <f t="shared" si="11"/>
        <v>3.9083333333333331E-2</v>
      </c>
      <c r="J747" s="988">
        <v>32174</v>
      </c>
    </row>
    <row r="748" spans="1:10" ht="13.8">
      <c r="A748" s="987">
        <v>17</v>
      </c>
      <c r="B748" s="988">
        <v>32203</v>
      </c>
      <c r="C748" s="987" t="s">
        <v>4630</v>
      </c>
      <c r="F748" s="990">
        <v>-3.0200000000000001E-2</v>
      </c>
      <c r="H748" s="993">
        <v>7.9083333333333332E-3</v>
      </c>
      <c r="I748" s="986">
        <f t="shared" si="11"/>
        <v>-3.8108333333333334E-2</v>
      </c>
      <c r="J748" s="988">
        <v>32203</v>
      </c>
    </row>
    <row r="749" spans="1:10" ht="13.8">
      <c r="A749" s="987">
        <v>17</v>
      </c>
      <c r="B749" s="988">
        <v>32234</v>
      </c>
      <c r="C749" s="987" t="s">
        <v>4630</v>
      </c>
      <c r="F749" s="990">
        <v>1.0800000000000001E-2</v>
      </c>
      <c r="H749" s="993">
        <v>8.1374999999999989E-3</v>
      </c>
      <c r="I749" s="986">
        <f t="shared" si="11"/>
        <v>2.6625000000000017E-3</v>
      </c>
      <c r="J749" s="988">
        <v>32234</v>
      </c>
    </row>
    <row r="750" spans="1:10" ht="13.8">
      <c r="A750" s="987">
        <v>17</v>
      </c>
      <c r="B750" s="988">
        <v>32264</v>
      </c>
      <c r="C750" s="987" t="s">
        <v>4630</v>
      </c>
      <c r="F750" s="990">
        <v>7.7999999999999996E-3</v>
      </c>
      <c r="H750" s="993">
        <v>8.3333333333333332E-3</v>
      </c>
      <c r="I750" s="986">
        <f t="shared" si="11"/>
        <v>-5.3333333333333358E-4</v>
      </c>
      <c r="J750" s="988">
        <v>32264</v>
      </c>
    </row>
    <row r="751" spans="1:10" ht="13.8">
      <c r="A751" s="987">
        <v>17</v>
      </c>
      <c r="B751" s="988">
        <v>32295</v>
      </c>
      <c r="C751" s="987" t="s">
        <v>4630</v>
      </c>
      <c r="F751" s="990">
        <v>4.6399999999999997E-2</v>
      </c>
      <c r="H751" s="993">
        <v>8.329166666666667E-3</v>
      </c>
      <c r="I751" s="986">
        <f t="shared" si="11"/>
        <v>3.8070833333333332E-2</v>
      </c>
      <c r="J751" s="988">
        <v>32295</v>
      </c>
    </row>
    <row r="752" spans="1:10" ht="13.8">
      <c r="A752" s="987">
        <v>17</v>
      </c>
      <c r="B752" s="988">
        <v>32325</v>
      </c>
      <c r="C752" s="987" t="s">
        <v>4630</v>
      </c>
      <c r="F752" s="990">
        <v>-4.0000000000000001E-3</v>
      </c>
      <c r="H752" s="993">
        <v>8.4250000000000002E-3</v>
      </c>
      <c r="I752" s="986">
        <f t="shared" si="11"/>
        <v>-1.2425E-2</v>
      </c>
      <c r="J752" s="988">
        <v>32325</v>
      </c>
    </row>
    <row r="753" spans="1:10" ht="13.8">
      <c r="A753" s="987">
        <v>17</v>
      </c>
      <c r="B753" s="988">
        <v>32356</v>
      </c>
      <c r="C753" s="987" t="s">
        <v>4630</v>
      </c>
      <c r="F753" s="990">
        <v>-3.3099999999999997E-2</v>
      </c>
      <c r="H753" s="993">
        <v>8.533333333333332E-3</v>
      </c>
      <c r="I753" s="986">
        <f t="shared" si="11"/>
        <v>-4.1633333333333328E-2</v>
      </c>
      <c r="J753" s="988">
        <v>32356</v>
      </c>
    </row>
    <row r="754" spans="1:10" ht="13.8">
      <c r="A754" s="987">
        <v>17</v>
      </c>
      <c r="B754" s="988">
        <v>32387</v>
      </c>
      <c r="C754" s="987" t="s">
        <v>4630</v>
      </c>
      <c r="F754" s="990">
        <v>4.24E-2</v>
      </c>
      <c r="H754" s="993">
        <v>8.2833333333333335E-3</v>
      </c>
      <c r="I754" s="986">
        <f t="shared" si="11"/>
        <v>3.411666666666667E-2</v>
      </c>
      <c r="J754" s="988">
        <v>32387</v>
      </c>
    </row>
    <row r="755" spans="1:10" ht="13.8">
      <c r="A755" s="987">
        <v>17</v>
      </c>
      <c r="B755" s="988">
        <v>32417</v>
      </c>
      <c r="C755" s="987" t="s">
        <v>4630</v>
      </c>
      <c r="F755" s="990">
        <v>2.7300000000000001E-2</v>
      </c>
      <c r="H755" s="993">
        <v>8.0000000000000002E-3</v>
      </c>
      <c r="I755" s="986">
        <f t="shared" si="11"/>
        <v>1.9300000000000001E-2</v>
      </c>
      <c r="J755" s="988">
        <v>32417</v>
      </c>
    </row>
    <row r="756" spans="1:10" ht="13.8">
      <c r="A756" s="987">
        <v>17</v>
      </c>
      <c r="B756" s="988">
        <v>32448</v>
      </c>
      <c r="C756" s="987" t="s">
        <v>4630</v>
      </c>
      <c r="F756" s="990">
        <v>-1.4200000000000001E-2</v>
      </c>
      <c r="H756" s="993">
        <v>7.9875000000000015E-3</v>
      </c>
      <c r="I756" s="986">
        <f t="shared" si="11"/>
        <v>-2.2187500000000002E-2</v>
      </c>
      <c r="J756" s="988">
        <v>32448</v>
      </c>
    </row>
    <row r="757" spans="1:10" ht="13.8">
      <c r="A757" s="987">
        <v>17</v>
      </c>
      <c r="B757" s="988">
        <v>32478</v>
      </c>
      <c r="C757" s="987" t="s">
        <v>4630</v>
      </c>
      <c r="F757" s="990">
        <v>1.8100000000000002E-2</v>
      </c>
      <c r="H757" s="993">
        <v>8.0750000000000006E-3</v>
      </c>
      <c r="I757" s="986">
        <f t="shared" si="11"/>
        <v>1.0025000000000001E-2</v>
      </c>
      <c r="J757" s="988">
        <v>32478</v>
      </c>
    </row>
    <row r="758" spans="1:10" ht="13.8">
      <c r="A758" s="987">
        <v>17</v>
      </c>
      <c r="B758" s="988">
        <v>32509</v>
      </c>
      <c r="C758" s="987" t="s">
        <v>4630</v>
      </c>
      <c r="F758" s="990">
        <v>7.2300000000000003E-2</v>
      </c>
      <c r="H758" s="993">
        <v>8.0958333333333334E-3</v>
      </c>
      <c r="I758" s="986">
        <f t="shared" si="11"/>
        <v>6.4204166666666673E-2</v>
      </c>
      <c r="J758" s="988">
        <v>32509</v>
      </c>
    </row>
    <row r="759" spans="1:10" ht="13.8">
      <c r="A759" s="987">
        <v>17</v>
      </c>
      <c r="B759" s="988">
        <v>32540</v>
      </c>
      <c r="C759" s="987" t="s">
        <v>4630</v>
      </c>
      <c r="F759" s="990">
        <v>-2.4899999999999999E-2</v>
      </c>
      <c r="H759" s="993">
        <v>8.1124999999999999E-3</v>
      </c>
      <c r="I759" s="986">
        <f t="shared" si="11"/>
        <v>-3.30125E-2</v>
      </c>
      <c r="J759" s="988">
        <v>32540</v>
      </c>
    </row>
    <row r="760" spans="1:10" ht="13.8">
      <c r="A760" s="987">
        <v>17</v>
      </c>
      <c r="B760" s="988">
        <v>32568</v>
      </c>
      <c r="C760" s="987" t="s">
        <v>4630</v>
      </c>
      <c r="F760" s="990">
        <v>2.3599999999999999E-2</v>
      </c>
      <c r="H760" s="993">
        <v>8.241666666666668E-3</v>
      </c>
      <c r="I760" s="986">
        <f t="shared" si="11"/>
        <v>1.5358333333333331E-2</v>
      </c>
      <c r="J760" s="988">
        <v>32568</v>
      </c>
    </row>
    <row r="761" spans="1:10" ht="13.8">
      <c r="A761" s="987">
        <v>17</v>
      </c>
      <c r="B761" s="988">
        <v>32599</v>
      </c>
      <c r="C761" s="987" t="s">
        <v>4630</v>
      </c>
      <c r="F761" s="990">
        <v>5.16E-2</v>
      </c>
      <c r="H761" s="993">
        <v>8.2208333333333335E-3</v>
      </c>
      <c r="I761" s="986">
        <f t="shared" si="11"/>
        <v>4.3379166666666663E-2</v>
      </c>
      <c r="J761" s="988">
        <v>32599</v>
      </c>
    </row>
    <row r="762" spans="1:10" ht="13.8">
      <c r="A762" s="987">
        <v>17</v>
      </c>
      <c r="B762" s="988">
        <v>32629</v>
      </c>
      <c r="C762" s="987" t="s">
        <v>4630</v>
      </c>
      <c r="F762" s="990">
        <v>4.02E-2</v>
      </c>
      <c r="H762" s="993">
        <v>8.0499999999999999E-3</v>
      </c>
      <c r="I762" s="986">
        <f t="shared" si="11"/>
        <v>3.2149999999999998E-2</v>
      </c>
      <c r="J762" s="988">
        <v>32629</v>
      </c>
    </row>
    <row r="763" spans="1:10" ht="13.8">
      <c r="A763" s="987">
        <v>17</v>
      </c>
      <c r="B763" s="988">
        <v>32660</v>
      </c>
      <c r="C763" s="987" t="s">
        <v>4630</v>
      </c>
      <c r="F763" s="990">
        <v>-5.4000000000000003E-3</v>
      </c>
      <c r="H763" s="993">
        <v>7.6624999999999992E-3</v>
      </c>
      <c r="I763" s="986">
        <f t="shared" si="11"/>
        <v>-1.3062499999999999E-2</v>
      </c>
      <c r="J763" s="988">
        <v>32660</v>
      </c>
    </row>
    <row r="764" spans="1:10" ht="13.8">
      <c r="A764" s="987">
        <v>17</v>
      </c>
      <c r="B764" s="988">
        <v>32690</v>
      </c>
      <c r="C764" s="987" t="s">
        <v>4630</v>
      </c>
      <c r="F764" s="990">
        <v>8.9800000000000005E-2</v>
      </c>
      <c r="H764" s="993">
        <v>7.5291666666666666E-3</v>
      </c>
      <c r="I764" s="986">
        <f t="shared" si="11"/>
        <v>8.2270833333333335E-2</v>
      </c>
      <c r="J764" s="988">
        <v>32690</v>
      </c>
    </row>
    <row r="765" spans="1:10" ht="13.8">
      <c r="A765" s="987">
        <v>17</v>
      </c>
      <c r="B765" s="988">
        <v>32721</v>
      </c>
      <c r="C765" s="987" t="s">
        <v>4630</v>
      </c>
      <c r="F765" s="990">
        <v>1.9300000000000001E-2</v>
      </c>
      <c r="H765" s="993">
        <v>7.5416666666666661E-3</v>
      </c>
      <c r="I765" s="986">
        <f t="shared" si="11"/>
        <v>1.1758333333333336E-2</v>
      </c>
      <c r="J765" s="988">
        <v>32721</v>
      </c>
    </row>
    <row r="766" spans="1:10" ht="13.8">
      <c r="A766" s="987">
        <v>17</v>
      </c>
      <c r="B766" s="988">
        <v>32752</v>
      </c>
      <c r="C766" s="987" t="s">
        <v>4630</v>
      </c>
      <c r="F766" s="990">
        <v>-3.8999999999999998E-3</v>
      </c>
      <c r="H766" s="993">
        <v>7.6E-3</v>
      </c>
      <c r="I766" s="986">
        <f t="shared" si="11"/>
        <v>-1.15E-2</v>
      </c>
      <c r="J766" s="988">
        <v>32752</v>
      </c>
    </row>
    <row r="767" spans="1:10" ht="13.8">
      <c r="A767" s="987">
        <v>17</v>
      </c>
      <c r="B767" s="988">
        <v>32782</v>
      </c>
      <c r="C767" s="987" t="s">
        <v>4630</v>
      </c>
      <c r="F767" s="990">
        <v>-2.3300000000000001E-2</v>
      </c>
      <c r="H767" s="993">
        <v>7.5458333333333323E-3</v>
      </c>
      <c r="I767" s="986">
        <f t="shared" si="11"/>
        <v>-3.0845833333333333E-2</v>
      </c>
      <c r="J767" s="988">
        <v>32782</v>
      </c>
    </row>
    <row r="768" spans="1:10" ht="13.8">
      <c r="A768" s="987">
        <v>17</v>
      </c>
      <c r="B768" s="988">
        <v>32813</v>
      </c>
      <c r="C768" s="987" t="s">
        <v>4630</v>
      </c>
      <c r="F768" s="990">
        <v>2.0799999999999999E-2</v>
      </c>
      <c r="H768" s="993">
        <v>7.5125000000000001E-3</v>
      </c>
      <c r="I768" s="986">
        <f t="shared" si="11"/>
        <v>1.3287499999999999E-2</v>
      </c>
      <c r="J768" s="988">
        <v>32813</v>
      </c>
    </row>
    <row r="769" spans="1:10" ht="13.8">
      <c r="A769" s="987">
        <v>17</v>
      </c>
      <c r="B769" s="988">
        <v>32843</v>
      </c>
      <c r="C769" s="987" t="s">
        <v>4630</v>
      </c>
      <c r="F769" s="990">
        <v>2.3599999999999999E-2</v>
      </c>
      <c r="H769" s="993">
        <v>7.4875000000000002E-3</v>
      </c>
      <c r="I769" s="986">
        <f t="shared" si="11"/>
        <v>1.6112499999999998E-2</v>
      </c>
      <c r="J769" s="988">
        <v>32843</v>
      </c>
    </row>
    <row r="770" spans="1:10" ht="13.8">
      <c r="A770" s="987">
        <v>17</v>
      </c>
      <c r="B770" s="988">
        <v>32874</v>
      </c>
      <c r="C770" s="987" t="s">
        <v>4630</v>
      </c>
      <c r="F770" s="990">
        <v>-6.7100000000000007E-2</v>
      </c>
      <c r="H770" s="993">
        <v>7.6083333333333324E-3</v>
      </c>
      <c r="I770" s="986">
        <f t="shared" si="11"/>
        <v>-7.4708333333333335E-2</v>
      </c>
      <c r="J770" s="988">
        <v>32874</v>
      </c>
    </row>
    <row r="771" spans="1:10" ht="13.8">
      <c r="A771" s="987">
        <v>17</v>
      </c>
      <c r="B771" s="988">
        <v>32905</v>
      </c>
      <c r="C771" s="987" t="s">
        <v>4630</v>
      </c>
      <c r="F771" s="990">
        <v>1.29E-2</v>
      </c>
      <c r="H771" s="993">
        <v>7.7750000000000007E-3</v>
      </c>
      <c r="I771" s="986">
        <f t="shared" si="11"/>
        <v>5.1249999999999993E-3</v>
      </c>
      <c r="J771" s="988">
        <v>32905</v>
      </c>
    </row>
    <row r="772" spans="1:10" ht="13.8">
      <c r="A772" s="987">
        <v>17</v>
      </c>
      <c r="B772" s="988">
        <v>32933</v>
      </c>
      <c r="C772" s="987" t="s">
        <v>4630</v>
      </c>
      <c r="F772" s="990">
        <v>2.63E-2</v>
      </c>
      <c r="H772" s="993">
        <v>7.8666666666666659E-3</v>
      </c>
      <c r="I772" s="986">
        <f t="shared" si="11"/>
        <v>1.8433333333333336E-2</v>
      </c>
      <c r="J772" s="988">
        <v>32933</v>
      </c>
    </row>
    <row r="773" spans="1:10" ht="13.8">
      <c r="A773" s="987">
        <v>17</v>
      </c>
      <c r="B773" s="988">
        <v>32964</v>
      </c>
      <c r="C773" s="987" t="s">
        <v>4630</v>
      </c>
      <c r="F773" s="990">
        <v>-2.47E-2</v>
      </c>
      <c r="H773" s="993">
        <v>7.9583333333333346E-3</v>
      </c>
      <c r="I773" s="986">
        <f t="shared" si="11"/>
        <v>-3.2658333333333331E-2</v>
      </c>
      <c r="J773" s="988">
        <v>32964</v>
      </c>
    </row>
    <row r="774" spans="1:10" ht="13.8">
      <c r="A774" s="987">
        <v>17</v>
      </c>
      <c r="B774" s="988">
        <v>32994</v>
      </c>
      <c r="C774" s="987" t="s">
        <v>4630</v>
      </c>
      <c r="F774" s="990">
        <v>9.7500000000000003E-2</v>
      </c>
      <c r="H774" s="993">
        <v>7.9874999999999998E-3</v>
      </c>
      <c r="I774" s="986">
        <f t="shared" si="11"/>
        <v>8.9512500000000009E-2</v>
      </c>
      <c r="J774" s="988">
        <v>32994</v>
      </c>
    </row>
    <row r="775" spans="1:10" ht="13.8">
      <c r="A775" s="987">
        <v>17</v>
      </c>
      <c r="B775" s="988">
        <v>33025</v>
      </c>
      <c r="C775" s="987" t="s">
        <v>4630</v>
      </c>
      <c r="F775" s="990">
        <v>-7.0000000000000001E-3</v>
      </c>
      <c r="H775" s="993">
        <v>7.8125E-3</v>
      </c>
      <c r="I775" s="986">
        <f t="shared" si="11"/>
        <v>-1.4812499999999999E-2</v>
      </c>
      <c r="J775" s="988">
        <v>33025</v>
      </c>
    </row>
    <row r="776" spans="1:10" ht="13.8">
      <c r="A776" s="987">
        <v>17</v>
      </c>
      <c r="B776" s="988">
        <v>33055</v>
      </c>
      <c r="C776" s="987" t="s">
        <v>4630</v>
      </c>
      <c r="F776" s="990">
        <v>-3.2000000000000002E-3</v>
      </c>
      <c r="H776" s="993">
        <v>7.7958333333333326E-3</v>
      </c>
      <c r="I776" s="986">
        <f t="shared" si="11"/>
        <v>-1.0995833333333333E-2</v>
      </c>
      <c r="J776" s="988">
        <v>33055</v>
      </c>
    </row>
    <row r="777" spans="1:10" ht="13.8">
      <c r="A777" s="987">
        <v>17</v>
      </c>
      <c r="B777" s="988">
        <v>33086</v>
      </c>
      <c r="C777" s="987" t="s">
        <v>4630</v>
      </c>
      <c r="F777" s="990">
        <v>-9.0300000000000005E-2</v>
      </c>
      <c r="H777" s="993">
        <v>7.9333333333333339E-3</v>
      </c>
      <c r="I777" s="986">
        <f t="shared" si="11"/>
        <v>-9.8233333333333339E-2</v>
      </c>
      <c r="J777" s="988">
        <v>33086</v>
      </c>
    </row>
    <row r="778" spans="1:10" ht="13.8">
      <c r="A778" s="987">
        <v>17</v>
      </c>
      <c r="B778" s="988">
        <v>33117</v>
      </c>
      <c r="C778" s="987" t="s">
        <v>4630</v>
      </c>
      <c r="F778" s="990">
        <v>-4.9200000000000001E-2</v>
      </c>
      <c r="H778" s="993">
        <v>8.0541666666666661E-3</v>
      </c>
      <c r="I778" s="986">
        <f t="shared" si="11"/>
        <v>-5.7254166666666668E-2</v>
      </c>
      <c r="J778" s="988">
        <v>33117</v>
      </c>
    </row>
    <row r="779" spans="1:10" ht="13.8">
      <c r="A779" s="987">
        <v>17</v>
      </c>
      <c r="B779" s="988">
        <v>33147</v>
      </c>
      <c r="C779" s="987" t="s">
        <v>4630</v>
      </c>
      <c r="F779" s="990">
        <v>-3.7000000000000002E-3</v>
      </c>
      <c r="H779" s="993">
        <v>8.0416666666666657E-3</v>
      </c>
      <c r="I779" s="986">
        <f t="shared" si="11"/>
        <v>-1.1741666666666666E-2</v>
      </c>
      <c r="J779" s="988">
        <v>33147</v>
      </c>
    </row>
    <row r="780" spans="1:10" ht="13.8">
      <c r="A780" s="987">
        <v>17</v>
      </c>
      <c r="B780" s="988">
        <v>33178</v>
      </c>
      <c r="C780" s="987" t="s">
        <v>4630</v>
      </c>
      <c r="F780" s="990">
        <v>6.4399999999999999E-2</v>
      </c>
      <c r="H780" s="993">
        <v>7.8708333333333338E-3</v>
      </c>
      <c r="I780" s="986">
        <f t="shared" si="11"/>
        <v>5.6529166666666665E-2</v>
      </c>
      <c r="J780" s="988">
        <v>33178</v>
      </c>
    </row>
    <row r="781" spans="1:10" ht="13.8">
      <c r="A781" s="987">
        <v>17</v>
      </c>
      <c r="B781" s="988">
        <v>33208</v>
      </c>
      <c r="C781" s="987" t="s">
        <v>4630</v>
      </c>
      <c r="F781" s="990">
        <v>2.7400000000000001E-2</v>
      </c>
      <c r="H781" s="993">
        <v>7.6833333333333345E-3</v>
      </c>
      <c r="I781" s="986">
        <f t="shared" si="11"/>
        <v>1.9716666666666667E-2</v>
      </c>
      <c r="J781" s="988">
        <v>33208</v>
      </c>
    </row>
    <row r="782" spans="1:10" ht="13.8">
      <c r="A782" s="987">
        <v>17</v>
      </c>
      <c r="B782" s="988">
        <v>33239</v>
      </c>
      <c r="C782" s="987" t="s">
        <v>4630</v>
      </c>
      <c r="F782" s="990">
        <v>4.4200000000000003E-2</v>
      </c>
      <c r="H782" s="993">
        <v>7.6708333333333333E-3</v>
      </c>
      <c r="I782" s="986">
        <f t="shared" si="11"/>
        <v>3.6529166666666668E-2</v>
      </c>
      <c r="J782" s="988">
        <v>33239</v>
      </c>
    </row>
    <row r="783" spans="1:10" ht="13.8">
      <c r="A783" s="987">
        <v>17</v>
      </c>
      <c r="B783" s="988">
        <v>33270</v>
      </c>
      <c r="C783" s="987" t="s">
        <v>4630</v>
      </c>
      <c r="F783" s="990">
        <v>7.1599999999999997E-2</v>
      </c>
      <c r="H783" s="993">
        <v>7.4958333333333326E-3</v>
      </c>
      <c r="I783" s="986">
        <f t="shared" si="11"/>
        <v>6.410416666666667E-2</v>
      </c>
      <c r="J783" s="988">
        <v>33270</v>
      </c>
    </row>
    <row r="784" spans="1:10" ht="13.8">
      <c r="A784" s="987">
        <v>17</v>
      </c>
      <c r="B784" s="988">
        <v>33298</v>
      </c>
      <c r="C784" s="987" t="s">
        <v>4630</v>
      </c>
      <c r="F784" s="990">
        <v>2.3800000000000002E-2</v>
      </c>
      <c r="H784" s="993">
        <v>7.5583333333333336E-3</v>
      </c>
      <c r="I784" s="986">
        <f t="shared" si="11"/>
        <v>1.6241666666666668E-2</v>
      </c>
      <c r="J784" s="988">
        <v>33298</v>
      </c>
    </row>
    <row r="785" spans="1:10" ht="13.8">
      <c r="A785" s="987">
        <v>17</v>
      </c>
      <c r="B785" s="988">
        <v>33329</v>
      </c>
      <c r="C785" s="987" t="s">
        <v>4630</v>
      </c>
      <c r="F785" s="990">
        <v>2.8E-3</v>
      </c>
      <c r="H785" s="993">
        <v>7.4916666666666656E-3</v>
      </c>
      <c r="I785" s="986">
        <f t="shared" si="11"/>
        <v>-4.6916666666666652E-3</v>
      </c>
      <c r="J785" s="988">
        <v>33329</v>
      </c>
    </row>
    <row r="786" spans="1:10" ht="13.8">
      <c r="A786" s="987">
        <v>17</v>
      </c>
      <c r="B786" s="988">
        <v>33359</v>
      </c>
      <c r="C786" s="987" t="s">
        <v>4630</v>
      </c>
      <c r="F786" s="990">
        <v>4.2799999999999998E-2</v>
      </c>
      <c r="H786" s="993">
        <v>7.5041666666666677E-3</v>
      </c>
      <c r="I786" s="986">
        <f t="shared" si="11"/>
        <v>3.5295833333333332E-2</v>
      </c>
      <c r="J786" s="988">
        <v>33359</v>
      </c>
    </row>
    <row r="787" spans="1:10" ht="13.8">
      <c r="A787" s="987">
        <v>17</v>
      </c>
      <c r="B787" s="988">
        <v>33390</v>
      </c>
      <c r="C787" s="987" t="s">
        <v>4630</v>
      </c>
      <c r="F787" s="990">
        <v>-4.5699999999999998E-2</v>
      </c>
      <c r="H787" s="993">
        <v>7.6208333333333336E-3</v>
      </c>
      <c r="I787" s="986">
        <f t="shared" si="11"/>
        <v>-5.3320833333333331E-2</v>
      </c>
      <c r="J787" s="988">
        <v>33390</v>
      </c>
    </row>
    <row r="788" spans="1:10" ht="13.8">
      <c r="A788" s="987">
        <v>17</v>
      </c>
      <c r="B788" s="988">
        <v>33420</v>
      </c>
      <c r="C788" s="987" t="s">
        <v>4630</v>
      </c>
      <c r="F788" s="990">
        <v>4.6800000000000001E-2</v>
      </c>
      <c r="H788" s="993">
        <v>7.6041666666666671E-3</v>
      </c>
      <c r="I788" s="986">
        <f t="shared" si="11"/>
        <v>3.9195833333333333E-2</v>
      </c>
      <c r="J788" s="988">
        <v>33420</v>
      </c>
    </row>
    <row r="789" spans="1:10" ht="13.8">
      <c r="A789" s="987">
        <v>17</v>
      </c>
      <c r="B789" s="988">
        <v>33451</v>
      </c>
      <c r="C789" s="987" t="s">
        <v>4630</v>
      </c>
      <c r="F789" s="990">
        <v>2.35E-2</v>
      </c>
      <c r="H789" s="993">
        <v>7.3916666666666662E-3</v>
      </c>
      <c r="I789" s="986">
        <f t="shared" si="11"/>
        <v>1.6108333333333336E-2</v>
      </c>
      <c r="J789" s="988">
        <v>33451</v>
      </c>
    </row>
    <row r="790" spans="1:10" ht="13.8">
      <c r="A790" s="987">
        <v>17</v>
      </c>
      <c r="B790" s="988">
        <v>33482</v>
      </c>
      <c r="C790" s="987" t="s">
        <v>4630</v>
      </c>
      <c r="F790" s="990">
        <v>-1.6400000000000001E-2</v>
      </c>
      <c r="H790" s="993">
        <v>7.2791666666666656E-3</v>
      </c>
      <c r="I790" s="986">
        <f t="shared" si="11"/>
        <v>-2.3679166666666668E-2</v>
      </c>
      <c r="J790" s="988">
        <v>33482</v>
      </c>
    </row>
    <row r="791" spans="1:10" ht="13.8">
      <c r="A791" s="987">
        <v>17</v>
      </c>
      <c r="B791" s="988">
        <v>33512</v>
      </c>
      <c r="C791" s="987" t="s">
        <v>4630</v>
      </c>
      <c r="F791" s="990">
        <v>1.34E-2</v>
      </c>
      <c r="H791" s="993">
        <v>7.2416666666666662E-3</v>
      </c>
      <c r="I791" s="986">
        <f t="shared" si="11"/>
        <v>6.1583333333333342E-3</v>
      </c>
      <c r="J791" s="988">
        <v>33512</v>
      </c>
    </row>
    <row r="792" spans="1:10" ht="13.8">
      <c r="A792" s="987">
        <v>17</v>
      </c>
      <c r="B792" s="988">
        <v>33543</v>
      </c>
      <c r="C792" s="987" t="s">
        <v>4630</v>
      </c>
      <c r="F792" s="990">
        <v>-4.0399999999999998E-2</v>
      </c>
      <c r="H792" s="993">
        <v>7.1916666666666665E-3</v>
      </c>
      <c r="I792" s="986">
        <f t="shared" si="11"/>
        <v>-4.7591666666666664E-2</v>
      </c>
      <c r="J792" s="988">
        <v>33543</v>
      </c>
    </row>
    <row r="793" spans="1:10" ht="13.8">
      <c r="A793" s="987">
        <v>17</v>
      </c>
      <c r="B793" s="988">
        <v>33573</v>
      </c>
      <c r="C793" s="987" t="s">
        <v>4630</v>
      </c>
      <c r="F793" s="990">
        <v>0.1143</v>
      </c>
      <c r="H793" s="993">
        <v>7.0499999999999998E-3</v>
      </c>
      <c r="I793" s="986">
        <f t="shared" si="11"/>
        <v>0.10725</v>
      </c>
      <c r="J793" s="988">
        <v>33573</v>
      </c>
    </row>
    <row r="794" spans="1:10" ht="13.8">
      <c r="A794" s="987">
        <v>17</v>
      </c>
      <c r="B794" s="988">
        <v>33604</v>
      </c>
      <c r="C794" s="987" t="s">
        <v>4630</v>
      </c>
      <c r="F794" s="990">
        <v>-1.8599999999999998E-2</v>
      </c>
      <c r="H794" s="993">
        <v>6.9624999999999991E-3</v>
      </c>
      <c r="I794" s="986">
        <f t="shared" ref="I794:I857" si="12">F794-H794</f>
        <v>-2.5562499999999998E-2</v>
      </c>
      <c r="J794" s="988">
        <v>33604</v>
      </c>
    </row>
    <row r="795" spans="1:10" ht="13.8">
      <c r="A795" s="987">
        <v>17</v>
      </c>
      <c r="B795" s="988">
        <v>33635</v>
      </c>
      <c r="C795" s="987" t="s">
        <v>4630</v>
      </c>
      <c r="F795" s="990">
        <v>1.2800000000000001E-2</v>
      </c>
      <c r="H795" s="993">
        <v>7.0666666666666664E-3</v>
      </c>
      <c r="I795" s="986">
        <f t="shared" si="12"/>
        <v>5.7333333333333342E-3</v>
      </c>
      <c r="J795" s="988">
        <v>33635</v>
      </c>
    </row>
    <row r="796" spans="1:10" ht="13.8">
      <c r="A796" s="987">
        <v>17</v>
      </c>
      <c r="B796" s="988">
        <v>33664</v>
      </c>
      <c r="C796" s="987" t="s">
        <v>4630</v>
      </c>
      <c r="F796" s="990">
        <v>-1.9599999999999999E-2</v>
      </c>
      <c r="H796" s="993">
        <v>7.116666666666667E-3</v>
      </c>
      <c r="I796" s="986">
        <f t="shared" si="12"/>
        <v>-2.6716666666666666E-2</v>
      </c>
      <c r="J796" s="988">
        <v>33664</v>
      </c>
    </row>
    <row r="797" spans="1:10" ht="13.8">
      <c r="A797" s="987">
        <v>17</v>
      </c>
      <c r="B797" s="988">
        <v>33695</v>
      </c>
      <c r="C797" s="987" t="s">
        <v>4630</v>
      </c>
      <c r="F797" s="990">
        <v>2.9100000000000001E-2</v>
      </c>
      <c r="H797" s="993">
        <v>7.0916666666666671E-3</v>
      </c>
      <c r="I797" s="986">
        <f t="shared" si="12"/>
        <v>2.2008333333333335E-2</v>
      </c>
      <c r="J797" s="988">
        <v>33695</v>
      </c>
    </row>
    <row r="798" spans="1:10" ht="13.8">
      <c r="A798" s="987">
        <v>17</v>
      </c>
      <c r="B798" s="988">
        <v>33725</v>
      </c>
      <c r="C798" s="987" t="s">
        <v>4630</v>
      </c>
      <c r="F798" s="990">
        <v>5.4000000000000003E-3</v>
      </c>
      <c r="H798" s="993">
        <v>7.0458333333333336E-3</v>
      </c>
      <c r="I798" s="986">
        <f t="shared" si="12"/>
        <v>-1.6458333333333333E-3</v>
      </c>
      <c r="J798" s="988">
        <v>33725</v>
      </c>
    </row>
    <row r="799" spans="1:10" ht="13.8">
      <c r="A799" s="987">
        <v>17</v>
      </c>
      <c r="B799" s="988">
        <v>33756</v>
      </c>
      <c r="C799" s="987" t="s">
        <v>4630</v>
      </c>
      <c r="F799" s="990">
        <v>-1.4500000000000001E-2</v>
      </c>
      <c r="H799" s="993">
        <v>6.9916666666666669E-3</v>
      </c>
      <c r="I799" s="986">
        <f t="shared" si="12"/>
        <v>-2.1491666666666666E-2</v>
      </c>
      <c r="J799" s="988">
        <v>33756</v>
      </c>
    </row>
    <row r="800" spans="1:10" ht="13.8">
      <c r="A800" s="987">
        <v>17</v>
      </c>
      <c r="B800" s="988">
        <v>33786</v>
      </c>
      <c r="C800" s="987" t="s">
        <v>4630</v>
      </c>
      <c r="F800" s="990">
        <v>4.0300000000000002E-2</v>
      </c>
      <c r="H800" s="993">
        <v>6.8499999999999993E-3</v>
      </c>
      <c r="I800" s="986">
        <f t="shared" si="12"/>
        <v>3.3450000000000001E-2</v>
      </c>
      <c r="J800" s="988">
        <v>33786</v>
      </c>
    </row>
    <row r="801" spans="1:10" ht="13.8">
      <c r="A801" s="987">
        <v>17</v>
      </c>
      <c r="B801" s="988">
        <v>33817</v>
      </c>
      <c r="C801" s="987" t="s">
        <v>4630</v>
      </c>
      <c r="F801" s="990">
        <v>-2.0199999999999999E-2</v>
      </c>
      <c r="H801" s="993">
        <v>6.7333333333333334E-3</v>
      </c>
      <c r="I801" s="986">
        <f t="shared" si="12"/>
        <v>-2.6933333333333333E-2</v>
      </c>
      <c r="J801" s="988">
        <v>33817</v>
      </c>
    </row>
    <row r="802" spans="1:10" ht="13.8">
      <c r="A802" s="987">
        <v>17</v>
      </c>
      <c r="B802" s="988">
        <v>33848</v>
      </c>
      <c r="C802" s="987" t="s">
        <v>4630</v>
      </c>
      <c r="F802" s="990">
        <v>1.15E-2</v>
      </c>
      <c r="H802" s="993">
        <v>6.7041666666666664E-3</v>
      </c>
      <c r="I802" s="986">
        <f t="shared" si="12"/>
        <v>4.7958333333333334E-3</v>
      </c>
      <c r="J802" s="988">
        <v>33848</v>
      </c>
    </row>
    <row r="803" spans="1:10" ht="13.8">
      <c r="A803" s="987">
        <v>17</v>
      </c>
      <c r="B803" s="988">
        <v>33878</v>
      </c>
      <c r="C803" s="987" t="s">
        <v>4630</v>
      </c>
      <c r="F803" s="990">
        <v>3.5999999999999999E-3</v>
      </c>
      <c r="H803" s="993">
        <v>6.7958333333333343E-3</v>
      </c>
      <c r="I803" s="986">
        <f t="shared" si="12"/>
        <v>-3.1958333333333344E-3</v>
      </c>
      <c r="J803" s="988">
        <v>33878</v>
      </c>
    </row>
    <row r="804" spans="1:10" ht="13.8">
      <c r="A804" s="987">
        <v>17</v>
      </c>
      <c r="B804" s="988">
        <v>33909</v>
      </c>
      <c r="C804" s="987" t="s">
        <v>4630</v>
      </c>
      <c r="F804" s="990">
        <v>3.3700000000000001E-2</v>
      </c>
      <c r="H804" s="993">
        <v>6.875E-3</v>
      </c>
      <c r="I804" s="986">
        <f t="shared" si="12"/>
        <v>2.6825000000000002E-2</v>
      </c>
      <c r="J804" s="988">
        <v>33909</v>
      </c>
    </row>
    <row r="805" spans="1:10" ht="13.8">
      <c r="A805" s="987">
        <v>17</v>
      </c>
      <c r="B805" s="988">
        <v>33939</v>
      </c>
      <c r="C805" s="987" t="s">
        <v>4630</v>
      </c>
      <c r="F805" s="990">
        <v>1.3100000000000001E-2</v>
      </c>
      <c r="H805" s="993">
        <v>6.7583333333333332E-3</v>
      </c>
      <c r="I805" s="986">
        <f t="shared" si="12"/>
        <v>6.3416666666666673E-3</v>
      </c>
      <c r="J805" s="988">
        <v>33939</v>
      </c>
    </row>
    <row r="806" spans="1:10" ht="13.8">
      <c r="A806" s="987">
        <v>17</v>
      </c>
      <c r="B806" s="988">
        <v>33970</v>
      </c>
      <c r="C806" s="987" t="s">
        <v>4630</v>
      </c>
      <c r="F806" s="990">
        <v>7.3000000000000001E-3</v>
      </c>
      <c r="H806" s="993">
        <v>6.6749999999999995E-3</v>
      </c>
      <c r="I806" s="986">
        <f t="shared" si="12"/>
        <v>6.2500000000000056E-4</v>
      </c>
      <c r="J806" s="988">
        <v>33970</v>
      </c>
    </row>
    <row r="807" spans="1:10" ht="13.8">
      <c r="A807" s="987">
        <v>17</v>
      </c>
      <c r="B807" s="988">
        <v>34001</v>
      </c>
      <c r="C807" s="987" t="s">
        <v>4630</v>
      </c>
      <c r="F807" s="990">
        <v>1.35E-2</v>
      </c>
      <c r="H807" s="993">
        <v>6.5041666666666668E-3</v>
      </c>
      <c r="I807" s="986">
        <f t="shared" si="12"/>
        <v>6.9958333333333331E-3</v>
      </c>
      <c r="J807" s="988">
        <v>34001</v>
      </c>
    </row>
    <row r="808" spans="1:10" ht="13.8">
      <c r="A808" s="987">
        <v>17</v>
      </c>
      <c r="B808" s="988">
        <v>34029</v>
      </c>
      <c r="C808" s="987" t="s">
        <v>4630</v>
      </c>
      <c r="F808" s="990">
        <v>2.1499999999999998E-2</v>
      </c>
      <c r="H808" s="993">
        <v>6.3749999999999996E-3</v>
      </c>
      <c r="I808" s="986">
        <f t="shared" si="12"/>
        <v>1.5125E-2</v>
      </c>
      <c r="J808" s="988">
        <v>34029</v>
      </c>
    </row>
    <row r="809" spans="1:10" ht="13.8">
      <c r="A809" s="987">
        <v>17</v>
      </c>
      <c r="B809" s="988">
        <v>34060</v>
      </c>
      <c r="C809" s="987" t="s">
        <v>4630</v>
      </c>
      <c r="F809" s="990">
        <v>-2.4500000000000001E-2</v>
      </c>
      <c r="H809" s="993">
        <v>6.2833333333333343E-3</v>
      </c>
      <c r="I809" s="986">
        <f t="shared" si="12"/>
        <v>-3.0783333333333336E-2</v>
      </c>
      <c r="J809" s="988">
        <v>34060</v>
      </c>
    </row>
    <row r="810" spans="1:10" ht="13.8">
      <c r="A810" s="987">
        <v>17</v>
      </c>
      <c r="B810" s="988">
        <v>34090</v>
      </c>
      <c r="C810" s="987" t="s">
        <v>4630</v>
      </c>
      <c r="F810" s="990">
        <v>2.7E-2</v>
      </c>
      <c r="H810" s="993">
        <v>6.2666666666666669E-3</v>
      </c>
      <c r="I810" s="986">
        <f t="shared" si="12"/>
        <v>2.0733333333333333E-2</v>
      </c>
      <c r="J810" s="988">
        <v>34090</v>
      </c>
    </row>
    <row r="811" spans="1:10" ht="13.8">
      <c r="A811" s="987">
        <v>17</v>
      </c>
      <c r="B811" s="988">
        <v>34121</v>
      </c>
      <c r="C811" s="987" t="s">
        <v>4630</v>
      </c>
      <c r="F811" s="990">
        <v>3.3E-3</v>
      </c>
      <c r="H811" s="993">
        <v>6.1833333333333341E-3</v>
      </c>
      <c r="I811" s="986">
        <f t="shared" si="12"/>
        <v>-2.8833333333333341E-3</v>
      </c>
      <c r="J811" s="988">
        <v>34121</v>
      </c>
    </row>
    <row r="812" spans="1:10" ht="13.8">
      <c r="A812" s="987">
        <v>17</v>
      </c>
      <c r="B812" s="988">
        <v>34151</v>
      </c>
      <c r="C812" s="987" t="s">
        <v>4630</v>
      </c>
      <c r="F812" s="990">
        <v>-4.7000000000000002E-3</v>
      </c>
      <c r="H812" s="993">
        <v>6.0499999999999998E-3</v>
      </c>
      <c r="I812" s="986">
        <f t="shared" si="12"/>
        <v>-1.0749999999999999E-2</v>
      </c>
      <c r="J812" s="988">
        <v>34151</v>
      </c>
    </row>
    <row r="813" spans="1:10" ht="13.8">
      <c r="A813" s="987">
        <v>17</v>
      </c>
      <c r="B813" s="988">
        <v>34182</v>
      </c>
      <c r="C813" s="987" t="s">
        <v>4630</v>
      </c>
      <c r="F813" s="990">
        <v>3.8100000000000002E-2</v>
      </c>
      <c r="H813" s="993">
        <v>5.7958333333333334E-3</v>
      </c>
      <c r="I813" s="986">
        <f t="shared" si="12"/>
        <v>3.2304166666666669E-2</v>
      </c>
      <c r="J813" s="988">
        <v>34182</v>
      </c>
    </row>
    <row r="814" spans="1:10" ht="13.8">
      <c r="A814" s="987">
        <v>17</v>
      </c>
      <c r="B814" s="988">
        <v>34213</v>
      </c>
      <c r="C814" s="987" t="s">
        <v>4630</v>
      </c>
      <c r="F814" s="990">
        <v>-7.4000000000000003E-3</v>
      </c>
      <c r="H814" s="993">
        <v>5.6291666666666677E-3</v>
      </c>
      <c r="I814" s="986">
        <f t="shared" si="12"/>
        <v>-1.3029166666666668E-2</v>
      </c>
      <c r="J814" s="988">
        <v>34213</v>
      </c>
    </row>
    <row r="815" spans="1:10" ht="13.8">
      <c r="A815" s="987">
        <v>17</v>
      </c>
      <c r="B815" s="988">
        <v>34243</v>
      </c>
      <c r="C815" s="987" t="s">
        <v>4630</v>
      </c>
      <c r="F815" s="990">
        <v>2.0299999999999999E-2</v>
      </c>
      <c r="H815" s="993">
        <v>5.6416666666666672E-3</v>
      </c>
      <c r="I815" s="986">
        <f t="shared" si="12"/>
        <v>1.4658333333333332E-2</v>
      </c>
      <c r="J815" s="988">
        <v>34243</v>
      </c>
    </row>
    <row r="816" spans="1:10" ht="13.8">
      <c r="A816" s="987">
        <v>17</v>
      </c>
      <c r="B816" s="988">
        <v>34274</v>
      </c>
      <c r="C816" s="987" t="s">
        <v>4630</v>
      </c>
      <c r="F816" s="990">
        <v>-9.4000000000000004E-3</v>
      </c>
      <c r="H816" s="993">
        <v>5.8541666666666672E-3</v>
      </c>
      <c r="I816" s="986">
        <f t="shared" si="12"/>
        <v>-1.5254166666666668E-2</v>
      </c>
      <c r="J816" s="988">
        <v>34274</v>
      </c>
    </row>
    <row r="817" spans="1:10" ht="13.8">
      <c r="A817" s="987">
        <v>17</v>
      </c>
      <c r="B817" s="988">
        <v>34304</v>
      </c>
      <c r="C817" s="987" t="s">
        <v>4630</v>
      </c>
      <c r="F817" s="990">
        <v>1.23E-2</v>
      </c>
      <c r="H817" s="993">
        <v>5.8541666666666672E-3</v>
      </c>
      <c r="I817" s="986">
        <f t="shared" si="12"/>
        <v>6.4458333333333329E-3</v>
      </c>
      <c r="J817" s="988">
        <v>34304</v>
      </c>
    </row>
    <row r="818" spans="1:10" ht="13.8">
      <c r="A818" s="987">
        <v>17</v>
      </c>
      <c r="B818" s="988">
        <v>34335</v>
      </c>
      <c r="C818" s="987" t="s">
        <v>4630</v>
      </c>
      <c r="F818" s="990">
        <v>3.3500000000000002E-2</v>
      </c>
      <c r="H818" s="993">
        <v>5.8499999999999993E-3</v>
      </c>
      <c r="I818" s="986">
        <f t="shared" si="12"/>
        <v>2.7650000000000001E-2</v>
      </c>
      <c r="J818" s="988">
        <v>34335</v>
      </c>
    </row>
    <row r="819" spans="1:10" ht="13.8">
      <c r="A819" s="987">
        <v>17</v>
      </c>
      <c r="B819" s="988">
        <v>34366</v>
      </c>
      <c r="C819" s="987" t="s">
        <v>4630</v>
      </c>
      <c r="F819" s="990">
        <v>-2.7E-2</v>
      </c>
      <c r="H819" s="993">
        <v>5.9874999999999998E-3</v>
      </c>
      <c r="I819" s="986">
        <f t="shared" si="12"/>
        <v>-3.2987500000000003E-2</v>
      </c>
      <c r="J819" s="988">
        <v>34366</v>
      </c>
    </row>
    <row r="820" spans="1:10" ht="13.8">
      <c r="A820" s="987">
        <v>17</v>
      </c>
      <c r="B820" s="988">
        <v>34394</v>
      </c>
      <c r="C820" s="987" t="s">
        <v>4630</v>
      </c>
      <c r="F820" s="990">
        <v>-4.3499999999999997E-2</v>
      </c>
      <c r="H820" s="993">
        <v>5.9874999999999998E-3</v>
      </c>
      <c r="I820" s="986">
        <f t="shared" si="12"/>
        <v>-4.9487499999999997E-2</v>
      </c>
      <c r="J820" s="988">
        <v>34394</v>
      </c>
    </row>
    <row r="821" spans="1:10" ht="13.8">
      <c r="A821" s="987">
        <v>17</v>
      </c>
      <c r="B821" s="988">
        <v>34425</v>
      </c>
      <c r="C821" s="987" t="s">
        <v>4630</v>
      </c>
      <c r="F821" s="990">
        <v>1.2999999999999999E-2</v>
      </c>
      <c r="H821" s="993">
        <v>6.3208333333333337E-3</v>
      </c>
      <c r="I821" s="986">
        <f t="shared" si="12"/>
        <v>6.6791666666666657E-3</v>
      </c>
      <c r="J821" s="988">
        <v>34425</v>
      </c>
    </row>
    <row r="822" spans="1:10" ht="13.8">
      <c r="A822" s="987">
        <v>17</v>
      </c>
      <c r="B822" s="988">
        <v>34455</v>
      </c>
      <c r="C822" s="987" t="s">
        <v>4630</v>
      </c>
      <c r="F822" s="990">
        <v>1.6299999999999999E-2</v>
      </c>
      <c r="H822" s="993">
        <v>6.7416666666666666E-3</v>
      </c>
      <c r="I822" s="986">
        <f t="shared" si="12"/>
        <v>9.5583333333333319E-3</v>
      </c>
      <c r="J822" s="988">
        <v>34455</v>
      </c>
    </row>
    <row r="823" spans="1:10" ht="13.8">
      <c r="A823" s="987">
        <v>17</v>
      </c>
      <c r="B823" s="988">
        <v>34486</v>
      </c>
      <c r="C823" s="987" t="s">
        <v>4630</v>
      </c>
      <c r="F823" s="990">
        <v>-2.47E-2</v>
      </c>
      <c r="H823" s="993">
        <v>6.7250000000000001E-3</v>
      </c>
      <c r="I823" s="986">
        <f t="shared" si="12"/>
        <v>-3.1425000000000002E-2</v>
      </c>
      <c r="J823" s="988">
        <v>34486</v>
      </c>
    </row>
    <row r="824" spans="1:10" ht="13.8">
      <c r="A824" s="987">
        <v>17</v>
      </c>
      <c r="B824" s="988">
        <v>34516</v>
      </c>
      <c r="C824" s="987" t="s">
        <v>4630</v>
      </c>
      <c r="F824" s="990">
        <v>3.3099999999999997E-2</v>
      </c>
      <c r="H824" s="993">
        <v>6.841666666666666E-3</v>
      </c>
      <c r="I824" s="986">
        <f t="shared" si="12"/>
        <v>2.6258333333333331E-2</v>
      </c>
      <c r="J824" s="988">
        <v>34516</v>
      </c>
    </row>
    <row r="825" spans="1:10" ht="13.8">
      <c r="A825" s="987">
        <v>17</v>
      </c>
      <c r="B825" s="988">
        <v>34547</v>
      </c>
      <c r="C825" s="987" t="s">
        <v>4630</v>
      </c>
      <c r="F825" s="990">
        <v>4.07E-2</v>
      </c>
      <c r="H825" s="993">
        <v>6.7999999999999996E-3</v>
      </c>
      <c r="I825" s="986">
        <f t="shared" si="12"/>
        <v>3.39E-2</v>
      </c>
      <c r="J825" s="988">
        <v>34547</v>
      </c>
    </row>
    <row r="826" spans="1:10" ht="13.8">
      <c r="A826" s="987">
        <v>17</v>
      </c>
      <c r="B826" s="988">
        <v>34578</v>
      </c>
      <c r="C826" s="987" t="s">
        <v>4630</v>
      </c>
      <c r="F826" s="990">
        <v>-2.41E-2</v>
      </c>
      <c r="H826" s="993">
        <v>7.0124999999999996E-3</v>
      </c>
      <c r="I826" s="986">
        <f t="shared" si="12"/>
        <v>-3.1112500000000001E-2</v>
      </c>
      <c r="J826" s="988">
        <v>34578</v>
      </c>
    </row>
    <row r="827" spans="1:10" ht="13.8">
      <c r="A827" s="987">
        <v>17</v>
      </c>
      <c r="B827" s="988">
        <v>34608</v>
      </c>
      <c r="C827" s="987" t="s">
        <v>4630</v>
      </c>
      <c r="F827" s="990">
        <v>2.29E-2</v>
      </c>
      <c r="H827" s="993">
        <v>7.2000000000000007E-3</v>
      </c>
      <c r="I827" s="986">
        <f t="shared" si="12"/>
        <v>1.5699999999999999E-2</v>
      </c>
      <c r="J827" s="988">
        <v>34608</v>
      </c>
    </row>
    <row r="828" spans="1:10" ht="13.8">
      <c r="A828" s="987">
        <v>17</v>
      </c>
      <c r="B828" s="988">
        <v>34639</v>
      </c>
      <c r="C828" s="987" t="s">
        <v>4630</v>
      </c>
      <c r="F828" s="990">
        <v>-3.6700000000000003E-2</v>
      </c>
      <c r="H828" s="993">
        <v>7.2958333333333321E-3</v>
      </c>
      <c r="I828" s="986">
        <f t="shared" si="12"/>
        <v>-4.3995833333333338E-2</v>
      </c>
      <c r="J828" s="988">
        <v>34639</v>
      </c>
    </row>
    <row r="829" spans="1:10" ht="13.8">
      <c r="A829" s="987">
        <v>17</v>
      </c>
      <c r="B829" s="988">
        <v>34669</v>
      </c>
      <c r="C829" s="987" t="s">
        <v>4630</v>
      </c>
      <c r="F829" s="990">
        <v>1.46E-2</v>
      </c>
      <c r="H829" s="993">
        <v>7.116666666666667E-3</v>
      </c>
      <c r="I829" s="986">
        <f t="shared" si="12"/>
        <v>7.4833333333333332E-3</v>
      </c>
      <c r="J829" s="988">
        <v>34669</v>
      </c>
    </row>
    <row r="830" spans="1:10" ht="13.8">
      <c r="A830" s="987">
        <v>17</v>
      </c>
      <c r="B830" s="988">
        <v>34700</v>
      </c>
      <c r="C830" s="987" t="s">
        <v>4630</v>
      </c>
      <c r="F830" s="990">
        <v>2.5999999999999999E-2</v>
      </c>
      <c r="H830" s="993">
        <v>7.1083333333333346E-3</v>
      </c>
      <c r="I830" s="986">
        <f t="shared" si="12"/>
        <v>1.8891666666666664E-2</v>
      </c>
      <c r="J830" s="988">
        <v>34700</v>
      </c>
    </row>
    <row r="831" spans="1:10" ht="13.8">
      <c r="A831" s="987">
        <v>17</v>
      </c>
      <c r="B831" s="988">
        <v>34731</v>
      </c>
      <c r="C831" s="987" t="s">
        <v>4630</v>
      </c>
      <c r="F831" s="990">
        <v>3.8800000000000001E-2</v>
      </c>
      <c r="H831" s="993">
        <v>6.937500000000001E-3</v>
      </c>
      <c r="I831" s="986">
        <f t="shared" si="12"/>
        <v>3.1862500000000002E-2</v>
      </c>
      <c r="J831" s="988">
        <v>34731</v>
      </c>
    </row>
    <row r="832" spans="1:10" ht="13.8">
      <c r="A832" s="987">
        <v>17</v>
      </c>
      <c r="B832" s="988">
        <v>34759</v>
      </c>
      <c r="C832" s="987" t="s">
        <v>4630</v>
      </c>
      <c r="F832" s="990">
        <v>2.9600000000000001E-2</v>
      </c>
      <c r="H832" s="993">
        <v>6.8166666666666662E-3</v>
      </c>
      <c r="I832" s="986">
        <f t="shared" si="12"/>
        <v>2.2783333333333336E-2</v>
      </c>
      <c r="J832" s="988">
        <v>34759</v>
      </c>
    </row>
    <row r="833" spans="1:10" ht="13.8">
      <c r="A833" s="987">
        <v>17</v>
      </c>
      <c r="B833" s="988">
        <v>34790</v>
      </c>
      <c r="C833" s="987" t="s">
        <v>4630</v>
      </c>
      <c r="F833" s="990">
        <v>2.9100000000000001E-2</v>
      </c>
      <c r="H833" s="993">
        <v>6.7291666666666663E-3</v>
      </c>
      <c r="I833" s="986">
        <f t="shared" si="12"/>
        <v>2.2370833333333333E-2</v>
      </c>
      <c r="J833" s="988">
        <v>34790</v>
      </c>
    </row>
    <row r="834" spans="1:10" ht="13.8">
      <c r="A834" s="987">
        <v>17</v>
      </c>
      <c r="B834" s="988">
        <v>34820</v>
      </c>
      <c r="C834" s="987" t="s">
        <v>4630</v>
      </c>
      <c r="F834" s="990">
        <v>3.95E-2</v>
      </c>
      <c r="H834" s="993">
        <v>6.4125000000000007E-3</v>
      </c>
      <c r="I834" s="986">
        <f t="shared" si="12"/>
        <v>3.3087499999999999E-2</v>
      </c>
      <c r="J834" s="988">
        <v>34820</v>
      </c>
    </row>
    <row r="835" spans="1:10" ht="13.8">
      <c r="A835" s="987">
        <v>17</v>
      </c>
      <c r="B835" s="988">
        <v>34851</v>
      </c>
      <c r="C835" s="987" t="s">
        <v>4630</v>
      </c>
      <c r="F835" s="990">
        <v>2.35E-2</v>
      </c>
      <c r="H835" s="993">
        <v>6.1375000000000006E-3</v>
      </c>
      <c r="I835" s="986">
        <f t="shared" si="12"/>
        <v>1.7362499999999999E-2</v>
      </c>
      <c r="J835" s="988">
        <v>34851</v>
      </c>
    </row>
    <row r="836" spans="1:10" ht="13.8">
      <c r="A836" s="987">
        <v>17</v>
      </c>
      <c r="B836" s="988">
        <v>34881</v>
      </c>
      <c r="C836" s="987" t="s">
        <v>4630</v>
      </c>
      <c r="F836" s="990">
        <v>3.3300000000000003E-2</v>
      </c>
      <c r="H836" s="993">
        <v>6.2291666666666667E-3</v>
      </c>
      <c r="I836" s="986">
        <f t="shared" si="12"/>
        <v>2.7070833333333336E-2</v>
      </c>
      <c r="J836" s="988">
        <v>34881</v>
      </c>
    </row>
    <row r="837" spans="1:10" ht="13.8">
      <c r="A837" s="987">
        <v>17</v>
      </c>
      <c r="B837" s="988">
        <v>34912</v>
      </c>
      <c r="C837" s="987" t="s">
        <v>4630</v>
      </c>
      <c r="F837" s="990">
        <v>2.7000000000000001E-3</v>
      </c>
      <c r="H837" s="993">
        <v>6.3583333333333339E-3</v>
      </c>
      <c r="I837" s="986">
        <f t="shared" si="12"/>
        <v>-3.6583333333333337E-3</v>
      </c>
      <c r="J837" s="988">
        <v>34912</v>
      </c>
    </row>
    <row r="838" spans="1:10" ht="13.8">
      <c r="A838" s="987">
        <v>17</v>
      </c>
      <c r="B838" s="988">
        <v>34943</v>
      </c>
      <c r="C838" s="987" t="s">
        <v>4630</v>
      </c>
      <c r="F838" s="990">
        <v>4.19E-2</v>
      </c>
      <c r="H838" s="993">
        <v>6.1541666666666672E-3</v>
      </c>
      <c r="I838" s="986">
        <f t="shared" si="12"/>
        <v>3.5745833333333331E-2</v>
      </c>
      <c r="J838" s="988">
        <v>34943</v>
      </c>
    </row>
    <row r="839" spans="1:10" ht="13.8">
      <c r="A839" s="987">
        <v>17</v>
      </c>
      <c r="B839" s="988">
        <v>34973</v>
      </c>
      <c r="C839" s="987" t="s">
        <v>4630</v>
      </c>
      <c r="F839" s="990">
        <v>-3.5000000000000001E-3</v>
      </c>
      <c r="H839" s="993">
        <v>5.9958333333333339E-3</v>
      </c>
      <c r="I839" s="986">
        <f t="shared" si="12"/>
        <v>-9.4958333333333336E-3</v>
      </c>
      <c r="J839" s="988">
        <v>34973</v>
      </c>
    </row>
    <row r="840" spans="1:10" ht="13.8">
      <c r="A840" s="987">
        <v>17</v>
      </c>
      <c r="B840" s="988">
        <v>35004</v>
      </c>
      <c r="C840" s="987" t="s">
        <v>4630</v>
      </c>
      <c r="F840" s="990">
        <v>4.3999999999999997E-2</v>
      </c>
      <c r="H840" s="993">
        <v>5.9166666666666656E-3</v>
      </c>
      <c r="I840" s="986">
        <f t="shared" si="12"/>
        <v>3.808333333333333E-2</v>
      </c>
      <c r="J840" s="988">
        <v>35004</v>
      </c>
    </row>
    <row r="841" spans="1:10" ht="13.8">
      <c r="A841" s="987">
        <v>17</v>
      </c>
      <c r="B841" s="988">
        <v>35034</v>
      </c>
      <c r="C841" s="987" t="s">
        <v>4630</v>
      </c>
      <c r="F841" s="990">
        <v>1.8499999999999999E-2</v>
      </c>
      <c r="H841" s="993">
        <v>5.754166666666667E-3</v>
      </c>
      <c r="I841" s="986">
        <f t="shared" si="12"/>
        <v>1.2745833333333331E-2</v>
      </c>
      <c r="J841" s="988">
        <v>35034</v>
      </c>
    </row>
    <row r="842" spans="1:10" ht="13.8">
      <c r="A842" s="987">
        <v>17</v>
      </c>
      <c r="B842" s="988">
        <v>35065</v>
      </c>
      <c r="C842" s="987" t="s">
        <v>4630</v>
      </c>
      <c r="F842" s="990">
        <v>3.44E-2</v>
      </c>
      <c r="H842" s="993">
        <v>5.7499999999999999E-3</v>
      </c>
      <c r="I842" s="986">
        <f t="shared" si="12"/>
        <v>2.8650000000000002E-2</v>
      </c>
      <c r="J842" s="988">
        <v>35065</v>
      </c>
    </row>
    <row r="843" spans="1:10" ht="13.8">
      <c r="A843" s="987">
        <v>17</v>
      </c>
      <c r="B843" s="988">
        <v>35096</v>
      </c>
      <c r="C843" s="987" t="s">
        <v>4630</v>
      </c>
      <c r="F843" s="990">
        <v>9.5999999999999992E-3</v>
      </c>
      <c r="H843" s="993">
        <v>5.8958333333333337E-3</v>
      </c>
      <c r="I843" s="986">
        <f t="shared" si="12"/>
        <v>3.7041666666666655E-3</v>
      </c>
      <c r="J843" s="988">
        <v>35096</v>
      </c>
    </row>
    <row r="844" spans="1:10" ht="13.8">
      <c r="A844" s="987">
        <v>17</v>
      </c>
      <c r="B844" s="988">
        <v>35125</v>
      </c>
      <c r="C844" s="987" t="s">
        <v>4630</v>
      </c>
      <c r="F844" s="990">
        <v>9.5999999999999992E-3</v>
      </c>
      <c r="H844" s="993">
        <v>6.1958333333333327E-3</v>
      </c>
      <c r="I844" s="986">
        <f t="shared" si="12"/>
        <v>3.4041666666666665E-3</v>
      </c>
      <c r="J844" s="988">
        <v>35125</v>
      </c>
    </row>
    <row r="845" spans="1:10" ht="13.8">
      <c r="A845" s="987">
        <v>17</v>
      </c>
      <c r="B845" s="988">
        <v>35156</v>
      </c>
      <c r="C845" s="987" t="s">
        <v>4630</v>
      </c>
      <c r="F845" s="990">
        <v>1.47E-2</v>
      </c>
      <c r="H845" s="993">
        <v>6.3250000000000008E-3</v>
      </c>
      <c r="I845" s="986">
        <f t="shared" si="12"/>
        <v>8.3749999999999988E-3</v>
      </c>
      <c r="J845" s="988">
        <v>35156</v>
      </c>
    </row>
    <row r="846" spans="1:10" ht="13.8">
      <c r="A846" s="987">
        <v>17</v>
      </c>
      <c r="B846" s="988">
        <v>35186</v>
      </c>
      <c r="C846" s="987" t="s">
        <v>4630</v>
      </c>
      <c r="F846" s="990">
        <v>2.58E-2</v>
      </c>
      <c r="H846" s="993">
        <v>6.4124999999999998E-3</v>
      </c>
      <c r="I846" s="986">
        <f t="shared" si="12"/>
        <v>1.9387500000000002E-2</v>
      </c>
      <c r="J846" s="988">
        <v>35186</v>
      </c>
    </row>
    <row r="847" spans="1:10" ht="13.8">
      <c r="A847" s="987">
        <v>17</v>
      </c>
      <c r="B847" s="988">
        <v>35217</v>
      </c>
      <c r="C847" s="987" t="s">
        <v>4630</v>
      </c>
      <c r="F847" s="990">
        <v>4.1000000000000003E-3</v>
      </c>
      <c r="H847" s="993">
        <v>6.4916666666666664E-3</v>
      </c>
      <c r="I847" s="986">
        <f t="shared" si="12"/>
        <v>-2.3916666666666661E-3</v>
      </c>
      <c r="J847" s="988">
        <v>35217</v>
      </c>
    </row>
    <row r="848" spans="1:10" ht="13.8">
      <c r="A848" s="987">
        <v>17</v>
      </c>
      <c r="B848" s="988">
        <v>35247</v>
      </c>
      <c r="C848" s="987" t="s">
        <v>4630</v>
      </c>
      <c r="F848" s="990">
        <v>-4.4499999999999998E-2</v>
      </c>
      <c r="H848" s="993">
        <v>6.4458333333333338E-3</v>
      </c>
      <c r="I848" s="986">
        <f t="shared" si="12"/>
        <v>-5.0945833333333329E-2</v>
      </c>
      <c r="J848" s="988">
        <v>35247</v>
      </c>
    </row>
    <row r="849" spans="1:10" ht="13.8">
      <c r="A849" s="987">
        <v>17</v>
      </c>
      <c r="B849" s="988">
        <v>35278</v>
      </c>
      <c r="C849" s="987" t="s">
        <v>4630</v>
      </c>
      <c r="F849" s="990">
        <v>2.12E-2</v>
      </c>
      <c r="H849" s="993">
        <v>6.2875000000000006E-3</v>
      </c>
      <c r="I849" s="986">
        <f t="shared" si="12"/>
        <v>1.4912499999999999E-2</v>
      </c>
      <c r="J849" s="988">
        <v>35278</v>
      </c>
    </row>
    <row r="850" spans="1:10" ht="13.8">
      <c r="A850" s="987">
        <v>17</v>
      </c>
      <c r="B850" s="988">
        <v>35309</v>
      </c>
      <c r="C850" s="987" t="s">
        <v>4630</v>
      </c>
      <c r="F850" s="990">
        <v>5.62E-2</v>
      </c>
      <c r="H850" s="993">
        <v>6.45E-3</v>
      </c>
      <c r="I850" s="986">
        <f t="shared" si="12"/>
        <v>4.9750000000000003E-2</v>
      </c>
      <c r="J850" s="988">
        <v>35309</v>
      </c>
    </row>
    <row r="851" spans="1:10" ht="13.8">
      <c r="A851" s="987">
        <v>17</v>
      </c>
      <c r="B851" s="988">
        <v>35339</v>
      </c>
      <c r="C851" s="987" t="s">
        <v>4630</v>
      </c>
      <c r="F851" s="990">
        <v>2.7400000000000001E-2</v>
      </c>
      <c r="H851" s="993">
        <v>6.2375E-3</v>
      </c>
      <c r="I851" s="986">
        <f t="shared" si="12"/>
        <v>2.1162500000000001E-2</v>
      </c>
      <c r="J851" s="988">
        <v>35339</v>
      </c>
    </row>
    <row r="852" spans="1:10" ht="13.8">
      <c r="A852" s="987">
        <v>17</v>
      </c>
      <c r="B852" s="988">
        <v>35370</v>
      </c>
      <c r="C852" s="987" t="s">
        <v>4630</v>
      </c>
      <c r="F852" s="990">
        <v>7.5899999999999995E-2</v>
      </c>
      <c r="H852" s="993">
        <v>6.0041666666666663E-3</v>
      </c>
      <c r="I852" s="986">
        <f t="shared" si="12"/>
        <v>6.9895833333333324E-2</v>
      </c>
      <c r="J852" s="988">
        <v>35370</v>
      </c>
    </row>
    <row r="853" spans="1:10" ht="13.8">
      <c r="A853" s="987">
        <v>17</v>
      </c>
      <c r="B853" s="988">
        <v>35400</v>
      </c>
      <c r="C853" s="987" t="s">
        <v>4630</v>
      </c>
      <c r="F853" s="990">
        <v>-1.9599999999999999E-2</v>
      </c>
      <c r="H853" s="993">
        <v>6.0875E-3</v>
      </c>
      <c r="I853" s="986">
        <f t="shared" si="12"/>
        <v>-2.5687499999999999E-2</v>
      </c>
      <c r="J853" s="988">
        <v>35400</v>
      </c>
    </row>
    <row r="854" spans="1:10" ht="13.8">
      <c r="A854" s="987">
        <v>17</v>
      </c>
      <c r="B854" s="988">
        <v>35431</v>
      </c>
      <c r="C854" s="987" t="s">
        <v>4630</v>
      </c>
      <c r="F854" s="990">
        <v>6.2100000000000002E-2</v>
      </c>
      <c r="H854" s="993">
        <v>6.2708333333333331E-3</v>
      </c>
      <c r="I854" s="986">
        <f t="shared" si="12"/>
        <v>5.5829166666666666E-2</v>
      </c>
      <c r="J854" s="988">
        <v>35431</v>
      </c>
    </row>
    <row r="855" spans="1:10" ht="13.8">
      <c r="A855" s="987">
        <v>17</v>
      </c>
      <c r="B855" s="988">
        <v>35462</v>
      </c>
      <c r="C855" s="987" t="s">
        <v>4630</v>
      </c>
      <c r="F855" s="990">
        <v>8.0999999999999996E-3</v>
      </c>
      <c r="H855" s="993">
        <v>6.1874999999999994E-3</v>
      </c>
      <c r="I855" s="986">
        <f t="shared" si="12"/>
        <v>1.9125000000000001E-3</v>
      </c>
      <c r="J855" s="988">
        <v>35462</v>
      </c>
    </row>
    <row r="856" spans="1:10" ht="13.8">
      <c r="A856" s="987">
        <v>17</v>
      </c>
      <c r="B856" s="988">
        <v>35490</v>
      </c>
      <c r="C856" s="987" t="s">
        <v>4630</v>
      </c>
      <c r="F856" s="990">
        <v>-4.1599999999999998E-2</v>
      </c>
      <c r="H856" s="993">
        <v>6.3833333333333329E-3</v>
      </c>
      <c r="I856" s="986">
        <f t="shared" si="12"/>
        <v>-4.7983333333333329E-2</v>
      </c>
      <c r="J856" s="988">
        <v>35490</v>
      </c>
    </row>
    <row r="857" spans="1:10" ht="13.8">
      <c r="A857" s="987">
        <v>17</v>
      </c>
      <c r="B857" s="988">
        <v>35521</v>
      </c>
      <c r="C857" s="987" t="s">
        <v>4630</v>
      </c>
      <c r="F857" s="990">
        <v>5.9700000000000003E-2</v>
      </c>
      <c r="H857" s="993">
        <v>6.5249999999999996E-3</v>
      </c>
      <c r="I857" s="986">
        <f t="shared" si="12"/>
        <v>5.3175E-2</v>
      </c>
      <c r="J857" s="988">
        <v>35521</v>
      </c>
    </row>
    <row r="858" spans="1:10" ht="13.8">
      <c r="A858" s="987">
        <v>17</v>
      </c>
      <c r="B858" s="988">
        <v>35551</v>
      </c>
      <c r="C858" s="987" t="s">
        <v>4630</v>
      </c>
      <c r="F858" s="990">
        <v>6.1400000000000003E-2</v>
      </c>
      <c r="H858" s="993">
        <v>6.4083333333333336E-3</v>
      </c>
      <c r="I858" s="986">
        <f t="shared" ref="I858:I921" si="13">F858-H858</f>
        <v>5.4991666666666668E-2</v>
      </c>
      <c r="J858" s="988">
        <v>35551</v>
      </c>
    </row>
    <row r="859" spans="1:10" ht="13.8">
      <c r="A859" s="987">
        <v>17</v>
      </c>
      <c r="B859" s="988">
        <v>35582</v>
      </c>
      <c r="C859" s="987" t="s">
        <v>4630</v>
      </c>
      <c r="F859" s="990">
        <v>4.4600000000000001E-2</v>
      </c>
      <c r="H859" s="993">
        <v>6.2624999999999998E-3</v>
      </c>
      <c r="I859" s="986">
        <f t="shared" si="13"/>
        <v>3.8337500000000004E-2</v>
      </c>
      <c r="J859" s="988">
        <v>35582</v>
      </c>
    </row>
    <row r="860" spans="1:10" ht="13.8">
      <c r="A860" s="987">
        <v>17</v>
      </c>
      <c r="B860" s="988">
        <v>35612</v>
      </c>
      <c r="C860" s="987" t="s">
        <v>4630</v>
      </c>
      <c r="F860" s="990">
        <v>7.9399999999999998E-2</v>
      </c>
      <c r="H860" s="993">
        <v>6.0416666666666674E-3</v>
      </c>
      <c r="I860" s="986">
        <f t="shared" si="13"/>
        <v>7.3358333333333331E-2</v>
      </c>
      <c r="J860" s="988">
        <v>35612</v>
      </c>
    </row>
    <row r="861" spans="1:10" ht="13.8">
      <c r="A861" s="987">
        <v>17</v>
      </c>
      <c r="B861" s="988">
        <v>35643</v>
      </c>
      <c r="C861" s="987" t="s">
        <v>4630</v>
      </c>
      <c r="F861" s="990">
        <v>-5.5599999999999997E-2</v>
      </c>
      <c r="H861" s="993">
        <v>6.0916666666666662E-3</v>
      </c>
      <c r="I861" s="986">
        <f t="shared" si="13"/>
        <v>-6.1691666666666665E-2</v>
      </c>
      <c r="J861" s="988">
        <v>35643</v>
      </c>
    </row>
    <row r="862" spans="1:10" ht="13.8">
      <c r="A862" s="987">
        <v>17</v>
      </c>
      <c r="B862" s="988">
        <v>35674</v>
      </c>
      <c r="C862" s="987" t="s">
        <v>4630</v>
      </c>
      <c r="F862" s="990">
        <v>5.4800000000000001E-2</v>
      </c>
      <c r="H862" s="993">
        <v>6.0333333333333324E-3</v>
      </c>
      <c r="I862" s="986">
        <f t="shared" si="13"/>
        <v>4.8766666666666666E-2</v>
      </c>
      <c r="J862" s="988">
        <v>35674</v>
      </c>
    </row>
    <row r="863" spans="1:10" ht="13.8">
      <c r="A863" s="987">
        <v>17</v>
      </c>
      <c r="B863" s="988">
        <v>35704</v>
      </c>
      <c r="C863" s="987" t="s">
        <v>4630</v>
      </c>
      <c r="F863" s="990">
        <v>-3.3399999999999999E-2</v>
      </c>
      <c r="H863" s="993">
        <v>5.9166666666666664E-3</v>
      </c>
      <c r="I863" s="986">
        <f t="shared" si="13"/>
        <v>-3.9316666666666666E-2</v>
      </c>
      <c r="J863" s="988">
        <v>35704</v>
      </c>
    </row>
    <row r="864" spans="1:10" ht="13.8">
      <c r="A864" s="987">
        <v>17</v>
      </c>
      <c r="B864" s="988">
        <v>35735</v>
      </c>
      <c r="C864" s="987" t="s">
        <v>4630</v>
      </c>
      <c r="F864" s="990">
        <v>4.6300000000000001E-2</v>
      </c>
      <c r="H864" s="993">
        <v>5.8083333333333329E-3</v>
      </c>
      <c r="I864" s="986">
        <f t="shared" si="13"/>
        <v>4.0491666666666669E-2</v>
      </c>
      <c r="J864" s="988">
        <v>35735</v>
      </c>
    </row>
    <row r="865" spans="1:10" ht="13.8">
      <c r="A865" s="987">
        <v>17</v>
      </c>
      <c r="B865" s="988">
        <v>35765</v>
      </c>
      <c r="C865" s="987" t="s">
        <v>4630</v>
      </c>
      <c r="F865" s="990">
        <v>1.72E-2</v>
      </c>
      <c r="H865" s="993">
        <v>5.7291666666666671E-3</v>
      </c>
      <c r="I865" s="986">
        <f t="shared" si="13"/>
        <v>1.1470833333333333E-2</v>
      </c>
      <c r="J865" s="988">
        <v>35765</v>
      </c>
    </row>
    <row r="866" spans="1:10" ht="13.8">
      <c r="A866" s="987">
        <v>17</v>
      </c>
      <c r="B866" s="988">
        <v>35796</v>
      </c>
      <c r="C866" s="987" t="s">
        <v>4630</v>
      </c>
      <c r="F866" s="990">
        <v>1.11E-2</v>
      </c>
      <c r="H866" s="993">
        <v>5.5958333333333329E-3</v>
      </c>
      <c r="I866" s="986">
        <f t="shared" si="13"/>
        <v>5.5041666666666676E-3</v>
      </c>
      <c r="J866" s="988">
        <v>35796</v>
      </c>
    </row>
    <row r="867" spans="1:10" ht="13.8">
      <c r="A867" s="987">
        <v>17</v>
      </c>
      <c r="B867" s="988">
        <v>35827</v>
      </c>
      <c r="C867" s="987" t="s">
        <v>4630</v>
      </c>
      <c r="F867" s="990">
        <v>7.2099999999999997E-2</v>
      </c>
      <c r="H867" s="993">
        <v>5.6458333333333334E-3</v>
      </c>
      <c r="I867" s="986">
        <f t="shared" si="13"/>
        <v>6.6454166666666661E-2</v>
      </c>
      <c r="J867" s="988">
        <v>35827</v>
      </c>
    </row>
    <row r="868" spans="1:10" ht="13.8">
      <c r="A868" s="987">
        <v>17</v>
      </c>
      <c r="B868" s="988">
        <v>35855</v>
      </c>
      <c r="C868" s="987" t="s">
        <v>4630</v>
      </c>
      <c r="F868" s="990">
        <v>5.1200000000000002E-2</v>
      </c>
      <c r="H868" s="993">
        <v>5.6833333333333336E-3</v>
      </c>
      <c r="I868" s="986">
        <f t="shared" si="13"/>
        <v>4.5516666666666671E-2</v>
      </c>
      <c r="J868" s="988">
        <v>35855</v>
      </c>
    </row>
    <row r="869" spans="1:10" ht="13.8">
      <c r="A869" s="987">
        <v>17</v>
      </c>
      <c r="B869" s="988">
        <v>35886</v>
      </c>
      <c r="C869" s="987" t="s">
        <v>4630</v>
      </c>
      <c r="F869" s="990">
        <v>1.01E-2</v>
      </c>
      <c r="H869" s="993">
        <v>5.6625E-3</v>
      </c>
      <c r="I869" s="986">
        <f t="shared" si="13"/>
        <v>4.4374999999999996E-3</v>
      </c>
      <c r="J869" s="988">
        <v>35886</v>
      </c>
    </row>
    <row r="870" spans="1:10" ht="13.8">
      <c r="A870" s="987">
        <v>17</v>
      </c>
      <c r="B870" s="988">
        <v>35916</v>
      </c>
      <c r="C870" s="987" t="s">
        <v>4630</v>
      </c>
      <c r="F870" s="990">
        <v>-1.72E-2</v>
      </c>
      <c r="H870" s="993">
        <v>5.6666666666666662E-3</v>
      </c>
      <c r="I870" s="986">
        <f t="shared" si="13"/>
        <v>-2.2866666666666667E-2</v>
      </c>
      <c r="J870" s="988">
        <v>35916</v>
      </c>
    </row>
    <row r="871" spans="1:10" ht="13.8">
      <c r="A871" s="987">
        <v>17</v>
      </c>
      <c r="B871" s="988">
        <v>35947</v>
      </c>
      <c r="C871" s="987" t="s">
        <v>4630</v>
      </c>
      <c r="F871" s="990">
        <v>4.0599999999999997E-2</v>
      </c>
      <c r="H871" s="993">
        <v>5.545833333333334E-3</v>
      </c>
      <c r="I871" s="986">
        <f t="shared" si="13"/>
        <v>3.5054166666666664E-2</v>
      </c>
      <c r="J871" s="988">
        <v>35947</v>
      </c>
    </row>
    <row r="872" spans="1:10" ht="13.8">
      <c r="A872" s="987">
        <v>17</v>
      </c>
      <c r="B872" s="988">
        <v>35977</v>
      </c>
      <c r="C872" s="987" t="s">
        <v>4630</v>
      </c>
      <c r="F872" s="990">
        <v>-1.06E-2</v>
      </c>
      <c r="H872" s="993">
        <v>5.5541666666666665E-3</v>
      </c>
      <c r="I872" s="986">
        <f t="shared" si="13"/>
        <v>-1.6154166666666667E-2</v>
      </c>
      <c r="J872" s="988">
        <v>35977</v>
      </c>
    </row>
    <row r="873" spans="1:10" ht="13.8">
      <c r="A873" s="987">
        <v>17</v>
      </c>
      <c r="B873" s="988">
        <v>36008</v>
      </c>
      <c r="C873" s="987" t="s">
        <v>4630</v>
      </c>
      <c r="F873" s="990">
        <v>-0.14460000000000001</v>
      </c>
      <c r="H873" s="993">
        <v>5.5374999999999999E-3</v>
      </c>
      <c r="I873" s="986">
        <f t="shared" si="13"/>
        <v>-0.15013750000000001</v>
      </c>
      <c r="J873" s="988">
        <v>36008</v>
      </c>
    </row>
    <row r="874" spans="1:10" ht="13.8">
      <c r="A874" s="987">
        <v>17</v>
      </c>
      <c r="B874" s="988">
        <v>36039</v>
      </c>
      <c r="C874" s="987" t="s">
        <v>4630</v>
      </c>
      <c r="F874" s="990">
        <v>6.4100000000000004E-2</v>
      </c>
      <c r="H874" s="993">
        <v>5.4499999999999991E-3</v>
      </c>
      <c r="I874" s="986">
        <f t="shared" si="13"/>
        <v>5.8650000000000008E-2</v>
      </c>
      <c r="J874" s="988">
        <v>36039</v>
      </c>
    </row>
    <row r="875" spans="1:10" ht="13.8">
      <c r="A875" s="987">
        <v>17</v>
      </c>
      <c r="B875" s="988">
        <v>36069</v>
      </c>
      <c r="C875" s="987" t="s">
        <v>4630</v>
      </c>
      <c r="F875" s="990">
        <v>8.1299999999999997E-2</v>
      </c>
      <c r="H875" s="993">
        <v>5.4458333333333338E-3</v>
      </c>
      <c r="I875" s="986">
        <f t="shared" si="13"/>
        <v>7.5854166666666667E-2</v>
      </c>
      <c r="J875" s="988">
        <v>36069</v>
      </c>
    </row>
    <row r="876" spans="1:10" ht="13.8">
      <c r="A876" s="987">
        <v>17</v>
      </c>
      <c r="B876" s="988">
        <v>36100</v>
      </c>
      <c r="C876" s="987" t="s">
        <v>4630</v>
      </c>
      <c r="F876" s="990">
        <v>6.0600000000000001E-2</v>
      </c>
      <c r="H876" s="993">
        <v>5.5000000000000005E-3</v>
      </c>
      <c r="I876" s="986">
        <f t="shared" si="13"/>
        <v>5.5100000000000003E-2</v>
      </c>
      <c r="J876" s="988">
        <v>36100</v>
      </c>
    </row>
    <row r="877" spans="1:10" ht="13.8">
      <c r="A877" s="987">
        <v>17</v>
      </c>
      <c r="B877" s="988">
        <v>36130</v>
      </c>
      <c r="C877" s="987" t="s">
        <v>4630</v>
      </c>
      <c r="F877" s="990">
        <v>5.7599999999999998E-2</v>
      </c>
      <c r="H877" s="993">
        <v>5.3625000000000001E-3</v>
      </c>
      <c r="I877" s="986">
        <f t="shared" si="13"/>
        <v>5.2237499999999999E-2</v>
      </c>
      <c r="J877" s="988">
        <v>36130</v>
      </c>
    </row>
    <row r="878" spans="1:10" ht="13.8">
      <c r="A878" s="987">
        <v>17</v>
      </c>
      <c r="B878" s="988">
        <v>36161</v>
      </c>
      <c r="C878" s="987" t="s">
        <v>4630</v>
      </c>
      <c r="F878" s="990">
        <v>4.1799999999999997E-2</v>
      </c>
      <c r="H878" s="993">
        <v>5.3833333333333337E-3</v>
      </c>
      <c r="I878" s="986">
        <f t="shared" si="13"/>
        <v>3.6416666666666667E-2</v>
      </c>
      <c r="J878" s="988">
        <v>36161</v>
      </c>
    </row>
    <row r="879" spans="1:10" ht="13.8">
      <c r="A879" s="987">
        <v>17</v>
      </c>
      <c r="B879" s="988">
        <v>36192</v>
      </c>
      <c r="C879" s="987" t="s">
        <v>4630</v>
      </c>
      <c r="F879" s="990">
        <v>-3.1099999999999999E-2</v>
      </c>
      <c r="H879" s="993">
        <v>5.4958333333333335E-3</v>
      </c>
      <c r="I879" s="986">
        <f t="shared" si="13"/>
        <v>-3.6595833333333334E-2</v>
      </c>
      <c r="J879" s="988">
        <v>36192</v>
      </c>
    </row>
    <row r="880" spans="1:10" ht="13.8">
      <c r="A880" s="987">
        <v>17</v>
      </c>
      <c r="B880" s="988">
        <v>36220</v>
      </c>
      <c r="C880" s="987" t="s">
        <v>4630</v>
      </c>
      <c r="F880" s="990">
        <v>0.04</v>
      </c>
      <c r="H880" s="993">
        <v>5.6666666666666662E-3</v>
      </c>
      <c r="I880" s="986">
        <f t="shared" si="13"/>
        <v>3.4333333333333334E-2</v>
      </c>
      <c r="J880" s="988">
        <v>36220</v>
      </c>
    </row>
    <row r="881" spans="1:10" ht="13.8">
      <c r="A881" s="987">
        <v>17</v>
      </c>
      <c r="B881" s="988">
        <v>36251</v>
      </c>
      <c r="C881" s="987" t="s">
        <v>4630</v>
      </c>
      <c r="F881" s="990">
        <v>3.8699999999999998E-2</v>
      </c>
      <c r="H881" s="993">
        <v>5.6666666666666662E-3</v>
      </c>
      <c r="I881" s="986">
        <f t="shared" si="13"/>
        <v>3.3033333333333331E-2</v>
      </c>
      <c r="J881" s="988">
        <v>36251</v>
      </c>
    </row>
    <row r="882" spans="1:10" ht="13.8">
      <c r="A882" s="987">
        <v>17</v>
      </c>
      <c r="B882" s="988">
        <v>36281</v>
      </c>
      <c r="C882" s="987" t="s">
        <v>4630</v>
      </c>
      <c r="F882" s="990">
        <v>-2.3599999999999999E-2</v>
      </c>
      <c r="H882" s="993">
        <v>5.9000000000000007E-3</v>
      </c>
      <c r="I882" s="986">
        <f t="shared" si="13"/>
        <v>-2.9499999999999998E-2</v>
      </c>
      <c r="J882" s="988">
        <v>36281</v>
      </c>
    </row>
    <row r="883" spans="1:10" ht="13.8">
      <c r="A883" s="987">
        <v>17</v>
      </c>
      <c r="B883" s="988">
        <v>36312</v>
      </c>
      <c r="C883" s="987" t="s">
        <v>4630</v>
      </c>
      <c r="F883" s="990">
        <v>5.5500000000000001E-2</v>
      </c>
      <c r="H883" s="993">
        <v>6.145833333333333E-3</v>
      </c>
      <c r="I883" s="986">
        <f t="shared" si="13"/>
        <v>4.9354166666666671E-2</v>
      </c>
      <c r="J883" s="988">
        <v>36312</v>
      </c>
    </row>
    <row r="884" spans="1:10" ht="13.8">
      <c r="A884" s="987">
        <v>17</v>
      </c>
      <c r="B884" s="988">
        <v>36342</v>
      </c>
      <c r="C884" s="987" t="s">
        <v>4630</v>
      </c>
      <c r="F884" s="990">
        <v>-3.1199999999999999E-2</v>
      </c>
      <c r="H884" s="993">
        <v>6.1125000000000007E-3</v>
      </c>
      <c r="I884" s="986">
        <f t="shared" si="13"/>
        <v>-3.7312499999999998E-2</v>
      </c>
      <c r="J884" s="988">
        <v>36342</v>
      </c>
    </row>
    <row r="885" spans="1:10" ht="13.8">
      <c r="A885" s="987">
        <v>17</v>
      </c>
      <c r="B885" s="988">
        <v>36373</v>
      </c>
      <c r="C885" s="987" t="s">
        <v>4630</v>
      </c>
      <c r="F885" s="990">
        <v>-5.0000000000000001E-3</v>
      </c>
      <c r="H885" s="993">
        <v>6.2833333333333343E-3</v>
      </c>
      <c r="I885" s="986">
        <f t="shared" si="13"/>
        <v>-1.1283333333333334E-2</v>
      </c>
      <c r="J885" s="988">
        <v>36373</v>
      </c>
    </row>
    <row r="886" spans="1:10" ht="13.8">
      <c r="A886" s="987">
        <v>17</v>
      </c>
      <c r="B886" s="988">
        <v>36404</v>
      </c>
      <c r="C886" s="987" t="s">
        <v>4630</v>
      </c>
      <c r="F886" s="990">
        <v>-2.7400000000000001E-2</v>
      </c>
      <c r="H886" s="993">
        <v>6.2791666666666664E-3</v>
      </c>
      <c r="I886" s="986">
        <f t="shared" si="13"/>
        <v>-3.367916666666667E-2</v>
      </c>
      <c r="J886" s="988">
        <v>36404</v>
      </c>
    </row>
    <row r="887" spans="1:10" ht="13.8">
      <c r="A887" s="987">
        <v>17</v>
      </c>
      <c r="B887" s="988">
        <v>36434</v>
      </c>
      <c r="C887" s="987" t="s">
        <v>4630</v>
      </c>
      <c r="F887" s="990">
        <v>6.3299999999999995E-2</v>
      </c>
      <c r="H887" s="993">
        <v>6.391666666666667E-3</v>
      </c>
      <c r="I887" s="986">
        <f t="shared" si="13"/>
        <v>5.6908333333333325E-2</v>
      </c>
      <c r="J887" s="988">
        <v>36434</v>
      </c>
    </row>
    <row r="888" spans="1:10" ht="13.8">
      <c r="A888" s="987">
        <v>17</v>
      </c>
      <c r="B888" s="988">
        <v>36465</v>
      </c>
      <c r="C888" s="987" t="s">
        <v>4630</v>
      </c>
      <c r="F888" s="990">
        <v>2.0299999999999999E-2</v>
      </c>
      <c r="H888" s="993">
        <v>6.2416666666666679E-3</v>
      </c>
      <c r="I888" s="986">
        <f t="shared" si="13"/>
        <v>1.4058333333333331E-2</v>
      </c>
      <c r="J888" s="988">
        <v>36465</v>
      </c>
    </row>
    <row r="889" spans="1:10" ht="13.8">
      <c r="A889" s="987">
        <v>17</v>
      </c>
      <c r="B889" s="988">
        <v>36495</v>
      </c>
      <c r="C889" s="987" t="s">
        <v>4630</v>
      </c>
      <c r="F889" s="990">
        <v>5.8900000000000001E-2</v>
      </c>
      <c r="H889" s="993">
        <v>6.3874999999999991E-3</v>
      </c>
      <c r="I889" s="986">
        <f t="shared" si="13"/>
        <v>5.2512500000000004E-2</v>
      </c>
      <c r="J889" s="988">
        <v>36495</v>
      </c>
    </row>
    <row r="890" spans="1:10" ht="13.8">
      <c r="A890" s="987">
        <v>17</v>
      </c>
      <c r="B890" s="988">
        <v>36526</v>
      </c>
      <c r="C890" s="987" t="s">
        <v>4630</v>
      </c>
      <c r="F890" s="990">
        <v>-5.0200000000000002E-2</v>
      </c>
      <c r="H890" s="993">
        <v>6.5583333333333327E-3</v>
      </c>
      <c r="I890" s="986">
        <f t="shared" si="13"/>
        <v>-5.6758333333333334E-2</v>
      </c>
      <c r="J890" s="988">
        <v>36526</v>
      </c>
    </row>
    <row r="891" spans="1:10" ht="13.8">
      <c r="A891" s="987">
        <v>17</v>
      </c>
      <c r="B891" s="988">
        <v>36557</v>
      </c>
      <c r="C891" s="987" t="s">
        <v>4630</v>
      </c>
      <c r="F891" s="990">
        <v>-1.89E-2</v>
      </c>
      <c r="H891" s="993">
        <v>6.4583333333333333E-3</v>
      </c>
      <c r="I891" s="986">
        <f t="shared" si="13"/>
        <v>-2.5358333333333333E-2</v>
      </c>
      <c r="J891" s="988">
        <v>36557</v>
      </c>
    </row>
    <row r="892" spans="1:10" ht="13.8">
      <c r="A892" s="987">
        <v>17</v>
      </c>
      <c r="B892" s="988">
        <v>36586</v>
      </c>
      <c r="C892" s="987" t="s">
        <v>4630</v>
      </c>
      <c r="F892" s="990">
        <v>9.7799999999999998E-2</v>
      </c>
      <c r="H892" s="993">
        <v>6.4624999999999995E-3</v>
      </c>
      <c r="I892" s="986">
        <f t="shared" si="13"/>
        <v>9.1337500000000002E-2</v>
      </c>
      <c r="J892" s="988">
        <v>36586</v>
      </c>
    </row>
    <row r="893" spans="1:10" ht="13.8">
      <c r="A893" s="987">
        <v>17</v>
      </c>
      <c r="B893" s="988">
        <v>36617</v>
      </c>
      <c r="C893" s="987" t="s">
        <v>4630</v>
      </c>
      <c r="F893" s="990">
        <v>-3.0099999999999998E-2</v>
      </c>
      <c r="H893" s="993">
        <v>6.4416666666666667E-3</v>
      </c>
      <c r="I893" s="986">
        <f t="shared" si="13"/>
        <v>-3.6541666666666667E-2</v>
      </c>
      <c r="J893" s="988">
        <v>36617</v>
      </c>
    </row>
    <row r="894" spans="1:10" ht="13.8">
      <c r="A894" s="987">
        <v>17</v>
      </c>
      <c r="B894" s="988">
        <v>36647</v>
      </c>
      <c r="C894" s="987" t="s">
        <v>4630</v>
      </c>
      <c r="F894" s="990">
        <v>-2.0500000000000001E-2</v>
      </c>
      <c r="H894" s="993">
        <v>6.7625000000000003E-3</v>
      </c>
      <c r="I894" s="986">
        <f t="shared" si="13"/>
        <v>-2.7262500000000002E-2</v>
      </c>
      <c r="J894" s="988">
        <v>36647</v>
      </c>
    </row>
    <row r="895" spans="1:10" ht="13.8">
      <c r="A895" s="987">
        <v>17</v>
      </c>
      <c r="B895" s="988">
        <v>36678</v>
      </c>
      <c r="C895" s="987" t="s">
        <v>4630</v>
      </c>
      <c r="F895" s="990">
        <v>2.46E-2</v>
      </c>
      <c r="H895" s="993">
        <v>6.4749999999999999E-3</v>
      </c>
      <c r="I895" s="986">
        <f t="shared" si="13"/>
        <v>1.8125000000000002E-2</v>
      </c>
      <c r="J895" s="988">
        <v>36678</v>
      </c>
    </row>
    <row r="896" spans="1:10" ht="13.8">
      <c r="A896" s="987">
        <v>17</v>
      </c>
      <c r="B896" s="988">
        <v>36708</v>
      </c>
      <c r="C896" s="987" t="s">
        <v>4630</v>
      </c>
      <c r="F896" s="990">
        <v>-1.5599999999999999E-2</v>
      </c>
      <c r="H896" s="993">
        <v>6.4416666666666667E-3</v>
      </c>
      <c r="I896" s="986">
        <f t="shared" si="13"/>
        <v>-2.2041666666666668E-2</v>
      </c>
      <c r="J896" s="988">
        <v>36708</v>
      </c>
    </row>
    <row r="897" spans="1:10" ht="13.8">
      <c r="A897" s="987">
        <v>17</v>
      </c>
      <c r="B897" s="988">
        <v>36739</v>
      </c>
      <c r="C897" s="987" t="s">
        <v>4630</v>
      </c>
      <c r="F897" s="990">
        <v>6.2100000000000002E-2</v>
      </c>
      <c r="H897" s="993">
        <v>6.3541666666666677E-3</v>
      </c>
      <c r="I897" s="986">
        <f t="shared" si="13"/>
        <v>5.5745833333333335E-2</v>
      </c>
      <c r="J897" s="988">
        <v>36739</v>
      </c>
    </row>
    <row r="898" spans="1:10" ht="13.8">
      <c r="A898" s="987">
        <v>17</v>
      </c>
      <c r="B898" s="988">
        <v>36770</v>
      </c>
      <c r="C898" s="987" t="s">
        <v>4630</v>
      </c>
      <c r="F898" s="990">
        <v>-5.28E-2</v>
      </c>
      <c r="H898" s="993">
        <v>6.4375000000000005E-3</v>
      </c>
      <c r="I898" s="986">
        <f t="shared" si="13"/>
        <v>-5.9237499999999998E-2</v>
      </c>
      <c r="J898" s="988">
        <v>36770</v>
      </c>
    </row>
    <row r="899" spans="1:10" ht="13.8">
      <c r="A899" s="987">
        <v>17</v>
      </c>
      <c r="B899" s="988">
        <v>36800</v>
      </c>
      <c r="C899" s="987" t="s">
        <v>4630</v>
      </c>
      <c r="F899" s="990">
        <v>-4.1999999999999997E-3</v>
      </c>
      <c r="H899" s="993">
        <v>6.3999999999999994E-3</v>
      </c>
      <c r="I899" s="986">
        <f t="shared" si="13"/>
        <v>-1.0599999999999998E-2</v>
      </c>
      <c r="J899" s="988">
        <v>36800</v>
      </c>
    </row>
    <row r="900" spans="1:10" ht="13.8">
      <c r="A900" s="987">
        <v>17</v>
      </c>
      <c r="B900" s="988">
        <v>36831</v>
      </c>
      <c r="C900" s="987" t="s">
        <v>4630</v>
      </c>
      <c r="F900" s="990">
        <v>-7.8799999999999995E-2</v>
      </c>
      <c r="H900" s="993">
        <v>6.3333333333333332E-3</v>
      </c>
      <c r="I900" s="986">
        <f t="shared" si="13"/>
        <v>-8.5133333333333325E-2</v>
      </c>
      <c r="J900" s="988">
        <v>36831</v>
      </c>
    </row>
    <row r="901" spans="1:10" ht="13.8">
      <c r="A901" s="987">
        <v>17</v>
      </c>
      <c r="B901" s="988">
        <v>36861</v>
      </c>
      <c r="C901" s="987" t="s">
        <v>4630</v>
      </c>
      <c r="F901" s="990">
        <v>4.8999999999999998E-3</v>
      </c>
      <c r="H901" s="993">
        <v>6.1208333333333332E-3</v>
      </c>
      <c r="I901" s="986">
        <f t="shared" si="13"/>
        <v>-1.2208333333333333E-3</v>
      </c>
      <c r="J901" s="988">
        <v>36861</v>
      </c>
    </row>
    <row r="902" spans="1:10" ht="13.8">
      <c r="A902" s="987">
        <v>17</v>
      </c>
      <c r="B902" s="988">
        <v>36892</v>
      </c>
      <c r="C902" s="987" t="s">
        <v>4630</v>
      </c>
      <c r="F902" s="990">
        <v>3.5499999999999997E-2</v>
      </c>
      <c r="H902" s="993">
        <v>6.0541666666666669E-3</v>
      </c>
      <c r="I902" s="986">
        <f t="shared" si="13"/>
        <v>2.9445833333333331E-2</v>
      </c>
      <c r="J902" s="988">
        <v>36892</v>
      </c>
    </row>
    <row r="903" spans="1:10" ht="13.8">
      <c r="A903" s="987">
        <v>17</v>
      </c>
      <c r="B903" s="988">
        <v>36923</v>
      </c>
      <c r="C903" s="987" t="s">
        <v>4630</v>
      </c>
      <c r="F903" s="990">
        <v>-9.1200000000000003E-2</v>
      </c>
      <c r="H903" s="993">
        <v>6.0083333333333334E-3</v>
      </c>
      <c r="I903" s="986">
        <f t="shared" si="13"/>
        <v>-9.7208333333333341E-2</v>
      </c>
      <c r="J903" s="988">
        <v>36923</v>
      </c>
    </row>
    <row r="904" spans="1:10" ht="13.8">
      <c r="A904" s="987">
        <v>17</v>
      </c>
      <c r="B904" s="988">
        <v>36951</v>
      </c>
      <c r="C904" s="987" t="s">
        <v>4630</v>
      </c>
      <c r="F904" s="990">
        <v>-6.3399999999999998E-2</v>
      </c>
      <c r="H904" s="993">
        <v>5.9166666666666664E-3</v>
      </c>
      <c r="I904" s="986">
        <f t="shared" si="13"/>
        <v>-6.9316666666666665E-2</v>
      </c>
      <c r="J904" s="988">
        <v>36951</v>
      </c>
    </row>
    <row r="905" spans="1:10" ht="13.8">
      <c r="A905" s="987">
        <v>17</v>
      </c>
      <c r="B905" s="988">
        <v>36982</v>
      </c>
      <c r="C905" s="987" t="s">
        <v>4630</v>
      </c>
      <c r="F905" s="990">
        <v>7.7700000000000005E-2</v>
      </c>
      <c r="H905" s="993">
        <v>6.0958333333333333E-3</v>
      </c>
      <c r="I905" s="986">
        <f t="shared" si="13"/>
        <v>7.1604166666666677E-2</v>
      </c>
      <c r="J905" s="988">
        <v>36982</v>
      </c>
    </row>
    <row r="906" spans="1:10" ht="13.8">
      <c r="A906" s="987">
        <v>17</v>
      </c>
      <c r="B906" s="988">
        <v>37012</v>
      </c>
      <c r="C906" s="987" t="s">
        <v>4630</v>
      </c>
      <c r="F906" s="990">
        <v>6.7000000000000002E-3</v>
      </c>
      <c r="H906" s="993">
        <v>6.1624999999999996E-3</v>
      </c>
      <c r="I906" s="986">
        <f t="shared" si="13"/>
        <v>5.3750000000000065E-4</v>
      </c>
      <c r="J906" s="988">
        <v>37012</v>
      </c>
    </row>
    <row r="907" spans="1:10" ht="13.8">
      <c r="A907" s="987">
        <v>17</v>
      </c>
      <c r="B907" s="988">
        <v>37043</v>
      </c>
      <c r="C907" s="987" t="s">
        <v>4630</v>
      </c>
      <c r="F907" s="990">
        <v>-2.4299999999999999E-2</v>
      </c>
      <c r="H907" s="993">
        <v>6.0499999999999998E-3</v>
      </c>
      <c r="I907" s="986">
        <f t="shared" si="13"/>
        <v>-3.0349999999999999E-2</v>
      </c>
      <c r="J907" s="988">
        <v>37043</v>
      </c>
    </row>
    <row r="908" spans="1:10" ht="13.8">
      <c r="A908" s="987">
        <v>17</v>
      </c>
      <c r="B908" s="988">
        <v>37073</v>
      </c>
      <c r="C908" s="987" t="s">
        <v>4630</v>
      </c>
      <c r="F908" s="990">
        <v>-9.7999999999999997E-3</v>
      </c>
      <c r="H908" s="993">
        <v>6.0000000000000001E-3</v>
      </c>
      <c r="I908" s="986">
        <f t="shared" si="13"/>
        <v>-1.5800000000000002E-2</v>
      </c>
      <c r="J908" s="988">
        <v>37073</v>
      </c>
    </row>
    <row r="909" spans="1:10" ht="13.8">
      <c r="A909" s="987">
        <v>17</v>
      </c>
      <c r="B909" s="988">
        <v>37104</v>
      </c>
      <c r="C909" s="987" t="s">
        <v>4630</v>
      </c>
      <c r="F909" s="990">
        <v>-6.2600000000000003E-2</v>
      </c>
      <c r="H909" s="993">
        <v>5.9624999999999991E-3</v>
      </c>
      <c r="I909" s="986">
        <f t="shared" si="13"/>
        <v>-6.8562499999999998E-2</v>
      </c>
      <c r="J909" s="988">
        <v>37104</v>
      </c>
    </row>
    <row r="910" spans="1:10" ht="13.8">
      <c r="A910" s="987">
        <v>17</v>
      </c>
      <c r="B910" s="988">
        <v>37135</v>
      </c>
      <c r="C910" s="987" t="s">
        <v>4630</v>
      </c>
      <c r="F910" s="990">
        <v>-8.0799999999999997E-2</v>
      </c>
      <c r="H910" s="993">
        <v>6.0166666666666667E-3</v>
      </c>
      <c r="I910" s="986">
        <f t="shared" si="13"/>
        <v>-8.6816666666666667E-2</v>
      </c>
      <c r="J910" s="988">
        <v>37135</v>
      </c>
    </row>
    <row r="911" spans="1:10" ht="13.8">
      <c r="A911" s="987">
        <v>17</v>
      </c>
      <c r="B911" s="988">
        <v>37165</v>
      </c>
      <c r="C911" s="987" t="s">
        <v>4630</v>
      </c>
      <c r="F911" s="990">
        <v>1.9099999999999999E-2</v>
      </c>
      <c r="H911" s="993">
        <v>5.8999999999999999E-3</v>
      </c>
      <c r="I911" s="986">
        <f t="shared" si="13"/>
        <v>1.32E-2</v>
      </c>
      <c r="J911" s="988">
        <v>37165</v>
      </c>
    </row>
    <row r="912" spans="1:10" ht="13.8">
      <c r="A912" s="987">
        <v>17</v>
      </c>
      <c r="B912" s="988">
        <v>37196</v>
      </c>
      <c r="C912" s="987" t="s">
        <v>4630</v>
      </c>
      <c r="F912" s="990">
        <v>7.6700000000000004E-2</v>
      </c>
      <c r="H912" s="993">
        <v>5.8250000000000003E-3</v>
      </c>
      <c r="I912" s="986">
        <f t="shared" si="13"/>
        <v>7.0875000000000007E-2</v>
      </c>
      <c r="J912" s="988">
        <v>37196</v>
      </c>
    </row>
    <row r="913" spans="1:10" ht="13.8">
      <c r="A913" s="987">
        <v>17</v>
      </c>
      <c r="B913" s="988">
        <v>37226</v>
      </c>
      <c r="C913" s="987" t="s">
        <v>4630</v>
      </c>
      <c r="F913" s="990">
        <v>8.8000000000000005E-3</v>
      </c>
      <c r="H913" s="993">
        <v>5.8125000000000008E-3</v>
      </c>
      <c r="I913" s="986">
        <f t="shared" si="13"/>
        <v>2.9874999999999997E-3</v>
      </c>
      <c r="J913" s="988">
        <v>37226</v>
      </c>
    </row>
    <row r="914" spans="1:10" ht="13.8">
      <c r="A914" s="987">
        <v>17</v>
      </c>
      <c r="B914" s="988">
        <v>37257</v>
      </c>
      <c r="C914" s="987" t="s">
        <v>4630</v>
      </c>
      <c r="F914" s="990">
        <v>-1.46E-2</v>
      </c>
      <c r="H914" s="993">
        <v>5.6583333333333329E-3</v>
      </c>
      <c r="I914" s="986">
        <f t="shared" si="13"/>
        <v>-2.0258333333333333E-2</v>
      </c>
      <c r="J914" s="988">
        <v>37257</v>
      </c>
    </row>
    <row r="915" spans="1:10" ht="13.8">
      <c r="A915" s="987">
        <v>17</v>
      </c>
      <c r="B915" s="988">
        <v>37288</v>
      </c>
      <c r="C915" s="987" t="s">
        <v>4630</v>
      </c>
      <c r="F915" s="990">
        <v>-1.9300000000000001E-2</v>
      </c>
      <c r="H915" s="993">
        <v>5.6083333333333332E-3</v>
      </c>
      <c r="I915" s="986">
        <f t="shared" si="13"/>
        <v>-2.4908333333333334E-2</v>
      </c>
      <c r="J915" s="988">
        <v>37288</v>
      </c>
    </row>
    <row r="916" spans="1:10" ht="13.8">
      <c r="A916" s="987">
        <v>17</v>
      </c>
      <c r="B916" s="988">
        <v>37316</v>
      </c>
      <c r="C916" s="987" t="s">
        <v>4630</v>
      </c>
      <c r="F916" s="990">
        <v>3.7600000000000001E-2</v>
      </c>
      <c r="H916" s="993">
        <v>5.8458333333333331E-3</v>
      </c>
      <c r="I916" s="986">
        <f t="shared" si="13"/>
        <v>3.1754166666666667E-2</v>
      </c>
      <c r="J916" s="988">
        <v>37316</v>
      </c>
    </row>
    <row r="917" spans="1:10" ht="13.8">
      <c r="A917" s="987">
        <v>17</v>
      </c>
      <c r="B917" s="988">
        <v>37347</v>
      </c>
      <c r="C917" s="987" t="s">
        <v>4630</v>
      </c>
      <c r="F917" s="990">
        <v>-6.0600000000000001E-2</v>
      </c>
      <c r="H917" s="993">
        <v>5.8000000000000005E-3</v>
      </c>
      <c r="I917" s="986">
        <f t="shared" si="13"/>
        <v>-6.6400000000000001E-2</v>
      </c>
      <c r="J917" s="988">
        <v>37347</v>
      </c>
    </row>
    <row r="918" spans="1:10" ht="13.8">
      <c r="A918" s="987">
        <v>17</v>
      </c>
      <c r="B918" s="988">
        <v>37377</v>
      </c>
      <c r="C918" s="987" t="s">
        <v>4630</v>
      </c>
      <c r="F918" s="990">
        <v>-7.4000000000000003E-3</v>
      </c>
      <c r="H918" s="993">
        <v>5.8125000000000008E-3</v>
      </c>
      <c r="I918" s="986">
        <f t="shared" si="13"/>
        <v>-1.3212500000000002E-2</v>
      </c>
      <c r="J918" s="988">
        <v>37377</v>
      </c>
    </row>
    <row r="919" spans="1:10" ht="13.8">
      <c r="A919" s="987">
        <v>17</v>
      </c>
      <c r="B919" s="988">
        <v>37408</v>
      </c>
      <c r="C919" s="987" t="s">
        <v>4630</v>
      </c>
      <c r="F919" s="990">
        <v>-7.1199999999999999E-2</v>
      </c>
      <c r="H919" s="993">
        <v>5.7166666666666668E-3</v>
      </c>
      <c r="I919" s="986">
        <f t="shared" si="13"/>
        <v>-7.6916666666666661E-2</v>
      </c>
      <c r="J919" s="988">
        <v>37408</v>
      </c>
    </row>
    <row r="920" spans="1:10" ht="13.8">
      <c r="A920" s="987">
        <v>17</v>
      </c>
      <c r="B920" s="988">
        <v>37438</v>
      </c>
      <c r="C920" s="987" t="s">
        <v>4630</v>
      </c>
      <c r="F920" s="990">
        <v>-7.8E-2</v>
      </c>
      <c r="H920" s="993">
        <v>5.6291666666666677E-3</v>
      </c>
      <c r="I920" s="986">
        <f t="shared" si="13"/>
        <v>-8.3629166666666671E-2</v>
      </c>
      <c r="J920" s="988">
        <v>37438</v>
      </c>
    </row>
    <row r="921" spans="1:10" ht="13.8">
      <c r="A921" s="987">
        <v>17</v>
      </c>
      <c r="B921" s="988">
        <v>37469</v>
      </c>
      <c r="C921" s="987" t="s">
        <v>4630</v>
      </c>
      <c r="F921" s="990">
        <v>6.6E-3</v>
      </c>
      <c r="H921" s="993">
        <v>5.5041666666666668E-3</v>
      </c>
      <c r="I921" s="986">
        <f t="shared" si="13"/>
        <v>1.0958333333333332E-3</v>
      </c>
      <c r="J921" s="988">
        <v>37469</v>
      </c>
    </row>
    <row r="922" spans="1:10" ht="13.8">
      <c r="A922" s="987">
        <v>17</v>
      </c>
      <c r="B922" s="988">
        <v>37500</v>
      </c>
      <c r="C922" s="987" t="s">
        <v>4630</v>
      </c>
      <c r="F922" s="990">
        <v>-0.1087</v>
      </c>
      <c r="H922" s="993">
        <v>5.3249999999999999E-3</v>
      </c>
      <c r="I922" s="986">
        <f t="shared" ref="I922:I985" si="14">F922-H922</f>
        <v>-0.114025</v>
      </c>
      <c r="J922" s="988">
        <v>37500</v>
      </c>
    </row>
    <row r="923" spans="1:10" ht="13.8">
      <c r="A923" s="987">
        <v>17</v>
      </c>
      <c r="B923" s="988">
        <v>37530</v>
      </c>
      <c r="C923" s="987" t="s">
        <v>4630</v>
      </c>
      <c r="F923" s="990">
        <v>8.7999999999999995E-2</v>
      </c>
      <c r="H923" s="993">
        <v>5.4458333333333329E-3</v>
      </c>
      <c r="I923" s="986">
        <f t="shared" si="14"/>
        <v>8.2554166666666665E-2</v>
      </c>
      <c r="J923" s="988">
        <v>37530</v>
      </c>
    </row>
    <row r="924" spans="1:10" ht="13.8">
      <c r="A924" s="987">
        <v>17</v>
      </c>
      <c r="B924" s="988">
        <v>37561</v>
      </c>
      <c r="C924" s="987" t="s">
        <v>4630</v>
      </c>
      <c r="F924" s="990">
        <v>5.8900000000000001E-2</v>
      </c>
      <c r="H924" s="993">
        <v>5.4250000000000001E-3</v>
      </c>
      <c r="I924" s="986">
        <f t="shared" si="14"/>
        <v>5.3475000000000002E-2</v>
      </c>
      <c r="J924" s="988">
        <v>37561</v>
      </c>
    </row>
    <row r="925" spans="1:10" ht="13.8">
      <c r="A925" s="987">
        <v>17</v>
      </c>
      <c r="B925" s="988">
        <v>37591</v>
      </c>
      <c r="C925" s="987" t="s">
        <v>4630</v>
      </c>
      <c r="F925" s="990">
        <v>-5.8799999999999998E-2</v>
      </c>
      <c r="H925" s="993">
        <v>5.3499999999999989E-3</v>
      </c>
      <c r="I925" s="986">
        <f t="shared" si="14"/>
        <v>-6.4149999999999999E-2</v>
      </c>
      <c r="J925" s="988">
        <v>37591</v>
      </c>
    </row>
    <row r="926" spans="1:10" ht="13.8">
      <c r="A926" s="987">
        <v>17</v>
      </c>
      <c r="B926" s="988">
        <v>37622</v>
      </c>
      <c r="C926" s="987" t="s">
        <v>4630</v>
      </c>
      <c r="F926" s="990">
        <v>-2.6200000000000001E-2</v>
      </c>
      <c r="H926" s="993">
        <v>5.3166666666666675E-3</v>
      </c>
      <c r="I926" s="986">
        <f t="shared" si="14"/>
        <v>-3.1516666666666665E-2</v>
      </c>
      <c r="J926" s="988">
        <v>37622</v>
      </c>
    </row>
    <row r="927" spans="1:10" ht="13.8">
      <c r="A927" s="987">
        <v>17</v>
      </c>
      <c r="B927" s="988">
        <v>37653</v>
      </c>
      <c r="C927" s="987" t="s">
        <v>4630</v>
      </c>
      <c r="F927" s="990">
        <v>-1.4999999999999999E-2</v>
      </c>
      <c r="H927" s="993">
        <v>5.1208333333333331E-3</v>
      </c>
      <c r="I927" s="986">
        <f t="shared" si="14"/>
        <v>-2.0120833333333331E-2</v>
      </c>
      <c r="J927" s="988">
        <v>37653</v>
      </c>
    </row>
    <row r="928" spans="1:10" ht="13.8">
      <c r="A928" s="987">
        <v>17</v>
      </c>
      <c r="B928" s="988">
        <v>37681</v>
      </c>
      <c r="C928" s="987" t="s">
        <v>4630</v>
      </c>
      <c r="F928" s="990">
        <v>9.7000000000000003E-3</v>
      </c>
      <c r="H928" s="993">
        <v>5.0708333333333334E-3</v>
      </c>
      <c r="I928" s="986">
        <f t="shared" si="14"/>
        <v>4.6291666666666668E-3</v>
      </c>
      <c r="J928" s="988">
        <v>37681</v>
      </c>
    </row>
    <row r="929" spans="1:10" ht="13.8">
      <c r="A929" s="987">
        <v>17</v>
      </c>
      <c r="B929" s="988">
        <v>37712</v>
      </c>
      <c r="C929" s="987" t="s">
        <v>4630</v>
      </c>
      <c r="F929" s="990">
        <v>8.2400000000000001E-2</v>
      </c>
      <c r="H929" s="993">
        <v>4.9833333333333327E-3</v>
      </c>
      <c r="I929" s="986">
        <f t="shared" si="14"/>
        <v>7.7416666666666661E-2</v>
      </c>
      <c r="J929" s="988">
        <v>37712</v>
      </c>
    </row>
    <row r="930" spans="1:10" ht="13.8">
      <c r="A930" s="987">
        <v>17</v>
      </c>
      <c r="B930" s="988">
        <v>37742</v>
      </c>
      <c r="C930" s="987" t="s">
        <v>4630</v>
      </c>
      <c r="F930" s="990">
        <v>5.2699999999999997E-2</v>
      </c>
      <c r="H930" s="993">
        <v>4.6125000000000003E-3</v>
      </c>
      <c r="I930" s="986">
        <f t="shared" si="14"/>
        <v>4.8087499999999998E-2</v>
      </c>
      <c r="J930" s="988">
        <v>37742</v>
      </c>
    </row>
    <row r="931" spans="1:10" ht="13.8">
      <c r="A931" s="987">
        <v>17</v>
      </c>
      <c r="B931" s="988">
        <v>37773</v>
      </c>
      <c r="C931" s="987" t="s">
        <v>4630</v>
      </c>
      <c r="F931" s="990">
        <v>1.2800000000000001E-2</v>
      </c>
      <c r="H931" s="993">
        <v>4.4541666666666662E-3</v>
      </c>
      <c r="I931" s="986">
        <f t="shared" si="14"/>
        <v>8.3458333333333336E-3</v>
      </c>
      <c r="J931" s="988">
        <v>37773</v>
      </c>
    </row>
    <row r="932" spans="1:10" ht="13.8">
      <c r="A932" s="987">
        <v>17</v>
      </c>
      <c r="B932" s="988">
        <v>37803</v>
      </c>
      <c r="C932" s="987" t="s">
        <v>4630</v>
      </c>
      <c r="F932" s="990">
        <v>1.7600000000000001E-2</v>
      </c>
      <c r="H932" s="993">
        <v>4.816666666666667E-3</v>
      </c>
      <c r="I932" s="986">
        <f t="shared" si="14"/>
        <v>1.2783333333333334E-2</v>
      </c>
      <c r="J932" s="988">
        <v>37803</v>
      </c>
    </row>
    <row r="933" spans="1:10" ht="13.8">
      <c r="A933" s="987">
        <v>17</v>
      </c>
      <c r="B933" s="988">
        <v>37834</v>
      </c>
      <c r="C933" s="987" t="s">
        <v>4630</v>
      </c>
      <c r="F933" s="990">
        <v>1.95E-2</v>
      </c>
      <c r="H933" s="993">
        <v>5.0749999999999997E-3</v>
      </c>
      <c r="I933" s="986">
        <f t="shared" si="14"/>
        <v>1.4425E-2</v>
      </c>
      <c r="J933" s="988">
        <v>37834</v>
      </c>
    </row>
    <row r="934" spans="1:10" ht="13.8">
      <c r="A934" s="987">
        <v>17</v>
      </c>
      <c r="B934" s="988">
        <v>37865</v>
      </c>
      <c r="C934" s="987" t="s">
        <v>4630</v>
      </c>
      <c r="F934" s="990">
        <v>-1.06E-2</v>
      </c>
      <c r="H934" s="993">
        <v>4.9375E-3</v>
      </c>
      <c r="I934" s="986">
        <f t="shared" si="14"/>
        <v>-1.5537499999999999E-2</v>
      </c>
      <c r="J934" s="988">
        <v>37865</v>
      </c>
    </row>
    <row r="935" spans="1:10" ht="13.8">
      <c r="A935" s="987">
        <v>17</v>
      </c>
      <c r="B935" s="988">
        <v>37895</v>
      </c>
      <c r="C935" s="987" t="s">
        <v>4630</v>
      </c>
      <c r="F935" s="990">
        <v>5.6599999999999998E-2</v>
      </c>
      <c r="H935" s="993">
        <v>4.9208333333333335E-3</v>
      </c>
      <c r="I935" s="986">
        <f t="shared" si="14"/>
        <v>5.1679166666666665E-2</v>
      </c>
      <c r="J935" s="988">
        <v>37895</v>
      </c>
    </row>
    <row r="936" spans="1:10" ht="13.8">
      <c r="A936" s="987">
        <v>17</v>
      </c>
      <c r="B936" s="988">
        <v>37926</v>
      </c>
      <c r="C936" s="987" t="s">
        <v>4630</v>
      </c>
      <c r="F936" s="990">
        <v>8.8000000000000005E-3</v>
      </c>
      <c r="H936" s="993">
        <v>4.8875000000000004E-3</v>
      </c>
      <c r="I936" s="986">
        <f t="shared" si="14"/>
        <v>3.9125000000000002E-3</v>
      </c>
      <c r="J936" s="988">
        <v>37926</v>
      </c>
    </row>
    <row r="937" spans="1:10" ht="13.8">
      <c r="A937" s="987">
        <v>17</v>
      </c>
      <c r="B937" s="988">
        <v>37956</v>
      </c>
      <c r="C937" s="987" t="s">
        <v>4630</v>
      </c>
      <c r="F937" s="990">
        <v>5.2400000000000002E-2</v>
      </c>
      <c r="H937" s="993">
        <v>4.8624999999999996E-3</v>
      </c>
      <c r="I937" s="986">
        <f t="shared" si="14"/>
        <v>4.7537500000000003E-2</v>
      </c>
      <c r="J937" s="988">
        <v>37956</v>
      </c>
    </row>
    <row r="938" spans="1:10" ht="13.8">
      <c r="A938" s="987">
        <v>17</v>
      </c>
      <c r="B938" s="988">
        <v>37987</v>
      </c>
      <c r="C938" s="987" t="s">
        <v>4630</v>
      </c>
      <c r="F938" s="990">
        <v>1.84E-2</v>
      </c>
      <c r="H938" s="993">
        <v>4.7708333333333327E-3</v>
      </c>
      <c r="I938" s="986">
        <f t="shared" si="14"/>
        <v>1.3629166666666668E-2</v>
      </c>
      <c r="J938" s="988">
        <v>37987</v>
      </c>
    </row>
    <row r="939" spans="1:10" ht="13.8">
      <c r="A939" s="987">
        <v>17</v>
      </c>
      <c r="B939" s="988">
        <v>38018</v>
      </c>
      <c r="C939" s="987" t="s">
        <v>4630</v>
      </c>
      <c r="F939" s="990">
        <v>1.3899999999999999E-2</v>
      </c>
      <c r="H939" s="993">
        <v>4.7375000000000004E-3</v>
      </c>
      <c r="I939" s="986">
        <f t="shared" si="14"/>
        <v>9.1624999999999988E-3</v>
      </c>
      <c r="J939" s="988">
        <v>38018</v>
      </c>
    </row>
    <row r="940" spans="1:10" ht="13.8">
      <c r="A940" s="987">
        <v>17</v>
      </c>
      <c r="B940" s="988">
        <v>38047</v>
      </c>
      <c r="C940" s="987" t="s">
        <v>4630</v>
      </c>
      <c r="F940" s="990">
        <v>-1.5100000000000001E-2</v>
      </c>
      <c r="H940" s="993">
        <v>4.5958333333333337E-3</v>
      </c>
      <c r="I940" s="986">
        <f t="shared" si="14"/>
        <v>-1.9695833333333336E-2</v>
      </c>
      <c r="J940" s="988">
        <v>38047</v>
      </c>
    </row>
    <row r="941" spans="1:10" ht="13.8">
      <c r="A941" s="987">
        <v>17</v>
      </c>
      <c r="B941" s="988">
        <v>38078</v>
      </c>
      <c r="C941" s="987" t="s">
        <v>4630</v>
      </c>
      <c r="F941" s="990">
        <v>-1.5699999999999999E-2</v>
      </c>
      <c r="H941" s="993">
        <v>4.9291666666666668E-3</v>
      </c>
      <c r="I941" s="986">
        <f t="shared" si="14"/>
        <v>-2.0629166666666664E-2</v>
      </c>
      <c r="J941" s="988">
        <v>38078</v>
      </c>
    </row>
    <row r="942" spans="1:10" ht="13.8">
      <c r="A942" s="987">
        <v>17</v>
      </c>
      <c r="B942" s="988">
        <v>38108</v>
      </c>
      <c r="C942" s="987" t="s">
        <v>4630</v>
      </c>
      <c r="F942" s="990">
        <v>1.37E-2</v>
      </c>
      <c r="H942" s="993">
        <v>5.1833333333333332E-3</v>
      </c>
      <c r="I942" s="986">
        <f t="shared" si="14"/>
        <v>8.5166666666666672E-3</v>
      </c>
      <c r="J942" s="988">
        <v>38108</v>
      </c>
    </row>
    <row r="943" spans="1:10" ht="13.8">
      <c r="A943" s="987">
        <v>17</v>
      </c>
      <c r="B943" s="988">
        <v>38139</v>
      </c>
      <c r="C943" s="987" t="s">
        <v>4630</v>
      </c>
      <c r="F943" s="990">
        <v>1.9400000000000001E-2</v>
      </c>
      <c r="H943" s="993">
        <v>5.0916666666666662E-3</v>
      </c>
      <c r="I943" s="986">
        <f t="shared" si="14"/>
        <v>1.4308333333333334E-2</v>
      </c>
      <c r="J943" s="988">
        <v>38139</v>
      </c>
    </row>
    <row r="944" spans="1:10" ht="13.8">
      <c r="A944" s="987">
        <v>17</v>
      </c>
      <c r="B944" s="988">
        <v>38169</v>
      </c>
      <c r="C944" s="987" t="s">
        <v>4630</v>
      </c>
      <c r="F944" s="990">
        <v>-3.3099999999999997E-2</v>
      </c>
      <c r="H944" s="993">
        <v>4.933333333333333E-3</v>
      </c>
      <c r="I944" s="986">
        <f t="shared" si="14"/>
        <v>-3.8033333333333329E-2</v>
      </c>
      <c r="J944" s="988">
        <v>38169</v>
      </c>
    </row>
    <row r="945" spans="1:10" ht="13.8">
      <c r="A945" s="987">
        <v>17</v>
      </c>
      <c r="B945" s="988">
        <v>38200</v>
      </c>
      <c r="C945" s="987" t="s">
        <v>4630</v>
      </c>
      <c r="F945" s="990">
        <v>4.0000000000000001E-3</v>
      </c>
      <c r="H945" s="993">
        <v>4.8000000000000004E-3</v>
      </c>
      <c r="I945" s="986">
        <f t="shared" si="14"/>
        <v>-8.0000000000000036E-4</v>
      </c>
      <c r="J945" s="988">
        <v>38200</v>
      </c>
    </row>
    <row r="946" spans="1:10" ht="13.8">
      <c r="A946" s="987">
        <v>17</v>
      </c>
      <c r="B946" s="988">
        <v>38231</v>
      </c>
      <c r="C946" s="987" t="s">
        <v>4630</v>
      </c>
      <c r="F946" s="990">
        <v>1.0800000000000001E-2</v>
      </c>
      <c r="H946" s="993">
        <v>4.6625000000000008E-3</v>
      </c>
      <c r="I946" s="986">
        <f t="shared" si="14"/>
        <v>6.1374999999999997E-3</v>
      </c>
      <c r="J946" s="988">
        <v>38231</v>
      </c>
    </row>
    <row r="947" spans="1:10" ht="13.8">
      <c r="A947" s="987">
        <v>17</v>
      </c>
      <c r="B947" s="988">
        <v>38261</v>
      </c>
      <c r="C947" s="987" t="s">
        <v>4630</v>
      </c>
      <c r="F947" s="990">
        <v>1.5299999999999999E-2</v>
      </c>
      <c r="H947" s="993">
        <v>4.6499999999999996E-3</v>
      </c>
      <c r="I947" s="986">
        <f t="shared" si="14"/>
        <v>1.065E-2</v>
      </c>
      <c r="J947" s="988">
        <v>38261</v>
      </c>
    </row>
    <row r="948" spans="1:10" ht="13.8">
      <c r="A948" s="987">
        <v>17</v>
      </c>
      <c r="B948" s="988">
        <v>38292</v>
      </c>
      <c r="C948" s="987" t="s">
        <v>4630</v>
      </c>
      <c r="F948" s="990">
        <v>4.0500000000000001E-2</v>
      </c>
      <c r="H948" s="993">
        <v>4.6833333333333328E-3</v>
      </c>
      <c r="I948" s="986">
        <f t="shared" si="14"/>
        <v>3.581666666666667E-2</v>
      </c>
      <c r="J948" s="988">
        <v>38292</v>
      </c>
    </row>
    <row r="949" spans="1:10" ht="13.8">
      <c r="A949" s="987">
        <v>17</v>
      </c>
      <c r="B949" s="988">
        <v>38322</v>
      </c>
      <c r="C949" s="987" t="s">
        <v>4630</v>
      </c>
      <c r="F949" s="990">
        <v>3.4000000000000002E-2</v>
      </c>
      <c r="H949" s="993">
        <v>4.6499999999999996E-3</v>
      </c>
      <c r="I949" s="986">
        <f t="shared" si="14"/>
        <v>2.9350000000000001E-2</v>
      </c>
      <c r="J949" s="988">
        <v>38322</v>
      </c>
    </row>
    <row r="950" spans="1:10" ht="13.8">
      <c r="A950" s="987">
        <v>17</v>
      </c>
      <c r="B950" s="988">
        <v>38353</v>
      </c>
      <c r="C950" s="987" t="s">
        <v>4630</v>
      </c>
      <c r="F950" s="990">
        <v>-2.4400000000000002E-2</v>
      </c>
      <c r="H950" s="993">
        <v>4.5583333333333335E-3</v>
      </c>
      <c r="I950" s="986">
        <f t="shared" si="14"/>
        <v>-2.8958333333333336E-2</v>
      </c>
      <c r="J950" s="988">
        <v>38353</v>
      </c>
    </row>
    <row r="951" spans="1:10" ht="13.8">
      <c r="A951" s="987">
        <v>17</v>
      </c>
      <c r="B951" s="988">
        <v>38384</v>
      </c>
      <c r="C951" s="987" t="s">
        <v>4630</v>
      </c>
      <c r="F951" s="990">
        <v>2.1000000000000001E-2</v>
      </c>
      <c r="H951" s="993">
        <v>4.4333333333333334E-3</v>
      </c>
      <c r="I951" s="986">
        <f t="shared" si="14"/>
        <v>1.6566666666666667E-2</v>
      </c>
      <c r="J951" s="988">
        <v>38384</v>
      </c>
    </row>
    <row r="952" spans="1:10" ht="13.8">
      <c r="A952" s="987">
        <v>17</v>
      </c>
      <c r="B952" s="988">
        <v>38412</v>
      </c>
      <c r="C952" s="987" t="s">
        <v>4630</v>
      </c>
      <c r="F952" s="990">
        <v>-1.77E-2</v>
      </c>
      <c r="H952" s="993">
        <v>4.5999999999999999E-3</v>
      </c>
      <c r="I952" s="986">
        <f t="shared" si="14"/>
        <v>-2.23E-2</v>
      </c>
      <c r="J952" s="988">
        <v>38412</v>
      </c>
    </row>
    <row r="953" spans="1:10" ht="13.8">
      <c r="A953" s="987">
        <v>17</v>
      </c>
      <c r="B953" s="988">
        <v>38443</v>
      </c>
      <c r="C953" s="987" t="s">
        <v>4630</v>
      </c>
      <c r="F953" s="990">
        <v>-1.9E-2</v>
      </c>
      <c r="H953" s="993">
        <v>4.4875000000000002E-3</v>
      </c>
      <c r="I953" s="986">
        <f t="shared" si="14"/>
        <v>-2.3487500000000001E-2</v>
      </c>
      <c r="J953" s="988">
        <v>38443</v>
      </c>
    </row>
    <row r="954" spans="1:10" ht="13.8">
      <c r="A954" s="987">
        <v>17</v>
      </c>
      <c r="B954" s="988">
        <v>38473</v>
      </c>
      <c r="C954" s="987" t="s">
        <v>4630</v>
      </c>
      <c r="F954" s="990">
        <v>3.1800000000000002E-2</v>
      </c>
      <c r="H954" s="993">
        <v>4.3500000000000006E-3</v>
      </c>
      <c r="I954" s="986">
        <f t="shared" si="14"/>
        <v>2.7450000000000002E-2</v>
      </c>
      <c r="J954" s="988">
        <v>38473</v>
      </c>
    </row>
    <row r="955" spans="1:10" ht="13.8">
      <c r="A955" s="987">
        <v>17</v>
      </c>
      <c r="B955" s="988">
        <v>38504</v>
      </c>
      <c r="C955" s="987" t="s">
        <v>4630</v>
      </c>
      <c r="F955" s="990">
        <v>1.4E-3</v>
      </c>
      <c r="H955" s="993">
        <v>4.1583333333333325E-3</v>
      </c>
      <c r="I955" s="986">
        <f t="shared" si="14"/>
        <v>-2.7583333333333323E-3</v>
      </c>
      <c r="J955" s="988">
        <v>38504</v>
      </c>
    </row>
    <row r="956" spans="1:10" ht="13.8">
      <c r="A956" s="987">
        <v>17</v>
      </c>
      <c r="B956" s="988">
        <v>38534</v>
      </c>
      <c r="C956" s="987" t="s">
        <v>4630</v>
      </c>
      <c r="F956" s="990">
        <v>3.7199999999999997E-2</v>
      </c>
      <c r="H956" s="993">
        <v>4.2499999999999994E-3</v>
      </c>
      <c r="I956" s="986">
        <f t="shared" si="14"/>
        <v>3.295E-2</v>
      </c>
      <c r="J956" s="988">
        <v>38534</v>
      </c>
    </row>
    <row r="957" spans="1:10" ht="13.8">
      <c r="A957" s="987">
        <v>17</v>
      </c>
      <c r="B957" s="988">
        <v>38565</v>
      </c>
      <c r="C957" s="987" t="s">
        <v>4630</v>
      </c>
      <c r="F957" s="990">
        <v>-9.1000000000000004E-3</v>
      </c>
      <c r="H957" s="993">
        <v>4.2874999999999996E-3</v>
      </c>
      <c r="I957" s="986">
        <f t="shared" si="14"/>
        <v>-1.33875E-2</v>
      </c>
      <c r="J957" s="988">
        <v>38565</v>
      </c>
    </row>
    <row r="958" spans="1:10" ht="13.8">
      <c r="A958" s="987">
        <v>17</v>
      </c>
      <c r="B958" s="988">
        <v>38596</v>
      </c>
      <c r="C958" s="987" t="s">
        <v>4630</v>
      </c>
      <c r="F958" s="990">
        <v>8.0999999999999996E-3</v>
      </c>
      <c r="H958" s="993">
        <v>4.3208333333333336E-3</v>
      </c>
      <c r="I958" s="986">
        <f t="shared" si="14"/>
        <v>3.7791666666666659E-3</v>
      </c>
      <c r="J958" s="988">
        <v>38596</v>
      </c>
    </row>
    <row r="959" spans="1:10" ht="13.8">
      <c r="A959" s="987">
        <v>17</v>
      </c>
      <c r="B959" s="988">
        <v>38626</v>
      </c>
      <c r="C959" s="987" t="s">
        <v>4630</v>
      </c>
      <c r="F959" s="990">
        <v>-1.67E-2</v>
      </c>
      <c r="H959" s="993">
        <v>4.5000000000000005E-3</v>
      </c>
      <c r="I959" s="986">
        <f t="shared" si="14"/>
        <v>-2.12E-2</v>
      </c>
      <c r="J959" s="988">
        <v>38626</v>
      </c>
    </row>
    <row r="960" spans="1:10" ht="13.8">
      <c r="A960" s="987">
        <v>17</v>
      </c>
      <c r="B960" s="988">
        <v>38657</v>
      </c>
      <c r="C960" s="987" t="s">
        <v>4630</v>
      </c>
      <c r="F960" s="990">
        <v>3.78E-2</v>
      </c>
      <c r="H960" s="993">
        <v>4.5729166666666661E-3</v>
      </c>
      <c r="I960" s="986">
        <f t="shared" si="14"/>
        <v>3.3227083333333338E-2</v>
      </c>
      <c r="J960" s="988">
        <v>38657</v>
      </c>
    </row>
    <row r="961" spans="1:10" ht="13.8">
      <c r="A961" s="987">
        <v>17</v>
      </c>
      <c r="B961" s="988">
        <v>38687</v>
      </c>
      <c r="C961" s="987" t="s">
        <v>4630</v>
      </c>
      <c r="F961" s="990">
        <v>2.9999999999999997E-4</v>
      </c>
      <c r="H961" s="993">
        <v>4.5374999999999999E-3</v>
      </c>
      <c r="I961" s="986">
        <f t="shared" si="14"/>
        <v>-4.2374999999999999E-3</v>
      </c>
      <c r="J961" s="988">
        <v>38687</v>
      </c>
    </row>
    <row r="962" spans="1:10" ht="13.8">
      <c r="A962" s="987">
        <v>17</v>
      </c>
      <c r="B962" s="988">
        <v>38718</v>
      </c>
      <c r="C962" s="987" t="s">
        <v>4630</v>
      </c>
      <c r="F962" s="990">
        <v>2.6499999999999999E-2</v>
      </c>
      <c r="H962" s="993">
        <v>4.4749999999999998E-3</v>
      </c>
      <c r="I962" s="986">
        <f t="shared" si="14"/>
        <v>2.2024999999999999E-2</v>
      </c>
      <c r="J962" s="988">
        <v>38718</v>
      </c>
    </row>
    <row r="963" spans="1:10" ht="13.8">
      <c r="A963" s="987">
        <v>17</v>
      </c>
      <c r="B963" s="988">
        <v>38749</v>
      </c>
      <c r="C963" s="987" t="s">
        <v>4630</v>
      </c>
      <c r="F963" s="990">
        <v>2.7000000000000001E-3</v>
      </c>
      <c r="H963" s="993">
        <v>4.5250000000000004E-3</v>
      </c>
      <c r="I963" s="986">
        <f t="shared" si="14"/>
        <v>-1.8250000000000002E-3</v>
      </c>
      <c r="J963" s="988">
        <v>38749</v>
      </c>
    </row>
    <row r="964" spans="1:10" ht="13.8">
      <c r="A964" s="987">
        <v>17</v>
      </c>
      <c r="B964" s="988">
        <v>38777</v>
      </c>
      <c r="C964" s="987" t="s">
        <v>4630</v>
      </c>
      <c r="F964" s="990">
        <v>1.24E-2</v>
      </c>
      <c r="H964" s="993">
        <v>4.6624999999999991E-3</v>
      </c>
      <c r="I964" s="986">
        <f t="shared" si="14"/>
        <v>7.7375000000000005E-3</v>
      </c>
      <c r="J964" s="988">
        <v>38777</v>
      </c>
    </row>
    <row r="965" spans="1:10" ht="13.8">
      <c r="A965" s="987">
        <v>17</v>
      </c>
      <c r="B965" s="988">
        <v>38808</v>
      </c>
      <c r="C965" s="987" t="s">
        <v>4630</v>
      </c>
      <c r="F965" s="990">
        <v>1.34E-2</v>
      </c>
      <c r="H965" s="993">
        <v>4.933333333333333E-3</v>
      </c>
      <c r="I965" s="986">
        <f t="shared" si="14"/>
        <v>8.4666666666666675E-3</v>
      </c>
      <c r="J965" s="988">
        <v>38808</v>
      </c>
    </row>
    <row r="966" spans="1:10" ht="13.8">
      <c r="A966" s="987">
        <v>17</v>
      </c>
      <c r="B966" s="988">
        <v>38838</v>
      </c>
      <c r="C966" s="987" t="s">
        <v>4630</v>
      </c>
      <c r="F966" s="990">
        <v>-2.8799999999999999E-2</v>
      </c>
      <c r="H966" s="993">
        <v>5.0333333333333341E-3</v>
      </c>
      <c r="I966" s="986">
        <f t="shared" si="14"/>
        <v>-3.3833333333333333E-2</v>
      </c>
      <c r="J966" s="988">
        <v>38838</v>
      </c>
    </row>
    <row r="967" spans="1:10" ht="13.8">
      <c r="A967" s="987">
        <v>17</v>
      </c>
      <c r="B967" s="988">
        <v>38869</v>
      </c>
      <c r="C967" s="987" t="s">
        <v>4630</v>
      </c>
      <c r="F967" s="990">
        <v>1.4E-3</v>
      </c>
      <c r="H967" s="993">
        <v>5.0000000000000001E-3</v>
      </c>
      <c r="I967" s="986">
        <f t="shared" si="14"/>
        <v>-3.5999999999999999E-3</v>
      </c>
      <c r="J967" s="988">
        <v>38869</v>
      </c>
    </row>
    <row r="968" spans="1:10" ht="13.8">
      <c r="A968" s="987">
        <v>17</v>
      </c>
      <c r="B968" s="988">
        <v>38899</v>
      </c>
      <c r="C968" s="987" t="s">
        <v>4630</v>
      </c>
      <c r="F968" s="990">
        <v>6.1999999999999998E-3</v>
      </c>
      <c r="H968" s="993">
        <v>4.9708333333333332E-3</v>
      </c>
      <c r="I968" s="986">
        <f t="shared" si="14"/>
        <v>1.2291666666666666E-3</v>
      </c>
      <c r="J968" s="988">
        <v>38899</v>
      </c>
    </row>
    <row r="969" spans="1:10" ht="13.8">
      <c r="A969" s="987">
        <v>17</v>
      </c>
      <c r="B969" s="988">
        <v>38930</v>
      </c>
      <c r="C969" s="987" t="s">
        <v>4630</v>
      </c>
      <c r="F969" s="990">
        <v>2.3800000000000002E-2</v>
      </c>
      <c r="H969" s="993">
        <v>4.8291666666666665E-3</v>
      </c>
      <c r="I969" s="986">
        <f t="shared" si="14"/>
        <v>1.8970833333333336E-2</v>
      </c>
      <c r="J969" s="988">
        <v>38930</v>
      </c>
    </row>
    <row r="970" spans="1:10" ht="13.8">
      <c r="A970" s="987">
        <v>17</v>
      </c>
      <c r="B970" s="988">
        <v>38961</v>
      </c>
      <c r="C970" s="987" t="s">
        <v>4630</v>
      </c>
      <c r="F970" s="990">
        <v>2.58E-2</v>
      </c>
      <c r="H970" s="993">
        <v>4.6916666666666669E-3</v>
      </c>
      <c r="I970" s="986">
        <f t="shared" si="14"/>
        <v>2.1108333333333333E-2</v>
      </c>
      <c r="J970" s="988">
        <v>38961</v>
      </c>
    </row>
    <row r="971" spans="1:10" ht="13.8">
      <c r="A971" s="987">
        <v>17</v>
      </c>
      <c r="B971" s="988">
        <v>38991</v>
      </c>
      <c r="C971" s="987" t="s">
        <v>4630</v>
      </c>
      <c r="F971" s="990">
        <v>3.2599999999999997E-2</v>
      </c>
      <c r="H971" s="993">
        <v>4.6874999999999998E-3</v>
      </c>
      <c r="I971" s="986">
        <f t="shared" si="14"/>
        <v>2.7912499999999996E-2</v>
      </c>
      <c r="J971" s="988">
        <v>38991</v>
      </c>
    </row>
    <row r="972" spans="1:10" ht="13.8">
      <c r="A972" s="987">
        <v>17</v>
      </c>
      <c r="B972" s="988">
        <v>39022</v>
      </c>
      <c r="C972" s="987" t="s">
        <v>4630</v>
      </c>
      <c r="F972" s="990">
        <v>1.9E-2</v>
      </c>
      <c r="H972" s="993">
        <v>4.5416666666666669E-3</v>
      </c>
      <c r="I972" s="986">
        <f t="shared" si="14"/>
        <v>1.4458333333333333E-2</v>
      </c>
      <c r="J972" s="988">
        <v>39022</v>
      </c>
    </row>
    <row r="973" spans="1:10" ht="13.8">
      <c r="A973" s="987">
        <v>17</v>
      </c>
      <c r="B973" s="988">
        <v>39052</v>
      </c>
      <c r="C973" s="987" t="s">
        <v>4630</v>
      </c>
      <c r="F973" s="990">
        <v>1.4E-2</v>
      </c>
      <c r="H973" s="993">
        <v>4.5291666666666666E-3</v>
      </c>
      <c r="I973" s="986">
        <f t="shared" si="14"/>
        <v>9.4708333333333346E-3</v>
      </c>
      <c r="J973" s="988">
        <v>39052</v>
      </c>
    </row>
    <row r="974" spans="1:10" ht="13.8">
      <c r="A974" s="987">
        <v>17</v>
      </c>
      <c r="B974" s="988">
        <v>39083</v>
      </c>
      <c r="C974" s="987" t="s">
        <v>4630</v>
      </c>
      <c r="F974" s="990">
        <v>1.5100000000000001E-2</v>
      </c>
      <c r="H974" s="993">
        <v>4.6458333333333334E-3</v>
      </c>
      <c r="I974" s="986">
        <f t="shared" si="14"/>
        <v>1.0454166666666667E-2</v>
      </c>
      <c r="J974" s="988">
        <v>39083</v>
      </c>
    </row>
    <row r="975" spans="1:10" ht="13.8">
      <c r="A975" s="987">
        <v>17</v>
      </c>
      <c r="B975" s="988">
        <v>39114</v>
      </c>
      <c r="C975" s="987" t="s">
        <v>4630</v>
      </c>
      <c r="F975" s="990">
        <v>-1.9599999999999999E-2</v>
      </c>
      <c r="H975" s="993">
        <v>4.6291666666666668E-3</v>
      </c>
      <c r="I975" s="986">
        <f t="shared" si="14"/>
        <v>-2.4229166666666666E-2</v>
      </c>
      <c r="J975" s="988">
        <v>39114</v>
      </c>
    </row>
    <row r="976" spans="1:10" ht="13.8">
      <c r="A976" s="987">
        <v>17</v>
      </c>
      <c r="B976" s="988">
        <v>39142</v>
      </c>
      <c r="C976" s="987" t="s">
        <v>4630</v>
      </c>
      <c r="F976" s="990">
        <v>1.12E-2</v>
      </c>
      <c r="H976" s="993">
        <v>4.5666666666666668E-3</v>
      </c>
      <c r="I976" s="986">
        <f t="shared" si="14"/>
        <v>6.6333333333333331E-3</v>
      </c>
      <c r="J976" s="988">
        <v>39142</v>
      </c>
    </row>
    <row r="977" spans="1:10" ht="13.8">
      <c r="A977" s="987">
        <v>17</v>
      </c>
      <c r="B977" s="988">
        <v>39173</v>
      </c>
      <c r="C977" s="987" t="s">
        <v>4630</v>
      </c>
      <c r="F977" s="990">
        <v>4.4299999999999999E-2</v>
      </c>
      <c r="H977" s="993">
        <v>4.7083333333333335E-3</v>
      </c>
      <c r="I977" s="986">
        <f t="shared" si="14"/>
        <v>3.9591666666666664E-2</v>
      </c>
      <c r="J977" s="988">
        <v>39173</v>
      </c>
    </row>
    <row r="978" spans="1:10" ht="13.8">
      <c r="A978" s="987">
        <v>17</v>
      </c>
      <c r="B978" s="988">
        <v>39203</v>
      </c>
      <c r="C978" s="987" t="s">
        <v>4630</v>
      </c>
      <c r="F978" s="990">
        <v>3.49E-2</v>
      </c>
      <c r="H978" s="993">
        <v>4.7166666666666668E-3</v>
      </c>
      <c r="I978" s="986">
        <f t="shared" si="14"/>
        <v>3.0183333333333333E-2</v>
      </c>
      <c r="J978" s="988">
        <v>39203</v>
      </c>
    </row>
    <row r="979" spans="1:10" ht="13.8">
      <c r="A979" s="987">
        <v>17</v>
      </c>
      <c r="B979" s="988">
        <v>39234</v>
      </c>
      <c r="C979" s="987" t="s">
        <v>4630</v>
      </c>
      <c r="F979" s="990">
        <v>-1.66E-2</v>
      </c>
      <c r="H979" s="993">
        <v>2.8120833333333335E-3</v>
      </c>
      <c r="I979" s="986">
        <f t="shared" si="14"/>
        <v>-1.9412083333333333E-2</v>
      </c>
      <c r="J979" s="988">
        <v>39234</v>
      </c>
    </row>
    <row r="980" spans="1:10" ht="13.8">
      <c r="A980" s="987">
        <v>17</v>
      </c>
      <c r="B980" s="988">
        <v>39264</v>
      </c>
      <c r="C980" s="987" t="s">
        <v>4630</v>
      </c>
      <c r="F980" s="990">
        <v>-3.1E-2</v>
      </c>
      <c r="H980" s="993">
        <v>4.9249999999999997E-3</v>
      </c>
      <c r="I980" s="986">
        <f t="shared" si="14"/>
        <v>-3.5924999999999999E-2</v>
      </c>
      <c r="J980" s="988">
        <v>39264</v>
      </c>
    </row>
    <row r="981" spans="1:10" ht="13.8">
      <c r="A981" s="987">
        <v>17</v>
      </c>
      <c r="B981" s="988">
        <v>39295</v>
      </c>
      <c r="C981" s="987" t="s">
        <v>4630</v>
      </c>
      <c r="F981" s="990">
        <v>1.4999999999999999E-2</v>
      </c>
      <c r="H981" s="993">
        <v>4.9375E-3</v>
      </c>
      <c r="I981" s="986">
        <f t="shared" si="14"/>
        <v>1.0062499999999999E-2</v>
      </c>
      <c r="J981" s="988">
        <v>39295</v>
      </c>
    </row>
    <row r="982" spans="1:10" ht="13.8">
      <c r="A982" s="987">
        <v>17</v>
      </c>
      <c r="B982" s="988">
        <v>39326</v>
      </c>
      <c r="C982" s="987" t="s">
        <v>4630</v>
      </c>
      <c r="F982" s="990">
        <v>3.7499999999999999E-2</v>
      </c>
      <c r="H982" s="993">
        <v>4.8999999999999998E-3</v>
      </c>
      <c r="I982" s="986">
        <f t="shared" si="14"/>
        <v>3.2599999999999997E-2</v>
      </c>
      <c r="J982" s="988">
        <v>39326</v>
      </c>
    </row>
    <row r="983" spans="1:10" ht="13.8">
      <c r="A983" s="987">
        <v>17</v>
      </c>
      <c r="B983" s="988">
        <v>39356</v>
      </c>
      <c r="C983" s="987" t="s">
        <v>4630</v>
      </c>
      <c r="F983" s="990">
        <v>1.5900000000000001E-2</v>
      </c>
      <c r="H983" s="993">
        <v>4.8333333333333336E-3</v>
      </c>
      <c r="I983" s="986">
        <f t="shared" si="14"/>
        <v>1.1066666666666667E-2</v>
      </c>
      <c r="J983" s="988">
        <v>39356</v>
      </c>
    </row>
    <row r="984" spans="1:10" ht="13.8">
      <c r="A984" s="987">
        <v>17</v>
      </c>
      <c r="B984" s="988">
        <v>39387</v>
      </c>
      <c r="C984" s="987" t="s">
        <v>4630</v>
      </c>
      <c r="F984" s="990">
        <v>-4.1799999999999997E-2</v>
      </c>
      <c r="H984" s="993">
        <v>4.6750000000000003E-3</v>
      </c>
      <c r="I984" s="986">
        <f t="shared" si="14"/>
        <v>-4.6474999999999995E-2</v>
      </c>
      <c r="J984" s="988">
        <v>39387</v>
      </c>
    </row>
    <row r="985" spans="1:10" ht="13.8">
      <c r="A985" s="987">
        <v>17</v>
      </c>
      <c r="B985" s="988">
        <v>39417</v>
      </c>
      <c r="C985" s="987" t="s">
        <v>4630</v>
      </c>
      <c r="F985" s="990">
        <v>-6.8999999999999999E-3</v>
      </c>
      <c r="H985" s="993">
        <v>4.7499999999999999E-3</v>
      </c>
      <c r="I985" s="986">
        <f t="shared" si="14"/>
        <v>-1.1650000000000001E-2</v>
      </c>
      <c r="J985" s="988">
        <v>39417</v>
      </c>
    </row>
    <row r="986" spans="1:10" ht="13.8">
      <c r="A986" s="987">
        <v>17</v>
      </c>
      <c r="B986" s="988">
        <v>39448</v>
      </c>
      <c r="C986" s="987" t="s">
        <v>4630</v>
      </c>
      <c r="F986" s="990">
        <v>-0.06</v>
      </c>
      <c r="H986" s="993">
        <v>4.6291666666666668E-3</v>
      </c>
      <c r="I986" s="986">
        <f t="shared" ref="I986:I1049" si="15">F986-H986</f>
        <v>-6.4629166666666668E-2</v>
      </c>
      <c r="J986" s="988">
        <v>39448</v>
      </c>
    </row>
    <row r="987" spans="1:10" ht="13.8">
      <c r="A987" s="987">
        <v>17</v>
      </c>
      <c r="B987" s="988">
        <v>39479</v>
      </c>
      <c r="C987" s="987" t="s">
        <v>4630</v>
      </c>
      <c r="F987" s="990">
        <v>-3.5200000000000002E-2</v>
      </c>
      <c r="H987" s="993">
        <v>4.7916666666666672E-3</v>
      </c>
      <c r="I987" s="986">
        <f t="shared" si="15"/>
        <v>-3.9991666666666668E-2</v>
      </c>
      <c r="J987" s="988">
        <v>39479</v>
      </c>
    </row>
    <row r="988" spans="1:10" ht="13.8">
      <c r="A988" s="987">
        <v>17</v>
      </c>
      <c r="B988" s="988">
        <v>39508</v>
      </c>
      <c r="C988" s="987" t="s">
        <v>4630</v>
      </c>
      <c r="F988" s="990">
        <v>-4.3E-3</v>
      </c>
      <c r="H988" s="993">
        <v>4.754166666666667E-3</v>
      </c>
      <c r="I988" s="986">
        <f t="shared" si="15"/>
        <v>-9.054166666666667E-3</v>
      </c>
      <c r="J988" s="988">
        <v>39508</v>
      </c>
    </row>
    <row r="989" spans="1:10" ht="13.8">
      <c r="A989" s="987">
        <v>17</v>
      </c>
      <c r="B989" s="988">
        <v>39539</v>
      </c>
      <c r="C989" s="987" t="s">
        <v>4630</v>
      </c>
      <c r="F989" s="990">
        <v>4.87E-2</v>
      </c>
      <c r="H989" s="993">
        <v>4.783333333333333E-3</v>
      </c>
      <c r="I989" s="986">
        <f t="shared" si="15"/>
        <v>4.3916666666666666E-2</v>
      </c>
      <c r="J989" s="988">
        <v>39539</v>
      </c>
    </row>
    <row r="990" spans="1:10" ht="13.8">
      <c r="A990" s="987">
        <v>17</v>
      </c>
      <c r="B990" s="988">
        <v>39569</v>
      </c>
      <c r="C990" s="987" t="s">
        <v>4630</v>
      </c>
      <c r="F990" s="990">
        <v>1.2999999999999999E-2</v>
      </c>
      <c r="H990" s="993">
        <v>4.8208333333333332E-3</v>
      </c>
      <c r="I990" s="986">
        <f t="shared" si="15"/>
        <v>8.1791666666666662E-3</v>
      </c>
      <c r="J990" s="988">
        <v>39569</v>
      </c>
    </row>
    <row r="991" spans="1:10" ht="13.8">
      <c r="A991" s="987">
        <v>17</v>
      </c>
      <c r="B991" s="988">
        <v>39600</v>
      </c>
      <c r="C991" s="987" t="s">
        <v>4630</v>
      </c>
      <c r="F991" s="990">
        <v>-8.43E-2</v>
      </c>
      <c r="H991" s="993">
        <v>4.9124999999999993E-3</v>
      </c>
      <c r="I991" s="986">
        <f t="shared" si="15"/>
        <v>-8.92125E-2</v>
      </c>
      <c r="J991" s="988">
        <v>39600</v>
      </c>
    </row>
    <row r="992" spans="1:10" ht="13.8">
      <c r="A992" s="987">
        <v>17</v>
      </c>
      <c r="B992" s="988">
        <v>39630</v>
      </c>
      <c r="C992" s="987" t="s">
        <v>4630</v>
      </c>
      <c r="F992" s="990">
        <v>-8.3999999999999995E-3</v>
      </c>
      <c r="H992" s="993">
        <v>4.8833333333333333E-3</v>
      </c>
      <c r="I992" s="986">
        <f t="shared" si="15"/>
        <v>-1.3283333333333333E-2</v>
      </c>
      <c r="J992" s="988">
        <v>39630</v>
      </c>
    </row>
    <row r="993" spans="1:10" ht="13.8">
      <c r="A993" s="987">
        <v>17</v>
      </c>
      <c r="B993" s="988">
        <v>39661</v>
      </c>
      <c r="C993" s="987" t="s">
        <v>4630</v>
      </c>
      <c r="F993" s="990">
        <v>1.4500000000000001E-2</v>
      </c>
      <c r="H993" s="993">
        <v>4.8541666666666664E-3</v>
      </c>
      <c r="I993" s="986">
        <f t="shared" si="15"/>
        <v>9.6458333333333344E-3</v>
      </c>
      <c r="J993" s="988">
        <v>39661</v>
      </c>
    </row>
    <row r="994" spans="1:10" ht="13.8">
      <c r="A994" s="987">
        <v>17</v>
      </c>
      <c r="B994" s="988">
        <v>39692</v>
      </c>
      <c r="C994" s="987" t="s">
        <v>4630</v>
      </c>
      <c r="F994" s="990">
        <v>-8.9099999999999999E-2</v>
      </c>
      <c r="H994" s="993">
        <v>4.8666666666666667E-3</v>
      </c>
      <c r="I994" s="986">
        <f t="shared" si="15"/>
        <v>-9.3966666666666671E-2</v>
      </c>
      <c r="J994" s="988">
        <v>39692</v>
      </c>
    </row>
    <row r="995" spans="1:10" ht="13.8">
      <c r="A995" s="987">
        <v>17</v>
      </c>
      <c r="B995" s="988">
        <v>39722</v>
      </c>
      <c r="C995" s="987" t="s">
        <v>4630</v>
      </c>
      <c r="F995" s="990">
        <v>-0.16789999999999999</v>
      </c>
      <c r="H995" s="993">
        <v>5.4458333333333329E-3</v>
      </c>
      <c r="I995" s="986">
        <f t="shared" si="15"/>
        <v>-0.17334583333333334</v>
      </c>
      <c r="J995" s="988">
        <v>39722</v>
      </c>
    </row>
    <row r="996" spans="1:10" ht="13.8">
      <c r="A996" s="987">
        <v>17</v>
      </c>
      <c r="B996" s="988">
        <v>39753</v>
      </c>
      <c r="C996" s="987" t="s">
        <v>4630</v>
      </c>
      <c r="F996" s="990">
        <v>-7.1800000000000003E-2</v>
      </c>
      <c r="H996" s="993">
        <v>5.3541666666666668E-3</v>
      </c>
      <c r="I996" s="986">
        <f t="shared" si="15"/>
        <v>-7.7154166666666663E-2</v>
      </c>
      <c r="J996" s="988">
        <v>39753</v>
      </c>
    </row>
    <row r="997" spans="1:10" ht="13.8">
      <c r="A997" s="987">
        <v>17</v>
      </c>
      <c r="B997" s="988">
        <v>39783</v>
      </c>
      <c r="C997" s="987" t="s">
        <v>4630</v>
      </c>
      <c r="F997" s="990">
        <v>1.06E-2</v>
      </c>
      <c r="H997" s="993">
        <v>4.5291666666666666E-3</v>
      </c>
      <c r="I997" s="986">
        <f t="shared" si="15"/>
        <v>6.0708333333333335E-3</v>
      </c>
      <c r="J997" s="988">
        <v>39783</v>
      </c>
    </row>
    <row r="998" spans="1:10" ht="13.8">
      <c r="A998" s="987">
        <v>17</v>
      </c>
      <c r="B998" s="988">
        <v>39814</v>
      </c>
      <c r="C998" s="987" t="s">
        <v>4630</v>
      </c>
      <c r="F998" s="990">
        <v>-8.43E-2</v>
      </c>
      <c r="H998" s="993">
        <v>4.5374999999999999E-3</v>
      </c>
      <c r="I998" s="986">
        <f t="shared" si="15"/>
        <v>-8.88375E-2</v>
      </c>
      <c r="J998" s="988">
        <v>39814</v>
      </c>
    </row>
    <row r="999" spans="1:10" ht="13.8">
      <c r="A999" s="987">
        <v>17</v>
      </c>
      <c r="B999" s="988">
        <v>39845</v>
      </c>
      <c r="C999" s="987" t="s">
        <v>4630</v>
      </c>
      <c r="F999" s="990">
        <v>-0.1065</v>
      </c>
      <c r="H999" s="993">
        <v>4.7041666666666655E-3</v>
      </c>
      <c r="I999" s="986">
        <f t="shared" si="15"/>
        <v>-0.11120416666666666</v>
      </c>
      <c r="J999" s="988">
        <v>39845</v>
      </c>
    </row>
    <row r="1000" spans="1:10" ht="13.8">
      <c r="A1000" s="987">
        <v>17</v>
      </c>
      <c r="B1000" s="988">
        <v>39873</v>
      </c>
      <c r="C1000" s="987" t="s">
        <v>4630</v>
      </c>
      <c r="F1000" s="990">
        <v>8.7599999999999997E-2</v>
      </c>
      <c r="H1000" s="993">
        <v>4.8374999999999998E-3</v>
      </c>
      <c r="I1000" s="986">
        <f t="shared" si="15"/>
        <v>8.2762500000000003E-2</v>
      </c>
      <c r="J1000" s="988">
        <v>39873</v>
      </c>
    </row>
    <row r="1001" spans="1:10" ht="13.8">
      <c r="A1001" s="987">
        <v>17</v>
      </c>
      <c r="B1001" s="988">
        <v>39904</v>
      </c>
      <c r="C1001" s="987" t="s">
        <v>4630</v>
      </c>
      <c r="F1001" s="990">
        <v>9.5699999999999993E-2</v>
      </c>
      <c r="H1001" s="993">
        <v>4.816666666666667E-3</v>
      </c>
      <c r="I1001" s="986">
        <f t="shared" si="15"/>
        <v>9.088333333333333E-2</v>
      </c>
      <c r="J1001" s="988">
        <v>39904</v>
      </c>
    </row>
    <row r="1002" spans="1:10" ht="13.8">
      <c r="A1002" s="987">
        <v>17</v>
      </c>
      <c r="B1002" s="988">
        <v>39934</v>
      </c>
      <c r="C1002" s="987" t="s">
        <v>4630</v>
      </c>
      <c r="F1002" s="990">
        <v>5.5899999999999998E-2</v>
      </c>
      <c r="H1002" s="993">
        <v>4.9083333333333331E-3</v>
      </c>
      <c r="I1002" s="986">
        <f t="shared" si="15"/>
        <v>5.0991666666666664E-2</v>
      </c>
      <c r="J1002" s="988">
        <v>39934</v>
      </c>
    </row>
    <row r="1003" spans="1:10" ht="13.8">
      <c r="A1003" s="987">
        <v>17</v>
      </c>
      <c r="B1003" s="988">
        <v>39965</v>
      </c>
      <c r="C1003" s="987" t="s">
        <v>4630</v>
      </c>
      <c r="F1003" s="990">
        <v>2E-3</v>
      </c>
      <c r="H1003" s="993">
        <v>4.8875000000000004E-3</v>
      </c>
      <c r="I1003" s="986">
        <f t="shared" si="15"/>
        <v>-2.8875000000000003E-3</v>
      </c>
      <c r="J1003" s="988">
        <v>39965</v>
      </c>
    </row>
    <row r="1004" spans="1:10" ht="13.8">
      <c r="A1004" s="987">
        <v>17</v>
      </c>
      <c r="B1004" s="988">
        <v>39995</v>
      </c>
      <c r="C1004" s="987" t="s">
        <v>4630</v>
      </c>
      <c r="F1004" s="990">
        <v>7.5600000000000001E-2</v>
      </c>
      <c r="H1004" s="993">
        <v>4.6333333333333339E-3</v>
      </c>
      <c r="I1004" s="986">
        <f t="shared" si="15"/>
        <v>7.0966666666666664E-2</v>
      </c>
      <c r="J1004" s="988">
        <v>39995</v>
      </c>
    </row>
    <row r="1005" spans="1:10" ht="13.8">
      <c r="A1005" s="987">
        <v>17</v>
      </c>
      <c r="B1005" s="988">
        <v>40026</v>
      </c>
      <c r="C1005" s="987" t="s">
        <v>4630</v>
      </c>
      <c r="F1005" s="990">
        <v>3.61E-2</v>
      </c>
      <c r="H1005" s="993">
        <v>4.4624999999999995E-3</v>
      </c>
      <c r="I1005" s="986">
        <f t="shared" si="15"/>
        <v>3.1637499999999999E-2</v>
      </c>
      <c r="J1005" s="988">
        <v>40026</v>
      </c>
    </row>
    <row r="1006" spans="1:10" ht="13.8">
      <c r="A1006" s="987">
        <v>17</v>
      </c>
      <c r="B1006" s="988">
        <v>40057</v>
      </c>
      <c r="C1006" s="987" t="s">
        <v>4630</v>
      </c>
      <c r="F1006" s="990">
        <v>3.73E-2</v>
      </c>
      <c r="H1006" s="993">
        <v>4.3083333333333333E-3</v>
      </c>
      <c r="I1006" s="986">
        <f t="shared" si="15"/>
        <v>3.2991666666666669E-2</v>
      </c>
      <c r="J1006" s="988">
        <v>40057</v>
      </c>
    </row>
    <row r="1007" spans="1:10" ht="13.8">
      <c r="A1007" s="987">
        <v>17</v>
      </c>
      <c r="B1007" s="988">
        <v>40087</v>
      </c>
      <c r="C1007" s="987" t="s">
        <v>4630</v>
      </c>
      <c r="F1007" s="990">
        <v>-1.8599999999999998E-2</v>
      </c>
      <c r="H1007" s="993">
        <v>4.3291666666666669E-3</v>
      </c>
      <c r="I1007" s="986">
        <f t="shared" si="15"/>
        <v>-2.2929166666666667E-2</v>
      </c>
      <c r="J1007" s="988">
        <v>40087</v>
      </c>
    </row>
    <row r="1008" spans="1:10" ht="13.8">
      <c r="A1008" s="987">
        <v>17</v>
      </c>
      <c r="B1008" s="988">
        <v>40118</v>
      </c>
      <c r="C1008" s="987" t="s">
        <v>4630</v>
      </c>
      <c r="F1008" s="990">
        <v>0.06</v>
      </c>
      <c r="H1008" s="993">
        <v>4.3666666666666671E-3</v>
      </c>
      <c r="I1008" s="986">
        <f t="shared" si="15"/>
        <v>5.5633333333333333E-2</v>
      </c>
      <c r="J1008" s="988">
        <v>40118</v>
      </c>
    </row>
    <row r="1009" spans="1:10" ht="13.8">
      <c r="A1009" s="987">
        <v>17</v>
      </c>
      <c r="B1009" s="988">
        <v>40148</v>
      </c>
      <c r="C1009" s="987" t="s">
        <v>4630</v>
      </c>
      <c r="F1009" s="990">
        <v>1.9300000000000001E-2</v>
      </c>
      <c r="H1009" s="993">
        <v>4.4583333333333332E-3</v>
      </c>
      <c r="I1009" s="986">
        <f t="shared" si="15"/>
        <v>1.4841666666666668E-2</v>
      </c>
      <c r="J1009" s="988">
        <v>40148</v>
      </c>
    </row>
    <row r="1010" spans="1:10" ht="13.8">
      <c r="A1010" s="987">
        <v>17</v>
      </c>
      <c r="B1010" s="988">
        <v>40179</v>
      </c>
      <c r="C1010" s="987" t="s">
        <v>4630</v>
      </c>
      <c r="F1010" s="990">
        <v>-3.5999999999999997E-2</v>
      </c>
      <c r="H1010" s="993">
        <v>4.4833333333333331E-3</v>
      </c>
      <c r="I1010" s="986">
        <f t="shared" si="15"/>
        <v>-4.048333333333333E-2</v>
      </c>
      <c r="J1010" s="988">
        <v>40179</v>
      </c>
    </row>
    <row r="1011" spans="1:10" ht="13.8">
      <c r="A1011" s="987">
        <v>17</v>
      </c>
      <c r="B1011" s="988">
        <v>40210</v>
      </c>
      <c r="C1011" s="987" t="s">
        <v>4630</v>
      </c>
      <c r="F1011" s="990">
        <v>3.1E-2</v>
      </c>
      <c r="H1011" s="993">
        <v>4.570833333333333E-3</v>
      </c>
      <c r="I1011" s="986">
        <f t="shared" si="15"/>
        <v>2.6429166666666667E-2</v>
      </c>
      <c r="J1011" s="988">
        <v>40210</v>
      </c>
    </row>
    <row r="1012" spans="1:10" ht="13.8">
      <c r="A1012" s="987">
        <v>17</v>
      </c>
      <c r="B1012" s="988">
        <v>40238</v>
      </c>
      <c r="C1012" s="987" t="s">
        <v>4630</v>
      </c>
      <c r="F1012" s="990">
        <v>6.0299999999999999E-2</v>
      </c>
      <c r="H1012" s="993">
        <v>4.5166666666666662E-3</v>
      </c>
      <c r="I1012" s="986">
        <f t="shared" si="15"/>
        <v>5.5783333333333331E-2</v>
      </c>
      <c r="J1012" s="988">
        <v>40238</v>
      </c>
    </row>
    <row r="1013" spans="1:10" ht="13.8">
      <c r="A1013" s="987">
        <v>17</v>
      </c>
      <c r="B1013" s="988">
        <v>40269</v>
      </c>
      <c r="C1013" s="987" t="s">
        <v>4630</v>
      </c>
      <c r="F1013" s="990">
        <v>1.5800000000000002E-2</v>
      </c>
      <c r="H1013" s="993">
        <v>4.5250000000000004E-3</v>
      </c>
      <c r="I1013" s="986">
        <f t="shared" si="15"/>
        <v>1.1275E-2</v>
      </c>
      <c r="J1013" s="988">
        <v>40269</v>
      </c>
    </row>
    <row r="1014" spans="1:10" ht="13.8">
      <c r="A1014" s="987">
        <v>17</v>
      </c>
      <c r="B1014" s="988">
        <v>40299</v>
      </c>
      <c r="C1014" s="987" t="s">
        <v>4630</v>
      </c>
      <c r="F1014" s="990">
        <v>-7.9899999999999999E-2</v>
      </c>
      <c r="H1014" s="993">
        <v>4.2541666666666665E-3</v>
      </c>
      <c r="I1014" s="986">
        <f t="shared" si="15"/>
        <v>-8.4154166666666669E-2</v>
      </c>
      <c r="J1014" s="988">
        <v>40299</v>
      </c>
    </row>
    <row r="1015" spans="1:10" ht="13.8">
      <c r="A1015" s="987">
        <v>17</v>
      </c>
      <c r="B1015" s="988">
        <v>40330</v>
      </c>
      <c r="C1015" s="987" t="s">
        <v>4630</v>
      </c>
      <c r="F1015" s="990">
        <v>-5.2299999999999999E-2</v>
      </c>
      <c r="H1015" s="993">
        <v>4.1833333333333332E-3</v>
      </c>
      <c r="I1015" s="986">
        <f t="shared" si="15"/>
        <v>-5.648333333333333E-2</v>
      </c>
      <c r="J1015" s="988">
        <v>40330</v>
      </c>
    </row>
    <row r="1016" spans="1:10" ht="13.8">
      <c r="A1016" s="987">
        <v>17</v>
      </c>
      <c r="B1016" s="988">
        <v>40360</v>
      </c>
      <c r="C1016" s="987" t="s">
        <v>4630</v>
      </c>
      <c r="F1016" s="990">
        <v>7.0699999999999999E-2</v>
      </c>
      <c r="H1016" s="993">
        <v>4.0333333333333332E-3</v>
      </c>
      <c r="I1016" s="986">
        <f t="shared" si="15"/>
        <v>6.6666666666666666E-2</v>
      </c>
      <c r="J1016" s="988">
        <v>40360</v>
      </c>
    </row>
    <row r="1017" spans="1:10" ht="13.8">
      <c r="A1017" s="987">
        <v>17</v>
      </c>
      <c r="B1017" s="988">
        <v>40391</v>
      </c>
      <c r="C1017" s="987" t="s">
        <v>4630</v>
      </c>
      <c r="F1017" s="990">
        <v>-4.5100000000000001E-2</v>
      </c>
      <c r="H1017" s="993">
        <v>3.8375000000000002E-3</v>
      </c>
      <c r="I1017" s="986">
        <f t="shared" si="15"/>
        <v>-4.8937500000000002E-2</v>
      </c>
      <c r="J1017" s="988">
        <v>40391</v>
      </c>
    </row>
    <row r="1018" spans="1:10" ht="13.8">
      <c r="A1018" s="987">
        <v>17</v>
      </c>
      <c r="B1018" s="988">
        <v>40422</v>
      </c>
      <c r="C1018" s="987" t="s">
        <v>4630</v>
      </c>
      <c r="F1018" s="990">
        <v>8.9200000000000002E-2</v>
      </c>
      <c r="H1018" s="993">
        <v>3.8541666666666663E-3</v>
      </c>
      <c r="I1018" s="986">
        <f t="shared" si="15"/>
        <v>8.5345833333333329E-2</v>
      </c>
      <c r="J1018" s="988">
        <v>40422</v>
      </c>
    </row>
    <row r="1019" spans="1:10" ht="13.8">
      <c r="A1019" s="987">
        <v>17</v>
      </c>
      <c r="B1019" s="988">
        <v>40452</v>
      </c>
      <c r="C1019" s="987" t="s">
        <v>4630</v>
      </c>
      <c r="F1019" s="990">
        <v>3.7999999999999999E-2</v>
      </c>
      <c r="H1019" s="993">
        <v>3.9624999999999999E-3</v>
      </c>
      <c r="I1019" s="986">
        <f t="shared" si="15"/>
        <v>3.4037499999999998E-2</v>
      </c>
      <c r="J1019" s="988">
        <v>40452</v>
      </c>
    </row>
    <row r="1020" spans="1:10" ht="13.8">
      <c r="A1020" s="987">
        <v>17</v>
      </c>
      <c r="B1020" s="988">
        <v>40483</v>
      </c>
      <c r="C1020" s="987" t="s">
        <v>4630</v>
      </c>
      <c r="F1020" s="990">
        <v>1E-4</v>
      </c>
      <c r="H1020" s="993">
        <v>4.1416666666666668E-3</v>
      </c>
      <c r="I1020" s="986">
        <f t="shared" si="15"/>
        <v>-4.0416666666666665E-3</v>
      </c>
      <c r="J1020" s="988">
        <v>40483</v>
      </c>
    </row>
    <row r="1021" spans="1:10" ht="13.8">
      <c r="A1021" s="987">
        <v>17</v>
      </c>
      <c r="B1021" s="988">
        <v>40513</v>
      </c>
      <c r="C1021" s="987" t="s">
        <v>4630</v>
      </c>
      <c r="F1021" s="990">
        <v>6.6799999999999998E-2</v>
      </c>
      <c r="H1021" s="993">
        <v>4.2833333333333326E-3</v>
      </c>
      <c r="I1021" s="986">
        <f t="shared" si="15"/>
        <v>6.2516666666666665E-2</v>
      </c>
      <c r="J1021" s="988">
        <v>40513</v>
      </c>
    </row>
    <row r="1022" spans="1:10">
      <c r="A1022" s="987">
        <v>17</v>
      </c>
      <c r="B1022" s="988">
        <v>40544</v>
      </c>
      <c r="C1022" s="987" t="s">
        <v>4630</v>
      </c>
      <c r="F1022" s="989">
        <v>2.3699999999999999E-2</v>
      </c>
      <c r="H1022" s="993">
        <v>4.2916666666666667E-3</v>
      </c>
      <c r="I1022" s="986">
        <f t="shared" si="15"/>
        <v>1.9408333333333333E-2</v>
      </c>
      <c r="J1022" s="988">
        <v>40544</v>
      </c>
    </row>
    <row r="1023" spans="1:10">
      <c r="A1023" s="987">
        <v>17</v>
      </c>
      <c r="B1023" s="988">
        <v>40575</v>
      </c>
      <c r="C1023" s="987" t="s">
        <v>4630</v>
      </c>
      <c r="F1023" s="989">
        <v>3.4299999999999997E-2</v>
      </c>
      <c r="H1023" s="993">
        <v>4.4125000000000006E-3</v>
      </c>
      <c r="I1023" s="986">
        <f t="shared" si="15"/>
        <v>2.9887499999999997E-2</v>
      </c>
      <c r="J1023" s="988">
        <v>40575</v>
      </c>
    </row>
    <row r="1024" spans="1:10">
      <c r="A1024" s="987">
        <v>17</v>
      </c>
      <c r="B1024" s="988">
        <v>40603</v>
      </c>
      <c r="C1024" s="987" t="s">
        <v>4630</v>
      </c>
      <c r="F1024" s="989">
        <v>4.0000000000000002E-4</v>
      </c>
      <c r="H1024" s="993">
        <v>4.3374999999999993E-3</v>
      </c>
      <c r="I1024" s="986">
        <f t="shared" si="15"/>
        <v>-3.9374999999999992E-3</v>
      </c>
      <c r="J1024" s="988">
        <v>40603</v>
      </c>
    </row>
    <row r="1025" spans="1:10">
      <c r="A1025" s="987">
        <v>17</v>
      </c>
      <c r="B1025" s="988">
        <v>40634</v>
      </c>
      <c r="C1025" s="987" t="s">
        <v>4630</v>
      </c>
      <c r="F1025" s="989">
        <v>2.9600000000000001E-2</v>
      </c>
      <c r="H1025" s="993">
        <v>4.3541666666666668E-3</v>
      </c>
      <c r="I1025" s="986">
        <f t="shared" si="15"/>
        <v>2.5245833333333335E-2</v>
      </c>
      <c r="J1025" s="988">
        <v>40634</v>
      </c>
    </row>
    <row r="1026" spans="1:10">
      <c r="A1026" s="987">
        <v>17</v>
      </c>
      <c r="B1026" s="988">
        <v>40664</v>
      </c>
      <c r="C1026" s="987" t="s">
        <v>4630</v>
      </c>
      <c r="F1026" s="989">
        <v>-1.1299999999999999E-2</v>
      </c>
      <c r="H1026" s="993">
        <v>4.1749999999999999E-3</v>
      </c>
      <c r="I1026" s="986">
        <f t="shared" si="15"/>
        <v>-1.5474999999999999E-2</v>
      </c>
      <c r="J1026" s="988">
        <v>40664</v>
      </c>
    </row>
    <row r="1027" spans="1:10">
      <c r="B1027" s="988">
        <v>40695</v>
      </c>
      <c r="C1027" s="987" t="s">
        <v>4630</v>
      </c>
      <c r="F1027" s="989">
        <v>-1.67E-2</v>
      </c>
      <c r="H1027" s="993">
        <v>4.179166666666667E-3</v>
      </c>
      <c r="I1027" s="986">
        <f t="shared" si="15"/>
        <v>-2.0879166666666667E-2</v>
      </c>
      <c r="J1027" s="988">
        <v>40695</v>
      </c>
    </row>
    <row r="1028" spans="1:10">
      <c r="B1028" s="988">
        <v>40725</v>
      </c>
      <c r="C1028" s="987" t="s">
        <v>4630</v>
      </c>
      <c r="F1028" s="989">
        <v>-2.0299999999999999E-2</v>
      </c>
      <c r="H1028" s="993">
        <v>4.15E-3</v>
      </c>
      <c r="I1028" s="986">
        <f t="shared" si="15"/>
        <v>-2.445E-2</v>
      </c>
      <c r="J1028" s="988">
        <v>40725</v>
      </c>
    </row>
    <row r="1029" spans="1:10">
      <c r="B1029" s="988">
        <v>40756</v>
      </c>
      <c r="C1029" s="987" t="s">
        <v>4630</v>
      </c>
      <c r="F1029" s="989">
        <v>-5.4300000000000001E-2</v>
      </c>
      <c r="H1029" s="993">
        <v>3.6833333333333336E-3</v>
      </c>
      <c r="I1029" s="986">
        <f t="shared" si="15"/>
        <v>-5.7983333333333331E-2</v>
      </c>
      <c r="J1029" s="988">
        <v>40756</v>
      </c>
    </row>
    <row r="1030" spans="1:10">
      <c r="B1030" s="988">
        <v>40787</v>
      </c>
      <c r="C1030" s="987" t="s">
        <v>4630</v>
      </c>
      <c r="F1030" s="989">
        <v>-7.0300000000000001E-2</v>
      </c>
      <c r="H1030" s="993">
        <v>3.4666666666666669E-3</v>
      </c>
      <c r="I1030" s="986">
        <f t="shared" si="15"/>
        <v>-7.3766666666666675E-2</v>
      </c>
      <c r="J1030" s="988">
        <v>40787</v>
      </c>
    </row>
    <row r="1031" spans="1:10">
      <c r="B1031" s="988">
        <v>40817</v>
      </c>
      <c r="C1031" s="987" t="s">
        <v>4630</v>
      </c>
      <c r="F1031" s="989">
        <v>0.10929999999999999</v>
      </c>
      <c r="H1031" s="993">
        <v>3.3916666666666665E-3</v>
      </c>
      <c r="I1031" s="986">
        <f t="shared" si="15"/>
        <v>0.10590833333333333</v>
      </c>
      <c r="J1031" s="988">
        <v>40817</v>
      </c>
    </row>
    <row r="1032" spans="1:10">
      <c r="B1032" s="988">
        <v>40848</v>
      </c>
      <c r="C1032" s="987" t="s">
        <v>4630</v>
      </c>
      <c r="F1032" s="989">
        <v>-2.2000000000000001E-3</v>
      </c>
      <c r="H1032" s="993">
        <v>3.2666666666666664E-3</v>
      </c>
      <c r="I1032" s="986">
        <f t="shared" si="15"/>
        <v>-5.4666666666666665E-3</v>
      </c>
      <c r="J1032" s="988">
        <v>40848</v>
      </c>
    </row>
    <row r="1033" spans="1:10">
      <c r="B1033" s="988">
        <v>40878</v>
      </c>
      <c r="C1033" s="987" t="s">
        <v>4630</v>
      </c>
      <c r="F1033" s="989">
        <v>1.0200000000000001E-2</v>
      </c>
      <c r="H1033" s="993">
        <v>3.3166666666666665E-3</v>
      </c>
      <c r="I1033" s="986">
        <f t="shared" si="15"/>
        <v>6.8833333333333342E-3</v>
      </c>
      <c r="J1033" s="988">
        <v>40878</v>
      </c>
    </row>
    <row r="1034" spans="1:10" ht="13.8">
      <c r="B1034" s="988">
        <v>40909</v>
      </c>
      <c r="C1034" s="987" t="s">
        <v>4630</v>
      </c>
      <c r="F1034" s="990">
        <v>4.48E-2</v>
      </c>
      <c r="H1034" s="993">
        <v>3.3416666666666668E-3</v>
      </c>
      <c r="I1034" s="986">
        <f t="shared" si="15"/>
        <v>4.1458333333333333E-2</v>
      </c>
      <c r="J1034" s="988">
        <v>40909</v>
      </c>
    </row>
    <row r="1035" spans="1:10" ht="13.8">
      <c r="B1035" s="988">
        <v>40940</v>
      </c>
      <c r="C1035" s="987" t="s">
        <v>4630</v>
      </c>
      <c r="F1035" s="990">
        <v>4.3200000000000002E-2</v>
      </c>
      <c r="H1035" s="993">
        <v>3.3250000000000003E-3</v>
      </c>
      <c r="I1035" s="986">
        <f t="shared" si="15"/>
        <v>3.9875000000000001E-2</v>
      </c>
      <c r="J1035" s="988">
        <v>40940</v>
      </c>
    </row>
    <row r="1036" spans="1:10" ht="13.8">
      <c r="B1036" s="988">
        <v>40969</v>
      </c>
      <c r="C1036" s="987" t="s">
        <v>4630</v>
      </c>
      <c r="F1036" s="990">
        <v>3.2899999999999999E-2</v>
      </c>
      <c r="H1036" s="992">
        <v>3.3874999999999999E-3</v>
      </c>
      <c r="I1036" s="986">
        <f t="shared" si="15"/>
        <v>2.9512499999999997E-2</v>
      </c>
      <c r="J1036" s="988">
        <v>40969</v>
      </c>
    </row>
    <row r="1037" spans="1:10" ht="13.8">
      <c r="B1037" s="988">
        <v>41000</v>
      </c>
      <c r="C1037" s="987" t="s">
        <v>4630</v>
      </c>
      <c r="F1037" s="990">
        <v>-6.3E-3</v>
      </c>
      <c r="H1037" s="992">
        <v>3.3500000000000005E-3</v>
      </c>
      <c r="I1037" s="986">
        <f t="shared" si="15"/>
        <v>-9.6500000000000006E-3</v>
      </c>
      <c r="J1037" s="988">
        <v>41000</v>
      </c>
    </row>
    <row r="1038" spans="1:10" ht="13.8">
      <c r="B1038" s="988">
        <v>41030</v>
      </c>
      <c r="C1038" s="987" t="s">
        <v>4630</v>
      </c>
      <c r="F1038" s="990">
        <v>-6.0100000000000001E-2</v>
      </c>
      <c r="H1038" s="992">
        <v>3.2125000000000001E-3</v>
      </c>
      <c r="I1038" s="986">
        <f t="shared" si="15"/>
        <v>-6.3312499999999994E-2</v>
      </c>
      <c r="J1038" s="988">
        <v>41030</v>
      </c>
    </row>
    <row r="1039" spans="1:10" ht="13.8">
      <c r="B1039" s="988">
        <v>41061</v>
      </c>
      <c r="C1039" s="987" t="s">
        <v>4630</v>
      </c>
      <c r="F1039" s="990">
        <v>4.1200000000000001E-2</v>
      </c>
      <c r="H1039" s="992">
        <v>3.091666666666667E-3</v>
      </c>
      <c r="I1039" s="986">
        <f t="shared" si="15"/>
        <v>3.8108333333333334E-2</v>
      </c>
      <c r="J1039" s="988">
        <v>41061</v>
      </c>
    </row>
    <row r="1040" spans="1:10" ht="13.8">
      <c r="B1040" s="988">
        <v>41091</v>
      </c>
      <c r="C1040" s="987" t="s">
        <v>4630</v>
      </c>
      <c r="F1040" s="990">
        <v>1.3899999999999999E-2</v>
      </c>
      <c r="H1040" s="987">
        <v>2.8916666666666665E-3</v>
      </c>
      <c r="I1040" s="986">
        <f t="shared" si="15"/>
        <v>1.1008333333333332E-2</v>
      </c>
      <c r="J1040" s="988">
        <v>41091</v>
      </c>
    </row>
    <row r="1041" spans="2:10" ht="13.8">
      <c r="B1041" s="988">
        <v>41122</v>
      </c>
      <c r="C1041" s="987" t="s">
        <v>4630</v>
      </c>
      <c r="F1041" s="990">
        <v>2.2499999999999999E-2</v>
      </c>
      <c r="H1041" s="987">
        <v>2.9541666666666666E-3</v>
      </c>
      <c r="I1041" s="986">
        <f t="shared" si="15"/>
        <v>1.9545833333333332E-2</v>
      </c>
      <c r="J1041" s="988">
        <v>41122</v>
      </c>
    </row>
    <row r="1042" spans="2:10" ht="13.8">
      <c r="B1042" s="988">
        <v>41153</v>
      </c>
      <c r="C1042" s="987" t="s">
        <v>4630</v>
      </c>
      <c r="F1042" s="990">
        <v>2.58E-2</v>
      </c>
      <c r="H1042" s="987">
        <v>2.9875000000000001E-3</v>
      </c>
      <c r="I1042" s="986">
        <f t="shared" si="15"/>
        <v>2.2812499999999999E-2</v>
      </c>
      <c r="J1042" s="988">
        <v>41153</v>
      </c>
    </row>
    <row r="1043" spans="2:10" ht="13.8">
      <c r="B1043" s="988">
        <v>41183</v>
      </c>
      <c r="C1043" s="987" t="s">
        <v>4630</v>
      </c>
      <c r="F1043" s="990">
        <v>-1.8499999999999999E-2</v>
      </c>
      <c r="H1043" s="987">
        <v>2.9583333333333336E-3</v>
      </c>
      <c r="I1043" s="986">
        <f t="shared" si="15"/>
        <v>-2.1458333333333333E-2</v>
      </c>
      <c r="J1043" s="988">
        <v>41183</v>
      </c>
    </row>
    <row r="1044" spans="2:10" ht="13.8">
      <c r="B1044" s="988">
        <v>41214</v>
      </c>
      <c r="C1044" s="987" t="s">
        <v>4630</v>
      </c>
      <c r="F1044" s="990">
        <v>5.7999999999999996E-3</v>
      </c>
      <c r="H1044" s="987">
        <v>2.9458333333333333E-3</v>
      </c>
      <c r="I1044" s="986">
        <f t="shared" si="15"/>
        <v>2.8541666666666663E-3</v>
      </c>
      <c r="J1044" s="988">
        <v>41214</v>
      </c>
    </row>
    <row r="1045" spans="2:10" ht="13.8">
      <c r="B1045" s="988">
        <v>41244</v>
      </c>
      <c r="C1045" s="987" t="s">
        <v>4630</v>
      </c>
      <c r="F1045" s="990">
        <v>9.1000000000000004E-3</v>
      </c>
      <c r="H1045" s="987">
        <v>3.0625000000000001E-3</v>
      </c>
      <c r="I1045" s="986">
        <f t="shared" si="15"/>
        <v>6.0375000000000003E-3</v>
      </c>
      <c r="J1045" s="988">
        <v>41244</v>
      </c>
    </row>
    <row r="1046" spans="2:10" ht="13.8">
      <c r="B1046" s="988">
        <v>41275</v>
      </c>
      <c r="C1046" s="987" t="s">
        <v>4630</v>
      </c>
      <c r="F1046" s="990">
        <v>5.1799999999999999E-2</v>
      </c>
      <c r="H1046" s="987">
        <v>3.1958333333333335E-3</v>
      </c>
      <c r="I1046" s="986">
        <f t="shared" si="15"/>
        <v>4.8604166666666664E-2</v>
      </c>
      <c r="J1046" s="988">
        <v>41275</v>
      </c>
    </row>
    <row r="1047" spans="2:10" ht="13.8">
      <c r="B1047" s="988">
        <v>41306</v>
      </c>
      <c r="C1047" s="987" t="s">
        <v>4630</v>
      </c>
      <c r="F1047" s="990">
        <v>1.3599999999999999E-2</v>
      </c>
      <c r="H1047" s="987">
        <v>3.2708333333333331E-3</v>
      </c>
      <c r="I1047" s="986">
        <f t="shared" si="15"/>
        <v>1.0329166666666667E-2</v>
      </c>
      <c r="J1047" s="988">
        <v>41306</v>
      </c>
    </row>
    <row r="1048" spans="2:10" ht="13.8">
      <c r="B1048" s="988">
        <v>41334</v>
      </c>
      <c r="C1048" s="987" t="s">
        <v>4630</v>
      </c>
      <c r="F1048" s="990">
        <v>3.7499999999999999E-2</v>
      </c>
      <c r="H1048" s="987">
        <v>3.1958333333333335E-3</v>
      </c>
      <c r="I1048" s="986">
        <f t="shared" si="15"/>
        <v>3.4304166666666663E-2</v>
      </c>
      <c r="J1048" s="988">
        <v>41334</v>
      </c>
    </row>
    <row r="1049" spans="2:10" ht="13.8">
      <c r="B1049" s="988">
        <v>41365</v>
      </c>
      <c r="C1049" s="987" t="s">
        <v>4630</v>
      </c>
      <c r="F1049" s="990">
        <v>1.9300000000000001E-2</v>
      </c>
      <c r="H1049" s="987">
        <v>3.1249999999999997E-3</v>
      </c>
      <c r="I1049" s="986">
        <f t="shared" si="15"/>
        <v>1.6175000000000002E-2</v>
      </c>
      <c r="J1049" s="988">
        <v>41365</v>
      </c>
    </row>
    <row r="1050" spans="2:10" ht="13.8">
      <c r="B1050" s="988">
        <v>41395</v>
      </c>
      <c r="C1050" s="987" t="s">
        <v>4630</v>
      </c>
      <c r="F1050" s="990">
        <v>2.3400000000000001E-2</v>
      </c>
      <c r="H1050" s="987">
        <v>3.2624999999999998E-3</v>
      </c>
      <c r="I1050" s="986">
        <f t="shared" ref="I1050:I1113" si="16">F1050-H1050</f>
        <v>2.0137500000000003E-2</v>
      </c>
      <c r="J1050" s="988">
        <v>41395</v>
      </c>
    </row>
    <row r="1051" spans="2:10" ht="13.8">
      <c r="B1051" s="988">
        <v>41426</v>
      </c>
      <c r="C1051" s="987" t="s">
        <v>4630</v>
      </c>
      <c r="F1051" s="990">
        <v>-1.34E-2</v>
      </c>
      <c r="H1051" s="987">
        <v>3.5791666666666671E-3</v>
      </c>
      <c r="I1051" s="986">
        <f t="shared" si="16"/>
        <v>-1.6979166666666667E-2</v>
      </c>
      <c r="J1051" s="988">
        <v>41426</v>
      </c>
    </row>
    <row r="1052" spans="2:10" ht="13.8">
      <c r="B1052" s="988">
        <v>41456</v>
      </c>
      <c r="C1052" s="987" t="s">
        <v>4630</v>
      </c>
      <c r="F1052" s="990">
        <v>5.0900000000000001E-2</v>
      </c>
      <c r="H1052" s="987">
        <v>3.666666666666667E-3</v>
      </c>
      <c r="I1052" s="986">
        <f t="shared" si="16"/>
        <v>4.7233333333333336E-2</v>
      </c>
      <c r="J1052" s="988">
        <v>41456</v>
      </c>
    </row>
    <row r="1053" spans="2:10" ht="13.8">
      <c r="B1053" s="988">
        <v>41487</v>
      </c>
      <c r="C1053" s="987" t="s">
        <v>4630</v>
      </c>
      <c r="F1053" s="990">
        <v>-2.9000000000000001E-2</v>
      </c>
      <c r="H1053" s="987">
        <v>3.8208333333333332E-3</v>
      </c>
      <c r="I1053" s="986">
        <f t="shared" si="16"/>
        <v>-3.2820833333333334E-2</v>
      </c>
      <c r="J1053" s="988">
        <v>41487</v>
      </c>
    </row>
    <row r="1054" spans="2:10" ht="13.8">
      <c r="B1054" s="988">
        <v>41518</v>
      </c>
      <c r="C1054" s="987" t="s">
        <v>4630</v>
      </c>
      <c r="F1054" s="990">
        <v>3.1399999999999997E-2</v>
      </c>
      <c r="H1054" s="987">
        <v>3.8874999999999995E-3</v>
      </c>
      <c r="I1054" s="986">
        <f t="shared" si="16"/>
        <v>2.7512499999999999E-2</v>
      </c>
      <c r="J1054" s="988">
        <v>41518</v>
      </c>
    </row>
    <row r="1055" spans="2:10" ht="13.8">
      <c r="B1055" s="988">
        <v>41548</v>
      </c>
      <c r="C1055" s="987" t="s">
        <v>4630</v>
      </c>
      <c r="F1055" s="990">
        <v>4.5999999999999999E-2</v>
      </c>
      <c r="H1055" s="987">
        <v>3.8000000000000004E-3</v>
      </c>
      <c r="I1055" s="986">
        <f t="shared" si="16"/>
        <v>4.2200000000000001E-2</v>
      </c>
      <c r="J1055" s="988">
        <v>41548</v>
      </c>
    </row>
    <row r="1056" spans="2:10" ht="13.8">
      <c r="B1056" s="988">
        <v>41579</v>
      </c>
      <c r="C1056" s="987" t="s">
        <v>4630</v>
      </c>
      <c r="F1056" s="990">
        <v>3.0499999999999999E-2</v>
      </c>
      <c r="H1056" s="987">
        <v>3.875E-3</v>
      </c>
      <c r="I1056" s="986">
        <f t="shared" si="16"/>
        <v>2.6624999999999999E-2</v>
      </c>
      <c r="J1056" s="988">
        <v>41579</v>
      </c>
    </row>
    <row r="1057" spans="2:10" ht="13.8">
      <c r="B1057" s="988">
        <v>41609</v>
      </c>
      <c r="C1057" s="987" t="s">
        <v>4630</v>
      </c>
      <c r="F1057" s="990">
        <v>2.53E-2</v>
      </c>
      <c r="H1057" s="987">
        <v>3.875E-3</v>
      </c>
      <c r="I1057" s="986">
        <f t="shared" si="16"/>
        <v>2.1425E-2</v>
      </c>
      <c r="J1057" s="988">
        <v>41609</v>
      </c>
    </row>
    <row r="1058" spans="2:10" ht="13.8">
      <c r="B1058" s="988">
        <v>41640</v>
      </c>
      <c r="C1058" s="987" t="s">
        <v>4630</v>
      </c>
      <c r="F1058" s="990">
        <v>-3.4599999999999999E-2</v>
      </c>
      <c r="H1058" s="987">
        <v>3.7583333333333336E-3</v>
      </c>
      <c r="I1058" s="986">
        <f t="shared" si="16"/>
        <v>-3.8358333333333335E-2</v>
      </c>
      <c r="J1058" s="988">
        <v>41640</v>
      </c>
    </row>
    <row r="1059" spans="2:10" ht="13.8">
      <c r="B1059" s="988">
        <v>41671</v>
      </c>
      <c r="C1059" s="987" t="s">
        <v>4630</v>
      </c>
      <c r="F1059" s="990">
        <v>4.5699999999999998E-2</v>
      </c>
      <c r="H1059" s="987">
        <v>3.7124999999999997E-3</v>
      </c>
      <c r="I1059" s="986">
        <f t="shared" si="16"/>
        <v>4.1987499999999997E-2</v>
      </c>
      <c r="J1059" s="988">
        <v>41671</v>
      </c>
    </row>
    <row r="1060" spans="2:10" ht="13.8">
      <c r="B1060" s="988">
        <v>41699</v>
      </c>
      <c r="C1060" s="987" t="s">
        <v>4630</v>
      </c>
      <c r="F1060" s="990">
        <v>8.3999999999999995E-3</v>
      </c>
      <c r="H1060" s="987">
        <v>3.6750000000000003E-3</v>
      </c>
      <c r="I1060" s="986">
        <f t="shared" si="16"/>
        <v>4.7249999999999992E-3</v>
      </c>
      <c r="J1060" s="988">
        <v>41699</v>
      </c>
    </row>
    <row r="1061" spans="2:10" ht="13.8">
      <c r="B1061" s="988">
        <v>41730</v>
      </c>
      <c r="C1061" s="987" t="s">
        <v>4630</v>
      </c>
      <c r="F1061" s="990">
        <v>7.4000000000000003E-3</v>
      </c>
      <c r="H1061" s="987">
        <v>3.570833333333333E-3</v>
      </c>
      <c r="I1061" s="986">
        <f t="shared" si="16"/>
        <v>3.8291666666666673E-3</v>
      </c>
      <c r="J1061" s="988">
        <v>41730</v>
      </c>
    </row>
    <row r="1062" spans="2:10" ht="13.8">
      <c r="B1062" s="988">
        <v>41760</v>
      </c>
      <c r="C1062" s="987" t="s">
        <v>4630</v>
      </c>
      <c r="F1062" s="990">
        <v>2.35E-2</v>
      </c>
      <c r="H1062" s="987">
        <v>3.4833333333333331E-3</v>
      </c>
      <c r="I1062" s="986">
        <f t="shared" si="16"/>
        <v>2.0016666666666669E-2</v>
      </c>
      <c r="J1062" s="988">
        <v>41760</v>
      </c>
    </row>
    <row r="1063" spans="2:10" ht="13.8">
      <c r="B1063" s="988">
        <v>41791</v>
      </c>
      <c r="C1063" s="987" t="s">
        <v>4630</v>
      </c>
      <c r="F1063" s="990">
        <v>2.07E-2</v>
      </c>
      <c r="H1063" s="987">
        <v>3.5458333333333331E-3</v>
      </c>
      <c r="I1063" s="986">
        <f t="shared" si="16"/>
        <v>1.7154166666666665E-2</v>
      </c>
      <c r="J1063" s="988">
        <v>41791</v>
      </c>
    </row>
    <row r="1064" spans="2:10" ht="13.8">
      <c r="B1064" s="988">
        <v>41821</v>
      </c>
      <c r="C1064" s="987" t="s">
        <v>4630</v>
      </c>
      <c r="F1064" s="990">
        <v>-1.38E-2</v>
      </c>
      <c r="H1064" s="987">
        <v>3.4833333333333331E-3</v>
      </c>
      <c r="I1064" s="986">
        <f t="shared" si="16"/>
        <v>-1.7283333333333331E-2</v>
      </c>
      <c r="J1064" s="988">
        <v>41821</v>
      </c>
    </row>
    <row r="1065" spans="2:10" ht="13.8">
      <c r="B1065" s="988">
        <v>41852</v>
      </c>
      <c r="C1065" s="987" t="s">
        <v>4630</v>
      </c>
      <c r="F1065" s="990">
        <v>0.04</v>
      </c>
      <c r="H1065" s="987">
        <v>3.4083333333333335E-3</v>
      </c>
      <c r="I1065" s="986">
        <f t="shared" si="16"/>
        <v>3.6591666666666668E-2</v>
      </c>
      <c r="J1065" s="988">
        <v>41852</v>
      </c>
    </row>
    <row r="1066" spans="2:10" ht="13.8">
      <c r="B1066" s="988">
        <v>41883</v>
      </c>
      <c r="C1066" s="987" t="s">
        <v>4630</v>
      </c>
      <c r="F1066" s="990">
        <v>-1.4E-2</v>
      </c>
      <c r="H1066" s="987">
        <v>3.4583333333333332E-3</v>
      </c>
      <c r="I1066" s="986">
        <f t="shared" si="16"/>
        <v>-1.7458333333333333E-2</v>
      </c>
      <c r="J1066" s="988">
        <v>41883</v>
      </c>
    </row>
    <row r="1067" spans="2:10" ht="13.8">
      <c r="B1067" s="988">
        <v>41913</v>
      </c>
      <c r="C1067" s="987" t="s">
        <v>4630</v>
      </c>
      <c r="F1067" s="990">
        <v>2.4400000000000002E-2</v>
      </c>
      <c r="H1067" s="987">
        <v>3.2958333333333329E-3</v>
      </c>
      <c r="I1067" s="986">
        <f t="shared" si="16"/>
        <v>2.1104166666666667E-2</v>
      </c>
      <c r="J1067" s="988">
        <v>41913</v>
      </c>
    </row>
    <row r="1068" spans="2:10" ht="13.8">
      <c r="B1068" s="988">
        <v>41944</v>
      </c>
      <c r="C1068" s="987" t="s">
        <v>4630</v>
      </c>
      <c r="F1068" s="990">
        <v>2.69E-2</v>
      </c>
      <c r="H1068" s="987">
        <v>3.3166666666666665E-3</v>
      </c>
      <c r="I1068" s="986">
        <f t="shared" si="16"/>
        <v>2.3583333333333335E-2</v>
      </c>
      <c r="J1068" s="988">
        <v>41944</v>
      </c>
    </row>
    <row r="1069" spans="2:10" ht="13.8">
      <c r="B1069" s="988">
        <v>41974</v>
      </c>
      <c r="C1069" s="987" t="s">
        <v>4630</v>
      </c>
      <c r="F1069" s="990">
        <v>-2.5000000000000001E-3</v>
      </c>
      <c r="H1069" s="987">
        <v>3.2000000000000002E-3</v>
      </c>
      <c r="I1069" s="986">
        <f t="shared" si="16"/>
        <v>-5.7000000000000002E-3</v>
      </c>
      <c r="J1069" s="988">
        <v>41974</v>
      </c>
    </row>
    <row r="1070" spans="2:10" ht="13.8">
      <c r="B1070" s="988">
        <v>42005</v>
      </c>
      <c r="C1070" s="987" t="s">
        <v>4630</v>
      </c>
      <c r="F1070" s="990">
        <v>-0.03</v>
      </c>
      <c r="H1070" s="987">
        <v>2.9166666666666664E-3</v>
      </c>
      <c r="I1070" s="986">
        <f t="shared" si="16"/>
        <v>-3.2916666666666664E-2</v>
      </c>
      <c r="J1070" s="988">
        <v>42005</v>
      </c>
    </row>
    <row r="1071" spans="2:10" ht="13.8">
      <c r="B1071" s="988">
        <v>42036</v>
      </c>
      <c r="C1071" s="987" t="s">
        <v>4630</v>
      </c>
      <c r="F1071" s="990">
        <v>5.7500000000000002E-2</v>
      </c>
      <c r="H1071" s="987">
        <v>3.0208333333333337E-3</v>
      </c>
      <c r="I1071" s="986">
        <f t="shared" si="16"/>
        <v>5.4479166666666669E-2</v>
      </c>
      <c r="J1071" s="988">
        <v>42036</v>
      </c>
    </row>
    <row r="1072" spans="2:10" ht="13.8">
      <c r="B1072" s="988">
        <v>42064</v>
      </c>
      <c r="C1072" s="987" t="s">
        <v>4630</v>
      </c>
      <c r="F1072" s="990">
        <v>-1.5800000000000002E-2</v>
      </c>
      <c r="H1072" s="987">
        <v>3.0583333333333335E-3</v>
      </c>
      <c r="I1072" s="986">
        <f t="shared" si="16"/>
        <v>-1.8858333333333335E-2</v>
      </c>
      <c r="J1072" s="988">
        <v>42064</v>
      </c>
    </row>
    <row r="1073" spans="2:10" ht="13.8">
      <c r="B1073" s="988">
        <v>42095</v>
      </c>
      <c r="C1073" s="987" t="s">
        <v>4630</v>
      </c>
      <c r="F1073" s="990">
        <v>9.5999999999999992E-3</v>
      </c>
      <c r="H1073" s="987">
        <v>2.9833333333333335E-3</v>
      </c>
      <c r="I1073" s="986">
        <f t="shared" si="16"/>
        <v>6.6166666666666657E-3</v>
      </c>
      <c r="J1073" s="988">
        <v>42095</v>
      </c>
    </row>
    <row r="1074" spans="2:10" ht="13.8">
      <c r="B1074" s="988">
        <v>42125</v>
      </c>
      <c r="C1074" s="987" t="s">
        <v>4630</v>
      </c>
      <c r="F1074" s="990">
        <v>1.29E-2</v>
      </c>
      <c r="H1074" s="987">
        <v>3.3583333333333338E-3</v>
      </c>
      <c r="I1074" s="986">
        <f t="shared" si="16"/>
        <v>9.541666666666667E-3</v>
      </c>
      <c r="J1074" s="988">
        <v>42125</v>
      </c>
    </row>
    <row r="1075" spans="2:10" ht="13.8">
      <c r="B1075" s="988">
        <f t="shared" ref="B1075:B1138" si="17">DATE(YEAR(B1074),MONTH(B1074) + 1,1)</f>
        <v>42156</v>
      </c>
      <c r="C1075" s="987" t="str">
        <f t="shared" ref="C1075:C1138" si="18">C1074</f>
        <v>MKT Minus Aaa and Aa Avg</v>
      </c>
      <c r="F1075" s="990">
        <v>-1.9400000000000001E-2</v>
      </c>
      <c r="H1075" s="987">
        <v>3.5249999999999995E-3</v>
      </c>
      <c r="I1075" s="986">
        <f t="shared" si="16"/>
        <v>-2.2925000000000001E-2</v>
      </c>
      <c r="J1075" s="988">
        <f t="shared" ref="J1075:J1138" si="19">B1075</f>
        <v>42156</v>
      </c>
    </row>
    <row r="1076" spans="2:10" ht="13.8">
      <c r="B1076" s="988">
        <f t="shared" si="17"/>
        <v>42186</v>
      </c>
      <c r="C1076" s="987" t="str">
        <f t="shared" si="18"/>
        <v>MKT Minus Aaa and Aa Avg</v>
      </c>
      <c r="F1076" s="990">
        <v>2.1000000000000001E-2</v>
      </c>
      <c r="H1076" s="987">
        <v>3.5000000000000005E-3</v>
      </c>
      <c r="I1076" s="986">
        <f t="shared" si="16"/>
        <v>1.7500000000000002E-2</v>
      </c>
      <c r="J1076" s="988">
        <f t="shared" si="19"/>
        <v>42186</v>
      </c>
    </row>
    <row r="1077" spans="2:10" ht="13.8">
      <c r="B1077" s="988">
        <f t="shared" si="17"/>
        <v>42217</v>
      </c>
      <c r="C1077" s="987" t="str">
        <f t="shared" si="18"/>
        <v>MKT Minus Aaa and Aa Avg</v>
      </c>
      <c r="F1077" s="990">
        <v>-6.0299999999999999E-2</v>
      </c>
      <c r="H1077" s="987">
        <v>3.4041666666666665E-3</v>
      </c>
      <c r="I1077" s="986">
        <f t="shared" si="16"/>
        <v>-6.3704166666666673E-2</v>
      </c>
      <c r="J1077" s="988">
        <f t="shared" si="19"/>
        <v>42217</v>
      </c>
    </row>
    <row r="1078" spans="2:10" ht="13.8">
      <c r="B1078" s="988">
        <f t="shared" si="17"/>
        <v>42248</v>
      </c>
      <c r="C1078" s="987" t="str">
        <f t="shared" si="18"/>
        <v>MKT Minus Aaa and Aa Avg</v>
      </c>
      <c r="F1078" s="990">
        <v>-2.47E-2</v>
      </c>
      <c r="H1078" s="987">
        <v>3.4499999999999999E-3</v>
      </c>
      <c r="I1078" s="987">
        <f t="shared" si="16"/>
        <v>-2.8150000000000001E-2</v>
      </c>
      <c r="J1078" s="988">
        <f t="shared" si="19"/>
        <v>42248</v>
      </c>
    </row>
    <row r="1079" spans="2:10" ht="13.8">
      <c r="B1079" s="988">
        <f t="shared" si="17"/>
        <v>42278</v>
      </c>
      <c r="C1079" s="987" t="str">
        <f t="shared" si="18"/>
        <v>MKT Minus Aaa and Aa Avg</v>
      </c>
      <c r="F1079" s="990">
        <v>8.4400000000000003E-2</v>
      </c>
      <c r="H1079" s="987">
        <v>3.3583333333333334E-3</v>
      </c>
      <c r="I1079" s="987">
        <f t="shared" si="16"/>
        <v>8.1041666666666665E-2</v>
      </c>
      <c r="J1079" s="988">
        <f t="shared" si="19"/>
        <v>42278</v>
      </c>
    </row>
    <row r="1080" spans="2:10" ht="13.8">
      <c r="B1080" s="988">
        <f t="shared" si="17"/>
        <v>42309</v>
      </c>
      <c r="C1080" s="987" t="str">
        <f t="shared" si="18"/>
        <v>MKT Minus Aaa and Aa Avg</v>
      </c>
      <c r="F1080" s="990">
        <v>3.0000000000000001E-3</v>
      </c>
      <c r="H1080" s="987">
        <v>3.4458333333333333E-3</v>
      </c>
      <c r="I1080" s="987">
        <f t="shared" si="16"/>
        <v>-4.4583333333333324E-4</v>
      </c>
      <c r="J1080" s="988">
        <f t="shared" si="19"/>
        <v>42309</v>
      </c>
    </row>
    <row r="1081" spans="2:10" ht="13.8">
      <c r="B1081" s="988">
        <f t="shared" si="17"/>
        <v>42339</v>
      </c>
      <c r="C1081" s="987" t="str">
        <f t="shared" si="18"/>
        <v>MKT Minus Aaa and Aa Avg</v>
      </c>
      <c r="F1081" s="990">
        <v>-1.5800000000000002E-2</v>
      </c>
      <c r="H1081" s="987">
        <v>3.3874999999999999E-3</v>
      </c>
      <c r="I1081" s="987">
        <f t="shared" si="16"/>
        <v>-1.9187500000000003E-2</v>
      </c>
      <c r="J1081" s="988">
        <f t="shared" si="19"/>
        <v>42339</v>
      </c>
    </row>
    <row r="1082" spans="2:10" ht="13.8">
      <c r="B1082" s="988">
        <f t="shared" si="17"/>
        <v>42370</v>
      </c>
      <c r="C1082" s="987" t="str">
        <f t="shared" si="18"/>
        <v>MKT Minus Aaa and Aa Avg</v>
      </c>
      <c r="F1082" s="990">
        <v>-4.9599999999999998E-2</v>
      </c>
      <c r="H1082" s="987">
        <v>3.3833333333333332E-3</v>
      </c>
      <c r="I1082" s="987">
        <f t="shared" si="16"/>
        <v>-5.2983333333333334E-2</v>
      </c>
      <c r="J1082" s="988">
        <f t="shared" si="19"/>
        <v>42370</v>
      </c>
    </row>
    <row r="1083" spans="2:10" ht="13.8">
      <c r="B1083" s="988">
        <f t="shared" si="17"/>
        <v>42401</v>
      </c>
      <c r="C1083" s="987" t="str">
        <f t="shared" si="18"/>
        <v>MKT Minus Aaa and Aa Avg</v>
      </c>
      <c r="F1083" s="990">
        <v>-1.2999999999999999E-3</v>
      </c>
      <c r="H1083" s="987">
        <v>3.3083333333333333E-3</v>
      </c>
      <c r="I1083" s="987">
        <f t="shared" si="16"/>
        <v>-4.6083333333333332E-3</v>
      </c>
      <c r="J1083" s="988">
        <f t="shared" si="19"/>
        <v>42401</v>
      </c>
    </row>
    <row r="1084" spans="2:10" ht="13.8">
      <c r="B1084" s="988">
        <f t="shared" si="17"/>
        <v>42430</v>
      </c>
      <c r="C1084" s="987" t="str">
        <f t="shared" si="18"/>
        <v>MKT Minus Aaa and Aa Avg</v>
      </c>
      <c r="F1084" s="990">
        <v>6.7799999999999999E-2</v>
      </c>
      <c r="H1084" s="987">
        <v>3.2208333333333334E-3</v>
      </c>
      <c r="I1084" s="987">
        <f t="shared" si="16"/>
        <v>6.457916666666666E-2</v>
      </c>
      <c r="J1084" s="988">
        <f t="shared" si="19"/>
        <v>42430</v>
      </c>
    </row>
    <row r="1085" spans="2:10" ht="13.8">
      <c r="B1085" s="988">
        <f t="shared" si="17"/>
        <v>42461</v>
      </c>
      <c r="C1085" s="987" t="str">
        <f t="shared" si="18"/>
        <v>MKT Minus Aaa and Aa Avg</v>
      </c>
      <c r="F1085" s="990">
        <v>3.8999999999999998E-3</v>
      </c>
      <c r="H1085" s="987">
        <v>3.2208333333333334E-3</v>
      </c>
      <c r="I1085" s="987">
        <f t="shared" si="16"/>
        <v>6.7916666666666646E-4</v>
      </c>
      <c r="J1085" s="988">
        <f t="shared" si="19"/>
        <v>42461</v>
      </c>
    </row>
    <row r="1086" spans="2:10" ht="13.8">
      <c r="B1086" s="988">
        <f t="shared" si="17"/>
        <v>42491</v>
      </c>
      <c r="C1086" s="987" t="str">
        <f t="shared" si="18"/>
        <v>MKT Minus Aaa and Aa Avg</v>
      </c>
      <c r="F1086" s="990">
        <v>1.7999999999999999E-2</v>
      </c>
      <c r="H1086" s="987">
        <v>3.0625000000000001E-3</v>
      </c>
      <c r="I1086" s="987">
        <f t="shared" si="16"/>
        <v>1.4937499999999999E-2</v>
      </c>
      <c r="J1086" s="988">
        <f t="shared" si="19"/>
        <v>42491</v>
      </c>
    </row>
    <row r="1087" spans="2:10" ht="13.8">
      <c r="B1087" s="988">
        <f t="shared" si="17"/>
        <v>42522</v>
      </c>
      <c r="C1087" s="987" t="str">
        <f t="shared" si="18"/>
        <v>MKT Minus Aaa and Aa Avg</v>
      </c>
      <c r="F1087" s="990">
        <v>2.5999999999999999E-3</v>
      </c>
      <c r="H1087" s="987">
        <v>2.9583333333333336E-3</v>
      </c>
      <c r="I1087" s="987">
        <f t="shared" si="16"/>
        <v>-3.5833333333333377E-4</v>
      </c>
      <c r="J1087" s="988">
        <f t="shared" si="19"/>
        <v>42522</v>
      </c>
    </row>
    <row r="1088" spans="2:10" ht="13.8">
      <c r="B1088" s="988">
        <f t="shared" si="17"/>
        <v>42552</v>
      </c>
      <c r="C1088" s="987" t="str">
        <f t="shared" si="18"/>
        <v>MKT Minus Aaa and Aa Avg</v>
      </c>
      <c r="F1088" s="990">
        <v>3.6900000000000002E-2</v>
      </c>
      <c r="H1088" s="987">
        <v>2.7791666666666668E-3</v>
      </c>
      <c r="I1088" s="987">
        <f t="shared" si="16"/>
        <v>3.4120833333333336E-2</v>
      </c>
      <c r="J1088" s="988">
        <f t="shared" si="19"/>
        <v>42552</v>
      </c>
    </row>
    <row r="1089" spans="2:10" ht="13.8">
      <c r="B1089" s="988">
        <f t="shared" si="17"/>
        <v>42583</v>
      </c>
      <c r="C1089" s="987" t="str">
        <f t="shared" si="18"/>
        <v>MKT Minus Aaa and Aa Avg</v>
      </c>
      <c r="F1089" s="990">
        <v>1.4E-3</v>
      </c>
      <c r="H1089" s="987">
        <v>2.8083333333333333E-3</v>
      </c>
      <c r="I1089" s="987">
        <f t="shared" si="16"/>
        <v>-1.4083333333333333E-3</v>
      </c>
      <c r="J1089" s="988">
        <f t="shared" si="19"/>
        <v>42583</v>
      </c>
    </row>
    <row r="1090" spans="2:10" ht="13.8">
      <c r="B1090" s="988">
        <f t="shared" si="17"/>
        <v>42614</v>
      </c>
      <c r="C1090" s="987" t="str">
        <f t="shared" si="18"/>
        <v>MKT Minus Aaa and Aa Avg</v>
      </c>
      <c r="F1090" s="990">
        <v>2.0000000000000001E-4</v>
      </c>
      <c r="H1090" s="987">
        <v>2.879166666666667E-3</v>
      </c>
      <c r="I1090" s="987">
        <f t="shared" si="16"/>
        <v>-2.6791666666666669E-3</v>
      </c>
      <c r="J1090" s="988">
        <f t="shared" si="19"/>
        <v>42614</v>
      </c>
    </row>
    <row r="1091" spans="2:10" ht="13.8">
      <c r="B1091" s="988">
        <f t="shared" si="17"/>
        <v>42644</v>
      </c>
      <c r="C1091" s="987" t="str">
        <f t="shared" si="18"/>
        <v>MKT Minus Aaa and Aa Avg</v>
      </c>
      <c r="F1091" s="990">
        <v>-1.8200000000000001E-2</v>
      </c>
      <c r="H1091" s="987">
        <v>2.879166666666667E-3</v>
      </c>
      <c r="I1091" s="987">
        <f t="shared" si="16"/>
        <v>-2.107916666666667E-2</v>
      </c>
      <c r="J1091" s="988">
        <f t="shared" si="19"/>
        <v>42644</v>
      </c>
    </row>
    <row r="1092" spans="2:10" ht="13.8">
      <c r="B1092" s="988">
        <f t="shared" si="17"/>
        <v>42675</v>
      </c>
      <c r="C1092" s="987" t="str">
        <f t="shared" si="18"/>
        <v>MKT Minus Aaa and Aa Avg</v>
      </c>
      <c r="F1092" s="990">
        <v>3.6999999999999998E-2</v>
      </c>
      <c r="H1092" s="987">
        <v>3.2458333333333332E-3</v>
      </c>
      <c r="I1092" s="987">
        <f t="shared" si="16"/>
        <v>3.3754166666666668E-2</v>
      </c>
      <c r="J1092" s="988">
        <f t="shared" si="19"/>
        <v>42675</v>
      </c>
    </row>
    <row r="1093" spans="2:10" ht="13.8">
      <c r="B1093" s="988">
        <f t="shared" si="17"/>
        <v>42705</v>
      </c>
      <c r="C1093" s="987" t="str">
        <f t="shared" si="18"/>
        <v>MKT Minus Aaa and Aa Avg</v>
      </c>
      <c r="F1093" s="990">
        <v>1.9800000000000002E-2</v>
      </c>
      <c r="H1093" s="987">
        <v>3.4083333333333335E-3</v>
      </c>
      <c r="I1093" s="987">
        <f t="shared" si="16"/>
        <v>1.6391666666666669E-2</v>
      </c>
      <c r="J1093" s="988">
        <f t="shared" si="19"/>
        <v>42705</v>
      </c>
    </row>
    <row r="1094" spans="2:10" ht="13.8">
      <c r="B1094" s="988">
        <f t="shared" si="17"/>
        <v>42736</v>
      </c>
      <c r="C1094" s="987" t="str">
        <f t="shared" si="18"/>
        <v>MKT Minus Aaa and Aa Avg</v>
      </c>
      <c r="F1094" s="990">
        <v>1.9E-2</v>
      </c>
      <c r="H1094" s="987">
        <v>3.2916666666666667E-3</v>
      </c>
      <c r="I1094" s="987">
        <f t="shared" si="16"/>
        <v>1.5708333333333331E-2</v>
      </c>
      <c r="J1094" s="988">
        <f t="shared" si="19"/>
        <v>42736</v>
      </c>
    </row>
    <row r="1095" spans="2:10" ht="13.8">
      <c r="B1095" s="988">
        <f t="shared" si="17"/>
        <v>42767</v>
      </c>
      <c r="C1095" s="987" t="str">
        <f t="shared" si="18"/>
        <v>MKT Minus Aaa and Aa Avg</v>
      </c>
      <c r="F1095" s="990">
        <v>3.9699999999999999E-2</v>
      </c>
      <c r="H1095" s="987">
        <v>3.3166666666666665E-3</v>
      </c>
      <c r="I1095" s="987">
        <f t="shared" si="16"/>
        <v>3.638333333333333E-2</v>
      </c>
      <c r="J1095" s="988">
        <f t="shared" si="19"/>
        <v>42767</v>
      </c>
    </row>
    <row r="1096" spans="2:10" ht="13.8">
      <c r="B1096" s="988">
        <f t="shared" si="17"/>
        <v>42795</v>
      </c>
      <c r="C1096" s="987" t="str">
        <f t="shared" si="18"/>
        <v>MKT Minus Aaa and Aa Avg</v>
      </c>
      <c r="F1096" s="990">
        <v>1.1999999999999999E-3</v>
      </c>
      <c r="H1096" s="987">
        <v>3.3166666666666665E-3</v>
      </c>
      <c r="I1096" s="987">
        <f t="shared" si="16"/>
        <v>-2.1166666666666669E-3</v>
      </c>
      <c r="J1096" s="988">
        <f t="shared" si="19"/>
        <v>42795</v>
      </c>
    </row>
    <row r="1097" spans="2:10" ht="13.8">
      <c r="B1097" s="988">
        <f t="shared" si="17"/>
        <v>42826</v>
      </c>
      <c r="C1097" s="987" t="str">
        <f t="shared" si="18"/>
        <v>MKT Minus Aaa and Aa Avg</v>
      </c>
      <c r="F1097" s="990">
        <v>1.03E-2</v>
      </c>
      <c r="H1097" s="987">
        <v>3.2500000000000003E-3</v>
      </c>
      <c r="I1097" s="987">
        <f t="shared" si="16"/>
        <v>7.0499999999999998E-3</v>
      </c>
      <c r="J1097" s="988">
        <f t="shared" si="19"/>
        <v>42826</v>
      </c>
    </row>
    <row r="1098" spans="2:10" ht="13.8">
      <c r="B1098" s="988">
        <f t="shared" si="17"/>
        <v>42856</v>
      </c>
      <c r="C1098" s="987" t="str">
        <f t="shared" si="18"/>
        <v>MKT Minus Aaa and Aa Avg</v>
      </c>
      <c r="F1098" s="990">
        <v>1.41E-2</v>
      </c>
      <c r="H1098" s="987">
        <v>3.241666666666667E-3</v>
      </c>
      <c r="I1098" s="987">
        <f t="shared" si="16"/>
        <v>1.0858333333333333E-2</v>
      </c>
      <c r="J1098" s="988">
        <f t="shared" si="19"/>
        <v>42856</v>
      </c>
    </row>
    <row r="1099" spans="2:10" ht="13.8">
      <c r="B1099" s="988">
        <f t="shared" si="17"/>
        <v>42887</v>
      </c>
      <c r="C1099" s="987" t="str">
        <f t="shared" si="18"/>
        <v>MKT Minus Aaa and Aa Avg</v>
      </c>
      <c r="F1099" s="990">
        <v>6.1999999999999998E-3</v>
      </c>
      <c r="H1099" s="987">
        <v>3.1041666666666665E-3</v>
      </c>
      <c r="I1099" s="987">
        <f t="shared" si="16"/>
        <v>3.0958333333333332E-3</v>
      </c>
      <c r="J1099" s="988">
        <f t="shared" si="19"/>
        <v>42887</v>
      </c>
    </row>
    <row r="1100" spans="2:10" ht="13.8">
      <c r="B1100" s="988">
        <f t="shared" si="17"/>
        <v>42917</v>
      </c>
      <c r="C1100" s="987" t="str">
        <f t="shared" si="18"/>
        <v>MKT Minus Aaa and Aa Avg</v>
      </c>
      <c r="F1100" s="990">
        <v>2.06E-2</v>
      </c>
      <c r="H1100" s="987">
        <v>3.1875000000000002E-3</v>
      </c>
      <c r="I1100" s="987">
        <f t="shared" si="16"/>
        <v>1.7412500000000001E-2</v>
      </c>
      <c r="J1100" s="988">
        <f t="shared" si="19"/>
        <v>42917</v>
      </c>
    </row>
    <row r="1101" spans="2:10" ht="13.8">
      <c r="B1101" s="988">
        <f t="shared" si="17"/>
        <v>42948</v>
      </c>
      <c r="C1101" s="987" t="str">
        <f t="shared" si="18"/>
        <v>MKT Minus Aaa and Aa Avg</v>
      </c>
      <c r="F1101" s="990">
        <v>3.0999999999999999E-3</v>
      </c>
      <c r="H1101" s="987">
        <v>3.1250000000000002E-3</v>
      </c>
      <c r="I1101" s="987">
        <f t="shared" si="16"/>
        <v>-2.5000000000000282E-5</v>
      </c>
      <c r="J1101" s="988">
        <f t="shared" si="19"/>
        <v>42948</v>
      </c>
    </row>
    <row r="1102" spans="2:10" ht="13.8">
      <c r="B1102" s="988">
        <f t="shared" si="17"/>
        <v>42979</v>
      </c>
      <c r="C1102" s="987" t="str">
        <f t="shared" si="18"/>
        <v>MKT Minus Aaa and Aa Avg</v>
      </c>
      <c r="F1102" s="990">
        <v>2.06E-2</v>
      </c>
      <c r="H1102" s="987">
        <v>3.0625000000000001E-3</v>
      </c>
      <c r="I1102" s="987">
        <f t="shared" si="16"/>
        <v>1.7537500000000001E-2</v>
      </c>
      <c r="J1102" s="988">
        <f t="shared" si="19"/>
        <v>42979</v>
      </c>
    </row>
    <row r="1103" spans="2:10" ht="13.8">
      <c r="B1103" s="988">
        <f t="shared" si="17"/>
        <v>43009</v>
      </c>
      <c r="C1103" s="987" t="str">
        <f t="shared" si="18"/>
        <v>MKT Minus Aaa and Aa Avg</v>
      </c>
      <c r="F1103" s="990">
        <v>2.3300000000000001E-2</v>
      </c>
      <c r="H1103" s="987">
        <v>3.0583333333333335E-3</v>
      </c>
      <c r="I1103" s="987">
        <f t="shared" si="16"/>
        <v>2.0241666666666668E-2</v>
      </c>
      <c r="J1103" s="988">
        <f t="shared" si="19"/>
        <v>43009</v>
      </c>
    </row>
    <row r="1104" spans="2:10" ht="13.8">
      <c r="B1104" s="988">
        <f t="shared" si="17"/>
        <v>43040</v>
      </c>
      <c r="C1104" s="987" t="str">
        <f t="shared" si="18"/>
        <v>MKT Minus Aaa and Aa Avg</v>
      </c>
      <c r="F1104" s="990">
        <v>3.0700000000000002E-2</v>
      </c>
      <c r="H1104" s="987">
        <v>3.0583333333333335E-3</v>
      </c>
      <c r="I1104" s="987">
        <f t="shared" si="16"/>
        <v>2.7641666666666669E-2</v>
      </c>
      <c r="J1104" s="988">
        <f t="shared" si="19"/>
        <v>43040</v>
      </c>
    </row>
    <row r="1105" spans="2:10" ht="13.8">
      <c r="B1105" s="988">
        <f t="shared" si="17"/>
        <v>43070</v>
      </c>
      <c r="C1105" s="987" t="str">
        <f t="shared" si="18"/>
        <v>MKT Minus Aaa and Aa Avg</v>
      </c>
      <c r="F1105" s="990">
        <v>1.11E-2</v>
      </c>
      <c r="H1105" s="987">
        <v>2.9666666666666665E-3</v>
      </c>
      <c r="I1105" s="987">
        <f t="shared" si="16"/>
        <v>8.1333333333333344E-3</v>
      </c>
      <c r="J1105" s="988">
        <f t="shared" si="19"/>
        <v>43070</v>
      </c>
    </row>
    <row r="1106" spans="2:10" ht="13.8">
      <c r="B1106" s="988">
        <f t="shared" si="17"/>
        <v>43101</v>
      </c>
      <c r="C1106" s="987" t="str">
        <f t="shared" si="18"/>
        <v>MKT Minus Aaa and Aa Avg</v>
      </c>
      <c r="F1106" s="990">
        <v>5.7299999999999997E-2</v>
      </c>
      <c r="H1106" s="987">
        <v>2.9666666666666665E-3</v>
      </c>
      <c r="I1106" s="987">
        <f t="shared" si="16"/>
        <v>5.4333333333333331E-2</v>
      </c>
      <c r="J1106" s="988">
        <f t="shared" si="19"/>
        <v>43101</v>
      </c>
    </row>
    <row r="1107" spans="2:10" ht="13.8">
      <c r="B1107" s="988">
        <f t="shared" si="17"/>
        <v>43132</v>
      </c>
      <c r="C1107" s="987" t="str">
        <f t="shared" si="18"/>
        <v>MKT Minus Aaa and Aa Avg</v>
      </c>
      <c r="F1107" s="990">
        <v>-3.6900000000000002E-2</v>
      </c>
      <c r="H1107" s="987">
        <v>3.0125000000000004E-3</v>
      </c>
      <c r="I1107" s="987">
        <f t="shared" si="16"/>
        <v>-3.9912500000000004E-2</v>
      </c>
      <c r="J1107" s="988">
        <f t="shared" si="19"/>
        <v>43132</v>
      </c>
    </row>
    <row r="1108" spans="2:10" ht="13.8">
      <c r="B1108" s="988">
        <f t="shared" si="17"/>
        <v>43160</v>
      </c>
      <c r="C1108" s="987" t="str">
        <f t="shared" si="18"/>
        <v>MKT Minus Aaa and Aa Avg</v>
      </c>
      <c r="F1108" s="990">
        <v>-2.5399999999999999E-2</v>
      </c>
      <c r="H1108" s="987">
        <v>3.2750000000000001E-3</v>
      </c>
      <c r="I1108" s="987">
        <f t="shared" si="16"/>
        <v>-2.8674999999999999E-2</v>
      </c>
      <c r="J1108" s="988">
        <f t="shared" si="19"/>
        <v>43160</v>
      </c>
    </row>
    <row r="1109" spans="2:10" ht="13.8">
      <c r="B1109" s="988">
        <f t="shared" si="17"/>
        <v>43191</v>
      </c>
      <c r="C1109" s="987" t="str">
        <f t="shared" si="18"/>
        <v>MKT Minus Aaa and Aa Avg</v>
      </c>
      <c r="F1109" s="990">
        <v>3.8E-3</v>
      </c>
      <c r="H1109" s="987">
        <v>3.2750000000000001E-3</v>
      </c>
      <c r="I1109" s="987">
        <f t="shared" si="16"/>
        <v>5.2499999999999986E-4</v>
      </c>
      <c r="J1109" s="988">
        <f t="shared" si="19"/>
        <v>43191</v>
      </c>
    </row>
    <row r="1110" spans="2:10" ht="13.8">
      <c r="B1110" s="988">
        <f t="shared" si="17"/>
        <v>43221</v>
      </c>
      <c r="C1110" s="987" t="str">
        <f t="shared" si="18"/>
        <v>MKT Minus Aaa and Aa Avg</v>
      </c>
      <c r="F1110" s="990">
        <v>2.41E-2</v>
      </c>
      <c r="H1110" s="987">
        <v>3.3791666666666666E-3</v>
      </c>
      <c r="I1110" s="987">
        <f t="shared" si="16"/>
        <v>2.0720833333333334E-2</v>
      </c>
      <c r="J1110" s="988">
        <f t="shared" si="19"/>
        <v>43221</v>
      </c>
    </row>
    <row r="1111" spans="2:10" ht="13.8">
      <c r="B1111" s="988">
        <f t="shared" si="17"/>
        <v>43252</v>
      </c>
      <c r="C1111" s="987" t="str">
        <f t="shared" si="18"/>
        <v>MKT Minus Aaa and Aa Avg</v>
      </c>
      <c r="F1111" s="990">
        <v>6.1999999999999998E-3</v>
      </c>
      <c r="H1111" s="987">
        <v>3.3625E-3</v>
      </c>
      <c r="I1111" s="987">
        <f t="shared" si="16"/>
        <v>2.8374999999999997E-3</v>
      </c>
      <c r="J1111" s="988">
        <f t="shared" si="19"/>
        <v>43252</v>
      </c>
    </row>
    <row r="1112" spans="2:10" ht="13.8">
      <c r="B1112" s="988">
        <f t="shared" si="17"/>
        <v>43282</v>
      </c>
      <c r="C1112" s="987" t="str">
        <f t="shared" si="18"/>
        <v>MKT Minus Aaa and Aa Avg</v>
      </c>
      <c r="F1112" s="990">
        <v>3.7199999999999997E-2</v>
      </c>
      <c r="H1112" s="987">
        <v>3.3083333333333333E-3</v>
      </c>
      <c r="I1112" s="987">
        <f t="shared" si="16"/>
        <v>3.3891666666666667E-2</v>
      </c>
      <c r="J1112" s="988">
        <f t="shared" si="19"/>
        <v>43282</v>
      </c>
    </row>
    <row r="1113" spans="2:10" ht="13.8">
      <c r="B1113" s="988">
        <f t="shared" si="17"/>
        <v>43313</v>
      </c>
      <c r="C1113" s="987" t="str">
        <f t="shared" si="18"/>
        <v>MKT Minus Aaa and Aa Avg</v>
      </c>
      <c r="F1113" s="990">
        <v>3.2599999999999997E-2</v>
      </c>
      <c r="H1113" s="987">
        <v>3.3041666666666662E-3</v>
      </c>
      <c r="I1113" s="987">
        <f t="shared" si="16"/>
        <v>2.929583333333333E-2</v>
      </c>
      <c r="J1113" s="988">
        <f t="shared" si="19"/>
        <v>43313</v>
      </c>
    </row>
    <row r="1114" spans="2:10" ht="13.8">
      <c r="B1114" s="988">
        <f t="shared" si="17"/>
        <v>43344</v>
      </c>
      <c r="C1114" s="987" t="str">
        <f t="shared" si="18"/>
        <v>MKT Minus Aaa and Aa Avg</v>
      </c>
      <c r="F1114" s="990">
        <v>5.7000000000000002E-3</v>
      </c>
      <c r="H1114" s="987">
        <v>3.3041666666666662E-3</v>
      </c>
      <c r="I1114" s="987">
        <f t="shared" ref="I1114:I1165" si="20">F1114-H1114</f>
        <v>2.395833333333334E-3</v>
      </c>
      <c r="J1114" s="988">
        <f t="shared" si="19"/>
        <v>43344</v>
      </c>
    </row>
    <row r="1115" spans="2:10" ht="13.8">
      <c r="B1115" s="988">
        <f t="shared" si="17"/>
        <v>43374</v>
      </c>
      <c r="C1115" s="987" t="str">
        <f t="shared" si="18"/>
        <v>MKT Minus Aaa and Aa Avg</v>
      </c>
      <c r="F1115" s="990">
        <v>-6.8400000000000002E-2</v>
      </c>
      <c r="H1115" s="987">
        <v>1.725E-3</v>
      </c>
      <c r="I1115" s="987">
        <f t="shared" si="20"/>
        <v>-7.0125000000000007E-2</v>
      </c>
      <c r="J1115" s="988">
        <f t="shared" si="19"/>
        <v>43374</v>
      </c>
    </row>
    <row r="1116" spans="2:10" ht="13.8">
      <c r="B1116" s="988">
        <f t="shared" si="17"/>
        <v>43405</v>
      </c>
      <c r="C1116" s="987" t="str">
        <f t="shared" si="18"/>
        <v>MKT Minus Aaa and Aa Avg</v>
      </c>
      <c r="F1116" s="990">
        <v>2.0400000000000001E-2</v>
      </c>
      <c r="H1116" s="987">
        <v>3.5791666666666663E-3</v>
      </c>
      <c r="I1116" s="987">
        <f t="shared" si="20"/>
        <v>1.6820833333333333E-2</v>
      </c>
      <c r="J1116" s="988">
        <f t="shared" si="19"/>
        <v>43405</v>
      </c>
    </row>
    <row r="1117" spans="2:10" ht="13.8">
      <c r="B1117" s="988">
        <f t="shared" si="17"/>
        <v>43435</v>
      </c>
      <c r="C1117" s="987" t="str">
        <f t="shared" si="18"/>
        <v>MKT Minus Aaa and Aa Avg</v>
      </c>
      <c r="F1117" s="990">
        <v>-9.0300000000000005E-2</v>
      </c>
      <c r="H1117" s="987">
        <v>3.4250000000000001E-3</v>
      </c>
      <c r="I1117" s="987">
        <f t="shared" si="20"/>
        <v>-9.3725000000000003E-2</v>
      </c>
      <c r="J1117" s="988">
        <f t="shared" si="19"/>
        <v>43435</v>
      </c>
    </row>
    <row r="1118" spans="2:10" ht="13.8">
      <c r="B1118" s="988">
        <f t="shared" si="17"/>
        <v>43466</v>
      </c>
      <c r="C1118" s="987" t="str">
        <f t="shared" si="18"/>
        <v>MKT Minus Aaa and Aa Avg</v>
      </c>
      <c r="F1118" s="990">
        <v>8.0100000000000005E-2</v>
      </c>
      <c r="H1118" s="987">
        <v>3.3625E-3</v>
      </c>
      <c r="I1118" s="987">
        <f t="shared" si="20"/>
        <v>7.67375E-2</v>
      </c>
      <c r="J1118" s="988">
        <f t="shared" si="19"/>
        <v>43466</v>
      </c>
    </row>
    <row r="1119" spans="2:10" ht="13.8">
      <c r="B1119" s="988">
        <f t="shared" si="17"/>
        <v>43497</v>
      </c>
      <c r="C1119" s="987" t="str">
        <f t="shared" si="18"/>
        <v>MKT Minus Aaa and Aa Avg</v>
      </c>
      <c r="F1119" s="990">
        <v>3.2099999999999997E-2</v>
      </c>
      <c r="H1119" s="987">
        <v>3.241666666666667E-3</v>
      </c>
      <c r="I1119" s="987">
        <f t="shared" si="20"/>
        <v>2.885833333333333E-2</v>
      </c>
      <c r="J1119" s="988">
        <f t="shared" si="19"/>
        <v>43497</v>
      </c>
    </row>
    <row r="1120" spans="2:10" ht="13.8">
      <c r="B1120" s="988">
        <f t="shared" si="17"/>
        <v>43525</v>
      </c>
      <c r="C1120" s="987" t="str">
        <f t="shared" si="18"/>
        <v>MKT Minus Aaa and Aa Avg</v>
      </c>
      <c r="F1120" s="990">
        <v>1.9400000000000001E-2</v>
      </c>
      <c r="H1120" s="987">
        <v>3.241666666666667E-3</v>
      </c>
      <c r="I1120" s="987">
        <f t="shared" si="20"/>
        <v>1.6158333333333334E-2</v>
      </c>
      <c r="J1120" s="988">
        <f t="shared" si="19"/>
        <v>43525</v>
      </c>
    </row>
    <row r="1121" spans="2:10" ht="13.8">
      <c r="B1121" s="988">
        <f t="shared" si="17"/>
        <v>43556</v>
      </c>
      <c r="C1121" s="987" t="str">
        <f t="shared" si="18"/>
        <v>MKT Minus Aaa and Aa Avg</v>
      </c>
      <c r="F1121" s="990">
        <v>4.0500000000000001E-2</v>
      </c>
      <c r="H1121" s="987">
        <v>3.1416666666666667E-3</v>
      </c>
      <c r="I1121" s="987">
        <f t="shared" si="20"/>
        <v>3.7358333333333334E-2</v>
      </c>
      <c r="J1121" s="988">
        <f t="shared" si="19"/>
        <v>43556</v>
      </c>
    </row>
    <row r="1122" spans="2:10" ht="13.8">
      <c r="B1122" s="988">
        <f t="shared" si="17"/>
        <v>43586</v>
      </c>
      <c r="C1122" s="987" t="str">
        <f t="shared" si="18"/>
        <v>MKT Minus Aaa and Aa Avg</v>
      </c>
      <c r="F1122" s="990">
        <v>-6.3500000000000001E-2</v>
      </c>
      <c r="H1122" s="987">
        <v>3.1124999999999998E-3</v>
      </c>
      <c r="I1122" s="987">
        <f t="shared" si="20"/>
        <v>-6.6612500000000005E-2</v>
      </c>
      <c r="J1122" s="988">
        <f t="shared" si="19"/>
        <v>43586</v>
      </c>
    </row>
    <row r="1123" spans="2:10" ht="13.8">
      <c r="B1123" s="988">
        <f t="shared" si="17"/>
        <v>43617</v>
      </c>
      <c r="C1123" s="987" t="str">
        <f t="shared" si="18"/>
        <v>MKT Minus Aaa and Aa Avg</v>
      </c>
      <c r="F1123" s="990">
        <v>7.0499999999999993E-2</v>
      </c>
      <c r="H1123" s="987">
        <v>3.1124999999999998E-3</v>
      </c>
      <c r="I1123" s="987">
        <f t="shared" si="20"/>
        <v>6.7387499999999989E-2</v>
      </c>
      <c r="J1123" s="988">
        <f t="shared" si="19"/>
        <v>43617</v>
      </c>
    </row>
    <row r="1124" spans="2:10" ht="13.8">
      <c r="B1124" s="988">
        <f t="shared" si="17"/>
        <v>43647</v>
      </c>
      <c r="C1124" s="987" t="str">
        <f t="shared" si="18"/>
        <v>MKT Minus Aaa and Aa Avg</v>
      </c>
      <c r="F1124" s="990">
        <v>1.44E-2</v>
      </c>
      <c r="H1124" s="987">
        <v>2.8124999999999999E-3</v>
      </c>
      <c r="I1124" s="987">
        <f t="shared" si="20"/>
        <v>1.1587500000000001E-2</v>
      </c>
      <c r="J1124" s="988">
        <f t="shared" si="19"/>
        <v>43647</v>
      </c>
    </row>
    <row r="1125" spans="2:10" ht="13.8">
      <c r="B1125" s="988">
        <f t="shared" si="17"/>
        <v>43678</v>
      </c>
      <c r="C1125" s="987" t="str">
        <f t="shared" si="18"/>
        <v>MKT Minus Aaa and Aa Avg</v>
      </c>
      <c r="F1125" s="990">
        <v>-1.5800000000000002E-2</v>
      </c>
      <c r="H1125" s="987">
        <v>2.8124999999999999E-3</v>
      </c>
      <c r="I1125" s="987">
        <f t="shared" si="20"/>
        <v>-1.8612500000000001E-2</v>
      </c>
      <c r="J1125" s="988">
        <f t="shared" si="19"/>
        <v>43678</v>
      </c>
    </row>
    <row r="1126" spans="2:10" ht="13.8">
      <c r="B1126" s="988">
        <f t="shared" si="17"/>
        <v>43709</v>
      </c>
      <c r="C1126" s="987" t="str">
        <f t="shared" si="18"/>
        <v>MKT Minus Aaa and Aa Avg</v>
      </c>
      <c r="F1126" s="990">
        <v>1.8700000000000001E-2</v>
      </c>
      <c r="H1126" s="987">
        <v>2.5249999999999999E-3</v>
      </c>
      <c r="I1126" s="987">
        <f t="shared" si="20"/>
        <v>1.6175000000000002E-2</v>
      </c>
      <c r="J1126" s="988">
        <f t="shared" si="19"/>
        <v>43709</v>
      </c>
    </row>
    <row r="1127" spans="2:10" ht="13.8">
      <c r="B1127" s="988">
        <f t="shared" si="17"/>
        <v>43739</v>
      </c>
      <c r="C1127" s="987" t="str">
        <f t="shared" si="18"/>
        <v>MKT Minus Aaa and Aa Avg</v>
      </c>
      <c r="F1127" s="990">
        <v>2.1700000000000001E-2</v>
      </c>
      <c r="H1127" s="987">
        <v>2.5666666666666667E-3</v>
      </c>
      <c r="I1127" s="987">
        <f t="shared" si="20"/>
        <v>1.9133333333333336E-2</v>
      </c>
      <c r="J1127" s="988">
        <f t="shared" si="19"/>
        <v>43739</v>
      </c>
    </row>
    <row r="1128" spans="2:10" ht="13.8">
      <c r="B1128" s="988">
        <f t="shared" si="17"/>
        <v>43770</v>
      </c>
      <c r="C1128" s="987" t="str">
        <f t="shared" si="18"/>
        <v>MKT Minus Aaa and Aa Avg</v>
      </c>
      <c r="F1128" s="990">
        <v>3.6299999999999999E-2</v>
      </c>
      <c r="H1128" s="987">
        <v>2.5999999999999999E-3</v>
      </c>
      <c r="I1128" s="987">
        <f t="shared" si="20"/>
        <v>3.3700000000000001E-2</v>
      </c>
      <c r="J1128" s="988">
        <f t="shared" si="19"/>
        <v>43770</v>
      </c>
    </row>
    <row r="1129" spans="2:10" ht="13.8">
      <c r="B1129" s="988">
        <f t="shared" si="17"/>
        <v>43800</v>
      </c>
      <c r="C1129" s="987" t="str">
        <f t="shared" si="18"/>
        <v>MKT Minus Aaa and Aa Avg</v>
      </c>
      <c r="F1129" s="990">
        <v>3.0200000000000001E-2</v>
      </c>
      <c r="H1129" s="987">
        <v>2.5499999999999997E-3</v>
      </c>
      <c r="I1129" s="987">
        <f t="shared" si="20"/>
        <v>2.7650000000000001E-2</v>
      </c>
      <c r="J1129" s="988">
        <f t="shared" si="19"/>
        <v>43800</v>
      </c>
    </row>
    <row r="1130" spans="2:10" ht="13.8">
      <c r="B1130" s="988">
        <f t="shared" si="17"/>
        <v>43831</v>
      </c>
      <c r="C1130" s="987" t="str">
        <f t="shared" si="18"/>
        <v>MKT Minus Aaa and Aa Avg</v>
      </c>
      <c r="F1130" s="990">
        <v>-4.0000000000000002E-4</v>
      </c>
      <c r="H1130" s="987">
        <v>2.3708333333333333E-3</v>
      </c>
      <c r="I1130" s="987">
        <f t="shared" si="20"/>
        <v>-2.7708333333333335E-3</v>
      </c>
      <c r="J1130" s="988">
        <f t="shared" si="19"/>
        <v>43831</v>
      </c>
    </row>
    <row r="1131" spans="2:10" ht="13.8">
      <c r="B1131" s="988">
        <f t="shared" si="17"/>
        <v>43862</v>
      </c>
      <c r="C1131" s="987" t="str">
        <f t="shared" si="18"/>
        <v>MKT Minus Aaa and Aa Avg</v>
      </c>
      <c r="F1131" s="990">
        <v>-8.2299999999999998E-2</v>
      </c>
      <c r="H1131" s="987">
        <v>2.4833333333333331E-3</v>
      </c>
      <c r="I1131" s="987">
        <f t="shared" si="20"/>
        <v>-8.4783333333333336E-2</v>
      </c>
      <c r="J1131" s="988">
        <f t="shared" si="19"/>
        <v>43862</v>
      </c>
    </row>
    <row r="1132" spans="2:10" ht="13.8">
      <c r="B1132" s="988">
        <f t="shared" si="17"/>
        <v>43891</v>
      </c>
      <c r="C1132" s="987" t="str">
        <f t="shared" si="18"/>
        <v>MKT Minus Aaa and Aa Avg</v>
      </c>
      <c r="F1132" s="990">
        <v>-0.1235</v>
      </c>
      <c r="H1132" s="987">
        <v>2.3458333333333335E-3</v>
      </c>
      <c r="I1132" s="987">
        <f t="shared" si="20"/>
        <v>-0.12584583333333332</v>
      </c>
      <c r="J1132" s="988">
        <f t="shared" si="19"/>
        <v>43891</v>
      </c>
    </row>
    <row r="1133" spans="2:10" ht="13.8">
      <c r="B1133" s="988">
        <f t="shared" si="17"/>
        <v>43922</v>
      </c>
      <c r="C1133" s="987" t="str">
        <f t="shared" si="18"/>
        <v>MKT Minus Aaa and Aa Avg</v>
      </c>
      <c r="F1133" s="990">
        <v>0.12820000000000001</v>
      </c>
      <c r="H1133" s="987">
        <v>2.1583333333333333E-3</v>
      </c>
      <c r="I1133" s="987">
        <f t="shared" si="20"/>
        <v>0.12604166666666666</v>
      </c>
      <c r="J1133" s="988">
        <f t="shared" si="19"/>
        <v>43922</v>
      </c>
    </row>
    <row r="1134" spans="2:10" ht="13.8">
      <c r="B1134" s="988">
        <f t="shared" si="17"/>
        <v>43952</v>
      </c>
      <c r="C1134" s="987" t="str">
        <f t="shared" si="18"/>
        <v>MKT Minus Aaa and Aa Avg</v>
      </c>
      <c r="F1134" s="990">
        <v>4.7600000000000003E-2</v>
      </c>
      <c r="H1134" s="987">
        <v>2.1708333333333336E-3</v>
      </c>
      <c r="I1134" s="987">
        <f t="shared" si="20"/>
        <v>4.5429166666666673E-2</v>
      </c>
      <c r="J1134" s="988">
        <f t="shared" si="19"/>
        <v>43952</v>
      </c>
    </row>
    <row r="1135" spans="2:10" ht="13.8">
      <c r="B1135" s="988">
        <f t="shared" si="17"/>
        <v>43983</v>
      </c>
      <c r="C1135" s="987" t="str">
        <f t="shared" si="18"/>
        <v>MKT Minus Aaa and Aa Avg</v>
      </c>
      <c r="F1135" s="990">
        <v>1.9900000000000001E-2</v>
      </c>
      <c r="H1135" s="987">
        <v>2.0999999999999999E-3</v>
      </c>
      <c r="I1135" s="987">
        <f t="shared" si="20"/>
        <v>1.78E-2</v>
      </c>
      <c r="J1135" s="988">
        <f t="shared" si="19"/>
        <v>43983</v>
      </c>
    </row>
    <row r="1136" spans="2:10" ht="13.8">
      <c r="B1136" s="988">
        <f t="shared" si="17"/>
        <v>44013</v>
      </c>
      <c r="C1136" s="987" t="str">
        <f t="shared" si="18"/>
        <v>MKT Minus Aaa and Aa Avg</v>
      </c>
      <c r="F1136" s="990">
        <v>5.6399999999999999E-2</v>
      </c>
      <c r="H1136" s="987">
        <v>1.7541666666666667E-3</v>
      </c>
      <c r="I1136" s="987">
        <f t="shared" si="20"/>
        <v>5.4645833333333331E-2</v>
      </c>
      <c r="J1136" s="988">
        <f t="shared" si="19"/>
        <v>44013</v>
      </c>
    </row>
    <row r="1137" spans="2:10" ht="13.8">
      <c r="B1137" s="988">
        <f t="shared" si="17"/>
        <v>44044</v>
      </c>
      <c r="C1137" s="987" t="str">
        <f t="shared" si="18"/>
        <v>MKT Minus Aaa and Aa Avg</v>
      </c>
      <c r="F1137" s="990">
        <v>7.1900000000000006E-2</v>
      </c>
      <c r="H1137" s="987">
        <v>1.9250000000000001E-3</v>
      </c>
      <c r="I1137" s="987">
        <f t="shared" si="20"/>
        <v>6.9975000000000009E-2</v>
      </c>
      <c r="J1137" s="988">
        <f t="shared" si="19"/>
        <v>44044</v>
      </c>
    </row>
    <row r="1138" spans="2:10" ht="13.8">
      <c r="B1138" s="988">
        <f t="shared" si="17"/>
        <v>44075</v>
      </c>
      <c r="C1138" s="987" t="str">
        <f t="shared" si="18"/>
        <v>MKT Minus Aaa and Aa Avg</v>
      </c>
      <c r="F1138" s="990">
        <v>-3.7999999999999999E-2</v>
      </c>
      <c r="H1138" s="987">
        <v>1.9916666666666668E-3</v>
      </c>
      <c r="I1138" s="987">
        <f t="shared" si="20"/>
        <v>-3.9991666666666668E-2</v>
      </c>
      <c r="J1138" s="988">
        <f t="shared" si="19"/>
        <v>44075</v>
      </c>
    </row>
    <row r="1139" spans="2:10" ht="13.8">
      <c r="B1139" s="988">
        <f t="shared" ref="B1139:B1165" si="21">DATE(YEAR(B1138),MONTH(B1138) + 1,1)</f>
        <v>44105</v>
      </c>
      <c r="C1139" s="987" t="str">
        <f t="shared" ref="C1139:C1165" si="22">C1138</f>
        <v>MKT Minus Aaa and Aa Avg</v>
      </c>
      <c r="F1139" s="990">
        <v>-2.6599999999999999E-2</v>
      </c>
      <c r="H1139" s="987">
        <v>2.0416666666666665E-3</v>
      </c>
      <c r="I1139" s="987">
        <f t="shared" si="20"/>
        <v>-2.8641666666666666E-2</v>
      </c>
      <c r="J1139" s="988">
        <f t="shared" ref="J1139:J1165" si="23">B1139</f>
        <v>44105</v>
      </c>
    </row>
    <row r="1140" spans="2:10" ht="13.8">
      <c r="B1140" s="988">
        <f t="shared" si="21"/>
        <v>44136</v>
      </c>
      <c r="C1140" s="987" t="str">
        <f t="shared" si="22"/>
        <v>MKT Minus Aaa and Aa Avg</v>
      </c>
      <c r="F1140" s="990">
        <v>0.1095</v>
      </c>
      <c r="H1140" s="987">
        <v>1.9875000000000001E-3</v>
      </c>
      <c r="I1140" s="987">
        <f t="shared" si="20"/>
        <v>0.1075125</v>
      </c>
      <c r="J1140" s="988">
        <f t="shared" si="23"/>
        <v>44136</v>
      </c>
    </row>
    <row r="1141" spans="2:10" ht="13.8">
      <c r="B1141" s="988">
        <f t="shared" si="21"/>
        <v>44166</v>
      </c>
      <c r="C1141" s="987" t="str">
        <f t="shared" si="22"/>
        <v>MKT Minus Aaa and Aa Avg</v>
      </c>
      <c r="F1141" s="990">
        <v>3.8399999999999997E-2</v>
      </c>
      <c r="H1141" s="987">
        <v>1.9583333333333332E-3</v>
      </c>
      <c r="I1141" s="987">
        <f t="shared" si="20"/>
        <v>3.6441666666666664E-2</v>
      </c>
      <c r="J1141" s="988">
        <f t="shared" si="23"/>
        <v>44166</v>
      </c>
    </row>
    <row r="1142" spans="2:10" ht="13.8">
      <c r="B1142" s="988">
        <f t="shared" si="21"/>
        <v>44197</v>
      </c>
      <c r="C1142" s="987" t="str">
        <f t="shared" si="22"/>
        <v>MKT Minus Aaa and Aa Avg</v>
      </c>
      <c r="F1142" s="990">
        <v>-1.01E-2</v>
      </c>
      <c r="H1142" s="987">
        <v>2.1083333333333336E-3</v>
      </c>
      <c r="I1142" s="987">
        <f t="shared" si="20"/>
        <v>-1.2208333333333333E-2</v>
      </c>
      <c r="J1142" s="988">
        <f t="shared" si="23"/>
        <v>44197</v>
      </c>
    </row>
    <row r="1143" spans="2:10" ht="13.8">
      <c r="B1143" s="988">
        <f t="shared" si="21"/>
        <v>44228</v>
      </c>
      <c r="C1143" s="987" t="str">
        <f t="shared" si="22"/>
        <v>MKT Minus Aaa and Aa Avg</v>
      </c>
      <c r="F1143" s="990">
        <v>2.76E-2</v>
      </c>
      <c r="H1143" s="987">
        <v>2.304166666666667E-3</v>
      </c>
      <c r="I1143" s="987">
        <f t="shared" si="20"/>
        <v>2.5295833333333333E-2</v>
      </c>
      <c r="J1143" s="988">
        <f t="shared" si="23"/>
        <v>44228</v>
      </c>
    </row>
    <row r="1144" spans="2:10" ht="13.8">
      <c r="B1144" s="988">
        <f t="shared" si="21"/>
        <v>44256</v>
      </c>
      <c r="C1144" s="987" t="str">
        <f t="shared" si="22"/>
        <v>MKT Minus Aaa and Aa Avg</v>
      </c>
      <c r="F1144" s="990">
        <v>4.3799999999999999E-2</v>
      </c>
      <c r="H1144" s="987">
        <v>2.5875000000000004E-3</v>
      </c>
      <c r="I1144" s="987">
        <f t="shared" si="20"/>
        <v>4.1212499999999999E-2</v>
      </c>
      <c r="J1144" s="988">
        <f t="shared" si="23"/>
        <v>44256</v>
      </c>
    </row>
    <row r="1145" spans="2:10" ht="13.8">
      <c r="B1145" s="988">
        <f t="shared" si="21"/>
        <v>44287</v>
      </c>
      <c r="C1145" s="987" t="str">
        <f t="shared" si="22"/>
        <v>MKT Minus Aaa and Aa Avg</v>
      </c>
      <c r="F1145" s="990">
        <v>5.3400000000000003E-2</v>
      </c>
      <c r="H1145" s="987">
        <v>2.4708333333333336E-3</v>
      </c>
      <c r="I1145" s="987">
        <f t="shared" si="20"/>
        <v>5.0929166666666671E-2</v>
      </c>
      <c r="J1145" s="988">
        <f t="shared" si="23"/>
        <v>44287</v>
      </c>
    </row>
    <row r="1146" spans="2:10" ht="13.8">
      <c r="B1146" s="988">
        <f t="shared" si="21"/>
        <v>44317</v>
      </c>
      <c r="C1146" s="987" t="str">
        <f t="shared" si="22"/>
        <v>MKT Minus Aaa and Aa Avg</v>
      </c>
      <c r="F1146" s="990">
        <v>7.0000000000000001E-3</v>
      </c>
      <c r="H1146" s="987">
        <v>2.5125E-3</v>
      </c>
      <c r="I1146" s="987">
        <f t="shared" si="20"/>
        <v>4.4875000000000002E-3</v>
      </c>
      <c r="J1146" s="988">
        <f t="shared" si="23"/>
        <v>44317</v>
      </c>
    </row>
    <row r="1147" spans="2:10" ht="13.8">
      <c r="B1147" s="988">
        <f t="shared" si="21"/>
        <v>44348</v>
      </c>
      <c r="C1147" s="987" t="str">
        <f t="shared" si="22"/>
        <v>MKT Minus Aaa and Aa Avg</v>
      </c>
      <c r="F1147" s="990">
        <v>2.3300000000000001E-2</v>
      </c>
      <c r="H1147" s="987">
        <v>2.3750000000000004E-3</v>
      </c>
      <c r="I1147" s="987">
        <f t="shared" si="20"/>
        <v>2.0924999999999999E-2</v>
      </c>
      <c r="J1147" s="988">
        <f t="shared" si="23"/>
        <v>44348</v>
      </c>
    </row>
    <row r="1148" spans="2:10" ht="13.8">
      <c r="B1148" s="988">
        <f t="shared" si="21"/>
        <v>44378</v>
      </c>
      <c r="C1148" s="987" t="str">
        <f t="shared" si="22"/>
        <v>MKT Minus Aaa and Aa Avg</v>
      </c>
      <c r="F1148" s="990">
        <v>2.3800000000000002E-2</v>
      </c>
      <c r="H1148" s="987">
        <v>2.1999999999999997E-3</v>
      </c>
      <c r="I1148" s="987">
        <f t="shared" si="20"/>
        <v>2.1600000000000001E-2</v>
      </c>
      <c r="J1148" s="988">
        <f t="shared" si="23"/>
        <v>44378</v>
      </c>
    </row>
    <row r="1149" spans="2:10" ht="13.8">
      <c r="B1149" s="988">
        <f t="shared" si="21"/>
        <v>44409</v>
      </c>
      <c r="C1149" s="987" t="str">
        <f t="shared" si="22"/>
        <v>MKT Minus Aaa and Aa Avg</v>
      </c>
      <c r="F1149" s="990">
        <v>3.04E-2</v>
      </c>
      <c r="H1149" s="987">
        <v>2.2000000000000001E-3</v>
      </c>
      <c r="I1149" s="987">
        <f t="shared" si="20"/>
        <v>2.8199999999999999E-2</v>
      </c>
      <c r="J1149" s="988">
        <f t="shared" si="23"/>
        <v>44409</v>
      </c>
    </row>
    <row r="1150" spans="2:10" ht="13.8">
      <c r="B1150" s="988">
        <f t="shared" si="21"/>
        <v>44440</v>
      </c>
      <c r="C1150" s="987" t="str">
        <f t="shared" si="22"/>
        <v>MKT Minus Aaa and Aa Avg</v>
      </c>
      <c r="F1150" s="990">
        <v>-4.65E-2</v>
      </c>
      <c r="H1150" s="987">
        <v>2.1916666666666664E-3</v>
      </c>
      <c r="I1150" s="987">
        <f t="shared" si="20"/>
        <v>-4.8691666666666668E-2</v>
      </c>
      <c r="J1150" s="988">
        <f t="shared" si="23"/>
        <v>44440</v>
      </c>
    </row>
    <row r="1151" spans="2:10" ht="13.8">
      <c r="B1151" s="988">
        <f t="shared" si="21"/>
        <v>44470</v>
      </c>
      <c r="C1151" s="987" t="str">
        <f t="shared" si="22"/>
        <v>MKT Minus Aaa and Aa Avg</v>
      </c>
      <c r="F1151" s="990">
        <v>7.0099999999999996E-2</v>
      </c>
      <c r="H1151" s="987">
        <v>2.3083333333333332E-3</v>
      </c>
      <c r="I1151" s="987">
        <f t="shared" si="20"/>
        <v>6.7791666666666667E-2</v>
      </c>
      <c r="J1151" s="988">
        <f t="shared" si="23"/>
        <v>44470</v>
      </c>
    </row>
    <row r="1152" spans="2:10" ht="13.8">
      <c r="B1152" s="988">
        <f t="shared" si="21"/>
        <v>44501</v>
      </c>
      <c r="C1152" s="987" t="str">
        <f t="shared" si="22"/>
        <v>MKT Minus Aaa and Aa Avg</v>
      </c>
      <c r="F1152" s="990">
        <v>-6.8999999999999999E-3</v>
      </c>
      <c r="H1152" s="987">
        <v>2.2458333333333332E-3</v>
      </c>
      <c r="I1152" s="987">
        <f t="shared" si="20"/>
        <v>-9.1458333333333322E-3</v>
      </c>
      <c r="J1152" s="988">
        <f t="shared" si="23"/>
        <v>44501</v>
      </c>
    </row>
    <row r="1153" spans="2:10" ht="13.8">
      <c r="B1153" s="988">
        <f t="shared" si="21"/>
        <v>44531</v>
      </c>
      <c r="C1153" s="987" t="str">
        <f t="shared" si="22"/>
        <v>MKT Minus Aaa and Aa Avg</v>
      </c>
      <c r="F1153" s="990">
        <v>4.48E-2</v>
      </c>
      <c r="H1153" s="987">
        <v>2.2541666666666665E-3</v>
      </c>
      <c r="I1153" s="987">
        <f t="shared" si="20"/>
        <v>4.2545833333333331E-2</v>
      </c>
      <c r="J1153" s="988">
        <f t="shared" si="23"/>
        <v>44531</v>
      </c>
    </row>
    <row r="1154" spans="2:10" ht="13.8">
      <c r="B1154" s="988">
        <f t="shared" si="21"/>
        <v>44562</v>
      </c>
      <c r="C1154" s="987" t="str">
        <f t="shared" si="22"/>
        <v>MKT Minus Aaa and Aa Avg</v>
      </c>
      <c r="F1154" s="990">
        <v>-5.174682327495575E-2</v>
      </c>
      <c r="H1154" s="987">
        <v>2.4791666666666668E-3</v>
      </c>
      <c r="I1154" s="987">
        <f t="shared" si="20"/>
        <v>-5.4225989941622414E-2</v>
      </c>
      <c r="J1154" s="988">
        <f t="shared" si="23"/>
        <v>44562</v>
      </c>
    </row>
    <row r="1155" spans="2:10" ht="13.8">
      <c r="B1155" s="988">
        <f t="shared" si="21"/>
        <v>44593</v>
      </c>
      <c r="C1155" s="987" t="str">
        <f t="shared" si="22"/>
        <v>MKT Minus Aaa and Aa Avg</v>
      </c>
      <c r="F1155" s="990">
        <v>-2.7673940223359828E-2</v>
      </c>
      <c r="H1155" s="987">
        <v>2.754166666666666E-3</v>
      </c>
      <c r="I1155" s="987">
        <f t="shared" si="20"/>
        <v>-3.0428106890026493E-2</v>
      </c>
      <c r="J1155" s="988">
        <f t="shared" si="23"/>
        <v>44593</v>
      </c>
    </row>
    <row r="1156" spans="2:10" ht="13.8">
      <c r="B1156" s="988">
        <f t="shared" si="21"/>
        <v>44621</v>
      </c>
      <c r="C1156" s="987" t="str">
        <f t="shared" si="22"/>
        <v>MKT Minus Aaa and Aa Avg</v>
      </c>
      <c r="F1156" s="990">
        <v>5.3549987644738721E-2</v>
      </c>
      <c r="H1156" s="987">
        <v>2.9375E-3</v>
      </c>
      <c r="I1156" s="987">
        <f t="shared" si="20"/>
        <v>5.0612487644738718E-2</v>
      </c>
      <c r="J1156" s="988">
        <f t="shared" si="23"/>
        <v>44621</v>
      </c>
    </row>
    <row r="1157" spans="2:10" ht="13.8">
      <c r="B1157" s="988">
        <f t="shared" si="21"/>
        <v>44652</v>
      </c>
      <c r="C1157" s="987" t="str">
        <f t="shared" si="22"/>
        <v>MKT Minus Aaa and Aa Avg</v>
      </c>
      <c r="F1157" s="990">
        <v>-5.290392192672539E-2</v>
      </c>
      <c r="H1157" s="987">
        <v>3.1958333333333335E-3</v>
      </c>
      <c r="I1157" s="987">
        <f t="shared" si="20"/>
        <v>-5.6099755260058726E-2</v>
      </c>
      <c r="J1157" s="988">
        <f t="shared" si="23"/>
        <v>44652</v>
      </c>
    </row>
    <row r="1158" spans="2:10" ht="13.8">
      <c r="B1158" s="988">
        <f t="shared" si="21"/>
        <v>44682</v>
      </c>
      <c r="C1158" s="987" t="str">
        <f t="shared" si="22"/>
        <v>MKT Minus Aaa and Aa Avg</v>
      </c>
      <c r="F1158" s="990">
        <v>8.0697739934342868E-3</v>
      </c>
      <c r="H1158" s="987">
        <v>3.5374999999999998E-3</v>
      </c>
      <c r="I1158" s="987">
        <f t="shared" si="20"/>
        <v>4.5322739934342869E-3</v>
      </c>
      <c r="J1158" s="988">
        <f t="shared" si="23"/>
        <v>44682</v>
      </c>
    </row>
    <row r="1159" spans="2:10" ht="13.8">
      <c r="B1159" s="988">
        <f t="shared" si="21"/>
        <v>44713</v>
      </c>
      <c r="C1159" s="987" t="str">
        <f t="shared" si="22"/>
        <v>MKT Minus Aaa and Aa Avg</v>
      </c>
      <c r="F1159" s="990">
        <v>-7.4590822486972894E-2</v>
      </c>
      <c r="H1159" s="987">
        <v>3.6375000000000001E-3</v>
      </c>
      <c r="I1159" s="987">
        <f t="shared" si="20"/>
        <v>-7.8228322486972895E-2</v>
      </c>
      <c r="J1159" s="988">
        <f t="shared" si="23"/>
        <v>44713</v>
      </c>
    </row>
    <row r="1160" spans="2:10" ht="13.8">
      <c r="B1160" s="988">
        <f t="shared" si="21"/>
        <v>44743</v>
      </c>
      <c r="C1160" s="987" t="str">
        <f t="shared" si="22"/>
        <v>MKT Minus Aaa and Aa Avg</v>
      </c>
      <c r="F1160" s="990">
        <v>9.2204472923388181E-2</v>
      </c>
      <c r="H1160" s="987">
        <v>3.5125E-3</v>
      </c>
      <c r="I1160" s="987">
        <f t="shared" si="20"/>
        <v>8.8691972923388179E-2</v>
      </c>
      <c r="J1160" s="988">
        <f t="shared" si="23"/>
        <v>44743</v>
      </c>
    </row>
    <row r="1161" spans="2:10" ht="13.8">
      <c r="B1161" s="988">
        <f t="shared" si="21"/>
        <v>44774</v>
      </c>
      <c r="C1161" s="987" t="str">
        <f t="shared" si="22"/>
        <v>MKT Minus Aaa and Aa Avg</v>
      </c>
      <c r="F1161" s="990">
        <v>-4.0781356308831278E-2</v>
      </c>
      <c r="H1161" s="987">
        <v>3.5125E-3</v>
      </c>
      <c r="I1161" s="987">
        <f t="shared" si="20"/>
        <v>-4.429385630883128E-2</v>
      </c>
      <c r="J1161" s="988">
        <f t="shared" si="23"/>
        <v>44774</v>
      </c>
    </row>
    <row r="1162" spans="2:10">
      <c r="B1162" s="988">
        <f t="shared" si="21"/>
        <v>44805</v>
      </c>
      <c r="C1162" s="987" t="str">
        <f t="shared" si="22"/>
        <v>MKT Minus Aaa and Aa Avg</v>
      </c>
      <c r="F1162" s="987">
        <v>-9.2099512563258087E-2</v>
      </c>
      <c r="H1162" s="987">
        <v>3.9291666666666676E-3</v>
      </c>
      <c r="I1162" s="987">
        <f t="shared" si="20"/>
        <v>-9.6028679229924752E-2</v>
      </c>
      <c r="J1162" s="988">
        <f t="shared" si="23"/>
        <v>44805</v>
      </c>
    </row>
    <row r="1163" spans="2:10">
      <c r="B1163" s="988">
        <f t="shared" si="21"/>
        <v>44835</v>
      </c>
      <c r="C1163" s="987" t="str">
        <f t="shared" si="22"/>
        <v>MKT Minus Aaa and Aa Avg</v>
      </c>
      <c r="F1163" s="987">
        <v>8.9038213159300009E-2</v>
      </c>
      <c r="H1163" s="987">
        <v>4.3750000000000004E-3</v>
      </c>
      <c r="I1163" s="987">
        <f t="shared" si="20"/>
        <v>8.4663213159300005E-2</v>
      </c>
      <c r="J1163" s="988">
        <f t="shared" si="23"/>
        <v>44835</v>
      </c>
    </row>
    <row r="1164" spans="2:10">
      <c r="B1164" s="988">
        <f t="shared" si="21"/>
        <v>44866</v>
      </c>
      <c r="C1164" s="987" t="str">
        <f t="shared" si="22"/>
        <v>MKT Minus Aaa and Aa Avg</v>
      </c>
      <c r="F1164" s="987">
        <v>5.5884750629661535E-2</v>
      </c>
      <c r="H1164" s="987">
        <v>4.2208333333333334E-3</v>
      </c>
      <c r="I1164" s="987">
        <f t="shared" si="20"/>
        <v>5.1663917296328202E-2</v>
      </c>
      <c r="J1164" s="988">
        <f t="shared" si="23"/>
        <v>44866</v>
      </c>
    </row>
    <row r="1165" spans="2:10">
      <c r="B1165" s="988">
        <f t="shared" si="21"/>
        <v>44896</v>
      </c>
      <c r="C1165" s="987" t="str">
        <f t="shared" si="22"/>
        <v>MKT Minus Aaa and Aa Avg</v>
      </c>
      <c r="F1165" s="987">
        <v>-5.5270799723438513E-2</v>
      </c>
      <c r="H1165" s="987">
        <v>3.8166666666666661E-3</v>
      </c>
      <c r="I1165" s="987">
        <f t="shared" si="20"/>
        <v>-5.9087466390105176E-2</v>
      </c>
      <c r="J1165" s="988">
        <f t="shared" si="23"/>
        <v>44896</v>
      </c>
    </row>
  </sheetData>
  <conditionalFormatting sqref="E253:E1026">
    <cfRule type="cellIs" dxfId="13" priority="1" stopIfTrue="1" operator="lessThan">
      <formula>0</formula>
    </cfRule>
  </conditionalFormatting>
  <conditionalFormatting sqref="F253:F1026">
    <cfRule type="cellIs" dxfId="12" priority="2" stopIfTrue="1" operator="lessThan">
      <formula>-1</formula>
    </cfRule>
  </conditionalFormatting>
  <pageMargins left="0.70000000000000007" right="0.70000000000000007" top="0.75" bottom="0.75" header="0.30000000000000004" footer="0.30000000000000004"/>
  <pageSetup paperSize="0" scale="90" fitToWidth="0" fitToHeight="0" orientation="portrait" horizontalDpi="0" verticalDpi="0" copie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5"/>
  <sheetViews>
    <sheetView workbookViewId="0"/>
  </sheetViews>
  <sheetFormatPr defaultColWidth="9" defaultRowHeight="13.2"/>
  <cols>
    <col min="1" max="1" width="10.5546875" style="987" customWidth="1"/>
    <col min="2" max="2" width="10.5546875" style="988" bestFit="1" customWidth="1"/>
    <col min="3" max="3" width="25.109375" style="987" bestFit="1" customWidth="1"/>
    <col min="4" max="4" width="7.33203125" style="987" customWidth="1"/>
    <col min="5" max="5" width="8.33203125" style="987" bestFit="1" customWidth="1"/>
    <col min="6" max="6" width="9.109375" style="987" bestFit="1" customWidth="1"/>
    <col min="7" max="7" width="10.33203125" style="987" customWidth="1"/>
    <col min="8" max="9" width="9.6640625" style="987" bestFit="1" customWidth="1"/>
    <col min="10" max="10" width="10.109375" style="988" bestFit="1" customWidth="1"/>
    <col min="11" max="11" width="9.5546875" style="987" customWidth="1"/>
    <col min="12" max="16384" width="9" style="987"/>
  </cols>
  <sheetData>
    <row r="1" spans="1:10" ht="39.6">
      <c r="A1" s="984" t="s">
        <v>4619</v>
      </c>
      <c r="B1" s="985" t="s">
        <v>4620</v>
      </c>
      <c r="C1" s="984" t="s">
        <v>4621</v>
      </c>
      <c r="D1" s="984" t="s">
        <v>181</v>
      </c>
      <c r="E1" s="984" t="s">
        <v>4622</v>
      </c>
      <c r="F1" s="984" t="s">
        <v>4623</v>
      </c>
      <c r="G1" s="984" t="s">
        <v>4624</v>
      </c>
      <c r="H1" s="986" t="s">
        <v>4625</v>
      </c>
      <c r="I1" s="987" t="s">
        <v>1482</v>
      </c>
      <c r="J1" s="985" t="s">
        <v>4620</v>
      </c>
    </row>
    <row r="2" spans="1:10">
      <c r="B2" s="988">
        <v>9498</v>
      </c>
      <c r="H2" s="986">
        <v>3.0999999999999999E-3</v>
      </c>
      <c r="I2" s="986"/>
      <c r="J2" s="988">
        <v>9498</v>
      </c>
    </row>
    <row r="3" spans="1:10">
      <c r="B3" s="988">
        <v>9529</v>
      </c>
      <c r="H3" s="986">
        <v>2.8E-3</v>
      </c>
      <c r="I3" s="986"/>
      <c r="J3" s="988">
        <v>9529</v>
      </c>
    </row>
    <row r="4" spans="1:10">
      <c r="B4" s="988">
        <v>9557</v>
      </c>
      <c r="H4" s="986">
        <v>3.2000000000000002E-3</v>
      </c>
      <c r="I4" s="986"/>
      <c r="J4" s="988">
        <v>9557</v>
      </c>
    </row>
    <row r="5" spans="1:10">
      <c r="B5" s="988">
        <v>9588</v>
      </c>
      <c r="H5" s="986">
        <v>3.0000000000000001E-3</v>
      </c>
      <c r="I5" s="986"/>
      <c r="J5" s="988">
        <v>9588</v>
      </c>
    </row>
    <row r="6" spans="1:10">
      <c r="B6" s="988">
        <v>9618</v>
      </c>
      <c r="H6" s="986">
        <v>2.8E-3</v>
      </c>
      <c r="I6" s="986"/>
      <c r="J6" s="988">
        <v>9618</v>
      </c>
    </row>
    <row r="7" spans="1:10">
      <c r="B7" s="988">
        <v>9649</v>
      </c>
      <c r="H7" s="986">
        <v>3.3E-3</v>
      </c>
      <c r="I7" s="986"/>
      <c r="J7" s="988">
        <v>9649</v>
      </c>
    </row>
    <row r="8" spans="1:10">
      <c r="B8" s="988">
        <v>9679</v>
      </c>
      <c r="H8" s="986">
        <v>3.0999999999999999E-3</v>
      </c>
      <c r="I8" s="986"/>
      <c r="J8" s="988">
        <v>9679</v>
      </c>
    </row>
    <row r="9" spans="1:10">
      <c r="B9" s="988">
        <v>9710</v>
      </c>
      <c r="H9" s="986">
        <v>3.0999999999999999E-3</v>
      </c>
      <c r="I9" s="986"/>
      <c r="J9" s="988">
        <v>9710</v>
      </c>
    </row>
    <row r="10" spans="1:10">
      <c r="B10" s="988">
        <v>9741</v>
      </c>
      <c r="H10" s="986">
        <v>3.0000000000000001E-3</v>
      </c>
      <c r="I10" s="986"/>
      <c r="J10" s="988">
        <v>9741</v>
      </c>
    </row>
    <row r="11" spans="1:10">
      <c r="B11" s="988">
        <v>9771</v>
      </c>
      <c r="H11" s="986">
        <v>3.0000000000000001E-3</v>
      </c>
      <c r="I11" s="986"/>
      <c r="J11" s="988">
        <v>9771</v>
      </c>
    </row>
    <row r="12" spans="1:10">
      <c r="B12" s="988">
        <v>9802</v>
      </c>
      <c r="H12" s="986">
        <v>3.0999999999999999E-3</v>
      </c>
      <c r="I12" s="986"/>
      <c r="J12" s="988">
        <v>9802</v>
      </c>
    </row>
    <row r="13" spans="1:10">
      <c r="B13" s="988">
        <v>9832</v>
      </c>
      <c r="H13" s="986">
        <v>3.0000000000000001E-3</v>
      </c>
      <c r="I13" s="986"/>
      <c r="J13" s="988">
        <v>9832</v>
      </c>
    </row>
    <row r="14" spans="1:10">
      <c r="B14" s="988">
        <v>9863</v>
      </c>
      <c r="H14" s="986">
        <v>3.0000000000000001E-3</v>
      </c>
      <c r="I14" s="986"/>
      <c r="J14" s="988">
        <v>9863</v>
      </c>
    </row>
    <row r="15" spans="1:10">
      <c r="B15" s="988">
        <v>9894</v>
      </c>
      <c r="H15" s="986">
        <v>2.7000000000000001E-3</v>
      </c>
      <c r="I15" s="986"/>
      <c r="J15" s="988">
        <v>9894</v>
      </c>
    </row>
    <row r="16" spans="1:10">
      <c r="B16" s="988">
        <v>9922</v>
      </c>
      <c r="H16" s="986">
        <v>2.8999999999999998E-3</v>
      </c>
      <c r="I16" s="986"/>
      <c r="J16" s="988">
        <v>9922</v>
      </c>
    </row>
    <row r="17" spans="2:10">
      <c r="B17" s="988">
        <v>9953</v>
      </c>
      <c r="H17" s="986">
        <v>2.7000000000000001E-3</v>
      </c>
      <c r="I17" s="986"/>
      <c r="J17" s="988">
        <v>9953</v>
      </c>
    </row>
    <row r="18" spans="2:10">
      <c r="B18" s="988">
        <v>9983</v>
      </c>
      <c r="H18" s="986">
        <v>2.8E-3</v>
      </c>
      <c r="I18" s="986"/>
      <c r="J18" s="988">
        <v>9983</v>
      </c>
    </row>
    <row r="19" spans="2:10">
      <c r="B19" s="988">
        <v>10014</v>
      </c>
      <c r="H19" s="986">
        <v>2.7000000000000001E-3</v>
      </c>
      <c r="I19" s="986"/>
      <c r="J19" s="988">
        <v>10014</v>
      </c>
    </row>
    <row r="20" spans="2:10">
      <c r="B20" s="988">
        <v>10044</v>
      </c>
      <c r="H20" s="986">
        <v>2.7000000000000001E-3</v>
      </c>
      <c r="I20" s="986"/>
      <c r="J20" s="988">
        <v>10044</v>
      </c>
    </row>
    <row r="21" spans="2:10">
      <c r="B21" s="988">
        <v>10075</v>
      </c>
      <c r="H21" s="986">
        <v>2.8999999999999998E-3</v>
      </c>
      <c r="I21" s="986"/>
      <c r="J21" s="988">
        <v>10075</v>
      </c>
    </row>
    <row r="22" spans="2:10">
      <c r="B22" s="988">
        <v>10106</v>
      </c>
      <c r="H22" s="986">
        <v>2.7000000000000001E-3</v>
      </c>
      <c r="I22" s="986"/>
      <c r="J22" s="988">
        <v>10106</v>
      </c>
    </row>
    <row r="23" spans="2:10">
      <c r="B23" s="988">
        <v>10136</v>
      </c>
      <c r="H23" s="986">
        <v>2.8E-3</v>
      </c>
      <c r="I23" s="986"/>
      <c r="J23" s="988">
        <v>10136</v>
      </c>
    </row>
    <row r="24" spans="2:10">
      <c r="B24" s="988">
        <v>10167</v>
      </c>
      <c r="H24" s="986">
        <v>2.7000000000000001E-3</v>
      </c>
      <c r="I24" s="986"/>
      <c r="J24" s="988">
        <v>10167</v>
      </c>
    </row>
    <row r="25" spans="2:10">
      <c r="B25" s="988">
        <v>10197</v>
      </c>
      <c r="H25" s="986">
        <v>2.7000000000000001E-3</v>
      </c>
      <c r="I25" s="986"/>
      <c r="J25" s="988">
        <v>10197</v>
      </c>
    </row>
    <row r="26" spans="2:10">
      <c r="B26" s="988">
        <v>10228</v>
      </c>
      <c r="H26" s="986">
        <v>2.7000000000000001E-3</v>
      </c>
      <c r="I26" s="986"/>
      <c r="J26" s="988">
        <v>10228</v>
      </c>
    </row>
    <row r="27" spans="2:10">
      <c r="B27" s="988">
        <v>10259</v>
      </c>
      <c r="H27" s="986">
        <v>2.5000000000000001E-3</v>
      </c>
      <c r="I27" s="986"/>
      <c r="J27" s="988">
        <v>10259</v>
      </c>
    </row>
    <row r="28" spans="2:10">
      <c r="B28" s="988">
        <v>10288</v>
      </c>
      <c r="H28" s="986">
        <v>2.7000000000000001E-3</v>
      </c>
      <c r="I28" s="986"/>
      <c r="J28" s="988">
        <v>10288</v>
      </c>
    </row>
    <row r="29" spans="2:10">
      <c r="B29" s="988">
        <v>10319</v>
      </c>
      <c r="H29" s="986">
        <v>2.5999999999999999E-3</v>
      </c>
      <c r="I29" s="986"/>
      <c r="J29" s="988">
        <v>10319</v>
      </c>
    </row>
    <row r="30" spans="2:10">
      <c r="B30" s="988">
        <v>10349</v>
      </c>
      <c r="H30" s="986">
        <v>2.7000000000000001E-3</v>
      </c>
      <c r="I30" s="986"/>
      <c r="J30" s="988">
        <v>10349</v>
      </c>
    </row>
    <row r="31" spans="2:10">
      <c r="B31" s="988">
        <v>10380</v>
      </c>
      <c r="H31" s="986">
        <v>2.7000000000000001E-3</v>
      </c>
      <c r="I31" s="986"/>
      <c r="J31" s="988">
        <v>10380</v>
      </c>
    </row>
    <row r="32" spans="2:10">
      <c r="B32" s="988">
        <v>10410</v>
      </c>
      <c r="H32" s="986">
        <v>2.7000000000000001E-3</v>
      </c>
      <c r="I32" s="986"/>
      <c r="J32" s="988">
        <v>10410</v>
      </c>
    </row>
    <row r="33" spans="2:10">
      <c r="B33" s="988">
        <v>10441</v>
      </c>
      <c r="H33" s="986">
        <v>2.8999999999999998E-3</v>
      </c>
      <c r="I33" s="986"/>
      <c r="J33" s="988">
        <v>10441</v>
      </c>
    </row>
    <row r="34" spans="2:10">
      <c r="B34" s="988">
        <v>10472</v>
      </c>
      <c r="H34" s="986">
        <v>2.7000000000000001E-3</v>
      </c>
      <c r="I34" s="986"/>
      <c r="J34" s="988">
        <v>10472</v>
      </c>
    </row>
    <row r="35" spans="2:10">
      <c r="B35" s="988">
        <v>10502</v>
      </c>
      <c r="H35" s="986">
        <v>3.0000000000000001E-3</v>
      </c>
      <c r="I35" s="986"/>
      <c r="J35" s="988">
        <v>10502</v>
      </c>
    </row>
    <row r="36" spans="2:10">
      <c r="B36" s="988">
        <v>10533</v>
      </c>
      <c r="H36" s="986">
        <v>2.7000000000000001E-3</v>
      </c>
      <c r="I36" s="986"/>
      <c r="J36" s="988">
        <v>10533</v>
      </c>
    </row>
    <row r="37" spans="2:10">
      <c r="B37" s="988">
        <v>10563</v>
      </c>
      <c r="H37" s="986">
        <v>2.8999999999999998E-3</v>
      </c>
      <c r="I37" s="986"/>
      <c r="J37" s="988">
        <v>10563</v>
      </c>
    </row>
    <row r="38" spans="2:10">
      <c r="B38" s="988">
        <v>10594</v>
      </c>
      <c r="H38" s="986">
        <v>2.8999999999999998E-3</v>
      </c>
      <c r="I38" s="986"/>
      <c r="J38" s="988">
        <v>10594</v>
      </c>
    </row>
    <row r="39" spans="2:10">
      <c r="B39" s="988">
        <v>10625</v>
      </c>
      <c r="H39" s="986">
        <v>2.7000000000000001E-3</v>
      </c>
      <c r="I39" s="986"/>
      <c r="J39" s="988">
        <v>10625</v>
      </c>
    </row>
    <row r="40" spans="2:10">
      <c r="B40" s="988">
        <v>10653</v>
      </c>
      <c r="H40" s="986">
        <v>2.8E-3</v>
      </c>
      <c r="I40" s="986"/>
      <c r="J40" s="988">
        <v>10653</v>
      </c>
    </row>
    <row r="41" spans="2:10">
      <c r="B41" s="988">
        <v>10684</v>
      </c>
      <c r="H41" s="986">
        <v>3.3999999999999998E-3</v>
      </c>
      <c r="I41" s="986"/>
      <c r="J41" s="988">
        <v>10684</v>
      </c>
    </row>
    <row r="42" spans="2:10">
      <c r="B42" s="988">
        <v>10714</v>
      </c>
      <c r="H42" s="986">
        <v>3.0000000000000001E-3</v>
      </c>
      <c r="I42" s="986"/>
      <c r="J42" s="988">
        <v>10714</v>
      </c>
    </row>
    <row r="43" spans="2:10">
      <c r="B43" s="988">
        <v>10745</v>
      </c>
      <c r="H43" s="986">
        <v>2.8999999999999998E-3</v>
      </c>
      <c r="I43" s="986"/>
      <c r="J43" s="988">
        <v>10745</v>
      </c>
    </row>
    <row r="44" spans="2:10">
      <c r="B44" s="988">
        <v>10775</v>
      </c>
      <c r="H44" s="986">
        <v>3.2000000000000002E-3</v>
      </c>
      <c r="I44" s="986"/>
      <c r="J44" s="988">
        <v>10775</v>
      </c>
    </row>
    <row r="45" spans="2:10">
      <c r="B45" s="988">
        <v>10806</v>
      </c>
      <c r="H45" s="986">
        <v>3.0000000000000001E-3</v>
      </c>
      <c r="I45" s="986"/>
      <c r="J45" s="988">
        <v>10806</v>
      </c>
    </row>
    <row r="46" spans="2:10">
      <c r="B46" s="988">
        <v>10837</v>
      </c>
      <c r="H46" s="986">
        <v>3.2000000000000002E-3</v>
      </c>
      <c r="I46" s="986"/>
      <c r="J46" s="988">
        <v>10837</v>
      </c>
    </row>
    <row r="47" spans="2:10">
      <c r="B47" s="988">
        <v>10867</v>
      </c>
      <c r="H47" s="986">
        <v>3.0999999999999999E-3</v>
      </c>
      <c r="I47" s="986"/>
      <c r="J47" s="988">
        <v>10867</v>
      </c>
    </row>
    <row r="48" spans="2:10">
      <c r="B48" s="988">
        <v>10898</v>
      </c>
      <c r="H48" s="986">
        <v>2.5999999999999999E-3</v>
      </c>
      <c r="I48" s="986"/>
      <c r="J48" s="988">
        <v>10898</v>
      </c>
    </row>
    <row r="49" spans="2:10">
      <c r="B49" s="988">
        <v>10928</v>
      </c>
      <c r="H49" s="986">
        <v>3.0999999999999999E-3</v>
      </c>
      <c r="I49" s="986"/>
      <c r="J49" s="988">
        <v>10928</v>
      </c>
    </row>
    <row r="50" spans="2:10">
      <c r="B50" s="988">
        <v>10959</v>
      </c>
      <c r="H50" s="986">
        <v>2.8999999999999998E-3</v>
      </c>
      <c r="I50" s="986"/>
      <c r="J50" s="988">
        <v>10959</v>
      </c>
    </row>
    <row r="51" spans="2:10">
      <c r="B51" s="988">
        <v>10990</v>
      </c>
      <c r="H51" s="986">
        <v>2.5999999999999999E-3</v>
      </c>
      <c r="I51" s="986"/>
      <c r="J51" s="988">
        <v>10990</v>
      </c>
    </row>
    <row r="52" spans="2:10">
      <c r="B52" s="988">
        <v>11018</v>
      </c>
      <c r="H52" s="986">
        <v>2.8999999999999998E-3</v>
      </c>
      <c r="I52" s="986"/>
      <c r="J52" s="988">
        <v>11018</v>
      </c>
    </row>
    <row r="53" spans="2:10">
      <c r="B53" s="988">
        <v>11049</v>
      </c>
      <c r="H53" s="986">
        <v>2.7000000000000001E-3</v>
      </c>
      <c r="I53" s="986"/>
      <c r="J53" s="988">
        <v>11049</v>
      </c>
    </row>
    <row r="54" spans="2:10">
      <c r="B54" s="988">
        <v>11079</v>
      </c>
      <c r="H54" s="986">
        <v>2.7000000000000001E-3</v>
      </c>
      <c r="I54" s="986"/>
      <c r="J54" s="988">
        <v>11079</v>
      </c>
    </row>
    <row r="55" spans="2:10">
      <c r="B55" s="988">
        <v>11110</v>
      </c>
      <c r="H55" s="986">
        <v>2.8999999999999998E-3</v>
      </c>
      <c r="I55" s="986"/>
      <c r="J55" s="988">
        <v>11110</v>
      </c>
    </row>
    <row r="56" spans="2:10">
      <c r="B56" s="988">
        <v>11140</v>
      </c>
      <c r="H56" s="986">
        <v>2.8E-3</v>
      </c>
      <c r="I56" s="986"/>
      <c r="J56" s="988">
        <v>11140</v>
      </c>
    </row>
    <row r="57" spans="2:10">
      <c r="B57" s="988">
        <v>11171</v>
      </c>
      <c r="H57" s="986">
        <v>2.5999999999999999E-3</v>
      </c>
      <c r="I57" s="986"/>
      <c r="J57" s="988">
        <v>11171</v>
      </c>
    </row>
    <row r="58" spans="2:10">
      <c r="B58" s="988">
        <v>11202</v>
      </c>
      <c r="H58" s="986">
        <v>2.8999999999999998E-3</v>
      </c>
      <c r="I58" s="986"/>
      <c r="J58" s="988">
        <v>11202</v>
      </c>
    </row>
    <row r="59" spans="2:10">
      <c r="B59" s="988">
        <v>11232</v>
      </c>
      <c r="H59" s="986">
        <v>2.7000000000000001E-3</v>
      </c>
      <c r="I59" s="986"/>
      <c r="J59" s="988">
        <v>11232</v>
      </c>
    </row>
    <row r="60" spans="2:10">
      <c r="B60" s="988">
        <v>11263</v>
      </c>
      <c r="H60" s="986">
        <v>2.5999999999999999E-3</v>
      </c>
      <c r="I60" s="986"/>
      <c r="J60" s="988">
        <v>11263</v>
      </c>
    </row>
    <row r="61" spans="2:10">
      <c r="B61" s="988">
        <v>11293</v>
      </c>
      <c r="H61" s="986">
        <v>2.8E-3</v>
      </c>
      <c r="I61" s="986"/>
      <c r="J61" s="988">
        <v>11293</v>
      </c>
    </row>
    <row r="62" spans="2:10">
      <c r="B62" s="988">
        <v>11324</v>
      </c>
      <c r="H62" s="986">
        <v>2.8E-3</v>
      </c>
      <c r="I62" s="986"/>
      <c r="J62" s="988">
        <v>11324</v>
      </c>
    </row>
    <row r="63" spans="2:10">
      <c r="B63" s="988">
        <v>11355</v>
      </c>
      <c r="H63" s="986">
        <v>2.5999999999999999E-3</v>
      </c>
      <c r="I63" s="986"/>
      <c r="J63" s="988">
        <v>11355</v>
      </c>
    </row>
    <row r="64" spans="2:10">
      <c r="B64" s="988">
        <v>11383</v>
      </c>
      <c r="H64" s="986">
        <v>2.8999999999999998E-3</v>
      </c>
      <c r="I64" s="986"/>
      <c r="J64" s="988">
        <v>11383</v>
      </c>
    </row>
    <row r="65" spans="2:10">
      <c r="B65" s="988">
        <v>11414</v>
      </c>
      <c r="H65" s="986">
        <v>2.7000000000000001E-3</v>
      </c>
      <c r="I65" s="986"/>
      <c r="J65" s="988">
        <v>11414</v>
      </c>
    </row>
    <row r="66" spans="2:10">
      <c r="B66" s="988">
        <v>11444</v>
      </c>
      <c r="H66" s="986">
        <v>2.5999999999999999E-3</v>
      </c>
      <c r="I66" s="986"/>
      <c r="J66" s="988">
        <v>11444</v>
      </c>
    </row>
    <row r="67" spans="2:10">
      <c r="B67" s="988">
        <v>11475</v>
      </c>
      <c r="H67" s="986">
        <v>2.8E-3</v>
      </c>
      <c r="I67" s="986"/>
      <c r="J67" s="988">
        <v>11475</v>
      </c>
    </row>
    <row r="68" spans="2:10">
      <c r="B68" s="988">
        <v>11505</v>
      </c>
      <c r="H68" s="986">
        <v>2.7000000000000001E-3</v>
      </c>
      <c r="I68" s="986"/>
      <c r="J68" s="988">
        <v>11505</v>
      </c>
    </row>
    <row r="69" spans="2:10">
      <c r="B69" s="988">
        <v>11536</v>
      </c>
      <c r="H69" s="986">
        <v>2.7000000000000001E-3</v>
      </c>
      <c r="I69" s="986"/>
      <c r="J69" s="988">
        <v>11536</v>
      </c>
    </row>
    <row r="70" spans="2:10">
      <c r="B70" s="988">
        <v>11567</v>
      </c>
      <c r="H70" s="986">
        <v>2.7000000000000001E-3</v>
      </c>
      <c r="I70" s="986"/>
      <c r="J70" s="988">
        <v>11567</v>
      </c>
    </row>
    <row r="71" spans="2:10">
      <c r="B71" s="988">
        <v>11597</v>
      </c>
      <c r="H71" s="986">
        <v>2.8999999999999998E-3</v>
      </c>
      <c r="I71" s="986"/>
      <c r="J71" s="988">
        <v>11597</v>
      </c>
    </row>
    <row r="72" spans="2:10">
      <c r="B72" s="988">
        <v>11628</v>
      </c>
      <c r="H72" s="986">
        <v>3.0999999999999999E-3</v>
      </c>
      <c r="I72" s="986"/>
      <c r="J72" s="988">
        <v>11628</v>
      </c>
    </row>
    <row r="73" spans="2:10">
      <c r="B73" s="988">
        <v>11658</v>
      </c>
      <c r="H73" s="986">
        <v>3.2000000000000002E-3</v>
      </c>
      <c r="I73" s="986"/>
      <c r="J73" s="988">
        <v>11658</v>
      </c>
    </row>
    <row r="74" spans="2:10">
      <c r="B74" s="988">
        <v>11689</v>
      </c>
      <c r="H74" s="986">
        <v>3.2000000000000002E-3</v>
      </c>
      <c r="I74" s="986"/>
      <c r="J74" s="988">
        <v>11689</v>
      </c>
    </row>
    <row r="75" spans="2:10">
      <c r="B75" s="988">
        <v>11720</v>
      </c>
      <c r="H75" s="986">
        <v>3.2000000000000002E-3</v>
      </c>
      <c r="I75" s="986"/>
      <c r="J75" s="988">
        <v>11720</v>
      </c>
    </row>
    <row r="76" spans="2:10">
      <c r="B76" s="988">
        <v>11749</v>
      </c>
      <c r="H76" s="986">
        <v>3.0999999999999999E-3</v>
      </c>
      <c r="I76" s="986"/>
      <c r="J76" s="988">
        <v>11749</v>
      </c>
    </row>
    <row r="77" spans="2:10">
      <c r="B77" s="988">
        <v>11780</v>
      </c>
      <c r="H77" s="986">
        <v>3.0000000000000001E-3</v>
      </c>
      <c r="I77" s="986"/>
      <c r="J77" s="988">
        <v>11780</v>
      </c>
    </row>
    <row r="78" spans="2:10">
      <c r="B78" s="988">
        <v>11810</v>
      </c>
      <c r="H78" s="986">
        <v>2.8E-3</v>
      </c>
      <c r="I78" s="986"/>
      <c r="J78" s="988">
        <v>11810</v>
      </c>
    </row>
    <row r="79" spans="2:10">
      <c r="B79" s="988">
        <v>11841</v>
      </c>
      <c r="H79" s="986">
        <v>2.8E-3</v>
      </c>
      <c r="I79" s="986"/>
      <c r="J79" s="988">
        <v>11841</v>
      </c>
    </row>
    <row r="80" spans="2:10">
      <c r="B80" s="988">
        <v>11871</v>
      </c>
      <c r="H80" s="986">
        <v>2.8E-3</v>
      </c>
      <c r="I80" s="986"/>
      <c r="J80" s="988">
        <v>11871</v>
      </c>
    </row>
    <row r="81" spans="2:10">
      <c r="B81" s="988">
        <v>11902</v>
      </c>
      <c r="H81" s="986">
        <v>2.8E-3</v>
      </c>
      <c r="I81" s="986"/>
      <c r="J81" s="988">
        <v>11902</v>
      </c>
    </row>
    <row r="82" spans="2:10">
      <c r="B82" s="988">
        <v>11933</v>
      </c>
      <c r="H82" s="986">
        <v>2.5999999999999999E-3</v>
      </c>
      <c r="I82" s="986"/>
      <c r="J82" s="988">
        <v>11933</v>
      </c>
    </row>
    <row r="83" spans="2:10">
      <c r="B83" s="988">
        <v>11963</v>
      </c>
      <c r="H83" s="986">
        <v>2.7000000000000001E-3</v>
      </c>
      <c r="I83" s="986"/>
      <c r="J83" s="988">
        <v>11963</v>
      </c>
    </row>
    <row r="84" spans="2:10">
      <c r="B84" s="988">
        <v>11994</v>
      </c>
      <c r="H84" s="986">
        <v>2.5999999999999999E-3</v>
      </c>
      <c r="I84" s="986"/>
      <c r="J84" s="988">
        <v>11994</v>
      </c>
    </row>
    <row r="85" spans="2:10">
      <c r="B85" s="988">
        <v>12024</v>
      </c>
      <c r="H85" s="986">
        <v>2.7000000000000001E-3</v>
      </c>
      <c r="I85" s="986"/>
      <c r="J85" s="988">
        <v>12024</v>
      </c>
    </row>
    <row r="86" spans="2:10">
      <c r="B86" s="988">
        <v>12055</v>
      </c>
      <c r="H86" s="986">
        <v>2.7000000000000001E-3</v>
      </c>
      <c r="I86" s="986"/>
      <c r="J86" s="988">
        <v>12055</v>
      </c>
    </row>
    <row r="87" spans="2:10">
      <c r="B87" s="988">
        <v>12086</v>
      </c>
      <c r="H87" s="986">
        <v>2.3E-3</v>
      </c>
      <c r="I87" s="986"/>
      <c r="J87" s="988">
        <v>12086</v>
      </c>
    </row>
    <row r="88" spans="2:10">
      <c r="B88" s="988">
        <v>12114</v>
      </c>
      <c r="H88" s="986">
        <v>2.7000000000000001E-3</v>
      </c>
      <c r="I88" s="986"/>
      <c r="J88" s="988">
        <v>12114</v>
      </c>
    </row>
    <row r="89" spans="2:10">
      <c r="B89" s="988">
        <v>12145</v>
      </c>
      <c r="H89" s="986">
        <v>2.5000000000000001E-3</v>
      </c>
      <c r="I89" s="986"/>
      <c r="J89" s="988">
        <v>12145</v>
      </c>
    </row>
    <row r="90" spans="2:10">
      <c r="B90" s="988">
        <v>12175</v>
      </c>
      <c r="H90" s="986">
        <v>2.8E-3</v>
      </c>
      <c r="I90" s="986"/>
      <c r="J90" s="988">
        <v>12175</v>
      </c>
    </row>
    <row r="91" spans="2:10">
      <c r="B91" s="988">
        <v>12206</v>
      </c>
      <c r="H91" s="986">
        <v>2.5000000000000001E-3</v>
      </c>
      <c r="I91" s="986"/>
      <c r="J91" s="988">
        <v>12206</v>
      </c>
    </row>
    <row r="92" spans="2:10">
      <c r="B92" s="988">
        <v>12236</v>
      </c>
      <c r="H92" s="986">
        <v>2.5999999999999999E-3</v>
      </c>
      <c r="I92" s="986"/>
      <c r="J92" s="988">
        <v>12236</v>
      </c>
    </row>
    <row r="93" spans="2:10">
      <c r="B93" s="988">
        <v>12267</v>
      </c>
      <c r="H93" s="986">
        <v>2.5999999999999999E-3</v>
      </c>
      <c r="I93" s="986"/>
      <c r="J93" s="988">
        <v>12267</v>
      </c>
    </row>
    <row r="94" spans="2:10">
      <c r="B94" s="988">
        <v>12298</v>
      </c>
      <c r="H94" s="986">
        <v>2.5000000000000001E-3</v>
      </c>
      <c r="I94" s="986"/>
      <c r="J94" s="988">
        <v>12298</v>
      </c>
    </row>
    <row r="95" spans="2:10">
      <c r="B95" s="988">
        <v>12328</v>
      </c>
      <c r="H95" s="986">
        <v>2.5999999999999999E-3</v>
      </c>
      <c r="I95" s="986"/>
      <c r="J95" s="988">
        <v>12328</v>
      </c>
    </row>
    <row r="96" spans="2:10">
      <c r="B96" s="988">
        <v>12359</v>
      </c>
      <c r="H96" s="986">
        <v>2.5000000000000001E-3</v>
      </c>
      <c r="I96" s="986"/>
      <c r="J96" s="988">
        <v>12359</v>
      </c>
    </row>
    <row r="97" spans="2:10">
      <c r="B97" s="988">
        <v>12389</v>
      </c>
      <c r="H97" s="986">
        <v>2.8E-3</v>
      </c>
      <c r="I97" s="986"/>
      <c r="J97" s="988">
        <v>12389</v>
      </c>
    </row>
    <row r="98" spans="2:10">
      <c r="B98" s="988">
        <v>12420</v>
      </c>
      <c r="H98" s="986">
        <v>2.8999999999999998E-3</v>
      </c>
      <c r="I98" s="986"/>
      <c r="J98" s="988">
        <v>12420</v>
      </c>
    </row>
    <row r="99" spans="2:10">
      <c r="B99" s="988">
        <v>12451</v>
      </c>
      <c r="H99" s="986">
        <v>2.3999999999999998E-3</v>
      </c>
      <c r="I99" s="986"/>
      <c r="J99" s="988">
        <v>12451</v>
      </c>
    </row>
    <row r="100" spans="2:10">
      <c r="B100" s="988">
        <v>12479</v>
      </c>
      <c r="H100" s="986">
        <v>2.7000000000000001E-3</v>
      </c>
      <c r="I100" s="986"/>
      <c r="J100" s="988">
        <v>12479</v>
      </c>
    </row>
    <row r="101" spans="2:10">
      <c r="B101" s="988">
        <v>12510</v>
      </c>
      <c r="H101" s="986">
        <v>2.5000000000000001E-3</v>
      </c>
      <c r="I101" s="986"/>
      <c r="J101" s="988">
        <v>12510</v>
      </c>
    </row>
    <row r="102" spans="2:10">
      <c r="B102" s="988">
        <v>12540</v>
      </c>
      <c r="H102" s="986">
        <v>2.5000000000000001E-3</v>
      </c>
      <c r="I102" s="986"/>
      <c r="J102" s="988">
        <v>12540</v>
      </c>
    </row>
    <row r="103" spans="2:10">
      <c r="B103" s="988">
        <v>12571</v>
      </c>
      <c r="H103" s="986">
        <v>2.3999999999999998E-3</v>
      </c>
      <c r="I103" s="986"/>
      <c r="J103" s="988">
        <v>12571</v>
      </c>
    </row>
    <row r="104" spans="2:10">
      <c r="B104" s="988">
        <v>12601</v>
      </c>
      <c r="H104" s="986">
        <v>2.3999999999999998E-3</v>
      </c>
      <c r="I104" s="986"/>
      <c r="J104" s="988">
        <v>12601</v>
      </c>
    </row>
    <row r="105" spans="2:10">
      <c r="B105" s="988">
        <v>12632</v>
      </c>
      <c r="H105" s="986">
        <v>2.3999999999999998E-3</v>
      </c>
      <c r="I105" s="986"/>
      <c r="J105" s="988">
        <v>12632</v>
      </c>
    </row>
    <row r="106" spans="2:10">
      <c r="B106" s="988">
        <v>12663</v>
      </c>
      <c r="H106" s="986">
        <v>2.3E-3</v>
      </c>
      <c r="I106" s="986"/>
      <c r="J106" s="988">
        <v>12663</v>
      </c>
    </row>
    <row r="107" spans="2:10">
      <c r="B107" s="988">
        <v>12693</v>
      </c>
      <c r="H107" s="986">
        <v>2.7000000000000001E-3</v>
      </c>
      <c r="I107" s="986"/>
      <c r="J107" s="988">
        <v>12693</v>
      </c>
    </row>
    <row r="108" spans="2:10">
      <c r="B108" s="988">
        <v>12724</v>
      </c>
      <c r="H108" s="986">
        <v>2.5000000000000001E-3</v>
      </c>
      <c r="I108" s="986"/>
      <c r="J108" s="988">
        <v>12724</v>
      </c>
    </row>
    <row r="109" spans="2:10">
      <c r="B109" s="988">
        <v>12754</v>
      </c>
      <c r="H109" s="986">
        <v>2.5000000000000001E-3</v>
      </c>
      <c r="I109" s="986"/>
      <c r="J109" s="988">
        <v>12754</v>
      </c>
    </row>
    <row r="110" spans="2:10">
      <c r="B110" s="988">
        <v>12785</v>
      </c>
      <c r="H110" s="986">
        <v>2.5000000000000001E-3</v>
      </c>
      <c r="I110" s="986"/>
      <c r="J110" s="988">
        <v>12785</v>
      </c>
    </row>
    <row r="111" spans="2:10">
      <c r="B111" s="988">
        <v>12816</v>
      </c>
      <c r="H111" s="986">
        <v>2.0999999999999999E-3</v>
      </c>
      <c r="I111" s="986"/>
      <c r="J111" s="988">
        <v>12816</v>
      </c>
    </row>
    <row r="112" spans="2:10">
      <c r="B112" s="988">
        <v>12844</v>
      </c>
      <c r="H112" s="986">
        <v>2.2000000000000001E-3</v>
      </c>
      <c r="I112" s="986"/>
      <c r="J112" s="988">
        <v>12844</v>
      </c>
    </row>
    <row r="113" spans="2:10">
      <c r="B113" s="988">
        <v>12875</v>
      </c>
      <c r="H113" s="986">
        <v>2.3E-3</v>
      </c>
      <c r="I113" s="986"/>
      <c r="J113" s="988">
        <v>12875</v>
      </c>
    </row>
    <row r="114" spans="2:10">
      <c r="B114" s="988">
        <v>12905</v>
      </c>
      <c r="H114" s="986">
        <v>2.3E-3</v>
      </c>
      <c r="I114" s="986"/>
      <c r="J114" s="988">
        <v>12905</v>
      </c>
    </row>
    <row r="115" spans="2:10">
      <c r="B115" s="988">
        <v>12936</v>
      </c>
      <c r="H115" s="986">
        <v>2.2000000000000001E-3</v>
      </c>
      <c r="I115" s="986"/>
      <c r="J115" s="988">
        <v>12936</v>
      </c>
    </row>
    <row r="116" spans="2:10">
      <c r="B116" s="988">
        <v>12966</v>
      </c>
      <c r="H116" s="986">
        <v>2.3999999999999998E-3</v>
      </c>
      <c r="I116" s="986"/>
      <c r="J116" s="988">
        <v>12966</v>
      </c>
    </row>
    <row r="117" spans="2:10">
      <c r="B117" s="988">
        <v>12997</v>
      </c>
      <c r="H117" s="986">
        <v>2.3E-3</v>
      </c>
      <c r="I117" s="986"/>
      <c r="J117" s="988">
        <v>12997</v>
      </c>
    </row>
    <row r="118" spans="2:10">
      <c r="B118" s="988">
        <v>13028</v>
      </c>
      <c r="H118" s="986">
        <v>2.3E-3</v>
      </c>
      <c r="I118" s="986"/>
      <c r="J118" s="988">
        <v>13028</v>
      </c>
    </row>
    <row r="119" spans="2:10">
      <c r="B119" s="988">
        <v>13058</v>
      </c>
      <c r="H119" s="986">
        <v>2.3E-3</v>
      </c>
      <c r="I119" s="986"/>
      <c r="J119" s="988">
        <v>13058</v>
      </c>
    </row>
    <row r="120" spans="2:10">
      <c r="B120" s="988">
        <v>13089</v>
      </c>
      <c r="H120" s="986">
        <v>2.3999999999999998E-3</v>
      </c>
      <c r="I120" s="986"/>
      <c r="J120" s="988">
        <v>13089</v>
      </c>
    </row>
    <row r="121" spans="2:10">
      <c r="B121" s="988">
        <v>13119</v>
      </c>
      <c r="H121" s="986">
        <v>2.3999999999999998E-3</v>
      </c>
      <c r="I121" s="986"/>
      <c r="J121" s="988">
        <v>13119</v>
      </c>
    </row>
    <row r="122" spans="2:10">
      <c r="B122" s="988">
        <v>13150</v>
      </c>
      <c r="H122" s="986">
        <v>2.3999999999999998E-3</v>
      </c>
      <c r="I122" s="986"/>
      <c r="J122" s="988">
        <v>13150</v>
      </c>
    </row>
    <row r="123" spans="2:10">
      <c r="B123" s="988">
        <v>13181</v>
      </c>
      <c r="H123" s="986">
        <v>2.3E-3</v>
      </c>
      <c r="I123" s="986"/>
      <c r="J123" s="988">
        <v>13181</v>
      </c>
    </row>
    <row r="124" spans="2:10">
      <c r="B124" s="988">
        <v>13210</v>
      </c>
      <c r="H124" s="986">
        <v>2.3999999999999998E-3</v>
      </c>
      <c r="I124" s="986"/>
      <c r="J124" s="988">
        <v>13210</v>
      </c>
    </row>
    <row r="125" spans="2:10">
      <c r="B125" s="988">
        <v>13241</v>
      </c>
      <c r="H125" s="986">
        <v>2.2000000000000001E-3</v>
      </c>
      <c r="I125" s="986"/>
      <c r="J125" s="988">
        <v>13241</v>
      </c>
    </row>
    <row r="126" spans="2:10">
      <c r="B126" s="988">
        <v>13271</v>
      </c>
      <c r="H126" s="986">
        <v>2.2000000000000001E-3</v>
      </c>
      <c r="I126" s="986"/>
      <c r="J126" s="988">
        <v>13271</v>
      </c>
    </row>
    <row r="127" spans="2:10">
      <c r="B127" s="988">
        <v>13302</v>
      </c>
      <c r="H127" s="986">
        <v>2.3999999999999998E-3</v>
      </c>
      <c r="I127" s="986"/>
      <c r="J127" s="988">
        <v>13302</v>
      </c>
    </row>
    <row r="128" spans="2:10">
      <c r="B128" s="988">
        <v>13332</v>
      </c>
      <c r="H128" s="986">
        <v>2.3E-3</v>
      </c>
      <c r="I128" s="986"/>
      <c r="J128" s="988">
        <v>13332</v>
      </c>
    </row>
    <row r="129" spans="2:10">
      <c r="B129" s="988">
        <v>13363</v>
      </c>
      <c r="H129" s="986">
        <v>2.3E-3</v>
      </c>
      <c r="I129" s="986"/>
      <c r="J129" s="988">
        <v>13363</v>
      </c>
    </row>
    <row r="130" spans="2:10">
      <c r="B130" s="988">
        <v>13394</v>
      </c>
      <c r="H130" s="986">
        <v>2.0999999999999999E-3</v>
      </c>
      <c r="I130" s="986"/>
      <c r="J130" s="988">
        <v>13394</v>
      </c>
    </row>
    <row r="131" spans="2:10">
      <c r="B131" s="988">
        <v>13424</v>
      </c>
      <c r="H131" s="986">
        <v>2.3E-3</v>
      </c>
      <c r="I131" s="986"/>
      <c r="J131" s="988">
        <v>13424</v>
      </c>
    </row>
    <row r="132" spans="2:10">
      <c r="B132" s="988">
        <v>13455</v>
      </c>
      <c r="H132" s="986">
        <v>2.2000000000000001E-3</v>
      </c>
      <c r="I132" s="986"/>
      <c r="J132" s="988">
        <v>13455</v>
      </c>
    </row>
    <row r="133" spans="2:10">
      <c r="B133" s="988">
        <v>13485</v>
      </c>
      <c r="H133" s="986">
        <v>2.2000000000000001E-3</v>
      </c>
      <c r="I133" s="986"/>
      <c r="J133" s="988">
        <v>13485</v>
      </c>
    </row>
    <row r="134" spans="2:10">
      <c r="B134" s="988">
        <v>13516</v>
      </c>
      <c r="H134" s="986">
        <v>2.0999999999999999E-3</v>
      </c>
      <c r="I134" s="986"/>
      <c r="J134" s="988">
        <v>13516</v>
      </c>
    </row>
    <row r="135" spans="2:10">
      <c r="B135" s="988">
        <v>13547</v>
      </c>
      <c r="H135" s="986">
        <v>2E-3</v>
      </c>
      <c r="I135" s="986"/>
      <c r="J135" s="988">
        <v>13547</v>
      </c>
    </row>
    <row r="136" spans="2:10">
      <c r="B136" s="988">
        <v>13575</v>
      </c>
      <c r="H136" s="986">
        <v>2.2000000000000001E-3</v>
      </c>
      <c r="I136" s="986"/>
      <c r="J136" s="988">
        <v>13575</v>
      </c>
    </row>
    <row r="137" spans="2:10">
      <c r="B137" s="988">
        <v>13606</v>
      </c>
      <c r="H137" s="986">
        <v>2.3E-3</v>
      </c>
      <c r="I137" s="986"/>
      <c r="J137" s="988">
        <v>13606</v>
      </c>
    </row>
    <row r="138" spans="2:10">
      <c r="B138" s="988">
        <v>13636</v>
      </c>
      <c r="H138" s="986">
        <v>2.2000000000000001E-3</v>
      </c>
      <c r="I138" s="986"/>
      <c r="J138" s="988">
        <v>13636</v>
      </c>
    </row>
    <row r="139" spans="2:10">
      <c r="B139" s="988">
        <v>13667</v>
      </c>
      <c r="H139" s="986">
        <v>2.5000000000000001E-3</v>
      </c>
      <c r="I139" s="986"/>
      <c r="J139" s="988">
        <v>13667</v>
      </c>
    </row>
    <row r="140" spans="2:10">
      <c r="B140" s="988">
        <v>13697</v>
      </c>
      <c r="H140" s="986">
        <v>2.3999999999999998E-3</v>
      </c>
      <c r="I140" s="986"/>
      <c r="J140" s="988">
        <v>13697</v>
      </c>
    </row>
    <row r="141" spans="2:10">
      <c r="B141" s="988">
        <v>13728</v>
      </c>
      <c r="H141" s="986">
        <v>2.3E-3</v>
      </c>
      <c r="I141" s="986"/>
      <c r="J141" s="988">
        <v>13728</v>
      </c>
    </row>
    <row r="142" spans="2:10">
      <c r="B142" s="988">
        <v>13759</v>
      </c>
      <c r="H142" s="986">
        <v>2.3E-3</v>
      </c>
      <c r="I142" s="986"/>
      <c r="J142" s="988">
        <v>13759</v>
      </c>
    </row>
    <row r="143" spans="2:10">
      <c r="B143" s="988">
        <v>13789</v>
      </c>
      <c r="H143" s="986">
        <v>2.3E-3</v>
      </c>
      <c r="I143" s="986"/>
      <c r="J143" s="988">
        <v>13789</v>
      </c>
    </row>
    <row r="144" spans="2:10">
      <c r="B144" s="988">
        <v>13820</v>
      </c>
      <c r="H144" s="986">
        <v>2.3999999999999998E-3</v>
      </c>
      <c r="I144" s="986"/>
      <c r="J144" s="988">
        <v>13820</v>
      </c>
    </row>
    <row r="145" spans="2:10">
      <c r="B145" s="988">
        <v>13850</v>
      </c>
      <c r="H145" s="986">
        <v>2.3E-3</v>
      </c>
      <c r="I145" s="986"/>
      <c r="J145" s="988">
        <v>13850</v>
      </c>
    </row>
    <row r="146" spans="2:10">
      <c r="B146" s="988">
        <v>13881</v>
      </c>
      <c r="H146" s="986">
        <v>2.3E-3</v>
      </c>
      <c r="I146" s="986"/>
      <c r="J146" s="988">
        <v>13881</v>
      </c>
    </row>
    <row r="147" spans="2:10">
      <c r="B147" s="988">
        <v>13912</v>
      </c>
      <c r="H147" s="986">
        <v>2.0999999999999999E-3</v>
      </c>
      <c r="I147" s="986"/>
      <c r="J147" s="988">
        <v>13912</v>
      </c>
    </row>
    <row r="148" spans="2:10">
      <c r="B148" s="988">
        <v>13940</v>
      </c>
      <c r="H148" s="986">
        <v>2.3E-3</v>
      </c>
      <c r="I148" s="986"/>
      <c r="J148" s="988">
        <v>13940</v>
      </c>
    </row>
    <row r="149" spans="2:10">
      <c r="B149" s="988">
        <v>13971</v>
      </c>
      <c r="H149" s="986">
        <v>2.2000000000000001E-3</v>
      </c>
      <c r="I149" s="986"/>
      <c r="J149" s="988">
        <v>13971</v>
      </c>
    </row>
    <row r="150" spans="2:10">
      <c r="B150" s="988">
        <v>14001</v>
      </c>
      <c r="H150" s="986">
        <v>2.2000000000000001E-3</v>
      </c>
      <c r="I150" s="986"/>
      <c r="J150" s="988">
        <v>14001</v>
      </c>
    </row>
    <row r="151" spans="2:10">
      <c r="B151" s="988">
        <v>14032</v>
      </c>
      <c r="H151" s="986">
        <v>2.0999999999999999E-3</v>
      </c>
      <c r="I151" s="986"/>
      <c r="J151" s="988">
        <v>14032</v>
      </c>
    </row>
    <row r="152" spans="2:10">
      <c r="B152" s="988">
        <v>14062</v>
      </c>
      <c r="H152" s="986">
        <v>2.0999999999999999E-3</v>
      </c>
      <c r="I152" s="986"/>
      <c r="J152" s="988">
        <v>14062</v>
      </c>
    </row>
    <row r="153" spans="2:10">
      <c r="B153" s="988">
        <v>14093</v>
      </c>
      <c r="H153" s="986">
        <v>2.2000000000000001E-3</v>
      </c>
      <c r="I153" s="986"/>
      <c r="J153" s="988">
        <v>14093</v>
      </c>
    </row>
    <row r="154" spans="2:10">
      <c r="B154" s="988">
        <v>14124</v>
      </c>
      <c r="H154" s="986">
        <v>2.0999999999999999E-3</v>
      </c>
      <c r="I154" s="986"/>
      <c r="J154" s="988">
        <v>14124</v>
      </c>
    </row>
    <row r="155" spans="2:10">
      <c r="B155" s="988">
        <v>14154</v>
      </c>
      <c r="H155" s="986">
        <v>2.2000000000000001E-3</v>
      </c>
      <c r="I155" s="986"/>
      <c r="J155" s="988">
        <v>14154</v>
      </c>
    </row>
    <row r="156" spans="2:10">
      <c r="B156" s="988">
        <v>14185</v>
      </c>
      <c r="H156" s="986">
        <v>2.0999999999999999E-3</v>
      </c>
      <c r="I156" s="986"/>
      <c r="J156" s="988">
        <v>14185</v>
      </c>
    </row>
    <row r="157" spans="2:10">
      <c r="B157" s="988">
        <v>14215</v>
      </c>
      <c r="H157" s="986">
        <v>2.2000000000000001E-3</v>
      </c>
      <c r="I157" s="986"/>
      <c r="J157" s="988">
        <v>14215</v>
      </c>
    </row>
    <row r="158" spans="2:10">
      <c r="B158" s="988">
        <v>14246</v>
      </c>
      <c r="H158" s="986">
        <v>2.0999999999999999E-3</v>
      </c>
      <c r="I158" s="986"/>
      <c r="J158" s="988">
        <v>14246</v>
      </c>
    </row>
    <row r="159" spans="2:10">
      <c r="B159" s="988">
        <v>14277</v>
      </c>
      <c r="H159" s="986">
        <v>1.9E-3</v>
      </c>
      <c r="I159" s="986"/>
      <c r="J159" s="988">
        <v>14277</v>
      </c>
    </row>
    <row r="160" spans="2:10">
      <c r="B160" s="988">
        <v>14305</v>
      </c>
      <c r="H160" s="986">
        <v>2.0999999999999999E-3</v>
      </c>
      <c r="I160" s="986"/>
      <c r="J160" s="988">
        <v>14305</v>
      </c>
    </row>
    <row r="161" spans="2:10">
      <c r="B161" s="988">
        <v>14336</v>
      </c>
      <c r="H161" s="986">
        <v>1.9E-3</v>
      </c>
      <c r="I161" s="986"/>
      <c r="J161" s="988">
        <v>14336</v>
      </c>
    </row>
    <row r="162" spans="2:10">
      <c r="B162" s="988">
        <v>14366</v>
      </c>
      <c r="H162" s="986">
        <v>2E-3</v>
      </c>
      <c r="I162" s="986"/>
      <c r="J162" s="988">
        <v>14366</v>
      </c>
    </row>
    <row r="163" spans="2:10">
      <c r="B163" s="988">
        <v>14397</v>
      </c>
      <c r="H163" s="986">
        <v>1.8E-3</v>
      </c>
      <c r="I163" s="986"/>
      <c r="J163" s="988">
        <v>14397</v>
      </c>
    </row>
    <row r="164" spans="2:10">
      <c r="B164" s="988">
        <v>14427</v>
      </c>
      <c r="H164" s="986">
        <v>1.9E-3</v>
      </c>
      <c r="I164" s="986"/>
      <c r="J164" s="988">
        <v>14427</v>
      </c>
    </row>
    <row r="165" spans="2:10">
      <c r="B165" s="988">
        <v>14458</v>
      </c>
      <c r="H165" s="986">
        <v>1.8E-3</v>
      </c>
      <c r="I165" s="986"/>
      <c r="J165" s="988">
        <v>14458</v>
      </c>
    </row>
    <row r="166" spans="2:10">
      <c r="B166" s="988">
        <v>14489</v>
      </c>
      <c r="H166" s="986">
        <v>1.9E-3</v>
      </c>
      <c r="I166" s="986"/>
      <c r="J166" s="988">
        <v>14489</v>
      </c>
    </row>
    <row r="167" spans="2:10">
      <c r="B167" s="988">
        <v>14519</v>
      </c>
      <c r="H167" s="986">
        <v>2.3E-3</v>
      </c>
      <c r="I167" s="986"/>
      <c r="J167" s="988">
        <v>14519</v>
      </c>
    </row>
    <row r="168" spans="2:10">
      <c r="B168" s="988">
        <v>14550</v>
      </c>
      <c r="H168" s="986">
        <v>2E-3</v>
      </c>
      <c r="I168" s="986"/>
      <c r="J168" s="988">
        <v>14550</v>
      </c>
    </row>
    <row r="169" spans="2:10">
      <c r="B169" s="988">
        <v>14580</v>
      </c>
      <c r="H169" s="986">
        <v>1.9E-3</v>
      </c>
      <c r="I169" s="986"/>
      <c r="J169" s="988">
        <v>14580</v>
      </c>
    </row>
    <row r="170" spans="2:10">
      <c r="B170" s="988">
        <v>14611</v>
      </c>
      <c r="H170" s="986">
        <v>2E-3</v>
      </c>
      <c r="I170" s="986"/>
      <c r="J170" s="988">
        <v>14611</v>
      </c>
    </row>
    <row r="171" spans="2:10">
      <c r="B171" s="988">
        <v>14642</v>
      </c>
      <c r="H171" s="986">
        <v>1.8E-3</v>
      </c>
      <c r="I171" s="986"/>
      <c r="J171" s="988">
        <v>14642</v>
      </c>
    </row>
    <row r="172" spans="2:10">
      <c r="B172" s="988">
        <v>14671</v>
      </c>
      <c r="H172" s="986">
        <v>1.9E-3</v>
      </c>
      <c r="I172" s="986"/>
      <c r="J172" s="988">
        <v>14671</v>
      </c>
    </row>
    <row r="173" spans="2:10">
      <c r="B173" s="988">
        <v>14702</v>
      </c>
      <c r="H173" s="986">
        <v>1.8E-3</v>
      </c>
      <c r="I173" s="986"/>
      <c r="J173" s="988">
        <v>14702</v>
      </c>
    </row>
    <row r="174" spans="2:10">
      <c r="B174" s="988">
        <v>14732</v>
      </c>
      <c r="H174" s="986">
        <v>1.9E-3</v>
      </c>
      <c r="I174" s="986"/>
      <c r="J174" s="988">
        <v>14732</v>
      </c>
    </row>
    <row r="175" spans="2:10">
      <c r="B175" s="988">
        <v>14763</v>
      </c>
      <c r="H175" s="986">
        <v>1.9E-3</v>
      </c>
      <c r="I175" s="986"/>
      <c r="J175" s="988">
        <v>14763</v>
      </c>
    </row>
    <row r="176" spans="2:10">
      <c r="B176" s="988">
        <v>14793</v>
      </c>
      <c r="H176" s="986">
        <v>2E-3</v>
      </c>
      <c r="I176" s="986"/>
      <c r="J176" s="988">
        <v>14793</v>
      </c>
    </row>
    <row r="177" spans="2:10">
      <c r="B177" s="988">
        <v>14824</v>
      </c>
      <c r="H177" s="986">
        <v>1.9E-3</v>
      </c>
      <c r="I177" s="986"/>
      <c r="J177" s="988">
        <v>14824</v>
      </c>
    </row>
    <row r="178" spans="2:10">
      <c r="B178" s="988">
        <v>14855</v>
      </c>
      <c r="H178" s="986">
        <v>1.8E-3</v>
      </c>
      <c r="I178" s="986"/>
      <c r="J178" s="988">
        <v>14855</v>
      </c>
    </row>
    <row r="179" spans="2:10">
      <c r="B179" s="988">
        <v>14885</v>
      </c>
      <c r="H179" s="986">
        <v>1.8E-3</v>
      </c>
      <c r="I179" s="986"/>
      <c r="J179" s="988">
        <v>14885</v>
      </c>
    </row>
    <row r="180" spans="2:10">
      <c r="B180" s="988">
        <v>14916</v>
      </c>
      <c r="H180" s="986">
        <v>1.8E-3</v>
      </c>
      <c r="I180" s="986"/>
      <c r="J180" s="988">
        <v>14916</v>
      </c>
    </row>
    <row r="181" spans="2:10">
      <c r="B181" s="988">
        <v>14946</v>
      </c>
      <c r="H181" s="986">
        <v>1.6999999999999999E-3</v>
      </c>
      <c r="I181" s="986"/>
      <c r="J181" s="988">
        <v>14946</v>
      </c>
    </row>
    <row r="182" spans="2:10">
      <c r="B182" s="988">
        <v>14977</v>
      </c>
      <c r="H182" s="986">
        <v>1.6000000000000001E-3</v>
      </c>
      <c r="I182" s="986"/>
      <c r="J182" s="988">
        <v>14977</v>
      </c>
    </row>
    <row r="183" spans="2:10">
      <c r="B183" s="988">
        <v>15008</v>
      </c>
      <c r="H183" s="986">
        <v>1.6000000000000001E-3</v>
      </c>
      <c r="I183" s="986"/>
      <c r="J183" s="988">
        <v>15008</v>
      </c>
    </row>
    <row r="184" spans="2:10">
      <c r="B184" s="988">
        <v>15036</v>
      </c>
      <c r="H184" s="986">
        <v>1.8E-3</v>
      </c>
      <c r="I184" s="986"/>
      <c r="J184" s="988">
        <v>15036</v>
      </c>
    </row>
    <row r="185" spans="2:10">
      <c r="B185" s="988">
        <v>15067</v>
      </c>
      <c r="H185" s="986">
        <v>1.6999999999999999E-3</v>
      </c>
      <c r="I185" s="986"/>
      <c r="J185" s="988">
        <v>15067</v>
      </c>
    </row>
    <row r="186" spans="2:10">
      <c r="B186" s="988">
        <v>15097</v>
      </c>
      <c r="H186" s="986">
        <v>1.6999999999999999E-3</v>
      </c>
      <c r="I186" s="986"/>
      <c r="J186" s="988">
        <v>15097</v>
      </c>
    </row>
    <row r="187" spans="2:10">
      <c r="B187" s="988">
        <v>15128</v>
      </c>
      <c r="H187" s="986">
        <v>1.6000000000000001E-3</v>
      </c>
      <c r="I187" s="986"/>
      <c r="J187" s="988">
        <v>15128</v>
      </c>
    </row>
    <row r="188" spans="2:10">
      <c r="B188" s="988">
        <v>15158</v>
      </c>
      <c r="H188" s="986">
        <v>1.6000000000000001E-3</v>
      </c>
      <c r="I188" s="986"/>
      <c r="J188" s="988">
        <v>15158</v>
      </c>
    </row>
    <row r="189" spans="2:10">
      <c r="B189" s="988">
        <v>15189</v>
      </c>
      <c r="H189" s="986">
        <v>1.6000000000000001E-3</v>
      </c>
      <c r="I189" s="986"/>
      <c r="J189" s="988">
        <v>15189</v>
      </c>
    </row>
    <row r="190" spans="2:10">
      <c r="B190" s="988">
        <v>15220</v>
      </c>
      <c r="H190" s="986">
        <v>1.6000000000000001E-3</v>
      </c>
      <c r="I190" s="986"/>
      <c r="J190" s="988">
        <v>15220</v>
      </c>
    </row>
    <row r="191" spans="2:10">
      <c r="B191" s="988">
        <v>15250</v>
      </c>
      <c r="H191" s="986">
        <v>1.6000000000000001E-3</v>
      </c>
      <c r="I191" s="986"/>
      <c r="J191" s="988">
        <v>15250</v>
      </c>
    </row>
    <row r="192" spans="2:10">
      <c r="B192" s="988">
        <v>15281</v>
      </c>
      <c r="H192" s="986">
        <v>1.4E-3</v>
      </c>
      <c r="I192" s="986"/>
      <c r="J192" s="988">
        <v>15281</v>
      </c>
    </row>
    <row r="193" spans="2:10">
      <c r="B193" s="988">
        <v>15311</v>
      </c>
      <c r="H193" s="986">
        <v>1.6000000000000001E-3</v>
      </c>
      <c r="I193" s="986"/>
      <c r="J193" s="988">
        <v>15311</v>
      </c>
    </row>
    <row r="194" spans="2:10">
      <c r="B194" s="988">
        <v>15342</v>
      </c>
      <c r="H194" s="986">
        <v>2.0999999999999999E-3</v>
      </c>
      <c r="I194" s="986"/>
      <c r="J194" s="988">
        <v>15342</v>
      </c>
    </row>
    <row r="195" spans="2:10">
      <c r="B195" s="988">
        <v>15373</v>
      </c>
      <c r="H195" s="986">
        <v>1.9E-3</v>
      </c>
      <c r="I195" s="986"/>
      <c r="J195" s="988">
        <v>15373</v>
      </c>
    </row>
    <row r="196" spans="2:10">
      <c r="B196" s="988">
        <v>15401</v>
      </c>
      <c r="H196" s="986">
        <v>2.0999999999999999E-3</v>
      </c>
      <c r="I196" s="986"/>
      <c r="J196" s="988">
        <v>15401</v>
      </c>
    </row>
    <row r="197" spans="2:10">
      <c r="B197" s="988">
        <v>15432</v>
      </c>
      <c r="H197" s="986">
        <v>2E-3</v>
      </c>
      <c r="I197" s="986"/>
      <c r="J197" s="988">
        <v>15432</v>
      </c>
    </row>
    <row r="198" spans="2:10">
      <c r="B198" s="988">
        <v>15462</v>
      </c>
      <c r="H198" s="986">
        <v>1.9E-3</v>
      </c>
      <c r="I198" s="986"/>
      <c r="J198" s="988">
        <v>15462</v>
      </c>
    </row>
    <row r="199" spans="2:10">
      <c r="B199" s="988">
        <v>15493</v>
      </c>
      <c r="H199" s="986">
        <v>2.0999999999999999E-3</v>
      </c>
      <c r="I199" s="986"/>
      <c r="J199" s="988">
        <v>15493</v>
      </c>
    </row>
    <row r="200" spans="2:10">
      <c r="B200" s="988">
        <v>15523</v>
      </c>
      <c r="H200" s="986">
        <v>2.0999999999999999E-3</v>
      </c>
      <c r="I200" s="986"/>
      <c r="J200" s="988">
        <v>15523</v>
      </c>
    </row>
    <row r="201" spans="2:10">
      <c r="B201" s="988">
        <v>15554</v>
      </c>
      <c r="H201" s="986">
        <v>2.0999999999999999E-3</v>
      </c>
      <c r="I201" s="986"/>
      <c r="J201" s="988">
        <v>15554</v>
      </c>
    </row>
    <row r="202" spans="2:10">
      <c r="B202" s="988">
        <v>15585</v>
      </c>
      <c r="H202" s="986">
        <v>2E-3</v>
      </c>
      <c r="I202" s="986"/>
      <c r="J202" s="988">
        <v>15585</v>
      </c>
    </row>
    <row r="203" spans="2:10">
      <c r="B203" s="988">
        <v>15615</v>
      </c>
      <c r="H203" s="986">
        <v>2.0999999999999999E-3</v>
      </c>
      <c r="I203" s="986"/>
      <c r="J203" s="988">
        <v>15615</v>
      </c>
    </row>
    <row r="204" spans="2:10">
      <c r="B204" s="988">
        <v>15646</v>
      </c>
      <c r="H204" s="986">
        <v>2E-3</v>
      </c>
      <c r="I204" s="986"/>
      <c r="J204" s="988">
        <v>15646</v>
      </c>
    </row>
    <row r="205" spans="2:10">
      <c r="B205" s="988">
        <v>15676</v>
      </c>
      <c r="H205" s="986">
        <v>2.0999999999999999E-3</v>
      </c>
      <c r="I205" s="986"/>
      <c r="J205" s="988">
        <v>15676</v>
      </c>
    </row>
    <row r="206" spans="2:10">
      <c r="B206" s="988">
        <v>15707</v>
      </c>
      <c r="H206" s="986">
        <v>2E-3</v>
      </c>
      <c r="I206" s="986"/>
      <c r="J206" s="988">
        <v>15707</v>
      </c>
    </row>
    <row r="207" spans="2:10">
      <c r="B207" s="988">
        <v>15738</v>
      </c>
      <c r="H207" s="986">
        <v>1.9E-3</v>
      </c>
      <c r="I207" s="986"/>
      <c r="J207" s="988">
        <v>15738</v>
      </c>
    </row>
    <row r="208" spans="2:10">
      <c r="B208" s="988">
        <v>15766</v>
      </c>
      <c r="H208" s="986">
        <v>2.0999999999999999E-3</v>
      </c>
      <c r="I208" s="986"/>
      <c r="J208" s="988">
        <v>15766</v>
      </c>
    </row>
    <row r="209" spans="2:10">
      <c r="B209" s="988">
        <v>15797</v>
      </c>
      <c r="H209" s="986">
        <v>2E-3</v>
      </c>
      <c r="I209" s="986"/>
      <c r="J209" s="988">
        <v>15797</v>
      </c>
    </row>
    <row r="210" spans="2:10">
      <c r="B210" s="988">
        <v>15827</v>
      </c>
      <c r="H210" s="986">
        <v>1.9E-3</v>
      </c>
      <c r="I210" s="986"/>
      <c r="J210" s="988">
        <v>15827</v>
      </c>
    </row>
    <row r="211" spans="2:10">
      <c r="B211" s="988">
        <v>15858</v>
      </c>
      <c r="H211" s="986">
        <v>2.0999999999999999E-3</v>
      </c>
      <c r="I211" s="986"/>
      <c r="J211" s="988">
        <v>15858</v>
      </c>
    </row>
    <row r="212" spans="2:10">
      <c r="B212" s="988">
        <v>15888</v>
      </c>
      <c r="H212" s="986">
        <v>2.0999999999999999E-3</v>
      </c>
      <c r="I212" s="986"/>
      <c r="J212" s="988">
        <v>15888</v>
      </c>
    </row>
    <row r="213" spans="2:10">
      <c r="B213" s="988">
        <v>15919</v>
      </c>
      <c r="H213" s="986">
        <v>2.0999999999999999E-3</v>
      </c>
      <c r="I213" s="986"/>
      <c r="J213" s="988">
        <v>15919</v>
      </c>
    </row>
    <row r="214" spans="2:10">
      <c r="B214" s="988">
        <v>15950</v>
      </c>
      <c r="H214" s="986">
        <v>2E-3</v>
      </c>
      <c r="I214" s="986"/>
      <c r="J214" s="988">
        <v>15950</v>
      </c>
    </row>
    <row r="215" spans="2:10">
      <c r="B215" s="988">
        <v>15980</v>
      </c>
      <c r="H215" s="986">
        <v>2E-3</v>
      </c>
      <c r="I215" s="986"/>
      <c r="J215" s="988">
        <v>15980</v>
      </c>
    </row>
    <row r="216" spans="2:10">
      <c r="B216" s="988">
        <v>16011</v>
      </c>
      <c r="H216" s="986">
        <v>2.0999999999999999E-3</v>
      </c>
      <c r="I216" s="986"/>
      <c r="J216" s="988">
        <v>16011</v>
      </c>
    </row>
    <row r="217" spans="2:10">
      <c r="B217" s="988">
        <v>16041</v>
      </c>
      <c r="H217" s="986">
        <v>2.0999999999999999E-3</v>
      </c>
      <c r="I217" s="986"/>
      <c r="J217" s="988">
        <v>16041</v>
      </c>
    </row>
    <row r="218" spans="2:10">
      <c r="B218" s="988">
        <v>16072</v>
      </c>
      <c r="H218" s="986">
        <v>2.0999999999999999E-3</v>
      </c>
      <c r="I218" s="986"/>
      <c r="J218" s="988">
        <v>16072</v>
      </c>
    </row>
    <row r="219" spans="2:10">
      <c r="B219" s="988">
        <v>16103</v>
      </c>
      <c r="H219" s="986">
        <v>2E-3</v>
      </c>
      <c r="I219" s="986"/>
      <c r="J219" s="988">
        <v>16103</v>
      </c>
    </row>
    <row r="220" spans="2:10">
      <c r="B220" s="988">
        <v>16132</v>
      </c>
      <c r="H220" s="986">
        <v>2.0999999999999999E-3</v>
      </c>
      <c r="I220" s="986"/>
      <c r="J220" s="988">
        <v>16132</v>
      </c>
    </row>
    <row r="221" spans="2:10">
      <c r="B221" s="988">
        <v>16163</v>
      </c>
      <c r="H221" s="986">
        <v>2E-3</v>
      </c>
      <c r="I221" s="986"/>
      <c r="J221" s="988">
        <v>16163</v>
      </c>
    </row>
    <row r="222" spans="2:10">
      <c r="B222" s="988">
        <v>16193</v>
      </c>
      <c r="H222" s="986">
        <v>2.2000000000000001E-3</v>
      </c>
      <c r="I222" s="986"/>
      <c r="J222" s="988">
        <v>16193</v>
      </c>
    </row>
    <row r="223" spans="2:10">
      <c r="B223" s="988">
        <v>16224</v>
      </c>
      <c r="H223" s="986">
        <v>2E-3</v>
      </c>
      <c r="I223" s="986"/>
      <c r="J223" s="988">
        <v>16224</v>
      </c>
    </row>
    <row r="224" spans="2:10">
      <c r="B224" s="988">
        <v>16254</v>
      </c>
      <c r="H224" s="986">
        <v>2.0999999999999999E-3</v>
      </c>
      <c r="I224" s="986"/>
      <c r="J224" s="988">
        <v>16254</v>
      </c>
    </row>
    <row r="225" spans="2:10">
      <c r="B225" s="988">
        <v>16285</v>
      </c>
      <c r="H225" s="986">
        <v>2.0999999999999999E-3</v>
      </c>
      <c r="I225" s="986"/>
      <c r="J225" s="988">
        <v>16285</v>
      </c>
    </row>
    <row r="226" spans="2:10">
      <c r="B226" s="988">
        <v>16316</v>
      </c>
      <c r="H226" s="986">
        <v>2E-3</v>
      </c>
      <c r="I226" s="986"/>
      <c r="J226" s="988">
        <v>16316</v>
      </c>
    </row>
    <row r="227" spans="2:10">
      <c r="B227" s="988">
        <v>16346</v>
      </c>
      <c r="H227" s="986">
        <v>2.0999999999999999E-3</v>
      </c>
      <c r="I227" s="986"/>
      <c r="J227" s="988">
        <v>16346</v>
      </c>
    </row>
    <row r="228" spans="2:10">
      <c r="B228" s="988">
        <v>16377</v>
      </c>
      <c r="H228" s="986">
        <v>2E-3</v>
      </c>
      <c r="I228" s="986"/>
      <c r="J228" s="988">
        <v>16377</v>
      </c>
    </row>
    <row r="229" spans="2:10">
      <c r="B229" s="988">
        <v>16407</v>
      </c>
      <c r="H229" s="986">
        <v>2E-3</v>
      </c>
      <c r="I229" s="986"/>
      <c r="J229" s="988">
        <v>16407</v>
      </c>
    </row>
    <row r="230" spans="2:10">
      <c r="B230" s="988">
        <v>16438</v>
      </c>
      <c r="H230" s="986">
        <v>2.0999999999999999E-3</v>
      </c>
      <c r="I230" s="986"/>
      <c r="J230" s="988">
        <v>16438</v>
      </c>
    </row>
    <row r="231" spans="2:10">
      <c r="B231" s="988">
        <v>16469</v>
      </c>
      <c r="H231" s="986">
        <v>1.8E-3</v>
      </c>
      <c r="I231" s="986"/>
      <c r="J231" s="988">
        <v>16469</v>
      </c>
    </row>
    <row r="232" spans="2:10">
      <c r="B232" s="988">
        <v>16497</v>
      </c>
      <c r="H232" s="986">
        <v>2E-3</v>
      </c>
      <c r="I232" s="986"/>
      <c r="J232" s="988">
        <v>16497</v>
      </c>
    </row>
    <row r="233" spans="2:10">
      <c r="B233" s="988">
        <v>16528</v>
      </c>
      <c r="H233" s="986">
        <v>1.9E-3</v>
      </c>
      <c r="I233" s="986"/>
      <c r="J233" s="988">
        <v>16528</v>
      </c>
    </row>
    <row r="234" spans="2:10">
      <c r="B234" s="988">
        <v>16558</v>
      </c>
      <c r="H234" s="986">
        <v>1.9E-3</v>
      </c>
      <c r="I234" s="986"/>
      <c r="J234" s="988">
        <v>16558</v>
      </c>
    </row>
    <row r="235" spans="2:10">
      <c r="B235" s="988">
        <v>16589</v>
      </c>
      <c r="H235" s="986">
        <v>1.9E-3</v>
      </c>
      <c r="I235" s="986"/>
      <c r="J235" s="988">
        <v>16589</v>
      </c>
    </row>
    <row r="236" spans="2:10">
      <c r="B236" s="988">
        <v>16619</v>
      </c>
      <c r="H236" s="986">
        <v>1.8E-3</v>
      </c>
      <c r="I236" s="986"/>
      <c r="J236" s="988">
        <v>16619</v>
      </c>
    </row>
    <row r="237" spans="2:10">
      <c r="B237" s="988">
        <v>16650</v>
      </c>
      <c r="H237" s="986">
        <v>1.9E-3</v>
      </c>
      <c r="I237" s="986"/>
      <c r="J237" s="988">
        <v>16650</v>
      </c>
    </row>
    <row r="238" spans="2:10">
      <c r="B238" s="988">
        <v>16681</v>
      </c>
      <c r="H238" s="986">
        <v>1.8E-3</v>
      </c>
      <c r="I238" s="986"/>
      <c r="J238" s="988">
        <v>16681</v>
      </c>
    </row>
    <row r="239" spans="2:10">
      <c r="B239" s="988">
        <v>16711</v>
      </c>
      <c r="H239" s="986">
        <v>1.9E-3</v>
      </c>
      <c r="I239" s="986"/>
      <c r="J239" s="988">
        <v>16711</v>
      </c>
    </row>
    <row r="240" spans="2:10">
      <c r="B240" s="988">
        <v>16742</v>
      </c>
      <c r="H240" s="986">
        <v>1.8E-3</v>
      </c>
      <c r="I240" s="986"/>
      <c r="J240" s="988">
        <v>16742</v>
      </c>
    </row>
    <row r="241" spans="2:10">
      <c r="B241" s="988">
        <v>16772</v>
      </c>
      <c r="H241" s="986">
        <v>1.8E-3</v>
      </c>
      <c r="I241" s="986"/>
      <c r="J241" s="988">
        <v>16772</v>
      </c>
    </row>
    <row r="242" spans="2:10">
      <c r="B242" s="988">
        <v>16803</v>
      </c>
      <c r="H242" s="986">
        <v>1.6999999999999999E-3</v>
      </c>
      <c r="I242" s="986"/>
      <c r="J242" s="988">
        <v>16803</v>
      </c>
    </row>
    <row r="243" spans="2:10">
      <c r="B243" s="988">
        <v>16834</v>
      </c>
      <c r="H243" s="986">
        <v>1.5E-3</v>
      </c>
      <c r="I243" s="986"/>
      <c r="J243" s="988">
        <v>16834</v>
      </c>
    </row>
    <row r="244" spans="2:10">
      <c r="B244" s="988">
        <v>16862</v>
      </c>
      <c r="H244" s="986">
        <v>1.6000000000000001E-3</v>
      </c>
      <c r="I244" s="986"/>
      <c r="J244" s="988">
        <v>16862</v>
      </c>
    </row>
    <row r="245" spans="2:10">
      <c r="B245" s="988">
        <v>16893</v>
      </c>
      <c r="H245" s="986">
        <v>1.6999999999999999E-3</v>
      </c>
      <c r="I245" s="986"/>
      <c r="J245" s="988">
        <v>16893</v>
      </c>
    </row>
    <row r="246" spans="2:10">
      <c r="B246" s="988">
        <v>16923</v>
      </c>
      <c r="H246" s="986">
        <v>1.8E-3</v>
      </c>
      <c r="I246" s="986"/>
      <c r="J246" s="988">
        <v>16923</v>
      </c>
    </row>
    <row r="247" spans="2:10">
      <c r="B247" s="988">
        <v>16954</v>
      </c>
      <c r="H247" s="986">
        <v>1.6000000000000001E-3</v>
      </c>
      <c r="I247" s="986"/>
      <c r="J247" s="988">
        <v>16954</v>
      </c>
    </row>
    <row r="248" spans="2:10">
      <c r="B248" s="988">
        <v>16984</v>
      </c>
      <c r="H248" s="986">
        <v>1.9E-3</v>
      </c>
      <c r="I248" s="986"/>
      <c r="J248" s="988">
        <v>16984</v>
      </c>
    </row>
    <row r="249" spans="2:10">
      <c r="B249" s="988">
        <v>17015</v>
      </c>
      <c r="H249" s="986">
        <v>1.6999999999999999E-3</v>
      </c>
      <c r="I249" s="986"/>
      <c r="J249" s="988">
        <v>17015</v>
      </c>
    </row>
    <row r="250" spans="2:10">
      <c r="B250" s="988">
        <v>17046</v>
      </c>
      <c r="H250" s="986">
        <v>1.8E-3</v>
      </c>
      <c r="I250" s="986"/>
      <c r="J250" s="988">
        <v>17046</v>
      </c>
    </row>
    <row r="251" spans="2:10">
      <c r="B251" s="988">
        <v>17076</v>
      </c>
      <c r="H251" s="986">
        <v>1.9E-3</v>
      </c>
      <c r="I251" s="986"/>
      <c r="J251" s="988">
        <v>17076</v>
      </c>
    </row>
    <row r="252" spans="2:10">
      <c r="B252" s="988">
        <v>17107</v>
      </c>
      <c r="H252" s="986">
        <v>1.8E-3</v>
      </c>
      <c r="I252" s="986"/>
      <c r="J252" s="988">
        <v>17107</v>
      </c>
    </row>
    <row r="253" spans="2:10">
      <c r="B253" s="988">
        <v>17137</v>
      </c>
      <c r="H253" s="986">
        <v>1.9E-3</v>
      </c>
      <c r="I253" s="986"/>
      <c r="J253" s="988">
        <v>17137</v>
      </c>
    </row>
    <row r="254" spans="2:10">
      <c r="B254" s="988">
        <v>17168</v>
      </c>
      <c r="H254" s="986">
        <v>1.8E-3</v>
      </c>
      <c r="I254" s="986"/>
      <c r="J254" s="988">
        <v>17168</v>
      </c>
    </row>
    <row r="255" spans="2:10">
      <c r="B255" s="988">
        <v>17199</v>
      </c>
      <c r="H255" s="986">
        <v>1.6000000000000001E-3</v>
      </c>
      <c r="I255" s="986"/>
      <c r="J255" s="988">
        <v>17199</v>
      </c>
    </row>
    <row r="256" spans="2:10">
      <c r="B256" s="988">
        <v>17227</v>
      </c>
      <c r="H256" s="986">
        <v>1.8E-3</v>
      </c>
      <c r="I256" s="986"/>
      <c r="J256" s="988">
        <v>17227</v>
      </c>
    </row>
    <row r="257" spans="2:10">
      <c r="B257" s="988">
        <v>17258</v>
      </c>
      <c r="H257" s="986">
        <v>1.6999999999999999E-3</v>
      </c>
      <c r="I257" s="986"/>
      <c r="J257" s="988">
        <v>17258</v>
      </c>
    </row>
    <row r="258" spans="2:10">
      <c r="B258" s="988">
        <v>17288</v>
      </c>
      <c r="H258" s="986">
        <v>1.6999999999999999E-3</v>
      </c>
      <c r="I258" s="986"/>
      <c r="J258" s="988">
        <v>17288</v>
      </c>
    </row>
    <row r="259" spans="2:10">
      <c r="B259" s="988">
        <v>17319</v>
      </c>
      <c r="H259" s="986">
        <v>1.9E-3</v>
      </c>
      <c r="I259" s="986"/>
      <c r="J259" s="988">
        <v>17319</v>
      </c>
    </row>
    <row r="260" spans="2:10">
      <c r="B260" s="988">
        <v>17349</v>
      </c>
      <c r="H260" s="986">
        <v>1.8E-3</v>
      </c>
      <c r="I260" s="986"/>
      <c r="J260" s="988">
        <v>17349</v>
      </c>
    </row>
    <row r="261" spans="2:10">
      <c r="B261" s="988">
        <v>17380</v>
      </c>
      <c r="H261" s="986">
        <v>1.6999999999999999E-3</v>
      </c>
      <c r="I261" s="986"/>
      <c r="J261" s="988">
        <v>17380</v>
      </c>
    </row>
    <row r="262" spans="2:10">
      <c r="B262" s="988">
        <v>17411</v>
      </c>
      <c r="H262" s="986">
        <v>1.8E-3</v>
      </c>
      <c r="I262" s="986"/>
      <c r="J262" s="988">
        <v>17411</v>
      </c>
    </row>
    <row r="263" spans="2:10">
      <c r="B263" s="988">
        <v>17441</v>
      </c>
      <c r="H263" s="986">
        <v>1.8E-3</v>
      </c>
      <c r="I263" s="986"/>
      <c r="J263" s="988">
        <v>17441</v>
      </c>
    </row>
    <row r="264" spans="2:10">
      <c r="B264" s="988">
        <v>17472</v>
      </c>
      <c r="H264" s="986">
        <v>1.6999999999999999E-3</v>
      </c>
      <c r="I264" s="986"/>
      <c r="J264" s="988">
        <v>17472</v>
      </c>
    </row>
    <row r="265" spans="2:10">
      <c r="B265" s="988">
        <v>17502</v>
      </c>
      <c r="H265" s="986">
        <v>2.0999999999999999E-3</v>
      </c>
      <c r="I265" s="986"/>
      <c r="J265" s="988">
        <v>17502</v>
      </c>
    </row>
    <row r="266" spans="2:10">
      <c r="B266" s="988">
        <v>17533</v>
      </c>
      <c r="H266" s="986">
        <v>2E-3</v>
      </c>
      <c r="I266" s="986"/>
      <c r="J266" s="988">
        <v>17533</v>
      </c>
    </row>
    <row r="267" spans="2:10">
      <c r="B267" s="988">
        <v>17564</v>
      </c>
      <c r="H267" s="986">
        <v>1.9E-3</v>
      </c>
      <c r="I267" s="986"/>
      <c r="J267" s="988">
        <v>17564</v>
      </c>
    </row>
    <row r="268" spans="2:10">
      <c r="B268" s="988">
        <v>17593</v>
      </c>
      <c r="H268" s="986">
        <v>2.2000000000000001E-3</v>
      </c>
      <c r="I268" s="986"/>
      <c r="J268" s="988">
        <v>17593</v>
      </c>
    </row>
    <row r="269" spans="2:10">
      <c r="B269" s="988">
        <v>17624</v>
      </c>
      <c r="H269" s="986">
        <v>2E-3</v>
      </c>
      <c r="I269" s="986"/>
      <c r="J269" s="988">
        <v>17624</v>
      </c>
    </row>
    <row r="270" spans="2:10">
      <c r="B270" s="988">
        <v>17654</v>
      </c>
      <c r="H270" s="986">
        <v>1.8E-3</v>
      </c>
      <c r="I270" s="986"/>
      <c r="J270" s="988">
        <v>17654</v>
      </c>
    </row>
    <row r="271" spans="2:10">
      <c r="B271" s="988">
        <v>17685</v>
      </c>
      <c r="H271" s="986">
        <v>2.0999999999999999E-3</v>
      </c>
      <c r="I271" s="986"/>
      <c r="J271" s="988">
        <v>17685</v>
      </c>
    </row>
    <row r="272" spans="2:10">
      <c r="B272" s="988">
        <v>17715</v>
      </c>
      <c r="H272" s="986">
        <v>1.9E-3</v>
      </c>
      <c r="I272" s="986"/>
      <c r="J272" s="988">
        <v>17715</v>
      </c>
    </row>
    <row r="273" spans="2:10">
      <c r="B273" s="988">
        <v>17746</v>
      </c>
      <c r="H273" s="986">
        <v>2.0999999999999999E-3</v>
      </c>
      <c r="I273" s="986"/>
      <c r="J273" s="988">
        <v>17746</v>
      </c>
    </row>
    <row r="274" spans="2:10">
      <c r="B274" s="988">
        <v>17777</v>
      </c>
      <c r="H274" s="986">
        <v>2E-3</v>
      </c>
      <c r="I274" s="986"/>
      <c r="J274" s="988">
        <v>17777</v>
      </c>
    </row>
    <row r="275" spans="2:10">
      <c r="B275" s="988">
        <v>17807</v>
      </c>
      <c r="H275" s="986">
        <v>1.9E-3</v>
      </c>
      <c r="I275" s="986"/>
      <c r="J275" s="988">
        <v>17807</v>
      </c>
    </row>
    <row r="276" spans="2:10">
      <c r="B276" s="988">
        <v>17838</v>
      </c>
      <c r="H276" s="986">
        <v>2.0999999999999999E-3</v>
      </c>
      <c r="I276" s="986"/>
      <c r="J276" s="988">
        <v>17838</v>
      </c>
    </row>
    <row r="277" spans="2:10">
      <c r="B277" s="988">
        <v>17868</v>
      </c>
      <c r="H277" s="986">
        <v>2E-3</v>
      </c>
      <c r="I277" s="986"/>
      <c r="J277" s="988">
        <v>17868</v>
      </c>
    </row>
    <row r="278" spans="2:10">
      <c r="B278" s="988">
        <v>17899</v>
      </c>
      <c r="H278" s="986">
        <v>2E-3</v>
      </c>
      <c r="I278" s="986"/>
      <c r="J278" s="988">
        <v>17899</v>
      </c>
    </row>
    <row r="279" spans="2:10">
      <c r="B279" s="988">
        <v>17930</v>
      </c>
      <c r="H279" s="986">
        <v>1.8E-3</v>
      </c>
      <c r="I279" s="986"/>
      <c r="J279" s="988">
        <v>17930</v>
      </c>
    </row>
    <row r="280" spans="2:10">
      <c r="B280" s="988">
        <v>17958</v>
      </c>
      <c r="H280" s="986">
        <v>1.9E-3</v>
      </c>
      <c r="I280" s="986"/>
      <c r="J280" s="988">
        <v>17958</v>
      </c>
    </row>
    <row r="281" spans="2:10">
      <c r="B281" s="988">
        <v>17989</v>
      </c>
      <c r="H281" s="986">
        <v>1.8E-3</v>
      </c>
      <c r="I281" s="986"/>
      <c r="J281" s="988">
        <v>17989</v>
      </c>
    </row>
    <row r="282" spans="2:10">
      <c r="B282" s="988">
        <v>18019</v>
      </c>
      <c r="H282" s="986">
        <v>2E-3</v>
      </c>
      <c r="I282" s="986"/>
      <c r="J282" s="988">
        <v>18019</v>
      </c>
    </row>
    <row r="283" spans="2:10">
      <c r="B283" s="988">
        <v>18050</v>
      </c>
      <c r="H283" s="986">
        <v>1.9E-3</v>
      </c>
      <c r="I283" s="986"/>
      <c r="J283" s="988">
        <v>18050</v>
      </c>
    </row>
    <row r="284" spans="2:10">
      <c r="B284" s="988">
        <v>18080</v>
      </c>
      <c r="H284" s="986">
        <v>1.6999999999999999E-3</v>
      </c>
      <c r="I284" s="986"/>
      <c r="J284" s="988">
        <v>18080</v>
      </c>
    </row>
    <row r="285" spans="2:10">
      <c r="B285" s="988">
        <v>18111</v>
      </c>
      <c r="H285" s="986">
        <v>1.9E-3</v>
      </c>
      <c r="I285" s="986"/>
      <c r="J285" s="988">
        <v>18111</v>
      </c>
    </row>
    <row r="286" spans="2:10">
      <c r="B286" s="988">
        <v>18142</v>
      </c>
      <c r="H286" s="986">
        <v>1.6999999999999999E-3</v>
      </c>
      <c r="I286" s="986"/>
      <c r="J286" s="988">
        <v>18142</v>
      </c>
    </row>
    <row r="287" spans="2:10">
      <c r="B287" s="988">
        <v>18172</v>
      </c>
      <c r="H287" s="986">
        <v>1.8E-3</v>
      </c>
      <c r="I287" s="986"/>
      <c r="J287" s="988">
        <v>18172</v>
      </c>
    </row>
    <row r="288" spans="2:10">
      <c r="B288" s="988">
        <v>18203</v>
      </c>
      <c r="H288" s="986">
        <v>1.6999999999999999E-3</v>
      </c>
      <c r="I288" s="986"/>
      <c r="J288" s="988">
        <v>18203</v>
      </c>
    </row>
    <row r="289" spans="2:10">
      <c r="B289" s="988">
        <v>18233</v>
      </c>
      <c r="H289" s="986">
        <v>1.6999999999999999E-3</v>
      </c>
      <c r="I289" s="986"/>
      <c r="J289" s="988">
        <v>18233</v>
      </c>
    </row>
    <row r="290" spans="2:10">
      <c r="B290" s="988">
        <v>18264</v>
      </c>
      <c r="H290" s="986">
        <v>1.8E-3</v>
      </c>
      <c r="I290" s="986"/>
      <c r="J290" s="988">
        <v>18264</v>
      </c>
    </row>
    <row r="291" spans="2:10">
      <c r="B291" s="988">
        <v>18295</v>
      </c>
      <c r="H291" s="986">
        <v>1.6000000000000001E-3</v>
      </c>
      <c r="I291" s="986"/>
      <c r="J291" s="988">
        <v>18295</v>
      </c>
    </row>
    <row r="292" spans="2:10">
      <c r="B292" s="988">
        <v>18323</v>
      </c>
      <c r="H292" s="986">
        <v>1.8E-3</v>
      </c>
      <c r="I292" s="986"/>
      <c r="J292" s="988">
        <v>18323</v>
      </c>
    </row>
    <row r="293" spans="2:10">
      <c r="B293" s="988">
        <v>18354</v>
      </c>
      <c r="H293" s="986">
        <v>1.6000000000000001E-3</v>
      </c>
      <c r="I293" s="986"/>
      <c r="J293" s="988">
        <v>18354</v>
      </c>
    </row>
    <row r="294" spans="2:10">
      <c r="B294" s="988">
        <v>18384</v>
      </c>
      <c r="H294" s="986">
        <v>1.9E-3</v>
      </c>
      <c r="I294" s="986"/>
      <c r="J294" s="988">
        <v>18384</v>
      </c>
    </row>
    <row r="295" spans="2:10">
      <c r="B295" s="988">
        <v>18415</v>
      </c>
      <c r="H295" s="986">
        <v>1.6999999999999999E-3</v>
      </c>
      <c r="I295" s="986"/>
      <c r="J295" s="988">
        <v>18415</v>
      </c>
    </row>
    <row r="296" spans="2:10">
      <c r="B296" s="988">
        <v>18445</v>
      </c>
      <c r="H296" s="986">
        <v>1.8E-3</v>
      </c>
      <c r="I296" s="986"/>
      <c r="J296" s="988">
        <v>18445</v>
      </c>
    </row>
    <row r="297" spans="2:10">
      <c r="B297" s="988">
        <v>18476</v>
      </c>
      <c r="H297" s="986">
        <v>1.8E-3</v>
      </c>
      <c r="I297" s="986"/>
      <c r="J297" s="988">
        <v>18476</v>
      </c>
    </row>
    <row r="298" spans="2:10">
      <c r="B298" s="988">
        <v>18507</v>
      </c>
      <c r="H298" s="986">
        <v>1.6999999999999999E-3</v>
      </c>
      <c r="I298" s="986"/>
      <c r="J298" s="988">
        <v>18507</v>
      </c>
    </row>
    <row r="299" spans="2:10">
      <c r="B299" s="988">
        <v>18537</v>
      </c>
      <c r="H299" s="986">
        <v>1.9E-3</v>
      </c>
      <c r="I299" s="986"/>
      <c r="J299" s="988">
        <v>18537</v>
      </c>
    </row>
    <row r="300" spans="2:10">
      <c r="B300" s="988">
        <v>18568</v>
      </c>
      <c r="H300" s="986">
        <v>1.8E-3</v>
      </c>
      <c r="I300" s="986"/>
      <c r="J300" s="988">
        <v>18568</v>
      </c>
    </row>
    <row r="301" spans="2:10">
      <c r="B301" s="988">
        <v>18598</v>
      </c>
      <c r="H301" s="986">
        <v>1.8E-3</v>
      </c>
      <c r="I301" s="986"/>
      <c r="J301" s="988">
        <v>18598</v>
      </c>
    </row>
    <row r="302" spans="2:10">
      <c r="B302" s="988">
        <v>18629</v>
      </c>
      <c r="H302" s="986">
        <v>2E-3</v>
      </c>
      <c r="I302" s="986"/>
      <c r="J302" s="988">
        <v>18629</v>
      </c>
    </row>
    <row r="303" spans="2:10">
      <c r="B303" s="988">
        <v>18660</v>
      </c>
      <c r="H303" s="986">
        <v>1.6999999999999999E-3</v>
      </c>
      <c r="I303" s="986"/>
      <c r="J303" s="988">
        <v>18660</v>
      </c>
    </row>
    <row r="304" spans="2:10">
      <c r="B304" s="988">
        <v>18688</v>
      </c>
      <c r="H304" s="986">
        <v>1.9E-3</v>
      </c>
      <c r="I304" s="986"/>
      <c r="J304" s="988">
        <v>18688</v>
      </c>
    </row>
    <row r="305" spans="2:10">
      <c r="B305" s="988">
        <v>18719</v>
      </c>
      <c r="H305" s="986">
        <v>2E-3</v>
      </c>
      <c r="I305" s="986"/>
      <c r="J305" s="988">
        <v>18719</v>
      </c>
    </row>
    <row r="306" spans="2:10">
      <c r="B306" s="988">
        <v>18749</v>
      </c>
      <c r="H306" s="986">
        <v>2.0999999999999999E-3</v>
      </c>
      <c r="I306" s="986"/>
      <c r="J306" s="988">
        <v>18749</v>
      </c>
    </row>
    <row r="307" spans="2:10">
      <c r="B307" s="988">
        <v>18780</v>
      </c>
      <c r="H307" s="986">
        <v>2E-3</v>
      </c>
      <c r="I307" s="986"/>
      <c r="J307" s="988">
        <v>18780</v>
      </c>
    </row>
    <row r="308" spans="2:10">
      <c r="B308" s="988">
        <v>18810</v>
      </c>
      <c r="H308" s="986">
        <v>2.3E-3</v>
      </c>
      <c r="I308" s="986"/>
      <c r="J308" s="988">
        <v>18810</v>
      </c>
    </row>
    <row r="309" spans="2:10">
      <c r="B309" s="988">
        <v>18841</v>
      </c>
      <c r="H309" s="986">
        <v>2.0999999999999999E-3</v>
      </c>
      <c r="I309" s="986"/>
      <c r="J309" s="988">
        <v>18841</v>
      </c>
    </row>
    <row r="310" spans="2:10">
      <c r="B310" s="988">
        <v>18872</v>
      </c>
      <c r="H310" s="986">
        <v>1.9E-3</v>
      </c>
      <c r="I310" s="986"/>
      <c r="J310" s="988">
        <v>18872</v>
      </c>
    </row>
    <row r="311" spans="2:10">
      <c r="B311" s="988">
        <v>18902</v>
      </c>
      <c r="H311" s="986">
        <v>2.3E-3</v>
      </c>
      <c r="I311" s="986"/>
      <c r="J311" s="988">
        <v>18902</v>
      </c>
    </row>
    <row r="312" spans="2:10">
      <c r="B312" s="988">
        <v>18933</v>
      </c>
      <c r="H312" s="986">
        <v>2.0999999999999999E-3</v>
      </c>
      <c r="I312" s="986"/>
      <c r="J312" s="988">
        <v>18933</v>
      </c>
    </row>
    <row r="313" spans="2:10">
      <c r="B313" s="988">
        <v>18963</v>
      </c>
      <c r="H313" s="986">
        <v>2.2000000000000001E-3</v>
      </c>
      <c r="I313" s="986"/>
      <c r="J313" s="988">
        <v>18963</v>
      </c>
    </row>
    <row r="314" spans="2:10">
      <c r="B314" s="988">
        <v>18994</v>
      </c>
      <c r="H314" s="986">
        <v>2.3E-3</v>
      </c>
      <c r="I314" s="986"/>
      <c r="J314" s="988">
        <v>18994</v>
      </c>
    </row>
    <row r="315" spans="2:10">
      <c r="B315" s="988">
        <v>19025</v>
      </c>
      <c r="H315" s="986">
        <v>2.0999999999999999E-3</v>
      </c>
      <c r="I315" s="986"/>
      <c r="J315" s="988">
        <v>19025</v>
      </c>
    </row>
    <row r="316" spans="2:10">
      <c r="B316" s="988">
        <v>19054</v>
      </c>
      <c r="H316" s="986">
        <v>2.3E-3</v>
      </c>
      <c r="I316" s="986"/>
      <c r="J316" s="988">
        <v>19054</v>
      </c>
    </row>
    <row r="317" spans="2:10">
      <c r="B317" s="988">
        <v>19085</v>
      </c>
      <c r="H317" s="986">
        <v>2.2000000000000001E-3</v>
      </c>
      <c r="I317" s="986"/>
      <c r="J317" s="988">
        <v>19085</v>
      </c>
    </row>
    <row r="318" spans="2:10">
      <c r="B318" s="988">
        <v>19115</v>
      </c>
      <c r="H318" s="986">
        <v>2E-3</v>
      </c>
      <c r="I318" s="986"/>
      <c r="J318" s="988">
        <v>19115</v>
      </c>
    </row>
    <row r="319" spans="2:10">
      <c r="B319" s="988">
        <v>19146</v>
      </c>
      <c r="H319" s="986">
        <v>2.2000000000000001E-3</v>
      </c>
      <c r="I319" s="986"/>
      <c r="J319" s="988">
        <v>19146</v>
      </c>
    </row>
    <row r="320" spans="2:10">
      <c r="B320" s="988">
        <v>19176</v>
      </c>
      <c r="H320" s="986">
        <v>2.2000000000000001E-3</v>
      </c>
      <c r="I320" s="986"/>
      <c r="J320" s="988">
        <v>19176</v>
      </c>
    </row>
    <row r="321" spans="2:10">
      <c r="B321" s="988">
        <v>19207</v>
      </c>
      <c r="H321" s="986">
        <v>2.0999999999999999E-3</v>
      </c>
      <c r="I321" s="986"/>
      <c r="J321" s="988">
        <v>19207</v>
      </c>
    </row>
    <row r="322" spans="2:10">
      <c r="B322" s="988">
        <v>19238</v>
      </c>
      <c r="H322" s="986">
        <v>2.3E-3</v>
      </c>
      <c r="I322" s="986"/>
      <c r="J322" s="988">
        <v>19238</v>
      </c>
    </row>
    <row r="323" spans="2:10">
      <c r="B323" s="988">
        <v>19268</v>
      </c>
      <c r="H323" s="986">
        <v>2.3E-3</v>
      </c>
      <c r="I323" s="986"/>
      <c r="J323" s="988">
        <v>19268</v>
      </c>
    </row>
    <row r="324" spans="2:10">
      <c r="B324" s="988">
        <v>19299</v>
      </c>
      <c r="H324" s="986">
        <v>2.0999999999999999E-3</v>
      </c>
      <c r="I324" s="986"/>
      <c r="J324" s="988">
        <v>19299</v>
      </c>
    </row>
    <row r="325" spans="2:10">
      <c r="B325" s="988">
        <v>19329</v>
      </c>
      <c r="H325" s="986">
        <v>2.3999999999999998E-3</v>
      </c>
      <c r="I325" s="986"/>
      <c r="J325" s="988">
        <v>19329</v>
      </c>
    </row>
    <row r="326" spans="2:10">
      <c r="B326" s="988">
        <v>19360</v>
      </c>
      <c r="H326" s="986">
        <v>2.3E-3</v>
      </c>
      <c r="I326" s="986"/>
      <c r="J326" s="988">
        <v>19360</v>
      </c>
    </row>
    <row r="327" spans="2:10">
      <c r="B327" s="988">
        <v>19391</v>
      </c>
      <c r="H327" s="986">
        <v>2.0999999999999999E-3</v>
      </c>
      <c r="I327" s="986"/>
      <c r="J327" s="988">
        <v>19391</v>
      </c>
    </row>
    <row r="328" spans="2:10">
      <c r="B328" s="988">
        <v>19419</v>
      </c>
      <c r="H328" s="986">
        <v>2.5000000000000001E-3</v>
      </c>
      <c r="I328" s="986"/>
      <c r="J328" s="988">
        <v>19419</v>
      </c>
    </row>
    <row r="329" spans="2:10">
      <c r="B329" s="988">
        <v>19450</v>
      </c>
      <c r="H329" s="986">
        <v>2.3999999999999998E-3</v>
      </c>
      <c r="I329" s="986"/>
      <c r="J329" s="988">
        <v>19450</v>
      </c>
    </row>
    <row r="330" spans="2:10">
      <c r="B330" s="988">
        <v>19480</v>
      </c>
      <c r="H330" s="986">
        <v>2.3999999999999998E-3</v>
      </c>
      <c r="I330" s="986"/>
      <c r="J330" s="988">
        <v>19480</v>
      </c>
    </row>
    <row r="331" spans="2:10">
      <c r="B331" s="988">
        <v>19511</v>
      </c>
      <c r="H331" s="986">
        <v>2.7000000000000001E-3</v>
      </c>
      <c r="I331" s="986"/>
      <c r="J331" s="988">
        <v>19511</v>
      </c>
    </row>
    <row r="332" spans="2:10">
      <c r="B332" s="988">
        <v>19541</v>
      </c>
      <c r="H332" s="986">
        <v>2.5000000000000001E-3</v>
      </c>
      <c r="I332" s="986"/>
      <c r="J332" s="988">
        <v>19541</v>
      </c>
    </row>
    <row r="333" spans="2:10">
      <c r="B333" s="988">
        <v>19572</v>
      </c>
      <c r="H333" s="986">
        <v>2.5000000000000001E-3</v>
      </c>
      <c r="I333" s="986"/>
      <c r="J333" s="988">
        <v>19572</v>
      </c>
    </row>
    <row r="334" spans="2:10">
      <c r="B334" s="988">
        <v>19603</v>
      </c>
      <c r="H334" s="986">
        <v>2.5000000000000001E-3</v>
      </c>
      <c r="I334" s="986"/>
      <c r="J334" s="988">
        <v>19603</v>
      </c>
    </row>
    <row r="335" spans="2:10">
      <c r="B335" s="988">
        <v>19633</v>
      </c>
      <c r="H335" s="986">
        <v>2.3E-3</v>
      </c>
      <c r="I335" s="986"/>
      <c r="J335" s="988">
        <v>19633</v>
      </c>
    </row>
    <row r="336" spans="2:10">
      <c r="B336" s="988">
        <v>19664</v>
      </c>
      <c r="H336" s="986">
        <v>2.3999999999999998E-3</v>
      </c>
      <c r="I336" s="986"/>
      <c r="J336" s="988">
        <v>19664</v>
      </c>
    </row>
    <row r="337" spans="2:10">
      <c r="B337" s="988">
        <v>19694</v>
      </c>
      <c r="H337" s="986">
        <v>2.3999999999999998E-3</v>
      </c>
      <c r="I337" s="986"/>
      <c r="J337" s="988">
        <v>19694</v>
      </c>
    </row>
    <row r="338" spans="2:10">
      <c r="B338" s="988">
        <v>19725</v>
      </c>
      <c r="H338" s="986">
        <v>2.3E-3</v>
      </c>
      <c r="I338" s="986"/>
      <c r="J338" s="988">
        <v>19725</v>
      </c>
    </row>
    <row r="339" spans="2:10">
      <c r="B339" s="988">
        <v>19756</v>
      </c>
      <c r="H339" s="986">
        <v>2.2000000000000001E-3</v>
      </c>
      <c r="I339" s="986"/>
      <c r="J339" s="988">
        <v>19756</v>
      </c>
    </row>
    <row r="340" spans="2:10">
      <c r="B340" s="988">
        <v>19784</v>
      </c>
      <c r="H340" s="986">
        <v>2.5000000000000001E-3</v>
      </c>
      <c r="I340" s="986"/>
      <c r="J340" s="988">
        <v>19784</v>
      </c>
    </row>
    <row r="341" spans="2:10">
      <c r="B341" s="988">
        <v>19815</v>
      </c>
      <c r="H341" s="986">
        <v>2.2000000000000001E-3</v>
      </c>
      <c r="I341" s="986"/>
      <c r="J341" s="988">
        <v>19815</v>
      </c>
    </row>
    <row r="342" spans="2:10">
      <c r="B342" s="988">
        <v>19845</v>
      </c>
      <c r="H342" s="986">
        <v>2E-3</v>
      </c>
      <c r="I342" s="986"/>
      <c r="J342" s="988">
        <v>19845</v>
      </c>
    </row>
    <row r="343" spans="2:10">
      <c r="B343" s="988">
        <v>19876</v>
      </c>
      <c r="H343" s="986">
        <v>2.5000000000000001E-3</v>
      </c>
      <c r="I343" s="986"/>
      <c r="J343" s="988">
        <v>19876</v>
      </c>
    </row>
    <row r="344" spans="2:10">
      <c r="B344" s="988">
        <v>19906</v>
      </c>
      <c r="H344" s="986">
        <v>2.2000000000000001E-3</v>
      </c>
      <c r="I344" s="986"/>
      <c r="J344" s="988">
        <v>19906</v>
      </c>
    </row>
    <row r="345" spans="2:10">
      <c r="B345" s="988">
        <v>19937</v>
      </c>
      <c r="H345" s="986">
        <v>2.3E-3</v>
      </c>
      <c r="I345" s="986"/>
      <c r="J345" s="988">
        <v>19937</v>
      </c>
    </row>
    <row r="346" spans="2:10">
      <c r="B346" s="988">
        <v>19968</v>
      </c>
      <c r="H346" s="986">
        <v>2.2000000000000001E-3</v>
      </c>
      <c r="I346" s="986"/>
      <c r="J346" s="988">
        <v>19968</v>
      </c>
    </row>
    <row r="347" spans="2:10">
      <c r="B347" s="988">
        <v>19998</v>
      </c>
      <c r="H347" s="986">
        <v>2.0999999999999999E-3</v>
      </c>
      <c r="I347" s="986"/>
      <c r="J347" s="988">
        <v>19998</v>
      </c>
    </row>
    <row r="348" spans="2:10">
      <c r="B348" s="988">
        <v>20029</v>
      </c>
      <c r="H348" s="986">
        <v>2.3E-3</v>
      </c>
      <c r="I348" s="986"/>
      <c r="J348" s="988">
        <v>20029</v>
      </c>
    </row>
    <row r="349" spans="2:10">
      <c r="B349" s="988">
        <v>20059</v>
      </c>
      <c r="H349" s="986">
        <v>2.3E-3</v>
      </c>
      <c r="I349" s="986"/>
      <c r="J349" s="988">
        <v>20059</v>
      </c>
    </row>
    <row r="350" spans="2:10">
      <c r="B350" s="988">
        <v>20090</v>
      </c>
      <c r="H350" s="986">
        <v>2.2000000000000001E-3</v>
      </c>
      <c r="I350" s="986"/>
      <c r="J350" s="988">
        <v>20090</v>
      </c>
    </row>
    <row r="351" spans="2:10">
      <c r="B351" s="988">
        <v>20121</v>
      </c>
      <c r="H351" s="986">
        <v>2.2000000000000001E-3</v>
      </c>
      <c r="I351" s="986"/>
      <c r="J351" s="988">
        <v>20121</v>
      </c>
    </row>
    <row r="352" spans="2:10">
      <c r="B352" s="988">
        <v>20149</v>
      </c>
      <c r="H352" s="986">
        <v>2.3999999999999998E-3</v>
      </c>
      <c r="I352" s="986"/>
      <c r="J352" s="988">
        <v>20149</v>
      </c>
    </row>
    <row r="353" spans="2:10">
      <c r="B353" s="988">
        <v>20180</v>
      </c>
      <c r="H353" s="986">
        <v>2.2000000000000001E-3</v>
      </c>
      <c r="I353" s="986"/>
      <c r="J353" s="988">
        <v>20180</v>
      </c>
    </row>
    <row r="354" spans="2:10">
      <c r="B354" s="988">
        <v>20210</v>
      </c>
      <c r="H354" s="986">
        <v>2.5000000000000001E-3</v>
      </c>
      <c r="I354" s="986"/>
      <c r="J354" s="988">
        <v>20210</v>
      </c>
    </row>
    <row r="355" spans="2:10">
      <c r="B355" s="988">
        <v>20241</v>
      </c>
      <c r="H355" s="986">
        <v>2.3E-3</v>
      </c>
      <c r="I355" s="986"/>
      <c r="J355" s="988">
        <v>20241</v>
      </c>
    </row>
    <row r="356" spans="2:10">
      <c r="B356" s="988">
        <v>20271</v>
      </c>
      <c r="H356" s="986">
        <v>2.3E-3</v>
      </c>
      <c r="I356" s="986"/>
      <c r="J356" s="988">
        <v>20271</v>
      </c>
    </row>
    <row r="357" spans="2:10">
      <c r="B357" s="988">
        <v>20302</v>
      </c>
      <c r="H357" s="986">
        <v>2.7000000000000001E-3</v>
      </c>
      <c r="I357" s="986"/>
      <c r="J357" s="988">
        <v>20302</v>
      </c>
    </row>
    <row r="358" spans="2:10">
      <c r="B358" s="988">
        <v>20333</v>
      </c>
      <c r="H358" s="986">
        <v>2.3999999999999998E-3</v>
      </c>
      <c r="I358" s="986"/>
      <c r="J358" s="988">
        <v>20333</v>
      </c>
    </row>
    <row r="359" spans="2:10">
      <c r="B359" s="988">
        <v>20363</v>
      </c>
      <c r="H359" s="986">
        <v>2.5000000000000001E-3</v>
      </c>
      <c r="I359" s="986"/>
      <c r="J359" s="988">
        <v>20363</v>
      </c>
    </row>
    <row r="360" spans="2:10">
      <c r="B360" s="988">
        <v>20394</v>
      </c>
      <c r="H360" s="986">
        <v>2.3999999999999998E-3</v>
      </c>
      <c r="I360" s="986"/>
      <c r="J360" s="988">
        <v>20394</v>
      </c>
    </row>
    <row r="361" spans="2:10">
      <c r="B361" s="988">
        <v>20424</v>
      </c>
      <c r="H361" s="986">
        <v>2.3999999999999998E-3</v>
      </c>
      <c r="I361" s="986"/>
      <c r="J361" s="988">
        <v>20424</v>
      </c>
    </row>
    <row r="362" spans="2:10">
      <c r="B362" s="988">
        <v>20455</v>
      </c>
      <c r="H362" s="986">
        <v>2.5000000000000001E-3</v>
      </c>
      <c r="I362" s="986"/>
      <c r="J362" s="988">
        <v>20455</v>
      </c>
    </row>
    <row r="363" spans="2:10">
      <c r="B363" s="988">
        <v>20486</v>
      </c>
      <c r="H363" s="986">
        <v>2.3E-3</v>
      </c>
      <c r="I363" s="986"/>
      <c r="J363" s="988">
        <v>20486</v>
      </c>
    </row>
    <row r="364" spans="2:10">
      <c r="B364" s="988">
        <v>20515</v>
      </c>
      <c r="H364" s="986">
        <v>2.3E-3</v>
      </c>
      <c r="I364" s="986"/>
      <c r="J364" s="988">
        <v>20515</v>
      </c>
    </row>
    <row r="365" spans="2:10">
      <c r="B365" s="988">
        <v>20546</v>
      </c>
      <c r="H365" s="986">
        <v>2.5999999999999999E-3</v>
      </c>
      <c r="I365" s="986"/>
      <c r="J365" s="988">
        <v>20546</v>
      </c>
    </row>
    <row r="366" spans="2:10">
      <c r="B366" s="988">
        <v>20576</v>
      </c>
      <c r="H366" s="986">
        <v>2.5999999999999999E-3</v>
      </c>
      <c r="I366" s="986"/>
      <c r="J366" s="988">
        <v>20576</v>
      </c>
    </row>
    <row r="367" spans="2:10">
      <c r="B367" s="988">
        <v>20607</v>
      </c>
      <c r="H367" s="986">
        <v>2.3E-3</v>
      </c>
      <c r="I367" s="986"/>
      <c r="J367" s="988">
        <v>20607</v>
      </c>
    </row>
    <row r="368" spans="2:10">
      <c r="B368" s="988">
        <v>20637</v>
      </c>
      <c r="H368" s="986">
        <v>2.5999999999999999E-3</v>
      </c>
      <c r="I368" s="986"/>
      <c r="J368" s="988">
        <v>20637</v>
      </c>
    </row>
    <row r="369" spans="2:10">
      <c r="B369" s="988">
        <v>20668</v>
      </c>
      <c r="H369" s="986">
        <v>2.5999999999999999E-3</v>
      </c>
      <c r="I369" s="986"/>
      <c r="J369" s="988">
        <v>20668</v>
      </c>
    </row>
    <row r="370" spans="2:10">
      <c r="B370" s="988">
        <v>20699</v>
      </c>
      <c r="H370" s="986">
        <v>2.5000000000000001E-3</v>
      </c>
      <c r="I370" s="986"/>
      <c r="J370" s="988">
        <v>20699</v>
      </c>
    </row>
    <row r="371" spans="2:10">
      <c r="B371" s="988">
        <v>20729</v>
      </c>
      <c r="H371" s="986">
        <v>2.8999999999999998E-3</v>
      </c>
      <c r="I371" s="986"/>
      <c r="J371" s="988">
        <v>20729</v>
      </c>
    </row>
    <row r="372" spans="2:10">
      <c r="B372" s="988">
        <v>20760</v>
      </c>
      <c r="H372" s="986">
        <v>2.7000000000000001E-3</v>
      </c>
      <c r="I372" s="986"/>
      <c r="J372" s="988">
        <v>20760</v>
      </c>
    </row>
    <row r="373" spans="2:10">
      <c r="B373" s="988">
        <v>20790</v>
      </c>
      <c r="H373" s="986">
        <v>2.8E-3</v>
      </c>
      <c r="I373" s="986"/>
      <c r="J373" s="988">
        <v>20790</v>
      </c>
    </row>
    <row r="374" spans="2:10">
      <c r="B374" s="988">
        <v>20821</v>
      </c>
      <c r="H374" s="986">
        <v>2.8999999999999998E-3</v>
      </c>
      <c r="I374" s="986"/>
      <c r="J374" s="988">
        <v>20821</v>
      </c>
    </row>
    <row r="375" spans="2:10">
      <c r="B375" s="988">
        <v>20852</v>
      </c>
      <c r="H375" s="986">
        <v>2.5000000000000001E-3</v>
      </c>
      <c r="I375" s="986"/>
      <c r="J375" s="988">
        <v>20852</v>
      </c>
    </row>
    <row r="376" spans="2:10">
      <c r="B376" s="988">
        <v>20880</v>
      </c>
      <c r="H376" s="986">
        <v>2.5999999999999999E-3</v>
      </c>
      <c r="I376" s="986"/>
      <c r="J376" s="988">
        <v>20880</v>
      </c>
    </row>
    <row r="377" spans="2:10">
      <c r="B377" s="988">
        <v>20911</v>
      </c>
      <c r="H377" s="986">
        <v>2.8999999999999998E-3</v>
      </c>
      <c r="I377" s="986"/>
      <c r="J377" s="988">
        <v>20911</v>
      </c>
    </row>
    <row r="378" spans="2:10">
      <c r="B378" s="988">
        <v>20941</v>
      </c>
      <c r="H378" s="986">
        <v>2.8999999999999998E-3</v>
      </c>
      <c r="I378" s="986"/>
      <c r="J378" s="988">
        <v>20941</v>
      </c>
    </row>
    <row r="379" spans="2:10">
      <c r="B379" s="988">
        <v>20972</v>
      </c>
      <c r="H379" s="986">
        <v>2.5000000000000001E-3</v>
      </c>
      <c r="I379" s="986"/>
      <c r="J379" s="988">
        <v>20972</v>
      </c>
    </row>
    <row r="380" spans="2:10">
      <c r="B380" s="988">
        <v>21002</v>
      </c>
      <c r="H380" s="986">
        <v>3.3E-3</v>
      </c>
      <c r="I380" s="986"/>
      <c r="J380" s="988">
        <v>21002</v>
      </c>
    </row>
    <row r="381" spans="2:10">
      <c r="B381" s="988">
        <v>21033</v>
      </c>
      <c r="H381" s="986">
        <v>3.0000000000000001E-3</v>
      </c>
      <c r="I381" s="986"/>
      <c r="J381" s="988">
        <v>21033</v>
      </c>
    </row>
    <row r="382" spans="2:10">
      <c r="B382" s="988">
        <v>21064</v>
      </c>
      <c r="H382" s="986">
        <v>3.0999999999999999E-3</v>
      </c>
      <c r="I382" s="986"/>
      <c r="J382" s="988">
        <v>21064</v>
      </c>
    </row>
    <row r="383" spans="2:10">
      <c r="B383" s="988">
        <v>21094</v>
      </c>
      <c r="H383" s="986">
        <v>3.0999999999999999E-3</v>
      </c>
      <c r="I383" s="986"/>
      <c r="J383" s="988">
        <v>21094</v>
      </c>
    </row>
    <row r="384" spans="2:10">
      <c r="B384" s="988">
        <v>21125</v>
      </c>
      <c r="H384" s="986">
        <v>2.8999999999999998E-3</v>
      </c>
      <c r="I384" s="986"/>
      <c r="J384" s="988">
        <v>21125</v>
      </c>
    </row>
    <row r="385" spans="2:10">
      <c r="B385" s="988">
        <v>21155</v>
      </c>
      <c r="H385" s="986">
        <v>2.8999999999999998E-3</v>
      </c>
      <c r="I385" s="986"/>
      <c r="J385" s="988">
        <v>21155</v>
      </c>
    </row>
    <row r="386" spans="2:10">
      <c r="B386" s="988">
        <v>21186</v>
      </c>
      <c r="H386" s="986">
        <v>2.7000000000000001E-3</v>
      </c>
      <c r="I386" s="986"/>
      <c r="J386" s="988">
        <v>21186</v>
      </c>
    </row>
    <row r="387" spans="2:10">
      <c r="B387" s="988">
        <v>21217</v>
      </c>
      <c r="H387" s="986">
        <v>2.5000000000000001E-3</v>
      </c>
      <c r="I387" s="986"/>
      <c r="J387" s="988">
        <v>21217</v>
      </c>
    </row>
    <row r="388" spans="2:10">
      <c r="B388" s="988">
        <v>21245</v>
      </c>
      <c r="H388" s="986">
        <v>2.7000000000000001E-3</v>
      </c>
      <c r="I388" s="986"/>
      <c r="J388" s="988">
        <v>21245</v>
      </c>
    </row>
    <row r="389" spans="2:10">
      <c r="B389" s="988">
        <v>21276</v>
      </c>
      <c r="H389" s="986">
        <v>2.5999999999999999E-3</v>
      </c>
      <c r="I389" s="986"/>
      <c r="J389" s="988">
        <v>21276</v>
      </c>
    </row>
    <row r="390" spans="2:10">
      <c r="B390" s="988">
        <v>21306</v>
      </c>
      <c r="H390" s="986">
        <v>2.3999999999999998E-3</v>
      </c>
      <c r="I390" s="986"/>
      <c r="J390" s="988">
        <v>21306</v>
      </c>
    </row>
    <row r="391" spans="2:10">
      <c r="B391" s="988">
        <v>21337</v>
      </c>
      <c r="H391" s="986">
        <v>2.7000000000000001E-3</v>
      </c>
      <c r="I391" s="986"/>
      <c r="J391" s="988">
        <v>21337</v>
      </c>
    </row>
    <row r="392" spans="2:10">
      <c r="B392" s="988">
        <v>21367</v>
      </c>
      <c r="H392" s="986">
        <v>2.7000000000000001E-3</v>
      </c>
      <c r="I392" s="986"/>
      <c r="J392" s="988">
        <v>21367</v>
      </c>
    </row>
    <row r="393" spans="2:10">
      <c r="B393" s="988">
        <v>21398</v>
      </c>
      <c r="H393" s="986">
        <v>2.7000000000000001E-3</v>
      </c>
      <c r="I393" s="986"/>
      <c r="J393" s="988">
        <v>21398</v>
      </c>
    </row>
    <row r="394" spans="2:10">
      <c r="B394" s="988">
        <v>21429</v>
      </c>
      <c r="H394" s="986">
        <v>3.2000000000000002E-3</v>
      </c>
      <c r="I394" s="986"/>
      <c r="J394" s="988">
        <v>21429</v>
      </c>
    </row>
    <row r="395" spans="2:10">
      <c r="B395" s="988">
        <v>21459</v>
      </c>
      <c r="H395" s="986">
        <v>3.2000000000000002E-3</v>
      </c>
      <c r="I395" s="986"/>
      <c r="J395" s="988">
        <v>21459</v>
      </c>
    </row>
    <row r="396" spans="2:10">
      <c r="B396" s="988">
        <v>21490</v>
      </c>
      <c r="H396" s="986">
        <v>2.8E-3</v>
      </c>
      <c r="I396" s="986"/>
      <c r="J396" s="988">
        <v>21490</v>
      </c>
    </row>
    <row r="397" spans="2:10">
      <c r="B397" s="988">
        <v>21520</v>
      </c>
      <c r="H397" s="986">
        <v>3.3E-3</v>
      </c>
      <c r="I397" s="986"/>
      <c r="J397" s="988">
        <v>21520</v>
      </c>
    </row>
    <row r="398" spans="2:10">
      <c r="B398" s="988">
        <v>21551</v>
      </c>
      <c r="H398" s="986">
        <v>3.0999999999999999E-3</v>
      </c>
      <c r="I398" s="986"/>
      <c r="J398" s="988">
        <v>21551</v>
      </c>
    </row>
    <row r="399" spans="2:10">
      <c r="B399" s="988">
        <v>21582</v>
      </c>
      <c r="H399" s="986">
        <v>3.0999999999999999E-3</v>
      </c>
      <c r="I399" s="986"/>
      <c r="J399" s="988">
        <v>21582</v>
      </c>
    </row>
    <row r="400" spans="2:10">
      <c r="B400" s="988">
        <v>21610</v>
      </c>
      <c r="H400" s="986">
        <v>3.5000000000000001E-3</v>
      </c>
      <c r="I400" s="986"/>
      <c r="J400" s="988">
        <v>21610</v>
      </c>
    </row>
    <row r="401" spans="2:10">
      <c r="B401" s="988">
        <v>21641</v>
      </c>
      <c r="H401" s="986">
        <v>3.3E-3</v>
      </c>
      <c r="I401" s="986"/>
      <c r="J401" s="988">
        <v>21641</v>
      </c>
    </row>
    <row r="402" spans="2:10">
      <c r="B402" s="988">
        <v>21671</v>
      </c>
      <c r="H402" s="986">
        <v>3.3E-3</v>
      </c>
      <c r="I402" s="986"/>
      <c r="J402" s="988">
        <v>21671</v>
      </c>
    </row>
    <row r="403" spans="2:10">
      <c r="B403" s="988">
        <v>21702</v>
      </c>
      <c r="H403" s="986">
        <v>3.5999999999999999E-3</v>
      </c>
      <c r="I403" s="986"/>
      <c r="J403" s="988">
        <v>21702</v>
      </c>
    </row>
    <row r="404" spans="2:10">
      <c r="B404" s="988">
        <v>21732</v>
      </c>
      <c r="H404" s="986">
        <v>3.5000000000000001E-3</v>
      </c>
      <c r="I404" s="986"/>
      <c r="J404" s="988">
        <v>21732</v>
      </c>
    </row>
    <row r="405" spans="2:10">
      <c r="B405" s="988">
        <v>21763</v>
      </c>
      <c r="H405" s="986">
        <v>3.5000000000000001E-3</v>
      </c>
      <c r="I405" s="986"/>
      <c r="J405" s="988">
        <v>21763</v>
      </c>
    </row>
    <row r="406" spans="2:10">
      <c r="B406" s="988">
        <v>21794</v>
      </c>
      <c r="H406" s="986">
        <v>3.3999999999999998E-3</v>
      </c>
      <c r="I406" s="986"/>
      <c r="J406" s="988">
        <v>21794</v>
      </c>
    </row>
    <row r="407" spans="2:10">
      <c r="B407" s="988">
        <v>21824</v>
      </c>
      <c r="H407" s="986">
        <v>3.5000000000000001E-3</v>
      </c>
      <c r="I407" s="986"/>
      <c r="J407" s="988">
        <v>21824</v>
      </c>
    </row>
    <row r="408" spans="2:10">
      <c r="B408" s="988">
        <v>21855</v>
      </c>
      <c r="H408" s="986">
        <v>3.5000000000000001E-3</v>
      </c>
      <c r="I408" s="986"/>
      <c r="J408" s="988">
        <v>21855</v>
      </c>
    </row>
    <row r="409" spans="2:10">
      <c r="B409" s="988">
        <v>21885</v>
      </c>
      <c r="H409" s="986">
        <v>3.5999999999999999E-3</v>
      </c>
      <c r="I409" s="986"/>
      <c r="J409" s="988">
        <v>21885</v>
      </c>
    </row>
    <row r="410" spans="2:10">
      <c r="B410" s="988">
        <v>21916</v>
      </c>
      <c r="H410" s="986">
        <v>3.5000000000000001E-3</v>
      </c>
      <c r="I410" s="986"/>
      <c r="J410" s="988">
        <v>21916</v>
      </c>
    </row>
    <row r="411" spans="2:10">
      <c r="B411" s="988">
        <v>21947</v>
      </c>
      <c r="H411" s="986">
        <v>3.7000000000000002E-3</v>
      </c>
      <c r="I411" s="986"/>
      <c r="J411" s="988">
        <v>21947</v>
      </c>
    </row>
    <row r="412" spans="2:10">
      <c r="B412" s="988">
        <v>21976</v>
      </c>
      <c r="H412" s="986">
        <v>3.5999999999999999E-3</v>
      </c>
      <c r="I412" s="986"/>
      <c r="J412" s="988">
        <v>21976</v>
      </c>
    </row>
    <row r="413" spans="2:10">
      <c r="B413" s="988">
        <v>22007</v>
      </c>
      <c r="H413" s="986">
        <v>3.2000000000000002E-3</v>
      </c>
      <c r="I413" s="986"/>
      <c r="J413" s="988">
        <v>22007</v>
      </c>
    </row>
    <row r="414" spans="2:10">
      <c r="B414" s="988">
        <v>22037</v>
      </c>
      <c r="H414" s="986">
        <v>3.7000000000000002E-3</v>
      </c>
      <c r="I414" s="986"/>
      <c r="J414" s="988">
        <v>22037</v>
      </c>
    </row>
    <row r="415" spans="2:10">
      <c r="B415" s="988">
        <v>22068</v>
      </c>
      <c r="H415" s="986">
        <v>3.3999999999999998E-3</v>
      </c>
      <c r="I415" s="986"/>
      <c r="J415" s="988">
        <v>22068</v>
      </c>
    </row>
    <row r="416" spans="2:10">
      <c r="B416" s="988">
        <v>22098</v>
      </c>
      <c r="H416" s="986">
        <v>3.2000000000000002E-3</v>
      </c>
      <c r="I416" s="986"/>
      <c r="J416" s="988">
        <v>22098</v>
      </c>
    </row>
    <row r="417" spans="2:10">
      <c r="B417" s="988">
        <v>22129</v>
      </c>
      <c r="H417" s="986">
        <v>3.3999999999999998E-3</v>
      </c>
      <c r="I417" s="986"/>
      <c r="J417" s="988">
        <v>22129</v>
      </c>
    </row>
    <row r="418" spans="2:10">
      <c r="B418" s="988">
        <v>22160</v>
      </c>
      <c r="H418" s="986">
        <v>3.2000000000000002E-3</v>
      </c>
      <c r="I418" s="986"/>
      <c r="J418" s="988">
        <v>22160</v>
      </c>
    </row>
    <row r="419" spans="2:10">
      <c r="B419" s="988">
        <v>22190</v>
      </c>
      <c r="H419" s="986">
        <v>3.3E-3</v>
      </c>
      <c r="I419" s="986"/>
      <c r="J419" s="988">
        <v>22190</v>
      </c>
    </row>
    <row r="420" spans="2:10">
      <c r="B420" s="988">
        <v>22221</v>
      </c>
      <c r="H420" s="986">
        <v>3.2000000000000002E-3</v>
      </c>
      <c r="I420" s="986"/>
      <c r="J420" s="988">
        <v>22221</v>
      </c>
    </row>
    <row r="421" spans="2:10">
      <c r="B421" s="988">
        <v>22251</v>
      </c>
      <c r="H421" s="986">
        <v>3.3E-3</v>
      </c>
      <c r="I421" s="986"/>
      <c r="J421" s="988">
        <v>22251</v>
      </c>
    </row>
    <row r="422" spans="2:10">
      <c r="B422" s="988">
        <v>22282</v>
      </c>
      <c r="H422" s="986">
        <v>3.3E-3</v>
      </c>
      <c r="I422" s="986"/>
      <c r="J422" s="988">
        <v>22282</v>
      </c>
    </row>
    <row r="423" spans="2:10">
      <c r="B423" s="988">
        <v>22313</v>
      </c>
      <c r="H423" s="986">
        <v>3.0000000000000001E-3</v>
      </c>
      <c r="I423" s="986"/>
      <c r="J423" s="988">
        <v>22313</v>
      </c>
    </row>
    <row r="424" spans="2:10">
      <c r="B424" s="988">
        <v>22341</v>
      </c>
      <c r="H424" s="986">
        <v>3.0999999999999999E-3</v>
      </c>
      <c r="I424" s="986"/>
      <c r="J424" s="988">
        <v>22341</v>
      </c>
    </row>
    <row r="425" spans="2:10">
      <c r="B425" s="988">
        <v>22372</v>
      </c>
      <c r="H425" s="986">
        <v>3.0999999999999999E-3</v>
      </c>
      <c r="I425" s="986"/>
      <c r="J425" s="988">
        <v>22372</v>
      </c>
    </row>
    <row r="426" spans="2:10">
      <c r="B426" s="988">
        <v>22402</v>
      </c>
      <c r="H426" s="986">
        <v>3.3999999999999998E-3</v>
      </c>
      <c r="I426" s="986"/>
      <c r="J426" s="988">
        <v>22402</v>
      </c>
    </row>
    <row r="427" spans="2:10">
      <c r="B427" s="988">
        <v>22433</v>
      </c>
      <c r="H427" s="986">
        <v>3.2000000000000002E-3</v>
      </c>
      <c r="I427" s="986"/>
      <c r="J427" s="988">
        <v>22433</v>
      </c>
    </row>
    <row r="428" spans="2:10">
      <c r="B428" s="988">
        <v>22463</v>
      </c>
      <c r="H428" s="986">
        <v>3.3E-3</v>
      </c>
      <c r="I428" s="986"/>
      <c r="J428" s="988">
        <v>22463</v>
      </c>
    </row>
    <row r="429" spans="2:10">
      <c r="B429" s="988">
        <v>22494</v>
      </c>
      <c r="H429" s="986">
        <v>3.3E-3</v>
      </c>
      <c r="I429" s="986"/>
      <c r="J429" s="988">
        <v>22494</v>
      </c>
    </row>
    <row r="430" spans="2:10">
      <c r="B430" s="988">
        <v>22525</v>
      </c>
      <c r="H430" s="986">
        <v>3.2000000000000002E-3</v>
      </c>
      <c r="I430" s="986"/>
      <c r="J430" s="988">
        <v>22525</v>
      </c>
    </row>
    <row r="431" spans="2:10">
      <c r="B431" s="988">
        <v>22555</v>
      </c>
      <c r="H431" s="986">
        <v>3.3999999999999998E-3</v>
      </c>
      <c r="I431" s="986"/>
      <c r="J431" s="988">
        <v>22555</v>
      </c>
    </row>
    <row r="432" spans="2:10">
      <c r="B432" s="988">
        <v>22586</v>
      </c>
      <c r="H432" s="986">
        <v>3.2000000000000002E-3</v>
      </c>
      <c r="I432" s="986"/>
      <c r="J432" s="988">
        <v>22586</v>
      </c>
    </row>
    <row r="433" spans="2:10">
      <c r="B433" s="988">
        <v>22616</v>
      </c>
      <c r="H433" s="986">
        <v>3.0999999999999999E-3</v>
      </c>
      <c r="I433" s="986"/>
      <c r="J433" s="988">
        <v>22616</v>
      </c>
    </row>
    <row r="434" spans="2:10">
      <c r="B434" s="988">
        <v>22647</v>
      </c>
      <c r="H434" s="986">
        <v>3.7000000000000002E-3</v>
      </c>
      <c r="I434" s="986"/>
      <c r="J434" s="988">
        <v>22647</v>
      </c>
    </row>
    <row r="435" spans="2:10">
      <c r="B435" s="988">
        <v>22678</v>
      </c>
      <c r="H435" s="986">
        <v>3.2000000000000002E-3</v>
      </c>
      <c r="I435" s="986"/>
      <c r="J435" s="988">
        <v>22678</v>
      </c>
    </row>
    <row r="436" spans="2:10">
      <c r="B436" s="988">
        <v>22706</v>
      </c>
      <c r="H436" s="986">
        <v>3.3E-3</v>
      </c>
      <c r="I436" s="986"/>
      <c r="J436" s="988">
        <v>22706</v>
      </c>
    </row>
    <row r="437" spans="2:10">
      <c r="B437" s="988">
        <v>22737</v>
      </c>
      <c r="H437" s="986">
        <v>3.3E-3</v>
      </c>
      <c r="I437" s="986"/>
      <c r="J437" s="988">
        <v>22737</v>
      </c>
    </row>
    <row r="438" spans="2:10">
      <c r="B438" s="988">
        <v>22767</v>
      </c>
      <c r="H438" s="986">
        <v>3.2000000000000002E-3</v>
      </c>
      <c r="I438" s="986"/>
      <c r="J438" s="988">
        <v>22767</v>
      </c>
    </row>
    <row r="439" spans="2:10">
      <c r="B439" s="988">
        <v>22798</v>
      </c>
      <c r="H439" s="986">
        <v>3.0000000000000001E-3</v>
      </c>
      <c r="I439" s="986"/>
      <c r="J439" s="988">
        <v>22798</v>
      </c>
    </row>
    <row r="440" spans="2:10">
      <c r="B440" s="988">
        <v>22828</v>
      </c>
      <c r="H440" s="986">
        <v>3.3999999999999998E-3</v>
      </c>
      <c r="I440" s="986"/>
      <c r="J440" s="988">
        <v>22828</v>
      </c>
    </row>
    <row r="441" spans="2:10">
      <c r="B441" s="988">
        <v>22859</v>
      </c>
      <c r="H441" s="986">
        <v>3.3999999999999998E-3</v>
      </c>
      <c r="I441" s="986"/>
      <c r="J441" s="988">
        <v>22859</v>
      </c>
    </row>
    <row r="442" spans="2:10">
      <c r="B442" s="988">
        <v>22890</v>
      </c>
      <c r="H442" s="986">
        <v>3.0000000000000001E-3</v>
      </c>
      <c r="I442" s="986"/>
      <c r="J442" s="988">
        <v>22890</v>
      </c>
    </row>
    <row r="443" spans="2:10">
      <c r="B443" s="988">
        <v>22920</v>
      </c>
      <c r="H443" s="986">
        <v>3.5000000000000001E-3</v>
      </c>
      <c r="I443" s="986"/>
      <c r="J443" s="988">
        <v>22920</v>
      </c>
    </row>
    <row r="444" spans="2:10">
      <c r="B444" s="988">
        <v>22951</v>
      </c>
      <c r="H444" s="986">
        <v>3.0999999999999999E-3</v>
      </c>
      <c r="I444" s="986"/>
      <c r="J444" s="988">
        <v>22951</v>
      </c>
    </row>
    <row r="445" spans="2:10">
      <c r="B445" s="988">
        <v>22981</v>
      </c>
      <c r="H445" s="986">
        <v>3.2000000000000002E-3</v>
      </c>
      <c r="I445" s="986"/>
      <c r="J445" s="988">
        <v>22981</v>
      </c>
    </row>
    <row r="446" spans="2:10">
      <c r="B446" s="988">
        <v>23012</v>
      </c>
      <c r="H446" s="986">
        <v>3.2000000000000002E-3</v>
      </c>
      <c r="I446" s="986"/>
      <c r="J446" s="988">
        <v>23012</v>
      </c>
    </row>
    <row r="447" spans="2:10">
      <c r="B447" s="988">
        <v>23043</v>
      </c>
      <c r="H447" s="986">
        <v>2.8999999999999998E-3</v>
      </c>
      <c r="I447" s="986"/>
      <c r="J447" s="988">
        <v>23043</v>
      </c>
    </row>
    <row r="448" spans="2:10">
      <c r="B448" s="988">
        <v>23071</v>
      </c>
      <c r="H448" s="986">
        <v>3.0999999999999999E-3</v>
      </c>
      <c r="I448" s="986"/>
      <c r="J448" s="988">
        <v>23071</v>
      </c>
    </row>
    <row r="449" spans="2:10">
      <c r="B449" s="988">
        <v>23102</v>
      </c>
      <c r="H449" s="986">
        <v>3.3999999999999998E-3</v>
      </c>
      <c r="I449" s="986"/>
      <c r="J449" s="988">
        <v>23102</v>
      </c>
    </row>
    <row r="450" spans="2:10">
      <c r="B450" s="988">
        <v>23132</v>
      </c>
      <c r="H450" s="986">
        <v>3.3E-3</v>
      </c>
      <c r="I450" s="986"/>
      <c r="J450" s="988">
        <v>23132</v>
      </c>
    </row>
    <row r="451" spans="2:10">
      <c r="B451" s="988">
        <v>23163</v>
      </c>
      <c r="H451" s="986">
        <v>3.0000000000000001E-3</v>
      </c>
      <c r="I451" s="986"/>
      <c r="J451" s="988">
        <v>23163</v>
      </c>
    </row>
    <row r="452" spans="2:10">
      <c r="B452" s="988">
        <v>23193</v>
      </c>
      <c r="H452" s="986">
        <v>3.5999999999999999E-3</v>
      </c>
      <c r="I452" s="986"/>
      <c r="J452" s="988">
        <v>23193</v>
      </c>
    </row>
    <row r="453" spans="2:10">
      <c r="B453" s="988">
        <v>23224</v>
      </c>
      <c r="H453" s="986">
        <v>3.3E-3</v>
      </c>
      <c r="I453" s="986"/>
      <c r="J453" s="988">
        <v>23224</v>
      </c>
    </row>
    <row r="454" spans="2:10">
      <c r="B454" s="988">
        <v>23255</v>
      </c>
      <c r="H454" s="986">
        <v>3.3999999999999998E-3</v>
      </c>
      <c r="I454" s="986"/>
      <c r="J454" s="988">
        <v>23255</v>
      </c>
    </row>
    <row r="455" spans="2:10">
      <c r="B455" s="988">
        <v>23285</v>
      </c>
      <c r="H455" s="986">
        <v>3.3999999999999998E-3</v>
      </c>
      <c r="I455" s="986"/>
      <c r="J455" s="988">
        <v>23285</v>
      </c>
    </row>
    <row r="456" spans="2:10">
      <c r="B456" s="988">
        <v>23316</v>
      </c>
      <c r="H456" s="986">
        <v>3.2000000000000002E-3</v>
      </c>
      <c r="I456" s="986"/>
      <c r="J456" s="988">
        <v>23316</v>
      </c>
    </row>
    <row r="457" spans="2:10">
      <c r="B457" s="988">
        <v>23346</v>
      </c>
      <c r="H457" s="986">
        <v>3.5999999999999999E-3</v>
      </c>
      <c r="I457" s="986"/>
      <c r="J457" s="988">
        <v>23346</v>
      </c>
    </row>
    <row r="458" spans="2:10">
      <c r="B458" s="988">
        <v>23377</v>
      </c>
      <c r="H458" s="986">
        <v>3.5000000000000001E-3</v>
      </c>
      <c r="I458" s="986"/>
      <c r="J458" s="988">
        <v>23377</v>
      </c>
    </row>
    <row r="459" spans="2:10">
      <c r="B459" s="988">
        <v>23408</v>
      </c>
      <c r="H459" s="986">
        <v>3.2000000000000002E-3</v>
      </c>
      <c r="I459" s="986"/>
      <c r="J459" s="988">
        <v>23408</v>
      </c>
    </row>
    <row r="460" spans="2:10">
      <c r="B460" s="988">
        <v>23437</v>
      </c>
      <c r="H460" s="986">
        <v>3.7000000000000002E-3</v>
      </c>
      <c r="I460" s="986"/>
      <c r="J460" s="988">
        <v>23437</v>
      </c>
    </row>
    <row r="461" spans="2:10">
      <c r="B461" s="988">
        <v>23468</v>
      </c>
      <c r="H461" s="986">
        <v>3.5000000000000001E-3</v>
      </c>
      <c r="I461" s="986"/>
      <c r="J461" s="988">
        <v>23468</v>
      </c>
    </row>
    <row r="462" spans="2:10">
      <c r="B462" s="988">
        <v>23498</v>
      </c>
      <c r="H462" s="986">
        <v>3.2000000000000002E-3</v>
      </c>
      <c r="I462" s="986"/>
      <c r="J462" s="988">
        <v>23498</v>
      </c>
    </row>
    <row r="463" spans="2:10">
      <c r="B463" s="988">
        <v>23529</v>
      </c>
      <c r="H463" s="986">
        <v>3.8E-3</v>
      </c>
      <c r="I463" s="986"/>
      <c r="J463" s="988">
        <v>23529</v>
      </c>
    </row>
    <row r="464" spans="2:10">
      <c r="B464" s="988">
        <v>23559</v>
      </c>
      <c r="H464" s="986">
        <v>3.5000000000000001E-3</v>
      </c>
      <c r="I464" s="986"/>
      <c r="J464" s="988">
        <v>23559</v>
      </c>
    </row>
    <row r="465" spans="2:10">
      <c r="B465" s="988">
        <v>23590</v>
      </c>
      <c r="H465" s="986">
        <v>3.5000000000000001E-3</v>
      </c>
      <c r="I465" s="986"/>
      <c r="J465" s="988">
        <v>23590</v>
      </c>
    </row>
    <row r="466" spans="2:10">
      <c r="B466" s="988">
        <v>23621</v>
      </c>
      <c r="H466" s="986">
        <v>3.3999999999999998E-3</v>
      </c>
      <c r="I466" s="986"/>
      <c r="J466" s="988">
        <v>23621</v>
      </c>
    </row>
    <row r="467" spans="2:10">
      <c r="B467" s="988">
        <v>23651</v>
      </c>
      <c r="H467" s="986">
        <v>3.3999999999999998E-3</v>
      </c>
      <c r="I467" s="986"/>
      <c r="J467" s="988">
        <v>23651</v>
      </c>
    </row>
    <row r="468" spans="2:10">
      <c r="B468" s="988">
        <v>23682</v>
      </c>
      <c r="H468" s="986">
        <v>3.5000000000000001E-3</v>
      </c>
      <c r="I468" s="986"/>
      <c r="J468" s="988">
        <v>23682</v>
      </c>
    </row>
    <row r="469" spans="2:10">
      <c r="B469" s="988">
        <v>23712</v>
      </c>
      <c r="H469" s="986">
        <v>3.5000000000000001E-3</v>
      </c>
      <c r="I469" s="986"/>
      <c r="J469" s="988">
        <v>23712</v>
      </c>
    </row>
    <row r="470" spans="2:10">
      <c r="B470" s="988">
        <v>23743</v>
      </c>
      <c r="H470" s="986">
        <v>3.3E-3</v>
      </c>
      <c r="I470" s="986"/>
      <c r="J470" s="988">
        <v>23743</v>
      </c>
    </row>
    <row r="471" spans="2:10">
      <c r="B471" s="988">
        <v>23774</v>
      </c>
      <c r="H471" s="986">
        <v>3.2000000000000002E-3</v>
      </c>
      <c r="I471" s="986"/>
      <c r="J471" s="988">
        <v>23774</v>
      </c>
    </row>
    <row r="472" spans="2:10">
      <c r="B472" s="988">
        <v>23802</v>
      </c>
      <c r="H472" s="986">
        <v>3.8E-3</v>
      </c>
      <c r="I472" s="986"/>
      <c r="J472" s="988">
        <v>23802</v>
      </c>
    </row>
    <row r="473" spans="2:10">
      <c r="B473" s="988">
        <v>23833</v>
      </c>
      <c r="H473" s="986">
        <v>3.3E-3</v>
      </c>
      <c r="I473" s="986"/>
      <c r="J473" s="988">
        <v>23833</v>
      </c>
    </row>
    <row r="474" spans="2:10">
      <c r="B474" s="988">
        <v>23863</v>
      </c>
      <c r="H474" s="986">
        <v>3.3E-3</v>
      </c>
      <c r="I474" s="986"/>
      <c r="J474" s="988">
        <v>23863</v>
      </c>
    </row>
    <row r="475" spans="2:10">
      <c r="B475" s="988">
        <v>23894</v>
      </c>
      <c r="H475" s="986">
        <v>3.8E-3</v>
      </c>
      <c r="I475" s="986"/>
      <c r="J475" s="988">
        <v>23894</v>
      </c>
    </row>
    <row r="476" spans="2:10">
      <c r="B476" s="988">
        <v>23924</v>
      </c>
      <c r="H476" s="986">
        <v>3.3999999999999998E-3</v>
      </c>
      <c r="I476" s="986"/>
      <c r="J476" s="988">
        <v>23924</v>
      </c>
    </row>
    <row r="477" spans="2:10">
      <c r="B477" s="988">
        <v>23955</v>
      </c>
      <c r="H477" s="986">
        <v>3.7000000000000002E-3</v>
      </c>
      <c r="I477" s="986"/>
      <c r="J477" s="988">
        <v>23955</v>
      </c>
    </row>
    <row r="478" spans="2:10">
      <c r="B478" s="988">
        <v>23986</v>
      </c>
      <c r="H478" s="986">
        <v>3.5000000000000001E-3</v>
      </c>
      <c r="I478" s="986"/>
      <c r="J478" s="988">
        <v>23986</v>
      </c>
    </row>
    <row r="479" spans="2:10">
      <c r="B479" s="988">
        <v>24016</v>
      </c>
      <c r="H479" s="986">
        <v>3.3999999999999998E-3</v>
      </c>
      <c r="I479" s="986"/>
      <c r="J479" s="988">
        <v>24016</v>
      </c>
    </row>
    <row r="480" spans="2:10">
      <c r="B480" s="988">
        <v>24047</v>
      </c>
      <c r="H480" s="986">
        <v>3.7000000000000002E-3</v>
      </c>
      <c r="I480" s="986"/>
      <c r="J480" s="988">
        <v>24047</v>
      </c>
    </row>
    <row r="481" spans="2:10">
      <c r="B481" s="988">
        <v>24077</v>
      </c>
      <c r="H481" s="986">
        <v>3.7000000000000002E-3</v>
      </c>
      <c r="I481" s="986"/>
      <c r="J481" s="988">
        <v>24077</v>
      </c>
    </row>
    <row r="482" spans="2:10">
      <c r="B482" s="988">
        <v>24108</v>
      </c>
      <c r="H482" s="986">
        <v>3.8E-3</v>
      </c>
      <c r="I482" s="986"/>
      <c r="J482" s="988">
        <v>24108</v>
      </c>
    </row>
    <row r="483" spans="2:10">
      <c r="B483" s="988">
        <v>24139</v>
      </c>
      <c r="H483" s="986">
        <v>3.3999999999999998E-3</v>
      </c>
      <c r="I483" s="986"/>
      <c r="J483" s="988">
        <v>24139</v>
      </c>
    </row>
    <row r="484" spans="2:10">
      <c r="B484" s="988">
        <v>24167</v>
      </c>
      <c r="H484" s="986">
        <v>4.0000000000000001E-3</v>
      </c>
      <c r="I484" s="986"/>
      <c r="J484" s="988">
        <v>24167</v>
      </c>
    </row>
    <row r="485" spans="2:10">
      <c r="B485" s="988">
        <v>24198</v>
      </c>
      <c r="H485" s="986">
        <v>3.5999999999999999E-3</v>
      </c>
      <c r="I485" s="986"/>
      <c r="J485" s="988">
        <v>24198</v>
      </c>
    </row>
    <row r="486" spans="2:10">
      <c r="B486" s="988">
        <v>24228</v>
      </c>
      <c r="H486" s="986">
        <v>4.1000000000000003E-3</v>
      </c>
      <c r="I486" s="986"/>
      <c r="J486" s="988">
        <v>24228</v>
      </c>
    </row>
    <row r="487" spans="2:10">
      <c r="B487" s="988">
        <v>24259</v>
      </c>
      <c r="H487" s="986">
        <v>3.8999999999999998E-3</v>
      </c>
      <c r="I487" s="986"/>
      <c r="J487" s="988">
        <v>24259</v>
      </c>
    </row>
    <row r="488" spans="2:10">
      <c r="B488" s="988">
        <v>24289</v>
      </c>
      <c r="H488" s="986">
        <v>3.8E-3</v>
      </c>
      <c r="I488" s="986"/>
      <c r="J488" s="988">
        <v>24289</v>
      </c>
    </row>
    <row r="489" spans="2:10">
      <c r="B489" s="988">
        <v>24320</v>
      </c>
      <c r="H489" s="986">
        <v>4.3E-3</v>
      </c>
      <c r="I489" s="986"/>
      <c r="J489" s="988">
        <v>24320</v>
      </c>
    </row>
    <row r="490" spans="2:10">
      <c r="B490" s="988">
        <v>24351</v>
      </c>
      <c r="H490" s="986">
        <v>4.1000000000000003E-3</v>
      </c>
      <c r="I490" s="986"/>
      <c r="J490" s="988">
        <v>24351</v>
      </c>
    </row>
    <row r="491" spans="2:10">
      <c r="B491" s="988">
        <v>24381</v>
      </c>
      <c r="H491" s="986">
        <v>4.0000000000000001E-3</v>
      </c>
      <c r="I491" s="986"/>
      <c r="J491" s="988">
        <v>24381</v>
      </c>
    </row>
    <row r="492" spans="2:10">
      <c r="B492" s="988">
        <v>24412</v>
      </c>
      <c r="H492" s="986">
        <v>3.8E-3</v>
      </c>
      <c r="I492" s="986"/>
      <c r="J492" s="988">
        <v>24412</v>
      </c>
    </row>
    <row r="493" spans="2:10">
      <c r="B493" s="988">
        <v>24442</v>
      </c>
      <c r="H493" s="986">
        <v>3.8999999999999998E-3</v>
      </c>
      <c r="I493" s="986"/>
      <c r="J493" s="988">
        <v>24442</v>
      </c>
    </row>
    <row r="494" spans="2:10">
      <c r="B494" s="988">
        <v>24473</v>
      </c>
      <c r="H494" s="986">
        <v>4.0000000000000001E-3</v>
      </c>
      <c r="I494" s="986"/>
      <c r="J494" s="988">
        <v>24473</v>
      </c>
    </row>
    <row r="495" spans="2:10">
      <c r="B495" s="988">
        <v>24504</v>
      </c>
      <c r="H495" s="986">
        <v>3.3999999999999998E-3</v>
      </c>
      <c r="I495" s="986"/>
      <c r="J495" s="988">
        <v>24504</v>
      </c>
    </row>
    <row r="496" spans="2:10">
      <c r="B496" s="988">
        <v>24532</v>
      </c>
      <c r="H496" s="986">
        <v>3.8999999999999998E-3</v>
      </c>
      <c r="I496" s="986"/>
      <c r="J496" s="988">
        <v>24532</v>
      </c>
    </row>
    <row r="497" spans="2:10">
      <c r="B497" s="988">
        <v>24563</v>
      </c>
      <c r="H497" s="986">
        <v>3.5000000000000001E-3</v>
      </c>
      <c r="I497" s="986"/>
      <c r="J497" s="988">
        <v>24563</v>
      </c>
    </row>
    <row r="498" spans="2:10">
      <c r="B498" s="988">
        <v>24593</v>
      </c>
      <c r="H498" s="986">
        <v>4.3E-3</v>
      </c>
      <c r="I498" s="986"/>
      <c r="J498" s="988">
        <v>24593</v>
      </c>
    </row>
    <row r="499" spans="2:10">
      <c r="B499" s="988">
        <v>24624</v>
      </c>
      <c r="H499" s="986">
        <v>3.8999999999999998E-3</v>
      </c>
      <c r="I499" s="986"/>
      <c r="J499" s="988">
        <v>24624</v>
      </c>
    </row>
    <row r="500" spans="2:10">
      <c r="B500" s="988">
        <v>24654</v>
      </c>
      <c r="H500" s="986">
        <v>4.3E-3</v>
      </c>
      <c r="I500" s="986"/>
      <c r="J500" s="988">
        <v>24654</v>
      </c>
    </row>
    <row r="501" spans="2:10">
      <c r="B501" s="988">
        <v>24685</v>
      </c>
      <c r="H501" s="986">
        <v>4.1999999999999997E-3</v>
      </c>
      <c r="I501" s="986"/>
      <c r="J501" s="988">
        <v>24685</v>
      </c>
    </row>
    <row r="502" spans="2:10">
      <c r="B502" s="988">
        <v>24716</v>
      </c>
      <c r="H502" s="986">
        <v>4.0000000000000001E-3</v>
      </c>
      <c r="I502" s="986"/>
      <c r="J502" s="988">
        <v>24716</v>
      </c>
    </row>
    <row r="503" spans="2:10">
      <c r="B503" s="988">
        <v>24746</v>
      </c>
      <c r="H503" s="986">
        <v>4.4999999999999997E-3</v>
      </c>
      <c r="I503" s="986"/>
      <c r="J503" s="988">
        <v>24746</v>
      </c>
    </row>
    <row r="504" spans="2:10">
      <c r="B504" s="988">
        <v>24777</v>
      </c>
      <c r="H504" s="986">
        <v>4.4999999999999997E-3</v>
      </c>
      <c r="I504" s="986"/>
      <c r="J504" s="988">
        <v>24777</v>
      </c>
    </row>
    <row r="505" spans="2:10">
      <c r="B505" s="988">
        <v>24807</v>
      </c>
      <c r="H505" s="986">
        <v>4.4000000000000003E-3</v>
      </c>
      <c r="I505" s="986"/>
      <c r="J505" s="988">
        <v>24807</v>
      </c>
    </row>
    <row r="506" spans="2:10">
      <c r="B506" s="988">
        <v>24838</v>
      </c>
      <c r="H506" s="986">
        <v>5.0000000000000001E-3</v>
      </c>
      <c r="I506" s="986"/>
      <c r="J506" s="988">
        <v>24838</v>
      </c>
    </row>
    <row r="507" spans="2:10">
      <c r="B507" s="988">
        <v>24869</v>
      </c>
      <c r="H507" s="986">
        <v>4.1999999999999997E-3</v>
      </c>
      <c r="I507" s="986"/>
      <c r="J507" s="988">
        <v>24869</v>
      </c>
    </row>
    <row r="508" spans="2:10">
      <c r="B508" s="988">
        <v>24898</v>
      </c>
      <c r="H508" s="986">
        <v>4.3E-3</v>
      </c>
      <c r="I508" s="986"/>
      <c r="J508" s="988">
        <v>24898</v>
      </c>
    </row>
    <row r="509" spans="2:10">
      <c r="B509" s="988">
        <v>24929</v>
      </c>
      <c r="H509" s="986">
        <v>4.8999999999999998E-3</v>
      </c>
      <c r="I509" s="986"/>
      <c r="J509" s="988">
        <v>24929</v>
      </c>
    </row>
    <row r="510" spans="2:10">
      <c r="B510" s="988">
        <v>24959</v>
      </c>
      <c r="H510" s="986">
        <v>4.5999999999999999E-3</v>
      </c>
      <c r="I510" s="986"/>
      <c r="J510" s="988">
        <v>24959</v>
      </c>
    </row>
    <row r="511" spans="2:10">
      <c r="B511" s="988">
        <v>24990</v>
      </c>
      <c r="H511" s="986">
        <v>4.1999999999999997E-3</v>
      </c>
      <c r="I511" s="986"/>
      <c r="J511" s="988">
        <v>24990</v>
      </c>
    </row>
    <row r="512" spans="2:10">
      <c r="B512" s="988">
        <v>25020</v>
      </c>
      <c r="H512" s="986">
        <v>4.7999999999999996E-3</v>
      </c>
      <c r="I512" s="986"/>
      <c r="J512" s="988">
        <v>25020</v>
      </c>
    </row>
    <row r="513" spans="2:10">
      <c r="B513" s="988">
        <v>25051</v>
      </c>
      <c r="H513" s="986">
        <v>4.1999999999999997E-3</v>
      </c>
      <c r="I513" s="986"/>
      <c r="J513" s="988">
        <v>25051</v>
      </c>
    </row>
    <row r="514" spans="2:10">
      <c r="B514" s="988">
        <v>25082</v>
      </c>
      <c r="H514" s="986">
        <v>4.4000000000000003E-3</v>
      </c>
      <c r="I514" s="986"/>
      <c r="J514" s="988">
        <v>25082</v>
      </c>
    </row>
    <row r="515" spans="2:10">
      <c r="B515" s="988">
        <v>25112</v>
      </c>
      <c r="H515" s="986">
        <v>4.4999999999999997E-3</v>
      </c>
      <c r="I515" s="986"/>
      <c r="J515" s="988">
        <v>25112</v>
      </c>
    </row>
    <row r="516" spans="2:10">
      <c r="B516" s="988">
        <v>25143</v>
      </c>
      <c r="H516" s="986">
        <v>4.3E-3</v>
      </c>
      <c r="I516" s="986"/>
      <c r="J516" s="988">
        <v>25143</v>
      </c>
    </row>
    <row r="517" spans="2:10">
      <c r="B517" s="988">
        <v>25173</v>
      </c>
      <c r="H517" s="986">
        <v>4.8999999999999998E-3</v>
      </c>
      <c r="I517" s="986"/>
      <c r="J517" s="988">
        <v>25173</v>
      </c>
    </row>
    <row r="518" spans="2:10">
      <c r="B518" s="988">
        <v>25204</v>
      </c>
      <c r="H518" s="986">
        <v>5.0000000000000001E-3</v>
      </c>
      <c r="I518" s="986"/>
      <c r="J518" s="988">
        <v>25204</v>
      </c>
    </row>
    <row r="519" spans="2:10">
      <c r="B519" s="988">
        <v>25235</v>
      </c>
      <c r="H519" s="986">
        <v>4.5999999999999999E-3</v>
      </c>
      <c r="I519" s="986"/>
      <c r="J519" s="988">
        <v>25235</v>
      </c>
    </row>
    <row r="520" spans="2:10">
      <c r="B520" s="988">
        <v>25263</v>
      </c>
      <c r="H520" s="986">
        <v>4.7000000000000002E-3</v>
      </c>
      <c r="I520" s="986"/>
      <c r="J520" s="988">
        <v>25263</v>
      </c>
    </row>
    <row r="521" spans="2:10">
      <c r="B521" s="988">
        <v>25294</v>
      </c>
      <c r="H521" s="986">
        <v>5.4999999999999997E-3</v>
      </c>
      <c r="I521" s="986"/>
      <c r="J521" s="988">
        <v>25294</v>
      </c>
    </row>
    <row r="522" spans="2:10">
      <c r="B522" s="988">
        <v>25324</v>
      </c>
      <c r="H522" s="986">
        <v>4.7000000000000002E-3</v>
      </c>
      <c r="I522" s="986"/>
      <c r="J522" s="988">
        <v>25324</v>
      </c>
    </row>
    <row r="523" spans="2:10">
      <c r="B523" s="988">
        <v>25355</v>
      </c>
      <c r="H523" s="986">
        <v>5.4999999999999997E-3</v>
      </c>
      <c r="I523" s="986"/>
      <c r="J523" s="988">
        <v>25355</v>
      </c>
    </row>
    <row r="524" spans="2:10">
      <c r="B524" s="988">
        <v>25385</v>
      </c>
      <c r="H524" s="986">
        <v>5.1999999999999998E-3</v>
      </c>
      <c r="I524" s="986"/>
      <c r="J524" s="988">
        <v>25385</v>
      </c>
    </row>
    <row r="525" spans="2:10">
      <c r="B525" s="988">
        <v>25416</v>
      </c>
      <c r="H525" s="986">
        <v>4.7999999999999996E-3</v>
      </c>
      <c r="I525" s="986"/>
      <c r="J525" s="988">
        <v>25416</v>
      </c>
    </row>
    <row r="526" spans="2:10">
      <c r="B526" s="988">
        <v>25447</v>
      </c>
      <c r="H526" s="986">
        <v>5.4999999999999997E-3</v>
      </c>
      <c r="I526" s="986"/>
      <c r="J526" s="988">
        <v>25447</v>
      </c>
    </row>
    <row r="527" spans="2:10">
      <c r="B527" s="988">
        <v>25477</v>
      </c>
      <c r="H527" s="986">
        <v>5.7000000000000002E-3</v>
      </c>
      <c r="I527" s="986"/>
      <c r="J527" s="988">
        <v>25477</v>
      </c>
    </row>
    <row r="528" spans="2:10">
      <c r="B528" s="988">
        <v>25508</v>
      </c>
      <c r="H528" s="986">
        <v>4.8999999999999998E-3</v>
      </c>
      <c r="I528" s="986"/>
      <c r="J528" s="988">
        <v>25508</v>
      </c>
    </row>
    <row r="529" spans="2:10">
      <c r="B529" s="988">
        <v>25538</v>
      </c>
      <c r="H529" s="986">
        <v>6.0000000000000001E-3</v>
      </c>
      <c r="I529" s="986"/>
      <c r="J529" s="988">
        <v>25538</v>
      </c>
    </row>
    <row r="530" spans="2:10">
      <c r="B530" s="988">
        <v>25569</v>
      </c>
      <c r="H530" s="986">
        <v>5.5999999999999999E-3</v>
      </c>
      <c r="I530" s="986"/>
      <c r="J530" s="988">
        <v>25569</v>
      </c>
    </row>
    <row r="531" spans="2:10">
      <c r="B531" s="988">
        <v>25600</v>
      </c>
      <c r="H531" s="986">
        <v>5.1999999999999998E-3</v>
      </c>
      <c r="I531" s="986"/>
      <c r="J531" s="988">
        <v>25600</v>
      </c>
    </row>
    <row r="532" spans="2:10">
      <c r="B532" s="988">
        <v>25628</v>
      </c>
      <c r="H532" s="986">
        <v>5.5999999999999999E-3</v>
      </c>
      <c r="I532" s="986"/>
      <c r="J532" s="988">
        <v>25628</v>
      </c>
    </row>
    <row r="533" spans="2:10">
      <c r="B533" s="988">
        <v>25659</v>
      </c>
      <c r="H533" s="986">
        <v>5.4000000000000003E-3</v>
      </c>
      <c r="I533" s="986"/>
      <c r="J533" s="988">
        <v>25659</v>
      </c>
    </row>
    <row r="534" spans="2:10">
      <c r="B534" s="988">
        <v>25689</v>
      </c>
      <c r="H534" s="986">
        <v>5.4999999999999997E-3</v>
      </c>
      <c r="I534" s="986"/>
      <c r="J534" s="988">
        <v>25689</v>
      </c>
    </row>
    <row r="535" spans="2:10">
      <c r="B535" s="988">
        <v>25720</v>
      </c>
      <c r="H535" s="986">
        <v>6.4000000000000003E-3</v>
      </c>
      <c r="I535" s="986"/>
      <c r="J535" s="988">
        <v>25720</v>
      </c>
    </row>
    <row r="536" spans="2:10">
      <c r="B536" s="988">
        <v>25750</v>
      </c>
      <c r="H536" s="986">
        <v>5.8999999999999999E-3</v>
      </c>
      <c r="I536" s="986"/>
      <c r="J536" s="988">
        <v>25750</v>
      </c>
    </row>
    <row r="537" spans="2:10">
      <c r="B537" s="988">
        <v>25781</v>
      </c>
      <c r="H537" s="986">
        <v>5.7000000000000002E-3</v>
      </c>
      <c r="I537" s="986"/>
      <c r="J537" s="988">
        <v>25781</v>
      </c>
    </row>
    <row r="538" spans="2:10">
      <c r="B538" s="988">
        <v>25812</v>
      </c>
      <c r="H538" s="986">
        <v>5.5999999999999999E-3</v>
      </c>
      <c r="I538" s="986"/>
      <c r="J538" s="988">
        <v>25812</v>
      </c>
    </row>
    <row r="539" spans="2:10">
      <c r="B539" s="988">
        <v>25842</v>
      </c>
      <c r="H539" s="986">
        <v>5.4999999999999997E-3</v>
      </c>
      <c r="I539" s="986"/>
      <c r="J539" s="988">
        <v>25842</v>
      </c>
    </row>
    <row r="540" spans="2:10">
      <c r="B540" s="988">
        <v>25873</v>
      </c>
      <c r="H540" s="986">
        <v>5.7999999999999996E-3</v>
      </c>
      <c r="I540" s="986"/>
      <c r="J540" s="988">
        <v>25873</v>
      </c>
    </row>
    <row r="541" spans="2:10">
      <c r="B541" s="988">
        <v>25903</v>
      </c>
      <c r="H541" s="986">
        <v>5.3E-3</v>
      </c>
      <c r="I541" s="986"/>
      <c r="J541" s="988">
        <v>25903</v>
      </c>
    </row>
    <row r="542" spans="2:10">
      <c r="B542" s="988">
        <v>25934</v>
      </c>
      <c r="H542" s="986">
        <v>5.1000000000000004E-3</v>
      </c>
      <c r="I542" s="986"/>
      <c r="J542" s="988">
        <v>25934</v>
      </c>
    </row>
    <row r="543" spans="2:10">
      <c r="B543" s="988">
        <v>25965</v>
      </c>
      <c r="H543" s="986">
        <v>4.5999999999999999E-3</v>
      </c>
      <c r="I543" s="986"/>
      <c r="J543" s="988">
        <v>25965</v>
      </c>
    </row>
    <row r="544" spans="2:10">
      <c r="B544" s="988">
        <v>25993</v>
      </c>
      <c r="H544" s="986">
        <v>5.5999999999999999E-3</v>
      </c>
      <c r="I544" s="986"/>
      <c r="J544" s="988">
        <v>25993</v>
      </c>
    </row>
    <row r="545" spans="2:10">
      <c r="B545" s="988">
        <v>26024</v>
      </c>
      <c r="H545" s="986">
        <v>4.7999999999999996E-3</v>
      </c>
      <c r="I545" s="986"/>
      <c r="J545" s="988">
        <v>26024</v>
      </c>
    </row>
    <row r="546" spans="2:10">
      <c r="B546" s="988">
        <v>26054</v>
      </c>
      <c r="H546" s="986">
        <v>4.7000000000000002E-3</v>
      </c>
      <c r="I546" s="986"/>
      <c r="J546" s="988">
        <v>26054</v>
      </c>
    </row>
    <row r="547" spans="2:10">
      <c r="B547" s="988">
        <v>26085</v>
      </c>
      <c r="H547" s="986">
        <v>5.5999999999999999E-3</v>
      </c>
      <c r="I547" s="986"/>
      <c r="J547" s="988">
        <v>26085</v>
      </c>
    </row>
    <row r="548" spans="2:10">
      <c r="B548" s="988">
        <v>26115</v>
      </c>
      <c r="H548" s="986">
        <v>5.1999999999999998E-3</v>
      </c>
      <c r="I548" s="986"/>
      <c r="J548" s="988">
        <v>26115</v>
      </c>
    </row>
    <row r="549" spans="2:10">
      <c r="B549" s="988">
        <v>26146</v>
      </c>
      <c r="H549" s="986">
        <v>5.4999999999999997E-3</v>
      </c>
      <c r="I549" s="986"/>
      <c r="J549" s="988">
        <v>26146</v>
      </c>
    </row>
    <row r="550" spans="2:10">
      <c r="B550" s="988">
        <v>26177</v>
      </c>
      <c r="H550" s="986">
        <v>4.8999999999999998E-3</v>
      </c>
      <c r="I550" s="986"/>
      <c r="J550" s="988">
        <v>26177</v>
      </c>
    </row>
    <row r="551" spans="2:10">
      <c r="B551" s="988">
        <v>26207</v>
      </c>
      <c r="H551" s="986">
        <v>4.7000000000000002E-3</v>
      </c>
      <c r="I551" s="986"/>
      <c r="J551" s="988">
        <v>26207</v>
      </c>
    </row>
    <row r="552" spans="2:10">
      <c r="B552" s="988">
        <v>26238</v>
      </c>
      <c r="H552" s="986">
        <v>5.1000000000000004E-3</v>
      </c>
      <c r="I552" s="986"/>
      <c r="J552" s="988">
        <v>26238</v>
      </c>
    </row>
    <row r="553" spans="2:10">
      <c r="B553" s="988">
        <v>26268</v>
      </c>
      <c r="H553" s="986">
        <v>5.0000000000000001E-3</v>
      </c>
      <c r="I553" s="986"/>
      <c r="J553" s="988">
        <v>26268</v>
      </c>
    </row>
    <row r="554" spans="2:10">
      <c r="B554" s="988">
        <v>26299</v>
      </c>
      <c r="H554" s="986">
        <v>5.0000000000000001E-3</v>
      </c>
      <c r="I554" s="986"/>
      <c r="J554" s="988">
        <v>26299</v>
      </c>
    </row>
    <row r="555" spans="2:10">
      <c r="B555" s="988">
        <v>26330</v>
      </c>
      <c r="H555" s="986">
        <v>4.7000000000000002E-3</v>
      </c>
      <c r="I555" s="986"/>
      <c r="J555" s="988">
        <v>26330</v>
      </c>
    </row>
    <row r="556" spans="2:10">
      <c r="B556" s="988">
        <v>26359</v>
      </c>
      <c r="H556" s="986">
        <v>4.8999999999999998E-3</v>
      </c>
      <c r="I556" s="986"/>
      <c r="J556" s="988">
        <v>26359</v>
      </c>
    </row>
    <row r="557" spans="2:10">
      <c r="B557" s="988">
        <v>26390</v>
      </c>
      <c r="H557" s="986">
        <v>4.7999999999999996E-3</v>
      </c>
      <c r="I557" s="986"/>
      <c r="J557" s="988">
        <v>26390</v>
      </c>
    </row>
    <row r="558" spans="2:10">
      <c r="B558" s="988">
        <v>26420</v>
      </c>
      <c r="H558" s="986">
        <v>5.4999999999999997E-3</v>
      </c>
      <c r="I558" s="986"/>
      <c r="J558" s="988">
        <v>26420</v>
      </c>
    </row>
    <row r="559" spans="2:10">
      <c r="B559" s="988">
        <v>26451</v>
      </c>
      <c r="H559" s="986">
        <v>4.8999999999999998E-3</v>
      </c>
      <c r="I559" s="986"/>
      <c r="J559" s="988">
        <v>26451</v>
      </c>
    </row>
    <row r="560" spans="2:10">
      <c r="B560" s="988">
        <v>26481</v>
      </c>
      <c r="H560" s="986">
        <v>5.1000000000000004E-3</v>
      </c>
      <c r="I560" s="986"/>
      <c r="J560" s="988">
        <v>26481</v>
      </c>
    </row>
    <row r="561" spans="2:10">
      <c r="B561" s="988">
        <v>26512</v>
      </c>
      <c r="H561" s="986">
        <v>4.8999999999999998E-3</v>
      </c>
      <c r="I561" s="986"/>
      <c r="J561" s="988">
        <v>26512</v>
      </c>
    </row>
    <row r="562" spans="2:10">
      <c r="B562" s="988">
        <v>26543</v>
      </c>
      <c r="H562" s="986">
        <v>4.7000000000000002E-3</v>
      </c>
      <c r="I562" s="986"/>
      <c r="J562" s="988">
        <v>26543</v>
      </c>
    </row>
    <row r="563" spans="2:10">
      <c r="B563" s="988">
        <v>26573</v>
      </c>
      <c r="H563" s="986">
        <v>5.1999999999999998E-3</v>
      </c>
      <c r="I563" s="986"/>
      <c r="J563" s="988">
        <v>26573</v>
      </c>
    </row>
    <row r="564" spans="2:10">
      <c r="B564" s="988">
        <v>26604</v>
      </c>
      <c r="H564" s="986">
        <v>4.7999999999999996E-3</v>
      </c>
      <c r="I564" s="986"/>
      <c r="J564" s="988">
        <v>26604</v>
      </c>
    </row>
    <row r="565" spans="2:10">
      <c r="B565" s="988">
        <v>26634</v>
      </c>
      <c r="H565" s="986">
        <v>4.4999999999999997E-3</v>
      </c>
      <c r="I565" s="986"/>
      <c r="J565" s="988">
        <v>26634</v>
      </c>
    </row>
    <row r="566" spans="2:10">
      <c r="B566" s="988">
        <v>26665</v>
      </c>
      <c r="H566" s="986">
        <v>5.4000000000000003E-3</v>
      </c>
      <c r="I566" s="986"/>
      <c r="J566" s="988">
        <v>26665</v>
      </c>
    </row>
    <row r="567" spans="2:10">
      <c r="B567" s="988">
        <v>26696</v>
      </c>
      <c r="H567" s="986">
        <v>5.1000000000000004E-3</v>
      </c>
      <c r="I567" s="986"/>
      <c r="J567" s="988">
        <v>26696</v>
      </c>
    </row>
    <row r="568" spans="2:10">
      <c r="B568" s="988">
        <v>26724</v>
      </c>
      <c r="H568" s="986">
        <v>5.5999999999999999E-3</v>
      </c>
      <c r="I568" s="986"/>
      <c r="J568" s="988">
        <v>26724</v>
      </c>
    </row>
    <row r="569" spans="2:10">
      <c r="B569" s="988">
        <v>26755</v>
      </c>
      <c r="H569" s="986">
        <v>5.7000000000000002E-3</v>
      </c>
      <c r="I569" s="986"/>
      <c r="J569" s="988">
        <v>26755</v>
      </c>
    </row>
    <row r="570" spans="2:10">
      <c r="B570" s="988">
        <v>26785</v>
      </c>
      <c r="H570" s="986">
        <v>5.7999999999999996E-3</v>
      </c>
      <c r="I570" s="986"/>
      <c r="J570" s="988">
        <v>26785</v>
      </c>
    </row>
    <row r="571" spans="2:10">
      <c r="B571" s="988">
        <v>26816</v>
      </c>
      <c r="H571" s="986">
        <v>5.4999999999999997E-3</v>
      </c>
      <c r="I571" s="986"/>
      <c r="J571" s="988">
        <v>26816</v>
      </c>
    </row>
    <row r="572" spans="2:10">
      <c r="B572" s="988">
        <v>26846</v>
      </c>
      <c r="H572" s="986">
        <v>6.1000000000000004E-3</v>
      </c>
      <c r="I572" s="986"/>
      <c r="J572" s="988">
        <v>26846</v>
      </c>
    </row>
    <row r="573" spans="2:10">
      <c r="B573" s="988">
        <v>26877</v>
      </c>
      <c r="H573" s="986">
        <v>6.1999999999999998E-3</v>
      </c>
      <c r="I573" s="986"/>
      <c r="J573" s="988">
        <v>26877</v>
      </c>
    </row>
    <row r="574" spans="2:10">
      <c r="B574" s="988">
        <v>26908</v>
      </c>
      <c r="H574" s="986">
        <v>5.4999999999999997E-3</v>
      </c>
      <c r="I574" s="986"/>
      <c r="J574" s="988">
        <v>26908</v>
      </c>
    </row>
    <row r="575" spans="2:10">
      <c r="B575" s="988">
        <v>26938</v>
      </c>
      <c r="H575" s="986">
        <v>6.3E-3</v>
      </c>
      <c r="I575" s="986"/>
      <c r="J575" s="988">
        <v>26938</v>
      </c>
    </row>
    <row r="576" spans="2:10">
      <c r="B576" s="988">
        <v>26969</v>
      </c>
      <c r="H576" s="986">
        <v>5.5999999999999999E-3</v>
      </c>
      <c r="I576" s="986"/>
      <c r="J576" s="988">
        <v>26969</v>
      </c>
    </row>
    <row r="577" spans="2:10">
      <c r="B577" s="988">
        <v>26999</v>
      </c>
      <c r="H577" s="986">
        <v>6.0000000000000001E-3</v>
      </c>
      <c r="I577" s="986"/>
      <c r="J577" s="988">
        <v>26999</v>
      </c>
    </row>
    <row r="578" spans="2:10">
      <c r="B578" s="988">
        <v>27030</v>
      </c>
      <c r="H578" s="986">
        <v>6.1000000000000004E-3</v>
      </c>
      <c r="I578" s="986"/>
      <c r="J578" s="988">
        <v>27030</v>
      </c>
    </row>
    <row r="579" spans="2:10">
      <c r="B579" s="988">
        <v>27061</v>
      </c>
      <c r="H579" s="986">
        <v>5.4999999999999997E-3</v>
      </c>
      <c r="I579" s="986"/>
      <c r="J579" s="988">
        <v>27061</v>
      </c>
    </row>
    <row r="580" spans="2:10">
      <c r="B580" s="988">
        <v>27089</v>
      </c>
      <c r="H580" s="986">
        <v>5.7999999999999996E-3</v>
      </c>
      <c r="I580" s="986"/>
      <c r="J580" s="988">
        <v>27089</v>
      </c>
    </row>
    <row r="581" spans="2:10">
      <c r="B581" s="988">
        <v>27120</v>
      </c>
      <c r="H581" s="986">
        <v>6.7999999999999996E-3</v>
      </c>
      <c r="I581" s="986"/>
      <c r="J581" s="988">
        <v>27120</v>
      </c>
    </row>
    <row r="582" spans="2:10">
      <c r="B582" s="988">
        <v>27150</v>
      </c>
      <c r="H582" s="986">
        <v>6.7999999999999996E-3</v>
      </c>
      <c r="I582" s="986"/>
      <c r="J582" s="988">
        <v>27150</v>
      </c>
    </row>
    <row r="583" spans="2:10">
      <c r="B583" s="988">
        <v>27181</v>
      </c>
      <c r="H583" s="986">
        <v>6.1000000000000004E-3</v>
      </c>
      <c r="I583" s="986"/>
      <c r="J583" s="988">
        <v>27181</v>
      </c>
    </row>
    <row r="584" spans="2:10">
      <c r="B584" s="988">
        <v>27211</v>
      </c>
      <c r="H584" s="986">
        <v>7.1999999999999998E-3</v>
      </c>
      <c r="I584" s="986"/>
      <c r="J584" s="988">
        <v>27211</v>
      </c>
    </row>
    <row r="585" spans="2:10">
      <c r="B585" s="988">
        <v>27242</v>
      </c>
      <c r="H585" s="986">
        <v>6.4999999999999997E-3</v>
      </c>
      <c r="I585" s="986"/>
      <c r="J585" s="988">
        <v>27242</v>
      </c>
    </row>
    <row r="586" spans="2:10">
      <c r="B586" s="988">
        <v>27273</v>
      </c>
      <c r="H586" s="986">
        <v>7.1000000000000004E-3</v>
      </c>
      <c r="I586" s="986"/>
      <c r="J586" s="988">
        <v>27273</v>
      </c>
    </row>
    <row r="587" spans="2:10">
      <c r="B587" s="988">
        <v>27303</v>
      </c>
      <c r="H587" s="986">
        <v>7.0000000000000001E-3</v>
      </c>
      <c r="I587" s="986"/>
      <c r="J587" s="988">
        <v>27303</v>
      </c>
    </row>
    <row r="588" spans="2:10">
      <c r="B588" s="988">
        <v>27334</v>
      </c>
      <c r="H588" s="986">
        <v>6.1999999999999998E-3</v>
      </c>
      <c r="I588" s="986"/>
      <c r="J588" s="988">
        <v>27334</v>
      </c>
    </row>
    <row r="589" spans="2:10">
      <c r="B589" s="988">
        <v>27364</v>
      </c>
      <c r="H589" s="986">
        <v>6.7000000000000002E-3</v>
      </c>
      <c r="I589" s="986"/>
      <c r="J589" s="988">
        <v>27364</v>
      </c>
    </row>
    <row r="590" spans="2:10">
      <c r="B590" s="988">
        <v>27395</v>
      </c>
      <c r="H590" s="986">
        <v>6.7999999999999996E-3</v>
      </c>
      <c r="I590" s="986"/>
      <c r="J590" s="988">
        <v>27395</v>
      </c>
    </row>
    <row r="591" spans="2:10">
      <c r="B591" s="988">
        <v>27426</v>
      </c>
      <c r="H591" s="986">
        <v>6.0000000000000001E-3</v>
      </c>
      <c r="I591" s="986"/>
      <c r="J591" s="988">
        <v>27426</v>
      </c>
    </row>
    <row r="592" spans="2:10">
      <c r="B592" s="988">
        <v>27454</v>
      </c>
      <c r="H592" s="986">
        <v>6.6E-3</v>
      </c>
      <c r="I592" s="986"/>
      <c r="J592" s="988">
        <v>27454</v>
      </c>
    </row>
    <row r="593" spans="2:10">
      <c r="B593" s="988">
        <v>27485</v>
      </c>
      <c r="H593" s="986">
        <v>6.7000000000000002E-3</v>
      </c>
      <c r="I593" s="986"/>
      <c r="J593" s="988">
        <v>27485</v>
      </c>
    </row>
    <row r="594" spans="2:10">
      <c r="B594" s="988">
        <v>27515</v>
      </c>
      <c r="H594" s="986">
        <v>6.7000000000000002E-3</v>
      </c>
      <c r="I594" s="986"/>
      <c r="J594" s="988">
        <v>27515</v>
      </c>
    </row>
    <row r="595" spans="2:10">
      <c r="B595" s="988">
        <v>27546</v>
      </c>
      <c r="H595" s="986">
        <v>7.0000000000000001E-3</v>
      </c>
      <c r="I595" s="986"/>
      <c r="J595" s="988">
        <v>27546</v>
      </c>
    </row>
    <row r="596" spans="2:10">
      <c r="B596" s="988">
        <v>27576</v>
      </c>
      <c r="H596" s="986">
        <v>6.7999999999999996E-3</v>
      </c>
      <c r="I596" s="986"/>
      <c r="J596" s="988">
        <v>27576</v>
      </c>
    </row>
    <row r="597" spans="2:10">
      <c r="B597" s="988">
        <v>27607</v>
      </c>
      <c r="H597" s="986">
        <v>6.4999999999999997E-3</v>
      </c>
      <c r="I597" s="986"/>
      <c r="J597" s="988">
        <v>27607</v>
      </c>
    </row>
    <row r="598" spans="2:10">
      <c r="B598" s="988">
        <v>27638</v>
      </c>
      <c r="H598" s="986">
        <v>7.3000000000000001E-3</v>
      </c>
      <c r="I598" s="986"/>
      <c r="J598" s="988">
        <v>27638</v>
      </c>
    </row>
    <row r="599" spans="2:10">
      <c r="B599" s="988">
        <v>27668</v>
      </c>
      <c r="H599" s="986">
        <v>7.1999999999999998E-3</v>
      </c>
      <c r="I599" s="986"/>
      <c r="J599" s="988">
        <v>27668</v>
      </c>
    </row>
    <row r="600" spans="2:10">
      <c r="B600" s="988">
        <v>27699</v>
      </c>
      <c r="H600" s="986">
        <v>6.1000000000000004E-3</v>
      </c>
      <c r="I600" s="986"/>
      <c r="J600" s="988">
        <v>27699</v>
      </c>
    </row>
    <row r="601" spans="2:10">
      <c r="B601" s="988">
        <v>27729</v>
      </c>
      <c r="H601" s="986">
        <v>7.4000000000000003E-3</v>
      </c>
      <c r="I601" s="986"/>
      <c r="J601" s="988">
        <v>27729</v>
      </c>
    </row>
    <row r="602" spans="2:10">
      <c r="B602" s="988">
        <v>27760</v>
      </c>
      <c r="H602" s="986">
        <v>6.4999999999999997E-3</v>
      </c>
      <c r="I602" s="986"/>
      <c r="J602" s="988">
        <v>27760</v>
      </c>
    </row>
    <row r="603" spans="2:10">
      <c r="B603" s="988">
        <v>27791</v>
      </c>
      <c r="H603" s="986">
        <v>6.0000000000000001E-3</v>
      </c>
      <c r="I603" s="986"/>
      <c r="J603" s="988">
        <v>27791</v>
      </c>
    </row>
    <row r="604" spans="2:10">
      <c r="B604" s="988">
        <v>27820</v>
      </c>
      <c r="H604" s="986">
        <v>7.1000000000000004E-3</v>
      </c>
      <c r="I604" s="986"/>
      <c r="J604" s="988">
        <v>27820</v>
      </c>
    </row>
    <row r="605" spans="2:10">
      <c r="B605" s="988">
        <v>27851</v>
      </c>
      <c r="H605" s="986">
        <v>6.4000000000000003E-3</v>
      </c>
      <c r="I605" s="986"/>
      <c r="J605" s="988">
        <v>27851</v>
      </c>
    </row>
    <row r="606" spans="2:10">
      <c r="B606" s="988">
        <v>27881</v>
      </c>
      <c r="H606" s="986">
        <v>5.8999999999999999E-3</v>
      </c>
      <c r="I606" s="986"/>
      <c r="J606" s="988">
        <v>27881</v>
      </c>
    </row>
    <row r="607" spans="2:10">
      <c r="B607" s="988">
        <v>27912</v>
      </c>
      <c r="H607" s="986">
        <v>7.3000000000000001E-3</v>
      </c>
      <c r="I607" s="986"/>
      <c r="J607" s="988">
        <v>27912</v>
      </c>
    </row>
    <row r="608" spans="2:10">
      <c r="B608" s="988">
        <v>27942</v>
      </c>
      <c r="H608" s="986">
        <v>6.4999999999999997E-3</v>
      </c>
      <c r="I608" s="986"/>
      <c r="J608" s="988">
        <v>27942</v>
      </c>
    </row>
    <row r="609" spans="2:10">
      <c r="B609" s="988">
        <v>27973</v>
      </c>
      <c r="H609" s="986">
        <v>6.8999999999999999E-3</v>
      </c>
      <c r="I609" s="986"/>
      <c r="J609" s="988">
        <v>27973</v>
      </c>
    </row>
    <row r="610" spans="2:10">
      <c r="B610" s="988">
        <v>28004</v>
      </c>
      <c r="H610" s="986">
        <v>6.4000000000000003E-3</v>
      </c>
      <c r="I610" s="986"/>
      <c r="J610" s="988">
        <v>28004</v>
      </c>
    </row>
    <row r="611" spans="2:10">
      <c r="B611" s="988">
        <v>28034</v>
      </c>
      <c r="H611" s="986">
        <v>6.1000000000000004E-3</v>
      </c>
      <c r="I611" s="986"/>
      <c r="J611" s="988">
        <v>28034</v>
      </c>
    </row>
    <row r="612" spans="2:10">
      <c r="B612" s="988">
        <v>28065</v>
      </c>
      <c r="H612" s="986">
        <v>6.6E-3</v>
      </c>
      <c r="I612" s="986"/>
      <c r="J612" s="988">
        <v>28065</v>
      </c>
    </row>
    <row r="613" spans="2:10">
      <c r="B613" s="988">
        <v>28095</v>
      </c>
      <c r="H613" s="986">
        <v>6.3E-3</v>
      </c>
      <c r="I613" s="986"/>
      <c r="J613" s="988">
        <v>28095</v>
      </c>
    </row>
    <row r="614" spans="2:10">
      <c r="B614" s="988">
        <v>28126</v>
      </c>
      <c r="H614" s="986">
        <v>5.8999999999999999E-3</v>
      </c>
      <c r="I614" s="986"/>
      <c r="J614" s="988">
        <v>28126</v>
      </c>
    </row>
    <row r="615" spans="2:10">
      <c r="B615" s="988">
        <v>28157</v>
      </c>
      <c r="H615" s="986">
        <v>5.7000000000000002E-3</v>
      </c>
      <c r="I615" s="986"/>
      <c r="J615" s="988">
        <v>28157</v>
      </c>
    </row>
    <row r="616" spans="2:10">
      <c r="B616" s="988">
        <v>28185</v>
      </c>
      <c r="H616" s="986">
        <v>6.4999999999999997E-3</v>
      </c>
      <c r="I616" s="986"/>
      <c r="J616" s="988">
        <v>28185</v>
      </c>
    </row>
    <row r="617" spans="2:10">
      <c r="B617" s="988">
        <v>28216</v>
      </c>
      <c r="H617" s="986">
        <v>6.1000000000000004E-3</v>
      </c>
      <c r="I617" s="986"/>
      <c r="J617" s="988">
        <v>28216</v>
      </c>
    </row>
    <row r="618" spans="2:10">
      <c r="B618" s="988">
        <v>28246</v>
      </c>
      <c r="H618" s="986">
        <v>6.7000000000000002E-3</v>
      </c>
      <c r="I618" s="986"/>
      <c r="J618" s="988">
        <v>28246</v>
      </c>
    </row>
    <row r="619" spans="2:10">
      <c r="B619" s="988">
        <v>28277</v>
      </c>
      <c r="H619" s="986">
        <v>6.1999999999999998E-3</v>
      </c>
      <c r="I619" s="986"/>
      <c r="J619" s="988">
        <v>28277</v>
      </c>
    </row>
    <row r="620" spans="2:10">
      <c r="B620" s="988">
        <v>28307</v>
      </c>
      <c r="H620" s="986">
        <v>5.8999999999999999E-3</v>
      </c>
      <c r="I620" s="986"/>
      <c r="J620" s="988">
        <v>28307</v>
      </c>
    </row>
    <row r="621" spans="2:10">
      <c r="B621" s="988">
        <v>28338</v>
      </c>
      <c r="H621" s="986">
        <v>6.7000000000000002E-3</v>
      </c>
      <c r="I621" s="986"/>
      <c r="J621" s="988">
        <v>28338</v>
      </c>
    </row>
    <row r="622" spans="2:10">
      <c r="B622" s="988">
        <v>28369</v>
      </c>
      <c r="H622" s="986">
        <v>6.1000000000000004E-3</v>
      </c>
      <c r="I622" s="986"/>
      <c r="J622" s="988">
        <v>28369</v>
      </c>
    </row>
    <row r="623" spans="2:10">
      <c r="B623" s="988">
        <v>28399</v>
      </c>
      <c r="H623" s="986">
        <v>6.3E-3</v>
      </c>
      <c r="I623" s="986"/>
      <c r="J623" s="988">
        <v>28399</v>
      </c>
    </row>
    <row r="624" spans="2:10">
      <c r="B624" s="988">
        <v>28430</v>
      </c>
      <c r="H624" s="986">
        <v>6.3E-3</v>
      </c>
      <c r="I624" s="986"/>
      <c r="J624" s="988">
        <v>28430</v>
      </c>
    </row>
    <row r="625" spans="2:10">
      <c r="B625" s="988">
        <v>28460</v>
      </c>
      <c r="H625" s="986">
        <v>6.1999999999999998E-3</v>
      </c>
      <c r="I625" s="986"/>
      <c r="J625" s="988">
        <v>28460</v>
      </c>
    </row>
    <row r="626" spans="2:10">
      <c r="B626" s="988">
        <v>28491</v>
      </c>
      <c r="H626" s="986">
        <v>6.8999999999999999E-3</v>
      </c>
      <c r="I626" s="986"/>
      <c r="J626" s="988">
        <v>28491</v>
      </c>
    </row>
    <row r="627" spans="2:10">
      <c r="B627" s="988">
        <v>28522</v>
      </c>
      <c r="H627" s="986">
        <v>6.0000000000000001E-3</v>
      </c>
      <c r="I627" s="986"/>
      <c r="J627" s="988">
        <v>28522</v>
      </c>
    </row>
    <row r="628" spans="2:10">
      <c r="B628" s="988">
        <v>28550</v>
      </c>
      <c r="H628" s="986">
        <v>6.8999999999999999E-3</v>
      </c>
      <c r="I628" s="986"/>
      <c r="J628" s="988">
        <v>28550</v>
      </c>
    </row>
    <row r="629" spans="2:10">
      <c r="B629" s="988">
        <v>28581</v>
      </c>
      <c r="H629" s="986">
        <v>6.3E-3</v>
      </c>
      <c r="I629" s="986"/>
      <c r="J629" s="988">
        <v>28581</v>
      </c>
    </row>
    <row r="630" spans="2:10">
      <c r="B630" s="988">
        <v>28611</v>
      </c>
      <c r="H630" s="986">
        <v>7.4999999999999997E-3</v>
      </c>
      <c r="I630" s="986"/>
      <c r="J630" s="988">
        <v>28611</v>
      </c>
    </row>
    <row r="631" spans="2:10">
      <c r="B631" s="988">
        <v>28642</v>
      </c>
      <c r="H631" s="986">
        <v>6.8999999999999999E-3</v>
      </c>
      <c r="I631" s="986"/>
      <c r="J631" s="988">
        <v>28642</v>
      </c>
    </row>
    <row r="632" spans="2:10">
      <c r="B632" s="988">
        <v>28672</v>
      </c>
      <c r="H632" s="986">
        <v>7.3000000000000001E-3</v>
      </c>
      <c r="I632" s="986"/>
      <c r="J632" s="988">
        <v>28672</v>
      </c>
    </row>
    <row r="633" spans="2:10">
      <c r="B633" s="988">
        <v>28703</v>
      </c>
      <c r="H633" s="986">
        <v>7.0000000000000001E-3</v>
      </c>
      <c r="I633" s="986"/>
      <c r="J633" s="988">
        <v>28703</v>
      </c>
    </row>
    <row r="634" spans="2:10">
      <c r="B634" s="988">
        <v>28734</v>
      </c>
      <c r="H634" s="986">
        <v>6.4999999999999997E-3</v>
      </c>
      <c r="I634" s="986"/>
      <c r="J634" s="988">
        <v>28734</v>
      </c>
    </row>
    <row r="635" spans="2:10">
      <c r="B635" s="988">
        <v>28764</v>
      </c>
      <c r="H635" s="986">
        <v>7.3000000000000001E-3</v>
      </c>
      <c r="I635" s="986"/>
      <c r="J635" s="988">
        <v>28764</v>
      </c>
    </row>
    <row r="636" spans="2:10">
      <c r="B636" s="988">
        <v>28795</v>
      </c>
      <c r="H636" s="986">
        <v>7.1000000000000004E-3</v>
      </c>
      <c r="I636" s="986"/>
      <c r="J636" s="988">
        <v>28795</v>
      </c>
    </row>
    <row r="637" spans="2:10">
      <c r="B637" s="988">
        <v>28825</v>
      </c>
      <c r="H637" s="986">
        <v>6.7999999999999996E-3</v>
      </c>
      <c r="I637" s="986"/>
      <c r="J637" s="988">
        <v>28825</v>
      </c>
    </row>
    <row r="638" spans="2:10">
      <c r="B638" s="988">
        <v>28856</v>
      </c>
      <c r="H638" s="986">
        <v>7.9000000000000008E-3</v>
      </c>
      <c r="I638" s="986"/>
      <c r="J638" s="988">
        <v>28856</v>
      </c>
    </row>
    <row r="639" spans="2:10">
      <c r="B639" s="988">
        <v>28887</v>
      </c>
      <c r="H639" s="986">
        <v>6.4999999999999997E-3</v>
      </c>
      <c r="I639" s="986"/>
      <c r="J639" s="988">
        <v>28887</v>
      </c>
    </row>
    <row r="640" spans="2:10">
      <c r="B640" s="988">
        <v>28915</v>
      </c>
      <c r="H640" s="986">
        <v>7.4000000000000003E-3</v>
      </c>
      <c r="I640" s="986"/>
      <c r="J640" s="988">
        <v>28915</v>
      </c>
    </row>
    <row r="641" spans="2:10">
      <c r="B641" s="988">
        <v>28946</v>
      </c>
      <c r="H641" s="986">
        <v>7.6E-3</v>
      </c>
      <c r="I641" s="986"/>
      <c r="J641" s="988">
        <v>28946</v>
      </c>
    </row>
    <row r="642" spans="2:10">
      <c r="B642" s="988">
        <v>28976</v>
      </c>
      <c r="H642" s="986">
        <v>7.7000000000000002E-3</v>
      </c>
      <c r="I642" s="986"/>
      <c r="J642" s="988">
        <v>28976</v>
      </c>
    </row>
    <row r="643" spans="2:10">
      <c r="B643" s="988">
        <v>29007</v>
      </c>
      <c r="H643" s="986">
        <v>7.1000000000000004E-3</v>
      </c>
      <c r="I643" s="986"/>
      <c r="J643" s="988">
        <v>29007</v>
      </c>
    </row>
    <row r="644" spans="2:10">
      <c r="B644" s="988">
        <v>29037</v>
      </c>
      <c r="H644" s="986">
        <v>7.6E-3</v>
      </c>
      <c r="I644" s="986"/>
      <c r="J644" s="988">
        <v>29037</v>
      </c>
    </row>
    <row r="645" spans="2:10">
      <c r="B645" s="988">
        <v>29068</v>
      </c>
      <c r="H645" s="986">
        <v>7.3000000000000001E-3</v>
      </c>
      <c r="I645" s="986"/>
      <c r="J645" s="988">
        <v>29068</v>
      </c>
    </row>
    <row r="646" spans="2:10">
      <c r="B646" s="988">
        <v>29099</v>
      </c>
      <c r="H646" s="986">
        <v>6.7999999999999996E-3</v>
      </c>
      <c r="I646" s="986"/>
      <c r="J646" s="988">
        <v>29099</v>
      </c>
    </row>
    <row r="647" spans="2:10">
      <c r="B647" s="988">
        <v>29129</v>
      </c>
      <c r="H647" s="986">
        <v>8.2000000000000007E-3</v>
      </c>
      <c r="I647" s="986"/>
      <c r="J647" s="988">
        <v>29129</v>
      </c>
    </row>
    <row r="648" spans="2:10">
      <c r="B648" s="988">
        <v>29160</v>
      </c>
      <c r="H648" s="986">
        <v>8.3000000000000001E-3</v>
      </c>
      <c r="I648" s="986"/>
      <c r="J648" s="988">
        <v>29160</v>
      </c>
    </row>
    <row r="649" spans="2:10">
      <c r="B649" s="988">
        <v>29190</v>
      </c>
      <c r="H649" s="986">
        <v>8.3000000000000001E-3</v>
      </c>
      <c r="I649" s="986"/>
      <c r="J649" s="988">
        <v>29190</v>
      </c>
    </row>
    <row r="650" spans="2:10">
      <c r="B650" s="988">
        <v>29221</v>
      </c>
      <c r="H650" s="986">
        <v>8.3000000000000001E-3</v>
      </c>
      <c r="I650" s="986"/>
      <c r="J650" s="988">
        <v>29221</v>
      </c>
    </row>
    <row r="651" spans="2:10">
      <c r="B651" s="988">
        <v>29252</v>
      </c>
      <c r="H651" s="986">
        <v>8.3999999999999995E-3</v>
      </c>
      <c r="I651" s="986"/>
      <c r="J651" s="988">
        <v>29252</v>
      </c>
    </row>
    <row r="652" spans="2:10">
      <c r="B652" s="988">
        <v>29281</v>
      </c>
      <c r="H652" s="986">
        <v>9.9000000000000008E-3</v>
      </c>
      <c r="I652" s="986"/>
      <c r="J652" s="988">
        <v>29281</v>
      </c>
    </row>
    <row r="653" spans="2:10">
      <c r="B653" s="988">
        <v>29312</v>
      </c>
      <c r="H653" s="986">
        <v>0.01</v>
      </c>
      <c r="I653" s="986"/>
      <c r="J653" s="988">
        <v>29312</v>
      </c>
    </row>
    <row r="654" spans="2:10">
      <c r="B654" s="988">
        <v>29342</v>
      </c>
      <c r="H654" s="986">
        <v>8.6999999999999994E-3</v>
      </c>
      <c r="I654" s="986"/>
      <c r="J654" s="988">
        <v>29342</v>
      </c>
    </row>
    <row r="655" spans="2:10">
      <c r="B655" s="988">
        <v>29373</v>
      </c>
      <c r="H655" s="986">
        <v>8.6E-3</v>
      </c>
      <c r="I655" s="986"/>
      <c r="J655" s="988">
        <v>29373</v>
      </c>
    </row>
    <row r="656" spans="2:10">
      <c r="B656" s="988">
        <v>29403</v>
      </c>
      <c r="H656" s="986">
        <v>8.3999999999999995E-3</v>
      </c>
      <c r="I656" s="986"/>
      <c r="J656" s="988">
        <v>29403</v>
      </c>
    </row>
    <row r="657" spans="2:10">
      <c r="B657" s="988">
        <v>29434</v>
      </c>
      <c r="H657" s="986">
        <v>8.0999999999999996E-3</v>
      </c>
      <c r="I657" s="986"/>
      <c r="J657" s="988">
        <v>29434</v>
      </c>
    </row>
    <row r="658" spans="2:10">
      <c r="B658" s="988">
        <v>29465</v>
      </c>
      <c r="H658" s="986">
        <v>9.7000000000000003E-3</v>
      </c>
      <c r="I658" s="986"/>
      <c r="J658" s="988">
        <v>29465</v>
      </c>
    </row>
    <row r="659" spans="2:10">
      <c r="B659" s="988">
        <v>29495</v>
      </c>
      <c r="H659" s="986">
        <v>9.7000000000000003E-3</v>
      </c>
      <c r="I659" s="986"/>
      <c r="J659" s="988">
        <v>29495</v>
      </c>
    </row>
    <row r="660" spans="2:10">
      <c r="B660" s="988">
        <v>29526</v>
      </c>
      <c r="H660" s="986">
        <v>9.1000000000000004E-3</v>
      </c>
      <c r="I660" s="986"/>
      <c r="J660" s="988">
        <v>29526</v>
      </c>
    </row>
    <row r="661" spans="2:10">
      <c r="B661" s="988">
        <v>29556</v>
      </c>
      <c r="H661" s="986">
        <v>1.0800000000000001E-2</v>
      </c>
      <c r="I661" s="986"/>
      <c r="J661" s="988">
        <v>29556</v>
      </c>
    </row>
    <row r="662" spans="2:10">
      <c r="B662" s="988">
        <v>29587</v>
      </c>
      <c r="H662" s="986">
        <v>9.4000000000000004E-3</v>
      </c>
      <c r="I662" s="986"/>
      <c r="J662" s="988">
        <v>29587</v>
      </c>
    </row>
    <row r="663" spans="2:10">
      <c r="B663" s="988">
        <v>29618</v>
      </c>
      <c r="H663" s="986">
        <v>8.8000000000000005E-3</v>
      </c>
      <c r="I663" s="986"/>
      <c r="J663" s="988">
        <v>29618</v>
      </c>
    </row>
    <row r="664" spans="2:10">
      <c r="B664" s="988">
        <v>29646</v>
      </c>
      <c r="H664" s="986">
        <v>1.11E-2</v>
      </c>
      <c r="I664" s="986"/>
      <c r="J664" s="988">
        <v>29646</v>
      </c>
    </row>
    <row r="665" spans="2:10">
      <c r="B665" s="988">
        <v>29677</v>
      </c>
      <c r="H665" s="986">
        <v>1.01E-2</v>
      </c>
      <c r="I665" s="986"/>
      <c r="J665" s="988">
        <v>29677</v>
      </c>
    </row>
    <row r="666" spans="2:10">
      <c r="B666" s="988">
        <v>29707</v>
      </c>
      <c r="H666" s="986">
        <v>1.04E-2</v>
      </c>
      <c r="I666" s="986"/>
      <c r="J666" s="988">
        <v>29707</v>
      </c>
    </row>
    <row r="667" spans="2:10">
      <c r="B667" s="988">
        <v>29738</v>
      </c>
      <c r="H667" s="986">
        <v>1.09E-2</v>
      </c>
      <c r="I667" s="986"/>
      <c r="J667" s="988">
        <v>29738</v>
      </c>
    </row>
    <row r="668" spans="2:10">
      <c r="B668" s="988">
        <v>29768</v>
      </c>
      <c r="H668" s="986">
        <v>1.09E-2</v>
      </c>
      <c r="I668" s="986"/>
      <c r="J668" s="988">
        <v>29768</v>
      </c>
    </row>
    <row r="669" spans="2:10">
      <c r="B669" s="988">
        <v>29799</v>
      </c>
      <c r="H669" s="986">
        <v>1.0999999999999999E-2</v>
      </c>
      <c r="I669" s="986"/>
      <c r="J669" s="988">
        <v>29799</v>
      </c>
    </row>
    <row r="670" spans="2:10">
      <c r="B670" s="988">
        <v>29830</v>
      </c>
      <c r="H670" s="986">
        <v>1.14E-2</v>
      </c>
      <c r="I670" s="986"/>
      <c r="J670" s="988">
        <v>29830</v>
      </c>
    </row>
    <row r="671" spans="2:10">
      <c r="B671" s="988">
        <v>29860</v>
      </c>
      <c r="H671" s="986">
        <v>1.17E-2</v>
      </c>
      <c r="I671" s="986"/>
      <c r="J671" s="988">
        <v>29860</v>
      </c>
    </row>
    <row r="672" spans="2:10">
      <c r="B672" s="988">
        <v>29891</v>
      </c>
      <c r="H672" s="986">
        <v>1.1299999999999999E-2</v>
      </c>
      <c r="I672" s="986"/>
      <c r="J672" s="988">
        <v>29891</v>
      </c>
    </row>
    <row r="673" spans="2:10">
      <c r="B673" s="988">
        <v>29921</v>
      </c>
      <c r="H673" s="986">
        <v>0.01</v>
      </c>
      <c r="I673" s="986"/>
      <c r="J673" s="988">
        <v>29921</v>
      </c>
    </row>
    <row r="674" spans="2:10">
      <c r="B674" s="988">
        <v>29952</v>
      </c>
      <c r="H674" s="986">
        <v>1.0800000000000001E-2</v>
      </c>
      <c r="I674" s="986"/>
      <c r="J674" s="988">
        <v>29952</v>
      </c>
    </row>
    <row r="675" spans="2:10">
      <c r="B675" s="988">
        <v>29983</v>
      </c>
      <c r="H675" s="986">
        <v>1.03E-2</v>
      </c>
      <c r="I675" s="986"/>
      <c r="J675" s="988">
        <v>29983</v>
      </c>
    </row>
    <row r="676" spans="2:10">
      <c r="B676" s="988">
        <v>30011</v>
      </c>
      <c r="H676" s="986">
        <v>1.24E-2</v>
      </c>
      <c r="I676" s="986"/>
      <c r="J676" s="988">
        <v>30011</v>
      </c>
    </row>
    <row r="677" spans="2:10">
      <c r="B677" s="988">
        <v>30042</v>
      </c>
      <c r="H677" s="986">
        <v>1.12E-2</v>
      </c>
      <c r="I677" s="986"/>
      <c r="J677" s="988">
        <v>30042</v>
      </c>
    </row>
    <row r="678" spans="2:10">
      <c r="B678" s="988">
        <v>30072</v>
      </c>
      <c r="H678" s="986">
        <v>1.01E-2</v>
      </c>
      <c r="I678" s="986"/>
      <c r="J678" s="988">
        <v>30072</v>
      </c>
    </row>
    <row r="679" spans="2:10">
      <c r="B679" s="988">
        <v>30103</v>
      </c>
      <c r="H679" s="986">
        <v>1.2E-2</v>
      </c>
      <c r="I679" s="986"/>
      <c r="J679" s="988">
        <v>30103</v>
      </c>
    </row>
    <row r="680" spans="2:10">
      <c r="B680" s="988">
        <v>30133</v>
      </c>
      <c r="H680" s="986">
        <v>1.14E-2</v>
      </c>
      <c r="I680" s="986"/>
      <c r="J680" s="988">
        <v>30133</v>
      </c>
    </row>
    <row r="681" spans="2:10">
      <c r="B681" s="988">
        <v>30164</v>
      </c>
      <c r="H681" s="986">
        <v>1.12E-2</v>
      </c>
      <c r="I681" s="986"/>
      <c r="J681" s="988">
        <v>30164</v>
      </c>
    </row>
    <row r="682" spans="2:10">
      <c r="B682" s="988">
        <v>30195</v>
      </c>
      <c r="H682" s="986">
        <v>0.01</v>
      </c>
      <c r="I682" s="986"/>
      <c r="J682" s="988">
        <v>30195</v>
      </c>
    </row>
    <row r="683" spans="2:10">
      <c r="B683" s="988">
        <v>30225</v>
      </c>
      <c r="H683" s="986">
        <v>9.1000000000000004E-3</v>
      </c>
      <c r="I683" s="986"/>
      <c r="J683" s="988">
        <v>30225</v>
      </c>
    </row>
    <row r="684" spans="2:10">
      <c r="B684" s="988">
        <v>30256</v>
      </c>
      <c r="H684" s="986">
        <v>9.4000000000000004E-3</v>
      </c>
      <c r="I684" s="986"/>
      <c r="J684" s="988">
        <v>30256</v>
      </c>
    </row>
    <row r="685" spans="2:10">
      <c r="B685" s="988">
        <v>30286</v>
      </c>
      <c r="H685" s="986">
        <v>9.2999999999999992E-3</v>
      </c>
      <c r="I685" s="986"/>
      <c r="J685" s="988">
        <v>30286</v>
      </c>
    </row>
    <row r="686" spans="2:10">
      <c r="B686" s="988">
        <v>30317</v>
      </c>
      <c r="H686" s="986">
        <v>8.6999999999999994E-3</v>
      </c>
      <c r="I686" s="986"/>
      <c r="J686" s="988">
        <v>30317</v>
      </c>
    </row>
    <row r="687" spans="2:10">
      <c r="B687" s="988">
        <v>30348</v>
      </c>
      <c r="H687" s="986">
        <v>8.0999999999999996E-3</v>
      </c>
      <c r="I687" s="986"/>
      <c r="J687" s="988">
        <v>30348</v>
      </c>
    </row>
    <row r="688" spans="2:10">
      <c r="B688" s="988">
        <v>30376</v>
      </c>
      <c r="H688" s="986">
        <v>8.8999999999999999E-3</v>
      </c>
      <c r="I688" s="986"/>
      <c r="J688" s="988">
        <v>30376</v>
      </c>
    </row>
    <row r="689" spans="1:10">
      <c r="B689" s="988">
        <v>30407</v>
      </c>
      <c r="H689" s="986">
        <v>8.5000000000000006E-3</v>
      </c>
      <c r="I689" s="986"/>
      <c r="J689" s="988">
        <v>30407</v>
      </c>
    </row>
    <row r="690" spans="1:10">
      <c r="B690" s="988">
        <v>30437</v>
      </c>
      <c r="H690" s="986">
        <v>9.1000000000000004E-3</v>
      </c>
      <c r="I690" s="986"/>
      <c r="J690" s="988">
        <v>30437</v>
      </c>
    </row>
    <row r="691" spans="1:10">
      <c r="B691" s="988">
        <v>30468</v>
      </c>
      <c r="H691" s="986">
        <v>8.9999999999999993E-3</v>
      </c>
      <c r="I691" s="986"/>
      <c r="J691" s="988">
        <v>30468</v>
      </c>
    </row>
    <row r="692" spans="1:10">
      <c r="B692" s="988">
        <v>30498</v>
      </c>
      <c r="H692" s="986">
        <v>8.8000000000000005E-3</v>
      </c>
      <c r="I692" s="986"/>
      <c r="J692" s="988">
        <v>30498</v>
      </c>
    </row>
    <row r="693" spans="1:10">
      <c r="B693" s="988">
        <v>30529</v>
      </c>
      <c r="H693" s="986">
        <v>1.03E-2</v>
      </c>
      <c r="I693" s="986"/>
      <c r="J693" s="988">
        <v>30529</v>
      </c>
    </row>
    <row r="694" spans="1:10">
      <c r="B694" s="988">
        <v>30560</v>
      </c>
      <c r="H694" s="986">
        <v>9.5999999999999992E-3</v>
      </c>
      <c r="I694" s="986"/>
      <c r="J694" s="988">
        <v>30560</v>
      </c>
    </row>
    <row r="695" spans="1:10">
      <c r="B695" s="988">
        <v>30590</v>
      </c>
      <c r="H695" s="986">
        <v>9.4999999999999998E-3</v>
      </c>
      <c r="I695" s="986"/>
      <c r="J695" s="988">
        <v>30590</v>
      </c>
    </row>
    <row r="696" spans="1:10">
      <c r="B696" s="988">
        <v>30621</v>
      </c>
      <c r="H696" s="986">
        <v>9.4000000000000004E-3</v>
      </c>
      <c r="I696" s="986"/>
      <c r="J696" s="988">
        <v>30621</v>
      </c>
    </row>
    <row r="697" spans="1:10">
      <c r="A697" s="987">
        <v>60</v>
      </c>
      <c r="B697" s="988">
        <v>30651</v>
      </c>
      <c r="C697" s="987" t="s">
        <v>4631</v>
      </c>
      <c r="D697" s="987" t="s">
        <v>4632</v>
      </c>
      <c r="E697" s="987">
        <v>-17</v>
      </c>
      <c r="F697" s="987">
        <v>-66</v>
      </c>
      <c r="G697" s="987">
        <v>0.4</v>
      </c>
      <c r="H697" s="986">
        <v>9.4000000000000004E-3</v>
      </c>
      <c r="I697" s="986"/>
      <c r="J697" s="988">
        <v>30651</v>
      </c>
    </row>
    <row r="698" spans="1:10">
      <c r="A698" s="987">
        <v>60</v>
      </c>
      <c r="B698" s="988">
        <v>30682</v>
      </c>
      <c r="C698" s="987" t="s">
        <v>4631</v>
      </c>
      <c r="D698" s="987" t="s">
        <v>4632</v>
      </c>
      <c r="E698" s="987">
        <v>-17.125</v>
      </c>
      <c r="F698" s="987">
        <v>7.3530000000000002E-3</v>
      </c>
      <c r="G698" s="987">
        <v>0</v>
      </c>
      <c r="H698" s="986">
        <v>1.03E-2</v>
      </c>
      <c r="I698" s="986">
        <f t="shared" ref="I698:I761" si="0">F698-H698</f>
        <v>-2.947E-3</v>
      </c>
      <c r="J698" s="988">
        <v>30682</v>
      </c>
    </row>
    <row r="699" spans="1:10">
      <c r="A699" s="987">
        <v>60</v>
      </c>
      <c r="B699" s="988">
        <v>30713</v>
      </c>
      <c r="C699" s="987" t="s">
        <v>4631</v>
      </c>
      <c r="D699" s="987" t="s">
        <v>4632</v>
      </c>
      <c r="E699" s="987">
        <v>-17.25</v>
      </c>
      <c r="F699" s="987">
        <v>7.2989999999999999E-3</v>
      </c>
      <c r="G699" s="987">
        <v>0</v>
      </c>
      <c r="H699" s="986">
        <v>9.1999999999999998E-3</v>
      </c>
      <c r="I699" s="986">
        <f t="shared" si="0"/>
        <v>-1.9009999999999999E-3</v>
      </c>
      <c r="J699" s="988">
        <v>30713</v>
      </c>
    </row>
    <row r="700" spans="1:10">
      <c r="A700" s="987">
        <v>60</v>
      </c>
      <c r="B700" s="988">
        <v>30742</v>
      </c>
      <c r="C700" s="987" t="s">
        <v>4631</v>
      </c>
      <c r="D700" s="987" t="s">
        <v>4632</v>
      </c>
      <c r="E700" s="987">
        <v>-17.8125</v>
      </c>
      <c r="F700" s="987">
        <v>3.2608999999999999E-2</v>
      </c>
      <c r="G700" s="987">
        <v>0</v>
      </c>
      <c r="H700" s="986">
        <v>9.7999999999999997E-3</v>
      </c>
      <c r="I700" s="986">
        <f t="shared" si="0"/>
        <v>2.2808999999999999E-2</v>
      </c>
      <c r="J700" s="988">
        <v>30742</v>
      </c>
    </row>
    <row r="701" spans="1:10">
      <c r="A701" s="987">
        <v>60</v>
      </c>
      <c r="B701" s="988">
        <v>30773</v>
      </c>
      <c r="C701" s="987" t="s">
        <v>4631</v>
      </c>
      <c r="D701" s="987" t="s">
        <v>4632</v>
      </c>
      <c r="E701" s="987">
        <v>-16.75</v>
      </c>
      <c r="F701" s="987">
        <v>-5.9649000000000001E-2</v>
      </c>
      <c r="G701" s="987">
        <v>0</v>
      </c>
      <c r="H701" s="986">
        <v>1.04E-2</v>
      </c>
      <c r="I701" s="986">
        <f t="shared" si="0"/>
        <v>-7.0049E-2</v>
      </c>
      <c r="J701" s="988">
        <v>30773</v>
      </c>
    </row>
    <row r="702" spans="1:10">
      <c r="A702" s="987">
        <v>60</v>
      </c>
      <c r="B702" s="988">
        <v>30803</v>
      </c>
      <c r="C702" s="987" t="s">
        <v>4631</v>
      </c>
      <c r="D702" s="987" t="s">
        <v>4632</v>
      </c>
      <c r="E702" s="987">
        <v>-16.625</v>
      </c>
      <c r="F702" s="987">
        <v>1.6417999999999999E-2</v>
      </c>
      <c r="G702" s="987">
        <v>0.4</v>
      </c>
      <c r="H702" s="986">
        <v>1.03E-2</v>
      </c>
      <c r="I702" s="986">
        <f t="shared" si="0"/>
        <v>6.1179999999999984E-3</v>
      </c>
      <c r="J702" s="988">
        <v>30803</v>
      </c>
    </row>
    <row r="703" spans="1:10">
      <c r="A703" s="987">
        <v>60</v>
      </c>
      <c r="B703" s="988">
        <v>30834</v>
      </c>
      <c r="C703" s="987" t="s">
        <v>4631</v>
      </c>
      <c r="D703" s="987" t="s">
        <v>4632</v>
      </c>
      <c r="E703" s="987">
        <v>-17.625</v>
      </c>
      <c r="F703" s="987">
        <v>6.0150000000000002E-2</v>
      </c>
      <c r="G703" s="987">
        <v>0</v>
      </c>
      <c r="H703" s="986">
        <v>1.06E-2</v>
      </c>
      <c r="I703" s="986">
        <f t="shared" si="0"/>
        <v>4.9550000000000004E-2</v>
      </c>
      <c r="J703" s="988">
        <v>30834</v>
      </c>
    </row>
    <row r="704" spans="1:10">
      <c r="A704" s="987">
        <v>60</v>
      </c>
      <c r="B704" s="988">
        <v>30864</v>
      </c>
      <c r="C704" s="987" t="s">
        <v>4631</v>
      </c>
      <c r="D704" s="987" t="s">
        <v>4632</v>
      </c>
      <c r="E704" s="987">
        <v>-16.75</v>
      </c>
      <c r="F704" s="987">
        <v>-4.9645000000000002E-2</v>
      </c>
      <c r="G704" s="987">
        <v>0</v>
      </c>
      <c r="H704" s="986">
        <v>1.1599999999999999E-2</v>
      </c>
      <c r="I704" s="986">
        <f t="shared" si="0"/>
        <v>-6.1245000000000001E-2</v>
      </c>
      <c r="J704" s="988">
        <v>30864</v>
      </c>
    </row>
    <row r="705" spans="1:10">
      <c r="A705" s="987">
        <v>60</v>
      </c>
      <c r="B705" s="988">
        <v>30895</v>
      </c>
      <c r="C705" s="987" t="s">
        <v>4631</v>
      </c>
      <c r="D705" s="987" t="s">
        <v>4632</v>
      </c>
      <c r="E705" s="987">
        <v>-15.625</v>
      </c>
      <c r="F705" s="987">
        <v>-4.3284000000000003E-2</v>
      </c>
      <c r="G705" s="987">
        <v>0.4</v>
      </c>
      <c r="H705" s="986">
        <v>1.06E-2</v>
      </c>
      <c r="I705" s="986">
        <f t="shared" si="0"/>
        <v>-5.3884000000000001E-2</v>
      </c>
      <c r="J705" s="988">
        <v>30895</v>
      </c>
    </row>
    <row r="706" spans="1:10">
      <c r="A706" s="987">
        <v>60</v>
      </c>
      <c r="B706" s="988">
        <v>30926</v>
      </c>
      <c r="C706" s="987" t="s">
        <v>4631</v>
      </c>
      <c r="D706" s="987" t="s">
        <v>4632</v>
      </c>
      <c r="E706" s="987">
        <v>-17</v>
      </c>
      <c r="F706" s="987">
        <v>8.7999999999999995E-2</v>
      </c>
      <c r="G706" s="987">
        <v>0</v>
      </c>
      <c r="H706" s="986">
        <v>9.4000000000000004E-3</v>
      </c>
      <c r="I706" s="986">
        <f t="shared" si="0"/>
        <v>7.8599999999999989E-2</v>
      </c>
      <c r="J706" s="988">
        <v>30926</v>
      </c>
    </row>
    <row r="707" spans="1:10">
      <c r="A707" s="987">
        <v>60</v>
      </c>
      <c r="B707" s="988">
        <v>30956</v>
      </c>
      <c r="C707" s="987" t="s">
        <v>4631</v>
      </c>
      <c r="D707" s="987" t="s">
        <v>4632</v>
      </c>
      <c r="E707" s="987">
        <v>-17.75</v>
      </c>
      <c r="F707" s="987">
        <v>4.4117999999999997E-2</v>
      </c>
      <c r="G707" s="987">
        <v>0</v>
      </c>
      <c r="H707" s="986">
        <v>1.0800000000000001E-2</v>
      </c>
      <c r="I707" s="986">
        <f t="shared" si="0"/>
        <v>3.3318E-2</v>
      </c>
      <c r="J707" s="988">
        <v>30956</v>
      </c>
    </row>
    <row r="708" spans="1:10">
      <c r="A708" s="987">
        <v>60</v>
      </c>
      <c r="B708" s="988">
        <v>30987</v>
      </c>
      <c r="C708" s="987" t="s">
        <v>4631</v>
      </c>
      <c r="D708" s="987" t="s">
        <v>4632</v>
      </c>
      <c r="E708" s="987">
        <v>-19.25</v>
      </c>
      <c r="F708" s="987">
        <v>0.107042</v>
      </c>
      <c r="G708" s="987">
        <v>0.4</v>
      </c>
      <c r="H708" s="986">
        <v>9.1000000000000004E-3</v>
      </c>
      <c r="I708" s="986">
        <f t="shared" si="0"/>
        <v>9.7942000000000001E-2</v>
      </c>
      <c r="J708" s="988">
        <v>30987</v>
      </c>
    </row>
    <row r="709" spans="1:10">
      <c r="A709" s="987">
        <v>60</v>
      </c>
      <c r="B709" s="988">
        <v>31017</v>
      </c>
      <c r="C709" s="987" t="s">
        <v>4631</v>
      </c>
      <c r="D709" s="987" t="s">
        <v>4632</v>
      </c>
      <c r="E709" s="987">
        <v>-20</v>
      </c>
      <c r="F709" s="987">
        <v>3.8961000000000003E-2</v>
      </c>
      <c r="G709" s="987">
        <v>0</v>
      </c>
      <c r="H709" s="986">
        <v>9.7999999999999997E-3</v>
      </c>
      <c r="I709" s="986">
        <f t="shared" si="0"/>
        <v>2.9161000000000003E-2</v>
      </c>
      <c r="J709" s="988">
        <v>31017</v>
      </c>
    </row>
    <row r="710" spans="1:10">
      <c r="A710" s="987">
        <v>60</v>
      </c>
      <c r="B710" s="988">
        <v>31048</v>
      </c>
      <c r="C710" s="987" t="s">
        <v>4631</v>
      </c>
      <c r="D710" s="987" t="s">
        <v>4632</v>
      </c>
      <c r="E710" s="987">
        <v>-21.125</v>
      </c>
      <c r="F710" s="987">
        <v>5.6250000000000001E-2</v>
      </c>
      <c r="G710" s="987">
        <v>0</v>
      </c>
      <c r="H710" s="986">
        <v>9.5999999999999992E-3</v>
      </c>
      <c r="I710" s="986">
        <f t="shared" si="0"/>
        <v>4.6650000000000004E-2</v>
      </c>
      <c r="J710" s="988">
        <v>31048</v>
      </c>
    </row>
    <row r="711" spans="1:10">
      <c r="A711" s="987">
        <v>60</v>
      </c>
      <c r="B711" s="988">
        <v>31079</v>
      </c>
      <c r="C711" s="987" t="s">
        <v>4631</v>
      </c>
      <c r="D711" s="987" t="s">
        <v>4632</v>
      </c>
      <c r="E711" s="987">
        <v>-21.25</v>
      </c>
      <c r="F711" s="987">
        <v>2.4851999999999999E-2</v>
      </c>
      <c r="G711" s="987">
        <v>0.4</v>
      </c>
      <c r="H711" s="986">
        <v>8.2000000000000007E-3</v>
      </c>
      <c r="I711" s="986">
        <f t="shared" si="0"/>
        <v>1.6652E-2</v>
      </c>
      <c r="J711" s="988">
        <v>31079</v>
      </c>
    </row>
    <row r="712" spans="1:10">
      <c r="A712" s="987">
        <v>60</v>
      </c>
      <c r="B712" s="988">
        <v>31107</v>
      </c>
      <c r="C712" s="987" t="s">
        <v>4631</v>
      </c>
      <c r="D712" s="987" t="s">
        <v>4632</v>
      </c>
      <c r="E712" s="987">
        <v>20.75</v>
      </c>
      <c r="F712" s="987">
        <v>-2.3529000000000001E-2</v>
      </c>
      <c r="G712" s="987">
        <v>0</v>
      </c>
      <c r="H712" s="986">
        <v>9.4000000000000004E-3</v>
      </c>
      <c r="I712" s="986">
        <f t="shared" si="0"/>
        <v>-3.2929E-2</v>
      </c>
      <c r="J712" s="988">
        <v>31107</v>
      </c>
    </row>
    <row r="713" spans="1:10">
      <c r="A713" s="987">
        <v>60</v>
      </c>
      <c r="B713" s="988">
        <v>31138</v>
      </c>
      <c r="C713" s="987" t="s">
        <v>4631</v>
      </c>
      <c r="D713" s="987" t="s">
        <v>4632</v>
      </c>
      <c r="E713" s="987">
        <v>23</v>
      </c>
      <c r="F713" s="987">
        <v>0.108434</v>
      </c>
      <c r="G713" s="987">
        <v>0</v>
      </c>
      <c r="H713" s="986">
        <v>1.0200000000000001E-2</v>
      </c>
      <c r="I713" s="986">
        <f t="shared" si="0"/>
        <v>9.8234000000000002E-2</v>
      </c>
      <c r="J713" s="988">
        <v>31138</v>
      </c>
    </row>
    <row r="714" spans="1:10">
      <c r="A714" s="987">
        <v>60</v>
      </c>
      <c r="B714" s="988">
        <v>31168</v>
      </c>
      <c r="C714" s="987" t="s">
        <v>4631</v>
      </c>
      <c r="D714" s="987" t="s">
        <v>4632</v>
      </c>
      <c r="E714" s="987">
        <v>26</v>
      </c>
      <c r="F714" s="987">
        <v>0.14782600000000001</v>
      </c>
      <c r="G714" s="987">
        <v>0.4</v>
      </c>
      <c r="H714" s="986">
        <v>9.7000000000000003E-3</v>
      </c>
      <c r="I714" s="986">
        <f t="shared" si="0"/>
        <v>0.13812600000000003</v>
      </c>
      <c r="J714" s="988">
        <v>31168</v>
      </c>
    </row>
    <row r="715" spans="1:10">
      <c r="A715" s="987">
        <v>60</v>
      </c>
      <c r="B715" s="988">
        <v>31199</v>
      </c>
      <c r="C715" s="987" t="s">
        <v>4631</v>
      </c>
      <c r="D715" s="987" t="s">
        <v>4632</v>
      </c>
      <c r="E715" s="987">
        <v>14.25</v>
      </c>
      <c r="F715" s="987">
        <v>9.6154000000000003E-2</v>
      </c>
      <c r="G715" s="987">
        <v>0</v>
      </c>
      <c r="H715" s="986">
        <v>8.0000000000000002E-3</v>
      </c>
      <c r="I715" s="986">
        <f t="shared" si="0"/>
        <v>8.815400000000001E-2</v>
      </c>
      <c r="J715" s="988">
        <v>31199</v>
      </c>
    </row>
    <row r="716" spans="1:10">
      <c r="A716" s="987">
        <v>60</v>
      </c>
      <c r="B716" s="988">
        <v>31229</v>
      </c>
      <c r="C716" s="987" t="s">
        <v>4631</v>
      </c>
      <c r="D716" s="987" t="s">
        <v>4632</v>
      </c>
      <c r="E716" s="987">
        <v>13</v>
      </c>
      <c r="F716" s="987">
        <v>-8.7719000000000005E-2</v>
      </c>
      <c r="G716" s="987">
        <v>0</v>
      </c>
      <c r="H716" s="986">
        <v>9.4000000000000004E-3</v>
      </c>
      <c r="I716" s="986">
        <f t="shared" si="0"/>
        <v>-9.7119000000000011E-2</v>
      </c>
      <c r="J716" s="988">
        <v>31229</v>
      </c>
    </row>
    <row r="717" spans="1:10">
      <c r="A717" s="987">
        <v>60</v>
      </c>
      <c r="B717" s="988">
        <v>31260</v>
      </c>
      <c r="C717" s="987" t="s">
        <v>4631</v>
      </c>
      <c r="D717" s="987" t="s">
        <v>4632</v>
      </c>
      <c r="E717" s="987">
        <v>13</v>
      </c>
      <c r="F717" s="987">
        <v>1.6923000000000001E-2</v>
      </c>
      <c r="G717" s="987">
        <v>0.22</v>
      </c>
      <c r="H717" s="986">
        <v>8.5000000000000006E-3</v>
      </c>
      <c r="I717" s="986">
        <f t="shared" si="0"/>
        <v>8.4229999999999999E-3</v>
      </c>
      <c r="J717" s="988">
        <v>31260</v>
      </c>
    </row>
    <row r="718" spans="1:10">
      <c r="A718" s="987">
        <v>60</v>
      </c>
      <c r="B718" s="988">
        <v>31291</v>
      </c>
      <c r="C718" s="987" t="s">
        <v>4631</v>
      </c>
      <c r="D718" s="987" t="s">
        <v>4632</v>
      </c>
      <c r="E718" s="987">
        <v>13.125</v>
      </c>
      <c r="F718" s="987">
        <v>9.6150000000000003E-3</v>
      </c>
      <c r="G718" s="987">
        <v>0</v>
      </c>
      <c r="H718" s="986">
        <v>8.8000000000000005E-3</v>
      </c>
      <c r="I718" s="986">
        <f t="shared" si="0"/>
        <v>8.1499999999999975E-4</v>
      </c>
      <c r="J718" s="988">
        <v>31291</v>
      </c>
    </row>
    <row r="719" spans="1:10">
      <c r="A719" s="987">
        <v>60</v>
      </c>
      <c r="B719" s="988">
        <v>31321</v>
      </c>
      <c r="C719" s="987" t="s">
        <v>4631</v>
      </c>
      <c r="D719" s="987" t="s">
        <v>4632</v>
      </c>
      <c r="E719" s="987">
        <v>14.875</v>
      </c>
      <c r="F719" s="987">
        <v>0.13333300000000001</v>
      </c>
      <c r="G719" s="987">
        <v>0</v>
      </c>
      <c r="H719" s="986">
        <v>8.8999999999999999E-3</v>
      </c>
      <c r="I719" s="986">
        <f t="shared" si="0"/>
        <v>0.124433</v>
      </c>
      <c r="J719" s="988">
        <v>31321</v>
      </c>
    </row>
    <row r="720" spans="1:10">
      <c r="A720" s="987">
        <v>60</v>
      </c>
      <c r="B720" s="988">
        <v>31352</v>
      </c>
      <c r="C720" s="987" t="s">
        <v>4631</v>
      </c>
      <c r="D720" s="987" t="s">
        <v>4632</v>
      </c>
      <c r="E720" s="987">
        <v>16.375</v>
      </c>
      <c r="F720" s="987">
        <v>0.117647</v>
      </c>
      <c r="G720" s="987">
        <v>0.25</v>
      </c>
      <c r="H720" s="986">
        <v>8.0999999999999996E-3</v>
      </c>
      <c r="I720" s="986">
        <f t="shared" si="0"/>
        <v>0.10954700000000001</v>
      </c>
      <c r="J720" s="988">
        <v>31352</v>
      </c>
    </row>
    <row r="721" spans="1:10">
      <c r="A721" s="987">
        <v>60</v>
      </c>
      <c r="B721" s="988">
        <v>31382</v>
      </c>
      <c r="C721" s="987" t="s">
        <v>4631</v>
      </c>
      <c r="D721" s="987" t="s">
        <v>4632</v>
      </c>
      <c r="E721" s="987">
        <v>16</v>
      </c>
      <c r="F721" s="987">
        <v>-2.2901000000000001E-2</v>
      </c>
      <c r="G721" s="987">
        <v>0</v>
      </c>
      <c r="H721" s="986">
        <v>8.6E-3</v>
      </c>
      <c r="I721" s="986">
        <f t="shared" si="0"/>
        <v>-3.1501000000000001E-2</v>
      </c>
      <c r="J721" s="988">
        <v>31382</v>
      </c>
    </row>
    <row r="722" spans="1:10">
      <c r="A722" s="987">
        <v>60</v>
      </c>
      <c r="B722" s="988">
        <v>31413</v>
      </c>
      <c r="C722" s="987" t="s">
        <v>4631</v>
      </c>
      <c r="D722" s="987" t="s">
        <v>4632</v>
      </c>
      <c r="E722" s="987">
        <v>17.125</v>
      </c>
      <c r="F722" s="987">
        <v>7.0311999999999999E-2</v>
      </c>
      <c r="G722" s="987">
        <v>0</v>
      </c>
      <c r="H722" s="986">
        <v>7.9000000000000008E-3</v>
      </c>
      <c r="I722" s="986">
        <f t="shared" si="0"/>
        <v>6.2411999999999995E-2</v>
      </c>
      <c r="J722" s="988">
        <v>31413</v>
      </c>
    </row>
    <row r="723" spans="1:10">
      <c r="A723" s="987">
        <v>60</v>
      </c>
      <c r="B723" s="988">
        <v>31444</v>
      </c>
      <c r="C723" s="987" t="s">
        <v>4631</v>
      </c>
      <c r="D723" s="987" t="s">
        <v>4632</v>
      </c>
      <c r="E723" s="987">
        <v>15.625</v>
      </c>
      <c r="F723" s="987">
        <v>-7.2993000000000002E-2</v>
      </c>
      <c r="G723" s="987">
        <v>0.25</v>
      </c>
      <c r="H723" s="986">
        <v>7.3000000000000001E-3</v>
      </c>
      <c r="I723" s="986">
        <f t="shared" si="0"/>
        <v>-8.0293000000000003E-2</v>
      </c>
      <c r="J723" s="988">
        <v>31444</v>
      </c>
    </row>
    <row r="724" spans="1:10">
      <c r="A724" s="987">
        <v>60</v>
      </c>
      <c r="B724" s="988">
        <v>31472</v>
      </c>
      <c r="C724" s="987" t="s">
        <v>4631</v>
      </c>
      <c r="D724" s="987" t="s">
        <v>4632</v>
      </c>
      <c r="E724" s="987">
        <v>16.375</v>
      </c>
      <c r="F724" s="987">
        <v>4.8000000000000001E-2</v>
      </c>
      <c r="G724" s="987">
        <v>0</v>
      </c>
      <c r="H724" s="986">
        <v>7.1000000000000004E-3</v>
      </c>
      <c r="I724" s="986">
        <f t="shared" si="0"/>
        <v>4.0899999999999999E-2</v>
      </c>
      <c r="J724" s="988">
        <v>31472</v>
      </c>
    </row>
    <row r="725" spans="1:10">
      <c r="A725" s="987">
        <v>60</v>
      </c>
      <c r="B725" s="988">
        <v>31503</v>
      </c>
      <c r="C725" s="987" t="s">
        <v>4631</v>
      </c>
      <c r="D725" s="987" t="s">
        <v>4632</v>
      </c>
      <c r="E725" s="987">
        <v>14.375</v>
      </c>
      <c r="F725" s="987">
        <v>-0.122137</v>
      </c>
      <c r="G725" s="987">
        <v>0</v>
      </c>
      <c r="H725" s="986">
        <v>6.3E-3</v>
      </c>
      <c r="I725" s="986">
        <f t="shared" si="0"/>
        <v>-0.128437</v>
      </c>
      <c r="J725" s="988">
        <v>31503</v>
      </c>
    </row>
    <row r="726" spans="1:10">
      <c r="A726" s="987">
        <v>60</v>
      </c>
      <c r="B726" s="988">
        <v>31533</v>
      </c>
      <c r="C726" s="987" t="s">
        <v>4631</v>
      </c>
      <c r="D726" s="987" t="s">
        <v>4632</v>
      </c>
      <c r="E726" s="987">
        <v>15.25</v>
      </c>
      <c r="F726" s="987">
        <v>7.8260999999999997E-2</v>
      </c>
      <c r="G726" s="987">
        <v>0.25</v>
      </c>
      <c r="H726" s="986">
        <v>6.1999999999999998E-3</v>
      </c>
      <c r="I726" s="986">
        <f t="shared" si="0"/>
        <v>7.2061E-2</v>
      </c>
      <c r="J726" s="988">
        <v>31533</v>
      </c>
    </row>
    <row r="727" spans="1:10">
      <c r="A727" s="987">
        <v>60</v>
      </c>
      <c r="B727" s="988">
        <v>31564</v>
      </c>
      <c r="C727" s="987" t="s">
        <v>4631</v>
      </c>
      <c r="D727" s="987" t="s">
        <v>4632</v>
      </c>
      <c r="E727" s="987">
        <v>16.25</v>
      </c>
      <c r="F727" s="987">
        <v>6.5573999999999993E-2</v>
      </c>
      <c r="G727" s="987">
        <v>0</v>
      </c>
      <c r="H727" s="986">
        <v>7.0000000000000001E-3</v>
      </c>
      <c r="I727" s="986">
        <f t="shared" si="0"/>
        <v>5.8573999999999994E-2</v>
      </c>
      <c r="J727" s="988">
        <v>31564</v>
      </c>
    </row>
    <row r="728" spans="1:10">
      <c r="A728" s="987">
        <v>60</v>
      </c>
      <c r="B728" s="988">
        <v>31594</v>
      </c>
      <c r="C728" s="987" t="s">
        <v>4631</v>
      </c>
      <c r="D728" s="987" t="s">
        <v>4632</v>
      </c>
      <c r="E728" s="987">
        <v>14.25</v>
      </c>
      <c r="F728" s="987">
        <v>-0.12307700000000001</v>
      </c>
      <c r="G728" s="987">
        <v>0</v>
      </c>
      <c r="H728" s="986">
        <v>6.6E-3</v>
      </c>
      <c r="I728" s="986">
        <f t="shared" si="0"/>
        <v>-0.12967700000000001</v>
      </c>
      <c r="J728" s="988">
        <v>31594</v>
      </c>
    </row>
    <row r="729" spans="1:10">
      <c r="A729" s="987">
        <v>60</v>
      </c>
      <c r="B729" s="988">
        <v>31625</v>
      </c>
      <c r="C729" s="987" t="s">
        <v>4631</v>
      </c>
      <c r="D729" s="987" t="s">
        <v>4632</v>
      </c>
      <c r="E729" s="987">
        <v>16</v>
      </c>
      <c r="F729" s="987">
        <v>0.140351</v>
      </c>
      <c r="G729" s="987">
        <v>0.25</v>
      </c>
      <c r="H729" s="986">
        <v>6.3E-3</v>
      </c>
      <c r="I729" s="986">
        <f t="shared" si="0"/>
        <v>0.134051</v>
      </c>
      <c r="J729" s="988">
        <v>31625</v>
      </c>
    </row>
    <row r="730" spans="1:10">
      <c r="A730" s="987">
        <v>60</v>
      </c>
      <c r="B730" s="988">
        <v>31656</v>
      </c>
      <c r="C730" s="987" t="s">
        <v>4631</v>
      </c>
      <c r="D730" s="987" t="s">
        <v>4632</v>
      </c>
      <c r="E730" s="987">
        <v>15.875</v>
      </c>
      <c r="F730" s="987">
        <v>-7.8120000000000004E-3</v>
      </c>
      <c r="G730" s="987">
        <v>0</v>
      </c>
      <c r="H730" s="986">
        <v>6.4999999999999997E-3</v>
      </c>
      <c r="I730" s="986">
        <f t="shared" si="0"/>
        <v>-1.4312E-2</v>
      </c>
      <c r="J730" s="988">
        <v>31656</v>
      </c>
    </row>
    <row r="731" spans="1:10">
      <c r="A731" s="987">
        <v>60</v>
      </c>
      <c r="B731" s="988">
        <v>31686</v>
      </c>
      <c r="C731" s="987" t="s">
        <v>4631</v>
      </c>
      <c r="D731" s="987" t="s">
        <v>4632</v>
      </c>
      <c r="E731" s="987">
        <v>16.125</v>
      </c>
      <c r="F731" s="987">
        <v>1.5748000000000002E-2</v>
      </c>
      <c r="G731" s="987">
        <v>0</v>
      </c>
      <c r="H731" s="986">
        <v>6.8999999999999999E-3</v>
      </c>
      <c r="I731" s="986">
        <f t="shared" si="0"/>
        <v>8.8480000000000017E-3</v>
      </c>
      <c r="J731" s="988">
        <v>31686</v>
      </c>
    </row>
    <row r="732" spans="1:10">
      <c r="A732" s="987">
        <v>60</v>
      </c>
      <c r="B732" s="988">
        <v>31717</v>
      </c>
      <c r="C732" s="987" t="s">
        <v>4631</v>
      </c>
      <c r="D732" s="987" t="s">
        <v>4632</v>
      </c>
      <c r="E732" s="987">
        <v>16</v>
      </c>
      <c r="F732" s="987">
        <v>7.7520000000000002E-3</v>
      </c>
      <c r="G732" s="987">
        <v>0.25</v>
      </c>
      <c r="H732" s="986">
        <v>5.8999999999999999E-3</v>
      </c>
      <c r="I732" s="986">
        <f t="shared" si="0"/>
        <v>1.8520000000000003E-3</v>
      </c>
      <c r="J732" s="988">
        <v>31717</v>
      </c>
    </row>
    <row r="733" spans="1:10">
      <c r="A733" s="987">
        <v>60</v>
      </c>
      <c r="B733" s="988">
        <v>31747</v>
      </c>
      <c r="C733" s="987" t="s">
        <v>4631</v>
      </c>
      <c r="D733" s="987" t="s">
        <v>4632</v>
      </c>
      <c r="E733" s="987">
        <v>14.875</v>
      </c>
      <c r="F733" s="987">
        <v>-7.0311999999999999E-2</v>
      </c>
      <c r="G733" s="987">
        <v>0</v>
      </c>
      <c r="H733" s="986">
        <v>7.0000000000000001E-3</v>
      </c>
      <c r="I733" s="986">
        <f t="shared" si="0"/>
        <v>-7.7312000000000006E-2</v>
      </c>
      <c r="J733" s="988">
        <v>31747</v>
      </c>
    </row>
    <row r="734" spans="1:10">
      <c r="A734" s="987">
        <v>60</v>
      </c>
      <c r="B734" s="988">
        <v>31778</v>
      </c>
      <c r="C734" s="987" t="s">
        <v>4631</v>
      </c>
      <c r="D734" s="987" t="s">
        <v>4632</v>
      </c>
      <c r="E734" s="987">
        <v>15.625</v>
      </c>
      <c r="F734" s="987">
        <v>5.042E-2</v>
      </c>
      <c r="G734" s="987">
        <v>0</v>
      </c>
      <c r="H734" s="986">
        <v>6.4000000000000003E-3</v>
      </c>
      <c r="I734" s="986">
        <f t="shared" si="0"/>
        <v>4.4019999999999997E-2</v>
      </c>
      <c r="J734" s="988">
        <v>31778</v>
      </c>
    </row>
    <row r="735" spans="1:10">
      <c r="A735" s="987">
        <v>60</v>
      </c>
      <c r="B735" s="988">
        <v>31809</v>
      </c>
      <c r="C735" s="987" t="s">
        <v>4631</v>
      </c>
      <c r="D735" s="987" t="s">
        <v>4632</v>
      </c>
      <c r="E735" s="987">
        <v>14.75</v>
      </c>
      <c r="F735" s="987">
        <v>-0.04</v>
      </c>
      <c r="G735" s="987">
        <v>0.25</v>
      </c>
      <c r="H735" s="986">
        <v>5.8999999999999999E-3</v>
      </c>
      <c r="I735" s="986">
        <f t="shared" si="0"/>
        <v>-4.5900000000000003E-2</v>
      </c>
      <c r="J735" s="988">
        <v>31809</v>
      </c>
    </row>
    <row r="736" spans="1:10">
      <c r="A736" s="987">
        <v>60</v>
      </c>
      <c r="B736" s="988">
        <v>31837</v>
      </c>
      <c r="C736" s="987" t="s">
        <v>4631</v>
      </c>
      <c r="D736" s="987" t="s">
        <v>4632</v>
      </c>
      <c r="E736" s="987">
        <v>14.125</v>
      </c>
      <c r="F736" s="987">
        <v>-4.2373000000000001E-2</v>
      </c>
      <c r="G736" s="987">
        <v>0</v>
      </c>
      <c r="H736" s="986">
        <v>6.6E-3</v>
      </c>
      <c r="I736" s="986">
        <f t="shared" si="0"/>
        <v>-4.8973000000000003E-2</v>
      </c>
      <c r="J736" s="988">
        <v>31837</v>
      </c>
    </row>
    <row r="737" spans="1:10">
      <c r="A737" s="987">
        <v>60</v>
      </c>
      <c r="B737" s="988">
        <v>31868</v>
      </c>
      <c r="C737" s="987" t="s">
        <v>4631</v>
      </c>
      <c r="D737" s="987" t="s">
        <v>4632</v>
      </c>
      <c r="E737" s="987">
        <v>14.75</v>
      </c>
      <c r="F737" s="987">
        <v>4.4248000000000003E-2</v>
      </c>
      <c r="G737" s="987">
        <v>0</v>
      </c>
      <c r="H737" s="986">
        <v>6.4999999999999997E-3</v>
      </c>
      <c r="I737" s="986">
        <f t="shared" si="0"/>
        <v>3.7748000000000004E-2</v>
      </c>
      <c r="J737" s="988">
        <v>31868</v>
      </c>
    </row>
    <row r="738" spans="1:10">
      <c r="A738" s="987">
        <v>60</v>
      </c>
      <c r="B738" s="988">
        <v>31898</v>
      </c>
      <c r="C738" s="987" t="s">
        <v>4631</v>
      </c>
      <c r="D738" s="987" t="s">
        <v>4632</v>
      </c>
      <c r="E738" s="987">
        <v>13.75</v>
      </c>
      <c r="F738" s="987">
        <v>-5.0847000000000003E-2</v>
      </c>
      <c r="G738" s="987">
        <v>0.25</v>
      </c>
      <c r="H738" s="986">
        <v>6.6E-3</v>
      </c>
      <c r="I738" s="986">
        <f t="shared" si="0"/>
        <v>-5.7447000000000005E-2</v>
      </c>
      <c r="J738" s="988">
        <v>31898</v>
      </c>
    </row>
    <row r="739" spans="1:10">
      <c r="A739" s="987">
        <v>60</v>
      </c>
      <c r="B739" s="988">
        <v>31929</v>
      </c>
      <c r="C739" s="987" t="s">
        <v>4631</v>
      </c>
      <c r="D739" s="987" t="s">
        <v>4632</v>
      </c>
      <c r="E739" s="987">
        <v>14.125</v>
      </c>
      <c r="F739" s="987">
        <v>2.7272999999999999E-2</v>
      </c>
      <c r="G739" s="987">
        <v>0</v>
      </c>
      <c r="H739" s="986">
        <v>7.4999999999999997E-3</v>
      </c>
      <c r="I739" s="986">
        <f t="shared" si="0"/>
        <v>1.9772999999999999E-2</v>
      </c>
      <c r="J739" s="988">
        <v>31929</v>
      </c>
    </row>
    <row r="740" spans="1:10">
      <c r="A740" s="987">
        <v>60</v>
      </c>
      <c r="B740" s="988">
        <v>31959</v>
      </c>
      <c r="C740" s="987" t="s">
        <v>4631</v>
      </c>
      <c r="D740" s="987" t="s">
        <v>4632</v>
      </c>
      <c r="E740" s="987">
        <v>13.375</v>
      </c>
      <c r="F740" s="987">
        <v>-5.3096999999999998E-2</v>
      </c>
      <c r="G740" s="987">
        <v>0</v>
      </c>
      <c r="H740" s="986">
        <v>7.3000000000000001E-3</v>
      </c>
      <c r="I740" s="986">
        <f t="shared" si="0"/>
        <v>-6.0396999999999999E-2</v>
      </c>
      <c r="J740" s="988">
        <v>31959</v>
      </c>
    </row>
    <row r="741" spans="1:10">
      <c r="A741" s="987">
        <v>60</v>
      </c>
      <c r="B741" s="988">
        <v>31990</v>
      </c>
      <c r="C741" s="987" t="s">
        <v>4631</v>
      </c>
      <c r="D741" s="987" t="s">
        <v>4632</v>
      </c>
      <c r="E741" s="987">
        <v>14.25</v>
      </c>
      <c r="F741" s="987">
        <v>8.4112000000000006E-2</v>
      </c>
      <c r="G741" s="987">
        <v>0.25</v>
      </c>
      <c r="H741" s="986">
        <v>7.4999999999999997E-3</v>
      </c>
      <c r="I741" s="986">
        <f t="shared" si="0"/>
        <v>7.6612000000000013E-2</v>
      </c>
      <c r="J741" s="988">
        <v>31990</v>
      </c>
    </row>
    <row r="742" spans="1:10">
      <c r="A742" s="987">
        <v>60</v>
      </c>
      <c r="B742" s="988">
        <v>32021</v>
      </c>
      <c r="C742" s="987" t="s">
        <v>4631</v>
      </c>
      <c r="D742" s="987" t="s">
        <v>4632</v>
      </c>
      <c r="E742" s="987">
        <v>13.875</v>
      </c>
      <c r="F742" s="987">
        <v>-2.6315999999999999E-2</v>
      </c>
      <c r="G742" s="987">
        <v>0</v>
      </c>
      <c r="H742" s="986">
        <v>7.4999999999999997E-3</v>
      </c>
      <c r="I742" s="986">
        <f t="shared" si="0"/>
        <v>-3.3815999999999999E-2</v>
      </c>
      <c r="J742" s="988">
        <v>32021</v>
      </c>
    </row>
    <row r="743" spans="1:10">
      <c r="A743" s="987">
        <v>60</v>
      </c>
      <c r="B743" s="988">
        <v>32051</v>
      </c>
      <c r="C743" s="987" t="s">
        <v>4631</v>
      </c>
      <c r="D743" s="987" t="s">
        <v>4632</v>
      </c>
      <c r="E743" s="987">
        <v>12.5</v>
      </c>
      <c r="F743" s="987">
        <v>-9.9099000000000007E-2</v>
      </c>
      <c r="G743" s="987">
        <v>0</v>
      </c>
      <c r="H743" s="986">
        <v>7.9000000000000008E-3</v>
      </c>
      <c r="I743" s="986">
        <f t="shared" si="0"/>
        <v>-0.10699900000000001</v>
      </c>
      <c r="J743" s="988">
        <v>32051</v>
      </c>
    </row>
    <row r="744" spans="1:10">
      <c r="A744" s="987">
        <v>60</v>
      </c>
      <c r="B744" s="988">
        <v>32082</v>
      </c>
      <c r="C744" s="987" t="s">
        <v>4631</v>
      </c>
      <c r="D744" s="987" t="s">
        <v>4632</v>
      </c>
      <c r="E744" s="987">
        <v>12.75</v>
      </c>
      <c r="F744" s="987">
        <v>0.04</v>
      </c>
      <c r="G744" s="987">
        <v>0.25</v>
      </c>
      <c r="H744" s="986">
        <v>7.4999999999999997E-3</v>
      </c>
      <c r="I744" s="986">
        <f t="shared" si="0"/>
        <v>3.2500000000000001E-2</v>
      </c>
      <c r="J744" s="988">
        <v>32082</v>
      </c>
    </row>
    <row r="745" spans="1:10">
      <c r="A745" s="987">
        <v>60</v>
      </c>
      <c r="B745" s="988">
        <v>32112</v>
      </c>
      <c r="C745" s="987" t="s">
        <v>4631</v>
      </c>
      <c r="D745" s="987" t="s">
        <v>4632</v>
      </c>
      <c r="E745" s="987">
        <v>12.25</v>
      </c>
      <c r="F745" s="987">
        <v>-3.9216000000000001E-2</v>
      </c>
      <c r="G745" s="987">
        <v>0</v>
      </c>
      <c r="H745" s="986">
        <v>7.7999999999999996E-3</v>
      </c>
      <c r="I745" s="986">
        <f t="shared" si="0"/>
        <v>-4.7016000000000002E-2</v>
      </c>
      <c r="J745" s="988">
        <v>32112</v>
      </c>
    </row>
    <row r="746" spans="1:10">
      <c r="A746" s="987">
        <v>60</v>
      </c>
      <c r="B746" s="988">
        <v>32143</v>
      </c>
      <c r="C746" s="987" t="s">
        <v>4631</v>
      </c>
      <c r="D746" s="987" t="s">
        <v>4632</v>
      </c>
      <c r="E746" s="987">
        <v>13.875</v>
      </c>
      <c r="F746" s="987">
        <v>0.13265299999999999</v>
      </c>
      <c r="G746" s="987">
        <v>0</v>
      </c>
      <c r="H746" s="986">
        <v>7.1999999999999998E-3</v>
      </c>
      <c r="I746" s="986">
        <f t="shared" si="0"/>
        <v>0.12545299999999998</v>
      </c>
      <c r="J746" s="988">
        <v>32143</v>
      </c>
    </row>
    <row r="747" spans="1:10">
      <c r="A747" s="987">
        <v>60</v>
      </c>
      <c r="B747" s="988">
        <v>32174</v>
      </c>
      <c r="C747" s="987" t="s">
        <v>4631</v>
      </c>
      <c r="D747" s="987" t="s">
        <v>4632</v>
      </c>
      <c r="E747" s="987">
        <v>15.375</v>
      </c>
      <c r="F747" s="987">
        <v>0.12612599999999999</v>
      </c>
      <c r="G747" s="987">
        <v>0.25</v>
      </c>
      <c r="H747" s="986">
        <v>7.1000000000000004E-3</v>
      </c>
      <c r="I747" s="986">
        <f t="shared" si="0"/>
        <v>0.11902599999999999</v>
      </c>
      <c r="J747" s="988">
        <v>32174</v>
      </c>
    </row>
    <row r="748" spans="1:10">
      <c r="A748" s="987">
        <v>60</v>
      </c>
      <c r="B748" s="988">
        <v>32203</v>
      </c>
      <c r="C748" s="987" t="s">
        <v>4631</v>
      </c>
      <c r="D748" s="987" t="s">
        <v>4632</v>
      </c>
      <c r="E748" s="987">
        <v>15.625</v>
      </c>
      <c r="F748" s="987">
        <v>1.626E-2</v>
      </c>
      <c r="G748" s="987">
        <v>0</v>
      </c>
      <c r="H748" s="986">
        <v>7.1999999999999998E-3</v>
      </c>
      <c r="I748" s="986">
        <f t="shared" si="0"/>
        <v>9.0600000000000003E-3</v>
      </c>
      <c r="J748" s="988">
        <v>32203</v>
      </c>
    </row>
    <row r="749" spans="1:10">
      <c r="A749" s="987">
        <v>60</v>
      </c>
      <c r="B749" s="988">
        <v>32234</v>
      </c>
      <c r="C749" s="987" t="s">
        <v>4631</v>
      </c>
      <c r="D749" s="987" t="s">
        <v>4632</v>
      </c>
      <c r="E749" s="987">
        <v>15.625</v>
      </c>
      <c r="F749" s="987">
        <v>0</v>
      </c>
      <c r="G749" s="987">
        <v>0</v>
      </c>
      <c r="H749" s="986">
        <v>7.0000000000000001E-3</v>
      </c>
      <c r="I749" s="986">
        <f t="shared" si="0"/>
        <v>-7.0000000000000001E-3</v>
      </c>
      <c r="J749" s="988">
        <v>32234</v>
      </c>
    </row>
    <row r="750" spans="1:10">
      <c r="A750" s="987">
        <v>60</v>
      </c>
      <c r="B750" s="988">
        <v>32264</v>
      </c>
      <c r="C750" s="987" t="s">
        <v>4631</v>
      </c>
      <c r="D750" s="987" t="s">
        <v>4632</v>
      </c>
      <c r="E750" s="987">
        <v>15</v>
      </c>
      <c r="F750" s="987">
        <v>-2.4E-2</v>
      </c>
      <c r="G750" s="987">
        <v>0.25</v>
      </c>
      <c r="H750" s="986">
        <v>7.7999999999999996E-3</v>
      </c>
      <c r="I750" s="986">
        <f t="shared" si="0"/>
        <v>-3.1800000000000002E-2</v>
      </c>
      <c r="J750" s="988">
        <v>32264</v>
      </c>
    </row>
    <row r="751" spans="1:10">
      <c r="A751" s="987">
        <v>60</v>
      </c>
      <c r="B751" s="988">
        <v>32295</v>
      </c>
      <c r="C751" s="987" t="s">
        <v>4631</v>
      </c>
      <c r="D751" s="987" t="s">
        <v>4632</v>
      </c>
      <c r="E751" s="987">
        <v>15.375</v>
      </c>
      <c r="F751" s="987">
        <v>2.5000000000000001E-2</v>
      </c>
      <c r="G751" s="987">
        <v>0</v>
      </c>
      <c r="H751" s="986">
        <v>7.6E-3</v>
      </c>
      <c r="I751" s="986">
        <f t="shared" si="0"/>
        <v>1.7400000000000002E-2</v>
      </c>
      <c r="J751" s="988">
        <v>32295</v>
      </c>
    </row>
    <row r="752" spans="1:10">
      <c r="A752" s="987">
        <v>60</v>
      </c>
      <c r="B752" s="988">
        <v>32325</v>
      </c>
      <c r="C752" s="987" t="s">
        <v>4631</v>
      </c>
      <c r="D752" s="987" t="s">
        <v>4632</v>
      </c>
      <c r="E752" s="987">
        <v>16.375</v>
      </c>
      <c r="F752" s="987">
        <v>6.5041000000000002E-2</v>
      </c>
      <c r="G752" s="987">
        <v>0</v>
      </c>
      <c r="H752" s="986">
        <v>7.1000000000000004E-3</v>
      </c>
      <c r="I752" s="986">
        <f t="shared" si="0"/>
        <v>5.7940999999999999E-2</v>
      </c>
      <c r="J752" s="988">
        <v>32325</v>
      </c>
    </row>
    <row r="753" spans="1:10">
      <c r="A753" s="987">
        <v>60</v>
      </c>
      <c r="B753" s="988">
        <v>32356</v>
      </c>
      <c r="C753" s="987" t="s">
        <v>4631</v>
      </c>
      <c r="D753" s="987" t="s">
        <v>4632</v>
      </c>
      <c r="E753" s="987">
        <v>15.125</v>
      </c>
      <c r="F753" s="987">
        <v>-6.1068999999999998E-2</v>
      </c>
      <c r="G753" s="987">
        <v>0.25</v>
      </c>
      <c r="H753" s="986">
        <v>8.3000000000000001E-3</v>
      </c>
      <c r="I753" s="986">
        <f t="shared" si="0"/>
        <v>-6.9369E-2</v>
      </c>
      <c r="J753" s="988">
        <v>32356</v>
      </c>
    </row>
    <row r="754" spans="1:10">
      <c r="A754" s="987">
        <v>60</v>
      </c>
      <c r="B754" s="988">
        <v>32387</v>
      </c>
      <c r="C754" s="987" t="s">
        <v>4631</v>
      </c>
      <c r="D754" s="987" t="s">
        <v>4632</v>
      </c>
      <c r="E754" s="987">
        <v>16.125</v>
      </c>
      <c r="F754" s="987">
        <v>6.6115999999999994E-2</v>
      </c>
      <c r="G754" s="987">
        <v>0</v>
      </c>
      <c r="H754" s="986">
        <v>7.6E-3</v>
      </c>
      <c r="I754" s="986">
        <f t="shared" si="0"/>
        <v>5.8515999999999992E-2</v>
      </c>
      <c r="J754" s="988">
        <v>32387</v>
      </c>
    </row>
    <row r="755" spans="1:10">
      <c r="A755" s="987">
        <v>60</v>
      </c>
      <c r="B755" s="988">
        <v>32417</v>
      </c>
      <c r="C755" s="987" t="s">
        <v>4633</v>
      </c>
      <c r="D755" s="987" t="s">
        <v>4634</v>
      </c>
      <c r="E755" s="987">
        <v>17</v>
      </c>
      <c r="F755" s="987">
        <v>5.4264E-2</v>
      </c>
      <c r="G755" s="987">
        <v>0</v>
      </c>
      <c r="H755" s="986">
        <v>7.6E-3</v>
      </c>
      <c r="I755" s="986">
        <f t="shared" si="0"/>
        <v>4.6663999999999997E-2</v>
      </c>
      <c r="J755" s="988">
        <v>32417</v>
      </c>
    </row>
    <row r="756" spans="1:10">
      <c r="A756" s="987">
        <v>60</v>
      </c>
      <c r="B756" s="988">
        <v>32448</v>
      </c>
      <c r="C756" s="987" t="s">
        <v>4633</v>
      </c>
      <c r="D756" s="987" t="s">
        <v>4634</v>
      </c>
      <c r="E756" s="987">
        <v>16.25</v>
      </c>
      <c r="F756" s="987">
        <v>-2.7647000000000001E-2</v>
      </c>
      <c r="G756" s="987">
        <v>0.28000000000000003</v>
      </c>
      <c r="H756" s="986">
        <v>7.0000000000000001E-3</v>
      </c>
      <c r="I756" s="986">
        <f t="shared" si="0"/>
        <v>-3.4647000000000004E-2</v>
      </c>
      <c r="J756" s="988">
        <v>32448</v>
      </c>
    </row>
    <row r="757" spans="1:10">
      <c r="A757" s="987">
        <v>60</v>
      </c>
      <c r="B757" s="988">
        <v>32478</v>
      </c>
      <c r="C757" s="987" t="s">
        <v>4633</v>
      </c>
      <c r="D757" s="987" t="s">
        <v>4634</v>
      </c>
      <c r="E757" s="987">
        <v>16.25</v>
      </c>
      <c r="F757" s="987">
        <v>0</v>
      </c>
      <c r="G757" s="987">
        <v>0</v>
      </c>
      <c r="H757" s="986">
        <v>7.4999999999999997E-3</v>
      </c>
      <c r="I757" s="986">
        <f t="shared" si="0"/>
        <v>-7.4999999999999997E-3</v>
      </c>
      <c r="J757" s="988">
        <v>32478</v>
      </c>
    </row>
    <row r="758" spans="1:10">
      <c r="A758" s="987">
        <v>60</v>
      </c>
      <c r="B758" s="988">
        <v>32509</v>
      </c>
      <c r="C758" s="987" t="s">
        <v>4633</v>
      </c>
      <c r="D758" s="987" t="s">
        <v>4634</v>
      </c>
      <c r="E758" s="987">
        <v>15.375</v>
      </c>
      <c r="F758" s="987">
        <v>-5.3845999999999998E-2</v>
      </c>
      <c r="G758" s="987">
        <v>0</v>
      </c>
      <c r="H758" s="986">
        <v>8.0000000000000002E-3</v>
      </c>
      <c r="I758" s="986">
        <f t="shared" si="0"/>
        <v>-6.1845999999999998E-2</v>
      </c>
      <c r="J758" s="988">
        <v>32509</v>
      </c>
    </row>
    <row r="759" spans="1:10">
      <c r="A759" s="987">
        <v>60</v>
      </c>
      <c r="B759" s="988">
        <v>32540</v>
      </c>
      <c r="C759" s="987" t="s">
        <v>4633</v>
      </c>
      <c r="D759" s="987" t="s">
        <v>4634</v>
      </c>
      <c r="E759" s="987">
        <v>15.375</v>
      </c>
      <c r="F759" s="987">
        <v>1.8211000000000001E-2</v>
      </c>
      <c r="G759" s="987">
        <v>0.28000000000000003</v>
      </c>
      <c r="H759" s="986">
        <v>6.8999999999999999E-3</v>
      </c>
      <c r="I759" s="986">
        <f t="shared" si="0"/>
        <v>1.1311000000000002E-2</v>
      </c>
      <c r="J759" s="988">
        <v>32540</v>
      </c>
    </row>
    <row r="760" spans="1:10">
      <c r="A760" s="987">
        <v>60</v>
      </c>
      <c r="B760" s="988">
        <v>32568</v>
      </c>
      <c r="C760" s="987" t="s">
        <v>4633</v>
      </c>
      <c r="D760" s="987" t="s">
        <v>4634</v>
      </c>
      <c r="E760" s="987">
        <v>15.625</v>
      </c>
      <c r="F760" s="987">
        <v>1.626E-2</v>
      </c>
      <c r="G760" s="987">
        <v>0</v>
      </c>
      <c r="H760" s="986">
        <v>7.9000000000000008E-3</v>
      </c>
      <c r="I760" s="986">
        <f t="shared" si="0"/>
        <v>8.3599999999999994E-3</v>
      </c>
      <c r="J760" s="988">
        <v>32568</v>
      </c>
    </row>
    <row r="761" spans="1:10">
      <c r="A761" s="987">
        <v>60</v>
      </c>
      <c r="B761" s="988">
        <v>32599</v>
      </c>
      <c r="C761" s="987" t="s">
        <v>4633</v>
      </c>
      <c r="D761" s="987" t="s">
        <v>4634</v>
      </c>
      <c r="E761" s="987">
        <v>15.5</v>
      </c>
      <c r="F761" s="987">
        <v>-8.0000000000000002E-3</v>
      </c>
      <c r="G761" s="987">
        <v>0</v>
      </c>
      <c r="H761" s="986">
        <v>7.0000000000000001E-3</v>
      </c>
      <c r="I761" s="986">
        <f t="shared" si="0"/>
        <v>-1.4999999999999999E-2</v>
      </c>
      <c r="J761" s="988">
        <v>32599</v>
      </c>
    </row>
    <row r="762" spans="1:10">
      <c r="A762" s="987">
        <v>60</v>
      </c>
      <c r="B762" s="988">
        <v>32629</v>
      </c>
      <c r="C762" s="987" t="s">
        <v>4633</v>
      </c>
      <c r="D762" s="987" t="s">
        <v>4634</v>
      </c>
      <c r="E762" s="987">
        <v>15.25</v>
      </c>
      <c r="F762" s="987">
        <v>1.9350000000000001E-3</v>
      </c>
      <c r="G762" s="987">
        <v>0.28000000000000003</v>
      </c>
      <c r="H762" s="986">
        <v>8.0000000000000002E-3</v>
      </c>
      <c r="I762" s="986">
        <f t="shared" ref="I762:I825" si="1">F762-H762</f>
        <v>-6.0650000000000001E-3</v>
      </c>
      <c r="J762" s="988">
        <v>32629</v>
      </c>
    </row>
    <row r="763" spans="1:10">
      <c r="A763" s="987">
        <v>60</v>
      </c>
      <c r="B763" s="988">
        <v>32660</v>
      </c>
      <c r="C763" s="987" t="s">
        <v>4633</v>
      </c>
      <c r="D763" s="987" t="s">
        <v>4634</v>
      </c>
      <c r="E763" s="987">
        <v>15</v>
      </c>
      <c r="F763" s="987">
        <v>-1.6393000000000001E-2</v>
      </c>
      <c r="G763" s="987">
        <v>0</v>
      </c>
      <c r="H763" s="986">
        <v>7.0000000000000001E-3</v>
      </c>
      <c r="I763" s="986">
        <f t="shared" si="1"/>
        <v>-2.3393000000000001E-2</v>
      </c>
      <c r="J763" s="988">
        <v>32660</v>
      </c>
    </row>
    <row r="764" spans="1:10">
      <c r="A764" s="987">
        <v>60</v>
      </c>
      <c r="B764" s="988">
        <v>32690</v>
      </c>
      <c r="C764" s="987" t="s">
        <v>4633</v>
      </c>
      <c r="D764" s="987" t="s">
        <v>4634</v>
      </c>
      <c r="E764" s="987">
        <v>16</v>
      </c>
      <c r="F764" s="987">
        <v>6.6667000000000004E-2</v>
      </c>
      <c r="G764" s="987">
        <v>0</v>
      </c>
      <c r="H764" s="986">
        <v>6.7999999999999996E-3</v>
      </c>
      <c r="I764" s="986">
        <f t="shared" si="1"/>
        <v>5.9867000000000004E-2</v>
      </c>
      <c r="J764" s="988">
        <v>32690</v>
      </c>
    </row>
    <row r="765" spans="1:10">
      <c r="A765" s="987">
        <v>60</v>
      </c>
      <c r="B765" s="988">
        <v>32721</v>
      </c>
      <c r="C765" s="987" t="s">
        <v>4633</v>
      </c>
      <c r="D765" s="987" t="s">
        <v>4634</v>
      </c>
      <c r="E765" s="987">
        <v>16.125</v>
      </c>
      <c r="F765" s="987">
        <v>2.5312999999999999E-2</v>
      </c>
      <c r="G765" s="987">
        <v>0.28000000000000003</v>
      </c>
      <c r="H765" s="986">
        <v>6.6E-3</v>
      </c>
      <c r="I765" s="986">
        <f t="shared" si="1"/>
        <v>1.8713E-2</v>
      </c>
      <c r="J765" s="988">
        <v>32721</v>
      </c>
    </row>
    <row r="766" spans="1:10">
      <c r="A766" s="987">
        <v>60</v>
      </c>
      <c r="B766" s="988">
        <v>32752</v>
      </c>
      <c r="C766" s="987" t="s">
        <v>4633</v>
      </c>
      <c r="D766" s="987" t="s">
        <v>4634</v>
      </c>
      <c r="E766" s="987">
        <v>16.625</v>
      </c>
      <c r="F766" s="987">
        <v>3.1008000000000001E-2</v>
      </c>
      <c r="G766" s="987">
        <v>0</v>
      </c>
      <c r="H766" s="986">
        <v>6.4999999999999997E-3</v>
      </c>
      <c r="I766" s="986">
        <f t="shared" si="1"/>
        <v>2.4508000000000002E-2</v>
      </c>
      <c r="J766" s="988">
        <v>32752</v>
      </c>
    </row>
    <row r="767" spans="1:10">
      <c r="A767" s="987">
        <v>60</v>
      </c>
      <c r="B767" s="988">
        <v>32782</v>
      </c>
      <c r="C767" s="987" t="s">
        <v>4633</v>
      </c>
      <c r="D767" s="987" t="s">
        <v>4634</v>
      </c>
      <c r="E767" s="987">
        <v>16.25</v>
      </c>
      <c r="F767" s="987">
        <v>-2.2556E-2</v>
      </c>
      <c r="G767" s="987">
        <v>0</v>
      </c>
      <c r="H767" s="986">
        <v>7.1999999999999998E-3</v>
      </c>
      <c r="I767" s="986">
        <f t="shared" si="1"/>
        <v>-2.9755999999999998E-2</v>
      </c>
      <c r="J767" s="988">
        <v>32782</v>
      </c>
    </row>
    <row r="768" spans="1:10">
      <c r="A768" s="987">
        <v>60</v>
      </c>
      <c r="B768" s="988">
        <v>32813</v>
      </c>
      <c r="C768" s="987" t="s">
        <v>4633</v>
      </c>
      <c r="D768" s="987" t="s">
        <v>4634</v>
      </c>
      <c r="E768" s="987">
        <v>16.625</v>
      </c>
      <c r="F768" s="987">
        <v>4.0923000000000001E-2</v>
      </c>
      <c r="G768" s="987">
        <v>0.28999999999999998</v>
      </c>
      <c r="H768" s="986">
        <v>6.4000000000000003E-3</v>
      </c>
      <c r="I768" s="986">
        <f t="shared" si="1"/>
        <v>3.4522999999999998E-2</v>
      </c>
      <c r="J768" s="988">
        <v>32813</v>
      </c>
    </row>
    <row r="769" spans="1:10">
      <c r="A769" s="987">
        <v>60</v>
      </c>
      <c r="B769" s="988">
        <v>32843</v>
      </c>
      <c r="C769" s="987" t="s">
        <v>4633</v>
      </c>
      <c r="D769" s="987" t="s">
        <v>4634</v>
      </c>
      <c r="E769" s="987">
        <v>17.875</v>
      </c>
      <c r="F769" s="987">
        <v>7.5188000000000005E-2</v>
      </c>
      <c r="G769" s="987">
        <v>0</v>
      </c>
      <c r="H769" s="986">
        <v>6.4000000000000003E-3</v>
      </c>
      <c r="I769" s="986">
        <f t="shared" si="1"/>
        <v>6.8788000000000002E-2</v>
      </c>
      <c r="J769" s="988">
        <v>32843</v>
      </c>
    </row>
    <row r="770" spans="1:10">
      <c r="A770" s="987">
        <v>60</v>
      </c>
      <c r="B770" s="988">
        <v>32874</v>
      </c>
      <c r="C770" s="987" t="s">
        <v>4633</v>
      </c>
      <c r="D770" s="987" t="s">
        <v>4634</v>
      </c>
      <c r="E770" s="987">
        <v>17.625</v>
      </c>
      <c r="F770" s="987">
        <v>-1.3986E-2</v>
      </c>
      <c r="G770" s="987">
        <v>0</v>
      </c>
      <c r="H770" s="986">
        <v>7.3000000000000001E-3</v>
      </c>
      <c r="I770" s="986">
        <f t="shared" si="1"/>
        <v>-2.1285999999999999E-2</v>
      </c>
      <c r="J770" s="988">
        <v>32874</v>
      </c>
    </row>
    <row r="771" spans="1:10">
      <c r="A771" s="987">
        <v>60</v>
      </c>
      <c r="B771" s="988">
        <v>32905</v>
      </c>
      <c r="C771" s="987" t="s">
        <v>4633</v>
      </c>
      <c r="D771" s="987" t="s">
        <v>4634</v>
      </c>
      <c r="E771" s="987">
        <v>17.5</v>
      </c>
      <c r="F771" s="987">
        <v>9.3620000000000005E-3</v>
      </c>
      <c r="G771" s="987">
        <v>0.28999999999999998</v>
      </c>
      <c r="H771" s="986">
        <v>6.6E-3</v>
      </c>
      <c r="I771" s="986">
        <f t="shared" si="1"/>
        <v>2.7620000000000006E-3</v>
      </c>
      <c r="J771" s="988">
        <v>32905</v>
      </c>
    </row>
    <row r="772" spans="1:10">
      <c r="A772" s="987">
        <v>60</v>
      </c>
      <c r="B772" s="988">
        <v>32933</v>
      </c>
      <c r="C772" s="987" t="s">
        <v>4633</v>
      </c>
      <c r="D772" s="987" t="s">
        <v>4634</v>
      </c>
      <c r="E772" s="987">
        <v>18</v>
      </c>
      <c r="F772" s="987">
        <v>2.8570999999999999E-2</v>
      </c>
      <c r="G772" s="987">
        <v>0</v>
      </c>
      <c r="H772" s="986">
        <v>7.1000000000000004E-3</v>
      </c>
      <c r="I772" s="986">
        <f t="shared" si="1"/>
        <v>2.1470999999999997E-2</v>
      </c>
      <c r="J772" s="988">
        <v>32933</v>
      </c>
    </row>
    <row r="773" spans="1:10">
      <c r="A773" s="987">
        <v>60</v>
      </c>
      <c r="B773" s="988">
        <v>32964</v>
      </c>
      <c r="C773" s="987" t="s">
        <v>4633</v>
      </c>
      <c r="D773" s="987" t="s">
        <v>4634</v>
      </c>
      <c r="E773" s="987">
        <v>16.875</v>
      </c>
      <c r="F773" s="987">
        <v>-6.25E-2</v>
      </c>
      <c r="G773" s="987">
        <v>0</v>
      </c>
      <c r="H773" s="986">
        <v>7.4999999999999997E-3</v>
      </c>
      <c r="I773" s="986">
        <f t="shared" si="1"/>
        <v>-7.0000000000000007E-2</v>
      </c>
      <c r="J773" s="988">
        <v>32964</v>
      </c>
    </row>
    <row r="774" spans="1:10">
      <c r="A774" s="987">
        <v>60</v>
      </c>
      <c r="B774" s="988">
        <v>32994</v>
      </c>
      <c r="C774" s="987" t="s">
        <v>4633</v>
      </c>
      <c r="D774" s="987" t="s">
        <v>4634</v>
      </c>
      <c r="E774" s="987">
        <v>17.125</v>
      </c>
      <c r="F774" s="987">
        <v>3.2000000000000001E-2</v>
      </c>
      <c r="G774" s="987">
        <v>0.28999999999999998</v>
      </c>
      <c r="H774" s="986">
        <v>7.4999999999999997E-3</v>
      </c>
      <c r="I774" s="986">
        <f t="shared" si="1"/>
        <v>2.4500000000000001E-2</v>
      </c>
      <c r="J774" s="988">
        <v>32994</v>
      </c>
    </row>
    <row r="775" spans="1:10">
      <c r="A775" s="987">
        <v>60</v>
      </c>
      <c r="B775" s="988">
        <v>33025</v>
      </c>
      <c r="C775" s="987" t="s">
        <v>4633</v>
      </c>
      <c r="D775" s="987" t="s">
        <v>4634</v>
      </c>
      <c r="E775" s="987">
        <v>16.625</v>
      </c>
      <c r="F775" s="987">
        <v>-2.9197000000000001E-2</v>
      </c>
      <c r="G775" s="987">
        <v>0</v>
      </c>
      <c r="H775" s="986">
        <v>6.7999999999999996E-3</v>
      </c>
      <c r="I775" s="986">
        <f t="shared" si="1"/>
        <v>-3.5997000000000001E-2</v>
      </c>
      <c r="J775" s="988">
        <v>33025</v>
      </c>
    </row>
    <row r="776" spans="1:10">
      <c r="A776" s="987">
        <v>60</v>
      </c>
      <c r="B776" s="988">
        <v>33055</v>
      </c>
      <c r="C776" s="987" t="s">
        <v>4633</v>
      </c>
      <c r="D776" s="987" t="s">
        <v>4634</v>
      </c>
      <c r="E776" s="987">
        <v>17.25</v>
      </c>
      <c r="F776" s="987">
        <v>3.7594000000000002E-2</v>
      </c>
      <c r="G776" s="987">
        <v>0</v>
      </c>
      <c r="H776" s="986">
        <v>7.4000000000000003E-3</v>
      </c>
      <c r="I776" s="986">
        <f t="shared" si="1"/>
        <v>3.0194000000000002E-2</v>
      </c>
      <c r="J776" s="988">
        <v>33055</v>
      </c>
    </row>
    <row r="777" spans="1:10">
      <c r="A777" s="987">
        <v>60</v>
      </c>
      <c r="B777" s="988">
        <v>33086</v>
      </c>
      <c r="C777" s="987" t="s">
        <v>4633</v>
      </c>
      <c r="D777" s="987" t="s">
        <v>4634</v>
      </c>
      <c r="E777" s="987">
        <v>18</v>
      </c>
      <c r="F777" s="987">
        <v>6.0290000000000003E-2</v>
      </c>
      <c r="G777" s="987">
        <v>0.28999999999999998</v>
      </c>
      <c r="H777" s="986">
        <v>7.1000000000000004E-3</v>
      </c>
      <c r="I777" s="986">
        <f t="shared" si="1"/>
        <v>5.3190000000000001E-2</v>
      </c>
      <c r="J777" s="988">
        <v>33086</v>
      </c>
    </row>
    <row r="778" spans="1:10">
      <c r="A778" s="987">
        <v>60</v>
      </c>
      <c r="B778" s="988">
        <v>33117</v>
      </c>
      <c r="C778" s="987" t="s">
        <v>4633</v>
      </c>
      <c r="D778" s="987" t="s">
        <v>4634</v>
      </c>
      <c r="E778" s="987">
        <v>16.875</v>
      </c>
      <c r="F778" s="987">
        <v>-6.25E-2</v>
      </c>
      <c r="G778" s="987">
        <v>0</v>
      </c>
      <c r="H778" s="986">
        <v>6.8999999999999999E-3</v>
      </c>
      <c r="I778" s="986">
        <f t="shared" si="1"/>
        <v>-6.9400000000000003E-2</v>
      </c>
      <c r="J778" s="988">
        <v>33117</v>
      </c>
    </row>
    <row r="779" spans="1:10">
      <c r="A779" s="987">
        <v>60</v>
      </c>
      <c r="B779" s="988">
        <v>33147</v>
      </c>
      <c r="C779" s="987" t="s">
        <v>4633</v>
      </c>
      <c r="D779" s="987" t="s">
        <v>4634</v>
      </c>
      <c r="E779" s="987">
        <v>-16.5</v>
      </c>
      <c r="F779" s="987">
        <v>-2.2221999999999999E-2</v>
      </c>
      <c r="G779" s="987">
        <v>0</v>
      </c>
      <c r="H779" s="986">
        <v>8.0999999999999996E-3</v>
      </c>
      <c r="I779" s="986">
        <f t="shared" si="1"/>
        <v>-3.0321999999999998E-2</v>
      </c>
      <c r="J779" s="988">
        <v>33147</v>
      </c>
    </row>
    <row r="780" spans="1:10">
      <c r="A780" s="987">
        <v>60</v>
      </c>
      <c r="B780" s="988">
        <v>33178</v>
      </c>
      <c r="C780" s="987" t="s">
        <v>4633</v>
      </c>
      <c r="D780" s="987" t="s">
        <v>4634</v>
      </c>
      <c r="E780" s="987">
        <v>16.75</v>
      </c>
      <c r="F780" s="987">
        <v>3.3333000000000002E-2</v>
      </c>
      <c r="G780" s="987">
        <v>0.3</v>
      </c>
      <c r="H780" s="986">
        <v>7.1000000000000004E-3</v>
      </c>
      <c r="I780" s="986">
        <f t="shared" si="1"/>
        <v>2.6232999999999999E-2</v>
      </c>
      <c r="J780" s="988">
        <v>33178</v>
      </c>
    </row>
    <row r="781" spans="1:10">
      <c r="A781" s="987">
        <v>60</v>
      </c>
      <c r="B781" s="988">
        <v>33208</v>
      </c>
      <c r="C781" s="987" t="s">
        <v>4633</v>
      </c>
      <c r="D781" s="987" t="s">
        <v>4634</v>
      </c>
      <c r="E781" s="987">
        <v>16.625</v>
      </c>
      <c r="F781" s="987">
        <v>-7.463E-3</v>
      </c>
      <c r="G781" s="987">
        <v>0</v>
      </c>
      <c r="H781" s="986">
        <v>7.1999999999999998E-3</v>
      </c>
      <c r="I781" s="986">
        <f t="shared" si="1"/>
        <v>-1.4662999999999999E-2</v>
      </c>
      <c r="J781" s="988">
        <v>33208</v>
      </c>
    </row>
    <row r="782" spans="1:10">
      <c r="A782" s="987">
        <v>60</v>
      </c>
      <c r="B782" s="988">
        <v>33239</v>
      </c>
      <c r="C782" s="987" t="s">
        <v>4633</v>
      </c>
      <c r="D782" s="987" t="s">
        <v>4634</v>
      </c>
      <c r="E782" s="987">
        <v>15.75</v>
      </c>
      <c r="F782" s="987">
        <v>-5.2631999999999998E-2</v>
      </c>
      <c r="G782" s="987">
        <v>0</v>
      </c>
      <c r="H782" s="986">
        <v>7.1000000000000004E-3</v>
      </c>
      <c r="I782" s="986">
        <f t="shared" si="1"/>
        <v>-5.9732E-2</v>
      </c>
      <c r="J782" s="988">
        <v>33239</v>
      </c>
    </row>
    <row r="783" spans="1:10">
      <c r="A783" s="987">
        <v>60</v>
      </c>
      <c r="B783" s="988">
        <v>33270</v>
      </c>
      <c r="C783" s="987" t="s">
        <v>4633</v>
      </c>
      <c r="D783" s="987" t="s">
        <v>4634</v>
      </c>
      <c r="E783" s="987">
        <v>17.25</v>
      </c>
      <c r="F783" s="987">
        <v>0.114286</v>
      </c>
      <c r="G783" s="987">
        <v>0.3</v>
      </c>
      <c r="H783" s="986">
        <v>6.4000000000000003E-3</v>
      </c>
      <c r="I783" s="986">
        <f t="shared" si="1"/>
        <v>0.107886</v>
      </c>
      <c r="J783" s="988">
        <v>33270</v>
      </c>
    </row>
    <row r="784" spans="1:10">
      <c r="A784" s="987">
        <v>60</v>
      </c>
      <c r="B784" s="988">
        <v>33298</v>
      </c>
      <c r="C784" s="987" t="s">
        <v>4633</v>
      </c>
      <c r="D784" s="987" t="s">
        <v>4634</v>
      </c>
      <c r="E784" s="987">
        <v>17</v>
      </c>
      <c r="F784" s="987">
        <v>-1.4493000000000001E-2</v>
      </c>
      <c r="G784" s="987">
        <v>0</v>
      </c>
      <c r="H784" s="986">
        <v>6.4000000000000003E-3</v>
      </c>
      <c r="I784" s="986">
        <f t="shared" si="1"/>
        <v>-2.0893000000000002E-2</v>
      </c>
      <c r="J784" s="988">
        <v>33298</v>
      </c>
    </row>
    <row r="785" spans="1:10">
      <c r="A785" s="987">
        <v>60</v>
      </c>
      <c r="B785" s="988">
        <v>33329</v>
      </c>
      <c r="C785" s="987" t="s">
        <v>4633</v>
      </c>
      <c r="D785" s="987" t="s">
        <v>4634</v>
      </c>
      <c r="E785" s="987">
        <v>16.625</v>
      </c>
      <c r="F785" s="987">
        <v>-2.2058999999999999E-2</v>
      </c>
      <c r="G785" s="987">
        <v>0</v>
      </c>
      <c r="H785" s="986">
        <v>7.6E-3</v>
      </c>
      <c r="I785" s="986">
        <f t="shared" si="1"/>
        <v>-2.9658999999999998E-2</v>
      </c>
      <c r="J785" s="988">
        <v>33329</v>
      </c>
    </row>
    <row r="786" spans="1:10">
      <c r="A786" s="987">
        <v>60</v>
      </c>
      <c r="B786" s="988">
        <v>33359</v>
      </c>
      <c r="C786" s="987" t="s">
        <v>4633</v>
      </c>
      <c r="D786" s="987" t="s">
        <v>4634</v>
      </c>
      <c r="E786" s="987">
        <v>17.625</v>
      </c>
      <c r="F786" s="987">
        <v>7.8195000000000001E-2</v>
      </c>
      <c r="G786" s="987">
        <v>0.3</v>
      </c>
      <c r="H786" s="986">
        <v>6.7999999999999996E-3</v>
      </c>
      <c r="I786" s="986">
        <f t="shared" si="1"/>
        <v>7.1395E-2</v>
      </c>
      <c r="J786" s="988">
        <v>33359</v>
      </c>
    </row>
    <row r="787" spans="1:10">
      <c r="A787" s="987">
        <v>60</v>
      </c>
      <c r="B787" s="988">
        <v>33390</v>
      </c>
      <c r="C787" s="987" t="s">
        <v>4633</v>
      </c>
      <c r="D787" s="987" t="s">
        <v>4634</v>
      </c>
      <c r="E787" s="987">
        <v>17.5</v>
      </c>
      <c r="F787" s="987">
        <v>-7.0920000000000002E-3</v>
      </c>
      <c r="G787" s="987">
        <v>0</v>
      </c>
      <c r="H787" s="986">
        <v>6.3E-3</v>
      </c>
      <c r="I787" s="986">
        <f t="shared" si="1"/>
        <v>-1.3392000000000001E-2</v>
      </c>
      <c r="J787" s="988">
        <v>33390</v>
      </c>
    </row>
    <row r="788" spans="1:10">
      <c r="A788" s="987">
        <v>60</v>
      </c>
      <c r="B788" s="988">
        <v>33420</v>
      </c>
      <c r="C788" s="987" t="s">
        <v>4633</v>
      </c>
      <c r="D788" s="987" t="s">
        <v>4634</v>
      </c>
      <c r="E788" s="987">
        <v>18</v>
      </c>
      <c r="F788" s="987">
        <v>2.8570999999999999E-2</v>
      </c>
      <c r="G788" s="987">
        <v>0</v>
      </c>
      <c r="H788" s="986">
        <v>7.6E-3</v>
      </c>
      <c r="I788" s="986">
        <f t="shared" si="1"/>
        <v>2.0971E-2</v>
      </c>
      <c r="J788" s="988">
        <v>33420</v>
      </c>
    </row>
    <row r="789" spans="1:10">
      <c r="A789" s="987">
        <v>60</v>
      </c>
      <c r="B789" s="988">
        <v>33451</v>
      </c>
      <c r="C789" s="987" t="s">
        <v>4633</v>
      </c>
      <c r="D789" s="987" t="s">
        <v>4634</v>
      </c>
      <c r="E789" s="987">
        <v>19.75</v>
      </c>
      <c r="F789" s="987">
        <v>0.113889</v>
      </c>
      <c r="G789" s="987">
        <v>0.3</v>
      </c>
      <c r="H789" s="986">
        <v>6.7999999999999996E-3</v>
      </c>
      <c r="I789" s="986">
        <f t="shared" si="1"/>
        <v>0.107089</v>
      </c>
      <c r="J789" s="988">
        <v>33451</v>
      </c>
    </row>
    <row r="790" spans="1:10">
      <c r="A790" s="987">
        <v>60</v>
      </c>
      <c r="B790" s="988">
        <v>33482</v>
      </c>
      <c r="C790" s="987" t="s">
        <v>4633</v>
      </c>
      <c r="D790" s="987" t="s">
        <v>4634</v>
      </c>
      <c r="E790" s="987">
        <v>21</v>
      </c>
      <c r="F790" s="987">
        <v>6.3291E-2</v>
      </c>
      <c r="G790" s="987">
        <v>0</v>
      </c>
      <c r="H790" s="986">
        <v>6.7999999999999996E-3</v>
      </c>
      <c r="I790" s="986">
        <f t="shared" si="1"/>
        <v>5.6491E-2</v>
      </c>
      <c r="J790" s="988">
        <v>33482</v>
      </c>
    </row>
    <row r="791" spans="1:10">
      <c r="A791" s="987">
        <v>60</v>
      </c>
      <c r="B791" s="988">
        <v>33512</v>
      </c>
      <c r="C791" s="987" t="s">
        <v>4633</v>
      </c>
      <c r="D791" s="987" t="s">
        <v>4634</v>
      </c>
      <c r="E791" s="987">
        <v>20.125</v>
      </c>
      <c r="F791" s="987">
        <v>-4.1667000000000003E-2</v>
      </c>
      <c r="G791" s="987">
        <v>0</v>
      </c>
      <c r="H791" s="986">
        <v>6.4999999999999997E-3</v>
      </c>
      <c r="I791" s="986">
        <f t="shared" si="1"/>
        <v>-4.8167000000000001E-2</v>
      </c>
      <c r="J791" s="988">
        <v>33512</v>
      </c>
    </row>
    <row r="792" spans="1:10">
      <c r="A792" s="987">
        <v>60</v>
      </c>
      <c r="B792" s="988">
        <v>33543</v>
      </c>
      <c r="C792" s="987" t="s">
        <v>4633</v>
      </c>
      <c r="D792" s="987" t="s">
        <v>4634</v>
      </c>
      <c r="E792" s="987">
        <v>20.75</v>
      </c>
      <c r="F792" s="987">
        <v>4.6460000000000001E-2</v>
      </c>
      <c r="G792" s="987">
        <v>0.31</v>
      </c>
      <c r="H792" s="986">
        <v>6.0000000000000001E-3</v>
      </c>
      <c r="I792" s="986">
        <f t="shared" si="1"/>
        <v>4.0460000000000003E-2</v>
      </c>
      <c r="J792" s="988">
        <v>33543</v>
      </c>
    </row>
    <row r="793" spans="1:10">
      <c r="A793" s="987">
        <v>60</v>
      </c>
      <c r="B793" s="988">
        <v>33573</v>
      </c>
      <c r="C793" s="987" t="s">
        <v>4633</v>
      </c>
      <c r="D793" s="987" t="s">
        <v>4634</v>
      </c>
      <c r="E793" s="987">
        <v>23</v>
      </c>
      <c r="F793" s="987">
        <v>0.108434</v>
      </c>
      <c r="G793" s="987">
        <v>0</v>
      </c>
      <c r="H793" s="986">
        <v>6.7999999999999996E-3</v>
      </c>
      <c r="I793" s="986">
        <f t="shared" si="1"/>
        <v>0.101634</v>
      </c>
      <c r="J793" s="988">
        <v>33573</v>
      </c>
    </row>
    <row r="794" spans="1:10">
      <c r="A794" s="987">
        <v>60</v>
      </c>
      <c r="B794" s="988">
        <v>33604</v>
      </c>
      <c r="C794" s="987" t="s">
        <v>4633</v>
      </c>
      <c r="D794" s="987" t="s">
        <v>4634</v>
      </c>
      <c r="E794" s="987">
        <v>20.75</v>
      </c>
      <c r="F794" s="987">
        <v>-9.7825999999999996E-2</v>
      </c>
      <c r="G794" s="987">
        <v>0</v>
      </c>
      <c r="H794" s="986">
        <v>6.1000000000000004E-3</v>
      </c>
      <c r="I794" s="986">
        <f t="shared" si="1"/>
        <v>-0.10392599999999999</v>
      </c>
      <c r="J794" s="988">
        <v>33604</v>
      </c>
    </row>
    <row r="795" spans="1:10">
      <c r="A795" s="987">
        <v>60</v>
      </c>
      <c r="B795" s="988">
        <v>33635</v>
      </c>
      <c r="C795" s="987" t="s">
        <v>4633</v>
      </c>
      <c r="D795" s="987" t="s">
        <v>4634</v>
      </c>
      <c r="E795" s="987">
        <v>20.375</v>
      </c>
      <c r="F795" s="987">
        <v>-3.1329999999999999E-3</v>
      </c>
      <c r="G795" s="987">
        <v>0.31</v>
      </c>
      <c r="H795" s="986">
        <v>5.8999999999999999E-3</v>
      </c>
      <c r="I795" s="986">
        <f t="shared" si="1"/>
        <v>-9.0329999999999994E-3</v>
      </c>
      <c r="J795" s="988">
        <v>33635</v>
      </c>
    </row>
    <row r="796" spans="1:10">
      <c r="A796" s="987">
        <v>60</v>
      </c>
      <c r="B796" s="988">
        <v>33664</v>
      </c>
      <c r="C796" s="987" t="s">
        <v>4633</v>
      </c>
      <c r="D796" s="987" t="s">
        <v>4634</v>
      </c>
      <c r="E796" s="987">
        <v>20</v>
      </c>
      <c r="F796" s="987">
        <v>-1.8405000000000001E-2</v>
      </c>
      <c r="G796" s="987">
        <v>0</v>
      </c>
      <c r="H796" s="986">
        <v>6.7000000000000002E-3</v>
      </c>
      <c r="I796" s="986">
        <f t="shared" si="1"/>
        <v>-2.5105000000000002E-2</v>
      </c>
      <c r="J796" s="988">
        <v>33664</v>
      </c>
    </row>
    <row r="797" spans="1:10">
      <c r="A797" s="987">
        <v>60</v>
      </c>
      <c r="B797" s="988">
        <v>33695</v>
      </c>
      <c r="C797" s="987" t="s">
        <v>4633</v>
      </c>
      <c r="D797" s="987" t="s">
        <v>4634</v>
      </c>
      <c r="E797" s="987">
        <v>19.75</v>
      </c>
      <c r="F797" s="987">
        <v>-1.2500000000000001E-2</v>
      </c>
      <c r="G797" s="987">
        <v>0</v>
      </c>
      <c r="H797" s="986">
        <v>6.4999999999999997E-3</v>
      </c>
      <c r="I797" s="986">
        <f t="shared" si="1"/>
        <v>-1.9E-2</v>
      </c>
      <c r="J797" s="988">
        <v>33695</v>
      </c>
    </row>
    <row r="798" spans="1:10">
      <c r="A798" s="987">
        <v>60</v>
      </c>
      <c r="B798" s="988">
        <v>33725</v>
      </c>
      <c r="C798" s="987" t="s">
        <v>4633</v>
      </c>
      <c r="D798" s="987" t="s">
        <v>4634</v>
      </c>
      <c r="E798" s="987">
        <v>20</v>
      </c>
      <c r="F798" s="987">
        <v>2.8354000000000001E-2</v>
      </c>
      <c r="G798" s="987">
        <v>0.31</v>
      </c>
      <c r="H798" s="986">
        <v>6.1000000000000004E-3</v>
      </c>
      <c r="I798" s="986">
        <f t="shared" si="1"/>
        <v>2.2253999999999999E-2</v>
      </c>
      <c r="J798" s="988">
        <v>33725</v>
      </c>
    </row>
    <row r="799" spans="1:10">
      <c r="A799" s="987">
        <v>60</v>
      </c>
      <c r="B799" s="988">
        <v>33756</v>
      </c>
      <c r="C799" s="987" t="s">
        <v>4633</v>
      </c>
      <c r="D799" s="987" t="s">
        <v>4634</v>
      </c>
      <c r="E799" s="987">
        <v>19.5</v>
      </c>
      <c r="F799" s="987">
        <v>-2.5000000000000001E-2</v>
      </c>
      <c r="G799" s="987">
        <v>0</v>
      </c>
      <c r="H799" s="986">
        <v>6.7000000000000002E-3</v>
      </c>
      <c r="I799" s="986">
        <f t="shared" si="1"/>
        <v>-3.1699999999999999E-2</v>
      </c>
      <c r="J799" s="988">
        <v>33756</v>
      </c>
    </row>
    <row r="800" spans="1:10">
      <c r="A800" s="987">
        <v>60</v>
      </c>
      <c r="B800" s="988">
        <v>33786</v>
      </c>
      <c r="C800" s="987" t="s">
        <v>4633</v>
      </c>
      <c r="D800" s="987" t="s">
        <v>4634</v>
      </c>
      <c r="E800" s="987">
        <v>20.375</v>
      </c>
      <c r="F800" s="987">
        <v>4.4872000000000002E-2</v>
      </c>
      <c r="G800" s="987">
        <v>0</v>
      </c>
      <c r="H800" s="986">
        <v>6.3E-3</v>
      </c>
      <c r="I800" s="986">
        <f t="shared" si="1"/>
        <v>3.8572000000000002E-2</v>
      </c>
      <c r="J800" s="988">
        <v>33786</v>
      </c>
    </row>
    <row r="801" spans="1:10">
      <c r="A801" s="987">
        <v>60</v>
      </c>
      <c r="B801" s="988">
        <v>33817</v>
      </c>
      <c r="C801" s="987" t="s">
        <v>4633</v>
      </c>
      <c r="D801" s="987" t="s">
        <v>4634</v>
      </c>
      <c r="E801" s="987">
        <v>22.75</v>
      </c>
      <c r="F801" s="987">
        <v>0.13177900000000001</v>
      </c>
      <c r="G801" s="987">
        <v>0.31</v>
      </c>
      <c r="H801" s="986">
        <v>6.0000000000000001E-3</v>
      </c>
      <c r="I801" s="986">
        <f t="shared" si="1"/>
        <v>0.125779</v>
      </c>
      <c r="J801" s="988">
        <v>33817</v>
      </c>
    </row>
    <row r="802" spans="1:10">
      <c r="A802" s="987">
        <v>60</v>
      </c>
      <c r="B802" s="988">
        <v>33848</v>
      </c>
      <c r="C802" s="987" t="s">
        <v>4633</v>
      </c>
      <c r="D802" s="987" t="s">
        <v>4634</v>
      </c>
      <c r="E802" s="987">
        <v>22.375</v>
      </c>
      <c r="F802" s="987">
        <v>-1.6483999999999999E-2</v>
      </c>
      <c r="G802" s="987">
        <v>0</v>
      </c>
      <c r="H802" s="986">
        <v>5.7999999999999996E-3</v>
      </c>
      <c r="I802" s="986">
        <f t="shared" si="1"/>
        <v>-2.2283999999999998E-2</v>
      </c>
      <c r="J802" s="988">
        <v>33848</v>
      </c>
    </row>
    <row r="803" spans="1:10">
      <c r="A803" s="987">
        <v>60</v>
      </c>
      <c r="B803" s="988">
        <v>33878</v>
      </c>
      <c r="C803" s="987" t="s">
        <v>4633</v>
      </c>
      <c r="D803" s="987" t="s">
        <v>4634</v>
      </c>
      <c r="E803" s="987">
        <v>22.25</v>
      </c>
      <c r="F803" s="987">
        <v>-5.587E-3</v>
      </c>
      <c r="G803" s="987">
        <v>0</v>
      </c>
      <c r="H803" s="986">
        <v>5.7000000000000002E-3</v>
      </c>
      <c r="I803" s="986">
        <f t="shared" si="1"/>
        <v>-1.1287E-2</v>
      </c>
      <c r="J803" s="988">
        <v>33878</v>
      </c>
    </row>
    <row r="804" spans="1:10">
      <c r="A804" s="987">
        <v>60</v>
      </c>
      <c r="B804" s="988">
        <v>33909</v>
      </c>
      <c r="C804" s="987" t="s">
        <v>4633</v>
      </c>
      <c r="D804" s="987" t="s">
        <v>4634</v>
      </c>
      <c r="E804" s="987">
        <v>23.25</v>
      </c>
      <c r="F804" s="987">
        <v>5.9325999999999997E-2</v>
      </c>
      <c r="G804" s="987">
        <v>0.32</v>
      </c>
      <c r="H804" s="986">
        <v>6.1000000000000004E-3</v>
      </c>
      <c r="I804" s="986">
        <f t="shared" si="1"/>
        <v>5.3225999999999996E-2</v>
      </c>
      <c r="J804" s="988">
        <v>33909</v>
      </c>
    </row>
    <row r="805" spans="1:10">
      <c r="A805" s="987">
        <v>60</v>
      </c>
      <c r="B805" s="988">
        <v>33939</v>
      </c>
      <c r="C805" s="987" t="s">
        <v>4633</v>
      </c>
      <c r="D805" s="987" t="s">
        <v>4634</v>
      </c>
      <c r="E805" s="987">
        <v>23.5</v>
      </c>
      <c r="F805" s="987">
        <v>1.0753E-2</v>
      </c>
      <c r="G805" s="987">
        <v>0</v>
      </c>
      <c r="H805" s="986">
        <v>6.3E-3</v>
      </c>
      <c r="I805" s="986">
        <f t="shared" si="1"/>
        <v>4.4530000000000004E-3</v>
      </c>
      <c r="J805" s="988">
        <v>33939</v>
      </c>
    </row>
    <row r="806" spans="1:10">
      <c r="A806" s="987">
        <v>60</v>
      </c>
      <c r="B806" s="988">
        <v>33970</v>
      </c>
      <c r="C806" s="987" t="s">
        <v>4633</v>
      </c>
      <c r="D806" s="987" t="s">
        <v>4634</v>
      </c>
      <c r="E806" s="987">
        <v>23.375</v>
      </c>
      <c r="F806" s="987">
        <v>-5.3189999999999999E-3</v>
      </c>
      <c r="G806" s="987">
        <v>0</v>
      </c>
      <c r="H806" s="986">
        <v>5.8999999999999999E-3</v>
      </c>
      <c r="I806" s="986">
        <f t="shared" si="1"/>
        <v>-1.1219E-2</v>
      </c>
      <c r="J806" s="988">
        <v>33970</v>
      </c>
    </row>
    <row r="807" spans="1:10">
      <c r="A807" s="987">
        <v>60</v>
      </c>
      <c r="B807" s="988">
        <v>34001</v>
      </c>
      <c r="C807" s="987" t="s">
        <v>4633</v>
      </c>
      <c r="D807" s="987" t="s">
        <v>4634</v>
      </c>
      <c r="E807" s="987">
        <v>25.125</v>
      </c>
      <c r="F807" s="987">
        <v>8.8555999999999996E-2</v>
      </c>
      <c r="G807" s="987">
        <v>0.32</v>
      </c>
      <c r="H807" s="986">
        <v>5.4999999999999997E-3</v>
      </c>
      <c r="I807" s="986">
        <f t="shared" si="1"/>
        <v>8.3055999999999991E-2</v>
      </c>
      <c r="J807" s="988">
        <v>34001</v>
      </c>
    </row>
    <row r="808" spans="1:10">
      <c r="A808" s="987">
        <v>60</v>
      </c>
      <c r="B808" s="988">
        <v>34029</v>
      </c>
      <c r="C808" s="987" t="s">
        <v>4633</v>
      </c>
      <c r="D808" s="987" t="s">
        <v>4634</v>
      </c>
      <c r="E808" s="987">
        <v>24.875</v>
      </c>
      <c r="F808" s="987">
        <v>-9.9500000000000005E-3</v>
      </c>
      <c r="G808" s="987">
        <v>0</v>
      </c>
      <c r="H808" s="986">
        <v>6.3E-3</v>
      </c>
      <c r="I808" s="986">
        <f t="shared" si="1"/>
        <v>-1.6250000000000001E-2</v>
      </c>
      <c r="J808" s="988">
        <v>34029</v>
      </c>
    </row>
    <row r="809" spans="1:10">
      <c r="A809" s="987">
        <v>60</v>
      </c>
      <c r="B809" s="988">
        <v>34060</v>
      </c>
      <c r="C809" s="987" t="s">
        <v>4633</v>
      </c>
      <c r="D809" s="987" t="s">
        <v>4634</v>
      </c>
      <c r="E809" s="987">
        <v>27</v>
      </c>
      <c r="F809" s="987">
        <v>8.5427000000000003E-2</v>
      </c>
      <c r="G809" s="987">
        <v>0</v>
      </c>
      <c r="H809" s="986">
        <v>5.7000000000000002E-3</v>
      </c>
      <c r="I809" s="986">
        <f t="shared" si="1"/>
        <v>7.9727000000000006E-2</v>
      </c>
      <c r="J809" s="988">
        <v>34060</v>
      </c>
    </row>
    <row r="810" spans="1:10">
      <c r="A810" s="987">
        <v>60</v>
      </c>
      <c r="B810" s="988">
        <v>34090</v>
      </c>
      <c r="C810" s="987" t="s">
        <v>4633</v>
      </c>
      <c r="D810" s="987" t="s">
        <v>4634</v>
      </c>
      <c r="E810" s="987">
        <v>28</v>
      </c>
      <c r="F810" s="987">
        <v>4.8889000000000002E-2</v>
      </c>
      <c r="G810" s="987">
        <v>0.32</v>
      </c>
      <c r="H810" s="986">
        <v>5.1999999999999998E-3</v>
      </c>
      <c r="I810" s="986">
        <f t="shared" si="1"/>
        <v>4.3689000000000006E-2</v>
      </c>
      <c r="J810" s="988">
        <v>34090</v>
      </c>
    </row>
    <row r="811" spans="1:10">
      <c r="A811" s="987">
        <v>60</v>
      </c>
      <c r="B811" s="988">
        <v>34121</v>
      </c>
      <c r="C811" s="987" t="s">
        <v>4633</v>
      </c>
      <c r="D811" s="987" t="s">
        <v>4634</v>
      </c>
      <c r="E811" s="987">
        <v>28.125</v>
      </c>
      <c r="F811" s="987">
        <v>4.4640000000000001E-3</v>
      </c>
      <c r="G811" s="987">
        <v>0</v>
      </c>
      <c r="H811" s="986">
        <v>6.1999999999999998E-3</v>
      </c>
      <c r="I811" s="986">
        <f t="shared" si="1"/>
        <v>-1.7359999999999997E-3</v>
      </c>
      <c r="J811" s="988">
        <v>34121</v>
      </c>
    </row>
    <row r="812" spans="1:10">
      <c r="A812" s="987">
        <v>60</v>
      </c>
      <c r="B812" s="988">
        <v>34151</v>
      </c>
      <c r="C812" s="987" t="s">
        <v>4633</v>
      </c>
      <c r="D812" s="987" t="s">
        <v>4634</v>
      </c>
      <c r="E812" s="987">
        <v>29.625</v>
      </c>
      <c r="F812" s="987">
        <v>5.3332999999999998E-2</v>
      </c>
      <c r="G812" s="987">
        <v>0</v>
      </c>
      <c r="H812" s="986">
        <v>5.4000000000000003E-3</v>
      </c>
      <c r="I812" s="986">
        <f t="shared" si="1"/>
        <v>4.7932999999999996E-2</v>
      </c>
      <c r="J812" s="988">
        <v>34151</v>
      </c>
    </row>
    <row r="813" spans="1:10">
      <c r="A813" s="987">
        <v>60</v>
      </c>
      <c r="B813" s="988">
        <v>34182</v>
      </c>
      <c r="C813" s="987" t="s">
        <v>4633</v>
      </c>
      <c r="D813" s="987" t="s">
        <v>4634</v>
      </c>
      <c r="E813" s="987">
        <v>30.375</v>
      </c>
      <c r="F813" s="987">
        <v>3.6117999999999997E-2</v>
      </c>
      <c r="G813" s="987">
        <v>0.32</v>
      </c>
      <c r="H813" s="986">
        <v>5.5999999999999999E-3</v>
      </c>
      <c r="I813" s="986">
        <f t="shared" si="1"/>
        <v>3.0517999999999997E-2</v>
      </c>
      <c r="J813" s="988">
        <v>34182</v>
      </c>
    </row>
    <row r="814" spans="1:10">
      <c r="A814" s="987">
        <v>60</v>
      </c>
      <c r="B814" s="988">
        <v>34213</v>
      </c>
      <c r="C814" s="987" t="s">
        <v>4633</v>
      </c>
      <c r="D814" s="987" t="s">
        <v>4634</v>
      </c>
      <c r="E814" s="987">
        <v>30.5</v>
      </c>
      <c r="F814" s="987">
        <v>4.1149999999999997E-3</v>
      </c>
      <c r="G814" s="987">
        <v>0</v>
      </c>
      <c r="H814" s="986">
        <v>5.0000000000000001E-3</v>
      </c>
      <c r="I814" s="986">
        <f t="shared" si="1"/>
        <v>-8.8500000000000037E-4</v>
      </c>
      <c r="J814" s="988">
        <v>34213</v>
      </c>
    </row>
    <row r="815" spans="1:10">
      <c r="A815" s="987">
        <v>60</v>
      </c>
      <c r="B815" s="988">
        <v>34243</v>
      </c>
      <c r="C815" s="987" t="s">
        <v>4633</v>
      </c>
      <c r="D815" s="987" t="s">
        <v>4634</v>
      </c>
      <c r="E815" s="987">
        <v>31.125</v>
      </c>
      <c r="F815" s="987">
        <v>2.0492E-2</v>
      </c>
      <c r="G815" s="987">
        <v>0</v>
      </c>
      <c r="H815" s="986">
        <v>4.8999999999999998E-3</v>
      </c>
      <c r="I815" s="986">
        <f t="shared" si="1"/>
        <v>1.5592E-2</v>
      </c>
      <c r="J815" s="988">
        <v>34243</v>
      </c>
    </row>
    <row r="816" spans="1:10">
      <c r="A816" s="987">
        <v>60</v>
      </c>
      <c r="B816" s="988">
        <v>34274</v>
      </c>
      <c r="C816" s="987" t="s">
        <v>4633</v>
      </c>
      <c r="D816" s="987" t="s">
        <v>4634</v>
      </c>
      <c r="E816" s="987">
        <v>27.375</v>
      </c>
      <c r="F816" s="987">
        <v>-0.10988000000000001</v>
      </c>
      <c r="G816" s="987">
        <v>0.33</v>
      </c>
      <c r="H816" s="986">
        <v>5.3E-3</v>
      </c>
      <c r="I816" s="986">
        <f t="shared" si="1"/>
        <v>-0.11518</v>
      </c>
      <c r="J816" s="988">
        <v>34274</v>
      </c>
    </row>
    <row r="817" spans="1:10">
      <c r="A817" s="987">
        <v>60</v>
      </c>
      <c r="B817" s="988">
        <v>34304</v>
      </c>
      <c r="C817" s="987" t="s">
        <v>4633</v>
      </c>
      <c r="D817" s="987" t="s">
        <v>4634</v>
      </c>
      <c r="E817" s="987">
        <v>27.625</v>
      </c>
      <c r="F817" s="987">
        <v>9.1319999999999995E-3</v>
      </c>
      <c r="G817" s="987">
        <v>0</v>
      </c>
      <c r="H817" s="986">
        <v>5.4999999999999997E-3</v>
      </c>
      <c r="I817" s="986">
        <f t="shared" si="1"/>
        <v>3.6319999999999998E-3</v>
      </c>
      <c r="J817" s="988">
        <v>34304</v>
      </c>
    </row>
    <row r="818" spans="1:10">
      <c r="A818" s="987">
        <v>60</v>
      </c>
      <c r="B818" s="988">
        <v>34335</v>
      </c>
      <c r="C818" s="987" t="s">
        <v>4633</v>
      </c>
      <c r="D818" s="987" t="s">
        <v>4634</v>
      </c>
      <c r="E818" s="987">
        <v>29.25</v>
      </c>
      <c r="F818" s="987">
        <v>5.8824000000000001E-2</v>
      </c>
      <c r="G818" s="987">
        <v>0</v>
      </c>
      <c r="H818" s="986">
        <v>5.4999999999999997E-3</v>
      </c>
      <c r="I818" s="986">
        <f t="shared" si="1"/>
        <v>5.3324000000000003E-2</v>
      </c>
      <c r="J818" s="988">
        <v>34335</v>
      </c>
    </row>
    <row r="819" spans="1:10">
      <c r="A819" s="987">
        <v>60</v>
      </c>
      <c r="B819" s="988">
        <v>34366</v>
      </c>
      <c r="C819" s="987" t="s">
        <v>4633</v>
      </c>
      <c r="D819" s="987" t="s">
        <v>4634</v>
      </c>
      <c r="E819" s="987">
        <v>29.5</v>
      </c>
      <c r="F819" s="987">
        <v>1.9828999999999999E-2</v>
      </c>
      <c r="G819" s="987">
        <v>0.33</v>
      </c>
      <c r="H819" s="986">
        <v>4.8999999999999998E-3</v>
      </c>
      <c r="I819" s="986">
        <f t="shared" si="1"/>
        <v>1.4929E-2</v>
      </c>
      <c r="J819" s="988">
        <v>34366</v>
      </c>
    </row>
    <row r="820" spans="1:10">
      <c r="A820" s="987">
        <v>60</v>
      </c>
      <c r="B820" s="988">
        <v>34394</v>
      </c>
      <c r="C820" s="987" t="s">
        <v>4633</v>
      </c>
      <c r="D820" s="987" t="s">
        <v>4634</v>
      </c>
      <c r="E820" s="987">
        <v>26.75</v>
      </c>
      <c r="F820" s="987">
        <v>-9.3219999999999997E-2</v>
      </c>
      <c r="G820" s="987">
        <v>0</v>
      </c>
      <c r="H820" s="986">
        <v>5.7999999999999996E-3</v>
      </c>
      <c r="I820" s="986">
        <f t="shared" si="1"/>
        <v>-9.9019999999999997E-2</v>
      </c>
      <c r="J820" s="988">
        <v>34394</v>
      </c>
    </row>
    <row r="821" spans="1:10">
      <c r="A821" s="987">
        <v>60</v>
      </c>
      <c r="B821" s="988">
        <v>34425</v>
      </c>
      <c r="C821" s="987" t="s">
        <v>4633</v>
      </c>
      <c r="D821" s="987" t="s">
        <v>4634</v>
      </c>
      <c r="E821" s="987">
        <v>28.75</v>
      </c>
      <c r="F821" s="987">
        <v>7.4765999999999999E-2</v>
      </c>
      <c r="G821" s="987">
        <v>0</v>
      </c>
      <c r="H821" s="986">
        <v>5.7000000000000002E-3</v>
      </c>
      <c r="I821" s="986">
        <f t="shared" si="1"/>
        <v>6.9066000000000002E-2</v>
      </c>
      <c r="J821" s="988">
        <v>34425</v>
      </c>
    </row>
    <row r="822" spans="1:10">
      <c r="A822" s="987">
        <v>60</v>
      </c>
      <c r="B822" s="988">
        <v>34455</v>
      </c>
      <c r="C822" s="987" t="s">
        <v>4633</v>
      </c>
      <c r="D822" s="987" t="s">
        <v>4634</v>
      </c>
      <c r="E822" s="987">
        <v>18.5</v>
      </c>
      <c r="F822" s="987">
        <v>-2.3303999999999998E-2</v>
      </c>
      <c r="G822" s="987">
        <v>0.33</v>
      </c>
      <c r="H822" s="986">
        <v>6.3E-3</v>
      </c>
      <c r="I822" s="986">
        <f t="shared" si="1"/>
        <v>-2.9603999999999998E-2</v>
      </c>
      <c r="J822" s="988">
        <v>34455</v>
      </c>
    </row>
    <row r="823" spans="1:10">
      <c r="A823" s="987">
        <v>60</v>
      </c>
      <c r="B823" s="988">
        <v>34486</v>
      </c>
      <c r="C823" s="987" t="s">
        <v>4633</v>
      </c>
      <c r="D823" s="987" t="s">
        <v>4634</v>
      </c>
      <c r="E823" s="987">
        <v>18.375</v>
      </c>
      <c r="F823" s="987">
        <v>-6.757E-3</v>
      </c>
      <c r="G823" s="987">
        <v>0</v>
      </c>
      <c r="H823" s="986">
        <v>6.1000000000000004E-3</v>
      </c>
      <c r="I823" s="986">
        <f t="shared" si="1"/>
        <v>-1.2857E-2</v>
      </c>
      <c r="J823" s="988">
        <v>34486</v>
      </c>
    </row>
    <row r="824" spans="1:10">
      <c r="A824" s="987">
        <v>60</v>
      </c>
      <c r="B824" s="988">
        <v>34516</v>
      </c>
      <c r="C824" s="987" t="s">
        <v>4633</v>
      </c>
      <c r="D824" s="987" t="s">
        <v>4634</v>
      </c>
      <c r="E824" s="987">
        <v>17.75</v>
      </c>
      <c r="F824" s="987">
        <v>-3.4014000000000003E-2</v>
      </c>
      <c r="G824" s="987">
        <v>0</v>
      </c>
      <c r="H824" s="986">
        <v>6.0000000000000001E-3</v>
      </c>
      <c r="I824" s="986">
        <f t="shared" si="1"/>
        <v>-4.0014000000000001E-2</v>
      </c>
      <c r="J824" s="988">
        <v>34516</v>
      </c>
    </row>
    <row r="825" spans="1:10">
      <c r="A825" s="987">
        <v>60</v>
      </c>
      <c r="B825" s="988">
        <v>34547</v>
      </c>
      <c r="C825" s="987" t="s">
        <v>4633</v>
      </c>
      <c r="D825" s="987" t="s">
        <v>4634</v>
      </c>
      <c r="E825" s="987">
        <v>17</v>
      </c>
      <c r="F825" s="987">
        <v>-2.9859E-2</v>
      </c>
      <c r="G825" s="987">
        <v>0.22</v>
      </c>
      <c r="H825" s="986">
        <v>6.6E-3</v>
      </c>
      <c r="I825" s="986">
        <f t="shared" si="1"/>
        <v>-3.6458999999999998E-2</v>
      </c>
      <c r="J825" s="988">
        <v>34547</v>
      </c>
    </row>
    <row r="826" spans="1:10">
      <c r="A826" s="987">
        <v>60</v>
      </c>
      <c r="B826" s="988">
        <v>34578</v>
      </c>
      <c r="C826" s="987" t="s">
        <v>4633</v>
      </c>
      <c r="D826" s="987" t="s">
        <v>4634</v>
      </c>
      <c r="E826" s="987">
        <v>17.75</v>
      </c>
      <c r="F826" s="987">
        <v>4.4117999999999997E-2</v>
      </c>
      <c r="G826" s="987">
        <v>0</v>
      </c>
      <c r="H826" s="986">
        <v>6.1000000000000004E-3</v>
      </c>
      <c r="I826" s="986">
        <f t="shared" ref="I826:I889" si="2">F826-H826</f>
        <v>3.8017999999999996E-2</v>
      </c>
      <c r="J826" s="988">
        <v>34578</v>
      </c>
    </row>
    <row r="827" spans="1:10">
      <c r="A827" s="987">
        <v>60</v>
      </c>
      <c r="B827" s="988">
        <v>34608</v>
      </c>
      <c r="C827" s="987" t="s">
        <v>4633</v>
      </c>
      <c r="D827" s="987" t="s">
        <v>4634</v>
      </c>
      <c r="E827" s="987">
        <v>16.375</v>
      </c>
      <c r="F827" s="987">
        <v>-7.7465000000000006E-2</v>
      </c>
      <c r="G827" s="987">
        <v>0</v>
      </c>
      <c r="H827" s="986">
        <v>6.6E-3</v>
      </c>
      <c r="I827" s="986">
        <f t="shared" si="2"/>
        <v>-8.4065000000000001E-2</v>
      </c>
      <c r="J827" s="988">
        <v>34608</v>
      </c>
    </row>
    <row r="828" spans="1:10">
      <c r="A828" s="987">
        <v>60</v>
      </c>
      <c r="B828" s="988">
        <v>34639</v>
      </c>
      <c r="C828" s="987" t="s">
        <v>4633</v>
      </c>
      <c r="D828" s="987" t="s">
        <v>4634</v>
      </c>
      <c r="E828" s="987">
        <v>17.375</v>
      </c>
      <c r="F828" s="987">
        <v>7.5115000000000001E-2</v>
      </c>
      <c r="G828" s="987">
        <v>0.23</v>
      </c>
      <c r="H828" s="986">
        <v>6.4000000000000003E-3</v>
      </c>
      <c r="I828" s="986">
        <f t="shared" si="2"/>
        <v>6.8714999999999998E-2</v>
      </c>
      <c r="J828" s="988">
        <v>34639</v>
      </c>
    </row>
    <row r="829" spans="1:10">
      <c r="A829" s="987">
        <v>60</v>
      </c>
      <c r="B829" s="988">
        <v>34669</v>
      </c>
      <c r="C829" s="987" t="s">
        <v>4633</v>
      </c>
      <c r="D829" s="987" t="s">
        <v>4634</v>
      </c>
      <c r="E829" s="987">
        <v>17</v>
      </c>
      <c r="F829" s="987">
        <v>-2.1583000000000001E-2</v>
      </c>
      <c r="G829" s="987">
        <v>0</v>
      </c>
      <c r="H829" s="986">
        <v>6.6E-3</v>
      </c>
      <c r="I829" s="986">
        <f t="shared" si="2"/>
        <v>-2.8183E-2</v>
      </c>
      <c r="J829" s="988">
        <v>34669</v>
      </c>
    </row>
    <row r="830" spans="1:10">
      <c r="A830" s="987">
        <v>60</v>
      </c>
      <c r="B830" s="988">
        <v>34700</v>
      </c>
      <c r="C830" s="987" t="s">
        <v>4633</v>
      </c>
      <c r="D830" s="987" t="s">
        <v>4634</v>
      </c>
      <c r="E830" s="987">
        <v>16.375</v>
      </c>
      <c r="F830" s="987">
        <v>-3.6764999999999999E-2</v>
      </c>
      <c r="G830" s="987">
        <v>0</v>
      </c>
      <c r="H830" s="986">
        <v>7.0000000000000001E-3</v>
      </c>
      <c r="I830" s="986">
        <f t="shared" si="2"/>
        <v>-4.3764999999999998E-2</v>
      </c>
      <c r="J830" s="988">
        <v>34700</v>
      </c>
    </row>
    <row r="831" spans="1:10">
      <c r="A831" s="987">
        <v>60</v>
      </c>
      <c r="B831" s="988">
        <v>34731</v>
      </c>
      <c r="C831" s="987" t="s">
        <v>4633</v>
      </c>
      <c r="D831" s="987" t="s">
        <v>4634</v>
      </c>
      <c r="E831" s="987">
        <v>18.125</v>
      </c>
      <c r="F831" s="987">
        <v>0.120916</v>
      </c>
      <c r="G831" s="987">
        <v>0.23</v>
      </c>
      <c r="H831" s="986">
        <v>5.8999999999999999E-3</v>
      </c>
      <c r="I831" s="986">
        <f t="shared" si="2"/>
        <v>0.11501599999999999</v>
      </c>
      <c r="J831" s="988">
        <v>34731</v>
      </c>
    </row>
    <row r="832" spans="1:10">
      <c r="A832" s="987">
        <v>60</v>
      </c>
      <c r="B832" s="988">
        <v>34759</v>
      </c>
      <c r="C832" s="987" t="s">
        <v>4633</v>
      </c>
      <c r="D832" s="987" t="s">
        <v>4634</v>
      </c>
      <c r="E832" s="987">
        <v>18.5</v>
      </c>
      <c r="F832" s="987">
        <v>2.069E-2</v>
      </c>
      <c r="G832" s="987">
        <v>0</v>
      </c>
      <c r="H832" s="986">
        <v>6.4000000000000003E-3</v>
      </c>
      <c r="I832" s="986">
        <f t="shared" si="2"/>
        <v>1.4290000000000001E-2</v>
      </c>
      <c r="J832" s="988">
        <v>34759</v>
      </c>
    </row>
    <row r="833" spans="1:10">
      <c r="A833" s="987">
        <v>60</v>
      </c>
      <c r="B833" s="988">
        <v>34790</v>
      </c>
      <c r="C833" s="987" t="s">
        <v>4633</v>
      </c>
      <c r="D833" s="987" t="s">
        <v>4634</v>
      </c>
      <c r="E833" s="987">
        <v>18.75</v>
      </c>
      <c r="F833" s="987">
        <v>1.3514E-2</v>
      </c>
      <c r="G833" s="987">
        <v>0</v>
      </c>
      <c r="H833" s="986">
        <v>5.7999999999999996E-3</v>
      </c>
      <c r="I833" s="986">
        <f t="shared" si="2"/>
        <v>7.7140000000000004E-3</v>
      </c>
      <c r="J833" s="988">
        <v>34790</v>
      </c>
    </row>
    <row r="834" spans="1:10">
      <c r="A834" s="987">
        <v>60</v>
      </c>
      <c r="B834" s="988">
        <v>34820</v>
      </c>
      <c r="C834" s="987" t="s">
        <v>4633</v>
      </c>
      <c r="D834" s="987" t="s">
        <v>4634</v>
      </c>
      <c r="E834" s="987">
        <v>19.25</v>
      </c>
      <c r="F834" s="987">
        <v>3.8933000000000002E-2</v>
      </c>
      <c r="G834" s="987">
        <v>0.23</v>
      </c>
      <c r="H834" s="986">
        <v>6.4999999999999997E-3</v>
      </c>
      <c r="I834" s="986">
        <f t="shared" si="2"/>
        <v>3.2433000000000003E-2</v>
      </c>
      <c r="J834" s="988">
        <v>34820</v>
      </c>
    </row>
    <row r="835" spans="1:10">
      <c r="A835" s="987">
        <v>60</v>
      </c>
      <c r="B835" s="988">
        <v>34851</v>
      </c>
      <c r="C835" s="987" t="s">
        <v>4633</v>
      </c>
      <c r="D835" s="987" t="s">
        <v>4634</v>
      </c>
      <c r="E835" s="987">
        <v>20.25</v>
      </c>
      <c r="F835" s="987">
        <v>5.1948000000000001E-2</v>
      </c>
      <c r="G835" s="987">
        <v>0</v>
      </c>
      <c r="H835" s="986">
        <v>5.4000000000000003E-3</v>
      </c>
      <c r="I835" s="986">
        <f t="shared" si="2"/>
        <v>4.6547999999999999E-2</v>
      </c>
      <c r="J835" s="988">
        <v>34851</v>
      </c>
    </row>
    <row r="836" spans="1:10">
      <c r="A836" s="987">
        <v>60</v>
      </c>
      <c r="B836" s="988">
        <v>34881</v>
      </c>
      <c r="C836" s="987" t="s">
        <v>4633</v>
      </c>
      <c r="D836" s="987" t="s">
        <v>4634</v>
      </c>
      <c r="E836" s="987">
        <v>20</v>
      </c>
      <c r="F836" s="987">
        <v>-1.2345999999999999E-2</v>
      </c>
      <c r="G836" s="987">
        <v>0</v>
      </c>
      <c r="H836" s="986">
        <v>5.5999999999999999E-3</v>
      </c>
      <c r="I836" s="986">
        <f t="shared" si="2"/>
        <v>-1.7946E-2</v>
      </c>
      <c r="J836" s="988">
        <v>34881</v>
      </c>
    </row>
    <row r="837" spans="1:10">
      <c r="A837" s="987">
        <v>60</v>
      </c>
      <c r="B837" s="988">
        <v>34912</v>
      </c>
      <c r="C837" s="987" t="s">
        <v>4633</v>
      </c>
      <c r="D837" s="987" t="s">
        <v>4634</v>
      </c>
      <c r="E837" s="987">
        <v>19.875</v>
      </c>
      <c r="F837" s="987">
        <v>5.2500000000000003E-3</v>
      </c>
      <c r="G837" s="987">
        <v>0.23</v>
      </c>
      <c r="H837" s="986">
        <v>5.7000000000000002E-3</v>
      </c>
      <c r="I837" s="986">
        <f t="shared" si="2"/>
        <v>-4.4999999999999988E-4</v>
      </c>
      <c r="J837" s="988">
        <v>34912</v>
      </c>
    </row>
    <row r="838" spans="1:10">
      <c r="A838" s="987">
        <v>60</v>
      </c>
      <c r="B838" s="988">
        <v>34943</v>
      </c>
      <c r="C838" s="987" t="s">
        <v>4633</v>
      </c>
      <c r="D838" s="987" t="s">
        <v>4634</v>
      </c>
      <c r="E838" s="987">
        <v>19.375</v>
      </c>
      <c r="F838" s="987">
        <v>-2.5156999999999999E-2</v>
      </c>
      <c r="G838" s="987">
        <v>0</v>
      </c>
      <c r="H838" s="986">
        <v>5.1999999999999998E-3</v>
      </c>
      <c r="I838" s="986">
        <f t="shared" si="2"/>
        <v>-3.0356999999999999E-2</v>
      </c>
      <c r="J838" s="988">
        <v>34943</v>
      </c>
    </row>
    <row r="839" spans="1:10">
      <c r="A839" s="987">
        <v>60</v>
      </c>
      <c r="B839" s="988">
        <v>34973</v>
      </c>
      <c r="C839" s="987" t="s">
        <v>4633</v>
      </c>
      <c r="D839" s="987" t="s">
        <v>4634</v>
      </c>
      <c r="E839" s="987">
        <v>18.375</v>
      </c>
      <c r="F839" s="987">
        <v>-5.1612999999999999E-2</v>
      </c>
      <c r="G839" s="987">
        <v>0</v>
      </c>
      <c r="H839" s="986">
        <v>5.7000000000000002E-3</v>
      </c>
      <c r="I839" s="986">
        <f t="shared" si="2"/>
        <v>-5.7313000000000003E-2</v>
      </c>
      <c r="J839" s="988">
        <v>34973</v>
      </c>
    </row>
    <row r="840" spans="1:10">
      <c r="A840" s="987">
        <v>60</v>
      </c>
      <c r="B840" s="988">
        <v>35004</v>
      </c>
      <c r="C840" s="987" t="s">
        <v>4633</v>
      </c>
      <c r="D840" s="987" t="s">
        <v>4634</v>
      </c>
      <c r="E840" s="987">
        <v>20.875</v>
      </c>
      <c r="F840" s="987">
        <v>0.149116</v>
      </c>
      <c r="G840" s="987">
        <v>0.24</v>
      </c>
      <c r="H840" s="986">
        <v>5.1000000000000004E-3</v>
      </c>
      <c r="I840" s="986">
        <f t="shared" si="2"/>
        <v>0.14401600000000001</v>
      </c>
      <c r="J840" s="988">
        <v>35004</v>
      </c>
    </row>
    <row r="841" spans="1:10">
      <c r="A841" s="987">
        <v>60</v>
      </c>
      <c r="B841" s="988">
        <v>35034</v>
      </c>
      <c r="C841" s="987" t="s">
        <v>4633</v>
      </c>
      <c r="D841" s="987" t="s">
        <v>4634</v>
      </c>
      <c r="E841" s="987">
        <v>23</v>
      </c>
      <c r="F841" s="987">
        <v>0.101796</v>
      </c>
      <c r="G841" s="987">
        <v>0</v>
      </c>
      <c r="H841" s="986">
        <v>4.8999999999999998E-3</v>
      </c>
      <c r="I841" s="986">
        <f t="shared" si="2"/>
        <v>9.6895999999999996E-2</v>
      </c>
      <c r="J841" s="988">
        <v>35034</v>
      </c>
    </row>
    <row r="842" spans="1:10">
      <c r="A842" s="987">
        <v>60</v>
      </c>
      <c r="B842" s="988">
        <v>35065</v>
      </c>
      <c r="C842" s="987" t="s">
        <v>4633</v>
      </c>
      <c r="D842" s="987" t="s">
        <v>4634</v>
      </c>
      <c r="E842" s="987">
        <v>21.25</v>
      </c>
      <c r="F842" s="987">
        <v>-7.6087000000000002E-2</v>
      </c>
      <c r="G842" s="987">
        <v>0</v>
      </c>
      <c r="H842" s="986">
        <v>5.4000000000000003E-3</v>
      </c>
      <c r="I842" s="986">
        <f t="shared" si="2"/>
        <v>-8.1487000000000004E-2</v>
      </c>
      <c r="J842" s="988">
        <v>35065</v>
      </c>
    </row>
    <row r="843" spans="1:10">
      <c r="A843" s="987">
        <v>60</v>
      </c>
      <c r="B843" s="988">
        <v>35096</v>
      </c>
      <c r="C843" s="987" t="s">
        <v>4633</v>
      </c>
      <c r="D843" s="987" t="s">
        <v>4634</v>
      </c>
      <c r="E843" s="987">
        <v>22.625</v>
      </c>
      <c r="F843" s="987">
        <v>7.5999999999999998E-2</v>
      </c>
      <c r="G843" s="987">
        <v>0.24</v>
      </c>
      <c r="H843" s="986">
        <v>4.7999999999999996E-3</v>
      </c>
      <c r="I843" s="986">
        <f t="shared" si="2"/>
        <v>7.1199999999999999E-2</v>
      </c>
      <c r="J843" s="988">
        <v>35096</v>
      </c>
    </row>
    <row r="844" spans="1:10">
      <c r="A844" s="987">
        <v>60</v>
      </c>
      <c r="B844" s="988">
        <v>35125</v>
      </c>
      <c r="C844" s="987" t="s">
        <v>4633</v>
      </c>
      <c r="D844" s="987" t="s">
        <v>4634</v>
      </c>
      <c r="E844" s="987">
        <v>23</v>
      </c>
      <c r="F844" s="987">
        <v>1.6574999999999999E-2</v>
      </c>
      <c r="G844" s="987">
        <v>0</v>
      </c>
      <c r="H844" s="986">
        <v>5.1999999999999998E-3</v>
      </c>
      <c r="I844" s="986">
        <f t="shared" si="2"/>
        <v>1.1375E-2</v>
      </c>
      <c r="J844" s="988">
        <v>35125</v>
      </c>
    </row>
    <row r="845" spans="1:10">
      <c r="A845" s="987">
        <v>60</v>
      </c>
      <c r="B845" s="988">
        <v>35156</v>
      </c>
      <c r="C845" s="987" t="s">
        <v>4633</v>
      </c>
      <c r="D845" s="987" t="s">
        <v>4634</v>
      </c>
      <c r="E845" s="987">
        <v>24.75</v>
      </c>
      <c r="F845" s="987">
        <v>7.6087000000000002E-2</v>
      </c>
      <c r="G845" s="987">
        <v>0</v>
      </c>
      <c r="H845" s="986">
        <v>5.8999999999999999E-3</v>
      </c>
      <c r="I845" s="986">
        <f t="shared" si="2"/>
        <v>7.0186999999999999E-2</v>
      </c>
      <c r="J845" s="988">
        <v>35156</v>
      </c>
    </row>
    <row r="846" spans="1:10">
      <c r="A846" s="987">
        <v>60</v>
      </c>
      <c r="B846" s="988">
        <v>35186</v>
      </c>
      <c r="C846" s="987" t="s">
        <v>4633</v>
      </c>
      <c r="D846" s="987" t="s">
        <v>4634</v>
      </c>
      <c r="E846" s="987">
        <v>24.125</v>
      </c>
      <c r="F846" s="987">
        <v>-1.5556E-2</v>
      </c>
      <c r="G846" s="987">
        <v>0.24</v>
      </c>
      <c r="H846" s="986">
        <v>5.7999999999999996E-3</v>
      </c>
      <c r="I846" s="986">
        <f t="shared" si="2"/>
        <v>-2.1356E-2</v>
      </c>
      <c r="J846" s="988">
        <v>35186</v>
      </c>
    </row>
    <row r="847" spans="1:10">
      <c r="A847" s="987">
        <v>60</v>
      </c>
      <c r="B847" s="988">
        <v>35217</v>
      </c>
      <c r="C847" s="987" t="s">
        <v>4633</v>
      </c>
      <c r="D847" s="987" t="s">
        <v>4634</v>
      </c>
      <c r="E847" s="987">
        <v>30.625</v>
      </c>
      <c r="F847" s="987">
        <v>0.26943</v>
      </c>
      <c r="G847" s="987">
        <v>0</v>
      </c>
      <c r="H847" s="986">
        <v>5.4000000000000003E-3</v>
      </c>
      <c r="I847" s="986">
        <f t="shared" si="2"/>
        <v>0.26402999999999999</v>
      </c>
      <c r="J847" s="988">
        <v>35217</v>
      </c>
    </row>
    <row r="848" spans="1:10">
      <c r="A848" s="987">
        <v>60</v>
      </c>
      <c r="B848" s="988">
        <v>35247</v>
      </c>
      <c r="C848" s="987" t="s">
        <v>4633</v>
      </c>
      <c r="D848" s="987" t="s">
        <v>4634</v>
      </c>
      <c r="E848" s="987">
        <v>21.375</v>
      </c>
      <c r="F848" s="987">
        <v>-0.302041</v>
      </c>
      <c r="G848" s="987">
        <v>0</v>
      </c>
      <c r="H848" s="986">
        <v>6.1999999999999998E-3</v>
      </c>
      <c r="I848" s="986">
        <f t="shared" si="2"/>
        <v>-0.30824099999999999</v>
      </c>
      <c r="J848" s="988">
        <v>35247</v>
      </c>
    </row>
    <row r="849" spans="1:10">
      <c r="A849" s="987">
        <v>60</v>
      </c>
      <c r="B849" s="988">
        <v>35278</v>
      </c>
      <c r="C849" s="987" t="s">
        <v>4633</v>
      </c>
      <c r="D849" s="987" t="s">
        <v>4634</v>
      </c>
      <c r="E849" s="987">
        <v>22.875</v>
      </c>
      <c r="F849" s="987">
        <v>8.1404000000000004E-2</v>
      </c>
      <c r="G849" s="987">
        <v>0.24</v>
      </c>
      <c r="H849" s="986">
        <v>5.7000000000000002E-3</v>
      </c>
      <c r="I849" s="986">
        <f t="shared" si="2"/>
        <v>7.5704000000000007E-2</v>
      </c>
      <c r="J849" s="988">
        <v>35278</v>
      </c>
    </row>
    <row r="850" spans="1:10">
      <c r="A850" s="987">
        <v>60</v>
      </c>
      <c r="B850" s="988">
        <v>35309</v>
      </c>
      <c r="C850" s="987" t="s">
        <v>4633</v>
      </c>
      <c r="D850" s="987" t="s">
        <v>4634</v>
      </c>
      <c r="E850" s="987">
        <v>23.375</v>
      </c>
      <c r="F850" s="987">
        <v>2.1857999999999999E-2</v>
      </c>
      <c r="G850" s="987">
        <v>0</v>
      </c>
      <c r="H850" s="986">
        <v>6.0000000000000001E-3</v>
      </c>
      <c r="I850" s="986">
        <f t="shared" si="2"/>
        <v>1.5857999999999997E-2</v>
      </c>
      <c r="J850" s="988">
        <v>35309</v>
      </c>
    </row>
    <row r="851" spans="1:10">
      <c r="A851" s="987">
        <v>60</v>
      </c>
      <c r="B851" s="988">
        <v>35339</v>
      </c>
      <c r="C851" s="987" t="s">
        <v>4633</v>
      </c>
      <c r="D851" s="987" t="s">
        <v>4634</v>
      </c>
      <c r="E851" s="987">
        <v>23.75</v>
      </c>
      <c r="F851" s="987">
        <v>1.6043000000000002E-2</v>
      </c>
      <c r="G851" s="987">
        <v>0</v>
      </c>
      <c r="H851" s="986">
        <v>5.7999999999999996E-3</v>
      </c>
      <c r="I851" s="986">
        <f t="shared" si="2"/>
        <v>1.0243000000000002E-2</v>
      </c>
      <c r="J851" s="988">
        <v>35339</v>
      </c>
    </row>
    <row r="852" spans="1:10">
      <c r="A852" s="987">
        <v>60</v>
      </c>
      <c r="B852" s="988">
        <v>35370</v>
      </c>
      <c r="C852" s="987" t="s">
        <v>4633</v>
      </c>
      <c r="D852" s="987" t="s">
        <v>4634</v>
      </c>
      <c r="E852" s="987">
        <v>24.625</v>
      </c>
      <c r="F852" s="987">
        <v>4.7368E-2</v>
      </c>
      <c r="G852" s="987">
        <v>0.25</v>
      </c>
      <c r="H852" s="986">
        <v>5.1999999999999998E-3</v>
      </c>
      <c r="I852" s="986">
        <f t="shared" si="2"/>
        <v>4.2167999999999997E-2</v>
      </c>
      <c r="J852" s="988">
        <v>35370</v>
      </c>
    </row>
    <row r="853" spans="1:10">
      <c r="A853" s="987">
        <v>60</v>
      </c>
      <c r="B853" s="988">
        <v>35400</v>
      </c>
      <c r="C853" s="987" t="s">
        <v>4633</v>
      </c>
      <c r="D853" s="987" t="s">
        <v>4634</v>
      </c>
      <c r="E853" s="987">
        <v>23.875</v>
      </c>
      <c r="F853" s="987">
        <v>-3.0457000000000001E-2</v>
      </c>
      <c r="G853" s="987">
        <v>0</v>
      </c>
      <c r="H853" s="986">
        <v>5.5999999999999999E-3</v>
      </c>
      <c r="I853" s="986">
        <f t="shared" si="2"/>
        <v>-3.6056999999999999E-2</v>
      </c>
      <c r="J853" s="988">
        <v>35400</v>
      </c>
    </row>
    <row r="854" spans="1:10">
      <c r="A854" s="987">
        <v>60</v>
      </c>
      <c r="B854" s="988">
        <v>35431</v>
      </c>
      <c r="C854" s="987" t="s">
        <v>4633</v>
      </c>
      <c r="D854" s="987" t="s">
        <v>4634</v>
      </c>
      <c r="E854" s="987">
        <v>22.75</v>
      </c>
      <c r="F854" s="987">
        <v>-4.7120000000000002E-2</v>
      </c>
      <c r="G854" s="987">
        <v>0</v>
      </c>
      <c r="H854" s="986">
        <v>5.5999999999999999E-3</v>
      </c>
      <c r="I854" s="986">
        <f t="shared" si="2"/>
        <v>-5.2720000000000003E-2</v>
      </c>
      <c r="J854" s="988">
        <v>35431</v>
      </c>
    </row>
    <row r="855" spans="1:10">
      <c r="A855" s="987">
        <v>60</v>
      </c>
      <c r="B855" s="988">
        <v>35462</v>
      </c>
      <c r="C855" s="987" t="s">
        <v>4633</v>
      </c>
      <c r="D855" s="987" t="s">
        <v>4634</v>
      </c>
      <c r="E855" s="987">
        <v>24.5</v>
      </c>
      <c r="F855" s="987">
        <v>8.7912000000000004E-2</v>
      </c>
      <c r="G855" s="987">
        <v>0.25</v>
      </c>
      <c r="H855" s="986">
        <v>5.1000000000000004E-3</v>
      </c>
      <c r="I855" s="986">
        <f t="shared" si="2"/>
        <v>8.2811999999999997E-2</v>
      </c>
      <c r="J855" s="988">
        <v>35462</v>
      </c>
    </row>
    <row r="856" spans="1:10">
      <c r="A856" s="987">
        <v>60</v>
      </c>
      <c r="B856" s="988">
        <v>35490</v>
      </c>
      <c r="C856" s="987" t="s">
        <v>4633</v>
      </c>
      <c r="D856" s="987" t="s">
        <v>4634</v>
      </c>
      <c r="E856" s="987">
        <v>25.375</v>
      </c>
      <c r="F856" s="987">
        <v>3.5714000000000003E-2</v>
      </c>
      <c r="G856" s="987">
        <v>0</v>
      </c>
      <c r="H856" s="986">
        <v>5.8999999999999999E-3</v>
      </c>
      <c r="I856" s="986">
        <f t="shared" si="2"/>
        <v>2.9814000000000004E-2</v>
      </c>
      <c r="J856" s="988">
        <v>35490</v>
      </c>
    </row>
    <row r="857" spans="1:10">
      <c r="A857" s="987">
        <v>60</v>
      </c>
      <c r="B857" s="988">
        <v>35521</v>
      </c>
      <c r="C857" s="987" t="s">
        <v>4633</v>
      </c>
      <c r="D857" s="987" t="s">
        <v>4634</v>
      </c>
      <c r="E857" s="987">
        <v>22.625</v>
      </c>
      <c r="F857" s="987">
        <v>-0.108374</v>
      </c>
      <c r="G857" s="987">
        <v>0</v>
      </c>
      <c r="H857" s="986">
        <v>5.8999999999999999E-3</v>
      </c>
      <c r="I857" s="986">
        <f t="shared" si="2"/>
        <v>-0.114274</v>
      </c>
      <c r="J857" s="988">
        <v>35521</v>
      </c>
    </row>
    <row r="858" spans="1:10">
      <c r="A858" s="987">
        <v>60</v>
      </c>
      <c r="B858" s="988">
        <v>35551</v>
      </c>
      <c r="C858" s="987" t="s">
        <v>4633</v>
      </c>
      <c r="D858" s="987" t="s">
        <v>4634</v>
      </c>
      <c r="E858" s="987">
        <v>23.125</v>
      </c>
      <c r="F858" s="987">
        <v>3.3148999999999998E-2</v>
      </c>
      <c r="G858" s="987">
        <v>0.25</v>
      </c>
      <c r="H858" s="986">
        <v>5.7999999999999996E-3</v>
      </c>
      <c r="I858" s="986">
        <f t="shared" si="2"/>
        <v>2.7348999999999998E-2</v>
      </c>
      <c r="J858" s="988">
        <v>35551</v>
      </c>
    </row>
    <row r="859" spans="1:10">
      <c r="A859" s="987">
        <v>60</v>
      </c>
      <c r="B859" s="988">
        <v>35582</v>
      </c>
      <c r="C859" s="987" t="s">
        <v>4633</v>
      </c>
      <c r="D859" s="987" t="s">
        <v>4634</v>
      </c>
      <c r="E859" s="987">
        <v>24</v>
      </c>
      <c r="F859" s="987">
        <v>3.7837999999999997E-2</v>
      </c>
      <c r="G859" s="987">
        <v>0</v>
      </c>
      <c r="H859" s="986">
        <v>5.8999999999999999E-3</v>
      </c>
      <c r="I859" s="986">
        <f t="shared" si="2"/>
        <v>3.1937999999999994E-2</v>
      </c>
      <c r="J859" s="988">
        <v>35582</v>
      </c>
    </row>
    <row r="860" spans="1:10">
      <c r="A860" s="987">
        <v>60</v>
      </c>
      <c r="B860" s="988">
        <v>35612</v>
      </c>
      <c r="C860" s="987" t="s">
        <v>4633</v>
      </c>
      <c r="D860" s="987" t="s">
        <v>4634</v>
      </c>
      <c r="E860" s="987">
        <v>24.0625</v>
      </c>
      <c r="F860" s="987">
        <v>2.604E-3</v>
      </c>
      <c r="G860" s="987">
        <v>0</v>
      </c>
      <c r="H860" s="986">
        <v>5.7999999999999996E-3</v>
      </c>
      <c r="I860" s="986">
        <f t="shared" si="2"/>
        <v>-3.1959999999999996E-3</v>
      </c>
      <c r="J860" s="988">
        <v>35612</v>
      </c>
    </row>
    <row r="861" spans="1:10">
      <c r="A861" s="987">
        <v>60</v>
      </c>
      <c r="B861" s="988">
        <v>35643</v>
      </c>
      <c r="C861" s="987" t="s">
        <v>4633</v>
      </c>
      <c r="D861" s="987" t="s">
        <v>4634</v>
      </c>
      <c r="E861" s="987">
        <v>27.25</v>
      </c>
      <c r="F861" s="987">
        <v>0.143065</v>
      </c>
      <c r="G861" s="987">
        <v>0.255</v>
      </c>
      <c r="H861" s="986">
        <v>4.8999999999999998E-3</v>
      </c>
      <c r="I861" s="986">
        <f t="shared" si="2"/>
        <v>0.13816500000000001</v>
      </c>
      <c r="J861" s="988">
        <v>35643</v>
      </c>
    </row>
    <row r="862" spans="1:10">
      <c r="A862" s="987">
        <v>60</v>
      </c>
      <c r="B862" s="988">
        <v>35674</v>
      </c>
      <c r="C862" s="987" t="s">
        <v>4633</v>
      </c>
      <c r="D862" s="987" t="s">
        <v>4634</v>
      </c>
      <c r="E862" s="987">
        <v>24.875</v>
      </c>
      <c r="F862" s="987">
        <v>-8.7155999999999997E-2</v>
      </c>
      <c r="G862" s="987">
        <v>0</v>
      </c>
      <c r="H862" s="986">
        <v>5.7999999999999996E-3</v>
      </c>
      <c r="I862" s="986">
        <f t="shared" si="2"/>
        <v>-9.2955999999999997E-2</v>
      </c>
      <c r="J862" s="988">
        <v>35674</v>
      </c>
    </row>
    <row r="863" spans="1:10">
      <c r="A863" s="987">
        <v>60</v>
      </c>
      <c r="B863" s="988">
        <v>35704</v>
      </c>
      <c r="C863" s="987" t="s">
        <v>4633</v>
      </c>
      <c r="D863" s="987" t="s">
        <v>4634</v>
      </c>
      <c r="E863" s="987">
        <v>25.25</v>
      </c>
      <c r="F863" s="987">
        <v>1.5075E-2</v>
      </c>
      <c r="G863" s="987">
        <v>0</v>
      </c>
      <c r="H863" s="986">
        <v>5.4000000000000003E-3</v>
      </c>
      <c r="I863" s="986">
        <f t="shared" si="2"/>
        <v>9.6749999999999996E-3</v>
      </c>
      <c r="J863" s="988">
        <v>35704</v>
      </c>
    </row>
    <row r="864" spans="1:10">
      <c r="A864" s="987">
        <v>60</v>
      </c>
      <c r="B864" s="988">
        <v>35735</v>
      </c>
      <c r="C864" s="987" t="s">
        <v>4633</v>
      </c>
      <c r="D864" s="987" t="s">
        <v>4634</v>
      </c>
      <c r="E864" s="987">
        <v>26.5625</v>
      </c>
      <c r="F864" s="987">
        <v>6.2475000000000003E-2</v>
      </c>
      <c r="G864" s="987">
        <v>0.26500000000000001</v>
      </c>
      <c r="H864" s="986">
        <v>4.7000000000000002E-3</v>
      </c>
      <c r="I864" s="986">
        <f t="shared" si="2"/>
        <v>5.7775E-2</v>
      </c>
      <c r="J864" s="988">
        <v>35735</v>
      </c>
    </row>
    <row r="865" spans="1:10">
      <c r="A865" s="987">
        <v>60</v>
      </c>
      <c r="B865" s="988">
        <v>35765</v>
      </c>
      <c r="C865" s="987" t="s">
        <v>4633</v>
      </c>
      <c r="D865" s="987" t="s">
        <v>4634</v>
      </c>
      <c r="E865" s="987">
        <v>30.25</v>
      </c>
      <c r="F865" s="987">
        <v>0.138824</v>
      </c>
      <c r="G865" s="987">
        <v>0</v>
      </c>
      <c r="H865" s="986">
        <v>5.4000000000000003E-3</v>
      </c>
      <c r="I865" s="986">
        <f t="shared" si="2"/>
        <v>0.13342400000000001</v>
      </c>
      <c r="J865" s="988">
        <v>35765</v>
      </c>
    </row>
    <row r="866" spans="1:10">
      <c r="A866" s="987">
        <v>60</v>
      </c>
      <c r="B866" s="988">
        <v>35796</v>
      </c>
      <c r="C866" s="987" t="s">
        <v>4633</v>
      </c>
      <c r="D866" s="987" t="s">
        <v>4634</v>
      </c>
      <c r="E866" s="987">
        <v>28.5</v>
      </c>
      <c r="F866" s="987">
        <v>-5.7851E-2</v>
      </c>
      <c r="G866" s="987">
        <v>0</v>
      </c>
      <c r="H866" s="986">
        <v>4.7999999999999996E-3</v>
      </c>
      <c r="I866" s="986">
        <f t="shared" si="2"/>
        <v>-6.2650999999999998E-2</v>
      </c>
      <c r="J866" s="988">
        <v>35796</v>
      </c>
    </row>
    <row r="867" spans="1:10">
      <c r="A867" s="987">
        <v>60</v>
      </c>
      <c r="B867" s="988">
        <v>35827</v>
      </c>
      <c r="C867" s="987" t="s">
        <v>4633</v>
      </c>
      <c r="D867" s="987" t="s">
        <v>4634</v>
      </c>
      <c r="E867" s="987">
        <v>28.6875</v>
      </c>
      <c r="F867" s="987">
        <v>1.5876999999999999E-2</v>
      </c>
      <c r="G867" s="987">
        <v>0.26500000000000001</v>
      </c>
      <c r="H867" s="986">
        <v>4.4000000000000003E-3</v>
      </c>
      <c r="I867" s="986">
        <f t="shared" si="2"/>
        <v>1.1476999999999998E-2</v>
      </c>
      <c r="J867" s="988">
        <v>35827</v>
      </c>
    </row>
    <row r="868" spans="1:10">
      <c r="A868" s="987">
        <v>60</v>
      </c>
      <c r="B868" s="988">
        <v>35855</v>
      </c>
      <c r="C868" s="987" t="s">
        <v>4633</v>
      </c>
      <c r="D868" s="987" t="s">
        <v>4634</v>
      </c>
      <c r="E868" s="987">
        <v>29.625</v>
      </c>
      <c r="F868" s="987">
        <v>3.2680000000000001E-2</v>
      </c>
      <c r="G868" s="987">
        <v>0</v>
      </c>
      <c r="H868" s="986">
        <v>5.1999999999999998E-3</v>
      </c>
      <c r="I868" s="986">
        <f t="shared" si="2"/>
        <v>2.7480000000000001E-2</v>
      </c>
      <c r="J868" s="988">
        <v>35855</v>
      </c>
    </row>
    <row r="869" spans="1:10">
      <c r="A869" s="987">
        <v>60</v>
      </c>
      <c r="B869" s="988">
        <v>35886</v>
      </c>
      <c r="C869" s="987" t="s">
        <v>4633</v>
      </c>
      <c r="D869" s="987" t="s">
        <v>4634</v>
      </c>
      <c r="E869" s="987">
        <v>29.4375</v>
      </c>
      <c r="F869" s="987">
        <v>-6.3290000000000004E-3</v>
      </c>
      <c r="G869" s="987">
        <v>0</v>
      </c>
      <c r="H869" s="986">
        <v>4.8999999999999998E-3</v>
      </c>
      <c r="I869" s="986">
        <f t="shared" si="2"/>
        <v>-1.1228999999999999E-2</v>
      </c>
      <c r="J869" s="988">
        <v>35886</v>
      </c>
    </row>
    <row r="870" spans="1:10">
      <c r="A870" s="987">
        <v>60</v>
      </c>
      <c r="B870" s="988">
        <v>35916</v>
      </c>
      <c r="C870" s="987" t="s">
        <v>4633</v>
      </c>
      <c r="D870" s="987" t="s">
        <v>4634</v>
      </c>
      <c r="E870" s="987">
        <v>30.75</v>
      </c>
      <c r="F870" s="987">
        <v>5.3587999999999997E-2</v>
      </c>
      <c r="G870" s="987">
        <v>0.26500000000000001</v>
      </c>
      <c r="H870" s="986">
        <v>4.7999999999999996E-3</v>
      </c>
      <c r="I870" s="986">
        <f t="shared" si="2"/>
        <v>4.8787999999999998E-2</v>
      </c>
      <c r="J870" s="988">
        <v>35916</v>
      </c>
    </row>
    <row r="871" spans="1:10">
      <c r="A871" s="987">
        <v>60</v>
      </c>
      <c r="B871" s="988">
        <v>35947</v>
      </c>
      <c r="C871" s="987" t="s">
        <v>4633</v>
      </c>
      <c r="D871" s="987" t="s">
        <v>4634</v>
      </c>
      <c r="E871" s="987">
        <v>30.5</v>
      </c>
      <c r="F871" s="987">
        <v>-8.1300000000000001E-3</v>
      </c>
      <c r="G871" s="987">
        <v>0</v>
      </c>
      <c r="H871" s="986">
        <v>5.1999999999999998E-3</v>
      </c>
      <c r="I871" s="986">
        <f t="shared" si="2"/>
        <v>-1.333E-2</v>
      </c>
      <c r="J871" s="988">
        <v>35947</v>
      </c>
    </row>
    <row r="872" spans="1:10">
      <c r="A872" s="987">
        <v>60</v>
      </c>
      <c r="B872" s="988">
        <v>35977</v>
      </c>
      <c r="C872" s="987" t="s">
        <v>4633</v>
      </c>
      <c r="D872" s="987" t="s">
        <v>4634</v>
      </c>
      <c r="E872" s="987">
        <v>29.25</v>
      </c>
      <c r="F872" s="987">
        <v>-4.0984E-2</v>
      </c>
      <c r="G872" s="987">
        <v>0</v>
      </c>
      <c r="H872" s="986">
        <v>4.8999999999999998E-3</v>
      </c>
      <c r="I872" s="986">
        <f t="shared" si="2"/>
        <v>-4.5884000000000001E-2</v>
      </c>
      <c r="J872" s="988">
        <v>35977</v>
      </c>
    </row>
    <row r="873" spans="1:10">
      <c r="A873" s="987">
        <v>60</v>
      </c>
      <c r="B873" s="988">
        <v>36008</v>
      </c>
      <c r="C873" s="987" t="s">
        <v>4633</v>
      </c>
      <c r="D873" s="987" t="s">
        <v>4634</v>
      </c>
      <c r="E873" s="987">
        <v>28.375</v>
      </c>
      <c r="F873" s="987">
        <v>-2.0854999999999999E-2</v>
      </c>
      <c r="G873" s="987">
        <v>0.26500000000000001</v>
      </c>
      <c r="H873" s="986">
        <v>4.7999999999999996E-3</v>
      </c>
      <c r="I873" s="986">
        <f t="shared" si="2"/>
        <v>-2.5654999999999997E-2</v>
      </c>
      <c r="J873" s="988">
        <v>36008</v>
      </c>
    </row>
    <row r="874" spans="1:10">
      <c r="A874" s="987">
        <v>60</v>
      </c>
      <c r="B874" s="988">
        <v>36039</v>
      </c>
      <c r="C874" s="987" t="s">
        <v>4633</v>
      </c>
      <c r="D874" s="987" t="s">
        <v>4634</v>
      </c>
      <c r="E874" s="987">
        <v>28.5625</v>
      </c>
      <c r="F874" s="987">
        <v>6.6080000000000002E-3</v>
      </c>
      <c r="G874" s="987">
        <v>0</v>
      </c>
      <c r="H874" s="986">
        <v>4.4000000000000003E-3</v>
      </c>
      <c r="I874" s="986">
        <f t="shared" si="2"/>
        <v>2.2079999999999999E-3</v>
      </c>
      <c r="J874" s="988">
        <v>36039</v>
      </c>
    </row>
    <row r="875" spans="1:10">
      <c r="A875" s="987">
        <v>60</v>
      </c>
      <c r="B875" s="988">
        <v>36069</v>
      </c>
      <c r="C875" s="987" t="s">
        <v>4633</v>
      </c>
      <c r="D875" s="987" t="s">
        <v>4634</v>
      </c>
      <c r="E875" s="987">
        <v>29.6875</v>
      </c>
      <c r="F875" s="987">
        <v>3.9386999999999998E-2</v>
      </c>
      <c r="G875" s="987">
        <v>0</v>
      </c>
      <c r="H875" s="986">
        <v>4.1999999999999997E-3</v>
      </c>
      <c r="I875" s="986">
        <f t="shared" si="2"/>
        <v>3.5186999999999996E-2</v>
      </c>
      <c r="J875" s="988">
        <v>36069</v>
      </c>
    </row>
    <row r="876" spans="1:10">
      <c r="A876" s="987">
        <v>60</v>
      </c>
      <c r="B876" s="988">
        <v>36100</v>
      </c>
      <c r="C876" s="987" t="s">
        <v>4633</v>
      </c>
      <c r="D876" s="987" t="s">
        <v>4634</v>
      </c>
      <c r="E876" s="987">
        <v>30.625</v>
      </c>
      <c r="F876" s="987">
        <v>4.0842000000000003E-2</v>
      </c>
      <c r="G876" s="987">
        <v>0.27500000000000002</v>
      </c>
      <c r="H876" s="986">
        <v>4.4999999999999997E-3</v>
      </c>
      <c r="I876" s="986">
        <f t="shared" si="2"/>
        <v>3.6342000000000006E-2</v>
      </c>
      <c r="J876" s="988">
        <v>36100</v>
      </c>
    </row>
    <row r="877" spans="1:10">
      <c r="A877" s="987">
        <v>60</v>
      </c>
      <c r="B877" s="988">
        <v>36130</v>
      </c>
      <c r="C877" s="987" t="s">
        <v>4633</v>
      </c>
      <c r="D877" s="987" t="s">
        <v>4634</v>
      </c>
      <c r="E877" s="987">
        <v>32.25</v>
      </c>
      <c r="F877" s="987">
        <v>5.3060999999999997E-2</v>
      </c>
      <c r="G877" s="987">
        <v>0</v>
      </c>
      <c r="H877" s="986">
        <v>4.4999999999999997E-3</v>
      </c>
      <c r="I877" s="986">
        <f t="shared" si="2"/>
        <v>4.8561E-2</v>
      </c>
      <c r="J877" s="988">
        <v>36130</v>
      </c>
    </row>
    <row r="878" spans="1:10">
      <c r="A878" s="987">
        <v>60</v>
      </c>
      <c r="B878" s="988">
        <v>36161</v>
      </c>
      <c r="C878" s="987" t="s">
        <v>4633</v>
      </c>
      <c r="D878" s="987" t="s">
        <v>4634</v>
      </c>
      <c r="E878" s="987">
        <v>29.8125</v>
      </c>
      <c r="F878" s="987">
        <v>-7.5580999999999995E-2</v>
      </c>
      <c r="G878" s="987">
        <v>0</v>
      </c>
      <c r="H878" s="986">
        <v>4.1999999999999997E-3</v>
      </c>
      <c r="I878" s="986">
        <f t="shared" si="2"/>
        <v>-7.9780999999999991E-2</v>
      </c>
      <c r="J878" s="988">
        <v>36161</v>
      </c>
    </row>
    <row r="879" spans="1:10">
      <c r="A879" s="987">
        <v>60</v>
      </c>
      <c r="B879" s="988">
        <v>36192</v>
      </c>
      <c r="C879" s="987" t="s">
        <v>4633</v>
      </c>
      <c r="D879" s="987" t="s">
        <v>4634</v>
      </c>
      <c r="E879" s="987">
        <v>24</v>
      </c>
      <c r="F879" s="987">
        <v>-0.18574399999999999</v>
      </c>
      <c r="G879" s="987">
        <v>0.27500000000000002</v>
      </c>
      <c r="H879" s="986">
        <v>4.0000000000000001E-3</v>
      </c>
      <c r="I879" s="986">
        <f t="shared" si="2"/>
        <v>-0.189744</v>
      </c>
      <c r="J879" s="988">
        <v>36192</v>
      </c>
    </row>
    <row r="880" spans="1:10">
      <c r="A880" s="987">
        <v>60</v>
      </c>
      <c r="B880" s="988">
        <v>36220</v>
      </c>
      <c r="C880" s="987" t="s">
        <v>4633</v>
      </c>
      <c r="D880" s="987" t="s">
        <v>4634</v>
      </c>
      <c r="E880" s="987">
        <v>24.0625</v>
      </c>
      <c r="F880" s="987">
        <v>2.604E-3</v>
      </c>
      <c r="G880" s="987">
        <v>0</v>
      </c>
      <c r="H880" s="986">
        <v>5.3E-3</v>
      </c>
      <c r="I880" s="986">
        <f t="shared" si="2"/>
        <v>-2.696E-3</v>
      </c>
      <c r="J880" s="988">
        <v>36220</v>
      </c>
    </row>
    <row r="881" spans="1:10">
      <c r="A881" s="987">
        <v>60</v>
      </c>
      <c r="B881" s="988">
        <v>36251</v>
      </c>
      <c r="C881" s="987" t="s">
        <v>4633</v>
      </c>
      <c r="D881" s="987" t="s">
        <v>4634</v>
      </c>
      <c r="E881" s="987">
        <v>25.25</v>
      </c>
      <c r="F881" s="987">
        <v>4.9350999999999999E-2</v>
      </c>
      <c r="G881" s="987">
        <v>0</v>
      </c>
      <c r="H881" s="986">
        <v>4.7999999999999996E-3</v>
      </c>
      <c r="I881" s="986">
        <f t="shared" si="2"/>
        <v>4.4551E-2</v>
      </c>
      <c r="J881" s="988">
        <v>36251</v>
      </c>
    </row>
    <row r="882" spans="1:10">
      <c r="A882" s="987">
        <v>60</v>
      </c>
      <c r="B882" s="988">
        <v>36281</v>
      </c>
      <c r="C882" s="987" t="s">
        <v>4633</v>
      </c>
      <c r="D882" s="987" t="s">
        <v>4634</v>
      </c>
      <c r="E882" s="987">
        <v>25.375</v>
      </c>
      <c r="F882" s="987">
        <v>1.5841999999999998E-2</v>
      </c>
      <c r="G882" s="987">
        <v>0.27500000000000002</v>
      </c>
      <c r="H882" s="986">
        <v>4.4999999999999997E-3</v>
      </c>
      <c r="I882" s="986">
        <f t="shared" si="2"/>
        <v>1.1341999999999998E-2</v>
      </c>
      <c r="J882" s="988">
        <v>36281</v>
      </c>
    </row>
    <row r="883" spans="1:10">
      <c r="A883" s="987">
        <v>60</v>
      </c>
      <c r="B883" s="988">
        <v>36312</v>
      </c>
      <c r="C883" s="987" t="s">
        <v>4633</v>
      </c>
      <c r="D883" s="987" t="s">
        <v>4634</v>
      </c>
      <c r="E883" s="987">
        <v>25</v>
      </c>
      <c r="F883" s="987">
        <v>-1.4777999999999999E-2</v>
      </c>
      <c r="G883" s="987">
        <v>0</v>
      </c>
      <c r="H883" s="986">
        <v>5.4999999999999997E-3</v>
      </c>
      <c r="I883" s="986">
        <f t="shared" si="2"/>
        <v>-2.0277999999999997E-2</v>
      </c>
      <c r="J883" s="988">
        <v>36312</v>
      </c>
    </row>
    <row r="884" spans="1:10">
      <c r="A884" s="987">
        <v>60</v>
      </c>
      <c r="B884" s="988">
        <v>36342</v>
      </c>
      <c r="C884" s="987" t="s">
        <v>4633</v>
      </c>
      <c r="D884" s="987" t="s">
        <v>4634</v>
      </c>
      <c r="E884" s="987">
        <v>25</v>
      </c>
      <c r="F884" s="987">
        <v>0</v>
      </c>
      <c r="G884" s="987">
        <v>0</v>
      </c>
      <c r="H884" s="986">
        <v>5.1000000000000004E-3</v>
      </c>
      <c r="I884" s="986">
        <f t="shared" si="2"/>
        <v>-5.1000000000000004E-3</v>
      </c>
      <c r="J884" s="988">
        <v>36342</v>
      </c>
    </row>
    <row r="885" spans="1:10">
      <c r="A885" s="987">
        <v>60</v>
      </c>
      <c r="B885" s="988">
        <v>36373</v>
      </c>
      <c r="C885" s="987" t="s">
        <v>4633</v>
      </c>
      <c r="D885" s="987" t="s">
        <v>4634</v>
      </c>
      <c r="E885" s="987">
        <v>25.0625</v>
      </c>
      <c r="F885" s="987">
        <v>1.35E-2</v>
      </c>
      <c r="G885" s="987">
        <v>0.27500000000000002</v>
      </c>
      <c r="H885" s="986">
        <v>5.4000000000000003E-3</v>
      </c>
      <c r="I885" s="986">
        <f t="shared" si="2"/>
        <v>8.0999999999999996E-3</v>
      </c>
      <c r="J885" s="988">
        <v>36373</v>
      </c>
    </row>
    <row r="886" spans="1:10">
      <c r="A886" s="987">
        <v>60</v>
      </c>
      <c r="B886" s="988">
        <v>36404</v>
      </c>
      <c r="C886" s="987" t="s">
        <v>4633</v>
      </c>
      <c r="D886" s="987" t="s">
        <v>4634</v>
      </c>
      <c r="E886" s="987">
        <v>24.125</v>
      </c>
      <c r="F886" s="987">
        <v>-3.7406000000000002E-2</v>
      </c>
      <c r="G886" s="987">
        <v>0</v>
      </c>
      <c r="H886" s="986">
        <v>5.1999999999999998E-3</v>
      </c>
      <c r="I886" s="986">
        <f t="shared" si="2"/>
        <v>-4.2606000000000005E-2</v>
      </c>
      <c r="J886" s="988">
        <v>36404</v>
      </c>
    </row>
    <row r="887" spans="1:10">
      <c r="A887" s="987">
        <v>60</v>
      </c>
      <c r="B887" s="988">
        <v>36434</v>
      </c>
      <c r="C887" s="987" t="s">
        <v>4633</v>
      </c>
      <c r="D887" s="987" t="s">
        <v>4634</v>
      </c>
      <c r="E887" s="987">
        <v>22.6875</v>
      </c>
      <c r="F887" s="987">
        <v>-5.9584999999999999E-2</v>
      </c>
      <c r="G887" s="987">
        <v>0</v>
      </c>
      <c r="H887" s="986">
        <v>5.0000000000000001E-3</v>
      </c>
      <c r="I887" s="986">
        <f t="shared" si="2"/>
        <v>-6.4585000000000004E-2</v>
      </c>
      <c r="J887" s="988">
        <v>36434</v>
      </c>
    </row>
    <row r="888" spans="1:10">
      <c r="A888" s="987">
        <v>60</v>
      </c>
      <c r="B888" s="988">
        <v>36465</v>
      </c>
      <c r="C888" s="987" t="s">
        <v>4633</v>
      </c>
      <c r="D888" s="987" t="s">
        <v>4634</v>
      </c>
      <c r="E888" s="987">
        <v>22.3125</v>
      </c>
      <c r="F888" s="987">
        <v>-3.967E-3</v>
      </c>
      <c r="G888" s="987">
        <v>0.28499999999999998</v>
      </c>
      <c r="H888" s="986">
        <v>5.5999999999999999E-3</v>
      </c>
      <c r="I888" s="986">
        <f t="shared" si="2"/>
        <v>-9.5669999999999991E-3</v>
      </c>
      <c r="J888" s="988">
        <v>36465</v>
      </c>
    </row>
    <row r="889" spans="1:10">
      <c r="A889" s="987">
        <v>60</v>
      </c>
      <c r="B889" s="988">
        <v>36495</v>
      </c>
      <c r="C889" s="987" t="s">
        <v>4633</v>
      </c>
      <c r="D889" s="987" t="s">
        <v>4634</v>
      </c>
      <c r="E889" s="987">
        <v>20.4375</v>
      </c>
      <c r="F889" s="987">
        <v>-8.4033999999999998E-2</v>
      </c>
      <c r="G889" s="987">
        <v>0</v>
      </c>
      <c r="H889" s="986">
        <v>5.4999999999999997E-3</v>
      </c>
      <c r="I889" s="986">
        <f t="shared" si="2"/>
        <v>-8.9534000000000002E-2</v>
      </c>
      <c r="J889" s="988">
        <v>36495</v>
      </c>
    </row>
    <row r="890" spans="1:10">
      <c r="A890" s="987">
        <v>60</v>
      </c>
      <c r="B890" s="988">
        <v>36526</v>
      </c>
      <c r="C890" s="987" t="s">
        <v>4633</v>
      </c>
      <c r="D890" s="987" t="s">
        <v>4634</v>
      </c>
      <c r="E890" s="987">
        <v>17.5</v>
      </c>
      <c r="F890" s="987">
        <v>-0.143731</v>
      </c>
      <c r="G890" s="987">
        <v>0</v>
      </c>
      <c r="H890" s="986">
        <v>5.7000000000000002E-3</v>
      </c>
      <c r="I890" s="986">
        <f t="shared" ref="I890:I953" si="3">F890-H890</f>
        <v>-0.14943100000000001</v>
      </c>
      <c r="J890" s="988">
        <v>36526</v>
      </c>
    </row>
    <row r="891" spans="1:10">
      <c r="A891" s="987">
        <v>60</v>
      </c>
      <c r="B891" s="988">
        <v>36557</v>
      </c>
      <c r="C891" s="987" t="s">
        <v>4633</v>
      </c>
      <c r="D891" s="987" t="s">
        <v>4634</v>
      </c>
      <c r="E891" s="987">
        <v>17.125</v>
      </c>
      <c r="F891" s="987">
        <v>-5.143E-3</v>
      </c>
      <c r="G891" s="987">
        <v>0.28499999999999998</v>
      </c>
      <c r="H891" s="986">
        <v>5.1000000000000004E-3</v>
      </c>
      <c r="I891" s="986">
        <f t="shared" si="3"/>
        <v>-1.0243E-2</v>
      </c>
      <c r="J891" s="988">
        <v>36557</v>
      </c>
    </row>
    <row r="892" spans="1:10">
      <c r="A892" s="987">
        <v>60</v>
      </c>
      <c r="B892" s="988">
        <v>36586</v>
      </c>
      <c r="C892" s="987" t="s">
        <v>4633</v>
      </c>
      <c r="D892" s="987" t="s">
        <v>4634</v>
      </c>
      <c r="E892" s="987">
        <v>16.375</v>
      </c>
      <c r="F892" s="987">
        <v>-4.3796000000000002E-2</v>
      </c>
      <c r="G892" s="987">
        <v>0</v>
      </c>
      <c r="H892" s="986">
        <v>5.4000000000000003E-3</v>
      </c>
      <c r="I892" s="986">
        <f t="shared" si="3"/>
        <v>-4.9196000000000004E-2</v>
      </c>
      <c r="J892" s="988">
        <v>36586</v>
      </c>
    </row>
    <row r="893" spans="1:10">
      <c r="A893" s="987">
        <v>60</v>
      </c>
      <c r="B893" s="988">
        <v>36617</v>
      </c>
      <c r="C893" s="987" t="s">
        <v>4633</v>
      </c>
      <c r="D893" s="987" t="s">
        <v>4634</v>
      </c>
      <c r="E893" s="987">
        <v>15.875</v>
      </c>
      <c r="F893" s="987">
        <v>-3.0533999999999999E-2</v>
      </c>
      <c r="G893" s="987">
        <v>0</v>
      </c>
      <c r="H893" s="986">
        <v>4.7000000000000002E-3</v>
      </c>
      <c r="I893" s="986">
        <f t="shared" si="3"/>
        <v>-3.5234000000000001E-2</v>
      </c>
      <c r="J893" s="988">
        <v>36617</v>
      </c>
    </row>
    <row r="894" spans="1:10">
      <c r="A894" s="987">
        <v>60</v>
      </c>
      <c r="B894" s="988">
        <v>36647</v>
      </c>
      <c r="C894" s="987" t="s">
        <v>4633</v>
      </c>
      <c r="D894" s="987" t="s">
        <v>4634</v>
      </c>
      <c r="E894" s="987">
        <v>18.3125</v>
      </c>
      <c r="F894" s="987">
        <v>0.17149600000000001</v>
      </c>
      <c r="G894" s="987">
        <v>0.28499999999999998</v>
      </c>
      <c r="H894" s="986">
        <v>5.5999999999999999E-3</v>
      </c>
      <c r="I894" s="986">
        <f t="shared" si="3"/>
        <v>0.16589600000000002</v>
      </c>
      <c r="J894" s="988">
        <v>36647</v>
      </c>
    </row>
    <row r="895" spans="1:10">
      <c r="A895" s="987">
        <v>60</v>
      </c>
      <c r="B895" s="988">
        <v>36678</v>
      </c>
      <c r="C895" s="987" t="s">
        <v>4633</v>
      </c>
      <c r="D895" s="987" t="s">
        <v>4634</v>
      </c>
      <c r="E895" s="987">
        <v>17.5</v>
      </c>
      <c r="F895" s="987">
        <v>-4.4368999999999999E-2</v>
      </c>
      <c r="G895" s="987">
        <v>0</v>
      </c>
      <c r="H895" s="986">
        <v>5.1999999999999998E-3</v>
      </c>
      <c r="I895" s="986">
        <f t="shared" si="3"/>
        <v>-4.9569000000000002E-2</v>
      </c>
      <c r="J895" s="988">
        <v>36678</v>
      </c>
    </row>
    <row r="896" spans="1:10">
      <c r="A896" s="987">
        <v>60</v>
      </c>
      <c r="B896" s="988">
        <v>36708</v>
      </c>
      <c r="C896" s="987" t="s">
        <v>4633</v>
      </c>
      <c r="D896" s="987" t="s">
        <v>4634</v>
      </c>
      <c r="E896" s="987">
        <v>20.625</v>
      </c>
      <c r="F896" s="987">
        <v>0.17857100000000001</v>
      </c>
      <c r="G896" s="987">
        <v>0</v>
      </c>
      <c r="H896" s="986">
        <v>5.1999999999999998E-3</v>
      </c>
      <c r="I896" s="986">
        <f t="shared" si="3"/>
        <v>0.173371</v>
      </c>
      <c r="J896" s="988">
        <v>36708</v>
      </c>
    </row>
    <row r="897" spans="1:10">
      <c r="A897" s="987">
        <v>60</v>
      </c>
      <c r="B897" s="988">
        <v>36739</v>
      </c>
      <c r="C897" s="987" t="s">
        <v>4633</v>
      </c>
      <c r="D897" s="987" t="s">
        <v>4634</v>
      </c>
      <c r="E897" s="987">
        <v>20.75</v>
      </c>
      <c r="F897" s="987">
        <v>1.9879000000000001E-2</v>
      </c>
      <c r="G897" s="987">
        <v>0.28499999999999998</v>
      </c>
      <c r="H897" s="986">
        <v>5.0000000000000001E-3</v>
      </c>
      <c r="I897" s="986">
        <f t="shared" si="3"/>
        <v>1.4879E-2</v>
      </c>
      <c r="J897" s="988">
        <v>36739</v>
      </c>
    </row>
    <row r="898" spans="1:10">
      <c r="A898" s="987">
        <v>60</v>
      </c>
      <c r="B898" s="988">
        <v>36770</v>
      </c>
      <c r="C898" s="987" t="s">
        <v>4633</v>
      </c>
      <c r="D898" s="987" t="s">
        <v>4634</v>
      </c>
      <c r="E898" s="987">
        <v>20.625</v>
      </c>
      <c r="F898" s="987">
        <v>-6.0239999999999998E-3</v>
      </c>
      <c r="G898" s="987">
        <v>0</v>
      </c>
      <c r="H898" s="986">
        <v>4.5999999999999999E-3</v>
      </c>
      <c r="I898" s="986">
        <f t="shared" si="3"/>
        <v>-1.0624E-2</v>
      </c>
      <c r="J898" s="988">
        <v>36770</v>
      </c>
    </row>
    <row r="899" spans="1:10">
      <c r="A899" s="987">
        <v>60</v>
      </c>
      <c r="B899" s="988">
        <v>36800</v>
      </c>
      <c r="C899" s="987" t="s">
        <v>4633</v>
      </c>
      <c r="D899" s="987" t="s">
        <v>4634</v>
      </c>
      <c r="E899" s="987">
        <v>23.125</v>
      </c>
      <c r="F899" s="987">
        <v>0.121212</v>
      </c>
      <c r="G899" s="987">
        <v>0</v>
      </c>
      <c r="H899" s="986">
        <v>5.3E-3</v>
      </c>
      <c r="I899" s="986">
        <f t="shared" si="3"/>
        <v>0.115912</v>
      </c>
      <c r="J899" s="988">
        <v>36800</v>
      </c>
    </row>
    <row r="900" spans="1:10">
      <c r="A900" s="987">
        <v>60</v>
      </c>
      <c r="B900" s="988">
        <v>36831</v>
      </c>
      <c r="C900" s="987" t="s">
        <v>4633</v>
      </c>
      <c r="D900" s="987" t="s">
        <v>4634</v>
      </c>
      <c r="E900" s="987">
        <v>25.125</v>
      </c>
      <c r="F900" s="987">
        <v>9.9027000000000004E-2</v>
      </c>
      <c r="G900" s="987">
        <v>0.28999999999999998</v>
      </c>
      <c r="H900" s="986">
        <v>4.7999999999999996E-3</v>
      </c>
      <c r="I900" s="986">
        <f t="shared" si="3"/>
        <v>9.4227000000000005E-2</v>
      </c>
      <c r="J900" s="988">
        <v>36831</v>
      </c>
    </row>
    <row r="901" spans="1:10">
      <c r="A901" s="987">
        <v>60</v>
      </c>
      <c r="B901" s="988">
        <v>36861</v>
      </c>
      <c r="C901" s="987" t="s">
        <v>4633</v>
      </c>
      <c r="D901" s="987" t="s">
        <v>4634</v>
      </c>
      <c r="E901" s="987">
        <v>24.375</v>
      </c>
      <c r="F901" s="987">
        <v>-2.9850999999999999E-2</v>
      </c>
      <c r="G901" s="987">
        <v>0</v>
      </c>
      <c r="H901" s="986">
        <v>4.4999999999999997E-3</v>
      </c>
      <c r="I901" s="986">
        <f t="shared" si="3"/>
        <v>-3.4351E-2</v>
      </c>
      <c r="J901" s="988">
        <v>36861</v>
      </c>
    </row>
    <row r="902" spans="1:10">
      <c r="A902" s="987">
        <v>60</v>
      </c>
      <c r="B902" s="988">
        <v>36892</v>
      </c>
      <c r="C902" s="987" t="s">
        <v>4633</v>
      </c>
      <c r="D902" s="987" t="s">
        <v>4634</v>
      </c>
      <c r="E902" s="987">
        <v>24.47</v>
      </c>
      <c r="F902" s="987">
        <v>3.8969999999999999E-3</v>
      </c>
      <c r="G902" s="987">
        <v>0</v>
      </c>
      <c r="H902" s="986">
        <v>4.8999999999999998E-3</v>
      </c>
      <c r="I902" s="986">
        <f t="shared" si="3"/>
        <v>-1.003E-3</v>
      </c>
      <c r="J902" s="988">
        <v>36892</v>
      </c>
    </row>
    <row r="903" spans="1:10">
      <c r="A903" s="987">
        <v>60</v>
      </c>
      <c r="B903" s="988">
        <v>36923</v>
      </c>
      <c r="C903" s="987" t="s">
        <v>4633</v>
      </c>
      <c r="D903" s="987" t="s">
        <v>4634</v>
      </c>
      <c r="E903" s="987">
        <v>23.3</v>
      </c>
      <c r="F903" s="987">
        <v>-3.5962000000000001E-2</v>
      </c>
      <c r="G903" s="987">
        <v>0.28999999999999998</v>
      </c>
      <c r="H903" s="986">
        <v>4.1999999999999997E-3</v>
      </c>
      <c r="I903" s="986">
        <f t="shared" si="3"/>
        <v>-4.0162000000000003E-2</v>
      </c>
      <c r="J903" s="988">
        <v>36923</v>
      </c>
    </row>
    <row r="904" spans="1:10">
      <c r="A904" s="987">
        <v>60</v>
      </c>
      <c r="B904" s="988">
        <v>36951</v>
      </c>
      <c r="C904" s="987" t="s">
        <v>4633</v>
      </c>
      <c r="D904" s="987" t="s">
        <v>4634</v>
      </c>
      <c r="E904" s="987">
        <v>23.8</v>
      </c>
      <c r="F904" s="987">
        <v>2.1458999999999999E-2</v>
      </c>
      <c r="G904" s="987">
        <v>0</v>
      </c>
      <c r="H904" s="986">
        <v>4.4999999999999997E-3</v>
      </c>
      <c r="I904" s="986">
        <f t="shared" si="3"/>
        <v>1.6958999999999998E-2</v>
      </c>
      <c r="J904" s="988">
        <v>36951</v>
      </c>
    </row>
    <row r="905" spans="1:10">
      <c r="A905" s="987">
        <v>60</v>
      </c>
      <c r="B905" s="988">
        <v>36982</v>
      </c>
      <c r="C905" s="987" t="s">
        <v>4633</v>
      </c>
      <c r="D905" s="987" t="s">
        <v>4634</v>
      </c>
      <c r="E905" s="987">
        <v>22.67</v>
      </c>
      <c r="F905" s="987">
        <v>-4.7479E-2</v>
      </c>
      <c r="G905" s="987">
        <v>0</v>
      </c>
      <c r="H905" s="986">
        <v>4.7000000000000002E-3</v>
      </c>
      <c r="I905" s="986">
        <f t="shared" si="3"/>
        <v>-5.2179000000000003E-2</v>
      </c>
      <c r="J905" s="988">
        <v>36982</v>
      </c>
    </row>
    <row r="906" spans="1:10">
      <c r="A906" s="987">
        <v>60</v>
      </c>
      <c r="B906" s="988">
        <v>37012</v>
      </c>
      <c r="C906" s="987" t="s">
        <v>4633</v>
      </c>
      <c r="D906" s="987" t="s">
        <v>4634</v>
      </c>
      <c r="E906" s="987">
        <v>23.2</v>
      </c>
      <c r="F906" s="987">
        <v>3.6171000000000002E-2</v>
      </c>
      <c r="G906" s="987">
        <v>0.28999999999999998</v>
      </c>
      <c r="H906" s="986">
        <v>5.0000000000000001E-3</v>
      </c>
      <c r="I906" s="986">
        <f t="shared" si="3"/>
        <v>3.1171000000000001E-2</v>
      </c>
      <c r="J906" s="988">
        <v>37012</v>
      </c>
    </row>
    <row r="907" spans="1:10">
      <c r="A907" s="987">
        <v>60</v>
      </c>
      <c r="B907" s="988">
        <v>37043</v>
      </c>
      <c r="C907" s="987" t="s">
        <v>4633</v>
      </c>
      <c r="D907" s="987" t="s">
        <v>4634</v>
      </c>
      <c r="E907" s="987">
        <v>24.46</v>
      </c>
      <c r="F907" s="987">
        <v>5.4309999999999997E-2</v>
      </c>
      <c r="G907" s="987">
        <v>0</v>
      </c>
      <c r="H907" s="986">
        <v>4.7000000000000002E-3</v>
      </c>
      <c r="I907" s="986">
        <f t="shared" si="3"/>
        <v>4.9609999999999994E-2</v>
      </c>
      <c r="J907" s="988">
        <v>37043</v>
      </c>
    </row>
    <row r="908" spans="1:10">
      <c r="A908" s="987">
        <v>60</v>
      </c>
      <c r="B908" s="988">
        <v>37073</v>
      </c>
      <c r="C908" s="987" t="s">
        <v>4633</v>
      </c>
      <c r="D908" s="987" t="s">
        <v>4634</v>
      </c>
      <c r="E908" s="987">
        <v>20.2</v>
      </c>
      <c r="F908" s="987">
        <v>-0.17416200000000001</v>
      </c>
      <c r="G908" s="987">
        <v>0</v>
      </c>
      <c r="H908" s="986">
        <v>5.1999999999999998E-3</v>
      </c>
      <c r="I908" s="986">
        <f t="shared" si="3"/>
        <v>-0.17936200000000002</v>
      </c>
      <c r="J908" s="988">
        <v>37073</v>
      </c>
    </row>
    <row r="909" spans="1:10">
      <c r="A909" s="987">
        <v>60</v>
      </c>
      <c r="B909" s="988">
        <v>37104</v>
      </c>
      <c r="C909" s="987" t="s">
        <v>4633</v>
      </c>
      <c r="D909" s="987" t="s">
        <v>4634</v>
      </c>
      <c r="E909" s="987">
        <v>21.6</v>
      </c>
      <c r="F909" s="987">
        <v>8.3663000000000001E-2</v>
      </c>
      <c r="G909" s="987">
        <v>0.28999999999999998</v>
      </c>
      <c r="H909" s="986">
        <v>4.5999999999999999E-3</v>
      </c>
      <c r="I909" s="986">
        <f t="shared" si="3"/>
        <v>7.9062999999999994E-2</v>
      </c>
      <c r="J909" s="988">
        <v>37104</v>
      </c>
    </row>
    <row r="910" spans="1:10">
      <c r="A910" s="987">
        <v>60</v>
      </c>
      <c r="B910" s="988">
        <v>37135</v>
      </c>
      <c r="C910" s="987" t="s">
        <v>4633</v>
      </c>
      <c r="D910" s="987" t="s">
        <v>4634</v>
      </c>
      <c r="E910" s="987">
        <v>21.6</v>
      </c>
      <c r="F910" s="987">
        <v>0</v>
      </c>
      <c r="G910" s="987">
        <v>0</v>
      </c>
      <c r="H910" s="986">
        <v>4.1000000000000003E-3</v>
      </c>
      <c r="I910" s="986">
        <f t="shared" si="3"/>
        <v>-4.1000000000000003E-3</v>
      </c>
      <c r="J910" s="988">
        <v>37135</v>
      </c>
    </row>
    <row r="911" spans="1:10">
      <c r="A911" s="987">
        <v>60</v>
      </c>
      <c r="B911" s="988">
        <v>37165</v>
      </c>
      <c r="C911" s="987" t="s">
        <v>4633</v>
      </c>
      <c r="D911" s="987" t="s">
        <v>4634</v>
      </c>
      <c r="E911" s="987">
        <v>21.55</v>
      </c>
      <c r="F911" s="987">
        <v>-2.3149999999999998E-3</v>
      </c>
      <c r="G911" s="987">
        <v>0</v>
      </c>
      <c r="H911" s="986">
        <v>4.7999999999999996E-3</v>
      </c>
      <c r="I911" s="986">
        <f t="shared" si="3"/>
        <v>-7.1149999999999998E-3</v>
      </c>
      <c r="J911" s="988">
        <v>37165</v>
      </c>
    </row>
    <row r="912" spans="1:10">
      <c r="A912" s="987">
        <v>60</v>
      </c>
      <c r="B912" s="988">
        <v>37196</v>
      </c>
      <c r="C912" s="987" t="s">
        <v>4633</v>
      </c>
      <c r="D912" s="987" t="s">
        <v>4634</v>
      </c>
      <c r="E912" s="987">
        <v>19.600000000000001</v>
      </c>
      <c r="F912" s="987">
        <v>-7.6798000000000005E-2</v>
      </c>
      <c r="G912" s="987">
        <v>0.29499999999999998</v>
      </c>
      <c r="H912" s="986">
        <v>4.1000000000000003E-3</v>
      </c>
      <c r="I912" s="986">
        <f t="shared" si="3"/>
        <v>-8.0898000000000012E-2</v>
      </c>
      <c r="J912" s="988">
        <v>37196</v>
      </c>
    </row>
    <row r="913" spans="1:10">
      <c r="A913" s="987">
        <v>60</v>
      </c>
      <c r="B913" s="988">
        <v>37226</v>
      </c>
      <c r="C913" s="987" t="s">
        <v>4633</v>
      </c>
      <c r="D913" s="987" t="s">
        <v>4634</v>
      </c>
      <c r="E913" s="987">
        <v>21.25</v>
      </c>
      <c r="F913" s="987">
        <v>8.4183999999999995E-2</v>
      </c>
      <c r="G913" s="987">
        <v>0</v>
      </c>
      <c r="H913" s="986">
        <v>4.5999999999999999E-3</v>
      </c>
      <c r="I913" s="986">
        <f t="shared" si="3"/>
        <v>7.9583999999999988E-2</v>
      </c>
      <c r="J913" s="988">
        <v>37226</v>
      </c>
    </row>
    <row r="914" spans="1:10">
      <c r="A914" s="987">
        <v>60</v>
      </c>
      <c r="B914" s="988">
        <v>37257</v>
      </c>
      <c r="C914" s="987" t="s">
        <v>4633</v>
      </c>
      <c r="D914" s="987" t="s">
        <v>4634</v>
      </c>
      <c r="E914" s="987">
        <v>21.1</v>
      </c>
      <c r="F914" s="987">
        <v>-7.0590000000000002E-3</v>
      </c>
      <c r="G914" s="987">
        <v>0</v>
      </c>
      <c r="H914" s="986">
        <v>4.7999999999999996E-3</v>
      </c>
      <c r="I914" s="986">
        <f t="shared" si="3"/>
        <v>-1.1859E-2</v>
      </c>
      <c r="J914" s="988">
        <v>37257</v>
      </c>
    </row>
    <row r="915" spans="1:10">
      <c r="A915" s="987">
        <v>60</v>
      </c>
      <c r="B915" s="988">
        <v>37288</v>
      </c>
      <c r="C915" s="987" t="s">
        <v>4633</v>
      </c>
      <c r="D915" s="987" t="s">
        <v>4634</v>
      </c>
      <c r="E915" s="987">
        <v>22.3</v>
      </c>
      <c r="F915" s="987">
        <v>7.0852999999999999E-2</v>
      </c>
      <c r="G915" s="987">
        <v>0.29499999999999998</v>
      </c>
      <c r="H915" s="986">
        <v>4.3E-3</v>
      </c>
      <c r="I915" s="986">
        <f t="shared" si="3"/>
        <v>6.6553000000000001E-2</v>
      </c>
      <c r="J915" s="988">
        <v>37288</v>
      </c>
    </row>
    <row r="916" spans="1:10">
      <c r="A916" s="987">
        <v>60</v>
      </c>
      <c r="B916" s="988">
        <v>37316</v>
      </c>
      <c r="C916" s="987" t="s">
        <v>4633</v>
      </c>
      <c r="D916" s="987" t="s">
        <v>4634</v>
      </c>
      <c r="E916" s="987">
        <v>23.6</v>
      </c>
      <c r="F916" s="987">
        <v>5.8296000000000001E-2</v>
      </c>
      <c r="G916" s="987">
        <v>0</v>
      </c>
      <c r="H916" s="986">
        <v>4.3E-3</v>
      </c>
      <c r="I916" s="986">
        <f t="shared" si="3"/>
        <v>5.3996000000000002E-2</v>
      </c>
      <c r="J916" s="988">
        <v>37316</v>
      </c>
    </row>
    <row r="917" spans="1:10">
      <c r="A917" s="987">
        <v>60</v>
      </c>
      <c r="B917" s="988">
        <v>37347</v>
      </c>
      <c r="C917" s="987" t="s">
        <v>4633</v>
      </c>
      <c r="D917" s="987" t="s">
        <v>4634</v>
      </c>
      <c r="E917" s="987">
        <v>23.93</v>
      </c>
      <c r="F917" s="987">
        <v>1.3983000000000001E-2</v>
      </c>
      <c r="G917" s="987">
        <v>0</v>
      </c>
      <c r="H917" s="986">
        <v>5.4000000000000003E-3</v>
      </c>
      <c r="I917" s="986">
        <f t="shared" si="3"/>
        <v>8.5830000000000004E-3</v>
      </c>
      <c r="J917" s="988">
        <v>37347</v>
      </c>
    </row>
    <row r="918" spans="1:10">
      <c r="A918" s="987">
        <v>60</v>
      </c>
      <c r="B918" s="988">
        <v>37377</v>
      </c>
      <c r="C918" s="987" t="s">
        <v>4633</v>
      </c>
      <c r="D918" s="987" t="s">
        <v>4634</v>
      </c>
      <c r="E918" s="987">
        <v>23.14</v>
      </c>
      <c r="F918" s="987">
        <v>-2.0684999999999999E-2</v>
      </c>
      <c r="G918" s="987">
        <v>0.29499999999999998</v>
      </c>
      <c r="H918" s="986">
        <v>4.8999999999999998E-3</v>
      </c>
      <c r="I918" s="986">
        <f t="shared" si="3"/>
        <v>-2.5584999999999997E-2</v>
      </c>
      <c r="J918" s="988">
        <v>37377</v>
      </c>
    </row>
    <row r="919" spans="1:10">
      <c r="A919" s="987">
        <v>60</v>
      </c>
      <c r="B919" s="988">
        <v>37408</v>
      </c>
      <c r="C919" s="987" t="s">
        <v>4633</v>
      </c>
      <c r="D919" s="987" t="s">
        <v>4634</v>
      </c>
      <c r="E919" s="987">
        <v>23.44</v>
      </c>
      <c r="F919" s="987">
        <v>1.2965000000000001E-2</v>
      </c>
      <c r="G919" s="987">
        <v>0</v>
      </c>
      <c r="H919" s="986">
        <v>4.4000000000000003E-3</v>
      </c>
      <c r="I919" s="986">
        <f t="shared" si="3"/>
        <v>8.5649999999999997E-3</v>
      </c>
      <c r="J919" s="988">
        <v>37408</v>
      </c>
    </row>
    <row r="920" spans="1:10">
      <c r="A920" s="987">
        <v>60</v>
      </c>
      <c r="B920" s="988">
        <v>37438</v>
      </c>
      <c r="C920" s="987" t="s">
        <v>4633</v>
      </c>
      <c r="D920" s="987" t="s">
        <v>4634</v>
      </c>
      <c r="E920" s="987">
        <v>21.25</v>
      </c>
      <c r="F920" s="987">
        <v>-9.3429999999999999E-2</v>
      </c>
      <c r="G920" s="987">
        <v>0</v>
      </c>
      <c r="H920" s="986">
        <v>5.1000000000000004E-3</v>
      </c>
      <c r="I920" s="986">
        <f t="shared" si="3"/>
        <v>-9.8530000000000006E-2</v>
      </c>
      <c r="J920" s="988">
        <v>37438</v>
      </c>
    </row>
    <row r="921" spans="1:10">
      <c r="A921" s="987">
        <v>60</v>
      </c>
      <c r="B921" s="988">
        <v>37469</v>
      </c>
      <c r="C921" s="987" t="s">
        <v>4633</v>
      </c>
      <c r="D921" s="987" t="s">
        <v>4634</v>
      </c>
      <c r="E921" s="987">
        <v>21.44</v>
      </c>
      <c r="F921" s="987">
        <v>2.2824000000000001E-2</v>
      </c>
      <c r="G921" s="987">
        <v>0.29499999999999998</v>
      </c>
      <c r="H921" s="986">
        <v>4.4000000000000003E-3</v>
      </c>
      <c r="I921" s="986">
        <f t="shared" si="3"/>
        <v>1.8423999999999999E-2</v>
      </c>
      <c r="J921" s="988">
        <v>37469</v>
      </c>
    </row>
    <row r="922" spans="1:10">
      <c r="A922" s="987">
        <v>60</v>
      </c>
      <c r="B922" s="988">
        <v>37500</v>
      </c>
      <c r="C922" s="987" t="s">
        <v>4633</v>
      </c>
      <c r="D922" s="987" t="s">
        <v>4634</v>
      </c>
      <c r="E922" s="987">
        <v>21.5</v>
      </c>
      <c r="F922" s="987">
        <v>2.7980000000000001E-3</v>
      </c>
      <c r="G922" s="987">
        <v>0</v>
      </c>
      <c r="H922" s="986">
        <v>4.1999999999999997E-3</v>
      </c>
      <c r="I922" s="986">
        <f t="shared" si="3"/>
        <v>-1.4019999999999996E-3</v>
      </c>
      <c r="J922" s="988">
        <v>37500</v>
      </c>
    </row>
    <row r="923" spans="1:10">
      <c r="A923" s="987">
        <v>60</v>
      </c>
      <c r="B923" s="988">
        <v>37530</v>
      </c>
      <c r="C923" s="987" t="s">
        <v>4633</v>
      </c>
      <c r="D923" s="987" t="s">
        <v>4634</v>
      </c>
      <c r="E923" s="987">
        <v>22</v>
      </c>
      <c r="F923" s="987">
        <v>2.3255999999999999E-2</v>
      </c>
      <c r="G923" s="987">
        <v>0</v>
      </c>
      <c r="H923" s="986">
        <v>4.0000000000000001E-3</v>
      </c>
      <c r="I923" s="986">
        <f t="shared" si="3"/>
        <v>1.9255999999999999E-2</v>
      </c>
      <c r="J923" s="988">
        <v>37530</v>
      </c>
    </row>
    <row r="924" spans="1:10">
      <c r="A924" s="987">
        <v>60</v>
      </c>
      <c r="B924" s="988">
        <v>37561</v>
      </c>
      <c r="C924" s="987" t="s">
        <v>4633</v>
      </c>
      <c r="D924" s="987" t="s">
        <v>4634</v>
      </c>
      <c r="E924" s="987">
        <v>22.3</v>
      </c>
      <c r="F924" s="987">
        <v>2.7272999999999999E-2</v>
      </c>
      <c r="G924" s="987">
        <v>0.3</v>
      </c>
      <c r="H924" s="986">
        <v>4.0000000000000001E-3</v>
      </c>
      <c r="I924" s="986">
        <f t="shared" si="3"/>
        <v>2.3272999999999999E-2</v>
      </c>
      <c r="J924" s="988">
        <v>37561</v>
      </c>
    </row>
    <row r="925" spans="1:10">
      <c r="A925" s="987">
        <v>60</v>
      </c>
      <c r="B925" s="988">
        <v>37591</v>
      </c>
      <c r="C925" s="987" t="s">
        <v>4633</v>
      </c>
      <c r="D925" s="987" t="s">
        <v>4634</v>
      </c>
      <c r="E925" s="987">
        <v>23.32</v>
      </c>
      <c r="F925" s="987">
        <v>4.5740000000000003E-2</v>
      </c>
      <c r="G925" s="987">
        <v>0</v>
      </c>
      <c r="H925" s="986">
        <v>4.4999999999999997E-3</v>
      </c>
      <c r="I925" s="986">
        <f t="shared" si="3"/>
        <v>4.1240000000000006E-2</v>
      </c>
      <c r="J925" s="988">
        <v>37591</v>
      </c>
    </row>
    <row r="926" spans="1:10">
      <c r="A926" s="987">
        <v>60</v>
      </c>
      <c r="B926" s="988">
        <v>37622</v>
      </c>
      <c r="C926" s="987" t="s">
        <v>4633</v>
      </c>
      <c r="D926" s="987" t="s">
        <v>4634</v>
      </c>
      <c r="E926" s="987">
        <v>22.4</v>
      </c>
      <c r="F926" s="987">
        <v>-3.9451E-2</v>
      </c>
      <c r="G926" s="987">
        <v>0</v>
      </c>
      <c r="H926" s="986">
        <v>4.1000000000000003E-3</v>
      </c>
      <c r="I926" s="986">
        <f t="shared" si="3"/>
        <v>-4.3550999999999999E-2</v>
      </c>
      <c r="J926" s="988">
        <v>37622</v>
      </c>
    </row>
    <row r="927" spans="1:10">
      <c r="A927" s="987">
        <v>60</v>
      </c>
      <c r="B927" s="988">
        <v>37653</v>
      </c>
      <c r="C927" s="987" t="s">
        <v>4633</v>
      </c>
      <c r="D927" s="987" t="s">
        <v>4634</v>
      </c>
      <c r="E927" s="987">
        <v>21.28</v>
      </c>
      <c r="F927" s="987">
        <v>-3.6607000000000001E-2</v>
      </c>
      <c r="G927" s="987">
        <v>0.3</v>
      </c>
      <c r="H927" s="986">
        <v>3.8E-3</v>
      </c>
      <c r="I927" s="986">
        <f t="shared" si="3"/>
        <v>-4.0406999999999998E-2</v>
      </c>
      <c r="J927" s="988">
        <v>37653</v>
      </c>
    </row>
    <row r="928" spans="1:10">
      <c r="A928" s="987">
        <v>60</v>
      </c>
      <c r="B928" s="988">
        <v>37681</v>
      </c>
      <c r="C928" s="987" t="s">
        <v>4633</v>
      </c>
      <c r="D928" s="987" t="s">
        <v>4634</v>
      </c>
      <c r="E928" s="987">
        <v>21.26</v>
      </c>
      <c r="F928" s="987">
        <v>-9.3999999999999997E-4</v>
      </c>
      <c r="G928" s="987">
        <v>0</v>
      </c>
      <c r="H928" s="986">
        <v>4.0000000000000001E-3</v>
      </c>
      <c r="I928" s="986">
        <f t="shared" si="3"/>
        <v>-4.9399999999999999E-3</v>
      </c>
      <c r="J928" s="988">
        <v>37681</v>
      </c>
    </row>
    <row r="929" spans="1:10">
      <c r="A929" s="987">
        <v>60</v>
      </c>
      <c r="B929" s="988">
        <v>37712</v>
      </c>
      <c r="C929" s="987" t="s">
        <v>4633</v>
      </c>
      <c r="D929" s="987" t="s">
        <v>4634</v>
      </c>
      <c r="E929" s="987">
        <v>22.78</v>
      </c>
      <c r="F929" s="987">
        <v>7.1496000000000004E-2</v>
      </c>
      <c r="G929" s="987">
        <v>0</v>
      </c>
      <c r="H929" s="986">
        <v>4.0000000000000001E-3</v>
      </c>
      <c r="I929" s="986">
        <f t="shared" si="3"/>
        <v>6.7496E-2</v>
      </c>
      <c r="J929" s="988">
        <v>37712</v>
      </c>
    </row>
    <row r="930" spans="1:10">
      <c r="A930" s="987">
        <v>60</v>
      </c>
      <c r="B930" s="988">
        <v>37742</v>
      </c>
      <c r="C930" s="987" t="s">
        <v>4633</v>
      </c>
      <c r="D930" s="987" t="s">
        <v>4634</v>
      </c>
      <c r="E930" s="987">
        <v>24.75</v>
      </c>
      <c r="F930" s="987">
        <v>9.9649000000000001E-2</v>
      </c>
      <c r="G930" s="987">
        <v>0.3</v>
      </c>
      <c r="H930" s="986">
        <v>3.8999999999999998E-3</v>
      </c>
      <c r="I930" s="986">
        <f t="shared" si="3"/>
        <v>9.5749000000000001E-2</v>
      </c>
      <c r="J930" s="988">
        <v>37742</v>
      </c>
    </row>
    <row r="931" spans="1:10">
      <c r="A931" s="987">
        <v>60</v>
      </c>
      <c r="B931" s="988">
        <v>37773</v>
      </c>
      <c r="C931" s="987" t="s">
        <v>4633</v>
      </c>
      <c r="D931" s="987" t="s">
        <v>4634</v>
      </c>
      <c r="E931" s="987">
        <v>24.8</v>
      </c>
      <c r="F931" s="987">
        <v>2.0200000000000001E-3</v>
      </c>
      <c r="G931" s="987">
        <v>0</v>
      </c>
      <c r="H931" s="986">
        <v>3.5999999999999999E-3</v>
      </c>
      <c r="I931" s="986">
        <f t="shared" si="3"/>
        <v>-1.5799999999999998E-3</v>
      </c>
      <c r="J931" s="988">
        <v>37773</v>
      </c>
    </row>
    <row r="932" spans="1:10">
      <c r="A932" s="987">
        <v>60</v>
      </c>
      <c r="B932" s="988">
        <v>37803</v>
      </c>
      <c r="C932" s="987" t="s">
        <v>4633</v>
      </c>
      <c r="D932" s="987" t="s">
        <v>4634</v>
      </c>
      <c r="E932" s="987">
        <v>24.37</v>
      </c>
      <c r="F932" s="987">
        <v>-1.7339E-2</v>
      </c>
      <c r="G932" s="987">
        <v>0</v>
      </c>
      <c r="H932" s="986">
        <v>3.8E-3</v>
      </c>
      <c r="I932" s="986">
        <f t="shared" si="3"/>
        <v>-2.1139000000000002E-2</v>
      </c>
      <c r="J932" s="988">
        <v>37803</v>
      </c>
    </row>
    <row r="933" spans="1:10">
      <c r="A933" s="987">
        <v>60</v>
      </c>
      <c r="B933" s="988">
        <v>37834</v>
      </c>
      <c r="C933" s="987" t="s">
        <v>4633</v>
      </c>
      <c r="D933" s="987" t="s">
        <v>4634</v>
      </c>
      <c r="E933" s="987">
        <v>24.35</v>
      </c>
      <c r="F933" s="987">
        <v>1.149E-2</v>
      </c>
      <c r="G933" s="987">
        <v>0.3</v>
      </c>
      <c r="H933" s="986">
        <v>4.1999999999999997E-3</v>
      </c>
      <c r="I933" s="986">
        <f t="shared" si="3"/>
        <v>7.2900000000000005E-3</v>
      </c>
      <c r="J933" s="988">
        <v>37834</v>
      </c>
    </row>
    <row r="934" spans="1:10">
      <c r="A934" s="987">
        <v>60</v>
      </c>
      <c r="B934" s="988">
        <v>37865</v>
      </c>
      <c r="C934" s="987" t="s">
        <v>4633</v>
      </c>
      <c r="D934" s="987" t="s">
        <v>4634</v>
      </c>
      <c r="E934" s="987">
        <v>23.94</v>
      </c>
      <c r="F934" s="987">
        <v>-1.6837999999999999E-2</v>
      </c>
      <c r="G934" s="987">
        <v>0</v>
      </c>
      <c r="H934" s="986">
        <v>4.5999999999999999E-3</v>
      </c>
      <c r="I934" s="986">
        <f t="shared" si="3"/>
        <v>-2.1437999999999999E-2</v>
      </c>
      <c r="J934" s="988">
        <v>37865</v>
      </c>
    </row>
    <row r="935" spans="1:10">
      <c r="A935" s="987">
        <v>60</v>
      </c>
      <c r="B935" s="988">
        <v>37895</v>
      </c>
      <c r="C935" s="987" t="s">
        <v>4633</v>
      </c>
      <c r="D935" s="987" t="s">
        <v>4634</v>
      </c>
      <c r="E935" s="987">
        <v>24.5</v>
      </c>
      <c r="F935" s="987">
        <v>2.3392E-2</v>
      </c>
      <c r="G935" s="987">
        <v>0</v>
      </c>
      <c r="H935" s="986">
        <v>4.1000000000000003E-3</v>
      </c>
      <c r="I935" s="986">
        <f t="shared" si="3"/>
        <v>1.9292E-2</v>
      </c>
      <c r="J935" s="988">
        <v>37895</v>
      </c>
    </row>
    <row r="936" spans="1:10">
      <c r="A936" s="987">
        <v>60</v>
      </c>
      <c r="B936" s="988">
        <v>37926</v>
      </c>
      <c r="C936" s="987" t="s">
        <v>4633</v>
      </c>
      <c r="D936" s="987" t="s">
        <v>4634</v>
      </c>
      <c r="E936" s="987">
        <v>24.65</v>
      </c>
      <c r="F936" s="987">
        <v>1.8571000000000001E-2</v>
      </c>
      <c r="G936" s="987">
        <v>0.30499999999999999</v>
      </c>
      <c r="H936" s="986">
        <v>3.8999999999999998E-3</v>
      </c>
      <c r="I936" s="986">
        <f t="shared" si="3"/>
        <v>1.4671E-2</v>
      </c>
      <c r="J936" s="988">
        <v>37926</v>
      </c>
    </row>
    <row r="937" spans="1:10">
      <c r="A937" s="987">
        <v>60</v>
      </c>
      <c r="B937" s="988">
        <v>37956</v>
      </c>
      <c r="C937" s="987" t="s">
        <v>4633</v>
      </c>
      <c r="D937" s="987" t="s">
        <v>4634</v>
      </c>
      <c r="E937" s="987">
        <v>24.3</v>
      </c>
      <c r="F937" s="987">
        <v>-1.4199E-2</v>
      </c>
      <c r="G937" s="987">
        <v>0</v>
      </c>
      <c r="H937" s="986">
        <v>4.7000000000000002E-3</v>
      </c>
      <c r="I937" s="986">
        <f t="shared" si="3"/>
        <v>-1.8898999999999999E-2</v>
      </c>
      <c r="J937" s="988">
        <v>37956</v>
      </c>
    </row>
    <row r="938" spans="1:10">
      <c r="A938" s="987">
        <v>60</v>
      </c>
      <c r="B938" s="988">
        <v>37987</v>
      </c>
      <c r="C938" s="987" t="s">
        <v>4633</v>
      </c>
      <c r="D938" s="987" t="s">
        <v>4634</v>
      </c>
      <c r="E938" s="987">
        <v>25.6</v>
      </c>
      <c r="F938" s="987">
        <v>5.3497999999999997E-2</v>
      </c>
      <c r="G938" s="987">
        <v>0</v>
      </c>
      <c r="H938" s="986">
        <v>4.1999999999999997E-3</v>
      </c>
      <c r="I938" s="986">
        <f t="shared" si="3"/>
        <v>4.9297999999999995E-2</v>
      </c>
      <c r="J938" s="988">
        <v>37987</v>
      </c>
    </row>
    <row r="939" spans="1:10">
      <c r="A939" s="987">
        <v>60</v>
      </c>
      <c r="B939" s="988">
        <v>38018</v>
      </c>
      <c r="C939" s="987" t="s">
        <v>4633</v>
      </c>
      <c r="D939" s="987" t="s">
        <v>4634</v>
      </c>
      <c r="E939" s="987">
        <v>26.35</v>
      </c>
      <c r="F939" s="987">
        <v>4.1210999999999998E-2</v>
      </c>
      <c r="G939" s="987">
        <v>0.30499999999999999</v>
      </c>
      <c r="H939" s="986">
        <v>3.8E-3</v>
      </c>
      <c r="I939" s="986">
        <f t="shared" si="3"/>
        <v>3.7411E-2</v>
      </c>
      <c r="J939" s="988">
        <v>38018</v>
      </c>
    </row>
    <row r="940" spans="1:10">
      <c r="A940" s="987">
        <v>60</v>
      </c>
      <c r="B940" s="988">
        <v>38047</v>
      </c>
      <c r="C940" s="987" t="s">
        <v>4633</v>
      </c>
      <c r="D940" s="987" t="s">
        <v>4634</v>
      </c>
      <c r="E940" s="987">
        <v>25.57</v>
      </c>
      <c r="F940" s="987">
        <v>-2.9602E-2</v>
      </c>
      <c r="G940" s="987">
        <v>0</v>
      </c>
      <c r="H940" s="986">
        <v>4.3E-3</v>
      </c>
      <c r="I940" s="986">
        <f t="shared" si="3"/>
        <v>-3.3902000000000002E-2</v>
      </c>
      <c r="J940" s="988">
        <v>38047</v>
      </c>
    </row>
    <row r="941" spans="1:10">
      <c r="A941" s="987">
        <v>60</v>
      </c>
      <c r="B941" s="988">
        <v>38078</v>
      </c>
      <c r="C941" s="987" t="s">
        <v>4633</v>
      </c>
      <c r="D941" s="987" t="s">
        <v>4634</v>
      </c>
      <c r="E941" s="987">
        <v>24.64</v>
      </c>
      <c r="F941" s="987">
        <v>-3.6371000000000001E-2</v>
      </c>
      <c r="G941" s="987">
        <v>0</v>
      </c>
      <c r="H941" s="986">
        <v>3.8999999999999998E-3</v>
      </c>
      <c r="I941" s="986">
        <f t="shared" si="3"/>
        <v>-4.0271000000000001E-2</v>
      </c>
      <c r="J941" s="988">
        <v>38078</v>
      </c>
    </row>
    <row r="942" spans="1:10">
      <c r="A942" s="987">
        <v>60</v>
      </c>
      <c r="B942" s="988">
        <v>38108</v>
      </c>
      <c r="C942" s="987" t="s">
        <v>4633</v>
      </c>
      <c r="D942" s="987" t="s">
        <v>4634</v>
      </c>
      <c r="E942" s="987">
        <v>24.79</v>
      </c>
      <c r="F942" s="987">
        <v>1.8466E-2</v>
      </c>
      <c r="G942" s="987">
        <v>0.30499999999999999</v>
      </c>
      <c r="H942" s="986">
        <v>4.0000000000000001E-3</v>
      </c>
      <c r="I942" s="986">
        <f t="shared" si="3"/>
        <v>1.4466E-2</v>
      </c>
      <c r="J942" s="988">
        <v>38108</v>
      </c>
    </row>
    <row r="943" spans="1:10">
      <c r="A943" s="987">
        <v>60</v>
      </c>
      <c r="B943" s="988">
        <v>38139</v>
      </c>
      <c r="C943" s="987" t="s">
        <v>4633</v>
      </c>
      <c r="D943" s="987" t="s">
        <v>4634</v>
      </c>
      <c r="E943" s="987">
        <v>25.6</v>
      </c>
      <c r="F943" s="987">
        <v>3.2674000000000002E-2</v>
      </c>
      <c r="G943" s="987">
        <v>0</v>
      </c>
      <c r="H943" s="986">
        <v>4.7999999999999996E-3</v>
      </c>
      <c r="I943" s="986">
        <f t="shared" si="3"/>
        <v>2.7874000000000003E-2</v>
      </c>
      <c r="J943" s="988">
        <v>38139</v>
      </c>
    </row>
    <row r="944" spans="1:10">
      <c r="A944" s="987">
        <v>60</v>
      </c>
      <c r="B944" s="988">
        <v>38169</v>
      </c>
      <c r="C944" s="987" t="s">
        <v>4633</v>
      </c>
      <c r="D944" s="987" t="s">
        <v>4634</v>
      </c>
      <c r="E944" s="987">
        <v>25.17</v>
      </c>
      <c r="F944" s="987">
        <v>-1.6796999999999999E-2</v>
      </c>
      <c r="G944" s="987">
        <v>0</v>
      </c>
      <c r="H944" s="986">
        <v>4.3E-3</v>
      </c>
      <c r="I944" s="986">
        <f t="shared" si="3"/>
        <v>-2.1096999999999998E-2</v>
      </c>
      <c r="J944" s="988">
        <v>38169</v>
      </c>
    </row>
    <row r="945" spans="1:10">
      <c r="A945" s="987">
        <v>60</v>
      </c>
      <c r="B945" s="988">
        <v>38200</v>
      </c>
      <c r="C945" s="987" t="s">
        <v>4633</v>
      </c>
      <c r="D945" s="987" t="s">
        <v>4634</v>
      </c>
      <c r="E945" s="987">
        <v>25.29</v>
      </c>
      <c r="F945" s="987">
        <v>1.6885000000000001E-2</v>
      </c>
      <c r="G945" s="987">
        <v>0.30499999999999999</v>
      </c>
      <c r="H945" s="986">
        <v>4.4999999999999997E-3</v>
      </c>
      <c r="I945" s="986">
        <f t="shared" si="3"/>
        <v>1.2385E-2</v>
      </c>
      <c r="J945" s="988">
        <v>38200</v>
      </c>
    </row>
    <row r="946" spans="1:10">
      <c r="A946" s="987">
        <v>60</v>
      </c>
      <c r="B946" s="988">
        <v>38231</v>
      </c>
      <c r="C946" s="987" t="s">
        <v>4633</v>
      </c>
      <c r="D946" s="987" t="s">
        <v>4634</v>
      </c>
      <c r="E946" s="987">
        <v>25.19</v>
      </c>
      <c r="F946" s="987">
        <v>-3.954E-3</v>
      </c>
      <c r="G946" s="987">
        <v>0</v>
      </c>
      <c r="H946" s="986">
        <v>4.0000000000000001E-3</v>
      </c>
      <c r="I946" s="986">
        <f t="shared" si="3"/>
        <v>-7.9539999999999993E-3</v>
      </c>
      <c r="J946" s="988">
        <v>38231</v>
      </c>
    </row>
    <row r="947" spans="1:10">
      <c r="A947" s="987">
        <v>60</v>
      </c>
      <c r="B947" s="988">
        <v>38261</v>
      </c>
      <c r="C947" s="987" t="s">
        <v>4633</v>
      </c>
      <c r="D947" s="987" t="s">
        <v>4634</v>
      </c>
      <c r="E947" s="987">
        <v>25.81</v>
      </c>
      <c r="F947" s="987">
        <v>2.4612999999999999E-2</v>
      </c>
      <c r="G947" s="987">
        <v>0</v>
      </c>
      <c r="H947" s="986">
        <v>3.8E-3</v>
      </c>
      <c r="I947" s="986">
        <f t="shared" si="3"/>
        <v>2.0812999999999998E-2</v>
      </c>
      <c r="J947" s="988">
        <v>38261</v>
      </c>
    </row>
    <row r="948" spans="1:10">
      <c r="A948" s="987">
        <v>60</v>
      </c>
      <c r="B948" s="988">
        <v>38292</v>
      </c>
      <c r="C948" s="987" t="s">
        <v>4633</v>
      </c>
      <c r="D948" s="987" t="s">
        <v>4634</v>
      </c>
      <c r="E948" s="987">
        <v>26.99</v>
      </c>
      <c r="F948" s="987">
        <v>5.7729999999999997E-2</v>
      </c>
      <c r="G948" s="987">
        <v>0.31</v>
      </c>
      <c r="H948" s="986">
        <v>4.1000000000000003E-3</v>
      </c>
      <c r="I948" s="986">
        <f t="shared" si="3"/>
        <v>5.3629999999999997E-2</v>
      </c>
      <c r="J948" s="988">
        <v>38292</v>
      </c>
    </row>
    <row r="949" spans="1:10">
      <c r="A949" s="987">
        <v>60</v>
      </c>
      <c r="B949" s="988">
        <v>38322</v>
      </c>
      <c r="C949" s="987" t="s">
        <v>4633</v>
      </c>
      <c r="D949" s="987" t="s">
        <v>4634</v>
      </c>
      <c r="E949" s="987">
        <v>27.35</v>
      </c>
      <c r="F949" s="987">
        <v>1.3337999999999999E-2</v>
      </c>
      <c r="G949" s="987">
        <v>0</v>
      </c>
      <c r="H949" s="986">
        <v>4.3E-3</v>
      </c>
      <c r="I949" s="986">
        <f t="shared" si="3"/>
        <v>9.0379999999999992E-3</v>
      </c>
      <c r="J949" s="988">
        <v>38322</v>
      </c>
    </row>
    <row r="950" spans="1:10">
      <c r="A950" s="987">
        <v>60</v>
      </c>
      <c r="B950" s="988">
        <v>38353</v>
      </c>
      <c r="C950" s="987" t="s">
        <v>4633</v>
      </c>
      <c r="D950" s="987" t="s">
        <v>4634</v>
      </c>
      <c r="E950" s="987">
        <v>27.7</v>
      </c>
      <c r="F950" s="987">
        <v>1.2796999999999999E-2</v>
      </c>
      <c r="G950" s="987">
        <v>0</v>
      </c>
      <c r="H950" s="986">
        <v>4.1000000000000003E-3</v>
      </c>
      <c r="I950" s="986">
        <f t="shared" si="3"/>
        <v>8.6969999999999999E-3</v>
      </c>
      <c r="J950" s="988">
        <v>38353</v>
      </c>
    </row>
    <row r="951" spans="1:10">
      <c r="A951" s="987">
        <v>60</v>
      </c>
      <c r="B951" s="988">
        <v>38384</v>
      </c>
      <c r="C951" s="987" t="s">
        <v>4633</v>
      </c>
      <c r="D951" s="987" t="s">
        <v>4634</v>
      </c>
      <c r="E951" s="987">
        <v>27.57</v>
      </c>
      <c r="F951" s="987">
        <v>6.4980000000000003E-3</v>
      </c>
      <c r="G951" s="987">
        <v>0.31</v>
      </c>
      <c r="H951" s="986">
        <v>3.5000000000000001E-3</v>
      </c>
      <c r="I951" s="986">
        <f t="shared" si="3"/>
        <v>2.9980000000000002E-3</v>
      </c>
      <c r="J951" s="988">
        <v>38384</v>
      </c>
    </row>
    <row r="952" spans="1:10">
      <c r="A952" s="987">
        <v>60</v>
      </c>
      <c r="B952" s="988">
        <v>38412</v>
      </c>
      <c r="C952" s="987" t="s">
        <v>4633</v>
      </c>
      <c r="D952" s="987" t="s">
        <v>4634</v>
      </c>
      <c r="E952" s="987">
        <v>27</v>
      </c>
      <c r="F952" s="987">
        <v>-2.0674999999999999E-2</v>
      </c>
      <c r="G952" s="987">
        <v>0</v>
      </c>
      <c r="H952" s="986">
        <v>4.1000000000000003E-3</v>
      </c>
      <c r="I952" s="986">
        <f t="shared" si="3"/>
        <v>-2.4774999999999998E-2</v>
      </c>
      <c r="J952" s="988">
        <v>38412</v>
      </c>
    </row>
    <row r="953" spans="1:10">
      <c r="A953" s="987">
        <v>60</v>
      </c>
      <c r="B953" s="988">
        <v>38443</v>
      </c>
      <c r="C953" s="987" t="s">
        <v>4633</v>
      </c>
      <c r="D953" s="987" t="s">
        <v>4634</v>
      </c>
      <c r="E953" s="987">
        <v>26.3</v>
      </c>
      <c r="F953" s="987">
        <v>-2.5926000000000001E-2</v>
      </c>
      <c r="G953" s="987">
        <v>0</v>
      </c>
      <c r="H953" s="986">
        <v>3.8999999999999998E-3</v>
      </c>
      <c r="I953" s="986">
        <f t="shared" si="3"/>
        <v>-2.9826000000000002E-2</v>
      </c>
      <c r="J953" s="988">
        <v>38443</v>
      </c>
    </row>
    <row r="954" spans="1:10">
      <c r="A954" s="987">
        <v>60</v>
      </c>
      <c r="B954" s="988">
        <v>38473</v>
      </c>
      <c r="C954" s="987" t="s">
        <v>4633</v>
      </c>
      <c r="D954" s="987" t="s">
        <v>4634</v>
      </c>
      <c r="E954" s="987">
        <v>28.29</v>
      </c>
      <c r="F954" s="987">
        <v>8.7453000000000003E-2</v>
      </c>
      <c r="G954" s="987">
        <v>0.31</v>
      </c>
      <c r="H954" s="986">
        <v>4.0000000000000001E-3</v>
      </c>
      <c r="I954" s="986">
        <f t="shared" ref="I954:I1017" si="4">F954-H954</f>
        <v>8.3452999999999999E-2</v>
      </c>
      <c r="J954" s="988">
        <v>38473</v>
      </c>
    </row>
    <row r="955" spans="1:10">
      <c r="A955" s="987">
        <v>60</v>
      </c>
      <c r="B955" s="988">
        <v>38504</v>
      </c>
      <c r="C955" s="987" t="s">
        <v>4633</v>
      </c>
      <c r="D955" s="987" t="s">
        <v>4634</v>
      </c>
      <c r="E955" s="987">
        <v>28.8</v>
      </c>
      <c r="F955" s="987">
        <v>1.8027999999999999E-2</v>
      </c>
      <c r="G955" s="987">
        <v>0</v>
      </c>
      <c r="H955" s="986">
        <v>3.5999999999999999E-3</v>
      </c>
      <c r="I955" s="986">
        <f t="shared" si="4"/>
        <v>1.4428E-2</v>
      </c>
      <c r="J955" s="988">
        <v>38504</v>
      </c>
    </row>
    <row r="956" spans="1:10">
      <c r="A956" s="987">
        <v>60</v>
      </c>
      <c r="B956" s="988">
        <v>38534</v>
      </c>
      <c r="C956" s="987" t="s">
        <v>4633</v>
      </c>
      <c r="D956" s="987" t="s">
        <v>4634</v>
      </c>
      <c r="E956" s="987">
        <v>29.16</v>
      </c>
      <c r="F956" s="987">
        <v>1.2500000000000001E-2</v>
      </c>
      <c r="G956" s="987">
        <v>0</v>
      </c>
      <c r="H956" s="986">
        <v>3.3999999999999998E-3</v>
      </c>
      <c r="I956" s="986">
        <f t="shared" si="4"/>
        <v>9.1000000000000004E-3</v>
      </c>
      <c r="J956" s="988">
        <v>38534</v>
      </c>
    </row>
    <row r="957" spans="1:10">
      <c r="A957" s="987">
        <v>60</v>
      </c>
      <c r="B957" s="988">
        <v>38565</v>
      </c>
      <c r="C957" s="987" t="s">
        <v>4633</v>
      </c>
      <c r="D957" s="987" t="s">
        <v>4634</v>
      </c>
      <c r="E957" s="987">
        <v>29.59</v>
      </c>
      <c r="F957" s="987">
        <v>2.5377E-2</v>
      </c>
      <c r="G957" s="987">
        <v>0.31</v>
      </c>
      <c r="H957" s="986">
        <v>4.0000000000000001E-3</v>
      </c>
      <c r="I957" s="986">
        <f t="shared" si="4"/>
        <v>2.1377E-2</v>
      </c>
      <c r="J957" s="988">
        <v>38565</v>
      </c>
    </row>
    <row r="958" spans="1:10">
      <c r="A958" s="987">
        <v>60</v>
      </c>
      <c r="B958" s="988">
        <v>38596</v>
      </c>
      <c r="C958" s="987" t="s">
        <v>4633</v>
      </c>
      <c r="D958" s="987" t="s">
        <v>4634</v>
      </c>
      <c r="E958" s="987">
        <v>28.25</v>
      </c>
      <c r="F958" s="987">
        <v>-4.5286E-2</v>
      </c>
      <c r="G958" s="987">
        <v>0</v>
      </c>
      <c r="H958" s="986">
        <v>3.5000000000000001E-3</v>
      </c>
      <c r="I958" s="986">
        <f t="shared" si="4"/>
        <v>-4.8786000000000003E-2</v>
      </c>
      <c r="J958" s="988">
        <v>38596</v>
      </c>
    </row>
    <row r="959" spans="1:10">
      <c r="A959" s="987">
        <v>60</v>
      </c>
      <c r="B959" s="988">
        <v>38626</v>
      </c>
      <c r="C959" s="987" t="s">
        <v>4633</v>
      </c>
      <c r="D959" s="987" t="s">
        <v>4634</v>
      </c>
      <c r="E959" s="987">
        <v>26.3</v>
      </c>
      <c r="F959" s="987">
        <v>-6.9027000000000005E-2</v>
      </c>
      <c r="G959" s="987">
        <v>0</v>
      </c>
      <c r="H959" s="986">
        <v>3.8999999999999998E-3</v>
      </c>
      <c r="I959" s="986">
        <f t="shared" si="4"/>
        <v>-7.2927000000000006E-2</v>
      </c>
      <c r="J959" s="988">
        <v>38626</v>
      </c>
    </row>
    <row r="960" spans="1:10">
      <c r="A960" s="987">
        <v>60</v>
      </c>
      <c r="B960" s="988">
        <v>38657</v>
      </c>
      <c r="C960" s="987" t="s">
        <v>4633</v>
      </c>
      <c r="D960" s="987" t="s">
        <v>4634</v>
      </c>
      <c r="E960" s="987">
        <v>26.57</v>
      </c>
      <c r="F960" s="987">
        <v>2.2242999999999999E-2</v>
      </c>
      <c r="G960" s="987">
        <v>0.315</v>
      </c>
      <c r="H960" s="986">
        <v>3.8999999999999998E-3</v>
      </c>
      <c r="I960" s="986">
        <f t="shared" si="4"/>
        <v>1.8342999999999998E-2</v>
      </c>
      <c r="J960" s="988">
        <v>38657</v>
      </c>
    </row>
    <row r="961" spans="1:10">
      <c r="A961" s="987">
        <v>60</v>
      </c>
      <c r="B961" s="988">
        <v>38687</v>
      </c>
      <c r="C961" s="987" t="s">
        <v>4633</v>
      </c>
      <c r="D961" s="987" t="s">
        <v>4634</v>
      </c>
      <c r="E961" s="987">
        <v>26.16</v>
      </c>
      <c r="F961" s="987">
        <v>-1.5431E-2</v>
      </c>
      <c r="G961" s="987">
        <v>0</v>
      </c>
      <c r="H961" s="986">
        <v>3.8999999999999998E-3</v>
      </c>
      <c r="I961" s="986">
        <f t="shared" si="4"/>
        <v>-1.9331000000000001E-2</v>
      </c>
      <c r="J961" s="988">
        <v>38687</v>
      </c>
    </row>
    <row r="962" spans="1:10">
      <c r="A962" s="987">
        <v>60</v>
      </c>
      <c r="B962" s="988">
        <v>38718</v>
      </c>
      <c r="C962" s="987" t="s">
        <v>4633</v>
      </c>
      <c r="D962" s="987" t="s">
        <v>4634</v>
      </c>
      <c r="E962" s="987">
        <v>26.28</v>
      </c>
      <c r="F962" s="987">
        <v>4.5869999999999999E-3</v>
      </c>
      <c r="G962" s="987">
        <v>0</v>
      </c>
      <c r="H962" s="986">
        <v>4.0000000000000001E-3</v>
      </c>
      <c r="I962" s="986">
        <f t="shared" si="4"/>
        <v>5.8699999999999985E-4</v>
      </c>
      <c r="J962" s="988">
        <v>38718</v>
      </c>
    </row>
    <row r="963" spans="1:10">
      <c r="A963" s="987">
        <v>60</v>
      </c>
      <c r="B963" s="988">
        <v>38749</v>
      </c>
      <c r="C963" s="987" t="s">
        <v>4633</v>
      </c>
      <c r="D963" s="987" t="s">
        <v>4634</v>
      </c>
      <c r="E963" s="987">
        <v>26.4</v>
      </c>
      <c r="F963" s="987">
        <v>1.6552000000000001E-2</v>
      </c>
      <c r="G963" s="987">
        <v>0.315</v>
      </c>
      <c r="H963" s="986">
        <v>3.5999999999999999E-3</v>
      </c>
      <c r="I963" s="986">
        <f t="shared" si="4"/>
        <v>1.2952000000000002E-2</v>
      </c>
      <c r="J963" s="988">
        <v>38749</v>
      </c>
    </row>
    <row r="964" spans="1:10">
      <c r="A964" s="987">
        <v>60</v>
      </c>
      <c r="B964" s="988">
        <v>38777</v>
      </c>
      <c r="C964" s="987" t="s">
        <v>4633</v>
      </c>
      <c r="D964" s="987" t="s">
        <v>4634</v>
      </c>
      <c r="E964" s="987">
        <v>26.33</v>
      </c>
      <c r="F964" s="987">
        <v>-2.6519999999999998E-3</v>
      </c>
      <c r="G964" s="987">
        <v>0</v>
      </c>
      <c r="H964" s="986">
        <v>3.8999999999999998E-3</v>
      </c>
      <c r="I964" s="986">
        <f t="shared" si="4"/>
        <v>-6.5519999999999997E-3</v>
      </c>
      <c r="J964" s="988">
        <v>38777</v>
      </c>
    </row>
    <row r="965" spans="1:10">
      <c r="A965" s="987">
        <v>60</v>
      </c>
      <c r="B965" s="988">
        <v>38808</v>
      </c>
      <c r="C965" s="987" t="s">
        <v>4633</v>
      </c>
      <c r="D965" s="987" t="s">
        <v>4634</v>
      </c>
      <c r="E965" s="987">
        <v>26.54</v>
      </c>
      <c r="F965" s="987">
        <v>7.9760000000000005E-3</v>
      </c>
      <c r="G965" s="987">
        <v>0</v>
      </c>
      <c r="H965" s="986">
        <v>3.8999999999999998E-3</v>
      </c>
      <c r="I965" s="986">
        <f t="shared" si="4"/>
        <v>4.0760000000000006E-3</v>
      </c>
      <c r="J965" s="988">
        <v>38808</v>
      </c>
    </row>
    <row r="966" spans="1:10">
      <c r="A966" s="987">
        <v>60</v>
      </c>
      <c r="B966" s="988">
        <v>38838</v>
      </c>
      <c r="C966" s="987" t="s">
        <v>4633</v>
      </c>
      <c r="D966" s="987" t="s">
        <v>4634</v>
      </c>
      <c r="E966" s="987">
        <v>26.84</v>
      </c>
      <c r="F966" s="987">
        <v>2.3172999999999999E-2</v>
      </c>
      <c r="G966" s="987">
        <v>0.315</v>
      </c>
      <c r="H966" s="986">
        <v>4.7999999999999996E-3</v>
      </c>
      <c r="I966" s="986">
        <f t="shared" si="4"/>
        <v>1.8373E-2</v>
      </c>
      <c r="J966" s="988">
        <v>38838</v>
      </c>
    </row>
    <row r="967" spans="1:10">
      <c r="A967" s="987">
        <v>60</v>
      </c>
      <c r="B967" s="988">
        <v>38869</v>
      </c>
      <c r="C967" s="987" t="s">
        <v>4633</v>
      </c>
      <c r="D967" s="987" t="s">
        <v>4634</v>
      </c>
      <c r="E967" s="987">
        <v>27.91</v>
      </c>
      <c r="F967" s="987">
        <v>3.9865999999999999E-2</v>
      </c>
      <c r="G967" s="987">
        <v>0</v>
      </c>
      <c r="H967" s="986">
        <v>4.4000000000000003E-3</v>
      </c>
      <c r="I967" s="986">
        <f t="shared" si="4"/>
        <v>3.5465999999999998E-2</v>
      </c>
      <c r="J967" s="988">
        <v>38869</v>
      </c>
    </row>
    <row r="968" spans="1:10">
      <c r="A968" s="987">
        <v>60</v>
      </c>
      <c r="B968" s="988">
        <v>38899</v>
      </c>
      <c r="C968" s="987" t="s">
        <v>4633</v>
      </c>
      <c r="D968" s="987" t="s">
        <v>4634</v>
      </c>
      <c r="E968" s="987">
        <v>28.77</v>
      </c>
      <c r="F968" s="987">
        <v>3.0813E-2</v>
      </c>
      <c r="G968" s="987">
        <v>0</v>
      </c>
      <c r="H968" s="986">
        <v>4.4999999999999997E-3</v>
      </c>
      <c r="I968" s="986">
        <f t="shared" si="4"/>
        <v>2.6313E-2</v>
      </c>
      <c r="J968" s="988">
        <v>38899</v>
      </c>
    </row>
    <row r="969" spans="1:10">
      <c r="A969" s="987">
        <v>60</v>
      </c>
      <c r="B969" s="988">
        <v>38930</v>
      </c>
      <c r="C969" s="987" t="s">
        <v>4633</v>
      </c>
      <c r="D969" s="987" t="s">
        <v>4634</v>
      </c>
      <c r="E969" s="987">
        <v>28.8</v>
      </c>
      <c r="F969" s="987">
        <v>1.1991999999999999E-2</v>
      </c>
      <c r="G969" s="987">
        <v>0.315</v>
      </c>
      <c r="H969" s="986">
        <v>4.3E-3</v>
      </c>
      <c r="I969" s="986">
        <f t="shared" si="4"/>
        <v>7.6919999999999992E-3</v>
      </c>
      <c r="J969" s="988">
        <v>38930</v>
      </c>
    </row>
    <row r="970" spans="1:10">
      <c r="A970" s="987">
        <v>60</v>
      </c>
      <c r="B970" s="988">
        <v>38961</v>
      </c>
      <c r="C970" s="987" t="s">
        <v>4633</v>
      </c>
      <c r="D970" s="987" t="s">
        <v>4634</v>
      </c>
      <c r="E970" s="987">
        <v>28.55</v>
      </c>
      <c r="F970" s="987">
        <v>-8.6809999999999995E-3</v>
      </c>
      <c r="G970" s="987">
        <v>0</v>
      </c>
      <c r="H970" s="986">
        <v>3.8999999999999998E-3</v>
      </c>
      <c r="I970" s="986">
        <f t="shared" si="4"/>
        <v>-1.2580999999999998E-2</v>
      </c>
      <c r="J970" s="988">
        <v>38961</v>
      </c>
    </row>
    <row r="971" spans="1:10">
      <c r="A971" s="987">
        <v>60</v>
      </c>
      <c r="B971" s="988">
        <v>38991</v>
      </c>
      <c r="C971" s="987" t="s">
        <v>4633</v>
      </c>
      <c r="D971" s="987" t="s">
        <v>4634</v>
      </c>
      <c r="E971" s="987">
        <v>30.73</v>
      </c>
      <c r="F971" s="987">
        <v>7.6356999999999994E-2</v>
      </c>
      <c r="G971" s="987">
        <v>0</v>
      </c>
      <c r="H971" s="986">
        <v>4.1999999999999997E-3</v>
      </c>
      <c r="I971" s="986">
        <f t="shared" si="4"/>
        <v>7.2156999999999999E-2</v>
      </c>
      <c r="J971" s="988">
        <v>38991</v>
      </c>
    </row>
    <row r="972" spans="1:10">
      <c r="A972" s="987">
        <v>60</v>
      </c>
      <c r="B972" s="988">
        <v>39022</v>
      </c>
      <c r="C972" s="987" t="s">
        <v>4633</v>
      </c>
      <c r="D972" s="987" t="s">
        <v>4634</v>
      </c>
      <c r="E972" s="987">
        <v>32.770000000000003</v>
      </c>
      <c r="F972" s="987">
        <v>7.6798000000000005E-2</v>
      </c>
      <c r="G972" s="987">
        <v>0.32</v>
      </c>
      <c r="H972" s="986">
        <v>3.8999999999999998E-3</v>
      </c>
      <c r="I972" s="986">
        <f t="shared" si="4"/>
        <v>7.2898000000000004E-2</v>
      </c>
      <c r="J972" s="988">
        <v>39022</v>
      </c>
    </row>
    <row r="973" spans="1:10">
      <c r="A973" s="987">
        <v>60</v>
      </c>
      <c r="B973" s="988">
        <v>39052</v>
      </c>
      <c r="C973" s="987" t="s">
        <v>4633</v>
      </c>
      <c r="D973" s="987" t="s">
        <v>4634</v>
      </c>
      <c r="E973" s="987">
        <v>31.91</v>
      </c>
      <c r="F973" s="987">
        <v>-2.6244E-2</v>
      </c>
      <c r="G973" s="987">
        <v>0</v>
      </c>
      <c r="H973" s="986">
        <v>3.5999999999999999E-3</v>
      </c>
      <c r="I973" s="986">
        <f t="shared" si="4"/>
        <v>-2.9843999999999999E-2</v>
      </c>
      <c r="J973" s="988">
        <v>39052</v>
      </c>
    </row>
    <row r="974" spans="1:10">
      <c r="A974" s="987">
        <v>60</v>
      </c>
      <c r="B974" s="988">
        <v>39083</v>
      </c>
      <c r="C974" s="987" t="s">
        <v>4633</v>
      </c>
      <c r="D974" s="987" t="s">
        <v>4634</v>
      </c>
      <c r="E974" s="987">
        <v>31.24</v>
      </c>
      <c r="F974" s="987">
        <v>-2.0996999999999998E-2</v>
      </c>
      <c r="G974" s="987">
        <v>0</v>
      </c>
      <c r="H974" s="986">
        <v>4.3E-3</v>
      </c>
      <c r="I974" s="986">
        <f t="shared" si="4"/>
        <v>-2.5297E-2</v>
      </c>
      <c r="J974" s="988">
        <v>39083</v>
      </c>
    </row>
    <row r="975" spans="1:10">
      <c r="A975" s="987">
        <v>60</v>
      </c>
      <c r="B975" s="988">
        <v>39114</v>
      </c>
      <c r="C975" s="987" t="s">
        <v>4633</v>
      </c>
      <c r="D975" s="987" t="s">
        <v>4634</v>
      </c>
      <c r="E975" s="987">
        <v>31.46</v>
      </c>
      <c r="F975" s="987">
        <v>1.7285999999999999E-2</v>
      </c>
      <c r="G975" s="987">
        <v>0.32</v>
      </c>
      <c r="H975" s="986">
        <v>3.8E-3</v>
      </c>
      <c r="I975" s="986">
        <f t="shared" si="4"/>
        <v>1.3486E-2</v>
      </c>
      <c r="J975" s="988">
        <v>39114</v>
      </c>
    </row>
    <row r="976" spans="1:10">
      <c r="A976" s="987">
        <v>60</v>
      </c>
      <c r="B976" s="988">
        <v>39142</v>
      </c>
      <c r="C976" s="987" t="s">
        <v>4633</v>
      </c>
      <c r="D976" s="987" t="s">
        <v>4634</v>
      </c>
      <c r="E976" s="987">
        <v>31.28</v>
      </c>
      <c r="F976" s="987">
        <v>-5.7219999999999997E-3</v>
      </c>
      <c r="G976" s="987">
        <v>0</v>
      </c>
      <c r="H976" s="986">
        <v>3.8999999999999998E-3</v>
      </c>
      <c r="I976" s="986">
        <f t="shared" si="4"/>
        <v>-9.6219999999999986E-3</v>
      </c>
      <c r="J976" s="988">
        <v>39142</v>
      </c>
    </row>
    <row r="977" spans="1:10">
      <c r="A977" s="987">
        <v>60</v>
      </c>
      <c r="B977" s="988">
        <v>39173</v>
      </c>
      <c r="C977" s="987" t="s">
        <v>4633</v>
      </c>
      <c r="D977" s="987" t="s">
        <v>4634</v>
      </c>
      <c r="E977" s="987">
        <v>31.72</v>
      </c>
      <c r="F977" s="987">
        <v>1.4066E-2</v>
      </c>
      <c r="G977" s="987">
        <v>0</v>
      </c>
      <c r="H977" s="986">
        <v>4.1999999999999997E-3</v>
      </c>
      <c r="I977" s="986">
        <f t="shared" si="4"/>
        <v>9.8659999999999998E-3</v>
      </c>
      <c r="J977" s="988">
        <v>39173</v>
      </c>
    </row>
    <row r="978" spans="1:10">
      <c r="A978" s="987">
        <v>60</v>
      </c>
      <c r="B978" s="988">
        <v>39203</v>
      </c>
      <c r="C978" s="987" t="s">
        <v>4633</v>
      </c>
      <c r="D978" s="987" t="s">
        <v>4634</v>
      </c>
      <c r="E978" s="987">
        <v>32.39</v>
      </c>
      <c r="F978" s="987">
        <v>3.1210999999999999E-2</v>
      </c>
      <c r="G978" s="987">
        <v>0.32</v>
      </c>
      <c r="H978" s="986">
        <v>4.1000000000000003E-3</v>
      </c>
      <c r="I978" s="986">
        <f t="shared" si="4"/>
        <v>2.7111E-2</v>
      </c>
      <c r="J978" s="988">
        <v>39203</v>
      </c>
    </row>
    <row r="979" spans="1:10">
      <c r="A979" s="987">
        <v>60</v>
      </c>
      <c r="B979" s="988">
        <v>39234</v>
      </c>
      <c r="C979" s="987" t="s">
        <v>4633</v>
      </c>
      <c r="D979" s="987" t="s">
        <v>4634</v>
      </c>
      <c r="E979" s="987">
        <v>30.06</v>
      </c>
      <c r="F979" s="987">
        <v>-7.1936E-2</v>
      </c>
      <c r="G979" s="987">
        <v>0</v>
      </c>
      <c r="H979" s="986">
        <v>4.0000000000000001E-3</v>
      </c>
      <c r="I979" s="986">
        <f t="shared" si="4"/>
        <v>-7.5936000000000003E-2</v>
      </c>
      <c r="J979" s="988">
        <v>39234</v>
      </c>
    </row>
    <row r="980" spans="1:10">
      <c r="A980" s="987">
        <v>60</v>
      </c>
      <c r="B980" s="988">
        <v>39264</v>
      </c>
      <c r="C980" s="987" t="s">
        <v>4633</v>
      </c>
      <c r="D980" s="987" t="s">
        <v>4634</v>
      </c>
      <c r="E980" s="987">
        <v>28.07</v>
      </c>
      <c r="F980" s="987">
        <v>-6.6200999999999996E-2</v>
      </c>
      <c r="G980" s="987">
        <v>0</v>
      </c>
      <c r="H980" s="986">
        <v>4.5999999999999999E-3</v>
      </c>
      <c r="I980" s="986">
        <f t="shared" si="4"/>
        <v>-7.0801000000000003E-2</v>
      </c>
      <c r="J980" s="988">
        <v>39264</v>
      </c>
    </row>
    <row r="981" spans="1:10">
      <c r="A981" s="987">
        <v>60</v>
      </c>
      <c r="B981" s="988">
        <v>39295</v>
      </c>
      <c r="C981" s="987" t="s">
        <v>4633</v>
      </c>
      <c r="D981" s="987" t="s">
        <v>4634</v>
      </c>
      <c r="E981" s="987">
        <v>28.11</v>
      </c>
      <c r="F981" s="987">
        <v>1.2825E-2</v>
      </c>
      <c r="G981" s="987">
        <v>0.32</v>
      </c>
      <c r="H981" s="986">
        <v>4.1999999999999997E-3</v>
      </c>
      <c r="I981" s="986">
        <f t="shared" si="4"/>
        <v>8.6250000000000007E-3</v>
      </c>
      <c r="J981" s="988">
        <v>39295</v>
      </c>
    </row>
    <row r="982" spans="1:10">
      <c r="A982" s="987">
        <v>60</v>
      </c>
      <c r="B982" s="988">
        <v>39326</v>
      </c>
      <c r="C982" s="987" t="s">
        <v>4633</v>
      </c>
      <c r="D982" s="987" t="s">
        <v>4634</v>
      </c>
      <c r="E982" s="987">
        <v>28.32</v>
      </c>
      <c r="F982" s="987">
        <v>7.4710000000000002E-3</v>
      </c>
      <c r="G982" s="987">
        <v>0</v>
      </c>
      <c r="H982" s="986">
        <v>3.7000000000000002E-3</v>
      </c>
      <c r="I982" s="986">
        <f t="shared" si="4"/>
        <v>3.771E-3</v>
      </c>
      <c r="J982" s="988">
        <v>39326</v>
      </c>
    </row>
    <row r="983" spans="1:10">
      <c r="A983" s="987">
        <v>60</v>
      </c>
      <c r="B983" s="988">
        <v>39356</v>
      </c>
      <c r="C983" s="987" t="s">
        <v>4633</v>
      </c>
      <c r="D983" s="987" t="s">
        <v>4634</v>
      </c>
      <c r="E983" s="987">
        <v>28.05</v>
      </c>
      <c r="F983" s="987">
        <v>-9.5340000000000008E-3</v>
      </c>
      <c r="G983" s="987">
        <v>0</v>
      </c>
      <c r="H983" s="986">
        <v>4.3E-3</v>
      </c>
      <c r="I983" s="986">
        <f t="shared" si="4"/>
        <v>-1.3834000000000001E-2</v>
      </c>
      <c r="J983" s="988">
        <v>39356</v>
      </c>
    </row>
    <row r="984" spans="1:10">
      <c r="A984" s="987">
        <v>60</v>
      </c>
      <c r="B984" s="988">
        <v>39387</v>
      </c>
      <c r="C984" s="987" t="s">
        <v>4633</v>
      </c>
      <c r="D984" s="987" t="s">
        <v>4634</v>
      </c>
      <c r="E984" s="987">
        <v>26.19</v>
      </c>
      <c r="F984" s="987">
        <v>-5.4724000000000002E-2</v>
      </c>
      <c r="G984" s="987">
        <v>0.32500000000000001</v>
      </c>
      <c r="H984" s="986">
        <v>3.8999999999999998E-3</v>
      </c>
      <c r="I984" s="986">
        <f t="shared" si="4"/>
        <v>-5.8624000000000002E-2</v>
      </c>
      <c r="J984" s="988">
        <v>39387</v>
      </c>
    </row>
    <row r="985" spans="1:10">
      <c r="A985" s="987">
        <v>60</v>
      </c>
      <c r="B985" s="988">
        <v>39417</v>
      </c>
      <c r="C985" s="987" t="s">
        <v>4633</v>
      </c>
      <c r="D985" s="987" t="s">
        <v>4634</v>
      </c>
      <c r="E985" s="987">
        <v>28.04</v>
      </c>
      <c r="F985" s="987">
        <v>7.0638000000000006E-2</v>
      </c>
      <c r="G985" s="987">
        <v>0</v>
      </c>
      <c r="H985" s="986">
        <v>3.7000000000000002E-3</v>
      </c>
      <c r="I985" s="986">
        <f t="shared" si="4"/>
        <v>6.6938000000000011E-2</v>
      </c>
      <c r="J985" s="988">
        <v>39417</v>
      </c>
    </row>
    <row r="986" spans="1:10">
      <c r="A986" s="987">
        <v>60</v>
      </c>
      <c r="B986" s="988">
        <v>39448</v>
      </c>
      <c r="C986" s="987" t="s">
        <v>4633</v>
      </c>
      <c r="D986" s="987" t="s">
        <v>4634</v>
      </c>
      <c r="E986" s="987">
        <v>28.74</v>
      </c>
      <c r="F986" s="987">
        <v>2.4964E-2</v>
      </c>
      <c r="G986" s="987">
        <v>0</v>
      </c>
      <c r="H986" s="986">
        <v>4.0000000000000001E-3</v>
      </c>
      <c r="I986" s="986">
        <f t="shared" si="4"/>
        <v>2.0964E-2</v>
      </c>
      <c r="J986" s="988">
        <v>39448</v>
      </c>
    </row>
    <row r="987" spans="1:10">
      <c r="A987" s="987">
        <v>60</v>
      </c>
      <c r="B987" s="988">
        <v>39479</v>
      </c>
      <c r="C987" s="987" t="s">
        <v>4633</v>
      </c>
      <c r="D987" s="987" t="s">
        <v>4634</v>
      </c>
      <c r="E987" s="987">
        <v>26</v>
      </c>
      <c r="F987" s="987">
        <v>-8.4029000000000006E-2</v>
      </c>
      <c r="G987" s="987">
        <v>0.32500000000000001</v>
      </c>
      <c r="H987" s="986">
        <v>3.3999999999999998E-3</v>
      </c>
      <c r="I987" s="986">
        <f t="shared" si="4"/>
        <v>-8.7429000000000007E-2</v>
      </c>
      <c r="J987" s="988">
        <v>39479</v>
      </c>
    </row>
    <row r="988" spans="1:10">
      <c r="A988" s="987">
        <v>60</v>
      </c>
      <c r="B988" s="988">
        <v>39508</v>
      </c>
      <c r="C988" s="987" t="s">
        <v>4633</v>
      </c>
      <c r="D988" s="987" t="s">
        <v>4634</v>
      </c>
      <c r="E988" s="987">
        <v>25.5</v>
      </c>
      <c r="F988" s="987">
        <v>-1.9231000000000002E-2</v>
      </c>
      <c r="G988" s="987">
        <v>0</v>
      </c>
      <c r="H988" s="986">
        <v>3.7000000000000002E-3</v>
      </c>
      <c r="I988" s="986">
        <f t="shared" si="4"/>
        <v>-2.2931E-2</v>
      </c>
      <c r="J988" s="988">
        <v>39508</v>
      </c>
    </row>
    <row r="989" spans="1:10">
      <c r="A989" s="987">
        <v>60</v>
      </c>
      <c r="B989" s="988">
        <v>39539</v>
      </c>
      <c r="C989" s="987" t="s">
        <v>4633</v>
      </c>
      <c r="D989" s="987" t="s">
        <v>4634</v>
      </c>
      <c r="E989" s="987">
        <v>27.68</v>
      </c>
      <c r="F989" s="987">
        <v>8.5489999999999997E-2</v>
      </c>
      <c r="G989" s="987">
        <v>0</v>
      </c>
      <c r="H989" s="986">
        <v>3.5000000000000001E-3</v>
      </c>
      <c r="I989" s="986">
        <f t="shared" si="4"/>
        <v>8.1989999999999993E-2</v>
      </c>
      <c r="J989" s="988">
        <v>39539</v>
      </c>
    </row>
    <row r="990" spans="1:10">
      <c r="A990" s="987">
        <v>60</v>
      </c>
      <c r="B990" s="988">
        <v>39569</v>
      </c>
      <c r="C990" s="987" t="s">
        <v>4633</v>
      </c>
      <c r="D990" s="987" t="s">
        <v>4634</v>
      </c>
      <c r="E990" s="987">
        <v>27.39</v>
      </c>
      <c r="F990" s="987">
        <v>1.2639999999999999E-3</v>
      </c>
      <c r="G990" s="987">
        <v>0.32500000000000001</v>
      </c>
      <c r="H990" s="986">
        <v>3.7000000000000002E-3</v>
      </c>
      <c r="I990" s="986">
        <f t="shared" si="4"/>
        <v>-2.4360000000000002E-3</v>
      </c>
      <c r="J990" s="988">
        <v>39569</v>
      </c>
    </row>
    <row r="991" spans="1:10">
      <c r="A991" s="987">
        <v>60</v>
      </c>
      <c r="B991" s="988">
        <v>39600</v>
      </c>
      <c r="C991" s="987" t="s">
        <v>4633</v>
      </c>
      <c r="D991" s="987" t="s">
        <v>4634</v>
      </c>
      <c r="E991" s="987">
        <v>27.57</v>
      </c>
      <c r="F991" s="987">
        <v>6.5719999999999997E-3</v>
      </c>
      <c r="G991" s="987">
        <v>0</v>
      </c>
      <c r="H991" s="986">
        <v>4.0000000000000001E-3</v>
      </c>
      <c r="I991" s="986">
        <f t="shared" si="4"/>
        <v>2.5719999999999996E-3</v>
      </c>
      <c r="J991" s="988">
        <v>39600</v>
      </c>
    </row>
    <row r="992" spans="1:10">
      <c r="A992" s="987">
        <v>60</v>
      </c>
      <c r="B992" s="988">
        <v>39630</v>
      </c>
      <c r="C992" s="987" t="s">
        <v>4633</v>
      </c>
      <c r="D992" s="987" t="s">
        <v>4634</v>
      </c>
      <c r="E992" s="987">
        <v>26.47</v>
      </c>
      <c r="F992" s="987">
        <v>-3.9898000000000003E-2</v>
      </c>
      <c r="G992" s="987">
        <v>0</v>
      </c>
      <c r="H992" s="986">
        <v>3.8999999999999998E-3</v>
      </c>
      <c r="I992" s="986">
        <f t="shared" si="4"/>
        <v>-4.3798000000000004E-2</v>
      </c>
      <c r="J992" s="988">
        <v>39630</v>
      </c>
    </row>
    <row r="993" spans="1:10">
      <c r="A993" s="987">
        <v>60</v>
      </c>
      <c r="B993" s="988">
        <v>39661</v>
      </c>
      <c r="C993" s="987" t="s">
        <v>4633</v>
      </c>
      <c r="D993" s="987" t="s">
        <v>4634</v>
      </c>
      <c r="E993" s="987">
        <v>27.54</v>
      </c>
      <c r="F993" s="987">
        <v>5.2700999999999998E-2</v>
      </c>
      <c r="G993" s="987">
        <v>0.32500000000000001</v>
      </c>
      <c r="H993" s="986">
        <v>3.5999999999999999E-3</v>
      </c>
      <c r="I993" s="986">
        <f t="shared" si="4"/>
        <v>4.9100999999999999E-2</v>
      </c>
      <c r="J993" s="988">
        <v>39661</v>
      </c>
    </row>
    <row r="994" spans="1:10">
      <c r="A994" s="987">
        <v>60</v>
      </c>
      <c r="B994" s="988">
        <v>39692</v>
      </c>
      <c r="C994" s="987" t="s">
        <v>4633</v>
      </c>
      <c r="D994" s="987" t="s">
        <v>4634</v>
      </c>
      <c r="E994" s="987">
        <v>26.62</v>
      </c>
      <c r="F994" s="987">
        <v>-3.3405999999999998E-2</v>
      </c>
      <c r="G994" s="987">
        <v>0</v>
      </c>
      <c r="H994" s="986">
        <v>3.8999999999999998E-3</v>
      </c>
      <c r="I994" s="986">
        <f t="shared" si="4"/>
        <v>-3.7305999999999999E-2</v>
      </c>
      <c r="J994" s="988">
        <v>39692</v>
      </c>
    </row>
    <row r="995" spans="1:10">
      <c r="A995" s="987">
        <v>60</v>
      </c>
      <c r="B995" s="988">
        <v>39722</v>
      </c>
      <c r="C995" s="987" t="s">
        <v>4633</v>
      </c>
      <c r="D995" s="987" t="s">
        <v>4634</v>
      </c>
      <c r="E995" s="987">
        <v>24.27</v>
      </c>
      <c r="F995" s="987">
        <v>-8.8279999999999997E-2</v>
      </c>
      <c r="G995" s="987">
        <v>0</v>
      </c>
      <c r="H995" s="986">
        <v>3.7000000000000002E-3</v>
      </c>
      <c r="I995" s="986">
        <f t="shared" si="4"/>
        <v>-9.1979999999999992E-2</v>
      </c>
      <c r="J995" s="988">
        <v>39722</v>
      </c>
    </row>
    <row r="996" spans="1:10">
      <c r="A996" s="987">
        <v>60</v>
      </c>
      <c r="B996" s="988">
        <v>39753</v>
      </c>
      <c r="C996" s="987" t="s">
        <v>4633</v>
      </c>
      <c r="D996" s="987" t="s">
        <v>4634</v>
      </c>
      <c r="E996" s="987">
        <v>24.93</v>
      </c>
      <c r="F996" s="987">
        <v>4.0791000000000001E-2</v>
      </c>
      <c r="G996" s="987">
        <v>0.33</v>
      </c>
      <c r="H996" s="986">
        <v>3.5999999999999999E-3</v>
      </c>
      <c r="I996" s="986">
        <f t="shared" si="4"/>
        <v>3.7191000000000002E-2</v>
      </c>
      <c r="J996" s="988">
        <v>39753</v>
      </c>
    </row>
    <row r="997" spans="1:10">
      <c r="A997" s="987">
        <v>60</v>
      </c>
      <c r="B997" s="988">
        <v>39783</v>
      </c>
      <c r="C997" s="987" t="s">
        <v>4633</v>
      </c>
      <c r="D997" s="987" t="s">
        <v>4634</v>
      </c>
      <c r="E997" s="987">
        <v>23.7</v>
      </c>
      <c r="F997" s="987">
        <v>-4.9338E-2</v>
      </c>
      <c r="G997" s="987">
        <v>0</v>
      </c>
      <c r="H997" s="986">
        <v>3.3E-3</v>
      </c>
      <c r="I997" s="986">
        <f t="shared" si="4"/>
        <v>-5.2637999999999997E-2</v>
      </c>
      <c r="J997" s="988">
        <v>39783</v>
      </c>
    </row>
    <row r="998" spans="1:10">
      <c r="A998" s="987">
        <v>60</v>
      </c>
      <c r="B998" s="988">
        <v>39814</v>
      </c>
      <c r="C998" s="987" t="s">
        <v>4633</v>
      </c>
      <c r="D998" s="987" t="s">
        <v>4634</v>
      </c>
      <c r="E998" s="987">
        <v>24.55</v>
      </c>
      <c r="F998" s="987">
        <v>3.5865000000000001E-2</v>
      </c>
      <c r="G998" s="987">
        <v>0</v>
      </c>
      <c r="H998" s="986">
        <v>2.3999999999999998E-3</v>
      </c>
      <c r="I998" s="986">
        <f t="shared" si="4"/>
        <v>3.3465000000000002E-2</v>
      </c>
      <c r="J998" s="988">
        <v>39814</v>
      </c>
    </row>
    <row r="999" spans="1:10">
      <c r="A999" s="987">
        <v>60</v>
      </c>
      <c r="B999" s="988">
        <v>39845</v>
      </c>
      <c r="C999" s="987" t="s">
        <v>4633</v>
      </c>
      <c r="D999" s="987" t="s">
        <v>4634</v>
      </c>
      <c r="E999" s="987">
        <v>21.83</v>
      </c>
      <c r="F999" s="987">
        <v>-9.7351999999999994E-2</v>
      </c>
      <c r="G999" s="987">
        <v>0.33</v>
      </c>
      <c r="H999" s="986">
        <v>3.0000000000000001E-3</v>
      </c>
      <c r="I999" s="986">
        <f t="shared" si="4"/>
        <v>-0.100352</v>
      </c>
      <c r="J999" s="988">
        <v>39845</v>
      </c>
    </row>
    <row r="1000" spans="1:10">
      <c r="A1000" s="987">
        <v>60</v>
      </c>
      <c r="B1000" s="988">
        <v>39873</v>
      </c>
      <c r="C1000" s="987" t="s">
        <v>4633</v>
      </c>
      <c r="D1000" s="987" t="s">
        <v>4634</v>
      </c>
      <c r="E1000" s="987">
        <v>23.12</v>
      </c>
      <c r="F1000" s="987">
        <v>5.9093E-2</v>
      </c>
      <c r="G1000" s="987">
        <v>0</v>
      </c>
      <c r="H1000" s="986">
        <v>3.5000000000000001E-3</v>
      </c>
      <c r="I1000" s="986">
        <f t="shared" si="4"/>
        <v>5.5592999999999997E-2</v>
      </c>
      <c r="J1000" s="988">
        <v>39873</v>
      </c>
    </row>
    <row r="1001" spans="1:10">
      <c r="A1001" s="987">
        <v>60</v>
      </c>
      <c r="B1001" s="988">
        <v>39904</v>
      </c>
      <c r="C1001" s="987" t="s">
        <v>4633</v>
      </c>
      <c r="D1001" s="987" t="s">
        <v>4634</v>
      </c>
      <c r="E1001" s="987">
        <v>24.71</v>
      </c>
      <c r="F1001" s="987">
        <v>6.8772E-2</v>
      </c>
      <c r="G1001" s="987">
        <v>0</v>
      </c>
      <c r="H1001" s="986">
        <v>2.8999999999999998E-3</v>
      </c>
      <c r="I1001" s="986">
        <f t="shared" si="4"/>
        <v>6.5872E-2</v>
      </c>
      <c r="J1001" s="988">
        <v>39904</v>
      </c>
    </row>
    <row r="1002" spans="1:10">
      <c r="A1002" s="987">
        <v>60</v>
      </c>
      <c r="B1002" s="988">
        <v>39934</v>
      </c>
      <c r="C1002" s="987" t="s">
        <v>4633</v>
      </c>
      <c r="D1002" s="987" t="s">
        <v>4634</v>
      </c>
      <c r="E1002" s="987">
        <v>24</v>
      </c>
      <c r="F1002" s="987">
        <v>-1.5377999999999999E-2</v>
      </c>
      <c r="G1002" s="987">
        <v>0.33</v>
      </c>
      <c r="H1002" s="986">
        <v>3.3E-3</v>
      </c>
      <c r="I1002" s="986">
        <f t="shared" si="4"/>
        <v>-1.8678E-2</v>
      </c>
      <c r="J1002" s="988">
        <v>39934</v>
      </c>
    </row>
    <row r="1003" spans="1:10">
      <c r="A1003" s="987">
        <v>60</v>
      </c>
      <c r="B1003" s="988">
        <v>39965</v>
      </c>
      <c r="C1003" s="987" t="s">
        <v>4633</v>
      </c>
      <c r="D1003" s="987" t="s">
        <v>4634</v>
      </c>
      <c r="E1003" s="987">
        <v>25.04</v>
      </c>
      <c r="F1003" s="987">
        <v>4.3333000000000003E-2</v>
      </c>
      <c r="G1003" s="987">
        <v>0</v>
      </c>
      <c r="H1003" s="986">
        <v>3.8E-3</v>
      </c>
      <c r="I1003" s="986">
        <f t="shared" si="4"/>
        <v>3.9533000000000006E-2</v>
      </c>
      <c r="J1003" s="988">
        <v>39965</v>
      </c>
    </row>
    <row r="1004" spans="1:10">
      <c r="A1004" s="987">
        <v>60</v>
      </c>
      <c r="B1004" s="988">
        <v>39995</v>
      </c>
      <c r="C1004" s="987" t="s">
        <v>4633</v>
      </c>
      <c r="D1004" s="987" t="s">
        <v>4634</v>
      </c>
      <c r="E1004" s="987">
        <v>27.16</v>
      </c>
      <c r="F1004" s="987">
        <v>8.4664000000000003E-2</v>
      </c>
      <c r="G1004" s="987">
        <v>0</v>
      </c>
      <c r="H1004" s="986">
        <v>3.5999999999999999E-3</v>
      </c>
      <c r="I1004" s="986">
        <f t="shared" si="4"/>
        <v>8.1063999999999997E-2</v>
      </c>
      <c r="J1004" s="988">
        <v>39995</v>
      </c>
    </row>
    <row r="1005" spans="1:10">
      <c r="A1005" s="987">
        <v>60</v>
      </c>
      <c r="B1005" s="988">
        <v>40026</v>
      </c>
      <c r="C1005" s="987" t="s">
        <v>4633</v>
      </c>
      <c r="D1005" s="987" t="s">
        <v>4634</v>
      </c>
      <c r="E1005" s="987">
        <v>27.24</v>
      </c>
      <c r="F1005" s="987">
        <v>1.5096E-2</v>
      </c>
      <c r="G1005" s="987">
        <v>0.33</v>
      </c>
      <c r="H1005" s="986">
        <v>3.5999999999999999E-3</v>
      </c>
      <c r="I1005" s="986">
        <f t="shared" si="4"/>
        <v>1.1495999999999999E-2</v>
      </c>
      <c r="J1005" s="988">
        <v>40026</v>
      </c>
    </row>
    <row r="1006" spans="1:10">
      <c r="A1006" s="987">
        <v>60</v>
      </c>
      <c r="B1006" s="988">
        <v>40057</v>
      </c>
      <c r="C1006" s="987" t="s">
        <v>4633</v>
      </c>
      <c r="D1006" s="987" t="s">
        <v>4634</v>
      </c>
      <c r="E1006" s="987">
        <v>28.18</v>
      </c>
      <c r="F1006" s="987">
        <v>3.4507999999999997E-2</v>
      </c>
      <c r="G1006" s="987">
        <v>0</v>
      </c>
      <c r="H1006" s="986">
        <v>3.3999999999999998E-3</v>
      </c>
      <c r="I1006" s="986">
        <f t="shared" si="4"/>
        <v>3.1107999999999997E-2</v>
      </c>
      <c r="J1006" s="988">
        <v>40057</v>
      </c>
    </row>
    <row r="1007" spans="1:10">
      <c r="A1007" s="987">
        <v>60</v>
      </c>
      <c r="B1007" s="988">
        <v>40087</v>
      </c>
      <c r="C1007" s="987" t="s">
        <v>4633</v>
      </c>
      <c r="D1007" s="987" t="s">
        <v>4634</v>
      </c>
      <c r="E1007" s="987">
        <v>27.85</v>
      </c>
      <c r="F1007" s="987">
        <v>-1.171E-2</v>
      </c>
      <c r="G1007" s="987">
        <v>0</v>
      </c>
      <c r="H1007" s="986">
        <v>3.3E-3</v>
      </c>
      <c r="I1007" s="986">
        <f t="shared" si="4"/>
        <v>-1.5009999999999999E-2</v>
      </c>
      <c r="J1007" s="988">
        <v>40087</v>
      </c>
    </row>
    <row r="1008" spans="1:10">
      <c r="A1008" s="987">
        <v>60</v>
      </c>
      <c r="B1008" s="988">
        <v>40118</v>
      </c>
      <c r="C1008" s="987" t="s">
        <v>4633</v>
      </c>
      <c r="D1008" s="987" t="s">
        <v>4634</v>
      </c>
      <c r="E1008" s="987">
        <v>27.39</v>
      </c>
      <c r="F1008" s="987">
        <v>-4.4879999999999998E-3</v>
      </c>
      <c r="G1008" s="987">
        <v>0.33500000000000002</v>
      </c>
      <c r="H1008" s="986">
        <v>3.5000000000000001E-3</v>
      </c>
      <c r="I1008" s="986">
        <f t="shared" si="4"/>
        <v>-7.9880000000000003E-3</v>
      </c>
      <c r="J1008" s="988">
        <v>40118</v>
      </c>
    </row>
    <row r="1009" spans="1:10">
      <c r="A1009" s="987">
        <v>60</v>
      </c>
      <c r="B1009" s="988">
        <v>40148</v>
      </c>
      <c r="C1009" s="987" t="s">
        <v>4633</v>
      </c>
      <c r="D1009" s="987" t="s">
        <v>4634</v>
      </c>
      <c r="E1009" s="987">
        <v>29.4</v>
      </c>
      <c r="F1009" s="987">
        <v>7.3384000000000005E-2</v>
      </c>
      <c r="G1009" s="987">
        <v>0</v>
      </c>
      <c r="H1009" s="986">
        <v>3.3999999999999998E-3</v>
      </c>
      <c r="I1009" s="986">
        <f t="shared" si="4"/>
        <v>6.9984000000000005E-2</v>
      </c>
      <c r="J1009" s="988">
        <v>40148</v>
      </c>
    </row>
    <row r="1010" spans="1:10">
      <c r="A1010" s="987">
        <v>60</v>
      </c>
      <c r="B1010" s="988">
        <v>40179</v>
      </c>
      <c r="C1010" s="987" t="s">
        <v>4633</v>
      </c>
      <c r="D1010" s="987" t="s">
        <v>4634</v>
      </c>
      <c r="E1010" s="987">
        <v>27.62</v>
      </c>
      <c r="F1010" s="987">
        <v>-6.0544000000000001E-2</v>
      </c>
      <c r="G1010" s="987">
        <v>0</v>
      </c>
      <c r="H1010" s="986">
        <v>3.5999999999999999E-3</v>
      </c>
      <c r="I1010" s="986">
        <f t="shared" si="4"/>
        <v>-6.4144000000000007E-2</v>
      </c>
      <c r="J1010" s="988">
        <v>40179</v>
      </c>
    </row>
    <row r="1011" spans="1:10">
      <c r="A1011" s="987">
        <v>60</v>
      </c>
      <c r="B1011" s="988">
        <v>40210</v>
      </c>
      <c r="C1011" s="987" t="s">
        <v>4633</v>
      </c>
      <c r="D1011" s="987" t="s">
        <v>4634</v>
      </c>
      <c r="E1011" s="987">
        <v>27.46</v>
      </c>
      <c r="F1011" s="987">
        <v>6.3359999999999996E-3</v>
      </c>
      <c r="G1011" s="987">
        <v>0.33500000000000002</v>
      </c>
      <c r="H1011" s="986">
        <v>3.3E-3</v>
      </c>
      <c r="I1011" s="986">
        <f t="shared" si="4"/>
        <v>3.0359999999999996E-3</v>
      </c>
      <c r="J1011" s="988">
        <v>40210</v>
      </c>
    </row>
    <row r="1012" spans="1:10">
      <c r="A1012" s="987">
        <v>60</v>
      </c>
      <c r="B1012" s="988">
        <v>40238</v>
      </c>
      <c r="C1012" s="987" t="s">
        <v>4633</v>
      </c>
      <c r="D1012" s="987" t="s">
        <v>4634</v>
      </c>
      <c r="E1012" s="987">
        <v>28.57</v>
      </c>
      <c r="F1012" s="987">
        <v>4.0422E-2</v>
      </c>
      <c r="G1012" s="987">
        <v>0</v>
      </c>
      <c r="H1012" s="986">
        <v>4.0000000000000001E-3</v>
      </c>
      <c r="I1012" s="986">
        <f t="shared" si="4"/>
        <v>3.6421999999999996E-2</v>
      </c>
      <c r="J1012" s="988">
        <v>40238</v>
      </c>
    </row>
    <row r="1013" spans="1:10">
      <c r="A1013" s="987">
        <v>60</v>
      </c>
      <c r="B1013" s="988">
        <v>40269</v>
      </c>
      <c r="C1013" s="987" t="s">
        <v>4633</v>
      </c>
      <c r="D1013" s="987" t="s">
        <v>4634</v>
      </c>
      <c r="E1013" s="987">
        <v>29.58</v>
      </c>
      <c r="F1013" s="987">
        <v>3.5352000000000001E-2</v>
      </c>
      <c r="G1013" s="987">
        <v>0</v>
      </c>
      <c r="H1013" s="986">
        <v>3.8E-3</v>
      </c>
      <c r="I1013" s="986">
        <f t="shared" si="4"/>
        <v>3.1552000000000004E-2</v>
      </c>
      <c r="J1013" s="988">
        <v>40269</v>
      </c>
    </row>
    <row r="1014" spans="1:10">
      <c r="A1014" s="987">
        <v>60</v>
      </c>
      <c r="B1014" s="988">
        <v>40299</v>
      </c>
      <c r="C1014" s="987" t="s">
        <v>4633</v>
      </c>
      <c r="D1014" s="987" t="s">
        <v>4634</v>
      </c>
      <c r="E1014" s="987">
        <v>27.12</v>
      </c>
      <c r="F1014" s="987">
        <v>-7.1839E-2</v>
      </c>
      <c r="G1014" s="987">
        <v>0.33500000000000002</v>
      </c>
      <c r="H1014" s="986">
        <v>3.3999999999999998E-3</v>
      </c>
      <c r="I1014" s="986">
        <f t="shared" si="4"/>
        <v>-7.5239E-2</v>
      </c>
      <c r="J1014" s="988">
        <v>40299</v>
      </c>
    </row>
    <row r="1015" spans="1:10">
      <c r="A1015" s="987">
        <v>60</v>
      </c>
      <c r="B1015" s="988">
        <v>40330</v>
      </c>
      <c r="C1015" s="987" t="s">
        <v>4633</v>
      </c>
      <c r="D1015" s="987" t="s">
        <v>4634</v>
      </c>
      <c r="E1015" s="987">
        <v>27.04</v>
      </c>
      <c r="F1015" s="987">
        <v>-2.9499999999999999E-3</v>
      </c>
      <c r="G1015" s="987">
        <v>0</v>
      </c>
      <c r="H1015" s="986">
        <v>3.7000000000000002E-3</v>
      </c>
      <c r="I1015" s="986">
        <f t="shared" si="4"/>
        <v>-6.6499999999999997E-3</v>
      </c>
      <c r="J1015" s="988">
        <v>40330</v>
      </c>
    </row>
    <row r="1016" spans="1:10">
      <c r="A1016" s="987">
        <v>60</v>
      </c>
      <c r="B1016" s="988">
        <v>40360</v>
      </c>
      <c r="C1016" s="987" t="s">
        <v>4633</v>
      </c>
      <c r="D1016" s="987" t="s">
        <v>4634</v>
      </c>
      <c r="E1016" s="987">
        <v>29</v>
      </c>
      <c r="F1016" s="987">
        <v>7.2484999999999994E-2</v>
      </c>
      <c r="G1016" s="987">
        <v>0</v>
      </c>
      <c r="H1016" s="986">
        <v>3.0999999999999999E-3</v>
      </c>
      <c r="I1016" s="986">
        <f t="shared" si="4"/>
        <v>6.9384999999999988E-2</v>
      </c>
      <c r="J1016" s="988">
        <v>40360</v>
      </c>
    </row>
    <row r="1017" spans="1:10">
      <c r="A1017" s="987">
        <v>60</v>
      </c>
      <c r="B1017" s="988">
        <v>40391</v>
      </c>
      <c r="C1017" s="987" t="s">
        <v>4633</v>
      </c>
      <c r="D1017" s="987" t="s">
        <v>4634</v>
      </c>
      <c r="E1017" s="987">
        <v>28.3</v>
      </c>
      <c r="F1017" s="987">
        <v>-1.2586E-2</v>
      </c>
      <c r="G1017" s="987">
        <v>0.33500000000000002</v>
      </c>
      <c r="H1017" s="986">
        <v>3.2000000000000002E-3</v>
      </c>
      <c r="I1017" s="986">
        <f t="shared" si="4"/>
        <v>-1.5786000000000001E-2</v>
      </c>
      <c r="J1017" s="988">
        <v>40391</v>
      </c>
    </row>
    <row r="1018" spans="1:10">
      <c r="A1018" s="987">
        <v>60</v>
      </c>
      <c r="B1018" s="988">
        <v>40422</v>
      </c>
      <c r="C1018" s="987" t="s">
        <v>4633</v>
      </c>
      <c r="D1018" s="987" t="s">
        <v>4634</v>
      </c>
      <c r="E1018" s="987">
        <v>29.25</v>
      </c>
      <c r="F1018" s="987">
        <v>3.3569000000000002E-2</v>
      </c>
      <c r="G1018" s="987">
        <v>0</v>
      </c>
      <c r="H1018" s="986">
        <v>2.5999999999999999E-3</v>
      </c>
      <c r="I1018" s="986">
        <f t="shared" ref="I1018:I1081" si="5">F1018-H1018</f>
        <v>3.0969000000000003E-2</v>
      </c>
      <c r="J1018" s="988">
        <v>40422</v>
      </c>
    </row>
    <row r="1019" spans="1:10">
      <c r="A1019" s="987">
        <v>60</v>
      </c>
      <c r="B1019" s="988">
        <v>40452</v>
      </c>
      <c r="C1019" s="987" t="s">
        <v>4633</v>
      </c>
      <c r="D1019" s="987" t="s">
        <v>4634</v>
      </c>
      <c r="E1019" s="987">
        <v>29.45</v>
      </c>
      <c r="F1019" s="987">
        <v>6.8380000000000003E-3</v>
      </c>
      <c r="G1019" s="987">
        <v>0</v>
      </c>
      <c r="H1019" s="986">
        <v>2.7000000000000001E-3</v>
      </c>
      <c r="I1019" s="986">
        <f t="shared" si="5"/>
        <v>4.1380000000000002E-3</v>
      </c>
      <c r="J1019" s="988">
        <v>40452</v>
      </c>
    </row>
    <row r="1020" spans="1:10">
      <c r="A1020" s="987">
        <v>60</v>
      </c>
      <c r="B1020" s="988">
        <v>40483</v>
      </c>
      <c r="C1020" s="987" t="s">
        <v>4633</v>
      </c>
      <c r="D1020" s="987" t="s">
        <v>4634</v>
      </c>
      <c r="E1020" s="987">
        <v>30.07</v>
      </c>
      <c r="F1020" s="987">
        <v>3.2598000000000002E-2</v>
      </c>
      <c r="G1020" s="987">
        <v>0.34</v>
      </c>
      <c r="H1020" s="986">
        <v>3.2000000000000002E-3</v>
      </c>
      <c r="I1020" s="986">
        <f t="shared" si="5"/>
        <v>2.9398000000000001E-2</v>
      </c>
      <c r="J1020" s="988">
        <v>40483</v>
      </c>
    </row>
    <row r="1021" spans="1:10">
      <c r="A1021" s="987">
        <v>60</v>
      </c>
      <c r="B1021" s="988">
        <v>40513</v>
      </c>
      <c r="C1021" s="987" t="s">
        <v>4633</v>
      </c>
      <c r="D1021" s="987" t="s">
        <v>4634</v>
      </c>
      <c r="E1021" s="987">
        <v>31.2</v>
      </c>
      <c r="F1021" s="987">
        <v>3.7579000000000001E-2</v>
      </c>
      <c r="G1021" s="987">
        <v>0</v>
      </c>
      <c r="H1021" s="986">
        <v>3.2000000000000002E-3</v>
      </c>
      <c r="I1021" s="986">
        <f t="shared" si="5"/>
        <v>3.4379E-2</v>
      </c>
      <c r="J1021" s="988">
        <v>40513</v>
      </c>
    </row>
    <row r="1022" spans="1:10" s="983" customFormat="1" ht="13.8">
      <c r="A1022" s="983">
        <v>60</v>
      </c>
      <c r="B1022" s="988">
        <v>40544</v>
      </c>
      <c r="C1022" s="983" t="s">
        <v>4633</v>
      </c>
      <c r="D1022" s="983" t="s">
        <v>4634</v>
      </c>
      <c r="E1022" s="983">
        <v>32.6</v>
      </c>
      <c r="F1022" s="983">
        <v>4.4872000000000002E-2</v>
      </c>
      <c r="G1022" s="983">
        <v>0</v>
      </c>
      <c r="H1022" s="987">
        <v>3.5666666699999999E-3</v>
      </c>
      <c r="I1022" s="986">
        <f t="shared" si="5"/>
        <v>4.1305333329999999E-2</v>
      </c>
      <c r="J1022" s="988">
        <v>40544</v>
      </c>
    </row>
    <row r="1023" spans="1:10" s="983" customFormat="1" ht="13.8">
      <c r="A1023" s="983">
        <v>60</v>
      </c>
      <c r="B1023" s="988">
        <v>40575</v>
      </c>
      <c r="C1023" s="983" t="s">
        <v>4633</v>
      </c>
      <c r="D1023" s="983" t="s">
        <v>4634</v>
      </c>
      <c r="E1023" s="983">
        <v>33.82</v>
      </c>
      <c r="F1023" s="983">
        <v>4.7853E-2</v>
      </c>
      <c r="G1023" s="983">
        <v>0.34</v>
      </c>
      <c r="H1023" s="987">
        <v>3.68333333E-3</v>
      </c>
      <c r="I1023" s="986">
        <f t="shared" si="5"/>
        <v>4.4169666669999996E-2</v>
      </c>
      <c r="J1023" s="988">
        <v>40575</v>
      </c>
    </row>
    <row r="1024" spans="1:10" s="983" customFormat="1" ht="13.8">
      <c r="A1024" s="983">
        <v>60</v>
      </c>
      <c r="B1024" s="988">
        <v>40603</v>
      </c>
      <c r="C1024" s="983" t="s">
        <v>4633</v>
      </c>
      <c r="D1024" s="983" t="s">
        <v>4634</v>
      </c>
      <c r="E1024" s="983">
        <v>34.1</v>
      </c>
      <c r="F1024" s="983">
        <v>8.2789999999999999E-3</v>
      </c>
      <c r="G1024" s="983">
        <v>0</v>
      </c>
      <c r="H1024" s="987">
        <v>3.5583333299999999E-3</v>
      </c>
      <c r="I1024" s="986">
        <f t="shared" si="5"/>
        <v>4.72066667E-3</v>
      </c>
      <c r="J1024" s="988">
        <v>40603</v>
      </c>
    </row>
    <row r="1025" spans="1:10" s="983" customFormat="1" ht="13.8">
      <c r="A1025" s="983">
        <v>60</v>
      </c>
      <c r="B1025" s="988">
        <v>40634</v>
      </c>
      <c r="C1025" s="983" t="s">
        <v>4633</v>
      </c>
      <c r="D1025" s="983" t="s">
        <v>4634</v>
      </c>
      <c r="E1025" s="983">
        <v>34.89</v>
      </c>
      <c r="F1025" s="983">
        <v>2.3167E-2</v>
      </c>
      <c r="G1025" s="983">
        <v>0</v>
      </c>
      <c r="H1025" s="987">
        <v>3.5666666699999999E-3</v>
      </c>
      <c r="I1025" s="986">
        <f t="shared" si="5"/>
        <v>1.9600333330000001E-2</v>
      </c>
      <c r="J1025" s="988">
        <v>40634</v>
      </c>
    </row>
    <row r="1026" spans="1:10" s="983" customFormat="1" ht="13.8">
      <c r="A1026" s="983">
        <v>60</v>
      </c>
      <c r="B1026" s="988">
        <v>40664</v>
      </c>
      <c r="C1026" s="983" t="s">
        <v>4633</v>
      </c>
      <c r="D1026" s="983" t="s">
        <v>4634</v>
      </c>
      <c r="E1026" s="983">
        <v>33.35</v>
      </c>
      <c r="F1026" s="983">
        <v>-3.4394000000000001E-2</v>
      </c>
      <c r="G1026" s="983">
        <v>0.34</v>
      </c>
      <c r="H1026" s="987">
        <v>3.3416666699999996E-3</v>
      </c>
      <c r="I1026" s="986">
        <f t="shared" si="5"/>
        <v>-3.7735666670000001E-2</v>
      </c>
      <c r="J1026" s="988">
        <v>40664</v>
      </c>
    </row>
    <row r="1027" spans="1:10" s="983" customFormat="1" ht="13.8">
      <c r="A1027" s="983">
        <v>60</v>
      </c>
      <c r="B1027" s="988">
        <v>40695</v>
      </c>
      <c r="C1027" s="983" t="s">
        <v>4633</v>
      </c>
      <c r="D1027" s="983" t="s">
        <v>4634</v>
      </c>
      <c r="E1027" s="983">
        <v>33.25</v>
      </c>
      <c r="F1027" s="983">
        <v>-2.9979999999999998E-3</v>
      </c>
      <c r="G1027" s="983">
        <v>0</v>
      </c>
      <c r="H1027" s="987">
        <v>3.25833333E-3</v>
      </c>
      <c r="I1027" s="986">
        <f t="shared" si="5"/>
        <v>-6.2563333299999998E-3</v>
      </c>
      <c r="J1027" s="988">
        <v>40695</v>
      </c>
    </row>
    <row r="1028" spans="1:10" s="983" customFormat="1" ht="13.8">
      <c r="A1028" s="983">
        <v>60</v>
      </c>
      <c r="B1028" s="988">
        <v>40725</v>
      </c>
      <c r="C1028" s="983" t="s">
        <v>4633</v>
      </c>
      <c r="D1028" s="983" t="s">
        <v>4634</v>
      </c>
      <c r="E1028" s="983">
        <v>33.43</v>
      </c>
      <c r="F1028" s="983">
        <v>5.4140000000000004E-3</v>
      </c>
      <c r="G1028" s="983">
        <v>0</v>
      </c>
      <c r="H1028" s="987">
        <v>3.2916666700000003E-3</v>
      </c>
      <c r="I1028" s="986">
        <f t="shared" si="5"/>
        <v>2.1223333300000001E-3</v>
      </c>
      <c r="J1028" s="988">
        <v>40725</v>
      </c>
    </row>
    <row r="1029" spans="1:10" s="983" customFormat="1" ht="13.8">
      <c r="A1029" s="983">
        <v>60</v>
      </c>
      <c r="B1029" s="988">
        <v>40756</v>
      </c>
      <c r="C1029" s="983" t="s">
        <v>4633</v>
      </c>
      <c r="D1029" s="983" t="s">
        <v>4634</v>
      </c>
      <c r="E1029" s="983">
        <v>33.54</v>
      </c>
      <c r="F1029" s="983">
        <v>1.3461000000000001E-2</v>
      </c>
      <c r="G1029" s="983">
        <v>0.34</v>
      </c>
      <c r="H1029" s="987">
        <v>3.0416666666666665E-3</v>
      </c>
      <c r="I1029" s="986">
        <f t="shared" si="5"/>
        <v>1.0419333333333334E-2</v>
      </c>
      <c r="J1029" s="988">
        <v>40756</v>
      </c>
    </row>
    <row r="1030" spans="1:10" s="983" customFormat="1" ht="13.8">
      <c r="A1030" s="983">
        <v>60</v>
      </c>
      <c r="B1030" s="988">
        <v>40787</v>
      </c>
      <c r="C1030" s="983" t="s">
        <v>4633</v>
      </c>
      <c r="D1030" s="983" t="s">
        <v>4634</v>
      </c>
      <c r="E1030" s="983">
        <v>32.450000000000003</v>
      </c>
      <c r="F1030" s="983">
        <v>-3.2499E-2</v>
      </c>
      <c r="G1030" s="983">
        <v>0</v>
      </c>
      <c r="H1030" s="987">
        <v>2.3583333300000002E-3</v>
      </c>
      <c r="I1030" s="986">
        <f t="shared" si="5"/>
        <v>-3.4857333330000004E-2</v>
      </c>
      <c r="J1030" s="988">
        <v>40787</v>
      </c>
    </row>
    <row r="1031" spans="1:10" s="983" customFormat="1" ht="13.8">
      <c r="A1031" s="983">
        <v>60</v>
      </c>
      <c r="B1031" s="988">
        <v>40817</v>
      </c>
      <c r="C1031" s="983" t="s">
        <v>4633</v>
      </c>
      <c r="D1031" s="983" t="s">
        <v>4634</v>
      </c>
      <c r="E1031" s="983">
        <v>34.32</v>
      </c>
      <c r="F1031" s="983">
        <v>5.7626999999999998E-2</v>
      </c>
      <c r="G1031" s="983">
        <v>0</v>
      </c>
      <c r="H1031" s="987">
        <v>2.3916666700000001E-3</v>
      </c>
      <c r="I1031" s="986">
        <f t="shared" si="5"/>
        <v>5.5235333329999997E-2</v>
      </c>
      <c r="J1031" s="988">
        <v>40817</v>
      </c>
    </row>
    <row r="1032" spans="1:10" s="983" customFormat="1" ht="13.8">
      <c r="A1032" s="983">
        <v>60</v>
      </c>
      <c r="B1032" s="988">
        <v>40848</v>
      </c>
      <c r="C1032" s="983" t="s">
        <v>4633</v>
      </c>
      <c r="D1032" s="983" t="s">
        <v>4634</v>
      </c>
      <c r="E1032" s="983">
        <v>34.21</v>
      </c>
      <c r="F1032" s="983">
        <v>6.8469999999999998E-3</v>
      </c>
      <c r="G1032" s="983">
        <v>0.34499999999999997</v>
      </c>
      <c r="H1032" s="987">
        <v>2.26666667E-3</v>
      </c>
      <c r="I1032" s="986">
        <f t="shared" si="5"/>
        <v>4.5803333300000002E-3</v>
      </c>
      <c r="J1032" s="988">
        <v>40848</v>
      </c>
    </row>
    <row r="1033" spans="1:10" s="983" customFormat="1" ht="13.8">
      <c r="A1033" s="983">
        <v>60</v>
      </c>
      <c r="B1033" s="988">
        <v>40878</v>
      </c>
      <c r="C1033" s="983" t="s">
        <v>4633</v>
      </c>
      <c r="D1033" s="983" t="s">
        <v>4634</v>
      </c>
      <c r="E1033" s="983">
        <v>33.35</v>
      </c>
      <c r="F1033" s="983">
        <v>-2.5139000000000002E-2</v>
      </c>
      <c r="G1033" s="983">
        <v>0</v>
      </c>
      <c r="H1033" s="987">
        <v>2.4833333333333335E-3</v>
      </c>
      <c r="I1033" s="986">
        <f t="shared" si="5"/>
        <v>-2.7622333333333336E-2</v>
      </c>
      <c r="J1033" s="988">
        <v>40878</v>
      </c>
    </row>
    <row r="1034" spans="1:10" s="983" customFormat="1" ht="13.8">
      <c r="A1034" s="983">
        <v>60</v>
      </c>
      <c r="B1034" s="988">
        <v>40909</v>
      </c>
      <c r="C1034" s="983" t="s">
        <v>4633</v>
      </c>
      <c r="D1034" s="983" t="s">
        <v>4634</v>
      </c>
      <c r="E1034" s="983">
        <v>32.409999999999997</v>
      </c>
      <c r="F1034" s="983">
        <v>-2.8185999999999999E-2</v>
      </c>
      <c r="G1034" s="983">
        <v>0</v>
      </c>
      <c r="H1034" s="987">
        <v>2.0999999999999999E-3</v>
      </c>
      <c r="I1034" s="986">
        <f t="shared" si="5"/>
        <v>-3.0286E-2</v>
      </c>
      <c r="J1034" s="988">
        <v>40909</v>
      </c>
    </row>
    <row r="1035" spans="1:10" s="983" customFormat="1" ht="13.8">
      <c r="A1035" s="983">
        <v>60</v>
      </c>
      <c r="B1035" s="988">
        <v>40940</v>
      </c>
      <c r="C1035" s="983" t="s">
        <v>4633</v>
      </c>
      <c r="D1035" s="983" t="s">
        <v>4634</v>
      </c>
      <c r="E1035" s="983">
        <v>30.73</v>
      </c>
      <c r="F1035" s="983">
        <v>-4.1190999999999998E-2</v>
      </c>
      <c r="G1035" s="983">
        <v>0.34499999999999997</v>
      </c>
      <c r="H1035" s="987">
        <v>2E-3</v>
      </c>
      <c r="I1035" s="986">
        <f t="shared" si="5"/>
        <v>-4.3191E-2</v>
      </c>
      <c r="J1035" s="988">
        <v>40940</v>
      </c>
    </row>
    <row r="1036" spans="1:10" s="983" customFormat="1" ht="13.8">
      <c r="A1036" s="983">
        <v>60</v>
      </c>
      <c r="B1036" s="988">
        <v>40969</v>
      </c>
      <c r="C1036" s="983" t="s">
        <v>4633</v>
      </c>
      <c r="D1036" s="983" t="s">
        <v>4634</v>
      </c>
      <c r="E1036" s="983">
        <v>31.46</v>
      </c>
      <c r="F1036" s="983">
        <v>2.3754999999999998E-2</v>
      </c>
      <c r="G1036" s="983">
        <v>0</v>
      </c>
      <c r="H1036" s="987">
        <v>2.2000000000000001E-3</v>
      </c>
      <c r="I1036" s="986">
        <f t="shared" si="5"/>
        <v>2.1554999999999998E-2</v>
      </c>
      <c r="J1036" s="988">
        <v>40969</v>
      </c>
    </row>
    <row r="1037" spans="1:10" s="983" customFormat="1" ht="13.8">
      <c r="A1037" s="983">
        <v>60</v>
      </c>
      <c r="B1037" s="988">
        <v>41000</v>
      </c>
      <c r="C1037" s="983" t="s">
        <v>4633</v>
      </c>
      <c r="D1037" s="983" t="s">
        <v>4634</v>
      </c>
      <c r="E1037" s="983">
        <v>32.58</v>
      </c>
      <c r="F1037" s="983">
        <v>3.5601000000000001E-2</v>
      </c>
      <c r="G1037" s="983">
        <v>0</v>
      </c>
      <c r="H1037" s="987">
        <v>2.5000000000000001E-3</v>
      </c>
      <c r="I1037" s="986">
        <f t="shared" si="5"/>
        <v>3.3100999999999998E-2</v>
      </c>
      <c r="J1037" s="988">
        <v>41000</v>
      </c>
    </row>
    <row r="1038" spans="1:10" s="983" customFormat="1" ht="13.8">
      <c r="A1038" s="983">
        <v>60</v>
      </c>
      <c r="B1038" s="988">
        <v>41030</v>
      </c>
      <c r="C1038" s="983" t="s">
        <v>4633</v>
      </c>
      <c r="D1038" s="983" t="s">
        <v>4634</v>
      </c>
      <c r="E1038" s="983">
        <v>33.14</v>
      </c>
      <c r="F1038" s="983">
        <v>2.7778000000000001E-2</v>
      </c>
      <c r="G1038" s="983">
        <v>0.34499999999999997</v>
      </c>
      <c r="H1038" s="987">
        <v>2.3E-3</v>
      </c>
      <c r="I1038" s="986">
        <f t="shared" si="5"/>
        <v>2.5478000000000001E-2</v>
      </c>
      <c r="J1038" s="988">
        <v>41030</v>
      </c>
    </row>
    <row r="1039" spans="1:10" s="983" customFormat="1" ht="13.8">
      <c r="A1039" s="983">
        <v>60</v>
      </c>
      <c r="B1039" s="988">
        <v>41061</v>
      </c>
      <c r="C1039" s="983" t="s">
        <v>4633</v>
      </c>
      <c r="D1039" s="983" t="s">
        <v>4634</v>
      </c>
      <c r="E1039" s="983">
        <v>35.07</v>
      </c>
      <c r="F1039" s="983">
        <v>5.8237999999999998E-2</v>
      </c>
      <c r="G1039" s="983">
        <v>0</v>
      </c>
      <c r="H1039" s="987">
        <v>1.8E-3</v>
      </c>
      <c r="I1039" s="986">
        <f t="shared" si="5"/>
        <v>5.6437999999999995E-2</v>
      </c>
      <c r="J1039" s="988">
        <v>41061</v>
      </c>
    </row>
    <row r="1040" spans="1:10" ht="13.8">
      <c r="B1040" s="988">
        <v>41091</v>
      </c>
      <c r="C1040" s="983" t="s">
        <v>4633</v>
      </c>
      <c r="D1040" s="983" t="s">
        <v>4634</v>
      </c>
      <c r="E1040" s="983">
        <v>35.85</v>
      </c>
      <c r="F1040" s="987">
        <f t="shared" ref="F1040:F1103" si="6">((E1040-E1039)/E1039)+(G1040/E1039)</f>
        <v>2.2241231822070176E-2</v>
      </c>
      <c r="G1040" s="987">
        <v>0</v>
      </c>
      <c r="H1040" s="987">
        <v>2E-3</v>
      </c>
      <c r="I1040" s="986">
        <f t="shared" si="5"/>
        <v>2.0241231822070174E-2</v>
      </c>
      <c r="J1040" s="988">
        <v>41091</v>
      </c>
    </row>
    <row r="1041" spans="2:10" ht="13.8">
      <c r="B1041" s="988">
        <v>41122</v>
      </c>
      <c r="C1041" s="983" t="s">
        <v>4633</v>
      </c>
      <c r="D1041" s="983" t="s">
        <v>4634</v>
      </c>
      <c r="E1041" s="983">
        <v>34.94</v>
      </c>
      <c r="F1041" s="987">
        <f t="shared" si="6"/>
        <v>-1.576011157601126E-2</v>
      </c>
      <c r="G1041" s="987">
        <v>0.34499999999999997</v>
      </c>
      <c r="H1041" s="987">
        <v>1.8E-3</v>
      </c>
      <c r="I1041" s="986">
        <f t="shared" si="5"/>
        <v>-1.7560111576011259E-2</v>
      </c>
      <c r="J1041" s="988">
        <v>41122</v>
      </c>
    </row>
    <row r="1042" spans="2:10" ht="13.8">
      <c r="B1042" s="988">
        <v>41153</v>
      </c>
      <c r="C1042" s="983" t="s">
        <v>4633</v>
      </c>
      <c r="D1042" s="983" t="s">
        <v>4634</v>
      </c>
      <c r="E1042" s="987">
        <v>35.79</v>
      </c>
      <c r="F1042" s="987">
        <f t="shared" si="6"/>
        <v>2.4327418431597067E-2</v>
      </c>
      <c r="G1042" s="987">
        <v>0</v>
      </c>
      <c r="H1042" s="987">
        <v>1.6999999999999999E-3</v>
      </c>
      <c r="I1042" s="986">
        <f t="shared" si="5"/>
        <v>2.2627418431597067E-2</v>
      </c>
      <c r="J1042" s="988">
        <v>41153</v>
      </c>
    </row>
    <row r="1043" spans="2:10" ht="13.8">
      <c r="B1043" s="988">
        <v>41183</v>
      </c>
      <c r="C1043" s="983" t="s">
        <v>4633</v>
      </c>
      <c r="D1043" s="983" t="s">
        <v>4634</v>
      </c>
      <c r="E1043" s="987">
        <v>35.97</v>
      </c>
      <c r="F1043" s="987">
        <f t="shared" si="6"/>
        <v>5.0293378038558179E-3</v>
      </c>
      <c r="G1043" s="987">
        <v>0</v>
      </c>
      <c r="H1043" s="987">
        <v>2.0999999999999999E-3</v>
      </c>
      <c r="I1043" s="986">
        <f t="shared" si="5"/>
        <v>2.929337803855818E-3</v>
      </c>
      <c r="J1043" s="988">
        <v>41183</v>
      </c>
    </row>
    <row r="1044" spans="2:10" ht="13.8">
      <c r="B1044" s="988">
        <v>41214</v>
      </c>
      <c r="C1044" s="983" t="s">
        <v>4633</v>
      </c>
      <c r="D1044" s="983" t="s">
        <v>4634</v>
      </c>
      <c r="E1044" s="987">
        <v>35.01</v>
      </c>
      <c r="F1044" s="987">
        <f t="shared" si="6"/>
        <v>-1.6958576591604137E-2</v>
      </c>
      <c r="G1044" s="987">
        <v>0.35</v>
      </c>
      <c r="H1044" s="987">
        <v>1.9E-3</v>
      </c>
      <c r="I1044" s="986">
        <f t="shared" si="5"/>
        <v>-1.8858576591604136E-2</v>
      </c>
      <c r="J1044" s="988">
        <v>41214</v>
      </c>
    </row>
    <row r="1045" spans="2:10" ht="13.8">
      <c r="B1045" s="988">
        <v>41244</v>
      </c>
      <c r="C1045" s="983" t="s">
        <v>4633</v>
      </c>
      <c r="D1045" s="983" t="s">
        <v>4634</v>
      </c>
      <c r="E1045" s="987">
        <v>35.119999999999997</v>
      </c>
      <c r="F1045" s="987">
        <f t="shared" si="6"/>
        <v>3.1419594401599382E-3</v>
      </c>
      <c r="G1045" s="987">
        <v>0</v>
      </c>
      <c r="H1045" s="987">
        <v>1.9E-3</v>
      </c>
      <c r="I1045" s="986">
        <f t="shared" si="5"/>
        <v>1.2419594401599382E-3</v>
      </c>
      <c r="J1045" s="988">
        <v>41244</v>
      </c>
    </row>
    <row r="1046" spans="2:10" ht="13.8">
      <c r="B1046" s="988">
        <v>41275</v>
      </c>
      <c r="C1046" s="983" t="s">
        <v>4633</v>
      </c>
      <c r="D1046" s="983" t="s">
        <v>4634</v>
      </c>
      <c r="E1046" s="987">
        <v>37.36</v>
      </c>
      <c r="F1046" s="987">
        <f t="shared" si="6"/>
        <v>6.3781321184510312E-2</v>
      </c>
      <c r="G1046" s="987">
        <v>0</v>
      </c>
      <c r="H1046" s="987">
        <v>2.2000000000000001E-3</v>
      </c>
      <c r="I1046" s="986">
        <f t="shared" si="5"/>
        <v>6.1581321184510311E-2</v>
      </c>
      <c r="J1046" s="988">
        <v>41275</v>
      </c>
    </row>
    <row r="1047" spans="2:10" ht="13.8">
      <c r="B1047" s="988">
        <v>41306</v>
      </c>
      <c r="C1047" s="983" t="s">
        <v>4633</v>
      </c>
      <c r="D1047" s="983" t="s">
        <v>4634</v>
      </c>
      <c r="E1047" s="987">
        <v>38.17</v>
      </c>
      <c r="F1047" s="987">
        <f t="shared" si="6"/>
        <v>3.1049250535331967E-2</v>
      </c>
      <c r="G1047" s="987">
        <v>0.35</v>
      </c>
      <c r="H1047" s="987">
        <v>2.2000000000000001E-3</v>
      </c>
      <c r="I1047" s="986">
        <f t="shared" si="5"/>
        <v>2.8849250535331966E-2</v>
      </c>
      <c r="J1047" s="988">
        <v>41306</v>
      </c>
    </row>
    <row r="1048" spans="2:10" ht="13.8">
      <c r="B1048" s="988">
        <v>41334</v>
      </c>
      <c r="C1048" s="983" t="s">
        <v>4633</v>
      </c>
      <c r="D1048" s="983" t="s">
        <v>4634</v>
      </c>
      <c r="E1048" s="987">
        <v>42.69</v>
      </c>
      <c r="F1048" s="987">
        <f t="shared" si="6"/>
        <v>0.11841760544930563</v>
      </c>
      <c r="G1048" s="987">
        <v>0</v>
      </c>
      <c r="H1048" s="987">
        <v>2.0999999999999999E-3</v>
      </c>
      <c r="I1048" s="986">
        <f t="shared" si="5"/>
        <v>0.11631760544930562</v>
      </c>
      <c r="J1048" s="988">
        <v>41334</v>
      </c>
    </row>
    <row r="1049" spans="2:10" ht="13.8">
      <c r="B1049" s="988">
        <v>41365</v>
      </c>
      <c r="C1049" s="983" t="s">
        <v>4633</v>
      </c>
      <c r="D1049" s="983" t="s">
        <v>4634</v>
      </c>
      <c r="E1049" s="987">
        <v>44.37</v>
      </c>
      <c r="F1049" s="987">
        <f t="shared" si="6"/>
        <v>3.9353478566408993E-2</v>
      </c>
      <c r="G1049" s="987">
        <v>0</v>
      </c>
      <c r="H1049" s="987">
        <v>2.5999999999999999E-3</v>
      </c>
      <c r="I1049" s="986">
        <f t="shared" si="5"/>
        <v>3.6753478566408995E-2</v>
      </c>
      <c r="J1049" s="988">
        <v>41365</v>
      </c>
    </row>
    <row r="1050" spans="2:10" ht="13.8">
      <c r="B1050" s="988">
        <v>41395</v>
      </c>
      <c r="C1050" s="983" t="s">
        <v>4633</v>
      </c>
      <c r="D1050" s="983" t="s">
        <v>4634</v>
      </c>
      <c r="E1050" s="987">
        <v>42.22</v>
      </c>
      <c r="F1050" s="987">
        <f t="shared" si="6"/>
        <v>-4.056795131845839E-2</v>
      </c>
      <c r="G1050" s="987">
        <v>0.35</v>
      </c>
      <c r="H1050" s="987">
        <v>2.3E-3</v>
      </c>
      <c r="I1050" s="986">
        <f t="shared" si="5"/>
        <v>-4.2867951318458386E-2</v>
      </c>
      <c r="J1050" s="988">
        <v>41395</v>
      </c>
    </row>
    <row r="1051" spans="2:10" ht="13.8">
      <c r="B1051" s="988">
        <v>41426</v>
      </c>
      <c r="C1051" s="983" t="s">
        <v>4633</v>
      </c>
      <c r="D1051" s="983" t="s">
        <v>4634</v>
      </c>
      <c r="E1051" s="987">
        <v>41.06</v>
      </c>
      <c r="F1051" s="987">
        <f t="shared" si="6"/>
        <v>-2.7475130270014133E-2</v>
      </c>
      <c r="G1051" s="987">
        <v>0</v>
      </c>
      <c r="H1051" s="987">
        <v>2.3999999999999998E-3</v>
      </c>
      <c r="I1051" s="986">
        <f t="shared" si="5"/>
        <v>-2.9875130270014132E-2</v>
      </c>
      <c r="J1051" s="988">
        <v>41426</v>
      </c>
    </row>
    <row r="1052" spans="2:10" ht="13.8">
      <c r="B1052" s="988">
        <v>41456</v>
      </c>
      <c r="C1052" s="983" t="s">
        <v>4633</v>
      </c>
      <c r="D1052" s="983" t="s">
        <v>4634</v>
      </c>
      <c r="E1052" s="987">
        <v>44.24</v>
      </c>
      <c r="F1052" s="987">
        <f t="shared" si="6"/>
        <v>7.744763760350705E-2</v>
      </c>
      <c r="G1052" s="987">
        <v>0</v>
      </c>
      <c r="H1052" s="987">
        <v>3.0000000000000001E-3</v>
      </c>
      <c r="I1052" s="986">
        <f t="shared" si="5"/>
        <v>7.4447637603507047E-2</v>
      </c>
      <c r="J1052" s="988">
        <v>41456</v>
      </c>
    </row>
    <row r="1053" spans="2:10" ht="13.8">
      <c r="B1053" s="988">
        <v>41487</v>
      </c>
      <c r="C1053" s="983" t="s">
        <v>4633</v>
      </c>
      <c r="D1053" s="983" t="s">
        <v>4634</v>
      </c>
      <c r="E1053" s="987">
        <v>40.35</v>
      </c>
      <c r="F1053" s="987">
        <f t="shared" si="6"/>
        <v>-8.0018083182640157E-2</v>
      </c>
      <c r="G1053" s="987">
        <v>0.35</v>
      </c>
      <c r="H1053" s="987">
        <v>2.8E-3</v>
      </c>
      <c r="I1053" s="986">
        <f t="shared" si="5"/>
        <v>-8.2818083182640154E-2</v>
      </c>
      <c r="J1053" s="988">
        <v>41487</v>
      </c>
    </row>
    <row r="1054" spans="2:10" ht="13.8">
      <c r="B1054" s="988">
        <v>41518</v>
      </c>
      <c r="C1054" s="983" t="s">
        <v>4633</v>
      </c>
      <c r="D1054" s="983" t="s">
        <v>4634</v>
      </c>
      <c r="E1054" s="987">
        <v>42.59</v>
      </c>
      <c r="F1054" s="987">
        <f t="shared" si="6"/>
        <v>5.551425030978939E-2</v>
      </c>
      <c r="G1054" s="987">
        <v>0</v>
      </c>
      <c r="H1054" s="987">
        <v>2.8999999999999998E-3</v>
      </c>
      <c r="I1054" s="986">
        <f t="shared" si="5"/>
        <v>5.261425030978939E-2</v>
      </c>
      <c r="J1054" s="988">
        <v>41518</v>
      </c>
    </row>
    <row r="1055" spans="2:10" ht="13.8">
      <c r="B1055" s="988">
        <v>41548</v>
      </c>
      <c r="C1055" s="983" t="s">
        <v>4633</v>
      </c>
      <c r="D1055" s="983" t="s">
        <v>4634</v>
      </c>
      <c r="E1055" s="987">
        <v>44.27</v>
      </c>
      <c r="F1055" s="987">
        <f t="shared" si="6"/>
        <v>3.9445879314393043E-2</v>
      </c>
      <c r="G1055" s="987">
        <v>0</v>
      </c>
      <c r="H1055" s="987">
        <v>2.8999999999999998E-3</v>
      </c>
      <c r="I1055" s="986">
        <f t="shared" si="5"/>
        <v>3.6545879314393043E-2</v>
      </c>
      <c r="J1055" s="988">
        <v>41548</v>
      </c>
    </row>
    <row r="1056" spans="2:10" ht="13.8">
      <c r="B1056" s="988">
        <v>41579</v>
      </c>
      <c r="C1056" s="983" t="s">
        <v>4633</v>
      </c>
      <c r="D1056" s="983" t="s">
        <v>4634</v>
      </c>
      <c r="E1056" s="987">
        <v>44.45</v>
      </c>
      <c r="F1056" s="987">
        <f t="shared" si="6"/>
        <v>1.2423763270838032E-2</v>
      </c>
      <c r="G1056" s="987">
        <v>0.37</v>
      </c>
      <c r="H1056" s="987">
        <v>2.7000000000000001E-3</v>
      </c>
      <c r="I1056" s="986">
        <f t="shared" si="5"/>
        <v>9.7237632708380324E-3</v>
      </c>
      <c r="J1056" s="988">
        <v>41579</v>
      </c>
    </row>
    <row r="1057" spans="2:10" ht="13.8">
      <c r="B1057" s="988">
        <v>41609</v>
      </c>
      <c r="C1057" s="983" t="s">
        <v>4633</v>
      </c>
      <c r="D1057" s="983" t="s">
        <v>4634</v>
      </c>
      <c r="E1057" s="987">
        <v>45.42</v>
      </c>
      <c r="F1057" s="987">
        <f t="shared" si="6"/>
        <v>2.1822272215972976E-2</v>
      </c>
      <c r="G1057" s="987">
        <v>0</v>
      </c>
      <c r="H1057" s="987">
        <v>3.0999999999999999E-3</v>
      </c>
      <c r="I1057" s="986">
        <f t="shared" si="5"/>
        <v>1.8722272215972977E-2</v>
      </c>
      <c r="J1057" s="988">
        <v>41609</v>
      </c>
    </row>
    <row r="1058" spans="2:10" ht="13.8">
      <c r="B1058" s="988">
        <v>41640</v>
      </c>
      <c r="C1058" s="983" t="s">
        <v>4633</v>
      </c>
      <c r="D1058" s="983" t="s">
        <v>4634</v>
      </c>
      <c r="E1058" s="987">
        <v>48.01</v>
      </c>
      <c r="F1058" s="987">
        <f t="shared" si="6"/>
        <v>5.7023337736679794E-2</v>
      </c>
      <c r="G1058" s="987">
        <v>0</v>
      </c>
      <c r="H1058" s="987">
        <v>3.2000000000000002E-3</v>
      </c>
      <c r="I1058" s="986">
        <f t="shared" si="5"/>
        <v>5.3823337736679792E-2</v>
      </c>
      <c r="J1058" s="988">
        <v>41640</v>
      </c>
    </row>
    <row r="1059" spans="2:10" ht="13.8">
      <c r="B1059" s="988">
        <v>41671</v>
      </c>
      <c r="C1059" s="983" t="s">
        <v>4633</v>
      </c>
      <c r="D1059" s="983" t="s">
        <v>4634</v>
      </c>
      <c r="E1059" s="987">
        <v>46.01</v>
      </c>
      <c r="F1059" s="987">
        <f t="shared" si="6"/>
        <v>-3.3951260154134556E-2</v>
      </c>
      <c r="G1059" s="987">
        <v>0.37</v>
      </c>
      <c r="H1059" s="987">
        <v>2.5999999999999999E-3</v>
      </c>
      <c r="I1059" s="986">
        <f t="shared" si="5"/>
        <v>-3.6551260154134554E-2</v>
      </c>
      <c r="J1059" s="988">
        <v>41671</v>
      </c>
    </row>
    <row r="1060" spans="2:10" ht="13.8">
      <c r="B1060" s="988">
        <v>41699</v>
      </c>
      <c r="C1060" s="983" t="s">
        <v>4633</v>
      </c>
      <c r="D1060" s="983" t="s">
        <v>4634</v>
      </c>
      <c r="E1060" s="987">
        <v>47.13</v>
      </c>
      <c r="F1060" s="987">
        <f t="shared" si="6"/>
        <v>2.4342534231688862E-2</v>
      </c>
      <c r="G1060" s="987">
        <v>0</v>
      </c>
      <c r="H1060" s="987">
        <v>2.8999999999999998E-3</v>
      </c>
      <c r="I1060" s="986">
        <f t="shared" si="5"/>
        <v>2.1442534231688862E-2</v>
      </c>
      <c r="J1060" s="988">
        <v>41699</v>
      </c>
    </row>
    <row r="1061" spans="2:10" ht="13.8">
      <c r="B1061" s="988">
        <v>41730</v>
      </c>
      <c r="C1061" s="983" t="s">
        <v>4633</v>
      </c>
      <c r="D1061" s="983" t="s">
        <v>4634</v>
      </c>
      <c r="E1061" s="983">
        <v>51.04</v>
      </c>
      <c r="F1061" s="987">
        <f t="shared" si="6"/>
        <v>8.2962019944833362E-2</v>
      </c>
      <c r="G1061" s="987">
        <v>0</v>
      </c>
      <c r="H1061" s="987">
        <v>2.8E-3</v>
      </c>
      <c r="I1061" s="986">
        <f t="shared" si="5"/>
        <v>8.0162019944833365E-2</v>
      </c>
      <c r="J1061" s="988">
        <v>41730</v>
      </c>
    </row>
    <row r="1062" spans="2:10" ht="13.8">
      <c r="B1062" s="988">
        <v>41760</v>
      </c>
      <c r="C1062" s="983" t="s">
        <v>4633</v>
      </c>
      <c r="D1062" s="983" t="s">
        <v>4634</v>
      </c>
      <c r="E1062" s="983">
        <v>50.1</v>
      </c>
      <c r="F1062" s="987">
        <f t="shared" si="6"/>
        <v>-1.1167711598746039E-2</v>
      </c>
      <c r="G1062" s="987">
        <v>0.37</v>
      </c>
      <c r="H1062" s="987">
        <v>2.8E-3</v>
      </c>
      <c r="I1062" s="986">
        <f t="shared" si="5"/>
        <v>-1.396771159874604E-2</v>
      </c>
      <c r="J1062" s="988">
        <v>41760</v>
      </c>
    </row>
    <row r="1063" spans="2:10" ht="13.8">
      <c r="B1063" s="988">
        <v>41791</v>
      </c>
      <c r="C1063" s="983" t="s">
        <v>4633</v>
      </c>
      <c r="D1063" s="983" t="s">
        <v>4634</v>
      </c>
      <c r="E1063" s="983">
        <v>53.4</v>
      </c>
      <c r="F1063" s="987">
        <f t="shared" si="6"/>
        <v>6.5868263473053829E-2</v>
      </c>
      <c r="G1063" s="987">
        <v>0</v>
      </c>
      <c r="H1063" s="987">
        <v>2.5000000000000001E-3</v>
      </c>
      <c r="I1063" s="986">
        <f t="shared" si="5"/>
        <v>6.3368263473053826E-2</v>
      </c>
      <c r="J1063" s="988">
        <v>41791</v>
      </c>
    </row>
    <row r="1064" spans="2:10" ht="14.4">
      <c r="B1064" s="988">
        <v>41821</v>
      </c>
      <c r="C1064" s="983" t="s">
        <v>4633</v>
      </c>
      <c r="D1064" s="983" t="s">
        <v>4634</v>
      </c>
      <c r="E1064" s="994">
        <v>48.32</v>
      </c>
      <c r="F1064" s="987">
        <f t="shared" si="6"/>
        <v>-9.5131086142322074E-2</v>
      </c>
      <c r="G1064" s="987">
        <v>0</v>
      </c>
      <c r="H1064" s="987">
        <v>2.7000000000000001E-3</v>
      </c>
      <c r="I1064" s="986">
        <f t="shared" si="5"/>
        <v>-9.7831086142322068E-2</v>
      </c>
      <c r="J1064" s="988">
        <v>41821</v>
      </c>
    </row>
    <row r="1065" spans="2:10" ht="14.4">
      <c r="B1065" s="988">
        <v>41852</v>
      </c>
      <c r="C1065" s="983" t="s">
        <v>4633</v>
      </c>
      <c r="D1065" s="983" t="s">
        <v>4634</v>
      </c>
      <c r="E1065" s="994">
        <v>50.56</v>
      </c>
      <c r="F1065" s="987">
        <f t="shared" si="6"/>
        <v>5.4014900662251696E-2</v>
      </c>
      <c r="G1065" s="987">
        <v>0.37</v>
      </c>
      <c r="H1065" s="987">
        <v>2.5999999999999999E-3</v>
      </c>
      <c r="I1065" s="986">
        <f t="shared" si="5"/>
        <v>5.1414900662251697E-2</v>
      </c>
      <c r="J1065" s="988">
        <v>41852</v>
      </c>
    </row>
    <row r="1066" spans="2:10" ht="14.4">
      <c r="B1066" s="988">
        <v>41883</v>
      </c>
      <c r="C1066" s="983" t="s">
        <v>4633</v>
      </c>
      <c r="D1066" s="983" t="s">
        <v>4634</v>
      </c>
      <c r="E1066" s="994">
        <v>47.7</v>
      </c>
      <c r="F1066" s="987">
        <f t="shared" si="6"/>
        <v>-5.6566455696202521E-2</v>
      </c>
      <c r="G1066" s="987">
        <v>0</v>
      </c>
      <c r="H1066" s="987">
        <v>2.3E-3</v>
      </c>
      <c r="I1066" s="986">
        <f t="shared" si="5"/>
        <v>-5.8866455696202524E-2</v>
      </c>
      <c r="J1066" s="988">
        <v>41883</v>
      </c>
    </row>
    <row r="1067" spans="2:10" ht="14.4">
      <c r="B1067" s="988">
        <v>41913</v>
      </c>
      <c r="C1067" s="983" t="s">
        <v>4633</v>
      </c>
      <c r="D1067" s="983" t="s">
        <v>4634</v>
      </c>
      <c r="E1067" s="994">
        <v>53</v>
      </c>
      <c r="F1067" s="987">
        <f t="shared" si="6"/>
        <v>0.11111111111111105</v>
      </c>
      <c r="G1067" s="987">
        <v>0</v>
      </c>
      <c r="H1067" s="987">
        <v>2.5000000000000001E-3</v>
      </c>
      <c r="I1067" s="986">
        <f t="shared" si="5"/>
        <v>0.10861111111111105</v>
      </c>
      <c r="J1067" s="988">
        <v>41913</v>
      </c>
    </row>
    <row r="1068" spans="2:10" ht="14.4">
      <c r="B1068" s="988">
        <v>41944</v>
      </c>
      <c r="C1068" s="983" t="s">
        <v>4633</v>
      </c>
      <c r="D1068" s="983" t="s">
        <v>4634</v>
      </c>
      <c r="E1068" s="994">
        <v>53.7</v>
      </c>
      <c r="F1068" s="987">
        <f t="shared" si="6"/>
        <v>2.0566037735849113E-2</v>
      </c>
      <c r="G1068" s="987">
        <v>0.39</v>
      </c>
      <c r="H1068" s="987">
        <v>2.3E-3</v>
      </c>
      <c r="I1068" s="986">
        <f t="shared" si="5"/>
        <v>1.8266037735849113E-2</v>
      </c>
      <c r="J1068" s="988">
        <v>41944</v>
      </c>
    </row>
    <row r="1069" spans="2:10" ht="14.4">
      <c r="B1069" s="988">
        <v>41974</v>
      </c>
      <c r="C1069" s="983" t="s">
        <v>4633</v>
      </c>
      <c r="D1069" s="983" t="s">
        <v>4634</v>
      </c>
      <c r="E1069" s="994">
        <v>55.74</v>
      </c>
      <c r="F1069" s="987">
        <f t="shared" si="6"/>
        <v>3.7988826815642439E-2</v>
      </c>
      <c r="G1069" s="987">
        <v>0</v>
      </c>
      <c r="H1069" s="987">
        <v>2.2000000000000001E-3</v>
      </c>
      <c r="I1069" s="986">
        <f t="shared" si="5"/>
        <v>3.5788826815642438E-2</v>
      </c>
      <c r="J1069" s="988">
        <v>41974</v>
      </c>
    </row>
    <row r="1070" spans="2:10" ht="13.8">
      <c r="B1070" s="988">
        <v>42005</v>
      </c>
      <c r="C1070" s="983" t="s">
        <v>4633</v>
      </c>
      <c r="D1070" s="983" t="s">
        <v>4634</v>
      </c>
      <c r="E1070" s="983">
        <v>56.91</v>
      </c>
      <c r="F1070" s="987">
        <f t="shared" si="6"/>
        <v>2.0990312163616694E-2</v>
      </c>
      <c r="G1070" s="987">
        <v>0</v>
      </c>
      <c r="H1070" s="987">
        <v>2E-3</v>
      </c>
      <c r="I1070" s="986">
        <f t="shared" si="5"/>
        <v>1.8990312163616692E-2</v>
      </c>
      <c r="J1070" s="988">
        <v>42005</v>
      </c>
    </row>
    <row r="1071" spans="2:10" ht="13.8">
      <c r="B1071" s="988">
        <v>42036</v>
      </c>
      <c r="C1071" s="983" t="s">
        <v>4633</v>
      </c>
      <c r="D1071" s="983" t="s">
        <v>4634</v>
      </c>
      <c r="E1071" s="983">
        <v>53.04</v>
      </c>
      <c r="F1071" s="987">
        <f t="shared" si="6"/>
        <v>-6.1149182920400592E-2</v>
      </c>
      <c r="G1071" s="987">
        <v>0.39</v>
      </c>
      <c r="H1071" s="987">
        <v>1.5E-3</v>
      </c>
      <c r="I1071" s="986">
        <f t="shared" si="5"/>
        <v>-6.2649182920400587E-2</v>
      </c>
      <c r="J1071" s="988">
        <v>42036</v>
      </c>
    </row>
    <row r="1072" spans="2:10" ht="13.8">
      <c r="B1072" s="988">
        <v>42064</v>
      </c>
      <c r="C1072" s="983" t="s">
        <v>4633</v>
      </c>
      <c r="D1072" s="983" t="s">
        <v>4634</v>
      </c>
      <c r="E1072" s="983">
        <v>55.3</v>
      </c>
      <c r="F1072" s="987">
        <f t="shared" si="6"/>
        <v>4.2609351432880811E-2</v>
      </c>
      <c r="G1072" s="987">
        <v>0</v>
      </c>
      <c r="H1072" s="987">
        <v>2.0999999999999999E-3</v>
      </c>
      <c r="I1072" s="986">
        <f t="shared" si="5"/>
        <v>4.0509351432880814E-2</v>
      </c>
      <c r="J1072" s="988">
        <v>42064</v>
      </c>
    </row>
    <row r="1073" spans="2:10" ht="13.8">
      <c r="B1073" s="988">
        <v>42095</v>
      </c>
      <c r="C1073" s="983" t="s">
        <v>4633</v>
      </c>
      <c r="D1073" s="983" t="s">
        <v>4634</v>
      </c>
      <c r="E1073" s="987">
        <v>54</v>
      </c>
      <c r="F1073" s="987">
        <f t="shared" si="6"/>
        <v>-2.3508137432188016E-2</v>
      </c>
      <c r="G1073" s="987">
        <v>0</v>
      </c>
      <c r="H1073" s="987">
        <v>1.9E-3</v>
      </c>
      <c r="I1073" s="986">
        <f t="shared" si="5"/>
        <v>-2.5408137432188015E-2</v>
      </c>
      <c r="J1073" s="988">
        <v>42095</v>
      </c>
    </row>
    <row r="1074" spans="2:10" ht="13.8">
      <c r="B1074" s="988">
        <v>42125</v>
      </c>
      <c r="C1074" s="983" t="s">
        <v>4633</v>
      </c>
      <c r="D1074" s="983" t="s">
        <v>4634</v>
      </c>
      <c r="E1074" s="987">
        <v>54.02</v>
      </c>
      <c r="F1074" s="987">
        <f t="shared" si="6"/>
        <v>7.5925925925926507E-3</v>
      </c>
      <c r="G1074" s="987">
        <v>0.39</v>
      </c>
      <c r="H1074" s="987">
        <v>2E-3</v>
      </c>
      <c r="I1074" s="986">
        <f t="shared" si="5"/>
        <v>5.5925925925926507E-3</v>
      </c>
      <c r="J1074" s="988">
        <v>42125</v>
      </c>
    </row>
    <row r="1075" spans="2:10" ht="13.8">
      <c r="B1075" s="988">
        <v>42156</v>
      </c>
      <c r="C1075" s="983" t="s">
        <v>4633</v>
      </c>
      <c r="D1075" s="983" t="s">
        <v>4634</v>
      </c>
      <c r="E1075" s="987">
        <v>51.28</v>
      </c>
      <c r="F1075" s="987">
        <f t="shared" si="6"/>
        <v>-5.072195483154391E-2</v>
      </c>
      <c r="G1075" s="987">
        <v>0</v>
      </c>
      <c r="H1075" s="987">
        <v>2.3E-3</v>
      </c>
      <c r="I1075" s="986">
        <f t="shared" si="5"/>
        <v>-5.3021954831543913E-2</v>
      </c>
      <c r="J1075" s="988">
        <f t="shared" ref="J1075:J1138" si="7">B1075</f>
        <v>42156</v>
      </c>
    </row>
    <row r="1076" spans="2:10" ht="13.8">
      <c r="B1076" s="988">
        <v>42186</v>
      </c>
      <c r="C1076" s="983" t="s">
        <v>4633</v>
      </c>
      <c r="D1076" s="983" t="s">
        <v>4634</v>
      </c>
      <c r="E1076" s="987">
        <v>55.3</v>
      </c>
      <c r="F1076" s="987">
        <f t="shared" si="6"/>
        <v>7.8393135725428942E-2</v>
      </c>
      <c r="G1076" s="987">
        <v>0</v>
      </c>
      <c r="H1076" s="987">
        <v>2.3999999999999998E-3</v>
      </c>
      <c r="I1076" s="986">
        <f t="shared" si="5"/>
        <v>7.5993135725428942E-2</v>
      </c>
      <c r="J1076" s="988">
        <f t="shared" si="7"/>
        <v>42186</v>
      </c>
    </row>
    <row r="1077" spans="2:10" ht="13.8">
      <c r="B1077" s="988">
        <v>42217</v>
      </c>
      <c r="C1077" s="983" t="s">
        <v>4633</v>
      </c>
      <c r="D1077" s="983" t="s">
        <v>4634</v>
      </c>
      <c r="E1077" s="987">
        <v>54.79</v>
      </c>
      <c r="F1077" s="987">
        <f t="shared" si="6"/>
        <v>-2.1699819168173231E-3</v>
      </c>
      <c r="G1077" s="987">
        <v>0.39</v>
      </c>
      <c r="H1077" s="987">
        <v>2.2000000000000001E-3</v>
      </c>
      <c r="I1077" s="986">
        <f t="shared" si="5"/>
        <v>-4.3699819168173237E-3</v>
      </c>
      <c r="J1077" s="988">
        <f t="shared" si="7"/>
        <v>42217</v>
      </c>
    </row>
    <row r="1078" spans="2:10">
      <c r="B1078" s="988">
        <v>42248</v>
      </c>
      <c r="C1078" s="987" t="s">
        <v>4633</v>
      </c>
      <c r="D1078" s="987" t="s">
        <v>4634</v>
      </c>
      <c r="E1078" s="987">
        <v>58.18</v>
      </c>
      <c r="F1078" s="987">
        <f t="shared" si="6"/>
        <v>6.1872604489870427E-2</v>
      </c>
      <c r="G1078" s="987">
        <v>0</v>
      </c>
      <c r="H1078" s="987">
        <v>2.0999999999999999E-3</v>
      </c>
      <c r="I1078" s="987">
        <f t="shared" si="5"/>
        <v>5.9772604489870429E-2</v>
      </c>
      <c r="J1078" s="988">
        <f t="shared" si="7"/>
        <v>42248</v>
      </c>
    </row>
    <row r="1079" spans="2:10">
      <c r="B1079" s="988">
        <v>42278</v>
      </c>
      <c r="C1079" s="987" t="s">
        <v>4633</v>
      </c>
      <c r="D1079" s="987" t="s">
        <v>4634</v>
      </c>
      <c r="E1079" s="987">
        <v>63</v>
      </c>
      <c r="F1079" s="987">
        <f t="shared" si="6"/>
        <v>8.2846338948092138E-2</v>
      </c>
      <c r="G1079" s="987">
        <v>0</v>
      </c>
      <c r="H1079" s="987">
        <v>2.0999999999999999E-3</v>
      </c>
      <c r="I1079" s="987">
        <f t="shared" si="5"/>
        <v>8.0746338948092133E-2</v>
      </c>
      <c r="J1079" s="988">
        <f t="shared" si="7"/>
        <v>42278</v>
      </c>
    </row>
    <row r="1080" spans="2:10">
      <c r="B1080" s="988">
        <v>42309</v>
      </c>
      <c r="C1080" s="987" t="s">
        <v>4633</v>
      </c>
      <c r="D1080" s="987" t="s">
        <v>4634</v>
      </c>
      <c r="E1080" s="987">
        <v>62.31</v>
      </c>
      <c r="F1080" s="987">
        <f t="shared" si="6"/>
        <v>-4.2857142857142504E-3</v>
      </c>
      <c r="G1080" s="987">
        <v>0.42</v>
      </c>
      <c r="H1080" s="987">
        <v>2.2000000000000001E-3</v>
      </c>
      <c r="I1080" s="987">
        <f t="shared" si="5"/>
        <v>-6.4857142857142509E-3</v>
      </c>
      <c r="J1080" s="988">
        <f t="shared" si="7"/>
        <v>42309</v>
      </c>
    </row>
    <row r="1081" spans="2:10">
      <c r="B1081" s="988">
        <v>42339</v>
      </c>
      <c r="C1081" s="987" t="s">
        <v>4633</v>
      </c>
      <c r="D1081" s="987" t="s">
        <v>4634</v>
      </c>
      <c r="E1081" s="987">
        <v>63.04</v>
      </c>
      <c r="F1081" s="987">
        <f t="shared" si="6"/>
        <v>1.1715615471031886E-2</v>
      </c>
      <c r="G1081" s="987">
        <v>0</v>
      </c>
      <c r="H1081" s="987">
        <v>2.2000000000000001E-3</v>
      </c>
      <c r="I1081" s="987">
        <f t="shared" si="5"/>
        <v>9.5156154710318852E-3</v>
      </c>
      <c r="J1081" s="988">
        <f t="shared" si="7"/>
        <v>42339</v>
      </c>
    </row>
    <row r="1082" spans="2:10">
      <c r="B1082" s="988">
        <v>42370</v>
      </c>
      <c r="C1082" s="987" t="s">
        <v>4633</v>
      </c>
      <c r="D1082" s="987" t="s">
        <v>4634</v>
      </c>
      <c r="E1082" s="987">
        <v>69.22</v>
      </c>
      <c r="F1082" s="987">
        <f t="shared" si="6"/>
        <v>9.8032994923857864E-2</v>
      </c>
      <c r="G1082" s="987">
        <v>0</v>
      </c>
      <c r="H1082" s="987">
        <v>2.0999999999999999E-3</v>
      </c>
      <c r="I1082" s="987">
        <f t="shared" ref="I1082:I1145" si="8">F1082-H1082</f>
        <v>9.5932994923857859E-2</v>
      </c>
      <c r="J1082" s="988">
        <f t="shared" si="7"/>
        <v>42370</v>
      </c>
    </row>
    <row r="1083" spans="2:10">
      <c r="B1083" s="988">
        <v>42401</v>
      </c>
      <c r="C1083" s="987" t="s">
        <v>4633</v>
      </c>
      <c r="D1083" s="987" t="s">
        <v>4634</v>
      </c>
      <c r="E1083" s="987">
        <v>69.41</v>
      </c>
      <c r="F1083" s="987">
        <f t="shared" si="6"/>
        <v>8.8124819416353327E-3</v>
      </c>
      <c r="G1083" s="987">
        <v>0.42</v>
      </c>
      <c r="H1083" s="987">
        <v>2E-3</v>
      </c>
      <c r="I1083" s="987">
        <f t="shared" si="8"/>
        <v>6.8124819416353326E-3</v>
      </c>
      <c r="J1083" s="988">
        <f t="shared" si="7"/>
        <v>42401</v>
      </c>
    </row>
    <row r="1084" spans="2:10">
      <c r="B1084" s="988">
        <v>42430</v>
      </c>
      <c r="C1084" s="987" t="s">
        <v>4633</v>
      </c>
      <c r="D1084" s="987" t="s">
        <v>4634</v>
      </c>
      <c r="E1084" s="987">
        <v>74.260000000000005</v>
      </c>
      <c r="F1084" s="987">
        <f t="shared" si="6"/>
        <v>6.9874657830283946E-2</v>
      </c>
      <c r="G1084" s="987">
        <v>0</v>
      </c>
      <c r="H1084" s="987">
        <v>1.8E-3</v>
      </c>
      <c r="I1084" s="987">
        <f t="shared" si="8"/>
        <v>6.8074657830283949E-2</v>
      </c>
      <c r="J1084" s="988">
        <f t="shared" si="7"/>
        <v>42430</v>
      </c>
    </row>
    <row r="1085" spans="2:10">
      <c r="B1085" s="988">
        <v>42461</v>
      </c>
      <c r="C1085" s="987" t="s">
        <v>4633</v>
      </c>
      <c r="D1085" s="987" t="s">
        <v>4634</v>
      </c>
      <c r="E1085" s="987">
        <v>72.55</v>
      </c>
      <c r="F1085" s="987">
        <f t="shared" si="6"/>
        <v>-2.3027201723673684E-2</v>
      </c>
      <c r="G1085" s="987">
        <v>0</v>
      </c>
      <c r="H1085" s="987">
        <v>1.6999999999999999E-3</v>
      </c>
      <c r="I1085" s="987">
        <f t="shared" si="8"/>
        <v>-2.4727201723673684E-2</v>
      </c>
      <c r="J1085" s="988">
        <f t="shared" si="7"/>
        <v>42461</v>
      </c>
    </row>
    <row r="1086" spans="2:10">
      <c r="B1086" s="988">
        <v>42491</v>
      </c>
      <c r="C1086" s="987" t="s">
        <v>4633</v>
      </c>
      <c r="D1086" s="987" t="s">
        <v>4634</v>
      </c>
      <c r="E1086" s="987">
        <v>72.900000000000006</v>
      </c>
      <c r="F1086" s="987">
        <f t="shared" si="6"/>
        <v>1.0613370089593501E-2</v>
      </c>
      <c r="G1086" s="987">
        <v>0.42</v>
      </c>
      <c r="H1086" s="987">
        <v>2E-3</v>
      </c>
      <c r="I1086" s="987">
        <f t="shared" si="8"/>
        <v>8.6133700895935014E-3</v>
      </c>
      <c r="J1086" s="988">
        <f t="shared" si="7"/>
        <v>42491</v>
      </c>
    </row>
    <row r="1087" spans="2:10">
      <c r="B1087" s="988">
        <v>42522</v>
      </c>
      <c r="C1087" s="987" t="s">
        <v>4633</v>
      </c>
      <c r="D1087" s="987" t="s">
        <v>4634</v>
      </c>
      <c r="E1087" s="987">
        <v>81.319999999999993</v>
      </c>
      <c r="F1087" s="987">
        <f t="shared" si="6"/>
        <v>0.11550068587105607</v>
      </c>
      <c r="G1087" s="987">
        <v>0</v>
      </c>
      <c r="H1087" s="987">
        <v>1.8E-3</v>
      </c>
      <c r="I1087" s="987">
        <f t="shared" si="8"/>
        <v>0.11370068587105607</v>
      </c>
      <c r="J1087" s="988">
        <f t="shared" si="7"/>
        <v>42522</v>
      </c>
    </row>
    <row r="1088" spans="2:10">
      <c r="B1088" s="988">
        <v>42552</v>
      </c>
      <c r="C1088" s="987" t="s">
        <v>4633</v>
      </c>
      <c r="D1088" s="987" t="s">
        <v>4634</v>
      </c>
      <c r="E1088" s="987">
        <v>79.790000000000006</v>
      </c>
      <c r="F1088" s="987">
        <f t="shared" si="6"/>
        <v>-1.8814559763895563E-2</v>
      </c>
      <c r="G1088" s="987">
        <v>0</v>
      </c>
      <c r="H1088" s="987">
        <v>1.4E-3</v>
      </c>
      <c r="I1088" s="987">
        <f t="shared" si="8"/>
        <v>-2.0214559763895561E-2</v>
      </c>
      <c r="J1088" s="988">
        <f t="shared" si="7"/>
        <v>42552</v>
      </c>
    </row>
    <row r="1089" spans="2:10">
      <c r="B1089" s="988">
        <v>42583</v>
      </c>
      <c r="C1089" s="987" t="s">
        <v>4633</v>
      </c>
      <c r="D1089" s="987" t="s">
        <v>4634</v>
      </c>
      <c r="E1089" s="987">
        <v>73.7</v>
      </c>
      <c r="F1089" s="987">
        <f t="shared" si="6"/>
        <v>-7.1061536533400221E-2</v>
      </c>
      <c r="G1089" s="987">
        <v>0.42</v>
      </c>
      <c r="H1089" s="987">
        <v>1.6000000000000001E-3</v>
      </c>
      <c r="I1089" s="987">
        <f t="shared" si="8"/>
        <v>-7.2661536533400226E-2</v>
      </c>
      <c r="J1089" s="988">
        <f t="shared" si="7"/>
        <v>42583</v>
      </c>
    </row>
    <row r="1090" spans="2:10">
      <c r="B1090" s="988">
        <v>42614</v>
      </c>
      <c r="C1090" s="987" t="s">
        <v>4633</v>
      </c>
      <c r="D1090" s="987" t="s">
        <v>4634</v>
      </c>
      <c r="E1090" s="987">
        <v>74.47</v>
      </c>
      <c r="F1090" s="987">
        <f t="shared" si="6"/>
        <v>1.0447761194029796E-2</v>
      </c>
      <c r="G1090" s="987">
        <v>0</v>
      </c>
      <c r="H1090" s="987">
        <v>1.5E-3</v>
      </c>
      <c r="I1090" s="987">
        <f t="shared" si="8"/>
        <v>8.947761194029796E-3</v>
      </c>
      <c r="J1090" s="988">
        <f t="shared" si="7"/>
        <v>42614</v>
      </c>
    </row>
    <row r="1091" spans="2:10">
      <c r="B1091" s="988">
        <v>42644</v>
      </c>
      <c r="C1091" s="987" t="s">
        <v>4633</v>
      </c>
      <c r="D1091" s="987" t="s">
        <v>4634</v>
      </c>
      <c r="E1091" s="987">
        <v>74.39</v>
      </c>
      <c r="F1091" s="987">
        <f t="shared" si="6"/>
        <v>-1.0742580905062213E-3</v>
      </c>
      <c r="G1091" s="987">
        <v>0</v>
      </c>
      <c r="H1091" s="987">
        <v>1.6000000000000001E-3</v>
      </c>
      <c r="I1091" s="987">
        <f t="shared" si="8"/>
        <v>-2.6742580905062211E-3</v>
      </c>
      <c r="J1091" s="988">
        <f t="shared" si="7"/>
        <v>42644</v>
      </c>
    </row>
    <row r="1092" spans="2:10">
      <c r="B1092" s="988">
        <v>42675</v>
      </c>
      <c r="C1092" s="987" t="s">
        <v>4633</v>
      </c>
      <c r="D1092" s="987" t="s">
        <v>4634</v>
      </c>
      <c r="E1092" s="987">
        <v>71.12</v>
      </c>
      <c r="F1092" s="987">
        <f t="shared" si="6"/>
        <v>-3.7908321010888507E-2</v>
      </c>
      <c r="G1092" s="987">
        <v>0.45</v>
      </c>
      <c r="H1092" s="987">
        <v>1.8E-3</v>
      </c>
      <c r="I1092" s="987">
        <f t="shared" si="8"/>
        <v>-3.970832101088851E-2</v>
      </c>
      <c r="J1092" s="988">
        <f t="shared" si="7"/>
        <v>42675</v>
      </c>
    </row>
    <row r="1093" spans="2:10">
      <c r="B1093" s="988">
        <v>42705</v>
      </c>
      <c r="C1093" s="987" t="s">
        <v>4633</v>
      </c>
      <c r="D1093" s="987" t="s">
        <v>4634</v>
      </c>
      <c r="E1093" s="987">
        <v>74.150000000000006</v>
      </c>
      <c r="F1093" s="987">
        <f t="shared" si="6"/>
        <v>4.2604049493813287E-2</v>
      </c>
      <c r="G1093" s="987">
        <v>0</v>
      </c>
      <c r="H1093" s="987">
        <v>2.2000000000000001E-3</v>
      </c>
      <c r="I1093" s="987">
        <f t="shared" si="8"/>
        <v>4.0404049493813286E-2</v>
      </c>
      <c r="J1093" s="988">
        <f t="shared" si="7"/>
        <v>42705</v>
      </c>
    </row>
    <row r="1094" spans="2:10">
      <c r="B1094" s="988">
        <v>42736</v>
      </c>
      <c r="C1094" s="987" t="s">
        <v>4633</v>
      </c>
      <c r="D1094" s="987" t="s">
        <v>4634</v>
      </c>
      <c r="E1094" s="987">
        <v>76.180000000000007</v>
      </c>
      <c r="F1094" s="987">
        <f t="shared" si="6"/>
        <v>2.737693863789617E-2</v>
      </c>
      <c r="G1094" s="987">
        <v>0</v>
      </c>
      <c r="H1094" s="987">
        <v>2.3999999999999998E-3</v>
      </c>
      <c r="I1094" s="987">
        <f t="shared" si="8"/>
        <v>2.4976938637896171E-2</v>
      </c>
      <c r="J1094" s="988">
        <f t="shared" si="7"/>
        <v>42736</v>
      </c>
    </row>
    <row r="1095" spans="2:10">
      <c r="B1095" s="988">
        <v>42767</v>
      </c>
      <c r="C1095" s="987" t="s">
        <v>4633</v>
      </c>
      <c r="D1095" s="987" t="s">
        <v>4634</v>
      </c>
      <c r="E1095" s="987">
        <v>78.290000000000006</v>
      </c>
      <c r="F1095" s="987">
        <f t="shared" si="6"/>
        <v>3.3604620635337347E-2</v>
      </c>
      <c r="G1095" s="987">
        <v>0.45</v>
      </c>
      <c r="H1095" s="987">
        <v>2.0999999999999999E-3</v>
      </c>
      <c r="I1095" s="987">
        <f t="shared" si="8"/>
        <v>3.1504620635337349E-2</v>
      </c>
      <c r="J1095" s="988">
        <f t="shared" si="7"/>
        <v>42767</v>
      </c>
    </row>
    <row r="1096" spans="2:10">
      <c r="B1096" s="988">
        <v>42795</v>
      </c>
      <c r="C1096" s="987" t="s">
        <v>4633</v>
      </c>
      <c r="D1096" s="987" t="s">
        <v>4634</v>
      </c>
      <c r="E1096" s="987">
        <v>78.989999999999995</v>
      </c>
      <c r="F1096" s="987">
        <f t="shared" si="6"/>
        <v>8.9411163622427972E-3</v>
      </c>
      <c r="G1096" s="987">
        <v>0</v>
      </c>
      <c r="H1096" s="987">
        <v>2.3E-3</v>
      </c>
      <c r="I1096" s="987">
        <f t="shared" si="8"/>
        <v>6.6411163622427972E-3</v>
      </c>
      <c r="J1096" s="988">
        <f t="shared" si="7"/>
        <v>42795</v>
      </c>
    </row>
    <row r="1097" spans="2:10">
      <c r="B1097" s="988">
        <v>42826</v>
      </c>
      <c r="C1097" s="987" t="s">
        <v>4633</v>
      </c>
      <c r="D1097" s="987" t="s">
        <v>4634</v>
      </c>
      <c r="E1097" s="987">
        <v>81.02</v>
      </c>
      <c r="F1097" s="987">
        <f t="shared" si="6"/>
        <v>2.5699455627294612E-2</v>
      </c>
      <c r="G1097" s="987">
        <v>0</v>
      </c>
      <c r="H1097" s="987">
        <v>2.0999999999999999E-3</v>
      </c>
      <c r="I1097" s="987">
        <f t="shared" si="8"/>
        <v>2.359945562729461E-2</v>
      </c>
      <c r="J1097" s="988">
        <f t="shared" si="7"/>
        <v>42826</v>
      </c>
    </row>
    <row r="1098" spans="2:10">
      <c r="B1098" s="988">
        <v>42856</v>
      </c>
      <c r="C1098" s="987" t="s">
        <v>4633</v>
      </c>
      <c r="D1098" s="987" t="s">
        <v>4634</v>
      </c>
      <c r="E1098" s="987">
        <v>83.31</v>
      </c>
      <c r="F1098" s="987">
        <f t="shared" si="6"/>
        <v>3.3818810170328395E-2</v>
      </c>
      <c r="G1098" s="987">
        <v>0.45</v>
      </c>
      <c r="H1098" s="987">
        <v>2.3999999999999998E-3</v>
      </c>
      <c r="I1098" s="987">
        <f t="shared" si="8"/>
        <v>3.1418810170328396E-2</v>
      </c>
      <c r="J1098" s="988">
        <f t="shared" si="7"/>
        <v>42856</v>
      </c>
    </row>
    <row r="1099" spans="2:10">
      <c r="B1099" s="988">
        <v>42887</v>
      </c>
      <c r="C1099" s="987" t="s">
        <v>4633</v>
      </c>
      <c r="D1099" s="987" t="s">
        <v>4634</v>
      </c>
      <c r="E1099" s="987">
        <v>82.95</v>
      </c>
      <c r="F1099" s="987">
        <f t="shared" si="6"/>
        <v>-4.3212099387828521E-3</v>
      </c>
      <c r="G1099" s="987">
        <v>0</v>
      </c>
      <c r="H1099" s="987">
        <v>2.0999999999999999E-3</v>
      </c>
      <c r="I1099" s="987">
        <f t="shared" si="8"/>
        <v>-6.4212099387828524E-3</v>
      </c>
      <c r="J1099" s="988">
        <f t="shared" si="7"/>
        <v>42887</v>
      </c>
    </row>
    <row r="1100" spans="2:10">
      <c r="B1100" s="988">
        <v>42917</v>
      </c>
      <c r="C1100" s="987" t="s">
        <v>4633</v>
      </c>
      <c r="D1100" s="987" t="s">
        <v>4634</v>
      </c>
      <c r="E1100" s="987">
        <v>86.76</v>
      </c>
      <c r="F1100" s="987">
        <f t="shared" si="6"/>
        <v>4.5931283905967478E-2</v>
      </c>
      <c r="G1100" s="987">
        <v>0</v>
      </c>
      <c r="H1100" s="987">
        <v>2.2000000000000001E-3</v>
      </c>
      <c r="I1100" s="987">
        <f t="shared" si="8"/>
        <v>4.3731283905967477E-2</v>
      </c>
      <c r="J1100" s="988">
        <f t="shared" si="7"/>
        <v>42917</v>
      </c>
    </row>
    <row r="1101" spans="2:10">
      <c r="B1101" s="988">
        <v>42948</v>
      </c>
      <c r="C1101" s="987" t="s">
        <v>4633</v>
      </c>
      <c r="D1101" s="987" t="s">
        <v>4634</v>
      </c>
      <c r="E1101" s="987">
        <v>88.04</v>
      </c>
      <c r="F1101" s="987">
        <f t="shared" si="6"/>
        <v>1.9940064545873687E-2</v>
      </c>
      <c r="G1101" s="987">
        <v>0.45</v>
      </c>
      <c r="H1101" s="987">
        <v>2.2000000000000001E-3</v>
      </c>
      <c r="I1101" s="987">
        <f t="shared" si="8"/>
        <v>1.7740064545873686E-2</v>
      </c>
      <c r="J1101" s="988">
        <f t="shared" si="7"/>
        <v>42948</v>
      </c>
    </row>
    <row r="1102" spans="2:10">
      <c r="B1102" s="988">
        <v>42979</v>
      </c>
      <c r="C1102" s="987" t="s">
        <v>4633</v>
      </c>
      <c r="D1102" s="987" t="s">
        <v>4634</v>
      </c>
      <c r="E1102" s="987">
        <v>83.84</v>
      </c>
      <c r="F1102" s="987">
        <f t="shared" si="6"/>
        <v>-4.7705588368923246E-2</v>
      </c>
      <c r="G1102" s="987">
        <v>0</v>
      </c>
      <c r="H1102" s="987">
        <v>1.9E-3</v>
      </c>
      <c r="I1102" s="987">
        <f t="shared" si="8"/>
        <v>-4.9605588368923245E-2</v>
      </c>
      <c r="J1102" s="988">
        <f t="shared" si="7"/>
        <v>42979</v>
      </c>
    </row>
    <row r="1103" spans="2:10">
      <c r="B1103" s="988">
        <v>43009</v>
      </c>
      <c r="C1103" s="987" t="s">
        <v>4633</v>
      </c>
      <c r="D1103" s="987" t="s">
        <v>4634</v>
      </c>
      <c r="E1103" s="987">
        <v>87.24</v>
      </c>
      <c r="F1103" s="987">
        <f t="shared" si="6"/>
        <v>4.0553435114503711E-2</v>
      </c>
      <c r="G1103" s="987">
        <v>0</v>
      </c>
      <c r="H1103" s="987">
        <v>2.2000000000000001E-3</v>
      </c>
      <c r="I1103" s="987">
        <f t="shared" si="8"/>
        <v>3.835343511450371E-2</v>
      </c>
      <c r="J1103" s="988">
        <f t="shared" si="7"/>
        <v>43009</v>
      </c>
    </row>
    <row r="1104" spans="2:10">
      <c r="B1104" s="988">
        <v>43040</v>
      </c>
      <c r="C1104" s="987" t="s">
        <v>4633</v>
      </c>
      <c r="D1104" s="987" t="s">
        <v>4634</v>
      </c>
      <c r="E1104" s="987">
        <v>92.29</v>
      </c>
      <c r="F1104" s="987">
        <f t="shared" ref="F1104:F1165" si="9">((E1104-E1103)/E1103)+(G1104/E1103)</f>
        <v>6.3445667125172064E-2</v>
      </c>
      <c r="G1104" s="987">
        <v>0.48499999999999999</v>
      </c>
      <c r="H1104" s="987">
        <v>2.0999999999999999E-3</v>
      </c>
      <c r="I1104" s="987">
        <f t="shared" si="8"/>
        <v>6.1345667125172067E-2</v>
      </c>
      <c r="J1104" s="988">
        <f t="shared" si="7"/>
        <v>43040</v>
      </c>
    </row>
    <row r="1105" spans="2:10">
      <c r="B1105" s="988">
        <v>43070</v>
      </c>
      <c r="C1105" s="987" t="s">
        <v>4633</v>
      </c>
      <c r="D1105" s="987" t="s">
        <v>4634</v>
      </c>
      <c r="E1105" s="987">
        <v>85.89</v>
      </c>
      <c r="F1105" s="987">
        <f t="shared" si="9"/>
        <v>-6.9346624769747595E-2</v>
      </c>
      <c r="G1105" s="987">
        <v>0</v>
      </c>
      <c r="H1105" s="987">
        <v>2E-3</v>
      </c>
      <c r="I1105" s="987">
        <f t="shared" si="8"/>
        <v>-7.1346624769747596E-2</v>
      </c>
      <c r="J1105" s="988">
        <f t="shared" si="7"/>
        <v>43070</v>
      </c>
    </row>
    <row r="1106" spans="2:10">
      <c r="B1106" s="988">
        <v>43101</v>
      </c>
      <c r="C1106" s="987" t="s">
        <v>4633</v>
      </c>
      <c r="D1106" s="987" t="s">
        <v>4634</v>
      </c>
      <c r="E1106" s="987">
        <v>82.9</v>
      </c>
      <c r="F1106" s="987">
        <f t="shared" si="9"/>
        <v>-3.4811968797298809E-2</v>
      </c>
      <c r="G1106" s="987">
        <v>0</v>
      </c>
      <c r="H1106" s="987">
        <v>2.3999999999999998E-3</v>
      </c>
      <c r="I1106" s="987">
        <f t="shared" si="8"/>
        <v>-3.7211968797298808E-2</v>
      </c>
      <c r="J1106" s="988">
        <f t="shared" si="7"/>
        <v>43101</v>
      </c>
    </row>
    <row r="1107" spans="2:10">
      <c r="B1107" s="988">
        <v>43132</v>
      </c>
      <c r="C1107" s="987" t="s">
        <v>4633</v>
      </c>
      <c r="D1107" s="987" t="s">
        <v>4634</v>
      </c>
      <c r="E1107" s="987">
        <v>80.489999999999995</v>
      </c>
      <c r="F1107" s="987">
        <f t="shared" si="9"/>
        <v>-2.322074788902305E-2</v>
      </c>
      <c r="G1107" s="987">
        <v>0.48499999999999999</v>
      </c>
      <c r="H1107" s="987">
        <v>2.2000000000000001E-3</v>
      </c>
      <c r="I1107" s="987">
        <f t="shared" si="8"/>
        <v>-2.542074788902305E-2</v>
      </c>
      <c r="J1107" s="988">
        <f t="shared" si="7"/>
        <v>43132</v>
      </c>
    </row>
    <row r="1108" spans="2:10">
      <c r="B1108" s="988">
        <v>43160</v>
      </c>
      <c r="C1108" s="987" t="s">
        <v>4633</v>
      </c>
      <c r="D1108" s="987" t="s">
        <v>4634</v>
      </c>
      <c r="E1108" s="987">
        <v>84.24</v>
      </c>
      <c r="F1108" s="987">
        <f t="shared" si="9"/>
        <v>4.6589638464405517E-2</v>
      </c>
      <c r="G1108" s="987">
        <v>0</v>
      </c>
      <c r="H1108" s="987">
        <v>2.3999999999999998E-3</v>
      </c>
      <c r="I1108" s="987">
        <f t="shared" si="8"/>
        <v>4.4189638464405517E-2</v>
      </c>
      <c r="J1108" s="988">
        <f t="shared" si="7"/>
        <v>43160</v>
      </c>
    </row>
    <row r="1109" spans="2:10">
      <c r="B1109" s="988">
        <v>43191</v>
      </c>
      <c r="C1109" s="987" t="s">
        <v>4633</v>
      </c>
      <c r="D1109" s="987" t="s">
        <v>4634</v>
      </c>
      <c r="E1109" s="987">
        <v>86.89</v>
      </c>
      <c r="F1109" s="987">
        <f t="shared" si="9"/>
        <v>3.1457739791073192E-2</v>
      </c>
      <c r="G1109" s="987">
        <v>0</v>
      </c>
      <c r="H1109" s="987">
        <v>2.5000000000000001E-3</v>
      </c>
      <c r="I1109" s="987">
        <f t="shared" si="8"/>
        <v>2.8957739791073193E-2</v>
      </c>
      <c r="J1109" s="988">
        <f t="shared" si="7"/>
        <v>43191</v>
      </c>
    </row>
    <row r="1110" spans="2:10">
      <c r="B1110" s="988">
        <v>43221</v>
      </c>
      <c r="C1110" s="987" t="s">
        <v>4633</v>
      </c>
      <c r="D1110" s="987" t="s">
        <v>4634</v>
      </c>
      <c r="E1110" s="987">
        <v>89.21</v>
      </c>
      <c r="F1110" s="987">
        <f t="shared" si="9"/>
        <v>3.2282195879848007E-2</v>
      </c>
      <c r="G1110" s="987">
        <v>0.48499999999999999</v>
      </c>
      <c r="H1110" s="987">
        <v>2.5000000000000001E-3</v>
      </c>
      <c r="I1110" s="987">
        <f t="shared" si="8"/>
        <v>2.9782195879848008E-2</v>
      </c>
      <c r="J1110" s="988">
        <f t="shared" si="7"/>
        <v>43221</v>
      </c>
    </row>
    <row r="1111" spans="2:10">
      <c r="B1111" s="988">
        <v>43252</v>
      </c>
      <c r="C1111" s="987" t="s">
        <v>4633</v>
      </c>
      <c r="D1111" s="987" t="s">
        <v>4634</v>
      </c>
      <c r="E1111" s="987">
        <v>90.14</v>
      </c>
      <c r="F1111" s="987">
        <f t="shared" si="9"/>
        <v>1.042484026454441E-2</v>
      </c>
      <c r="G1111" s="987">
        <v>0</v>
      </c>
      <c r="H1111" s="987">
        <v>2.3E-3</v>
      </c>
      <c r="I1111" s="987">
        <f t="shared" si="8"/>
        <v>8.1248402645444102E-3</v>
      </c>
      <c r="J1111" s="988">
        <f t="shared" si="7"/>
        <v>43252</v>
      </c>
    </row>
    <row r="1112" spans="2:10">
      <c r="B1112" s="988">
        <v>43282</v>
      </c>
      <c r="C1112" s="987" t="s">
        <v>4633</v>
      </c>
      <c r="D1112" s="987" t="s">
        <v>4634</v>
      </c>
      <c r="E1112" s="987">
        <v>91.87</v>
      </c>
      <c r="F1112" s="987">
        <f t="shared" si="9"/>
        <v>1.9192367428444684E-2</v>
      </c>
      <c r="G1112" s="987">
        <v>0</v>
      </c>
      <c r="H1112" s="987">
        <v>2.5000000000000001E-3</v>
      </c>
      <c r="I1112" s="987">
        <f t="shared" si="8"/>
        <v>1.6692367428444686E-2</v>
      </c>
      <c r="J1112" s="988">
        <f t="shared" si="7"/>
        <v>43282</v>
      </c>
    </row>
    <row r="1113" spans="2:10">
      <c r="B1113" s="988">
        <v>43313</v>
      </c>
      <c r="C1113" s="987" t="s">
        <v>4633</v>
      </c>
      <c r="D1113" s="987" t="s">
        <v>4634</v>
      </c>
      <c r="E1113" s="987">
        <v>92.23</v>
      </c>
      <c r="F1113" s="987">
        <f t="shared" si="9"/>
        <v>9.1977794709916117E-3</v>
      </c>
      <c r="G1113" s="987">
        <v>0.48499999999999999</v>
      </c>
      <c r="H1113" s="987">
        <v>2.5000000000000001E-3</v>
      </c>
      <c r="I1113" s="987">
        <f t="shared" si="8"/>
        <v>6.6977794709916112E-3</v>
      </c>
      <c r="J1113" s="988">
        <f t="shared" si="7"/>
        <v>43313</v>
      </c>
    </row>
    <row r="1114" spans="2:10">
      <c r="B1114" s="988">
        <v>43344</v>
      </c>
      <c r="C1114" s="987" t="s">
        <v>4633</v>
      </c>
      <c r="D1114" s="987" t="s">
        <v>4634</v>
      </c>
      <c r="E1114" s="987">
        <v>93.91</v>
      </c>
      <c r="F1114" s="987">
        <f t="shared" si="9"/>
        <v>1.8215331237124498E-2</v>
      </c>
      <c r="G1114" s="987">
        <v>0</v>
      </c>
      <c r="H1114" s="987">
        <v>2.2000000000000001E-3</v>
      </c>
      <c r="I1114" s="987">
        <f t="shared" si="8"/>
        <v>1.6015331237124498E-2</v>
      </c>
      <c r="J1114" s="988">
        <f t="shared" si="7"/>
        <v>43344</v>
      </c>
    </row>
    <row r="1115" spans="2:10">
      <c r="B1115" s="988">
        <v>43374</v>
      </c>
      <c r="C1115" s="987" t="s">
        <v>4633</v>
      </c>
      <c r="D1115" s="987" t="s">
        <v>4634</v>
      </c>
      <c r="E1115" s="987">
        <v>93.08</v>
      </c>
      <c r="F1115" s="987">
        <f t="shared" si="9"/>
        <v>-8.8382493877116209E-3</v>
      </c>
      <c r="G1115" s="987">
        <v>0</v>
      </c>
      <c r="H1115" s="987">
        <v>3.0000000000000001E-3</v>
      </c>
      <c r="I1115" s="987">
        <f t="shared" si="8"/>
        <v>-1.1838249387711622E-2</v>
      </c>
      <c r="J1115" s="988">
        <f t="shared" si="7"/>
        <v>43374</v>
      </c>
    </row>
    <row r="1116" spans="2:10">
      <c r="B1116" s="988">
        <v>43405</v>
      </c>
      <c r="C1116" s="987" t="s">
        <v>4633</v>
      </c>
      <c r="D1116" s="987" t="s">
        <v>4634</v>
      </c>
      <c r="E1116" s="987">
        <v>95.67</v>
      </c>
      <c r="F1116" s="987">
        <f t="shared" si="9"/>
        <v>3.3465835840137556E-2</v>
      </c>
      <c r="G1116" s="987">
        <v>0.52500000000000002</v>
      </c>
      <c r="H1116" s="987">
        <v>2.8E-3</v>
      </c>
      <c r="I1116" s="987">
        <f t="shared" si="8"/>
        <v>3.0665835840137556E-2</v>
      </c>
      <c r="J1116" s="988">
        <f t="shared" si="7"/>
        <v>43405</v>
      </c>
    </row>
    <row r="1117" spans="2:10">
      <c r="B1117" s="988">
        <v>43435</v>
      </c>
      <c r="C1117" s="987" t="s">
        <v>4633</v>
      </c>
      <c r="D1117" s="987" t="s">
        <v>4634</v>
      </c>
      <c r="E1117" s="987">
        <v>92.72</v>
      </c>
      <c r="F1117" s="987">
        <f t="shared" si="9"/>
        <v>-3.0835162537890697E-2</v>
      </c>
      <c r="G1117" s="987">
        <v>0</v>
      </c>
      <c r="H1117" s="987">
        <v>2.7000000000000001E-3</v>
      </c>
      <c r="I1117" s="987">
        <f t="shared" si="8"/>
        <v>-3.3535162537890698E-2</v>
      </c>
      <c r="J1117" s="988">
        <f t="shared" si="7"/>
        <v>43435</v>
      </c>
    </row>
    <row r="1118" spans="2:10">
      <c r="B1118" s="988">
        <v>43466</v>
      </c>
      <c r="C1118" s="987" t="s">
        <v>4633</v>
      </c>
      <c r="D1118" s="987" t="s">
        <v>4634</v>
      </c>
      <c r="E1118" s="987">
        <v>97.63</v>
      </c>
      <c r="F1118" s="987">
        <f t="shared" si="9"/>
        <v>5.2955133735979258E-2</v>
      </c>
      <c r="G1118" s="987">
        <v>0</v>
      </c>
      <c r="H1118" s="987">
        <v>2.5000000000000001E-3</v>
      </c>
      <c r="I1118" s="987">
        <f t="shared" si="8"/>
        <v>5.0455133735979256E-2</v>
      </c>
      <c r="J1118" s="988">
        <f t="shared" si="7"/>
        <v>43466</v>
      </c>
    </row>
    <row r="1119" spans="2:10">
      <c r="B1119" s="988">
        <v>43497</v>
      </c>
      <c r="C1119" s="987" t="s">
        <v>4633</v>
      </c>
      <c r="D1119" s="987" t="s">
        <v>4634</v>
      </c>
      <c r="E1119" s="987">
        <v>98.85</v>
      </c>
      <c r="F1119" s="987">
        <f t="shared" si="9"/>
        <v>1.7873604424869394E-2</v>
      </c>
      <c r="G1119" s="987">
        <v>0.52500000000000002</v>
      </c>
      <c r="H1119" s="987">
        <v>2.2000000000000001E-3</v>
      </c>
      <c r="I1119" s="987">
        <f t="shared" si="8"/>
        <v>1.5673604424869394E-2</v>
      </c>
      <c r="J1119" s="988">
        <f t="shared" si="7"/>
        <v>43497</v>
      </c>
    </row>
    <row r="1120" spans="2:10">
      <c r="B1120" s="988">
        <v>43525</v>
      </c>
      <c r="C1120" s="987" t="s">
        <v>4633</v>
      </c>
      <c r="D1120" s="987" t="s">
        <v>4634</v>
      </c>
      <c r="E1120" s="987">
        <v>102.93</v>
      </c>
      <c r="F1120" s="987">
        <f t="shared" si="9"/>
        <v>4.1274658573596489E-2</v>
      </c>
      <c r="G1120" s="987">
        <v>0</v>
      </c>
      <c r="H1120" s="987">
        <v>2.3E-3</v>
      </c>
      <c r="I1120" s="987">
        <f t="shared" si="8"/>
        <v>3.8974658573596485E-2</v>
      </c>
      <c r="J1120" s="988">
        <f t="shared" si="7"/>
        <v>43525</v>
      </c>
    </row>
    <row r="1121" spans="2:10">
      <c r="B1121" s="988">
        <v>43556</v>
      </c>
      <c r="C1121" s="987" t="s">
        <v>4633</v>
      </c>
      <c r="D1121" s="987" t="s">
        <v>4634</v>
      </c>
      <c r="E1121" s="987">
        <v>102.34</v>
      </c>
      <c r="F1121" s="987">
        <f t="shared" si="9"/>
        <v>-5.7320509083843719E-3</v>
      </c>
      <c r="G1121" s="987">
        <v>0</v>
      </c>
      <c r="H1121" s="987">
        <v>2.3E-3</v>
      </c>
      <c r="I1121" s="987">
        <f t="shared" si="8"/>
        <v>-8.0320509083843718E-3</v>
      </c>
      <c r="J1121" s="988">
        <f t="shared" si="7"/>
        <v>43556</v>
      </c>
    </row>
    <row r="1122" spans="2:10">
      <c r="B1122" s="988">
        <v>43586</v>
      </c>
      <c r="C1122" s="987" t="s">
        <v>4633</v>
      </c>
      <c r="D1122" s="987" t="s">
        <v>4634</v>
      </c>
      <c r="E1122" s="987">
        <v>101.8</v>
      </c>
      <c r="F1122" s="987">
        <f t="shared" si="9"/>
        <v>-1.4657025600944146E-4</v>
      </c>
      <c r="G1122" s="987">
        <v>0.52500000000000002</v>
      </c>
      <c r="H1122" s="987">
        <v>2.3E-3</v>
      </c>
      <c r="I1122" s="987">
        <f t="shared" si="8"/>
        <v>-2.4465702560094414E-3</v>
      </c>
      <c r="J1122" s="988">
        <f t="shared" si="7"/>
        <v>43586</v>
      </c>
    </row>
    <row r="1123" spans="2:10">
      <c r="B1123" s="988">
        <v>43617</v>
      </c>
      <c r="C1123" s="987" t="s">
        <v>4633</v>
      </c>
      <c r="D1123" s="987" t="s">
        <v>4634</v>
      </c>
      <c r="E1123" s="987">
        <v>105.56</v>
      </c>
      <c r="F1123" s="987">
        <f t="shared" si="9"/>
        <v>3.6935166994106143E-2</v>
      </c>
      <c r="G1123" s="987">
        <v>0</v>
      </c>
      <c r="H1123" s="987">
        <v>1.8E-3</v>
      </c>
      <c r="I1123" s="987">
        <f t="shared" si="8"/>
        <v>3.513516699410614E-2</v>
      </c>
      <c r="J1123" s="988">
        <f t="shared" si="7"/>
        <v>43617</v>
      </c>
    </row>
    <row r="1124" spans="2:10">
      <c r="B1124" s="988">
        <v>43647</v>
      </c>
      <c r="C1124" s="987" t="s">
        <v>4633</v>
      </c>
      <c r="D1124" s="987" t="s">
        <v>4634</v>
      </c>
      <c r="E1124" s="987">
        <v>109.04</v>
      </c>
      <c r="F1124" s="987">
        <f t="shared" si="9"/>
        <v>3.2967032967033003E-2</v>
      </c>
      <c r="G1124" s="987">
        <v>0</v>
      </c>
      <c r="H1124" s="987">
        <v>2.0999999999999999E-3</v>
      </c>
      <c r="I1124" s="987">
        <f t="shared" si="8"/>
        <v>3.0867032967033001E-2</v>
      </c>
      <c r="J1124" s="988">
        <f t="shared" si="7"/>
        <v>43647</v>
      </c>
    </row>
    <row r="1125" spans="2:10">
      <c r="B1125" s="988">
        <v>43678</v>
      </c>
      <c r="C1125" s="987" t="s">
        <v>4633</v>
      </c>
      <c r="D1125" s="987" t="s">
        <v>4634</v>
      </c>
      <c r="E1125" s="987">
        <v>110.23</v>
      </c>
      <c r="F1125" s="987">
        <f t="shared" si="9"/>
        <v>1.5728173147468799E-2</v>
      </c>
      <c r="G1125" s="987">
        <v>0.52500000000000002</v>
      </c>
      <c r="H1125" s="987">
        <v>1.9E-3</v>
      </c>
      <c r="I1125" s="987">
        <f t="shared" si="8"/>
        <v>1.3828173147468798E-2</v>
      </c>
      <c r="J1125" s="988">
        <f t="shared" si="7"/>
        <v>43678</v>
      </c>
    </row>
    <row r="1126" spans="2:10">
      <c r="B1126" s="988">
        <v>43709</v>
      </c>
      <c r="C1126" s="987" t="s">
        <v>4633</v>
      </c>
      <c r="D1126" s="987" t="s">
        <v>4634</v>
      </c>
      <c r="E1126" s="987">
        <v>113.89</v>
      </c>
      <c r="F1126" s="987">
        <f t="shared" si="9"/>
        <v>3.3203302186337623E-2</v>
      </c>
      <c r="G1126" s="987">
        <v>0</v>
      </c>
      <c r="H1126" s="987">
        <v>1.5E-3</v>
      </c>
      <c r="I1126" s="987">
        <f t="shared" si="8"/>
        <v>3.1703302186337622E-2</v>
      </c>
      <c r="J1126" s="988">
        <f t="shared" si="7"/>
        <v>43709</v>
      </c>
    </row>
    <row r="1127" spans="2:10">
      <c r="B1127" s="988">
        <v>43739</v>
      </c>
      <c r="C1127" s="987" t="s">
        <v>4633</v>
      </c>
      <c r="D1127" s="987" t="s">
        <v>4634</v>
      </c>
      <c r="E1127" s="987">
        <v>112.48</v>
      </c>
      <c r="F1127" s="987">
        <f t="shared" si="9"/>
        <v>-1.2380367020809522E-2</v>
      </c>
      <c r="G1127" s="987">
        <v>0</v>
      </c>
      <c r="H1127" s="987">
        <v>1.6000000000000001E-3</v>
      </c>
      <c r="I1127" s="987">
        <f t="shared" si="8"/>
        <v>-1.3980367020809523E-2</v>
      </c>
      <c r="J1127" s="988">
        <f t="shared" si="7"/>
        <v>43739</v>
      </c>
    </row>
    <row r="1128" spans="2:10">
      <c r="B1128" s="988">
        <v>43770</v>
      </c>
      <c r="C1128" s="987" t="s">
        <v>4633</v>
      </c>
      <c r="D1128" s="987" t="s">
        <v>4634</v>
      </c>
      <c r="E1128" s="987">
        <v>106.96</v>
      </c>
      <c r="F1128" s="987">
        <f t="shared" si="9"/>
        <v>-4.3963371266002929E-2</v>
      </c>
      <c r="G1128" s="987">
        <v>0.57499999999999996</v>
      </c>
      <c r="H1128" s="987">
        <v>1.6000000000000001E-3</v>
      </c>
      <c r="I1128" s="987">
        <f t="shared" si="8"/>
        <v>-4.5563371266002926E-2</v>
      </c>
      <c r="J1128" s="988">
        <f t="shared" si="7"/>
        <v>43770</v>
      </c>
    </row>
    <row r="1129" spans="2:10">
      <c r="B1129" s="988">
        <v>43800</v>
      </c>
      <c r="C1129" s="987" t="s">
        <v>4633</v>
      </c>
      <c r="D1129" s="987" t="s">
        <v>4634</v>
      </c>
      <c r="E1129" s="987">
        <v>111.86</v>
      </c>
      <c r="F1129" s="987">
        <f t="shared" si="9"/>
        <v>4.5811518324607385E-2</v>
      </c>
      <c r="G1129" s="987">
        <v>0</v>
      </c>
      <c r="H1129" s="987">
        <v>1.8E-3</v>
      </c>
      <c r="I1129" s="987">
        <f t="shared" si="8"/>
        <v>4.4011518324607382E-2</v>
      </c>
      <c r="J1129" s="988">
        <f t="shared" si="7"/>
        <v>43800</v>
      </c>
    </row>
    <row r="1130" spans="2:10">
      <c r="B1130" s="988">
        <v>43831</v>
      </c>
      <c r="C1130" s="987" t="s">
        <v>4633</v>
      </c>
      <c r="D1130" s="987" t="s">
        <v>4634</v>
      </c>
      <c r="E1130" s="987">
        <v>117.03</v>
      </c>
      <c r="F1130" s="987">
        <f t="shared" si="9"/>
        <v>4.6218487394957999E-2</v>
      </c>
      <c r="G1130" s="987">
        <v>0</v>
      </c>
      <c r="H1130" s="987">
        <v>2E-3</v>
      </c>
      <c r="I1130" s="987">
        <f t="shared" si="8"/>
        <v>4.4218487394957998E-2</v>
      </c>
      <c r="J1130" s="988">
        <f t="shared" si="7"/>
        <v>43831</v>
      </c>
    </row>
    <row r="1131" spans="2:10">
      <c r="B1131" s="988">
        <v>43862</v>
      </c>
      <c r="C1131" s="987" t="s">
        <v>4633</v>
      </c>
      <c r="D1131" s="987" t="s">
        <v>4634</v>
      </c>
      <c r="E1131" s="987">
        <v>103.25</v>
      </c>
      <c r="F1131" s="987">
        <f t="shared" si="9"/>
        <v>-0.11283431598735368</v>
      </c>
      <c r="G1131" s="987">
        <v>0.57499999999999996</v>
      </c>
      <c r="H1131" s="987">
        <v>1.5E-3</v>
      </c>
      <c r="I1131" s="987">
        <f t="shared" si="8"/>
        <v>-0.11433431598735368</v>
      </c>
      <c r="J1131" s="988">
        <f t="shared" si="7"/>
        <v>43862</v>
      </c>
    </row>
    <row r="1132" spans="2:10">
      <c r="B1132" s="988">
        <v>43891</v>
      </c>
      <c r="C1132" s="987" t="s">
        <v>4633</v>
      </c>
      <c r="D1132" s="987" t="s">
        <v>4634</v>
      </c>
      <c r="E1132" s="987">
        <v>99.23</v>
      </c>
      <c r="F1132" s="987">
        <f t="shared" si="9"/>
        <v>-3.8934624697336523E-2</v>
      </c>
      <c r="G1132" s="987">
        <v>0</v>
      </c>
      <c r="H1132" s="987">
        <v>1.23E-3</v>
      </c>
      <c r="I1132" s="987">
        <f t="shared" si="8"/>
        <v>-4.0164624697336525E-2</v>
      </c>
      <c r="J1132" s="988">
        <f t="shared" si="7"/>
        <v>43891</v>
      </c>
    </row>
    <row r="1133" spans="2:10">
      <c r="B1133" s="988">
        <v>43922</v>
      </c>
      <c r="C1133" s="987" t="s">
        <v>4633</v>
      </c>
      <c r="D1133" s="987" t="s">
        <v>4634</v>
      </c>
      <c r="E1133" s="987">
        <v>101.97</v>
      </c>
      <c r="F1133" s="987">
        <f t="shared" si="9"/>
        <v>2.7612617152070893E-2</v>
      </c>
      <c r="G1133" s="987">
        <v>0</v>
      </c>
      <c r="H1133" s="987">
        <v>8.9999999999999998E-4</v>
      </c>
      <c r="I1133" s="987">
        <f t="shared" si="8"/>
        <v>2.6712617152070892E-2</v>
      </c>
      <c r="J1133" s="988">
        <f t="shared" si="7"/>
        <v>43922</v>
      </c>
    </row>
    <row r="1134" spans="2:10">
      <c r="B1134" s="988">
        <v>43952</v>
      </c>
      <c r="C1134" s="987" t="s">
        <v>4633</v>
      </c>
      <c r="D1134" s="987" t="s">
        <v>4634</v>
      </c>
      <c r="E1134" s="987">
        <v>102.78</v>
      </c>
      <c r="F1134" s="987">
        <f t="shared" si="9"/>
        <v>1.3582426203785448E-2</v>
      </c>
      <c r="G1134" s="987">
        <v>0.57499999999999996</v>
      </c>
      <c r="H1134" s="987">
        <v>8.9999999999999998E-4</v>
      </c>
      <c r="I1134" s="987">
        <f t="shared" si="8"/>
        <v>1.2682426203785449E-2</v>
      </c>
      <c r="J1134" s="988">
        <f t="shared" si="7"/>
        <v>43952</v>
      </c>
    </row>
    <row r="1135" spans="2:10">
      <c r="B1135" s="988">
        <v>43983</v>
      </c>
      <c r="C1135" s="987" t="s">
        <v>4633</v>
      </c>
      <c r="D1135" s="987" t="s">
        <v>4634</v>
      </c>
      <c r="E1135" s="987">
        <v>99.58</v>
      </c>
      <c r="F1135" s="987">
        <f t="shared" si="9"/>
        <v>-3.1134461957579324E-2</v>
      </c>
      <c r="G1135" s="987">
        <v>0</v>
      </c>
      <c r="H1135" s="987">
        <v>8.9999999999999998E-4</v>
      </c>
      <c r="I1135" s="987">
        <f t="shared" si="8"/>
        <v>-3.2034461957579322E-2</v>
      </c>
      <c r="J1135" s="988">
        <f t="shared" si="7"/>
        <v>43983</v>
      </c>
    </row>
    <row r="1136" spans="2:10">
      <c r="B1136" s="988">
        <v>44013</v>
      </c>
      <c r="C1136" s="987" t="s">
        <v>4633</v>
      </c>
      <c r="D1136" s="987" t="s">
        <v>4634</v>
      </c>
      <c r="E1136" s="987">
        <v>105.99</v>
      </c>
      <c r="F1136" s="987">
        <f t="shared" si="9"/>
        <v>6.4370355493070866E-2</v>
      </c>
      <c r="G1136" s="987">
        <v>0</v>
      </c>
      <c r="H1136" s="987">
        <v>1E-3</v>
      </c>
      <c r="I1136" s="987">
        <f t="shared" si="8"/>
        <v>6.3370355493070865E-2</v>
      </c>
      <c r="J1136" s="988">
        <f t="shared" si="7"/>
        <v>44013</v>
      </c>
    </row>
    <row r="1137" spans="2:10">
      <c r="B1137" s="988">
        <v>44044</v>
      </c>
      <c r="C1137" s="987" t="s">
        <v>4633</v>
      </c>
      <c r="D1137" s="987" t="s">
        <v>4634</v>
      </c>
      <c r="E1137" s="987">
        <v>99.82</v>
      </c>
      <c r="F1137" s="987">
        <f t="shared" si="9"/>
        <v>-5.2787998867817737E-2</v>
      </c>
      <c r="G1137" s="987">
        <v>0.57499999999999996</v>
      </c>
      <c r="H1137" s="987">
        <v>8.0000000000000004E-4</v>
      </c>
      <c r="I1137" s="987">
        <f t="shared" si="8"/>
        <v>-5.3587998867817739E-2</v>
      </c>
      <c r="J1137" s="988">
        <f t="shared" si="7"/>
        <v>44044</v>
      </c>
    </row>
    <row r="1138" spans="2:10">
      <c r="B1138" s="988">
        <v>44075</v>
      </c>
      <c r="C1138" s="987" t="s">
        <v>4633</v>
      </c>
      <c r="D1138" s="987" t="s">
        <v>4634</v>
      </c>
      <c r="E1138" s="987">
        <v>95.59</v>
      </c>
      <c r="F1138" s="987">
        <f t="shared" si="9"/>
        <v>-4.237627729913835E-2</v>
      </c>
      <c r="G1138" s="987">
        <v>0</v>
      </c>
      <c r="H1138" s="987">
        <v>0</v>
      </c>
      <c r="I1138" s="987">
        <f t="shared" si="8"/>
        <v>-4.237627729913835E-2</v>
      </c>
      <c r="J1138" s="988">
        <f t="shared" si="7"/>
        <v>44075</v>
      </c>
    </row>
    <row r="1139" spans="2:10">
      <c r="B1139" s="988">
        <v>44105</v>
      </c>
      <c r="C1139" s="987" t="s">
        <v>4633</v>
      </c>
      <c r="D1139" s="987" t="s">
        <v>4634</v>
      </c>
      <c r="E1139" s="987">
        <v>91.67</v>
      </c>
      <c r="F1139" s="987">
        <f t="shared" si="9"/>
        <v>-4.1008473689716517E-2</v>
      </c>
      <c r="G1139" s="987">
        <v>0</v>
      </c>
      <c r="H1139" s="987">
        <v>8.9999999999999998E-4</v>
      </c>
      <c r="I1139" s="987">
        <f t="shared" si="8"/>
        <v>-4.1908473689716515E-2</v>
      </c>
      <c r="J1139" s="988">
        <f t="shared" ref="J1139:J1165" si="10">B1139</f>
        <v>44105</v>
      </c>
    </row>
    <row r="1140" spans="2:10">
      <c r="B1140" s="988">
        <v>44136</v>
      </c>
      <c r="C1140" s="987" t="s">
        <v>4633</v>
      </c>
      <c r="D1140" s="987" t="s">
        <v>4634</v>
      </c>
      <c r="E1140" s="987">
        <v>95.89</v>
      </c>
      <c r="F1140" s="987">
        <f t="shared" si="9"/>
        <v>5.2852623540962131E-2</v>
      </c>
      <c r="G1140" s="987">
        <v>0.625</v>
      </c>
      <c r="H1140" s="987">
        <v>1.1000000000000001E-3</v>
      </c>
      <c r="I1140" s="987">
        <f t="shared" si="8"/>
        <v>5.1752623540962134E-2</v>
      </c>
      <c r="J1140" s="988">
        <f t="shared" si="10"/>
        <v>44136</v>
      </c>
    </row>
    <row r="1141" spans="2:10">
      <c r="B1141" s="988">
        <v>44166</v>
      </c>
      <c r="C1141" s="987" t="s">
        <v>4633</v>
      </c>
      <c r="D1141" s="987" t="s">
        <v>4634</v>
      </c>
      <c r="E1141" s="987">
        <v>95.43</v>
      </c>
      <c r="F1141" s="987">
        <f t="shared" si="9"/>
        <v>-4.7971634164145766E-3</v>
      </c>
      <c r="G1141" s="987">
        <v>0</v>
      </c>
      <c r="H1141" s="987">
        <v>1.1000000000000001E-3</v>
      </c>
      <c r="I1141" s="987">
        <f t="shared" si="8"/>
        <v>-5.8971634164145768E-3</v>
      </c>
      <c r="J1141" s="988">
        <f t="shared" si="10"/>
        <v>44166</v>
      </c>
    </row>
    <row r="1142" spans="2:10">
      <c r="B1142" s="988">
        <v>44197</v>
      </c>
      <c r="C1142" s="987" t="s">
        <v>4633</v>
      </c>
      <c r="D1142" s="987" t="s">
        <v>4634</v>
      </c>
      <c r="E1142" s="987">
        <v>89</v>
      </c>
      <c r="F1142" s="987">
        <f t="shared" si="9"/>
        <v>-6.7379230849837643E-2</v>
      </c>
      <c r="G1142" s="987">
        <v>0</v>
      </c>
      <c r="H1142" s="987">
        <v>1.1000000000000001E-3</v>
      </c>
      <c r="I1142" s="987">
        <f t="shared" si="8"/>
        <v>-6.8479230849837647E-2</v>
      </c>
      <c r="J1142" s="988">
        <f t="shared" si="10"/>
        <v>44197</v>
      </c>
    </row>
    <row r="1143" spans="2:10">
      <c r="B1143" s="988">
        <v>44228</v>
      </c>
      <c r="C1143" s="987" t="s">
        <v>4633</v>
      </c>
      <c r="D1143" s="987" t="s">
        <v>4634</v>
      </c>
      <c r="E1143" s="987">
        <v>84.61</v>
      </c>
      <c r="F1143" s="987">
        <f t="shared" si="9"/>
        <v>-4.2303370786516858E-2</v>
      </c>
      <c r="G1143" s="987">
        <v>0.625</v>
      </c>
      <c r="H1143" s="987">
        <v>1.1999999999999999E-3</v>
      </c>
      <c r="I1143" s="987">
        <f t="shared" si="8"/>
        <v>-4.3503370786516858E-2</v>
      </c>
      <c r="J1143" s="988">
        <f t="shared" si="10"/>
        <v>44228</v>
      </c>
    </row>
    <row r="1144" spans="2:10">
      <c r="B1144" s="988">
        <v>44256</v>
      </c>
      <c r="C1144" s="987" t="s">
        <v>4633</v>
      </c>
      <c r="D1144" s="987" t="s">
        <v>4634</v>
      </c>
      <c r="E1144" s="987">
        <v>98.85</v>
      </c>
      <c r="F1144" s="987">
        <f t="shared" si="9"/>
        <v>0.16830161919394865</v>
      </c>
      <c r="G1144" s="987">
        <v>0</v>
      </c>
      <c r="H1144" s="987">
        <v>1.8E-3</v>
      </c>
      <c r="I1144" s="987">
        <f t="shared" si="8"/>
        <v>0.16650161919394865</v>
      </c>
      <c r="J1144" s="988">
        <f t="shared" si="10"/>
        <v>44256</v>
      </c>
    </row>
    <row r="1145" spans="2:10">
      <c r="B1145" s="988">
        <v>44287</v>
      </c>
      <c r="C1145" s="987" t="s">
        <v>4633</v>
      </c>
      <c r="D1145" s="987" t="s">
        <v>4634</v>
      </c>
      <c r="E1145" s="987">
        <v>103.59</v>
      </c>
      <c r="F1145" s="987">
        <f t="shared" si="9"/>
        <v>4.7951441578148804E-2</v>
      </c>
      <c r="G1145" s="987">
        <v>0</v>
      </c>
      <c r="H1145" s="987">
        <v>1.9E-3</v>
      </c>
      <c r="I1145" s="987">
        <f t="shared" si="8"/>
        <v>4.6051441578148805E-2</v>
      </c>
      <c r="J1145" s="988">
        <f t="shared" si="10"/>
        <v>44287</v>
      </c>
    </row>
    <row r="1146" spans="2:10">
      <c r="B1146" s="988">
        <v>44317</v>
      </c>
      <c r="C1146" s="987" t="s">
        <v>4633</v>
      </c>
      <c r="D1146" s="987" t="s">
        <v>4634</v>
      </c>
      <c r="E1146" s="987">
        <v>99.17</v>
      </c>
      <c r="F1146" s="987">
        <f t="shared" si="9"/>
        <v>-3.6634810309875483E-2</v>
      </c>
      <c r="G1146" s="987">
        <v>0.625</v>
      </c>
      <c r="H1146" s="987">
        <v>1.8E-3</v>
      </c>
      <c r="I1146" s="987">
        <f t="shared" ref="I1146:I1165" si="11">F1146-H1146</f>
        <v>-3.8434810309875486E-2</v>
      </c>
      <c r="J1146" s="988">
        <f t="shared" si="10"/>
        <v>44317</v>
      </c>
    </row>
    <row r="1147" spans="2:10">
      <c r="B1147" s="988">
        <v>44348</v>
      </c>
      <c r="C1147" s="987" t="s">
        <v>4633</v>
      </c>
      <c r="D1147" s="987" t="s">
        <v>4634</v>
      </c>
      <c r="E1147" s="987">
        <v>96.11</v>
      </c>
      <c r="F1147" s="987">
        <f t="shared" si="9"/>
        <v>-3.0856105677120119E-2</v>
      </c>
      <c r="G1147" s="987">
        <v>0</v>
      </c>
      <c r="H1147" s="987">
        <v>1.6999999999999999E-3</v>
      </c>
      <c r="I1147" s="987">
        <f t="shared" si="11"/>
        <v>-3.2556105677120119E-2</v>
      </c>
      <c r="J1147" s="988">
        <f t="shared" si="10"/>
        <v>44348</v>
      </c>
    </row>
    <row r="1148" spans="2:10">
      <c r="B1148" s="988">
        <v>44378</v>
      </c>
      <c r="C1148" s="987" t="s">
        <v>4633</v>
      </c>
      <c r="D1148" s="987" t="s">
        <v>4634</v>
      </c>
      <c r="E1148" s="987">
        <v>98.59</v>
      </c>
      <c r="F1148" s="987">
        <f t="shared" si="9"/>
        <v>2.5803766517532037E-2</v>
      </c>
      <c r="G1148" s="987">
        <v>0</v>
      </c>
      <c r="H1148" s="987">
        <v>1.6000000000000001E-3</v>
      </c>
      <c r="I1148" s="987">
        <f t="shared" si="11"/>
        <v>2.4203766517532036E-2</v>
      </c>
      <c r="J1148" s="988">
        <f t="shared" si="10"/>
        <v>44378</v>
      </c>
    </row>
    <row r="1149" spans="2:10">
      <c r="B1149" s="988">
        <v>44409</v>
      </c>
      <c r="C1149" s="987" t="s">
        <v>4633</v>
      </c>
      <c r="D1149" s="987" t="s">
        <v>4634</v>
      </c>
      <c r="E1149" s="987">
        <v>97.51</v>
      </c>
      <c r="F1149" s="987">
        <f t="shared" si="9"/>
        <v>-4.615072522568194E-3</v>
      </c>
      <c r="G1149" s="987">
        <v>0.625</v>
      </c>
      <c r="H1149" s="987">
        <v>1.5E-3</v>
      </c>
      <c r="I1149" s="987">
        <f t="shared" si="11"/>
        <v>-6.1150725225681945E-3</v>
      </c>
      <c r="J1149" s="988">
        <f t="shared" si="10"/>
        <v>44409</v>
      </c>
    </row>
    <row r="1150" spans="2:10">
      <c r="B1150" s="988">
        <v>44440</v>
      </c>
      <c r="C1150" s="987" t="s">
        <v>4633</v>
      </c>
      <c r="D1150" s="987" t="s">
        <v>4634</v>
      </c>
      <c r="E1150" s="987">
        <v>88.2</v>
      </c>
      <c r="F1150" s="987">
        <f t="shared" si="9"/>
        <v>-9.5477386934673392E-2</v>
      </c>
      <c r="G1150" s="987">
        <v>0</v>
      </c>
      <c r="H1150" s="987">
        <v>1.4E-3</v>
      </c>
      <c r="I1150" s="987">
        <f t="shared" si="11"/>
        <v>-9.687738693467339E-2</v>
      </c>
      <c r="J1150" s="988">
        <f t="shared" si="10"/>
        <v>44440</v>
      </c>
    </row>
    <row r="1151" spans="2:10">
      <c r="B1151" s="988">
        <v>44470</v>
      </c>
      <c r="C1151" s="987" t="s">
        <v>4633</v>
      </c>
      <c r="D1151" s="987" t="s">
        <v>4634</v>
      </c>
      <c r="E1151" s="987">
        <v>92.12</v>
      </c>
      <c r="F1151" s="987">
        <f t="shared" si="9"/>
        <v>4.444444444444446E-2</v>
      </c>
      <c r="G1151" s="987">
        <v>0</v>
      </c>
      <c r="H1151" s="987">
        <v>1.5E-3</v>
      </c>
      <c r="I1151" s="987">
        <f t="shared" si="11"/>
        <v>4.2944444444444459E-2</v>
      </c>
      <c r="J1151" s="988">
        <f t="shared" si="10"/>
        <v>44470</v>
      </c>
    </row>
    <row r="1152" spans="2:10">
      <c r="B1152" s="988">
        <v>44501</v>
      </c>
      <c r="C1152" s="987" t="s">
        <v>4633</v>
      </c>
      <c r="D1152" s="987" t="s">
        <v>4634</v>
      </c>
      <c r="E1152" s="987">
        <v>90.32</v>
      </c>
      <c r="F1152" s="987">
        <f t="shared" si="9"/>
        <v>-1.2158054711246324E-2</v>
      </c>
      <c r="G1152" s="987">
        <v>0.68</v>
      </c>
      <c r="H1152" s="987">
        <v>1.6999999999999999E-3</v>
      </c>
      <c r="I1152" s="987">
        <f t="shared" si="11"/>
        <v>-1.3858054711246324E-2</v>
      </c>
      <c r="J1152" s="988">
        <f t="shared" si="10"/>
        <v>44501</v>
      </c>
    </row>
    <row r="1153" spans="2:10">
      <c r="B1153" s="988">
        <v>44531</v>
      </c>
      <c r="C1153" s="987" t="s">
        <v>4633</v>
      </c>
      <c r="D1153" s="987" t="s">
        <v>4634</v>
      </c>
      <c r="E1153" s="987">
        <v>104.77</v>
      </c>
      <c r="F1153" s="987">
        <f t="shared" si="9"/>
        <v>0.15998671390611166</v>
      </c>
      <c r="G1153" s="987">
        <v>0</v>
      </c>
      <c r="H1153" s="987">
        <v>1.5E-3</v>
      </c>
      <c r="I1153" s="987">
        <f t="shared" si="11"/>
        <v>0.15848671390611166</v>
      </c>
      <c r="J1153" s="988">
        <f t="shared" si="10"/>
        <v>44531</v>
      </c>
    </row>
    <row r="1154" spans="2:10">
      <c r="B1154" s="988">
        <v>44562</v>
      </c>
      <c r="C1154" s="987" t="s">
        <v>4633</v>
      </c>
      <c r="D1154" s="987" t="s">
        <v>4634</v>
      </c>
      <c r="E1154" s="987">
        <v>107.22</v>
      </c>
      <c r="F1154" s="987">
        <f t="shared" si="9"/>
        <v>2.3384556647895419E-2</v>
      </c>
      <c r="G1154" s="987">
        <v>0</v>
      </c>
      <c r="H1154" s="987">
        <v>1.7500000000000003E-3</v>
      </c>
      <c r="I1154" s="987">
        <f t="shared" si="11"/>
        <v>2.1634556647895417E-2</v>
      </c>
      <c r="J1154" s="988">
        <f t="shared" si="10"/>
        <v>44562</v>
      </c>
    </row>
    <row r="1155" spans="2:10">
      <c r="B1155" s="988">
        <v>44593</v>
      </c>
      <c r="C1155" s="987" t="s">
        <v>4633</v>
      </c>
      <c r="D1155" s="987" t="s">
        <v>4634</v>
      </c>
      <c r="E1155" s="987">
        <v>109.81</v>
      </c>
      <c r="F1155" s="987">
        <f t="shared" si="9"/>
        <v>3.0498041410184702E-2</v>
      </c>
      <c r="G1155" s="987">
        <v>0.68</v>
      </c>
      <c r="H1155" s="987">
        <v>1.8749999999999999E-3</v>
      </c>
      <c r="I1155" s="987">
        <f t="shared" si="11"/>
        <v>2.8623041410184701E-2</v>
      </c>
      <c r="J1155" s="988">
        <f t="shared" si="10"/>
        <v>44593</v>
      </c>
    </row>
    <row r="1156" spans="2:10">
      <c r="B1156" s="988">
        <v>44621</v>
      </c>
      <c r="C1156" s="987" t="s">
        <v>4633</v>
      </c>
      <c r="D1156" s="987" t="s">
        <v>4634</v>
      </c>
      <c r="E1156" s="987">
        <v>119.49</v>
      </c>
      <c r="F1156" s="987">
        <f t="shared" si="9"/>
        <v>8.8152262999726727E-2</v>
      </c>
      <c r="G1156" s="987">
        <v>0</v>
      </c>
      <c r="H1156" s="987">
        <v>2.0083333333333333E-3</v>
      </c>
      <c r="I1156" s="987">
        <f t="shared" si="11"/>
        <v>8.6143929666393393E-2</v>
      </c>
      <c r="J1156" s="988">
        <f t="shared" si="10"/>
        <v>44621</v>
      </c>
    </row>
    <row r="1157" spans="2:10">
      <c r="B1157" s="988">
        <v>44652</v>
      </c>
      <c r="C1157" s="987" t="s">
        <v>4633</v>
      </c>
      <c r="D1157" s="987" t="s">
        <v>4634</v>
      </c>
      <c r="E1157" s="987">
        <v>113.4</v>
      </c>
      <c r="F1157" s="987">
        <f t="shared" si="9"/>
        <v>-5.0966608084358433E-2</v>
      </c>
      <c r="G1157" s="987">
        <v>0</v>
      </c>
      <c r="H1157" s="987">
        <v>2.3416666666666668E-3</v>
      </c>
      <c r="I1157" s="987">
        <f t="shared" si="11"/>
        <v>-5.3308274751025099E-2</v>
      </c>
      <c r="J1157" s="988">
        <f t="shared" si="10"/>
        <v>44652</v>
      </c>
    </row>
    <row r="1158" spans="2:10">
      <c r="B1158" s="988">
        <v>44682</v>
      </c>
      <c r="C1158" s="987" t="s">
        <v>4633</v>
      </c>
      <c r="D1158" s="987" t="s">
        <v>4634</v>
      </c>
      <c r="E1158" s="987">
        <v>116.31</v>
      </c>
      <c r="F1158" s="987">
        <f t="shared" si="9"/>
        <v>3.1657848324514959E-2</v>
      </c>
      <c r="G1158" s="987">
        <v>0.68</v>
      </c>
      <c r="H1158" s="987">
        <v>2.558333333333333E-3</v>
      </c>
      <c r="I1158" s="987">
        <f t="shared" si="11"/>
        <v>2.9099514991181626E-2</v>
      </c>
      <c r="J1158" s="988">
        <f t="shared" si="10"/>
        <v>44682</v>
      </c>
    </row>
    <row r="1159" spans="2:10">
      <c r="B1159" s="988">
        <v>44713</v>
      </c>
      <c r="C1159" s="987" t="s">
        <v>4633</v>
      </c>
      <c r="D1159" s="987" t="s">
        <v>4634</v>
      </c>
      <c r="E1159" s="987">
        <v>112.1</v>
      </c>
      <c r="F1159" s="987">
        <f t="shared" si="9"/>
        <v>-3.6196371765110549E-2</v>
      </c>
      <c r="G1159" s="987">
        <v>0</v>
      </c>
      <c r="H1159" s="987">
        <v>2.708333333333333E-3</v>
      </c>
      <c r="I1159" s="987">
        <f t="shared" si="11"/>
        <v>-3.8904705098443883E-2</v>
      </c>
      <c r="J1159" s="988">
        <f t="shared" si="10"/>
        <v>44713</v>
      </c>
    </row>
    <row r="1160" spans="2:10">
      <c r="B1160" s="988">
        <v>44743</v>
      </c>
      <c r="C1160" s="987" t="s">
        <v>4633</v>
      </c>
      <c r="D1160" s="987" t="s">
        <v>4634</v>
      </c>
      <c r="E1160" s="987">
        <v>121.39</v>
      </c>
      <c r="F1160" s="987">
        <f t="shared" si="9"/>
        <v>8.2872435325602206E-2</v>
      </c>
      <c r="G1160" s="987">
        <v>0</v>
      </c>
      <c r="H1160" s="987">
        <v>2.5833333333333337E-3</v>
      </c>
      <c r="I1160" s="987">
        <f t="shared" si="11"/>
        <v>8.0289101992268866E-2</v>
      </c>
      <c r="J1160" s="988">
        <f t="shared" si="10"/>
        <v>44743</v>
      </c>
    </row>
    <row r="1161" spans="2:10">
      <c r="B1161" s="988">
        <v>44774</v>
      </c>
      <c r="C1161" s="987" t="s">
        <v>4633</v>
      </c>
      <c r="D1161" s="987" t="s">
        <v>4634</v>
      </c>
      <c r="E1161" s="987">
        <v>113.38</v>
      </c>
      <c r="F1161" s="987">
        <f t="shared" si="9"/>
        <v>-6.0383886646346523E-2</v>
      </c>
      <c r="G1161" s="987">
        <v>0.68</v>
      </c>
      <c r="H1161" s="987">
        <v>2.6083333333333332E-3</v>
      </c>
      <c r="I1161" s="987">
        <f t="shared" si="11"/>
        <v>-6.2992219979679853E-2</v>
      </c>
      <c r="J1161" s="988">
        <f t="shared" si="10"/>
        <v>44774</v>
      </c>
    </row>
    <row r="1162" spans="2:10">
      <c r="B1162" s="988">
        <v>44805</v>
      </c>
      <c r="C1162" s="987" t="s">
        <v>4633</v>
      </c>
      <c r="D1162" s="987" t="s">
        <v>4634</v>
      </c>
      <c r="E1162" s="987">
        <v>101.85</v>
      </c>
      <c r="F1162" s="987">
        <f t="shared" si="9"/>
        <v>-0.10169342035632388</v>
      </c>
      <c r="G1162" s="987">
        <v>0</v>
      </c>
      <c r="H1162" s="987">
        <v>2.9666666666666669E-3</v>
      </c>
      <c r="I1162" s="987">
        <f t="shared" si="11"/>
        <v>-0.10466008702299055</v>
      </c>
      <c r="J1162" s="988">
        <f t="shared" si="10"/>
        <v>44805</v>
      </c>
    </row>
    <row r="1163" spans="2:10">
      <c r="B1163" s="988">
        <v>44835</v>
      </c>
      <c r="C1163" s="987" t="s">
        <v>4633</v>
      </c>
      <c r="D1163" s="987" t="s">
        <v>4634</v>
      </c>
      <c r="E1163" s="987">
        <v>106.55</v>
      </c>
      <c r="F1163" s="987">
        <f t="shared" si="9"/>
        <v>4.6146293568974012E-2</v>
      </c>
      <c r="G1163" s="987">
        <v>0</v>
      </c>
      <c r="H1163" s="987">
        <v>3.3666666666666667E-3</v>
      </c>
      <c r="I1163" s="987">
        <f t="shared" si="11"/>
        <v>4.2779626902307348E-2</v>
      </c>
      <c r="J1163" s="988">
        <f t="shared" si="10"/>
        <v>44835</v>
      </c>
    </row>
    <row r="1164" spans="2:10">
      <c r="B1164" s="988">
        <v>44866</v>
      </c>
      <c r="C1164" s="987" t="s">
        <v>4633</v>
      </c>
      <c r="D1164" s="987" t="s">
        <v>4634</v>
      </c>
      <c r="E1164" s="987">
        <v>120.2</v>
      </c>
      <c r="F1164" s="987">
        <f t="shared" si="9"/>
        <v>0.13505396527451907</v>
      </c>
      <c r="G1164" s="987">
        <v>0.74</v>
      </c>
      <c r="H1164" s="987">
        <v>3.3333333333333331E-3</v>
      </c>
      <c r="I1164" s="987">
        <f t="shared" si="11"/>
        <v>0.13172063194118575</v>
      </c>
      <c r="J1164" s="988">
        <f t="shared" si="10"/>
        <v>44866</v>
      </c>
    </row>
    <row r="1165" spans="2:10">
      <c r="B1165" s="988">
        <v>44896</v>
      </c>
      <c r="C1165" s="987" t="s">
        <v>4633</v>
      </c>
      <c r="D1165" s="987" t="s">
        <v>4634</v>
      </c>
      <c r="E1165" s="987">
        <v>112.07</v>
      </c>
      <c r="F1165" s="987">
        <f t="shared" si="9"/>
        <v>-6.7637271214642344E-2</v>
      </c>
      <c r="G1165" s="987">
        <v>0</v>
      </c>
      <c r="H1165" s="987">
        <v>3.0499999999999998E-3</v>
      </c>
      <c r="I1165" s="987">
        <f t="shared" si="11"/>
        <v>-7.0687271214642342E-2</v>
      </c>
      <c r="J1165" s="988">
        <f t="shared" si="10"/>
        <v>44896</v>
      </c>
    </row>
  </sheetData>
  <conditionalFormatting sqref="E697:E1037">
    <cfRule type="cellIs" dxfId="11" priority="1" stopIfTrue="1" operator="lessThan">
      <formula>0</formula>
    </cfRule>
  </conditionalFormatting>
  <conditionalFormatting sqref="F697:F1026">
    <cfRule type="cellIs" dxfId="10" priority="2" stopIfTrue="1" operator="lessThan">
      <formula>-1</formula>
    </cfRule>
  </conditionalFormatting>
  <pageMargins left="0.70000000000000007" right="0.70000000000000007" top="0.75" bottom="0.75" header="0.30000000000000004" footer="0.30000000000000004"/>
  <pageSetup paperSize="0" scale="86" fitToWidth="0" fitToHeight="0" orientation="portrait" horizontalDpi="0" verticalDpi="0" copie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5"/>
  <sheetViews>
    <sheetView workbookViewId="0"/>
  </sheetViews>
  <sheetFormatPr defaultColWidth="9" defaultRowHeight="13.2"/>
  <cols>
    <col min="1" max="1" width="10.5546875" style="987" customWidth="1"/>
    <col min="2" max="2" width="10.5546875" style="988" bestFit="1" customWidth="1"/>
    <col min="3" max="3" width="27.109375" style="987" bestFit="1" customWidth="1"/>
    <col min="4" max="4" width="7.33203125" style="987" customWidth="1"/>
    <col min="5" max="5" width="8.33203125" style="987" bestFit="1" customWidth="1"/>
    <col min="6" max="6" width="9.109375" style="987" bestFit="1" customWidth="1"/>
    <col min="7" max="7" width="10.33203125" style="987" customWidth="1"/>
    <col min="8" max="9" width="9.6640625" style="987" bestFit="1" customWidth="1"/>
    <col min="10" max="10" width="10.109375" style="988" bestFit="1" customWidth="1"/>
    <col min="11" max="11" width="9.5546875" style="987" customWidth="1"/>
    <col min="12" max="16384" width="9" style="987"/>
  </cols>
  <sheetData>
    <row r="1" spans="1:10" ht="39.6">
      <c r="A1" s="984" t="s">
        <v>4619</v>
      </c>
      <c r="B1" s="985" t="s">
        <v>4620</v>
      </c>
      <c r="C1" s="984" t="s">
        <v>4621</v>
      </c>
      <c r="D1" s="984" t="s">
        <v>181</v>
      </c>
      <c r="E1" s="984" t="s">
        <v>4622</v>
      </c>
      <c r="F1" s="984" t="s">
        <v>4623</v>
      </c>
      <c r="G1" s="984" t="s">
        <v>4624</v>
      </c>
      <c r="H1" s="986" t="s">
        <v>4625</v>
      </c>
      <c r="I1" s="987" t="s">
        <v>1482</v>
      </c>
      <c r="J1" s="985" t="s">
        <v>4620</v>
      </c>
    </row>
    <row r="2" spans="1:10">
      <c r="B2" s="988">
        <v>9498</v>
      </c>
      <c r="H2" s="986">
        <v>3.0999999999999999E-3</v>
      </c>
      <c r="I2" s="986"/>
      <c r="J2" s="988">
        <v>9498</v>
      </c>
    </row>
    <row r="3" spans="1:10">
      <c r="B3" s="988">
        <v>9529</v>
      </c>
      <c r="H3" s="986">
        <v>2.8E-3</v>
      </c>
      <c r="I3" s="986"/>
      <c r="J3" s="988">
        <v>9529</v>
      </c>
    </row>
    <row r="4" spans="1:10">
      <c r="B4" s="988">
        <v>9557</v>
      </c>
      <c r="H4" s="986">
        <v>3.2000000000000002E-3</v>
      </c>
      <c r="I4" s="986"/>
      <c r="J4" s="988">
        <v>9557</v>
      </c>
    </row>
    <row r="5" spans="1:10">
      <c r="B5" s="988">
        <v>9588</v>
      </c>
      <c r="H5" s="986">
        <v>3.0000000000000001E-3</v>
      </c>
      <c r="I5" s="986"/>
      <c r="J5" s="988">
        <v>9588</v>
      </c>
    </row>
    <row r="6" spans="1:10">
      <c r="B6" s="988">
        <v>9618</v>
      </c>
      <c r="H6" s="986">
        <v>2.8E-3</v>
      </c>
      <c r="I6" s="986"/>
      <c r="J6" s="988">
        <v>9618</v>
      </c>
    </row>
    <row r="7" spans="1:10">
      <c r="B7" s="988">
        <v>9649</v>
      </c>
      <c r="H7" s="986">
        <v>3.3E-3</v>
      </c>
      <c r="I7" s="986"/>
      <c r="J7" s="988">
        <v>9649</v>
      </c>
    </row>
    <row r="8" spans="1:10">
      <c r="B8" s="988">
        <v>9679</v>
      </c>
      <c r="H8" s="986">
        <v>3.0999999999999999E-3</v>
      </c>
      <c r="I8" s="986"/>
      <c r="J8" s="988">
        <v>9679</v>
      </c>
    </row>
    <row r="9" spans="1:10">
      <c r="B9" s="988">
        <v>9710</v>
      </c>
      <c r="H9" s="986">
        <v>3.0999999999999999E-3</v>
      </c>
      <c r="I9" s="986"/>
      <c r="J9" s="988">
        <v>9710</v>
      </c>
    </row>
    <row r="10" spans="1:10">
      <c r="B10" s="988">
        <v>9741</v>
      </c>
      <c r="H10" s="986">
        <v>3.0000000000000001E-3</v>
      </c>
      <c r="I10" s="986"/>
      <c r="J10" s="988">
        <v>9741</v>
      </c>
    </row>
    <row r="11" spans="1:10">
      <c r="B11" s="988">
        <v>9771</v>
      </c>
      <c r="H11" s="986">
        <v>3.0000000000000001E-3</v>
      </c>
      <c r="I11" s="986"/>
      <c r="J11" s="988">
        <v>9771</v>
      </c>
    </row>
    <row r="12" spans="1:10">
      <c r="B12" s="988">
        <v>9802</v>
      </c>
      <c r="H12" s="986">
        <v>3.0999999999999999E-3</v>
      </c>
      <c r="I12" s="986"/>
      <c r="J12" s="988">
        <v>9802</v>
      </c>
    </row>
    <row r="13" spans="1:10">
      <c r="B13" s="988">
        <v>9832</v>
      </c>
      <c r="H13" s="986">
        <v>3.0000000000000001E-3</v>
      </c>
      <c r="I13" s="986"/>
      <c r="J13" s="988">
        <v>9832</v>
      </c>
    </row>
    <row r="14" spans="1:10">
      <c r="B14" s="988">
        <v>9863</v>
      </c>
      <c r="H14" s="986">
        <v>3.0000000000000001E-3</v>
      </c>
      <c r="I14" s="986"/>
      <c r="J14" s="988">
        <v>9863</v>
      </c>
    </row>
    <row r="15" spans="1:10">
      <c r="B15" s="988">
        <v>9894</v>
      </c>
      <c r="H15" s="986">
        <v>2.7000000000000001E-3</v>
      </c>
      <c r="I15" s="986"/>
      <c r="J15" s="988">
        <v>9894</v>
      </c>
    </row>
    <row r="16" spans="1:10">
      <c r="B16" s="988">
        <v>9922</v>
      </c>
      <c r="H16" s="986">
        <v>2.8999999999999998E-3</v>
      </c>
      <c r="I16" s="986"/>
      <c r="J16" s="988">
        <v>9922</v>
      </c>
    </row>
    <row r="17" spans="2:10">
      <c r="B17" s="988">
        <v>9953</v>
      </c>
      <c r="H17" s="986">
        <v>2.7000000000000001E-3</v>
      </c>
      <c r="I17" s="986"/>
      <c r="J17" s="988">
        <v>9953</v>
      </c>
    </row>
    <row r="18" spans="2:10">
      <c r="B18" s="988">
        <v>9983</v>
      </c>
      <c r="H18" s="986">
        <v>2.8E-3</v>
      </c>
      <c r="I18" s="986"/>
      <c r="J18" s="988">
        <v>9983</v>
      </c>
    </row>
    <row r="19" spans="2:10">
      <c r="B19" s="988">
        <v>10014</v>
      </c>
      <c r="H19" s="986">
        <v>2.7000000000000001E-3</v>
      </c>
      <c r="I19" s="986"/>
      <c r="J19" s="988">
        <v>10014</v>
      </c>
    </row>
    <row r="20" spans="2:10">
      <c r="B20" s="988">
        <v>10044</v>
      </c>
      <c r="H20" s="986">
        <v>2.7000000000000001E-3</v>
      </c>
      <c r="I20" s="986"/>
      <c r="J20" s="988">
        <v>10044</v>
      </c>
    </row>
    <row r="21" spans="2:10">
      <c r="B21" s="988">
        <v>10075</v>
      </c>
      <c r="H21" s="986">
        <v>2.8999999999999998E-3</v>
      </c>
      <c r="I21" s="986"/>
      <c r="J21" s="988">
        <v>10075</v>
      </c>
    </row>
    <row r="22" spans="2:10">
      <c r="B22" s="988">
        <v>10106</v>
      </c>
      <c r="H22" s="986">
        <v>2.7000000000000001E-3</v>
      </c>
      <c r="I22" s="986"/>
      <c r="J22" s="988">
        <v>10106</v>
      </c>
    </row>
    <row r="23" spans="2:10">
      <c r="B23" s="988">
        <v>10136</v>
      </c>
      <c r="H23" s="986">
        <v>2.8E-3</v>
      </c>
      <c r="I23" s="986"/>
      <c r="J23" s="988">
        <v>10136</v>
      </c>
    </row>
    <row r="24" spans="2:10">
      <c r="B24" s="988">
        <v>10167</v>
      </c>
      <c r="H24" s="986">
        <v>2.7000000000000001E-3</v>
      </c>
      <c r="I24" s="986"/>
      <c r="J24" s="988">
        <v>10167</v>
      </c>
    </row>
    <row r="25" spans="2:10">
      <c r="B25" s="988">
        <v>10197</v>
      </c>
      <c r="H25" s="986">
        <v>2.7000000000000001E-3</v>
      </c>
      <c r="I25" s="986"/>
      <c r="J25" s="988">
        <v>10197</v>
      </c>
    </row>
    <row r="26" spans="2:10">
      <c r="B26" s="988">
        <v>10228</v>
      </c>
      <c r="H26" s="986">
        <v>2.7000000000000001E-3</v>
      </c>
      <c r="I26" s="986"/>
      <c r="J26" s="988">
        <v>10228</v>
      </c>
    </row>
    <row r="27" spans="2:10">
      <c r="B27" s="988">
        <v>10259</v>
      </c>
      <c r="H27" s="986">
        <v>2.5000000000000001E-3</v>
      </c>
      <c r="I27" s="986"/>
      <c r="J27" s="988">
        <v>10259</v>
      </c>
    </row>
    <row r="28" spans="2:10">
      <c r="B28" s="988">
        <v>10288</v>
      </c>
      <c r="H28" s="986">
        <v>2.7000000000000001E-3</v>
      </c>
      <c r="I28" s="986"/>
      <c r="J28" s="988">
        <v>10288</v>
      </c>
    </row>
    <row r="29" spans="2:10">
      <c r="B29" s="988">
        <v>10319</v>
      </c>
      <c r="H29" s="986">
        <v>2.5999999999999999E-3</v>
      </c>
      <c r="I29" s="986"/>
      <c r="J29" s="988">
        <v>10319</v>
      </c>
    </row>
    <row r="30" spans="2:10">
      <c r="B30" s="988">
        <v>10349</v>
      </c>
      <c r="H30" s="986">
        <v>2.7000000000000001E-3</v>
      </c>
      <c r="I30" s="986"/>
      <c r="J30" s="988">
        <v>10349</v>
      </c>
    </row>
    <row r="31" spans="2:10">
      <c r="B31" s="988">
        <v>10380</v>
      </c>
      <c r="H31" s="986">
        <v>2.7000000000000001E-3</v>
      </c>
      <c r="I31" s="986"/>
      <c r="J31" s="988">
        <v>10380</v>
      </c>
    </row>
    <row r="32" spans="2:10">
      <c r="B32" s="988">
        <v>10410</v>
      </c>
      <c r="H32" s="986">
        <v>2.7000000000000001E-3</v>
      </c>
      <c r="I32" s="986"/>
      <c r="J32" s="988">
        <v>10410</v>
      </c>
    </row>
    <row r="33" spans="2:10">
      <c r="B33" s="988">
        <v>10441</v>
      </c>
      <c r="H33" s="986">
        <v>2.8999999999999998E-3</v>
      </c>
      <c r="I33" s="986"/>
      <c r="J33" s="988">
        <v>10441</v>
      </c>
    </row>
    <row r="34" spans="2:10">
      <c r="B34" s="988">
        <v>10472</v>
      </c>
      <c r="H34" s="986">
        <v>2.7000000000000001E-3</v>
      </c>
      <c r="I34" s="986"/>
      <c r="J34" s="988">
        <v>10472</v>
      </c>
    </row>
    <row r="35" spans="2:10">
      <c r="B35" s="988">
        <v>10502</v>
      </c>
      <c r="H35" s="986">
        <v>3.0000000000000001E-3</v>
      </c>
      <c r="I35" s="986"/>
      <c r="J35" s="988">
        <v>10502</v>
      </c>
    </row>
    <row r="36" spans="2:10">
      <c r="B36" s="988">
        <v>10533</v>
      </c>
      <c r="H36" s="986">
        <v>2.7000000000000001E-3</v>
      </c>
      <c r="I36" s="986"/>
      <c r="J36" s="988">
        <v>10533</v>
      </c>
    </row>
    <row r="37" spans="2:10">
      <c r="B37" s="988">
        <v>10563</v>
      </c>
      <c r="H37" s="986">
        <v>2.8999999999999998E-3</v>
      </c>
      <c r="I37" s="986"/>
      <c r="J37" s="988">
        <v>10563</v>
      </c>
    </row>
    <row r="38" spans="2:10">
      <c r="B38" s="988">
        <v>10594</v>
      </c>
      <c r="H38" s="986">
        <v>2.8999999999999998E-3</v>
      </c>
      <c r="I38" s="986"/>
      <c r="J38" s="988">
        <v>10594</v>
      </c>
    </row>
    <row r="39" spans="2:10">
      <c r="B39" s="988">
        <v>10625</v>
      </c>
      <c r="H39" s="986">
        <v>2.7000000000000001E-3</v>
      </c>
      <c r="I39" s="986"/>
      <c r="J39" s="988">
        <v>10625</v>
      </c>
    </row>
    <row r="40" spans="2:10">
      <c r="B40" s="988">
        <v>10653</v>
      </c>
      <c r="H40" s="986">
        <v>2.8E-3</v>
      </c>
      <c r="I40" s="986"/>
      <c r="J40" s="988">
        <v>10653</v>
      </c>
    </row>
    <row r="41" spans="2:10">
      <c r="B41" s="988">
        <v>10684</v>
      </c>
      <c r="H41" s="986">
        <v>3.3999999999999998E-3</v>
      </c>
      <c r="I41" s="986"/>
      <c r="J41" s="988">
        <v>10684</v>
      </c>
    </row>
    <row r="42" spans="2:10">
      <c r="B42" s="988">
        <v>10714</v>
      </c>
      <c r="H42" s="986">
        <v>3.0000000000000001E-3</v>
      </c>
      <c r="I42" s="986"/>
      <c r="J42" s="988">
        <v>10714</v>
      </c>
    </row>
    <row r="43" spans="2:10">
      <c r="B43" s="988">
        <v>10745</v>
      </c>
      <c r="H43" s="986">
        <v>2.8999999999999998E-3</v>
      </c>
      <c r="I43" s="986"/>
      <c r="J43" s="988">
        <v>10745</v>
      </c>
    </row>
    <row r="44" spans="2:10">
      <c r="B44" s="988">
        <v>10775</v>
      </c>
      <c r="H44" s="986">
        <v>3.2000000000000002E-3</v>
      </c>
      <c r="I44" s="986"/>
      <c r="J44" s="988">
        <v>10775</v>
      </c>
    </row>
    <row r="45" spans="2:10">
      <c r="B45" s="988">
        <v>10806</v>
      </c>
      <c r="H45" s="986">
        <v>3.0000000000000001E-3</v>
      </c>
      <c r="I45" s="986"/>
      <c r="J45" s="988">
        <v>10806</v>
      </c>
    </row>
    <row r="46" spans="2:10">
      <c r="B46" s="988">
        <v>10837</v>
      </c>
      <c r="H46" s="986">
        <v>3.2000000000000002E-3</v>
      </c>
      <c r="I46" s="986"/>
      <c r="J46" s="988">
        <v>10837</v>
      </c>
    </row>
    <row r="47" spans="2:10">
      <c r="B47" s="988">
        <v>10867</v>
      </c>
      <c r="H47" s="986">
        <v>3.0999999999999999E-3</v>
      </c>
      <c r="I47" s="986"/>
      <c r="J47" s="988">
        <v>10867</v>
      </c>
    </row>
    <row r="48" spans="2:10">
      <c r="B48" s="988">
        <v>10898</v>
      </c>
      <c r="H48" s="986">
        <v>2.5999999999999999E-3</v>
      </c>
      <c r="I48" s="986"/>
      <c r="J48" s="988">
        <v>10898</v>
      </c>
    </row>
    <row r="49" spans="2:10">
      <c r="B49" s="988">
        <v>10928</v>
      </c>
      <c r="H49" s="986">
        <v>3.0999999999999999E-3</v>
      </c>
      <c r="I49" s="986"/>
      <c r="J49" s="988">
        <v>10928</v>
      </c>
    </row>
    <row r="50" spans="2:10">
      <c r="B50" s="988">
        <v>10959</v>
      </c>
      <c r="H50" s="986">
        <v>2.8999999999999998E-3</v>
      </c>
      <c r="I50" s="986"/>
      <c r="J50" s="988">
        <v>10959</v>
      </c>
    </row>
    <row r="51" spans="2:10">
      <c r="B51" s="988">
        <v>10990</v>
      </c>
      <c r="H51" s="986">
        <v>2.5999999999999999E-3</v>
      </c>
      <c r="I51" s="986"/>
      <c r="J51" s="988">
        <v>10990</v>
      </c>
    </row>
    <row r="52" spans="2:10">
      <c r="B52" s="988">
        <v>11018</v>
      </c>
      <c r="H52" s="986">
        <v>2.8999999999999998E-3</v>
      </c>
      <c r="I52" s="986"/>
      <c r="J52" s="988">
        <v>11018</v>
      </c>
    </row>
    <row r="53" spans="2:10">
      <c r="B53" s="988">
        <v>11049</v>
      </c>
      <c r="H53" s="986">
        <v>2.7000000000000001E-3</v>
      </c>
      <c r="I53" s="986"/>
      <c r="J53" s="988">
        <v>11049</v>
      </c>
    </row>
    <row r="54" spans="2:10">
      <c r="B54" s="988">
        <v>11079</v>
      </c>
      <c r="H54" s="986">
        <v>2.7000000000000001E-3</v>
      </c>
      <c r="I54" s="986"/>
      <c r="J54" s="988">
        <v>11079</v>
      </c>
    </row>
    <row r="55" spans="2:10">
      <c r="B55" s="988">
        <v>11110</v>
      </c>
      <c r="H55" s="986">
        <v>2.8999999999999998E-3</v>
      </c>
      <c r="I55" s="986"/>
      <c r="J55" s="988">
        <v>11110</v>
      </c>
    </row>
    <row r="56" spans="2:10">
      <c r="B56" s="988">
        <v>11140</v>
      </c>
      <c r="H56" s="986">
        <v>2.8E-3</v>
      </c>
      <c r="I56" s="986"/>
      <c r="J56" s="988">
        <v>11140</v>
      </c>
    </row>
    <row r="57" spans="2:10">
      <c r="B57" s="988">
        <v>11171</v>
      </c>
      <c r="H57" s="986">
        <v>2.5999999999999999E-3</v>
      </c>
      <c r="I57" s="986"/>
      <c r="J57" s="988">
        <v>11171</v>
      </c>
    </row>
    <row r="58" spans="2:10">
      <c r="B58" s="988">
        <v>11202</v>
      </c>
      <c r="H58" s="986">
        <v>2.8999999999999998E-3</v>
      </c>
      <c r="I58" s="986"/>
      <c r="J58" s="988">
        <v>11202</v>
      </c>
    </row>
    <row r="59" spans="2:10">
      <c r="B59" s="988">
        <v>11232</v>
      </c>
      <c r="H59" s="986">
        <v>2.7000000000000001E-3</v>
      </c>
      <c r="I59" s="986"/>
      <c r="J59" s="988">
        <v>11232</v>
      </c>
    </row>
    <row r="60" spans="2:10">
      <c r="B60" s="988">
        <v>11263</v>
      </c>
      <c r="H60" s="986">
        <v>2.5999999999999999E-3</v>
      </c>
      <c r="I60" s="986"/>
      <c r="J60" s="988">
        <v>11263</v>
      </c>
    </row>
    <row r="61" spans="2:10">
      <c r="B61" s="988">
        <v>11293</v>
      </c>
      <c r="H61" s="986">
        <v>2.8E-3</v>
      </c>
      <c r="I61" s="986"/>
      <c r="J61" s="988">
        <v>11293</v>
      </c>
    </row>
    <row r="62" spans="2:10">
      <c r="B62" s="988">
        <v>11324</v>
      </c>
      <c r="H62" s="986">
        <v>2.8E-3</v>
      </c>
      <c r="I62" s="986"/>
      <c r="J62" s="988">
        <v>11324</v>
      </c>
    </row>
    <row r="63" spans="2:10">
      <c r="B63" s="988">
        <v>11355</v>
      </c>
      <c r="H63" s="986">
        <v>2.5999999999999999E-3</v>
      </c>
      <c r="I63" s="986"/>
      <c r="J63" s="988">
        <v>11355</v>
      </c>
    </row>
    <row r="64" spans="2:10">
      <c r="B64" s="988">
        <v>11383</v>
      </c>
      <c r="H64" s="986">
        <v>2.8999999999999998E-3</v>
      </c>
      <c r="I64" s="986"/>
      <c r="J64" s="988">
        <v>11383</v>
      </c>
    </row>
    <row r="65" spans="2:10">
      <c r="B65" s="988">
        <v>11414</v>
      </c>
      <c r="H65" s="986">
        <v>2.7000000000000001E-3</v>
      </c>
      <c r="I65" s="986"/>
      <c r="J65" s="988">
        <v>11414</v>
      </c>
    </row>
    <row r="66" spans="2:10">
      <c r="B66" s="988">
        <v>11444</v>
      </c>
      <c r="H66" s="986">
        <v>2.5999999999999999E-3</v>
      </c>
      <c r="I66" s="986"/>
      <c r="J66" s="988">
        <v>11444</v>
      </c>
    </row>
    <row r="67" spans="2:10">
      <c r="B67" s="988">
        <v>11475</v>
      </c>
      <c r="H67" s="986">
        <v>2.8E-3</v>
      </c>
      <c r="I67" s="986"/>
      <c r="J67" s="988">
        <v>11475</v>
      </c>
    </row>
    <row r="68" spans="2:10">
      <c r="B68" s="988">
        <v>11505</v>
      </c>
      <c r="H68" s="986">
        <v>2.7000000000000001E-3</v>
      </c>
      <c r="I68" s="986"/>
      <c r="J68" s="988">
        <v>11505</v>
      </c>
    </row>
    <row r="69" spans="2:10">
      <c r="B69" s="988">
        <v>11536</v>
      </c>
      <c r="H69" s="986">
        <v>2.7000000000000001E-3</v>
      </c>
      <c r="I69" s="986"/>
      <c r="J69" s="988">
        <v>11536</v>
      </c>
    </row>
    <row r="70" spans="2:10">
      <c r="B70" s="988">
        <v>11567</v>
      </c>
      <c r="H70" s="986">
        <v>2.7000000000000001E-3</v>
      </c>
      <c r="I70" s="986"/>
      <c r="J70" s="988">
        <v>11567</v>
      </c>
    </row>
    <row r="71" spans="2:10">
      <c r="B71" s="988">
        <v>11597</v>
      </c>
      <c r="H71" s="986">
        <v>2.8999999999999998E-3</v>
      </c>
      <c r="I71" s="986"/>
      <c r="J71" s="988">
        <v>11597</v>
      </c>
    </row>
    <row r="72" spans="2:10">
      <c r="B72" s="988">
        <v>11628</v>
      </c>
      <c r="H72" s="986">
        <v>3.0999999999999999E-3</v>
      </c>
      <c r="I72" s="986"/>
      <c r="J72" s="988">
        <v>11628</v>
      </c>
    </row>
    <row r="73" spans="2:10">
      <c r="B73" s="988">
        <v>11658</v>
      </c>
      <c r="H73" s="986">
        <v>3.2000000000000002E-3</v>
      </c>
      <c r="I73" s="986"/>
      <c r="J73" s="988">
        <v>11658</v>
      </c>
    </row>
    <row r="74" spans="2:10">
      <c r="B74" s="988">
        <v>11689</v>
      </c>
      <c r="H74" s="986">
        <v>3.2000000000000002E-3</v>
      </c>
      <c r="I74" s="986"/>
      <c r="J74" s="988">
        <v>11689</v>
      </c>
    </row>
    <row r="75" spans="2:10">
      <c r="B75" s="988">
        <v>11720</v>
      </c>
      <c r="H75" s="986">
        <v>3.2000000000000002E-3</v>
      </c>
      <c r="I75" s="986"/>
      <c r="J75" s="988">
        <v>11720</v>
      </c>
    </row>
    <row r="76" spans="2:10">
      <c r="B76" s="988">
        <v>11749</v>
      </c>
      <c r="H76" s="986">
        <v>3.0999999999999999E-3</v>
      </c>
      <c r="I76" s="986"/>
      <c r="J76" s="988">
        <v>11749</v>
      </c>
    </row>
    <row r="77" spans="2:10">
      <c r="B77" s="988">
        <v>11780</v>
      </c>
      <c r="H77" s="986">
        <v>3.0000000000000001E-3</v>
      </c>
      <c r="I77" s="986"/>
      <c r="J77" s="988">
        <v>11780</v>
      </c>
    </row>
    <row r="78" spans="2:10">
      <c r="B78" s="988">
        <v>11810</v>
      </c>
      <c r="H78" s="986">
        <v>2.8E-3</v>
      </c>
      <c r="I78" s="986"/>
      <c r="J78" s="988">
        <v>11810</v>
      </c>
    </row>
    <row r="79" spans="2:10">
      <c r="B79" s="988">
        <v>11841</v>
      </c>
      <c r="H79" s="986">
        <v>2.8E-3</v>
      </c>
      <c r="I79" s="986"/>
      <c r="J79" s="988">
        <v>11841</v>
      </c>
    </row>
    <row r="80" spans="2:10">
      <c r="B80" s="988">
        <v>11871</v>
      </c>
      <c r="H80" s="986">
        <v>2.8E-3</v>
      </c>
      <c r="I80" s="986"/>
      <c r="J80" s="988">
        <v>11871</v>
      </c>
    </row>
    <row r="81" spans="2:10">
      <c r="B81" s="988">
        <v>11902</v>
      </c>
      <c r="H81" s="986">
        <v>2.8E-3</v>
      </c>
      <c r="I81" s="986"/>
      <c r="J81" s="988">
        <v>11902</v>
      </c>
    </row>
    <row r="82" spans="2:10">
      <c r="B82" s="988">
        <v>11933</v>
      </c>
      <c r="H82" s="986">
        <v>2.5999999999999999E-3</v>
      </c>
      <c r="I82" s="986"/>
      <c r="J82" s="988">
        <v>11933</v>
      </c>
    </row>
    <row r="83" spans="2:10">
      <c r="B83" s="988">
        <v>11963</v>
      </c>
      <c r="H83" s="986">
        <v>2.7000000000000001E-3</v>
      </c>
      <c r="I83" s="986"/>
      <c r="J83" s="988">
        <v>11963</v>
      </c>
    </row>
    <row r="84" spans="2:10">
      <c r="B84" s="988">
        <v>11994</v>
      </c>
      <c r="H84" s="986">
        <v>2.5999999999999999E-3</v>
      </c>
      <c r="I84" s="986"/>
      <c r="J84" s="988">
        <v>11994</v>
      </c>
    </row>
    <row r="85" spans="2:10">
      <c r="B85" s="988">
        <v>12024</v>
      </c>
      <c r="H85" s="986">
        <v>2.7000000000000001E-3</v>
      </c>
      <c r="I85" s="986"/>
      <c r="J85" s="988">
        <v>12024</v>
      </c>
    </row>
    <row r="86" spans="2:10">
      <c r="B86" s="988">
        <v>12055</v>
      </c>
      <c r="H86" s="986">
        <v>2.7000000000000001E-3</v>
      </c>
      <c r="I86" s="986"/>
      <c r="J86" s="988">
        <v>12055</v>
      </c>
    </row>
    <row r="87" spans="2:10">
      <c r="B87" s="988">
        <v>12086</v>
      </c>
      <c r="H87" s="986">
        <v>2.3E-3</v>
      </c>
      <c r="I87" s="986"/>
      <c r="J87" s="988">
        <v>12086</v>
      </c>
    </row>
    <row r="88" spans="2:10">
      <c r="B88" s="988">
        <v>12114</v>
      </c>
      <c r="H88" s="986">
        <v>2.7000000000000001E-3</v>
      </c>
      <c r="I88" s="986"/>
      <c r="J88" s="988">
        <v>12114</v>
      </c>
    </row>
    <row r="89" spans="2:10">
      <c r="B89" s="988">
        <v>12145</v>
      </c>
      <c r="H89" s="986">
        <v>2.5000000000000001E-3</v>
      </c>
      <c r="I89" s="986"/>
      <c r="J89" s="988">
        <v>12145</v>
      </c>
    </row>
    <row r="90" spans="2:10">
      <c r="B90" s="988">
        <v>12175</v>
      </c>
      <c r="H90" s="986">
        <v>2.8E-3</v>
      </c>
      <c r="I90" s="986"/>
      <c r="J90" s="988">
        <v>12175</v>
      </c>
    </row>
    <row r="91" spans="2:10">
      <c r="B91" s="988">
        <v>12206</v>
      </c>
      <c r="H91" s="986">
        <v>2.5000000000000001E-3</v>
      </c>
      <c r="I91" s="986"/>
      <c r="J91" s="988">
        <v>12206</v>
      </c>
    </row>
    <row r="92" spans="2:10">
      <c r="B92" s="988">
        <v>12236</v>
      </c>
      <c r="H92" s="986">
        <v>2.5999999999999999E-3</v>
      </c>
      <c r="I92" s="986"/>
      <c r="J92" s="988">
        <v>12236</v>
      </c>
    </row>
    <row r="93" spans="2:10">
      <c r="B93" s="988">
        <v>12267</v>
      </c>
      <c r="H93" s="986">
        <v>2.5999999999999999E-3</v>
      </c>
      <c r="I93" s="986"/>
      <c r="J93" s="988">
        <v>12267</v>
      </c>
    </row>
    <row r="94" spans="2:10">
      <c r="B94" s="988">
        <v>12298</v>
      </c>
      <c r="H94" s="986">
        <v>2.5000000000000001E-3</v>
      </c>
      <c r="I94" s="986"/>
      <c r="J94" s="988">
        <v>12298</v>
      </c>
    </row>
    <row r="95" spans="2:10">
      <c r="B95" s="988">
        <v>12328</v>
      </c>
      <c r="H95" s="986">
        <v>2.5999999999999999E-3</v>
      </c>
      <c r="I95" s="986"/>
      <c r="J95" s="988">
        <v>12328</v>
      </c>
    </row>
    <row r="96" spans="2:10">
      <c r="B96" s="988">
        <v>12359</v>
      </c>
      <c r="H96" s="986">
        <v>2.5000000000000001E-3</v>
      </c>
      <c r="I96" s="986"/>
      <c r="J96" s="988">
        <v>12359</v>
      </c>
    </row>
    <row r="97" spans="2:10">
      <c r="B97" s="988">
        <v>12389</v>
      </c>
      <c r="H97" s="986">
        <v>2.8E-3</v>
      </c>
      <c r="I97" s="986"/>
      <c r="J97" s="988">
        <v>12389</v>
      </c>
    </row>
    <row r="98" spans="2:10">
      <c r="B98" s="988">
        <v>12420</v>
      </c>
      <c r="H98" s="986">
        <v>2.8999999999999998E-3</v>
      </c>
      <c r="I98" s="986"/>
      <c r="J98" s="988">
        <v>12420</v>
      </c>
    </row>
    <row r="99" spans="2:10">
      <c r="B99" s="988">
        <v>12451</v>
      </c>
      <c r="H99" s="986">
        <v>2.3999999999999998E-3</v>
      </c>
      <c r="I99" s="986"/>
      <c r="J99" s="988">
        <v>12451</v>
      </c>
    </row>
    <row r="100" spans="2:10">
      <c r="B100" s="988">
        <v>12479</v>
      </c>
      <c r="H100" s="986">
        <v>2.7000000000000001E-3</v>
      </c>
      <c r="I100" s="986"/>
      <c r="J100" s="988">
        <v>12479</v>
      </c>
    </row>
    <row r="101" spans="2:10">
      <c r="B101" s="988">
        <v>12510</v>
      </c>
      <c r="H101" s="986">
        <v>2.5000000000000001E-3</v>
      </c>
      <c r="I101" s="986"/>
      <c r="J101" s="988">
        <v>12510</v>
      </c>
    </row>
    <row r="102" spans="2:10">
      <c r="B102" s="988">
        <v>12540</v>
      </c>
      <c r="H102" s="986">
        <v>2.5000000000000001E-3</v>
      </c>
      <c r="I102" s="986"/>
      <c r="J102" s="988">
        <v>12540</v>
      </c>
    </row>
    <row r="103" spans="2:10">
      <c r="B103" s="988">
        <v>12571</v>
      </c>
      <c r="H103" s="986">
        <v>2.3999999999999998E-3</v>
      </c>
      <c r="I103" s="986"/>
      <c r="J103" s="988">
        <v>12571</v>
      </c>
    </row>
    <row r="104" spans="2:10">
      <c r="B104" s="988">
        <v>12601</v>
      </c>
      <c r="H104" s="986">
        <v>2.3999999999999998E-3</v>
      </c>
      <c r="I104" s="986"/>
      <c r="J104" s="988">
        <v>12601</v>
      </c>
    </row>
    <row r="105" spans="2:10">
      <c r="B105" s="988">
        <v>12632</v>
      </c>
      <c r="H105" s="986">
        <v>2.3999999999999998E-3</v>
      </c>
      <c r="I105" s="986"/>
      <c r="J105" s="988">
        <v>12632</v>
      </c>
    </row>
    <row r="106" spans="2:10">
      <c r="B106" s="988">
        <v>12663</v>
      </c>
      <c r="H106" s="986">
        <v>2.3E-3</v>
      </c>
      <c r="I106" s="986"/>
      <c r="J106" s="988">
        <v>12663</v>
      </c>
    </row>
    <row r="107" spans="2:10">
      <c r="B107" s="988">
        <v>12693</v>
      </c>
      <c r="H107" s="986">
        <v>2.7000000000000001E-3</v>
      </c>
      <c r="I107" s="986"/>
      <c r="J107" s="988">
        <v>12693</v>
      </c>
    </row>
    <row r="108" spans="2:10">
      <c r="B108" s="988">
        <v>12724</v>
      </c>
      <c r="H108" s="986">
        <v>2.5000000000000001E-3</v>
      </c>
      <c r="I108" s="986"/>
      <c r="J108" s="988">
        <v>12724</v>
      </c>
    </row>
    <row r="109" spans="2:10">
      <c r="B109" s="988">
        <v>12754</v>
      </c>
      <c r="H109" s="986">
        <v>2.5000000000000001E-3</v>
      </c>
      <c r="I109" s="986"/>
      <c r="J109" s="988">
        <v>12754</v>
      </c>
    </row>
    <row r="110" spans="2:10">
      <c r="B110" s="988">
        <v>12785</v>
      </c>
      <c r="H110" s="986">
        <v>2.5000000000000001E-3</v>
      </c>
      <c r="I110" s="986"/>
      <c r="J110" s="988">
        <v>12785</v>
      </c>
    </row>
    <row r="111" spans="2:10">
      <c r="B111" s="988">
        <v>12816</v>
      </c>
      <c r="H111" s="986">
        <v>2.0999999999999999E-3</v>
      </c>
      <c r="I111" s="986"/>
      <c r="J111" s="988">
        <v>12816</v>
      </c>
    </row>
    <row r="112" spans="2:10">
      <c r="B112" s="988">
        <v>12844</v>
      </c>
      <c r="H112" s="986">
        <v>2.2000000000000001E-3</v>
      </c>
      <c r="I112" s="986"/>
      <c r="J112" s="988">
        <v>12844</v>
      </c>
    </row>
    <row r="113" spans="2:10">
      <c r="B113" s="988">
        <v>12875</v>
      </c>
      <c r="H113" s="986">
        <v>2.3E-3</v>
      </c>
      <c r="I113" s="986"/>
      <c r="J113" s="988">
        <v>12875</v>
      </c>
    </row>
    <row r="114" spans="2:10">
      <c r="B114" s="988">
        <v>12905</v>
      </c>
      <c r="H114" s="986">
        <v>2.3E-3</v>
      </c>
      <c r="I114" s="986"/>
      <c r="J114" s="988">
        <v>12905</v>
      </c>
    </row>
    <row r="115" spans="2:10">
      <c r="B115" s="988">
        <v>12936</v>
      </c>
      <c r="H115" s="986">
        <v>2.2000000000000001E-3</v>
      </c>
      <c r="I115" s="986"/>
      <c r="J115" s="988">
        <v>12936</v>
      </c>
    </row>
    <row r="116" spans="2:10">
      <c r="B116" s="988">
        <v>12966</v>
      </c>
      <c r="H116" s="986">
        <v>2.3999999999999998E-3</v>
      </c>
      <c r="I116" s="986"/>
      <c r="J116" s="988">
        <v>12966</v>
      </c>
    </row>
    <row r="117" spans="2:10">
      <c r="B117" s="988">
        <v>12997</v>
      </c>
      <c r="H117" s="986">
        <v>2.3E-3</v>
      </c>
      <c r="I117" s="986"/>
      <c r="J117" s="988">
        <v>12997</v>
      </c>
    </row>
    <row r="118" spans="2:10">
      <c r="B118" s="988">
        <v>13028</v>
      </c>
      <c r="H118" s="986">
        <v>2.3E-3</v>
      </c>
      <c r="I118" s="986"/>
      <c r="J118" s="988">
        <v>13028</v>
      </c>
    </row>
    <row r="119" spans="2:10">
      <c r="B119" s="988">
        <v>13058</v>
      </c>
      <c r="H119" s="986">
        <v>2.3E-3</v>
      </c>
      <c r="I119" s="986"/>
      <c r="J119" s="988">
        <v>13058</v>
      </c>
    </row>
    <row r="120" spans="2:10">
      <c r="B120" s="988">
        <v>13089</v>
      </c>
      <c r="H120" s="986">
        <v>2.3999999999999998E-3</v>
      </c>
      <c r="I120" s="986"/>
      <c r="J120" s="988">
        <v>13089</v>
      </c>
    </row>
    <row r="121" spans="2:10">
      <c r="B121" s="988">
        <v>13119</v>
      </c>
      <c r="H121" s="986">
        <v>2.3999999999999998E-3</v>
      </c>
      <c r="I121" s="986"/>
      <c r="J121" s="988">
        <v>13119</v>
      </c>
    </row>
    <row r="122" spans="2:10">
      <c r="B122" s="988">
        <v>13150</v>
      </c>
      <c r="H122" s="986">
        <v>2.3999999999999998E-3</v>
      </c>
      <c r="I122" s="986"/>
      <c r="J122" s="988">
        <v>13150</v>
      </c>
    </row>
    <row r="123" spans="2:10">
      <c r="B123" s="988">
        <v>13181</v>
      </c>
      <c r="H123" s="986">
        <v>2.3E-3</v>
      </c>
      <c r="I123" s="986"/>
      <c r="J123" s="988">
        <v>13181</v>
      </c>
    </row>
    <row r="124" spans="2:10">
      <c r="B124" s="988">
        <v>13210</v>
      </c>
      <c r="H124" s="986">
        <v>2.3999999999999998E-3</v>
      </c>
      <c r="I124" s="986"/>
      <c r="J124" s="988">
        <v>13210</v>
      </c>
    </row>
    <row r="125" spans="2:10">
      <c r="B125" s="988">
        <v>13241</v>
      </c>
      <c r="H125" s="986">
        <v>2.2000000000000001E-3</v>
      </c>
      <c r="I125" s="986"/>
      <c r="J125" s="988">
        <v>13241</v>
      </c>
    </row>
    <row r="126" spans="2:10">
      <c r="B126" s="988">
        <v>13271</v>
      </c>
      <c r="H126" s="986">
        <v>2.2000000000000001E-3</v>
      </c>
      <c r="I126" s="986"/>
      <c r="J126" s="988">
        <v>13271</v>
      </c>
    </row>
    <row r="127" spans="2:10">
      <c r="B127" s="988">
        <v>13302</v>
      </c>
      <c r="H127" s="986">
        <v>2.3999999999999998E-3</v>
      </c>
      <c r="I127" s="986"/>
      <c r="J127" s="988">
        <v>13302</v>
      </c>
    </row>
    <row r="128" spans="2:10">
      <c r="B128" s="988">
        <v>13332</v>
      </c>
      <c r="H128" s="986">
        <v>2.3E-3</v>
      </c>
      <c r="I128" s="986"/>
      <c r="J128" s="988">
        <v>13332</v>
      </c>
    </row>
    <row r="129" spans="2:10">
      <c r="B129" s="988">
        <v>13363</v>
      </c>
      <c r="H129" s="986">
        <v>2.3E-3</v>
      </c>
      <c r="I129" s="986"/>
      <c r="J129" s="988">
        <v>13363</v>
      </c>
    </row>
    <row r="130" spans="2:10">
      <c r="B130" s="988">
        <v>13394</v>
      </c>
      <c r="H130" s="986">
        <v>2.0999999999999999E-3</v>
      </c>
      <c r="I130" s="986"/>
      <c r="J130" s="988">
        <v>13394</v>
      </c>
    </row>
    <row r="131" spans="2:10">
      <c r="B131" s="988">
        <v>13424</v>
      </c>
      <c r="H131" s="986">
        <v>2.3E-3</v>
      </c>
      <c r="I131" s="986"/>
      <c r="J131" s="988">
        <v>13424</v>
      </c>
    </row>
    <row r="132" spans="2:10">
      <c r="B132" s="988">
        <v>13455</v>
      </c>
      <c r="H132" s="986">
        <v>2.2000000000000001E-3</v>
      </c>
      <c r="I132" s="986"/>
      <c r="J132" s="988">
        <v>13455</v>
      </c>
    </row>
    <row r="133" spans="2:10">
      <c r="B133" s="988">
        <v>13485</v>
      </c>
      <c r="H133" s="986">
        <v>2.2000000000000001E-3</v>
      </c>
      <c r="I133" s="986"/>
      <c r="J133" s="988">
        <v>13485</v>
      </c>
    </row>
    <row r="134" spans="2:10">
      <c r="B134" s="988">
        <v>13516</v>
      </c>
      <c r="H134" s="986">
        <v>2.0999999999999999E-3</v>
      </c>
      <c r="I134" s="986"/>
      <c r="J134" s="988">
        <v>13516</v>
      </c>
    </row>
    <row r="135" spans="2:10">
      <c r="B135" s="988">
        <v>13547</v>
      </c>
      <c r="H135" s="986">
        <v>2E-3</v>
      </c>
      <c r="I135" s="986"/>
      <c r="J135" s="988">
        <v>13547</v>
      </c>
    </row>
    <row r="136" spans="2:10">
      <c r="B136" s="988">
        <v>13575</v>
      </c>
      <c r="H136" s="986">
        <v>2.2000000000000001E-3</v>
      </c>
      <c r="I136" s="986"/>
      <c r="J136" s="988">
        <v>13575</v>
      </c>
    </row>
    <row r="137" spans="2:10">
      <c r="B137" s="988">
        <v>13606</v>
      </c>
      <c r="H137" s="986">
        <v>2.3E-3</v>
      </c>
      <c r="I137" s="986"/>
      <c r="J137" s="988">
        <v>13606</v>
      </c>
    </row>
    <row r="138" spans="2:10">
      <c r="B138" s="988">
        <v>13636</v>
      </c>
      <c r="H138" s="986">
        <v>2.2000000000000001E-3</v>
      </c>
      <c r="I138" s="986"/>
      <c r="J138" s="988">
        <v>13636</v>
      </c>
    </row>
    <row r="139" spans="2:10">
      <c r="B139" s="988">
        <v>13667</v>
      </c>
      <c r="H139" s="986">
        <v>2.5000000000000001E-3</v>
      </c>
      <c r="I139" s="986"/>
      <c r="J139" s="988">
        <v>13667</v>
      </c>
    </row>
    <row r="140" spans="2:10">
      <c r="B140" s="988">
        <v>13697</v>
      </c>
      <c r="H140" s="986">
        <v>2.3999999999999998E-3</v>
      </c>
      <c r="I140" s="986"/>
      <c r="J140" s="988">
        <v>13697</v>
      </c>
    </row>
    <row r="141" spans="2:10">
      <c r="B141" s="988">
        <v>13728</v>
      </c>
      <c r="H141" s="986">
        <v>2.3E-3</v>
      </c>
      <c r="I141" s="986"/>
      <c r="J141" s="988">
        <v>13728</v>
      </c>
    </row>
    <row r="142" spans="2:10">
      <c r="B142" s="988">
        <v>13759</v>
      </c>
      <c r="H142" s="986">
        <v>2.3E-3</v>
      </c>
      <c r="I142" s="986"/>
      <c r="J142" s="988">
        <v>13759</v>
      </c>
    </row>
    <row r="143" spans="2:10">
      <c r="B143" s="988">
        <v>13789</v>
      </c>
      <c r="H143" s="986">
        <v>2.3E-3</v>
      </c>
      <c r="I143" s="986"/>
      <c r="J143" s="988">
        <v>13789</v>
      </c>
    </row>
    <row r="144" spans="2:10">
      <c r="B144" s="988">
        <v>13820</v>
      </c>
      <c r="H144" s="986">
        <v>2.3999999999999998E-3</v>
      </c>
      <c r="I144" s="986"/>
      <c r="J144" s="988">
        <v>13820</v>
      </c>
    </row>
    <row r="145" spans="2:10">
      <c r="B145" s="988">
        <v>13850</v>
      </c>
      <c r="H145" s="986">
        <v>2.3E-3</v>
      </c>
      <c r="I145" s="986"/>
      <c r="J145" s="988">
        <v>13850</v>
      </c>
    </row>
    <row r="146" spans="2:10">
      <c r="B146" s="988">
        <v>13881</v>
      </c>
      <c r="H146" s="986">
        <v>2.3E-3</v>
      </c>
      <c r="I146" s="986"/>
      <c r="J146" s="988">
        <v>13881</v>
      </c>
    </row>
    <row r="147" spans="2:10">
      <c r="B147" s="988">
        <v>13912</v>
      </c>
      <c r="H147" s="986">
        <v>2.0999999999999999E-3</v>
      </c>
      <c r="I147" s="986"/>
      <c r="J147" s="988">
        <v>13912</v>
      </c>
    </row>
    <row r="148" spans="2:10">
      <c r="B148" s="988">
        <v>13940</v>
      </c>
      <c r="H148" s="986">
        <v>2.3E-3</v>
      </c>
      <c r="I148" s="986"/>
      <c r="J148" s="988">
        <v>13940</v>
      </c>
    </row>
    <row r="149" spans="2:10">
      <c r="B149" s="988">
        <v>13971</v>
      </c>
      <c r="H149" s="986">
        <v>2.2000000000000001E-3</v>
      </c>
      <c r="I149" s="986"/>
      <c r="J149" s="988">
        <v>13971</v>
      </c>
    </row>
    <row r="150" spans="2:10">
      <c r="B150" s="988">
        <v>14001</v>
      </c>
      <c r="H150" s="986">
        <v>2.2000000000000001E-3</v>
      </c>
      <c r="I150" s="986"/>
      <c r="J150" s="988">
        <v>14001</v>
      </c>
    </row>
    <row r="151" spans="2:10">
      <c r="B151" s="988">
        <v>14032</v>
      </c>
      <c r="H151" s="986">
        <v>2.0999999999999999E-3</v>
      </c>
      <c r="I151" s="986"/>
      <c r="J151" s="988">
        <v>14032</v>
      </c>
    </row>
    <row r="152" spans="2:10">
      <c r="B152" s="988">
        <v>14062</v>
      </c>
      <c r="H152" s="986">
        <v>2.0999999999999999E-3</v>
      </c>
      <c r="I152" s="986"/>
      <c r="J152" s="988">
        <v>14062</v>
      </c>
    </row>
    <row r="153" spans="2:10">
      <c r="B153" s="988">
        <v>14093</v>
      </c>
      <c r="H153" s="986">
        <v>2.2000000000000001E-3</v>
      </c>
      <c r="I153" s="986"/>
      <c r="J153" s="988">
        <v>14093</v>
      </c>
    </row>
    <row r="154" spans="2:10">
      <c r="B154" s="988">
        <v>14124</v>
      </c>
      <c r="H154" s="986">
        <v>2.0999999999999999E-3</v>
      </c>
      <c r="I154" s="986"/>
      <c r="J154" s="988">
        <v>14124</v>
      </c>
    </row>
    <row r="155" spans="2:10">
      <c r="B155" s="988">
        <v>14154</v>
      </c>
      <c r="H155" s="986">
        <v>2.2000000000000001E-3</v>
      </c>
      <c r="I155" s="986"/>
      <c r="J155" s="988">
        <v>14154</v>
      </c>
    </row>
    <row r="156" spans="2:10">
      <c r="B156" s="988">
        <v>14185</v>
      </c>
      <c r="H156" s="986">
        <v>2.0999999999999999E-3</v>
      </c>
      <c r="I156" s="986"/>
      <c r="J156" s="988">
        <v>14185</v>
      </c>
    </row>
    <row r="157" spans="2:10">
      <c r="B157" s="988">
        <v>14215</v>
      </c>
      <c r="H157" s="986">
        <v>2.2000000000000001E-3</v>
      </c>
      <c r="I157" s="986"/>
      <c r="J157" s="988">
        <v>14215</v>
      </c>
    </row>
    <row r="158" spans="2:10">
      <c r="B158" s="988">
        <v>14246</v>
      </c>
      <c r="H158" s="986">
        <v>2.0999999999999999E-3</v>
      </c>
      <c r="I158" s="986"/>
      <c r="J158" s="988">
        <v>14246</v>
      </c>
    </row>
    <row r="159" spans="2:10">
      <c r="B159" s="988">
        <v>14277</v>
      </c>
      <c r="H159" s="986">
        <v>1.9E-3</v>
      </c>
      <c r="I159" s="986"/>
      <c r="J159" s="988">
        <v>14277</v>
      </c>
    </row>
    <row r="160" spans="2:10">
      <c r="B160" s="988">
        <v>14305</v>
      </c>
      <c r="H160" s="986">
        <v>2.0999999999999999E-3</v>
      </c>
      <c r="I160" s="986"/>
      <c r="J160" s="988">
        <v>14305</v>
      </c>
    </row>
    <row r="161" spans="2:10">
      <c r="B161" s="988">
        <v>14336</v>
      </c>
      <c r="H161" s="986">
        <v>1.9E-3</v>
      </c>
      <c r="I161" s="986"/>
      <c r="J161" s="988">
        <v>14336</v>
      </c>
    </row>
    <row r="162" spans="2:10">
      <c r="B162" s="988">
        <v>14366</v>
      </c>
      <c r="H162" s="986">
        <v>2E-3</v>
      </c>
      <c r="I162" s="986"/>
      <c r="J162" s="988">
        <v>14366</v>
      </c>
    </row>
    <row r="163" spans="2:10">
      <c r="B163" s="988">
        <v>14397</v>
      </c>
      <c r="H163" s="986">
        <v>1.8E-3</v>
      </c>
      <c r="I163" s="986"/>
      <c r="J163" s="988">
        <v>14397</v>
      </c>
    </row>
    <row r="164" spans="2:10">
      <c r="B164" s="988">
        <v>14427</v>
      </c>
      <c r="H164" s="986">
        <v>1.9E-3</v>
      </c>
      <c r="I164" s="986"/>
      <c r="J164" s="988">
        <v>14427</v>
      </c>
    </row>
    <row r="165" spans="2:10">
      <c r="B165" s="988">
        <v>14458</v>
      </c>
      <c r="H165" s="986">
        <v>1.8E-3</v>
      </c>
      <c r="I165" s="986"/>
      <c r="J165" s="988">
        <v>14458</v>
      </c>
    </row>
    <row r="166" spans="2:10">
      <c r="B166" s="988">
        <v>14489</v>
      </c>
      <c r="H166" s="986">
        <v>1.9E-3</v>
      </c>
      <c r="I166" s="986"/>
      <c r="J166" s="988">
        <v>14489</v>
      </c>
    </row>
    <row r="167" spans="2:10">
      <c r="B167" s="988">
        <v>14519</v>
      </c>
      <c r="H167" s="986">
        <v>2.3E-3</v>
      </c>
      <c r="I167" s="986"/>
      <c r="J167" s="988">
        <v>14519</v>
      </c>
    </row>
    <row r="168" spans="2:10">
      <c r="B168" s="988">
        <v>14550</v>
      </c>
      <c r="H168" s="986">
        <v>2E-3</v>
      </c>
      <c r="I168" s="986"/>
      <c r="J168" s="988">
        <v>14550</v>
      </c>
    </row>
    <row r="169" spans="2:10">
      <c r="B169" s="988">
        <v>14580</v>
      </c>
      <c r="H169" s="986">
        <v>1.9E-3</v>
      </c>
      <c r="I169" s="986"/>
      <c r="J169" s="988">
        <v>14580</v>
      </c>
    </row>
    <row r="170" spans="2:10">
      <c r="B170" s="988">
        <v>14611</v>
      </c>
      <c r="H170" s="986">
        <v>2E-3</v>
      </c>
      <c r="I170" s="986"/>
      <c r="J170" s="988">
        <v>14611</v>
      </c>
    </row>
    <row r="171" spans="2:10">
      <c r="B171" s="988">
        <v>14642</v>
      </c>
      <c r="H171" s="986">
        <v>1.8E-3</v>
      </c>
      <c r="I171" s="986"/>
      <c r="J171" s="988">
        <v>14642</v>
      </c>
    </row>
    <row r="172" spans="2:10">
      <c r="B172" s="988">
        <v>14671</v>
      </c>
      <c r="H172" s="986">
        <v>1.9E-3</v>
      </c>
      <c r="I172" s="986"/>
      <c r="J172" s="988">
        <v>14671</v>
      </c>
    </row>
    <row r="173" spans="2:10">
      <c r="B173" s="988">
        <v>14702</v>
      </c>
      <c r="H173" s="986">
        <v>1.8E-3</v>
      </c>
      <c r="I173" s="986"/>
      <c r="J173" s="988">
        <v>14702</v>
      </c>
    </row>
    <row r="174" spans="2:10">
      <c r="B174" s="988">
        <v>14732</v>
      </c>
      <c r="H174" s="986">
        <v>1.9E-3</v>
      </c>
      <c r="I174" s="986"/>
      <c r="J174" s="988">
        <v>14732</v>
      </c>
    </row>
    <row r="175" spans="2:10">
      <c r="B175" s="988">
        <v>14763</v>
      </c>
      <c r="H175" s="986">
        <v>1.9E-3</v>
      </c>
      <c r="I175" s="986"/>
      <c r="J175" s="988">
        <v>14763</v>
      </c>
    </row>
    <row r="176" spans="2:10">
      <c r="B176" s="988">
        <v>14793</v>
      </c>
      <c r="H176" s="986">
        <v>2E-3</v>
      </c>
      <c r="I176" s="986"/>
      <c r="J176" s="988">
        <v>14793</v>
      </c>
    </row>
    <row r="177" spans="2:10">
      <c r="B177" s="988">
        <v>14824</v>
      </c>
      <c r="H177" s="986">
        <v>1.9E-3</v>
      </c>
      <c r="I177" s="986"/>
      <c r="J177" s="988">
        <v>14824</v>
      </c>
    </row>
    <row r="178" spans="2:10">
      <c r="B178" s="988">
        <v>14855</v>
      </c>
      <c r="H178" s="986">
        <v>1.8E-3</v>
      </c>
      <c r="I178" s="986"/>
      <c r="J178" s="988">
        <v>14855</v>
      </c>
    </row>
    <row r="179" spans="2:10">
      <c r="B179" s="988">
        <v>14885</v>
      </c>
      <c r="H179" s="986">
        <v>1.8E-3</v>
      </c>
      <c r="I179" s="986"/>
      <c r="J179" s="988">
        <v>14885</v>
      </c>
    </row>
    <row r="180" spans="2:10">
      <c r="B180" s="988">
        <v>14916</v>
      </c>
      <c r="H180" s="986">
        <v>1.8E-3</v>
      </c>
      <c r="I180" s="986"/>
      <c r="J180" s="988">
        <v>14916</v>
      </c>
    </row>
    <row r="181" spans="2:10">
      <c r="B181" s="988">
        <v>14946</v>
      </c>
      <c r="H181" s="986">
        <v>1.6999999999999999E-3</v>
      </c>
      <c r="I181" s="986"/>
      <c r="J181" s="988">
        <v>14946</v>
      </c>
    </row>
    <row r="182" spans="2:10">
      <c r="B182" s="988">
        <v>14977</v>
      </c>
      <c r="H182" s="986">
        <v>1.6000000000000001E-3</v>
      </c>
      <c r="I182" s="986"/>
      <c r="J182" s="988">
        <v>14977</v>
      </c>
    </row>
    <row r="183" spans="2:10">
      <c r="B183" s="988">
        <v>15008</v>
      </c>
      <c r="H183" s="986">
        <v>1.6000000000000001E-3</v>
      </c>
      <c r="I183" s="986"/>
      <c r="J183" s="988">
        <v>15008</v>
      </c>
    </row>
    <row r="184" spans="2:10">
      <c r="B184" s="988">
        <v>15036</v>
      </c>
      <c r="H184" s="986">
        <v>1.8E-3</v>
      </c>
      <c r="I184" s="986"/>
      <c r="J184" s="988">
        <v>15036</v>
      </c>
    </row>
    <row r="185" spans="2:10">
      <c r="B185" s="988">
        <v>15067</v>
      </c>
      <c r="H185" s="986">
        <v>1.6999999999999999E-3</v>
      </c>
      <c r="I185" s="986"/>
      <c r="J185" s="988">
        <v>15067</v>
      </c>
    </row>
    <row r="186" spans="2:10">
      <c r="B186" s="988">
        <v>15097</v>
      </c>
      <c r="H186" s="986">
        <v>1.6999999999999999E-3</v>
      </c>
      <c r="I186" s="986"/>
      <c r="J186" s="988">
        <v>15097</v>
      </c>
    </row>
    <row r="187" spans="2:10">
      <c r="B187" s="988">
        <v>15128</v>
      </c>
      <c r="H187" s="986">
        <v>1.6000000000000001E-3</v>
      </c>
      <c r="I187" s="986"/>
      <c r="J187" s="988">
        <v>15128</v>
      </c>
    </row>
    <row r="188" spans="2:10">
      <c r="B188" s="988">
        <v>15158</v>
      </c>
      <c r="H188" s="986">
        <v>1.6000000000000001E-3</v>
      </c>
      <c r="I188" s="986"/>
      <c r="J188" s="988">
        <v>15158</v>
      </c>
    </row>
    <row r="189" spans="2:10">
      <c r="B189" s="988">
        <v>15189</v>
      </c>
      <c r="H189" s="986">
        <v>1.6000000000000001E-3</v>
      </c>
      <c r="I189" s="986"/>
      <c r="J189" s="988">
        <v>15189</v>
      </c>
    </row>
    <row r="190" spans="2:10">
      <c r="B190" s="988">
        <v>15220</v>
      </c>
      <c r="H190" s="986">
        <v>1.6000000000000001E-3</v>
      </c>
      <c r="I190" s="986"/>
      <c r="J190" s="988">
        <v>15220</v>
      </c>
    </row>
    <row r="191" spans="2:10">
      <c r="B191" s="988">
        <v>15250</v>
      </c>
      <c r="H191" s="986">
        <v>1.6000000000000001E-3</v>
      </c>
      <c r="I191" s="986"/>
      <c r="J191" s="988">
        <v>15250</v>
      </c>
    </row>
    <row r="192" spans="2:10">
      <c r="B192" s="988">
        <v>15281</v>
      </c>
      <c r="H192" s="986">
        <v>1.4E-3</v>
      </c>
      <c r="I192" s="986"/>
      <c r="J192" s="988">
        <v>15281</v>
      </c>
    </row>
    <row r="193" spans="2:10">
      <c r="B193" s="988">
        <v>15311</v>
      </c>
      <c r="H193" s="986">
        <v>1.6000000000000001E-3</v>
      </c>
      <c r="I193" s="986"/>
      <c r="J193" s="988">
        <v>15311</v>
      </c>
    </row>
    <row r="194" spans="2:10">
      <c r="B194" s="988">
        <v>15342</v>
      </c>
      <c r="H194" s="986">
        <v>2.0999999999999999E-3</v>
      </c>
      <c r="I194" s="986"/>
      <c r="J194" s="988">
        <v>15342</v>
      </c>
    </row>
    <row r="195" spans="2:10">
      <c r="B195" s="988">
        <v>15373</v>
      </c>
      <c r="H195" s="986">
        <v>1.9E-3</v>
      </c>
      <c r="I195" s="986"/>
      <c r="J195" s="988">
        <v>15373</v>
      </c>
    </row>
    <row r="196" spans="2:10">
      <c r="B196" s="988">
        <v>15401</v>
      </c>
      <c r="H196" s="986">
        <v>2.0999999999999999E-3</v>
      </c>
      <c r="I196" s="986"/>
      <c r="J196" s="988">
        <v>15401</v>
      </c>
    </row>
    <row r="197" spans="2:10">
      <c r="B197" s="988">
        <v>15432</v>
      </c>
      <c r="H197" s="986">
        <v>2E-3</v>
      </c>
      <c r="I197" s="986"/>
      <c r="J197" s="988">
        <v>15432</v>
      </c>
    </row>
    <row r="198" spans="2:10">
      <c r="B198" s="988">
        <v>15462</v>
      </c>
      <c r="H198" s="986">
        <v>1.9E-3</v>
      </c>
      <c r="I198" s="986"/>
      <c r="J198" s="988">
        <v>15462</v>
      </c>
    </row>
    <row r="199" spans="2:10">
      <c r="B199" s="988">
        <v>15493</v>
      </c>
      <c r="H199" s="986">
        <v>2.0999999999999999E-3</v>
      </c>
      <c r="I199" s="986"/>
      <c r="J199" s="988">
        <v>15493</v>
      </c>
    </row>
    <row r="200" spans="2:10">
      <c r="B200" s="988">
        <v>15523</v>
      </c>
      <c r="H200" s="986">
        <v>2.0999999999999999E-3</v>
      </c>
      <c r="I200" s="986"/>
      <c r="J200" s="988">
        <v>15523</v>
      </c>
    </row>
    <row r="201" spans="2:10">
      <c r="B201" s="988">
        <v>15554</v>
      </c>
      <c r="H201" s="986">
        <v>2.0999999999999999E-3</v>
      </c>
      <c r="I201" s="986"/>
      <c r="J201" s="988">
        <v>15554</v>
      </c>
    </row>
    <row r="202" spans="2:10">
      <c r="B202" s="988">
        <v>15585</v>
      </c>
      <c r="H202" s="986">
        <v>2E-3</v>
      </c>
      <c r="I202" s="986"/>
      <c r="J202" s="988">
        <v>15585</v>
      </c>
    </row>
    <row r="203" spans="2:10">
      <c r="B203" s="988">
        <v>15615</v>
      </c>
      <c r="H203" s="986">
        <v>2.0999999999999999E-3</v>
      </c>
      <c r="I203" s="986"/>
      <c r="J203" s="988">
        <v>15615</v>
      </c>
    </row>
    <row r="204" spans="2:10">
      <c r="B204" s="988">
        <v>15646</v>
      </c>
      <c r="H204" s="986">
        <v>2E-3</v>
      </c>
      <c r="I204" s="986"/>
      <c r="J204" s="988">
        <v>15646</v>
      </c>
    </row>
    <row r="205" spans="2:10">
      <c r="B205" s="988">
        <v>15676</v>
      </c>
      <c r="H205" s="986">
        <v>2.0999999999999999E-3</v>
      </c>
      <c r="I205" s="986"/>
      <c r="J205" s="988">
        <v>15676</v>
      </c>
    </row>
    <row r="206" spans="2:10">
      <c r="B206" s="988">
        <v>15707</v>
      </c>
      <c r="H206" s="986">
        <v>2E-3</v>
      </c>
      <c r="I206" s="986"/>
      <c r="J206" s="988">
        <v>15707</v>
      </c>
    </row>
    <row r="207" spans="2:10">
      <c r="B207" s="988">
        <v>15738</v>
      </c>
      <c r="H207" s="986">
        <v>1.9E-3</v>
      </c>
      <c r="I207" s="986"/>
      <c r="J207" s="988">
        <v>15738</v>
      </c>
    </row>
    <row r="208" spans="2:10">
      <c r="B208" s="988">
        <v>15766</v>
      </c>
      <c r="H208" s="986">
        <v>2.0999999999999999E-3</v>
      </c>
      <c r="I208" s="986"/>
      <c r="J208" s="988">
        <v>15766</v>
      </c>
    </row>
    <row r="209" spans="2:10">
      <c r="B209" s="988">
        <v>15797</v>
      </c>
      <c r="H209" s="986">
        <v>2E-3</v>
      </c>
      <c r="I209" s="986"/>
      <c r="J209" s="988">
        <v>15797</v>
      </c>
    </row>
    <row r="210" spans="2:10">
      <c r="B210" s="988">
        <v>15827</v>
      </c>
      <c r="H210" s="986">
        <v>1.9E-3</v>
      </c>
      <c r="I210" s="986"/>
      <c r="J210" s="988">
        <v>15827</v>
      </c>
    </row>
    <row r="211" spans="2:10">
      <c r="B211" s="988">
        <v>15858</v>
      </c>
      <c r="H211" s="986">
        <v>2.0999999999999999E-3</v>
      </c>
      <c r="I211" s="986"/>
      <c r="J211" s="988">
        <v>15858</v>
      </c>
    </row>
    <row r="212" spans="2:10">
      <c r="B212" s="988">
        <v>15888</v>
      </c>
      <c r="H212" s="986">
        <v>2.0999999999999999E-3</v>
      </c>
      <c r="I212" s="986"/>
      <c r="J212" s="988">
        <v>15888</v>
      </c>
    </row>
    <row r="213" spans="2:10">
      <c r="B213" s="988">
        <v>15919</v>
      </c>
      <c r="H213" s="986">
        <v>2.0999999999999999E-3</v>
      </c>
      <c r="I213" s="986"/>
      <c r="J213" s="988">
        <v>15919</v>
      </c>
    </row>
    <row r="214" spans="2:10">
      <c r="B214" s="988">
        <v>15950</v>
      </c>
      <c r="H214" s="986">
        <v>2E-3</v>
      </c>
      <c r="I214" s="986"/>
      <c r="J214" s="988">
        <v>15950</v>
      </c>
    </row>
    <row r="215" spans="2:10">
      <c r="B215" s="988">
        <v>15980</v>
      </c>
      <c r="H215" s="986">
        <v>2E-3</v>
      </c>
      <c r="I215" s="986"/>
      <c r="J215" s="988">
        <v>15980</v>
      </c>
    </row>
    <row r="216" spans="2:10">
      <c r="B216" s="988">
        <v>16011</v>
      </c>
      <c r="H216" s="986">
        <v>2.0999999999999999E-3</v>
      </c>
      <c r="I216" s="986"/>
      <c r="J216" s="988">
        <v>16011</v>
      </c>
    </row>
    <row r="217" spans="2:10">
      <c r="B217" s="988">
        <v>16041</v>
      </c>
      <c r="H217" s="986">
        <v>2.0999999999999999E-3</v>
      </c>
      <c r="I217" s="986"/>
      <c r="J217" s="988">
        <v>16041</v>
      </c>
    </row>
    <row r="218" spans="2:10">
      <c r="B218" s="988">
        <v>16072</v>
      </c>
      <c r="H218" s="986">
        <v>2.0999999999999999E-3</v>
      </c>
      <c r="I218" s="986"/>
      <c r="J218" s="988">
        <v>16072</v>
      </c>
    </row>
    <row r="219" spans="2:10">
      <c r="B219" s="988">
        <v>16103</v>
      </c>
      <c r="H219" s="986">
        <v>2E-3</v>
      </c>
      <c r="I219" s="986"/>
      <c r="J219" s="988">
        <v>16103</v>
      </c>
    </row>
    <row r="220" spans="2:10">
      <c r="B220" s="988">
        <v>16132</v>
      </c>
      <c r="H220" s="986">
        <v>2.0999999999999999E-3</v>
      </c>
      <c r="I220" s="986"/>
      <c r="J220" s="988">
        <v>16132</v>
      </c>
    </row>
    <row r="221" spans="2:10">
      <c r="B221" s="988">
        <v>16163</v>
      </c>
      <c r="H221" s="986">
        <v>2E-3</v>
      </c>
      <c r="I221" s="986"/>
      <c r="J221" s="988">
        <v>16163</v>
      </c>
    </row>
    <row r="222" spans="2:10">
      <c r="B222" s="988">
        <v>16193</v>
      </c>
      <c r="H222" s="986">
        <v>2.2000000000000001E-3</v>
      </c>
      <c r="I222" s="986"/>
      <c r="J222" s="988">
        <v>16193</v>
      </c>
    </row>
    <row r="223" spans="2:10">
      <c r="B223" s="988">
        <v>16224</v>
      </c>
      <c r="H223" s="986">
        <v>2E-3</v>
      </c>
      <c r="I223" s="986"/>
      <c r="J223" s="988">
        <v>16224</v>
      </c>
    </row>
    <row r="224" spans="2:10">
      <c r="B224" s="988">
        <v>16254</v>
      </c>
      <c r="H224" s="986">
        <v>2.0999999999999999E-3</v>
      </c>
      <c r="I224" s="986"/>
      <c r="J224" s="988">
        <v>16254</v>
      </c>
    </row>
    <row r="225" spans="2:10">
      <c r="B225" s="988">
        <v>16285</v>
      </c>
      <c r="H225" s="986">
        <v>2.0999999999999999E-3</v>
      </c>
      <c r="I225" s="986"/>
      <c r="J225" s="988">
        <v>16285</v>
      </c>
    </row>
    <row r="226" spans="2:10">
      <c r="B226" s="988">
        <v>16316</v>
      </c>
      <c r="H226" s="986">
        <v>2E-3</v>
      </c>
      <c r="I226" s="986"/>
      <c r="J226" s="988">
        <v>16316</v>
      </c>
    </row>
    <row r="227" spans="2:10">
      <c r="B227" s="988">
        <v>16346</v>
      </c>
      <c r="H227" s="986">
        <v>2.0999999999999999E-3</v>
      </c>
      <c r="I227" s="986"/>
      <c r="J227" s="988">
        <v>16346</v>
      </c>
    </row>
    <row r="228" spans="2:10">
      <c r="B228" s="988">
        <v>16377</v>
      </c>
      <c r="H228" s="986">
        <v>2E-3</v>
      </c>
      <c r="I228" s="986"/>
      <c r="J228" s="988">
        <v>16377</v>
      </c>
    </row>
    <row r="229" spans="2:10">
      <c r="B229" s="988">
        <v>16407</v>
      </c>
      <c r="H229" s="986">
        <v>2E-3</v>
      </c>
      <c r="I229" s="986"/>
      <c r="J229" s="988">
        <v>16407</v>
      </c>
    </row>
    <row r="230" spans="2:10">
      <c r="B230" s="988">
        <v>16438</v>
      </c>
      <c r="H230" s="986">
        <v>2.0999999999999999E-3</v>
      </c>
      <c r="I230" s="986"/>
      <c r="J230" s="988">
        <v>16438</v>
      </c>
    </row>
    <row r="231" spans="2:10">
      <c r="B231" s="988">
        <v>16469</v>
      </c>
      <c r="H231" s="986">
        <v>1.8E-3</v>
      </c>
      <c r="I231" s="986"/>
      <c r="J231" s="988">
        <v>16469</v>
      </c>
    </row>
    <row r="232" spans="2:10">
      <c r="B232" s="988">
        <v>16497</v>
      </c>
      <c r="H232" s="986">
        <v>2E-3</v>
      </c>
      <c r="I232" s="986"/>
      <c r="J232" s="988">
        <v>16497</v>
      </c>
    </row>
    <row r="233" spans="2:10">
      <c r="B233" s="988">
        <v>16528</v>
      </c>
      <c r="H233" s="986">
        <v>1.9E-3</v>
      </c>
      <c r="I233" s="986"/>
      <c r="J233" s="988">
        <v>16528</v>
      </c>
    </row>
    <row r="234" spans="2:10">
      <c r="B234" s="988">
        <v>16558</v>
      </c>
      <c r="H234" s="986">
        <v>1.9E-3</v>
      </c>
      <c r="I234" s="986"/>
      <c r="J234" s="988">
        <v>16558</v>
      </c>
    </row>
    <row r="235" spans="2:10">
      <c r="B235" s="988">
        <v>16589</v>
      </c>
      <c r="H235" s="986">
        <v>1.9E-3</v>
      </c>
      <c r="I235" s="986"/>
      <c r="J235" s="988">
        <v>16589</v>
      </c>
    </row>
    <row r="236" spans="2:10">
      <c r="B236" s="988">
        <v>16619</v>
      </c>
      <c r="H236" s="986">
        <v>1.8E-3</v>
      </c>
      <c r="I236" s="986"/>
      <c r="J236" s="988">
        <v>16619</v>
      </c>
    </row>
    <row r="237" spans="2:10">
      <c r="B237" s="988">
        <v>16650</v>
      </c>
      <c r="H237" s="986">
        <v>1.9E-3</v>
      </c>
      <c r="I237" s="986"/>
      <c r="J237" s="988">
        <v>16650</v>
      </c>
    </row>
    <row r="238" spans="2:10">
      <c r="B238" s="988">
        <v>16681</v>
      </c>
      <c r="H238" s="986">
        <v>1.8E-3</v>
      </c>
      <c r="I238" s="986"/>
      <c r="J238" s="988">
        <v>16681</v>
      </c>
    </row>
    <row r="239" spans="2:10">
      <c r="B239" s="988">
        <v>16711</v>
      </c>
      <c r="H239" s="986">
        <v>1.9E-3</v>
      </c>
      <c r="I239" s="986"/>
      <c r="J239" s="988">
        <v>16711</v>
      </c>
    </row>
    <row r="240" spans="2:10">
      <c r="B240" s="988">
        <v>16742</v>
      </c>
      <c r="H240" s="986">
        <v>1.8E-3</v>
      </c>
      <c r="I240" s="986"/>
      <c r="J240" s="988">
        <v>16742</v>
      </c>
    </row>
    <row r="241" spans="2:10">
      <c r="B241" s="988">
        <v>16772</v>
      </c>
      <c r="H241" s="986">
        <v>1.8E-3</v>
      </c>
      <c r="I241" s="986"/>
      <c r="J241" s="988">
        <v>16772</v>
      </c>
    </row>
    <row r="242" spans="2:10">
      <c r="B242" s="988">
        <v>16803</v>
      </c>
      <c r="H242" s="986">
        <v>1.6999999999999999E-3</v>
      </c>
      <c r="I242" s="986"/>
      <c r="J242" s="988">
        <v>16803</v>
      </c>
    </row>
    <row r="243" spans="2:10">
      <c r="B243" s="988">
        <v>16834</v>
      </c>
      <c r="H243" s="986">
        <v>1.5E-3</v>
      </c>
      <c r="I243" s="986"/>
      <c r="J243" s="988">
        <v>16834</v>
      </c>
    </row>
    <row r="244" spans="2:10">
      <c r="B244" s="988">
        <v>16862</v>
      </c>
      <c r="H244" s="986">
        <v>1.6000000000000001E-3</v>
      </c>
      <c r="I244" s="986"/>
      <c r="J244" s="988">
        <v>16862</v>
      </c>
    </row>
    <row r="245" spans="2:10">
      <c r="B245" s="988">
        <v>16893</v>
      </c>
      <c r="H245" s="986">
        <v>1.6999999999999999E-3</v>
      </c>
      <c r="I245" s="986"/>
      <c r="J245" s="988">
        <v>16893</v>
      </c>
    </row>
    <row r="246" spans="2:10">
      <c r="B246" s="988">
        <v>16923</v>
      </c>
      <c r="H246" s="986">
        <v>1.8E-3</v>
      </c>
      <c r="I246" s="986"/>
      <c r="J246" s="988">
        <v>16923</v>
      </c>
    </row>
    <row r="247" spans="2:10">
      <c r="B247" s="988">
        <v>16954</v>
      </c>
      <c r="H247" s="986">
        <v>1.6000000000000001E-3</v>
      </c>
      <c r="I247" s="986"/>
      <c r="J247" s="988">
        <v>16954</v>
      </c>
    </row>
    <row r="248" spans="2:10">
      <c r="B248" s="988">
        <v>16984</v>
      </c>
      <c r="H248" s="986">
        <v>1.9E-3</v>
      </c>
      <c r="I248" s="986"/>
      <c r="J248" s="988">
        <v>16984</v>
      </c>
    </row>
    <row r="249" spans="2:10">
      <c r="B249" s="988">
        <v>17015</v>
      </c>
      <c r="H249" s="986">
        <v>1.6999999999999999E-3</v>
      </c>
      <c r="I249" s="986"/>
      <c r="J249" s="988">
        <v>17015</v>
      </c>
    </row>
    <row r="250" spans="2:10">
      <c r="B250" s="988">
        <v>17046</v>
      </c>
      <c r="H250" s="986">
        <v>1.8E-3</v>
      </c>
      <c r="I250" s="986"/>
      <c r="J250" s="988">
        <v>17046</v>
      </c>
    </row>
    <row r="251" spans="2:10">
      <c r="B251" s="988">
        <v>17076</v>
      </c>
      <c r="H251" s="986">
        <v>1.9E-3</v>
      </c>
      <c r="I251" s="986"/>
      <c r="J251" s="988">
        <v>17076</v>
      </c>
    </row>
    <row r="252" spans="2:10">
      <c r="B252" s="988">
        <v>17107</v>
      </c>
      <c r="H252" s="986">
        <v>1.8E-3</v>
      </c>
      <c r="I252" s="986"/>
      <c r="J252" s="988">
        <v>17107</v>
      </c>
    </row>
    <row r="253" spans="2:10">
      <c r="B253" s="988">
        <v>17137</v>
      </c>
      <c r="H253" s="986">
        <v>1.9E-3</v>
      </c>
      <c r="I253" s="986"/>
      <c r="J253" s="988">
        <v>17137</v>
      </c>
    </row>
    <row r="254" spans="2:10">
      <c r="B254" s="988">
        <v>17168</v>
      </c>
      <c r="H254" s="986">
        <v>1.8E-3</v>
      </c>
      <c r="I254" s="986"/>
      <c r="J254" s="988">
        <v>17168</v>
      </c>
    </row>
    <row r="255" spans="2:10">
      <c r="B255" s="988">
        <v>17199</v>
      </c>
      <c r="H255" s="986">
        <v>1.6000000000000001E-3</v>
      </c>
      <c r="I255" s="986"/>
      <c r="J255" s="988">
        <v>17199</v>
      </c>
    </row>
    <row r="256" spans="2:10">
      <c r="B256" s="988">
        <v>17227</v>
      </c>
      <c r="H256" s="986">
        <v>1.8E-3</v>
      </c>
      <c r="I256" s="986"/>
      <c r="J256" s="988">
        <v>17227</v>
      </c>
    </row>
    <row r="257" spans="2:10">
      <c r="B257" s="988">
        <v>17258</v>
      </c>
      <c r="H257" s="986">
        <v>1.6999999999999999E-3</v>
      </c>
      <c r="I257" s="986"/>
      <c r="J257" s="988">
        <v>17258</v>
      </c>
    </row>
    <row r="258" spans="2:10">
      <c r="B258" s="988">
        <v>17288</v>
      </c>
      <c r="H258" s="986">
        <v>1.6999999999999999E-3</v>
      </c>
      <c r="I258" s="986"/>
      <c r="J258" s="988">
        <v>17288</v>
      </c>
    </row>
    <row r="259" spans="2:10">
      <c r="B259" s="988">
        <v>17319</v>
      </c>
      <c r="H259" s="986">
        <v>1.9E-3</v>
      </c>
      <c r="I259" s="986"/>
      <c r="J259" s="988">
        <v>17319</v>
      </c>
    </row>
    <row r="260" spans="2:10">
      <c r="B260" s="988">
        <v>17349</v>
      </c>
      <c r="H260" s="986">
        <v>1.8E-3</v>
      </c>
      <c r="I260" s="986"/>
      <c r="J260" s="988">
        <v>17349</v>
      </c>
    </row>
    <row r="261" spans="2:10">
      <c r="B261" s="988">
        <v>17380</v>
      </c>
      <c r="H261" s="986">
        <v>1.6999999999999999E-3</v>
      </c>
      <c r="I261" s="986"/>
      <c r="J261" s="988">
        <v>17380</v>
      </c>
    </row>
    <row r="262" spans="2:10">
      <c r="B262" s="988">
        <v>17411</v>
      </c>
      <c r="H262" s="986">
        <v>1.8E-3</v>
      </c>
      <c r="I262" s="986"/>
      <c r="J262" s="988">
        <v>17411</v>
      </c>
    </row>
    <row r="263" spans="2:10">
      <c r="B263" s="988">
        <v>17441</v>
      </c>
      <c r="H263" s="986">
        <v>1.8E-3</v>
      </c>
      <c r="I263" s="986"/>
      <c r="J263" s="988">
        <v>17441</v>
      </c>
    </row>
    <row r="264" spans="2:10">
      <c r="B264" s="988">
        <v>17472</v>
      </c>
      <c r="H264" s="986">
        <v>1.6999999999999999E-3</v>
      </c>
      <c r="I264" s="986"/>
      <c r="J264" s="988">
        <v>17472</v>
      </c>
    </row>
    <row r="265" spans="2:10">
      <c r="B265" s="988">
        <v>17502</v>
      </c>
      <c r="H265" s="986">
        <v>2.0999999999999999E-3</v>
      </c>
      <c r="I265" s="986"/>
      <c r="J265" s="988">
        <v>17502</v>
      </c>
    </row>
    <row r="266" spans="2:10">
      <c r="B266" s="988">
        <v>17533</v>
      </c>
      <c r="H266" s="986">
        <v>2E-3</v>
      </c>
      <c r="I266" s="986"/>
      <c r="J266" s="988">
        <v>17533</v>
      </c>
    </row>
    <row r="267" spans="2:10">
      <c r="B267" s="988">
        <v>17564</v>
      </c>
      <c r="H267" s="986">
        <v>1.9E-3</v>
      </c>
      <c r="I267" s="986"/>
      <c r="J267" s="988">
        <v>17564</v>
      </c>
    </row>
    <row r="268" spans="2:10">
      <c r="B268" s="988">
        <v>17593</v>
      </c>
      <c r="H268" s="986">
        <v>2.2000000000000001E-3</v>
      </c>
      <c r="I268" s="986"/>
      <c r="J268" s="988">
        <v>17593</v>
      </c>
    </row>
    <row r="269" spans="2:10">
      <c r="B269" s="988">
        <v>17624</v>
      </c>
      <c r="H269" s="986">
        <v>2E-3</v>
      </c>
      <c r="I269" s="986"/>
      <c r="J269" s="988">
        <v>17624</v>
      </c>
    </row>
    <row r="270" spans="2:10">
      <c r="B270" s="988">
        <v>17654</v>
      </c>
      <c r="H270" s="986">
        <v>1.8E-3</v>
      </c>
      <c r="I270" s="986"/>
      <c r="J270" s="988">
        <v>17654</v>
      </c>
    </row>
    <row r="271" spans="2:10">
      <c r="B271" s="988">
        <v>17685</v>
      </c>
      <c r="H271" s="986">
        <v>2.0999999999999999E-3</v>
      </c>
      <c r="I271" s="986"/>
      <c r="J271" s="988">
        <v>17685</v>
      </c>
    </row>
    <row r="272" spans="2:10">
      <c r="B272" s="988">
        <v>17715</v>
      </c>
      <c r="H272" s="986">
        <v>1.9E-3</v>
      </c>
      <c r="I272" s="986"/>
      <c r="J272" s="988">
        <v>17715</v>
      </c>
    </row>
    <row r="273" spans="2:10">
      <c r="B273" s="988">
        <v>17746</v>
      </c>
      <c r="H273" s="986">
        <v>2.0999999999999999E-3</v>
      </c>
      <c r="I273" s="986"/>
      <c r="J273" s="988">
        <v>17746</v>
      </c>
    </row>
    <row r="274" spans="2:10">
      <c r="B274" s="988">
        <v>17777</v>
      </c>
      <c r="H274" s="986">
        <v>2E-3</v>
      </c>
      <c r="I274" s="986"/>
      <c r="J274" s="988">
        <v>17777</v>
      </c>
    </row>
    <row r="275" spans="2:10">
      <c r="B275" s="988">
        <v>17807</v>
      </c>
      <c r="H275" s="986">
        <v>1.9E-3</v>
      </c>
      <c r="I275" s="986"/>
      <c r="J275" s="988">
        <v>17807</v>
      </c>
    </row>
    <row r="276" spans="2:10">
      <c r="B276" s="988">
        <v>17838</v>
      </c>
      <c r="H276" s="986">
        <v>2.0999999999999999E-3</v>
      </c>
      <c r="I276" s="986"/>
      <c r="J276" s="988">
        <v>17838</v>
      </c>
    </row>
    <row r="277" spans="2:10">
      <c r="B277" s="988">
        <v>17868</v>
      </c>
      <c r="H277" s="986">
        <v>2E-3</v>
      </c>
      <c r="I277" s="986"/>
      <c r="J277" s="988">
        <v>17868</v>
      </c>
    </row>
    <row r="278" spans="2:10">
      <c r="B278" s="988">
        <v>17899</v>
      </c>
      <c r="H278" s="986">
        <v>2E-3</v>
      </c>
      <c r="I278" s="986"/>
      <c r="J278" s="988">
        <v>17899</v>
      </c>
    </row>
    <row r="279" spans="2:10">
      <c r="B279" s="988">
        <v>17930</v>
      </c>
      <c r="H279" s="986">
        <v>1.8E-3</v>
      </c>
      <c r="I279" s="986"/>
      <c r="J279" s="988">
        <v>17930</v>
      </c>
    </row>
    <row r="280" spans="2:10">
      <c r="B280" s="988">
        <v>17958</v>
      </c>
      <c r="H280" s="986">
        <v>1.9E-3</v>
      </c>
      <c r="I280" s="986"/>
      <c r="J280" s="988">
        <v>17958</v>
      </c>
    </row>
    <row r="281" spans="2:10">
      <c r="B281" s="988">
        <v>17989</v>
      </c>
      <c r="H281" s="986">
        <v>1.8E-3</v>
      </c>
      <c r="I281" s="986"/>
      <c r="J281" s="988">
        <v>17989</v>
      </c>
    </row>
    <row r="282" spans="2:10">
      <c r="B282" s="988">
        <v>18019</v>
      </c>
      <c r="H282" s="986">
        <v>2E-3</v>
      </c>
      <c r="I282" s="986"/>
      <c r="J282" s="988">
        <v>18019</v>
      </c>
    </row>
    <row r="283" spans="2:10">
      <c r="B283" s="988">
        <v>18050</v>
      </c>
      <c r="H283" s="986">
        <v>1.9E-3</v>
      </c>
      <c r="I283" s="986"/>
      <c r="J283" s="988">
        <v>18050</v>
      </c>
    </row>
    <row r="284" spans="2:10">
      <c r="B284" s="988">
        <v>18080</v>
      </c>
      <c r="H284" s="986">
        <v>1.6999999999999999E-3</v>
      </c>
      <c r="I284" s="986"/>
      <c r="J284" s="988">
        <v>18080</v>
      </c>
    </row>
    <row r="285" spans="2:10">
      <c r="B285" s="988">
        <v>18111</v>
      </c>
      <c r="H285" s="986">
        <v>1.9E-3</v>
      </c>
      <c r="I285" s="986"/>
      <c r="J285" s="988">
        <v>18111</v>
      </c>
    </row>
    <row r="286" spans="2:10">
      <c r="B286" s="988">
        <v>18142</v>
      </c>
      <c r="H286" s="986">
        <v>1.6999999999999999E-3</v>
      </c>
      <c r="I286" s="986"/>
      <c r="J286" s="988">
        <v>18142</v>
      </c>
    </row>
    <row r="287" spans="2:10">
      <c r="B287" s="988">
        <v>18172</v>
      </c>
      <c r="H287" s="986">
        <v>1.8E-3</v>
      </c>
      <c r="I287" s="986"/>
      <c r="J287" s="988">
        <v>18172</v>
      </c>
    </row>
    <row r="288" spans="2:10">
      <c r="B288" s="988">
        <v>18203</v>
      </c>
      <c r="H288" s="986">
        <v>1.6999999999999999E-3</v>
      </c>
      <c r="I288" s="986"/>
      <c r="J288" s="988">
        <v>18203</v>
      </c>
    </row>
    <row r="289" spans="2:10">
      <c r="B289" s="988">
        <v>18233</v>
      </c>
      <c r="H289" s="986">
        <v>1.6999999999999999E-3</v>
      </c>
      <c r="I289" s="986"/>
      <c r="J289" s="988">
        <v>18233</v>
      </c>
    </row>
    <row r="290" spans="2:10">
      <c r="B290" s="988">
        <v>18264</v>
      </c>
      <c r="H290" s="986">
        <v>1.8E-3</v>
      </c>
      <c r="I290" s="986"/>
      <c r="J290" s="988">
        <v>18264</v>
      </c>
    </row>
    <row r="291" spans="2:10">
      <c r="B291" s="988">
        <v>18295</v>
      </c>
      <c r="H291" s="986">
        <v>1.6000000000000001E-3</v>
      </c>
      <c r="I291" s="986"/>
      <c r="J291" s="988">
        <v>18295</v>
      </c>
    </row>
    <row r="292" spans="2:10">
      <c r="B292" s="988">
        <v>18323</v>
      </c>
      <c r="H292" s="986">
        <v>1.8E-3</v>
      </c>
      <c r="I292" s="986"/>
      <c r="J292" s="988">
        <v>18323</v>
      </c>
    </row>
    <row r="293" spans="2:10">
      <c r="B293" s="988">
        <v>18354</v>
      </c>
      <c r="H293" s="986">
        <v>1.6000000000000001E-3</v>
      </c>
      <c r="I293" s="986"/>
      <c r="J293" s="988">
        <v>18354</v>
      </c>
    </row>
    <row r="294" spans="2:10">
      <c r="B294" s="988">
        <v>18384</v>
      </c>
      <c r="H294" s="986">
        <v>1.9E-3</v>
      </c>
      <c r="I294" s="986"/>
      <c r="J294" s="988">
        <v>18384</v>
      </c>
    </row>
    <row r="295" spans="2:10">
      <c r="B295" s="988">
        <v>18415</v>
      </c>
      <c r="H295" s="986">
        <v>1.6999999999999999E-3</v>
      </c>
      <c r="I295" s="986"/>
      <c r="J295" s="988">
        <v>18415</v>
      </c>
    </row>
    <row r="296" spans="2:10">
      <c r="B296" s="988">
        <v>18445</v>
      </c>
      <c r="H296" s="986">
        <v>1.8E-3</v>
      </c>
      <c r="I296" s="986"/>
      <c r="J296" s="988">
        <v>18445</v>
      </c>
    </row>
    <row r="297" spans="2:10">
      <c r="B297" s="988">
        <v>18476</v>
      </c>
      <c r="H297" s="986">
        <v>1.8E-3</v>
      </c>
      <c r="I297" s="986"/>
      <c r="J297" s="988">
        <v>18476</v>
      </c>
    </row>
    <row r="298" spans="2:10">
      <c r="B298" s="988">
        <v>18507</v>
      </c>
      <c r="H298" s="986">
        <v>1.6999999999999999E-3</v>
      </c>
      <c r="I298" s="986"/>
      <c r="J298" s="988">
        <v>18507</v>
      </c>
    </row>
    <row r="299" spans="2:10">
      <c r="B299" s="988">
        <v>18537</v>
      </c>
      <c r="H299" s="986">
        <v>1.9E-3</v>
      </c>
      <c r="I299" s="986"/>
      <c r="J299" s="988">
        <v>18537</v>
      </c>
    </row>
    <row r="300" spans="2:10">
      <c r="B300" s="988">
        <v>18568</v>
      </c>
      <c r="H300" s="986">
        <v>1.8E-3</v>
      </c>
      <c r="I300" s="986"/>
      <c r="J300" s="988">
        <v>18568</v>
      </c>
    </row>
    <row r="301" spans="2:10">
      <c r="B301" s="988">
        <v>18598</v>
      </c>
      <c r="H301" s="986">
        <v>1.8E-3</v>
      </c>
      <c r="I301" s="986"/>
      <c r="J301" s="988">
        <v>18598</v>
      </c>
    </row>
    <row r="302" spans="2:10">
      <c r="B302" s="988">
        <v>18629</v>
      </c>
      <c r="H302" s="986">
        <v>2E-3</v>
      </c>
      <c r="I302" s="986"/>
      <c r="J302" s="988">
        <v>18629</v>
      </c>
    </row>
    <row r="303" spans="2:10">
      <c r="B303" s="988">
        <v>18660</v>
      </c>
      <c r="H303" s="986">
        <v>1.6999999999999999E-3</v>
      </c>
      <c r="I303" s="986"/>
      <c r="J303" s="988">
        <v>18660</v>
      </c>
    </row>
    <row r="304" spans="2:10">
      <c r="B304" s="988">
        <v>18688</v>
      </c>
      <c r="H304" s="986">
        <v>1.9E-3</v>
      </c>
      <c r="I304" s="986"/>
      <c r="J304" s="988">
        <v>18688</v>
      </c>
    </row>
    <row r="305" spans="2:10">
      <c r="B305" s="988">
        <v>18719</v>
      </c>
      <c r="H305" s="986">
        <v>2E-3</v>
      </c>
      <c r="I305" s="986"/>
      <c r="J305" s="988">
        <v>18719</v>
      </c>
    </row>
    <row r="306" spans="2:10">
      <c r="B306" s="988">
        <v>18749</v>
      </c>
      <c r="H306" s="986">
        <v>2.0999999999999999E-3</v>
      </c>
      <c r="I306" s="986"/>
      <c r="J306" s="988">
        <v>18749</v>
      </c>
    </row>
    <row r="307" spans="2:10">
      <c r="B307" s="988">
        <v>18780</v>
      </c>
      <c r="H307" s="986">
        <v>2E-3</v>
      </c>
      <c r="I307" s="986"/>
      <c r="J307" s="988">
        <v>18780</v>
      </c>
    </row>
    <row r="308" spans="2:10">
      <c r="B308" s="988">
        <v>18810</v>
      </c>
      <c r="H308" s="986">
        <v>2.3E-3</v>
      </c>
      <c r="I308" s="986"/>
      <c r="J308" s="988">
        <v>18810</v>
      </c>
    </row>
    <row r="309" spans="2:10">
      <c r="B309" s="988">
        <v>18841</v>
      </c>
      <c r="H309" s="986">
        <v>2.0999999999999999E-3</v>
      </c>
      <c r="I309" s="986"/>
      <c r="J309" s="988">
        <v>18841</v>
      </c>
    </row>
    <row r="310" spans="2:10">
      <c r="B310" s="988">
        <v>18872</v>
      </c>
      <c r="H310" s="986">
        <v>1.9E-3</v>
      </c>
      <c r="I310" s="986"/>
      <c r="J310" s="988">
        <v>18872</v>
      </c>
    </row>
    <row r="311" spans="2:10">
      <c r="B311" s="988">
        <v>18902</v>
      </c>
      <c r="H311" s="986">
        <v>2.3E-3</v>
      </c>
      <c r="I311" s="986"/>
      <c r="J311" s="988">
        <v>18902</v>
      </c>
    </row>
    <row r="312" spans="2:10">
      <c r="B312" s="988">
        <v>18933</v>
      </c>
      <c r="H312" s="986">
        <v>2.0999999999999999E-3</v>
      </c>
      <c r="I312" s="986"/>
      <c r="J312" s="988">
        <v>18933</v>
      </c>
    </row>
    <row r="313" spans="2:10">
      <c r="B313" s="988">
        <v>18963</v>
      </c>
      <c r="H313" s="986">
        <v>2.2000000000000001E-3</v>
      </c>
      <c r="I313" s="986"/>
      <c r="J313" s="988">
        <v>18963</v>
      </c>
    </row>
    <row r="314" spans="2:10">
      <c r="B314" s="988">
        <v>18994</v>
      </c>
      <c r="H314" s="986">
        <v>2.3E-3</v>
      </c>
      <c r="I314" s="986"/>
      <c r="J314" s="988">
        <v>18994</v>
      </c>
    </row>
    <row r="315" spans="2:10">
      <c r="B315" s="988">
        <v>19025</v>
      </c>
      <c r="H315" s="986">
        <v>2.0999999999999999E-3</v>
      </c>
      <c r="I315" s="986"/>
      <c r="J315" s="988">
        <v>19025</v>
      </c>
    </row>
    <row r="316" spans="2:10">
      <c r="B316" s="988">
        <v>19054</v>
      </c>
      <c r="H316" s="986">
        <v>2.3E-3</v>
      </c>
      <c r="I316" s="986"/>
      <c r="J316" s="988">
        <v>19054</v>
      </c>
    </row>
    <row r="317" spans="2:10">
      <c r="B317" s="988">
        <v>19085</v>
      </c>
      <c r="H317" s="986">
        <v>2.2000000000000001E-3</v>
      </c>
      <c r="I317" s="986"/>
      <c r="J317" s="988">
        <v>19085</v>
      </c>
    </row>
    <row r="318" spans="2:10">
      <c r="B318" s="988">
        <v>19115</v>
      </c>
      <c r="H318" s="986">
        <v>2E-3</v>
      </c>
      <c r="I318" s="986"/>
      <c r="J318" s="988">
        <v>19115</v>
      </c>
    </row>
    <row r="319" spans="2:10">
      <c r="B319" s="988">
        <v>19146</v>
      </c>
      <c r="H319" s="986">
        <v>2.2000000000000001E-3</v>
      </c>
      <c r="I319" s="986"/>
      <c r="J319" s="988">
        <v>19146</v>
      </c>
    </row>
    <row r="320" spans="2:10">
      <c r="B320" s="988">
        <v>19176</v>
      </c>
      <c r="H320" s="986">
        <v>2.2000000000000001E-3</v>
      </c>
      <c r="I320" s="986"/>
      <c r="J320" s="988">
        <v>19176</v>
      </c>
    </row>
    <row r="321" spans="2:10">
      <c r="B321" s="988">
        <v>19207</v>
      </c>
      <c r="H321" s="986">
        <v>2.0999999999999999E-3</v>
      </c>
      <c r="I321" s="986"/>
      <c r="J321" s="988">
        <v>19207</v>
      </c>
    </row>
    <row r="322" spans="2:10">
      <c r="B322" s="988">
        <v>19238</v>
      </c>
      <c r="H322" s="986">
        <v>2.3E-3</v>
      </c>
      <c r="I322" s="986"/>
      <c r="J322" s="988">
        <v>19238</v>
      </c>
    </row>
    <row r="323" spans="2:10">
      <c r="B323" s="988">
        <v>19268</v>
      </c>
      <c r="H323" s="986">
        <v>2.3E-3</v>
      </c>
      <c r="I323" s="986"/>
      <c r="J323" s="988">
        <v>19268</v>
      </c>
    </row>
    <row r="324" spans="2:10">
      <c r="B324" s="988">
        <v>19299</v>
      </c>
      <c r="H324" s="986">
        <v>2.0999999999999999E-3</v>
      </c>
      <c r="I324" s="986"/>
      <c r="J324" s="988">
        <v>19299</v>
      </c>
    </row>
    <row r="325" spans="2:10">
      <c r="B325" s="988">
        <v>19329</v>
      </c>
      <c r="H325" s="986">
        <v>2.3999999999999998E-3</v>
      </c>
      <c r="I325" s="986"/>
      <c r="J325" s="988">
        <v>19329</v>
      </c>
    </row>
    <row r="326" spans="2:10">
      <c r="B326" s="988">
        <v>19360</v>
      </c>
      <c r="H326" s="986">
        <v>2.3E-3</v>
      </c>
      <c r="I326" s="986"/>
      <c r="J326" s="988">
        <v>19360</v>
      </c>
    </row>
    <row r="327" spans="2:10">
      <c r="B327" s="988">
        <v>19391</v>
      </c>
      <c r="H327" s="986">
        <v>2.0999999999999999E-3</v>
      </c>
      <c r="I327" s="986"/>
      <c r="J327" s="988">
        <v>19391</v>
      </c>
    </row>
    <row r="328" spans="2:10">
      <c r="B328" s="988">
        <v>19419</v>
      </c>
      <c r="H328" s="986">
        <v>2.5000000000000001E-3</v>
      </c>
      <c r="I328" s="986"/>
      <c r="J328" s="988">
        <v>19419</v>
      </c>
    </row>
    <row r="329" spans="2:10">
      <c r="B329" s="988">
        <v>19450</v>
      </c>
      <c r="H329" s="986">
        <v>2.3999999999999998E-3</v>
      </c>
      <c r="I329" s="986"/>
      <c r="J329" s="988">
        <v>19450</v>
      </c>
    </row>
    <row r="330" spans="2:10">
      <c r="B330" s="988">
        <v>19480</v>
      </c>
      <c r="H330" s="986">
        <v>2.3999999999999998E-3</v>
      </c>
      <c r="I330" s="986"/>
      <c r="J330" s="988">
        <v>19480</v>
      </c>
    </row>
    <row r="331" spans="2:10">
      <c r="B331" s="988">
        <v>19511</v>
      </c>
      <c r="H331" s="986">
        <v>2.7000000000000001E-3</v>
      </c>
      <c r="I331" s="986"/>
      <c r="J331" s="988">
        <v>19511</v>
      </c>
    </row>
    <row r="332" spans="2:10">
      <c r="B332" s="988">
        <v>19541</v>
      </c>
      <c r="H332" s="986">
        <v>2.5000000000000001E-3</v>
      </c>
      <c r="I332" s="986"/>
      <c r="J332" s="988">
        <v>19541</v>
      </c>
    </row>
    <row r="333" spans="2:10">
      <c r="B333" s="988">
        <v>19572</v>
      </c>
      <c r="H333" s="986">
        <v>2.5000000000000001E-3</v>
      </c>
      <c r="I333" s="986"/>
      <c r="J333" s="988">
        <v>19572</v>
      </c>
    </row>
    <row r="334" spans="2:10">
      <c r="B334" s="988">
        <v>19603</v>
      </c>
      <c r="H334" s="986">
        <v>2.5000000000000001E-3</v>
      </c>
      <c r="I334" s="986"/>
      <c r="J334" s="988">
        <v>19603</v>
      </c>
    </row>
    <row r="335" spans="2:10">
      <c r="B335" s="988">
        <v>19633</v>
      </c>
      <c r="H335" s="986">
        <v>2.3E-3</v>
      </c>
      <c r="I335" s="986"/>
      <c r="J335" s="988">
        <v>19633</v>
      </c>
    </row>
    <row r="336" spans="2:10">
      <c r="B336" s="988">
        <v>19664</v>
      </c>
      <c r="H336" s="986">
        <v>2.3999999999999998E-3</v>
      </c>
      <c r="I336" s="986"/>
      <c r="J336" s="988">
        <v>19664</v>
      </c>
    </row>
    <row r="337" spans="2:10">
      <c r="B337" s="988">
        <v>19694</v>
      </c>
      <c r="H337" s="986">
        <v>2.3999999999999998E-3</v>
      </c>
      <c r="I337" s="986"/>
      <c r="J337" s="988">
        <v>19694</v>
      </c>
    </row>
    <row r="338" spans="2:10">
      <c r="B338" s="988">
        <v>19725</v>
      </c>
      <c r="H338" s="986">
        <v>2.3E-3</v>
      </c>
      <c r="I338" s="986"/>
      <c r="J338" s="988">
        <v>19725</v>
      </c>
    </row>
    <row r="339" spans="2:10">
      <c r="B339" s="988">
        <v>19756</v>
      </c>
      <c r="H339" s="986">
        <v>2.2000000000000001E-3</v>
      </c>
      <c r="I339" s="986"/>
      <c r="J339" s="988">
        <v>19756</v>
      </c>
    </row>
    <row r="340" spans="2:10">
      <c r="B340" s="988">
        <v>19784</v>
      </c>
      <c r="H340" s="986">
        <v>2.5000000000000001E-3</v>
      </c>
      <c r="I340" s="986"/>
      <c r="J340" s="988">
        <v>19784</v>
      </c>
    </row>
    <row r="341" spans="2:10">
      <c r="B341" s="988">
        <v>19815</v>
      </c>
      <c r="H341" s="986">
        <v>2.2000000000000001E-3</v>
      </c>
      <c r="I341" s="986"/>
      <c r="J341" s="988">
        <v>19815</v>
      </c>
    </row>
    <row r="342" spans="2:10">
      <c r="B342" s="988">
        <v>19845</v>
      </c>
      <c r="H342" s="986">
        <v>2E-3</v>
      </c>
      <c r="I342" s="986"/>
      <c r="J342" s="988">
        <v>19845</v>
      </c>
    </row>
    <row r="343" spans="2:10">
      <c r="B343" s="988">
        <v>19876</v>
      </c>
      <c r="H343" s="986">
        <v>2.5000000000000001E-3</v>
      </c>
      <c r="I343" s="986"/>
      <c r="J343" s="988">
        <v>19876</v>
      </c>
    </row>
    <row r="344" spans="2:10">
      <c r="B344" s="988">
        <v>19906</v>
      </c>
      <c r="H344" s="986">
        <v>2.2000000000000001E-3</v>
      </c>
      <c r="I344" s="986"/>
      <c r="J344" s="988">
        <v>19906</v>
      </c>
    </row>
    <row r="345" spans="2:10">
      <c r="B345" s="988">
        <v>19937</v>
      </c>
      <c r="H345" s="986">
        <v>2.3E-3</v>
      </c>
      <c r="I345" s="986"/>
      <c r="J345" s="988">
        <v>19937</v>
      </c>
    </row>
    <row r="346" spans="2:10">
      <c r="B346" s="988">
        <v>19968</v>
      </c>
      <c r="H346" s="986">
        <v>2.2000000000000001E-3</v>
      </c>
      <c r="I346" s="986"/>
      <c r="J346" s="988">
        <v>19968</v>
      </c>
    </row>
    <row r="347" spans="2:10">
      <c r="B347" s="988">
        <v>19998</v>
      </c>
      <c r="H347" s="986">
        <v>2.0999999999999999E-3</v>
      </c>
      <c r="I347" s="986"/>
      <c r="J347" s="988">
        <v>19998</v>
      </c>
    </row>
    <row r="348" spans="2:10">
      <c r="B348" s="988">
        <v>20029</v>
      </c>
      <c r="H348" s="986">
        <v>2.3E-3</v>
      </c>
      <c r="I348" s="986"/>
      <c r="J348" s="988">
        <v>20029</v>
      </c>
    </row>
    <row r="349" spans="2:10">
      <c r="B349" s="988">
        <v>20059</v>
      </c>
      <c r="H349" s="986">
        <v>2.3E-3</v>
      </c>
      <c r="I349" s="986"/>
      <c r="J349" s="988">
        <v>20059</v>
      </c>
    </row>
    <row r="350" spans="2:10">
      <c r="B350" s="988">
        <v>20090</v>
      </c>
      <c r="H350" s="986">
        <v>2.2000000000000001E-3</v>
      </c>
      <c r="I350" s="986"/>
      <c r="J350" s="988">
        <v>20090</v>
      </c>
    </row>
    <row r="351" spans="2:10">
      <c r="B351" s="988">
        <v>20121</v>
      </c>
      <c r="H351" s="986">
        <v>2.2000000000000001E-3</v>
      </c>
      <c r="I351" s="986"/>
      <c r="J351" s="988">
        <v>20121</v>
      </c>
    </row>
    <row r="352" spans="2:10">
      <c r="B352" s="988">
        <v>20149</v>
      </c>
      <c r="H352" s="986">
        <v>2.3999999999999998E-3</v>
      </c>
      <c r="I352" s="986"/>
      <c r="J352" s="988">
        <v>20149</v>
      </c>
    </row>
    <row r="353" spans="2:10">
      <c r="B353" s="988">
        <v>20180</v>
      </c>
      <c r="H353" s="986">
        <v>2.2000000000000001E-3</v>
      </c>
      <c r="I353" s="986"/>
      <c r="J353" s="988">
        <v>20180</v>
      </c>
    </row>
    <row r="354" spans="2:10">
      <c r="B354" s="988">
        <v>20210</v>
      </c>
      <c r="H354" s="986">
        <v>2.5000000000000001E-3</v>
      </c>
      <c r="I354" s="986"/>
      <c r="J354" s="988">
        <v>20210</v>
      </c>
    </row>
    <row r="355" spans="2:10">
      <c r="B355" s="988">
        <v>20241</v>
      </c>
      <c r="H355" s="986">
        <v>2.3E-3</v>
      </c>
      <c r="I355" s="986"/>
      <c r="J355" s="988">
        <v>20241</v>
      </c>
    </row>
    <row r="356" spans="2:10">
      <c r="B356" s="988">
        <v>20271</v>
      </c>
      <c r="H356" s="986">
        <v>2.3E-3</v>
      </c>
      <c r="I356" s="986"/>
      <c r="J356" s="988">
        <v>20271</v>
      </c>
    </row>
    <row r="357" spans="2:10">
      <c r="B357" s="988">
        <v>20302</v>
      </c>
      <c r="H357" s="986">
        <v>2.7000000000000001E-3</v>
      </c>
      <c r="I357" s="986"/>
      <c r="J357" s="988">
        <v>20302</v>
      </c>
    </row>
    <row r="358" spans="2:10">
      <c r="B358" s="988">
        <v>20333</v>
      </c>
      <c r="H358" s="986">
        <v>2.3999999999999998E-3</v>
      </c>
      <c r="I358" s="986"/>
      <c r="J358" s="988">
        <v>20333</v>
      </c>
    </row>
    <row r="359" spans="2:10">
      <c r="B359" s="988">
        <v>20363</v>
      </c>
      <c r="H359" s="986">
        <v>2.5000000000000001E-3</v>
      </c>
      <c r="I359" s="986"/>
      <c r="J359" s="988">
        <v>20363</v>
      </c>
    </row>
    <row r="360" spans="2:10">
      <c r="B360" s="988">
        <v>20394</v>
      </c>
      <c r="H360" s="986">
        <v>2.3999999999999998E-3</v>
      </c>
      <c r="I360" s="986"/>
      <c r="J360" s="988">
        <v>20394</v>
      </c>
    </row>
    <row r="361" spans="2:10">
      <c r="B361" s="988">
        <v>20424</v>
      </c>
      <c r="H361" s="986">
        <v>2.3999999999999998E-3</v>
      </c>
      <c r="I361" s="986"/>
      <c r="J361" s="988">
        <v>20424</v>
      </c>
    </row>
    <row r="362" spans="2:10">
      <c r="B362" s="988">
        <v>20455</v>
      </c>
      <c r="H362" s="986">
        <v>2.5000000000000001E-3</v>
      </c>
      <c r="I362" s="986"/>
      <c r="J362" s="988">
        <v>20455</v>
      </c>
    </row>
    <row r="363" spans="2:10">
      <c r="B363" s="988">
        <v>20486</v>
      </c>
      <c r="H363" s="986">
        <v>2.3E-3</v>
      </c>
      <c r="I363" s="986"/>
      <c r="J363" s="988">
        <v>20486</v>
      </c>
    </row>
    <row r="364" spans="2:10">
      <c r="B364" s="988">
        <v>20515</v>
      </c>
      <c r="H364" s="986">
        <v>2.3E-3</v>
      </c>
      <c r="I364" s="986"/>
      <c r="J364" s="988">
        <v>20515</v>
      </c>
    </row>
    <row r="365" spans="2:10">
      <c r="B365" s="988">
        <v>20546</v>
      </c>
      <c r="H365" s="986">
        <v>2.5999999999999999E-3</v>
      </c>
      <c r="I365" s="986"/>
      <c r="J365" s="988">
        <v>20546</v>
      </c>
    </row>
    <row r="366" spans="2:10">
      <c r="B366" s="988">
        <v>20576</v>
      </c>
      <c r="H366" s="986">
        <v>2.5999999999999999E-3</v>
      </c>
      <c r="I366" s="986"/>
      <c r="J366" s="988">
        <v>20576</v>
      </c>
    </row>
    <row r="367" spans="2:10">
      <c r="B367" s="988">
        <v>20607</v>
      </c>
      <c r="H367" s="986">
        <v>2.3E-3</v>
      </c>
      <c r="I367" s="986"/>
      <c r="J367" s="988">
        <v>20607</v>
      </c>
    </row>
    <row r="368" spans="2:10">
      <c r="B368" s="988">
        <v>20637</v>
      </c>
      <c r="H368" s="986">
        <v>2.5999999999999999E-3</v>
      </c>
      <c r="I368" s="986"/>
      <c r="J368" s="988">
        <v>20637</v>
      </c>
    </row>
    <row r="369" spans="2:10">
      <c r="B369" s="988">
        <v>20668</v>
      </c>
      <c r="H369" s="986">
        <v>2.5999999999999999E-3</v>
      </c>
      <c r="I369" s="986"/>
      <c r="J369" s="988">
        <v>20668</v>
      </c>
    </row>
    <row r="370" spans="2:10">
      <c r="B370" s="988">
        <v>20699</v>
      </c>
      <c r="H370" s="986">
        <v>2.5000000000000001E-3</v>
      </c>
      <c r="I370" s="986"/>
      <c r="J370" s="988">
        <v>20699</v>
      </c>
    </row>
    <row r="371" spans="2:10">
      <c r="B371" s="988">
        <v>20729</v>
      </c>
      <c r="H371" s="986">
        <v>2.8999999999999998E-3</v>
      </c>
      <c r="I371" s="986"/>
      <c r="J371" s="988">
        <v>20729</v>
      </c>
    </row>
    <row r="372" spans="2:10">
      <c r="B372" s="988">
        <v>20760</v>
      </c>
      <c r="H372" s="986">
        <v>2.7000000000000001E-3</v>
      </c>
      <c r="I372" s="986"/>
      <c r="J372" s="988">
        <v>20760</v>
      </c>
    </row>
    <row r="373" spans="2:10">
      <c r="B373" s="988">
        <v>20790</v>
      </c>
      <c r="H373" s="986">
        <v>2.8E-3</v>
      </c>
      <c r="I373" s="986"/>
      <c r="J373" s="988">
        <v>20790</v>
      </c>
    </row>
    <row r="374" spans="2:10">
      <c r="B374" s="988">
        <v>20821</v>
      </c>
      <c r="H374" s="986">
        <v>2.8999999999999998E-3</v>
      </c>
      <c r="I374" s="986"/>
      <c r="J374" s="988">
        <v>20821</v>
      </c>
    </row>
    <row r="375" spans="2:10">
      <c r="B375" s="988">
        <v>20852</v>
      </c>
      <c r="H375" s="986">
        <v>2.5000000000000001E-3</v>
      </c>
      <c r="I375" s="986"/>
      <c r="J375" s="988">
        <v>20852</v>
      </c>
    </row>
    <row r="376" spans="2:10">
      <c r="B376" s="988">
        <v>20880</v>
      </c>
      <c r="H376" s="986">
        <v>2.5999999999999999E-3</v>
      </c>
      <c r="I376" s="986"/>
      <c r="J376" s="988">
        <v>20880</v>
      </c>
    </row>
    <row r="377" spans="2:10">
      <c r="B377" s="988">
        <v>20911</v>
      </c>
      <c r="H377" s="986">
        <v>2.8999999999999998E-3</v>
      </c>
      <c r="I377" s="986"/>
      <c r="J377" s="988">
        <v>20911</v>
      </c>
    </row>
    <row r="378" spans="2:10">
      <c r="B378" s="988">
        <v>20941</v>
      </c>
      <c r="H378" s="986">
        <v>2.8999999999999998E-3</v>
      </c>
      <c r="I378" s="986"/>
      <c r="J378" s="988">
        <v>20941</v>
      </c>
    </row>
    <row r="379" spans="2:10">
      <c r="B379" s="988">
        <v>20972</v>
      </c>
      <c r="H379" s="986">
        <v>2.5000000000000001E-3</v>
      </c>
      <c r="I379" s="986"/>
      <c r="J379" s="988">
        <v>20972</v>
      </c>
    </row>
    <row r="380" spans="2:10">
      <c r="B380" s="988">
        <v>21002</v>
      </c>
      <c r="H380" s="986">
        <v>3.3E-3</v>
      </c>
      <c r="I380" s="986"/>
      <c r="J380" s="988">
        <v>21002</v>
      </c>
    </row>
    <row r="381" spans="2:10">
      <c r="B381" s="988">
        <v>21033</v>
      </c>
      <c r="H381" s="986">
        <v>3.0000000000000001E-3</v>
      </c>
      <c r="I381" s="986"/>
      <c r="J381" s="988">
        <v>21033</v>
      </c>
    </row>
    <row r="382" spans="2:10">
      <c r="B382" s="988">
        <v>21064</v>
      </c>
      <c r="H382" s="986">
        <v>3.0999999999999999E-3</v>
      </c>
      <c r="I382" s="986"/>
      <c r="J382" s="988">
        <v>21064</v>
      </c>
    </row>
    <row r="383" spans="2:10">
      <c r="B383" s="988">
        <v>21094</v>
      </c>
      <c r="H383" s="986">
        <v>3.0999999999999999E-3</v>
      </c>
      <c r="I383" s="986"/>
      <c r="J383" s="988">
        <v>21094</v>
      </c>
    </row>
    <row r="384" spans="2:10">
      <c r="B384" s="988">
        <v>21125</v>
      </c>
      <c r="H384" s="986">
        <v>2.8999999999999998E-3</v>
      </c>
      <c r="I384" s="986"/>
      <c r="J384" s="988">
        <v>21125</v>
      </c>
    </row>
    <row r="385" spans="2:10">
      <c r="B385" s="988">
        <v>21155</v>
      </c>
      <c r="H385" s="986">
        <v>2.8999999999999998E-3</v>
      </c>
      <c r="I385" s="986"/>
      <c r="J385" s="988">
        <v>21155</v>
      </c>
    </row>
    <row r="386" spans="2:10">
      <c r="B386" s="988">
        <v>21186</v>
      </c>
      <c r="H386" s="986">
        <v>2.7000000000000001E-3</v>
      </c>
      <c r="I386" s="986"/>
      <c r="J386" s="988">
        <v>21186</v>
      </c>
    </row>
    <row r="387" spans="2:10">
      <c r="B387" s="988">
        <v>21217</v>
      </c>
      <c r="H387" s="986">
        <v>2.5000000000000001E-3</v>
      </c>
      <c r="I387" s="986"/>
      <c r="J387" s="988">
        <v>21217</v>
      </c>
    </row>
    <row r="388" spans="2:10">
      <c r="B388" s="988">
        <v>21245</v>
      </c>
      <c r="H388" s="986">
        <v>2.7000000000000001E-3</v>
      </c>
      <c r="I388" s="986"/>
      <c r="J388" s="988">
        <v>21245</v>
      </c>
    </row>
    <row r="389" spans="2:10">
      <c r="B389" s="988">
        <v>21276</v>
      </c>
      <c r="H389" s="986">
        <v>2.5999999999999999E-3</v>
      </c>
      <c r="I389" s="986"/>
      <c r="J389" s="988">
        <v>21276</v>
      </c>
    </row>
    <row r="390" spans="2:10">
      <c r="B390" s="988">
        <v>21306</v>
      </c>
      <c r="H390" s="986">
        <v>2.3999999999999998E-3</v>
      </c>
      <c r="I390" s="986"/>
      <c r="J390" s="988">
        <v>21306</v>
      </c>
    </row>
    <row r="391" spans="2:10">
      <c r="B391" s="988">
        <v>21337</v>
      </c>
      <c r="H391" s="986">
        <v>2.7000000000000001E-3</v>
      </c>
      <c r="I391" s="986"/>
      <c r="J391" s="988">
        <v>21337</v>
      </c>
    </row>
    <row r="392" spans="2:10">
      <c r="B392" s="988">
        <v>21367</v>
      </c>
      <c r="H392" s="986">
        <v>2.7000000000000001E-3</v>
      </c>
      <c r="I392" s="986"/>
      <c r="J392" s="988">
        <v>21367</v>
      </c>
    </row>
    <row r="393" spans="2:10">
      <c r="B393" s="988">
        <v>21398</v>
      </c>
      <c r="H393" s="986">
        <v>2.7000000000000001E-3</v>
      </c>
      <c r="I393" s="986"/>
      <c r="J393" s="988">
        <v>21398</v>
      </c>
    </row>
    <row r="394" spans="2:10">
      <c r="B394" s="988">
        <v>21429</v>
      </c>
      <c r="H394" s="986">
        <v>3.2000000000000002E-3</v>
      </c>
      <c r="I394" s="986"/>
      <c r="J394" s="988">
        <v>21429</v>
      </c>
    </row>
    <row r="395" spans="2:10">
      <c r="B395" s="988">
        <v>21459</v>
      </c>
      <c r="H395" s="986">
        <v>3.2000000000000002E-3</v>
      </c>
      <c r="I395" s="986"/>
      <c r="J395" s="988">
        <v>21459</v>
      </c>
    </row>
    <row r="396" spans="2:10">
      <c r="B396" s="988">
        <v>21490</v>
      </c>
      <c r="H396" s="986">
        <v>2.8E-3</v>
      </c>
      <c r="I396" s="986"/>
      <c r="J396" s="988">
        <v>21490</v>
      </c>
    </row>
    <row r="397" spans="2:10">
      <c r="B397" s="988">
        <v>21520</v>
      </c>
      <c r="H397" s="986">
        <v>3.3E-3</v>
      </c>
      <c r="I397" s="986"/>
      <c r="J397" s="988">
        <v>21520</v>
      </c>
    </row>
    <row r="398" spans="2:10">
      <c r="B398" s="988">
        <v>21551</v>
      </c>
      <c r="H398" s="986">
        <v>3.0999999999999999E-3</v>
      </c>
      <c r="I398" s="986"/>
      <c r="J398" s="988">
        <v>21551</v>
      </c>
    </row>
    <row r="399" spans="2:10">
      <c r="B399" s="988">
        <v>21582</v>
      </c>
      <c r="H399" s="986">
        <v>3.0999999999999999E-3</v>
      </c>
      <c r="I399" s="986"/>
      <c r="J399" s="988">
        <v>21582</v>
      </c>
    </row>
    <row r="400" spans="2:10">
      <c r="B400" s="988">
        <v>21610</v>
      </c>
      <c r="H400" s="986">
        <v>3.5000000000000001E-3</v>
      </c>
      <c r="I400" s="986"/>
      <c r="J400" s="988">
        <v>21610</v>
      </c>
    </row>
    <row r="401" spans="2:10">
      <c r="B401" s="988">
        <v>21641</v>
      </c>
      <c r="H401" s="986">
        <v>3.3E-3</v>
      </c>
      <c r="I401" s="986"/>
      <c r="J401" s="988">
        <v>21641</v>
      </c>
    </row>
    <row r="402" spans="2:10">
      <c r="B402" s="988">
        <v>21671</v>
      </c>
      <c r="H402" s="986">
        <v>3.3E-3</v>
      </c>
      <c r="I402" s="986"/>
      <c r="J402" s="988">
        <v>21671</v>
      </c>
    </row>
    <row r="403" spans="2:10">
      <c r="B403" s="988">
        <v>21702</v>
      </c>
      <c r="H403" s="986">
        <v>3.5999999999999999E-3</v>
      </c>
      <c r="I403" s="986"/>
      <c r="J403" s="988">
        <v>21702</v>
      </c>
    </row>
    <row r="404" spans="2:10">
      <c r="B404" s="988">
        <v>21732</v>
      </c>
      <c r="H404" s="986">
        <v>3.5000000000000001E-3</v>
      </c>
      <c r="I404" s="986"/>
      <c r="J404" s="988">
        <v>21732</v>
      </c>
    </row>
    <row r="405" spans="2:10">
      <c r="B405" s="988">
        <v>21763</v>
      </c>
      <c r="H405" s="986">
        <v>3.5000000000000001E-3</v>
      </c>
      <c r="I405" s="986"/>
      <c r="J405" s="988">
        <v>21763</v>
      </c>
    </row>
    <row r="406" spans="2:10">
      <c r="B406" s="988">
        <v>21794</v>
      </c>
      <c r="H406" s="986">
        <v>3.3999999999999998E-3</v>
      </c>
      <c r="I406" s="986"/>
      <c r="J406" s="988">
        <v>21794</v>
      </c>
    </row>
    <row r="407" spans="2:10">
      <c r="B407" s="988">
        <v>21824</v>
      </c>
      <c r="H407" s="986">
        <v>3.5000000000000001E-3</v>
      </c>
      <c r="I407" s="986"/>
      <c r="J407" s="988">
        <v>21824</v>
      </c>
    </row>
    <row r="408" spans="2:10">
      <c r="B408" s="988">
        <v>21855</v>
      </c>
      <c r="H408" s="986">
        <v>3.5000000000000001E-3</v>
      </c>
      <c r="I408" s="986"/>
      <c r="J408" s="988">
        <v>21855</v>
      </c>
    </row>
    <row r="409" spans="2:10">
      <c r="B409" s="988">
        <v>21885</v>
      </c>
      <c r="H409" s="986">
        <v>3.5999999999999999E-3</v>
      </c>
      <c r="I409" s="986"/>
      <c r="J409" s="988">
        <v>21885</v>
      </c>
    </row>
    <row r="410" spans="2:10">
      <c r="B410" s="988">
        <v>21916</v>
      </c>
      <c r="H410" s="986">
        <v>3.5000000000000001E-3</v>
      </c>
      <c r="I410" s="986"/>
      <c r="J410" s="988">
        <v>21916</v>
      </c>
    </row>
    <row r="411" spans="2:10">
      <c r="B411" s="988">
        <v>21947</v>
      </c>
      <c r="H411" s="986">
        <v>3.7000000000000002E-3</v>
      </c>
      <c r="I411" s="986"/>
      <c r="J411" s="988">
        <v>21947</v>
      </c>
    </row>
    <row r="412" spans="2:10">
      <c r="B412" s="988">
        <v>21976</v>
      </c>
      <c r="H412" s="986">
        <v>3.5999999999999999E-3</v>
      </c>
      <c r="I412" s="986"/>
      <c r="J412" s="988">
        <v>21976</v>
      </c>
    </row>
    <row r="413" spans="2:10">
      <c r="B413" s="988">
        <v>22007</v>
      </c>
      <c r="H413" s="986">
        <v>3.2000000000000002E-3</v>
      </c>
      <c r="I413" s="986"/>
      <c r="J413" s="988">
        <v>22007</v>
      </c>
    </row>
    <row r="414" spans="2:10">
      <c r="B414" s="988">
        <v>22037</v>
      </c>
      <c r="H414" s="986">
        <v>3.7000000000000002E-3</v>
      </c>
      <c r="I414" s="986"/>
      <c r="J414" s="988">
        <v>22037</v>
      </c>
    </row>
    <row r="415" spans="2:10">
      <c r="B415" s="988">
        <v>22068</v>
      </c>
      <c r="H415" s="986">
        <v>3.3999999999999998E-3</v>
      </c>
      <c r="I415" s="986"/>
      <c r="J415" s="988">
        <v>22068</v>
      </c>
    </row>
    <row r="416" spans="2:10">
      <c r="B416" s="988">
        <v>22098</v>
      </c>
      <c r="H416" s="986">
        <v>3.2000000000000002E-3</v>
      </c>
      <c r="I416" s="986"/>
      <c r="J416" s="988">
        <v>22098</v>
      </c>
    </row>
    <row r="417" spans="2:10">
      <c r="B417" s="988">
        <v>22129</v>
      </c>
      <c r="H417" s="986">
        <v>3.3999999999999998E-3</v>
      </c>
      <c r="I417" s="986"/>
      <c r="J417" s="988">
        <v>22129</v>
      </c>
    </row>
    <row r="418" spans="2:10">
      <c r="B418" s="988">
        <v>22160</v>
      </c>
      <c r="H418" s="986">
        <v>3.2000000000000002E-3</v>
      </c>
      <c r="I418" s="986"/>
      <c r="J418" s="988">
        <v>22160</v>
      </c>
    </row>
    <row r="419" spans="2:10">
      <c r="B419" s="988">
        <v>22190</v>
      </c>
      <c r="H419" s="986">
        <v>3.3E-3</v>
      </c>
      <c r="I419" s="986"/>
      <c r="J419" s="988">
        <v>22190</v>
      </c>
    </row>
    <row r="420" spans="2:10">
      <c r="B420" s="988">
        <v>22221</v>
      </c>
      <c r="H420" s="986">
        <v>3.2000000000000002E-3</v>
      </c>
      <c r="I420" s="986"/>
      <c r="J420" s="988">
        <v>22221</v>
      </c>
    </row>
    <row r="421" spans="2:10">
      <c r="B421" s="988">
        <v>22251</v>
      </c>
      <c r="H421" s="986">
        <v>3.3E-3</v>
      </c>
      <c r="I421" s="986"/>
      <c r="J421" s="988">
        <v>22251</v>
      </c>
    </row>
    <row r="422" spans="2:10">
      <c r="B422" s="988">
        <v>22282</v>
      </c>
      <c r="H422" s="986">
        <v>3.3E-3</v>
      </c>
      <c r="I422" s="986"/>
      <c r="J422" s="988">
        <v>22282</v>
      </c>
    </row>
    <row r="423" spans="2:10">
      <c r="B423" s="988">
        <v>22313</v>
      </c>
      <c r="H423" s="986">
        <v>3.0000000000000001E-3</v>
      </c>
      <c r="I423" s="986"/>
      <c r="J423" s="988">
        <v>22313</v>
      </c>
    </row>
    <row r="424" spans="2:10">
      <c r="B424" s="988">
        <v>22341</v>
      </c>
      <c r="H424" s="986">
        <v>3.0999999999999999E-3</v>
      </c>
      <c r="I424" s="986"/>
      <c r="J424" s="988">
        <v>22341</v>
      </c>
    </row>
    <row r="425" spans="2:10">
      <c r="B425" s="988">
        <v>22372</v>
      </c>
      <c r="H425" s="986">
        <v>3.0999999999999999E-3</v>
      </c>
      <c r="I425" s="986"/>
      <c r="J425" s="988">
        <v>22372</v>
      </c>
    </row>
    <row r="426" spans="2:10">
      <c r="B426" s="988">
        <v>22402</v>
      </c>
      <c r="H426" s="986">
        <v>3.3999999999999998E-3</v>
      </c>
      <c r="I426" s="986"/>
      <c r="J426" s="988">
        <v>22402</v>
      </c>
    </row>
    <row r="427" spans="2:10">
      <c r="B427" s="988">
        <v>22433</v>
      </c>
      <c r="H427" s="986">
        <v>3.2000000000000002E-3</v>
      </c>
      <c r="I427" s="986"/>
      <c r="J427" s="988">
        <v>22433</v>
      </c>
    </row>
    <row r="428" spans="2:10">
      <c r="B428" s="988">
        <v>22463</v>
      </c>
      <c r="H428" s="986">
        <v>3.3E-3</v>
      </c>
      <c r="I428" s="986"/>
      <c r="J428" s="988">
        <v>22463</v>
      </c>
    </row>
    <row r="429" spans="2:10">
      <c r="B429" s="988">
        <v>22494</v>
      </c>
      <c r="H429" s="986">
        <v>3.3E-3</v>
      </c>
      <c r="I429" s="986"/>
      <c r="J429" s="988">
        <v>22494</v>
      </c>
    </row>
    <row r="430" spans="2:10">
      <c r="B430" s="988">
        <v>22525</v>
      </c>
      <c r="H430" s="986">
        <v>3.2000000000000002E-3</v>
      </c>
      <c r="I430" s="986"/>
      <c r="J430" s="988">
        <v>22525</v>
      </c>
    </row>
    <row r="431" spans="2:10">
      <c r="B431" s="988">
        <v>22555</v>
      </c>
      <c r="H431" s="986">
        <v>3.3999999999999998E-3</v>
      </c>
      <c r="I431" s="986"/>
      <c r="J431" s="988">
        <v>22555</v>
      </c>
    </row>
    <row r="432" spans="2:10">
      <c r="B432" s="988">
        <v>22586</v>
      </c>
      <c r="H432" s="986">
        <v>3.2000000000000002E-3</v>
      </c>
      <c r="I432" s="986"/>
      <c r="J432" s="988">
        <v>22586</v>
      </c>
    </row>
    <row r="433" spans="2:10">
      <c r="B433" s="988">
        <v>22616</v>
      </c>
      <c r="H433" s="986">
        <v>3.0999999999999999E-3</v>
      </c>
      <c r="I433" s="986"/>
      <c r="J433" s="988">
        <v>22616</v>
      </c>
    </row>
    <row r="434" spans="2:10">
      <c r="B434" s="988">
        <v>22647</v>
      </c>
      <c r="H434" s="986">
        <v>3.7000000000000002E-3</v>
      </c>
      <c r="I434" s="986"/>
      <c r="J434" s="988">
        <v>22647</v>
      </c>
    </row>
    <row r="435" spans="2:10">
      <c r="B435" s="988">
        <v>22678</v>
      </c>
      <c r="H435" s="986">
        <v>3.2000000000000002E-3</v>
      </c>
      <c r="I435" s="986"/>
      <c r="J435" s="988">
        <v>22678</v>
      </c>
    </row>
    <row r="436" spans="2:10">
      <c r="B436" s="988">
        <v>22706</v>
      </c>
      <c r="H436" s="986">
        <v>3.3E-3</v>
      </c>
      <c r="I436" s="986"/>
      <c r="J436" s="988">
        <v>22706</v>
      </c>
    </row>
    <row r="437" spans="2:10">
      <c r="B437" s="988">
        <v>22737</v>
      </c>
      <c r="H437" s="986">
        <v>3.3E-3</v>
      </c>
      <c r="I437" s="986"/>
      <c r="J437" s="988">
        <v>22737</v>
      </c>
    </row>
    <row r="438" spans="2:10">
      <c r="B438" s="988">
        <v>22767</v>
      </c>
      <c r="H438" s="986">
        <v>3.2000000000000002E-3</v>
      </c>
      <c r="I438" s="986"/>
      <c r="J438" s="988">
        <v>22767</v>
      </c>
    </row>
    <row r="439" spans="2:10">
      <c r="B439" s="988">
        <v>22798</v>
      </c>
      <c r="H439" s="986">
        <v>3.0000000000000001E-3</v>
      </c>
      <c r="I439" s="986"/>
      <c r="J439" s="988">
        <v>22798</v>
      </c>
    </row>
    <row r="440" spans="2:10">
      <c r="B440" s="988">
        <v>22828</v>
      </c>
      <c r="H440" s="986">
        <v>3.3999999999999998E-3</v>
      </c>
      <c r="I440" s="986"/>
      <c r="J440" s="988">
        <v>22828</v>
      </c>
    </row>
    <row r="441" spans="2:10">
      <c r="B441" s="988">
        <v>22859</v>
      </c>
      <c r="H441" s="986">
        <v>3.3999999999999998E-3</v>
      </c>
      <c r="I441" s="986"/>
      <c r="J441" s="988">
        <v>22859</v>
      </c>
    </row>
    <row r="442" spans="2:10">
      <c r="B442" s="988">
        <v>22890</v>
      </c>
      <c r="H442" s="986">
        <v>3.0000000000000001E-3</v>
      </c>
      <c r="I442" s="986"/>
      <c r="J442" s="988">
        <v>22890</v>
      </c>
    </row>
    <row r="443" spans="2:10">
      <c r="B443" s="988">
        <v>22920</v>
      </c>
      <c r="H443" s="986">
        <v>3.5000000000000001E-3</v>
      </c>
      <c r="I443" s="986"/>
      <c r="J443" s="988">
        <v>22920</v>
      </c>
    </row>
    <row r="444" spans="2:10">
      <c r="B444" s="988">
        <v>22951</v>
      </c>
      <c r="H444" s="986">
        <v>3.0999999999999999E-3</v>
      </c>
      <c r="I444" s="986"/>
      <c r="J444" s="988">
        <v>22951</v>
      </c>
    </row>
    <row r="445" spans="2:10">
      <c r="B445" s="988">
        <v>22981</v>
      </c>
      <c r="H445" s="986">
        <v>3.2000000000000002E-3</v>
      </c>
      <c r="I445" s="986"/>
      <c r="J445" s="988">
        <v>22981</v>
      </c>
    </row>
    <row r="446" spans="2:10">
      <c r="B446" s="988">
        <v>23012</v>
      </c>
      <c r="H446" s="986">
        <v>3.2000000000000002E-3</v>
      </c>
      <c r="I446" s="986"/>
      <c r="J446" s="988">
        <v>23012</v>
      </c>
    </row>
    <row r="447" spans="2:10">
      <c r="B447" s="988">
        <v>23043</v>
      </c>
      <c r="H447" s="986">
        <v>2.8999999999999998E-3</v>
      </c>
      <c r="I447" s="986"/>
      <c r="J447" s="988">
        <v>23043</v>
      </c>
    </row>
    <row r="448" spans="2:10">
      <c r="B448" s="988">
        <v>23071</v>
      </c>
      <c r="H448" s="986">
        <v>3.0999999999999999E-3</v>
      </c>
      <c r="I448" s="986"/>
      <c r="J448" s="988">
        <v>23071</v>
      </c>
    </row>
    <row r="449" spans="2:10">
      <c r="B449" s="988">
        <v>23102</v>
      </c>
      <c r="H449" s="986">
        <v>3.3999999999999998E-3</v>
      </c>
      <c r="I449" s="986"/>
      <c r="J449" s="988">
        <v>23102</v>
      </c>
    </row>
    <row r="450" spans="2:10">
      <c r="B450" s="988">
        <v>23132</v>
      </c>
      <c r="H450" s="986">
        <v>3.3E-3</v>
      </c>
      <c r="I450" s="986"/>
      <c r="J450" s="988">
        <v>23132</v>
      </c>
    </row>
    <row r="451" spans="2:10">
      <c r="B451" s="988">
        <v>23163</v>
      </c>
      <c r="H451" s="986">
        <v>3.0000000000000001E-3</v>
      </c>
      <c r="I451" s="986"/>
      <c r="J451" s="988">
        <v>23163</v>
      </c>
    </row>
    <row r="452" spans="2:10">
      <c r="B452" s="988">
        <v>23193</v>
      </c>
      <c r="H452" s="986">
        <v>3.5999999999999999E-3</v>
      </c>
      <c r="I452" s="986"/>
      <c r="J452" s="988">
        <v>23193</v>
      </c>
    </row>
    <row r="453" spans="2:10">
      <c r="B453" s="988">
        <v>23224</v>
      </c>
      <c r="H453" s="986">
        <v>3.3E-3</v>
      </c>
      <c r="I453" s="986"/>
      <c r="J453" s="988">
        <v>23224</v>
      </c>
    </row>
    <row r="454" spans="2:10">
      <c r="B454" s="988">
        <v>23255</v>
      </c>
      <c r="H454" s="986">
        <v>3.3999999999999998E-3</v>
      </c>
      <c r="I454" s="986"/>
      <c r="J454" s="988">
        <v>23255</v>
      </c>
    </row>
    <row r="455" spans="2:10">
      <c r="B455" s="988">
        <v>23285</v>
      </c>
      <c r="H455" s="986">
        <v>3.3999999999999998E-3</v>
      </c>
      <c r="I455" s="986"/>
      <c r="J455" s="988">
        <v>23285</v>
      </c>
    </row>
    <row r="456" spans="2:10">
      <c r="B456" s="988">
        <v>23316</v>
      </c>
      <c r="H456" s="986">
        <v>3.2000000000000002E-3</v>
      </c>
      <c r="I456" s="986"/>
      <c r="J456" s="988">
        <v>23316</v>
      </c>
    </row>
    <row r="457" spans="2:10">
      <c r="B457" s="988">
        <v>23346</v>
      </c>
      <c r="H457" s="986">
        <v>3.5999999999999999E-3</v>
      </c>
      <c r="I457" s="986"/>
      <c r="J457" s="988">
        <v>23346</v>
      </c>
    </row>
    <row r="458" spans="2:10">
      <c r="B458" s="988">
        <v>23377</v>
      </c>
      <c r="H458" s="986">
        <v>3.5000000000000001E-3</v>
      </c>
      <c r="I458" s="986"/>
      <c r="J458" s="988">
        <v>23377</v>
      </c>
    </row>
    <row r="459" spans="2:10">
      <c r="B459" s="988">
        <v>23408</v>
      </c>
      <c r="H459" s="986">
        <v>3.2000000000000002E-3</v>
      </c>
      <c r="I459" s="986"/>
      <c r="J459" s="988">
        <v>23408</v>
      </c>
    </row>
    <row r="460" spans="2:10">
      <c r="B460" s="988">
        <v>23437</v>
      </c>
      <c r="H460" s="986">
        <v>3.7000000000000002E-3</v>
      </c>
      <c r="I460" s="986"/>
      <c r="J460" s="988">
        <v>23437</v>
      </c>
    </row>
    <row r="461" spans="2:10">
      <c r="B461" s="988">
        <v>23468</v>
      </c>
      <c r="H461" s="986">
        <v>3.5000000000000001E-3</v>
      </c>
      <c r="I461" s="986"/>
      <c r="J461" s="988">
        <v>23468</v>
      </c>
    </row>
    <row r="462" spans="2:10">
      <c r="B462" s="988">
        <v>23498</v>
      </c>
      <c r="H462" s="986">
        <v>3.2000000000000002E-3</v>
      </c>
      <c r="I462" s="986"/>
      <c r="J462" s="988">
        <v>23498</v>
      </c>
    </row>
    <row r="463" spans="2:10">
      <c r="B463" s="988">
        <v>23529</v>
      </c>
      <c r="H463" s="986">
        <v>3.8E-3</v>
      </c>
      <c r="I463" s="986"/>
      <c r="J463" s="988">
        <v>23529</v>
      </c>
    </row>
    <row r="464" spans="2:10">
      <c r="B464" s="988">
        <v>23559</v>
      </c>
      <c r="H464" s="986">
        <v>3.5000000000000001E-3</v>
      </c>
      <c r="I464" s="986"/>
      <c r="J464" s="988">
        <v>23559</v>
      </c>
    </row>
    <row r="465" spans="2:10">
      <c r="B465" s="988">
        <v>23590</v>
      </c>
      <c r="H465" s="986">
        <v>3.5000000000000001E-3</v>
      </c>
      <c r="I465" s="986"/>
      <c r="J465" s="988">
        <v>23590</v>
      </c>
    </row>
    <row r="466" spans="2:10">
      <c r="B466" s="988">
        <v>23621</v>
      </c>
      <c r="H466" s="986">
        <v>3.3999999999999998E-3</v>
      </c>
      <c r="I466" s="986"/>
      <c r="J466" s="988">
        <v>23621</v>
      </c>
    </row>
    <row r="467" spans="2:10">
      <c r="B467" s="988">
        <v>23651</v>
      </c>
      <c r="H467" s="986">
        <v>3.3999999999999998E-3</v>
      </c>
      <c r="I467" s="986"/>
      <c r="J467" s="988">
        <v>23651</v>
      </c>
    </row>
    <row r="468" spans="2:10">
      <c r="B468" s="988">
        <v>23682</v>
      </c>
      <c r="H468" s="986">
        <v>3.5000000000000001E-3</v>
      </c>
      <c r="I468" s="986"/>
      <c r="J468" s="988">
        <v>23682</v>
      </c>
    </row>
    <row r="469" spans="2:10">
      <c r="B469" s="988">
        <v>23712</v>
      </c>
      <c r="H469" s="986">
        <v>3.5000000000000001E-3</v>
      </c>
      <c r="I469" s="986"/>
      <c r="J469" s="988">
        <v>23712</v>
      </c>
    </row>
    <row r="470" spans="2:10">
      <c r="B470" s="988">
        <v>23743</v>
      </c>
      <c r="H470" s="986">
        <v>3.3E-3</v>
      </c>
      <c r="I470" s="986"/>
      <c r="J470" s="988">
        <v>23743</v>
      </c>
    </row>
    <row r="471" spans="2:10">
      <c r="B471" s="988">
        <v>23774</v>
      </c>
      <c r="H471" s="986">
        <v>3.2000000000000002E-3</v>
      </c>
      <c r="I471" s="986"/>
      <c r="J471" s="988">
        <v>23774</v>
      </c>
    </row>
    <row r="472" spans="2:10">
      <c r="B472" s="988">
        <v>23802</v>
      </c>
      <c r="H472" s="986">
        <v>3.8E-3</v>
      </c>
      <c r="I472" s="986"/>
      <c r="J472" s="988">
        <v>23802</v>
      </c>
    </row>
    <row r="473" spans="2:10">
      <c r="B473" s="988">
        <v>23833</v>
      </c>
      <c r="H473" s="986">
        <v>3.3E-3</v>
      </c>
      <c r="I473" s="986"/>
      <c r="J473" s="988">
        <v>23833</v>
      </c>
    </row>
    <row r="474" spans="2:10">
      <c r="B474" s="988">
        <v>23863</v>
      </c>
      <c r="H474" s="986">
        <v>3.3E-3</v>
      </c>
      <c r="I474" s="986"/>
      <c r="J474" s="988">
        <v>23863</v>
      </c>
    </row>
    <row r="475" spans="2:10">
      <c r="B475" s="988">
        <v>23894</v>
      </c>
      <c r="H475" s="986">
        <v>3.8E-3</v>
      </c>
      <c r="I475" s="986"/>
      <c r="J475" s="988">
        <v>23894</v>
      </c>
    </row>
    <row r="476" spans="2:10">
      <c r="B476" s="988">
        <v>23924</v>
      </c>
      <c r="H476" s="986">
        <v>3.3999999999999998E-3</v>
      </c>
      <c r="I476" s="986"/>
      <c r="J476" s="988">
        <v>23924</v>
      </c>
    </row>
    <row r="477" spans="2:10">
      <c r="B477" s="988">
        <v>23955</v>
      </c>
      <c r="H477" s="986">
        <v>3.7000000000000002E-3</v>
      </c>
      <c r="I477" s="986"/>
      <c r="J477" s="988">
        <v>23955</v>
      </c>
    </row>
    <row r="478" spans="2:10">
      <c r="B478" s="988">
        <v>23986</v>
      </c>
      <c r="H478" s="986">
        <v>3.5000000000000001E-3</v>
      </c>
      <c r="I478" s="986"/>
      <c r="J478" s="988">
        <v>23986</v>
      </c>
    </row>
    <row r="479" spans="2:10">
      <c r="B479" s="988">
        <v>24016</v>
      </c>
      <c r="H479" s="986">
        <v>3.3999999999999998E-3</v>
      </c>
      <c r="I479" s="986"/>
      <c r="J479" s="988">
        <v>24016</v>
      </c>
    </row>
    <row r="480" spans="2:10">
      <c r="B480" s="988">
        <v>24047</v>
      </c>
      <c r="H480" s="986">
        <v>3.7000000000000002E-3</v>
      </c>
      <c r="I480" s="986"/>
      <c r="J480" s="988">
        <v>24047</v>
      </c>
    </row>
    <row r="481" spans="2:10">
      <c r="B481" s="988">
        <v>24077</v>
      </c>
      <c r="H481" s="986">
        <v>3.7000000000000002E-3</v>
      </c>
      <c r="I481" s="986"/>
      <c r="J481" s="988">
        <v>24077</v>
      </c>
    </row>
    <row r="482" spans="2:10">
      <c r="B482" s="988">
        <v>24108</v>
      </c>
      <c r="H482" s="986">
        <v>3.8E-3</v>
      </c>
      <c r="I482" s="986"/>
      <c r="J482" s="988">
        <v>24108</v>
      </c>
    </row>
    <row r="483" spans="2:10">
      <c r="B483" s="988">
        <v>24139</v>
      </c>
      <c r="H483" s="986">
        <v>3.3999999999999998E-3</v>
      </c>
      <c r="I483" s="986"/>
      <c r="J483" s="988">
        <v>24139</v>
      </c>
    </row>
    <row r="484" spans="2:10">
      <c r="B484" s="988">
        <v>24167</v>
      </c>
      <c r="H484" s="986">
        <v>4.0000000000000001E-3</v>
      </c>
      <c r="I484" s="986"/>
      <c r="J484" s="988">
        <v>24167</v>
      </c>
    </row>
    <row r="485" spans="2:10">
      <c r="B485" s="988">
        <v>24198</v>
      </c>
      <c r="H485" s="986">
        <v>3.5999999999999999E-3</v>
      </c>
      <c r="I485" s="986"/>
      <c r="J485" s="988">
        <v>24198</v>
      </c>
    </row>
    <row r="486" spans="2:10">
      <c r="B486" s="988">
        <v>24228</v>
      </c>
      <c r="H486" s="986">
        <v>4.1000000000000003E-3</v>
      </c>
      <c r="I486" s="986"/>
      <c r="J486" s="988">
        <v>24228</v>
      </c>
    </row>
    <row r="487" spans="2:10">
      <c r="B487" s="988">
        <v>24259</v>
      </c>
      <c r="H487" s="986">
        <v>3.8999999999999998E-3</v>
      </c>
      <c r="I487" s="986"/>
      <c r="J487" s="988">
        <v>24259</v>
      </c>
    </row>
    <row r="488" spans="2:10">
      <c r="B488" s="988">
        <v>24289</v>
      </c>
      <c r="H488" s="986">
        <v>3.8E-3</v>
      </c>
      <c r="I488" s="986"/>
      <c r="J488" s="988">
        <v>24289</v>
      </c>
    </row>
    <row r="489" spans="2:10">
      <c r="B489" s="988">
        <v>24320</v>
      </c>
      <c r="H489" s="986">
        <v>4.3E-3</v>
      </c>
      <c r="I489" s="986"/>
      <c r="J489" s="988">
        <v>24320</v>
      </c>
    </row>
    <row r="490" spans="2:10">
      <c r="B490" s="988">
        <v>24351</v>
      </c>
      <c r="H490" s="986">
        <v>4.1000000000000003E-3</v>
      </c>
      <c r="I490" s="986"/>
      <c r="J490" s="988">
        <v>24351</v>
      </c>
    </row>
    <row r="491" spans="2:10">
      <c r="B491" s="988">
        <v>24381</v>
      </c>
      <c r="H491" s="986">
        <v>4.0000000000000001E-3</v>
      </c>
      <c r="I491" s="986"/>
      <c r="J491" s="988">
        <v>24381</v>
      </c>
    </row>
    <row r="492" spans="2:10">
      <c r="B492" s="988">
        <v>24412</v>
      </c>
      <c r="H492" s="986">
        <v>3.8E-3</v>
      </c>
      <c r="I492" s="986"/>
      <c r="J492" s="988">
        <v>24412</v>
      </c>
    </row>
    <row r="493" spans="2:10">
      <c r="B493" s="988">
        <v>24442</v>
      </c>
      <c r="H493" s="986">
        <v>3.8999999999999998E-3</v>
      </c>
      <c r="I493" s="986"/>
      <c r="J493" s="988">
        <v>24442</v>
      </c>
    </row>
    <row r="494" spans="2:10">
      <c r="B494" s="988">
        <v>24473</v>
      </c>
      <c r="H494" s="986">
        <v>4.0000000000000001E-3</v>
      </c>
      <c r="I494" s="986"/>
      <c r="J494" s="988">
        <v>24473</v>
      </c>
    </row>
    <row r="495" spans="2:10">
      <c r="B495" s="988">
        <v>24504</v>
      </c>
      <c r="H495" s="986">
        <v>3.3999999999999998E-3</v>
      </c>
      <c r="I495" s="986"/>
      <c r="J495" s="988">
        <v>24504</v>
      </c>
    </row>
    <row r="496" spans="2:10">
      <c r="B496" s="988">
        <v>24532</v>
      </c>
      <c r="H496" s="986">
        <v>3.8999999999999998E-3</v>
      </c>
      <c r="I496" s="986"/>
      <c r="J496" s="988">
        <v>24532</v>
      </c>
    </row>
    <row r="497" spans="2:10">
      <c r="B497" s="988">
        <v>24563</v>
      </c>
      <c r="H497" s="986">
        <v>3.5000000000000001E-3</v>
      </c>
      <c r="I497" s="986"/>
      <c r="J497" s="988">
        <v>24563</v>
      </c>
    </row>
    <row r="498" spans="2:10">
      <c r="B498" s="988">
        <v>24593</v>
      </c>
      <c r="H498" s="986">
        <v>4.3E-3</v>
      </c>
      <c r="I498" s="986"/>
      <c r="J498" s="988">
        <v>24593</v>
      </c>
    </row>
    <row r="499" spans="2:10">
      <c r="B499" s="988">
        <v>24624</v>
      </c>
      <c r="H499" s="986">
        <v>3.8999999999999998E-3</v>
      </c>
      <c r="I499" s="986"/>
      <c r="J499" s="988">
        <v>24624</v>
      </c>
    </row>
    <row r="500" spans="2:10">
      <c r="B500" s="988">
        <v>24654</v>
      </c>
      <c r="H500" s="986">
        <v>4.3E-3</v>
      </c>
      <c r="I500" s="986"/>
      <c r="J500" s="988">
        <v>24654</v>
      </c>
    </row>
    <row r="501" spans="2:10">
      <c r="B501" s="988">
        <v>24685</v>
      </c>
      <c r="H501" s="986">
        <v>4.1999999999999997E-3</v>
      </c>
      <c r="I501" s="986"/>
      <c r="J501" s="988">
        <v>24685</v>
      </c>
    </row>
    <row r="502" spans="2:10">
      <c r="B502" s="988">
        <v>24716</v>
      </c>
      <c r="H502" s="986">
        <v>4.0000000000000001E-3</v>
      </c>
      <c r="I502" s="986"/>
      <c r="J502" s="988">
        <v>24716</v>
      </c>
    </row>
    <row r="503" spans="2:10">
      <c r="B503" s="988">
        <v>24746</v>
      </c>
      <c r="H503" s="986">
        <v>4.4999999999999997E-3</v>
      </c>
      <c r="I503" s="986"/>
      <c r="J503" s="988">
        <v>24746</v>
      </c>
    </row>
    <row r="504" spans="2:10">
      <c r="B504" s="988">
        <v>24777</v>
      </c>
      <c r="H504" s="986">
        <v>4.4999999999999997E-3</v>
      </c>
      <c r="I504" s="986"/>
      <c r="J504" s="988">
        <v>24777</v>
      </c>
    </row>
    <row r="505" spans="2:10">
      <c r="B505" s="988">
        <v>24807</v>
      </c>
      <c r="H505" s="986">
        <v>4.4000000000000003E-3</v>
      </c>
      <c r="I505" s="986"/>
      <c r="J505" s="988">
        <v>24807</v>
      </c>
    </row>
    <row r="506" spans="2:10">
      <c r="B506" s="988">
        <v>24838</v>
      </c>
      <c r="H506" s="986">
        <v>5.0000000000000001E-3</v>
      </c>
      <c r="I506" s="986"/>
      <c r="J506" s="988">
        <v>24838</v>
      </c>
    </row>
    <row r="507" spans="2:10">
      <c r="B507" s="988">
        <v>24869</v>
      </c>
      <c r="H507" s="986">
        <v>4.1999999999999997E-3</v>
      </c>
      <c r="I507" s="986"/>
      <c r="J507" s="988">
        <v>24869</v>
      </c>
    </row>
    <row r="508" spans="2:10">
      <c r="B508" s="988">
        <v>24898</v>
      </c>
      <c r="H508" s="986">
        <v>4.3E-3</v>
      </c>
      <c r="I508" s="986"/>
      <c r="J508" s="988">
        <v>24898</v>
      </c>
    </row>
    <row r="509" spans="2:10">
      <c r="B509" s="988">
        <v>24929</v>
      </c>
      <c r="H509" s="986">
        <v>4.8999999999999998E-3</v>
      </c>
      <c r="I509" s="986"/>
      <c r="J509" s="988">
        <v>24929</v>
      </c>
    </row>
    <row r="510" spans="2:10">
      <c r="B510" s="988">
        <v>24959</v>
      </c>
      <c r="H510" s="986">
        <v>4.5999999999999999E-3</v>
      </c>
      <c r="I510" s="986"/>
      <c r="J510" s="988">
        <v>24959</v>
      </c>
    </row>
    <row r="511" spans="2:10">
      <c r="B511" s="988">
        <v>24990</v>
      </c>
      <c r="H511" s="986">
        <v>4.1999999999999997E-3</v>
      </c>
      <c r="I511" s="986"/>
      <c r="J511" s="988">
        <v>24990</v>
      </c>
    </row>
    <row r="512" spans="2:10">
      <c r="B512" s="988">
        <v>25020</v>
      </c>
      <c r="H512" s="986">
        <v>4.7999999999999996E-3</v>
      </c>
      <c r="I512" s="986"/>
      <c r="J512" s="988">
        <v>25020</v>
      </c>
    </row>
    <row r="513" spans="2:10">
      <c r="B513" s="988">
        <v>25051</v>
      </c>
      <c r="H513" s="986">
        <v>4.1999999999999997E-3</v>
      </c>
      <c r="I513" s="986"/>
      <c r="J513" s="988">
        <v>25051</v>
      </c>
    </row>
    <row r="514" spans="2:10">
      <c r="B514" s="988">
        <v>25082</v>
      </c>
      <c r="H514" s="986">
        <v>4.4000000000000003E-3</v>
      </c>
      <c r="I514" s="986"/>
      <c r="J514" s="988">
        <v>25082</v>
      </c>
    </row>
    <row r="515" spans="2:10">
      <c r="B515" s="988">
        <v>25112</v>
      </c>
      <c r="H515" s="986">
        <v>4.4999999999999997E-3</v>
      </c>
      <c r="I515" s="986"/>
      <c r="J515" s="988">
        <v>25112</v>
      </c>
    </row>
    <row r="516" spans="2:10">
      <c r="B516" s="988">
        <v>25143</v>
      </c>
      <c r="H516" s="986">
        <v>4.3E-3</v>
      </c>
      <c r="I516" s="986"/>
      <c r="J516" s="988">
        <v>25143</v>
      </c>
    </row>
    <row r="517" spans="2:10">
      <c r="B517" s="988">
        <v>25173</v>
      </c>
      <c r="H517" s="986">
        <v>4.8999999999999998E-3</v>
      </c>
      <c r="I517" s="986"/>
      <c r="J517" s="988">
        <v>25173</v>
      </c>
    </row>
    <row r="518" spans="2:10">
      <c r="B518" s="988">
        <v>25204</v>
      </c>
      <c r="H518" s="986">
        <v>5.0000000000000001E-3</v>
      </c>
      <c r="I518" s="986"/>
      <c r="J518" s="988">
        <v>25204</v>
      </c>
    </row>
    <row r="519" spans="2:10">
      <c r="B519" s="988">
        <v>25235</v>
      </c>
      <c r="H519" s="986">
        <v>4.5999999999999999E-3</v>
      </c>
      <c r="I519" s="986"/>
      <c r="J519" s="988">
        <v>25235</v>
      </c>
    </row>
    <row r="520" spans="2:10">
      <c r="B520" s="988">
        <v>25263</v>
      </c>
      <c r="H520" s="986">
        <v>4.7000000000000002E-3</v>
      </c>
      <c r="I520" s="986"/>
      <c r="J520" s="988">
        <v>25263</v>
      </c>
    </row>
    <row r="521" spans="2:10">
      <c r="B521" s="988">
        <v>25294</v>
      </c>
      <c r="H521" s="986">
        <v>5.4999999999999997E-3</v>
      </c>
      <c r="I521" s="986"/>
      <c r="J521" s="988">
        <v>25294</v>
      </c>
    </row>
    <row r="522" spans="2:10">
      <c r="B522" s="988">
        <v>25324</v>
      </c>
      <c r="H522" s="986">
        <v>4.7000000000000002E-3</v>
      </c>
      <c r="I522" s="986"/>
      <c r="J522" s="988">
        <v>25324</v>
      </c>
    </row>
    <row r="523" spans="2:10">
      <c r="B523" s="988">
        <v>25355</v>
      </c>
      <c r="H523" s="986">
        <v>5.4999999999999997E-3</v>
      </c>
      <c r="I523" s="986"/>
      <c r="J523" s="988">
        <v>25355</v>
      </c>
    </row>
    <row r="524" spans="2:10">
      <c r="B524" s="988">
        <v>25385</v>
      </c>
      <c r="H524" s="986">
        <v>5.1999999999999998E-3</v>
      </c>
      <c r="I524" s="986"/>
      <c r="J524" s="988">
        <v>25385</v>
      </c>
    </row>
    <row r="525" spans="2:10">
      <c r="B525" s="988">
        <v>25416</v>
      </c>
      <c r="H525" s="986">
        <v>4.7999999999999996E-3</v>
      </c>
      <c r="I525" s="986"/>
      <c r="J525" s="988">
        <v>25416</v>
      </c>
    </row>
    <row r="526" spans="2:10">
      <c r="B526" s="988">
        <v>25447</v>
      </c>
      <c r="H526" s="986">
        <v>5.4999999999999997E-3</v>
      </c>
      <c r="I526" s="986"/>
      <c r="J526" s="988">
        <v>25447</v>
      </c>
    </row>
    <row r="527" spans="2:10">
      <c r="B527" s="988">
        <v>25477</v>
      </c>
      <c r="H527" s="986">
        <v>5.7000000000000002E-3</v>
      </c>
      <c r="I527" s="986"/>
      <c r="J527" s="988">
        <v>25477</v>
      </c>
    </row>
    <row r="528" spans="2:10">
      <c r="B528" s="988">
        <v>25508</v>
      </c>
      <c r="H528" s="986">
        <v>4.8999999999999998E-3</v>
      </c>
      <c r="I528" s="986"/>
      <c r="J528" s="988">
        <v>25508</v>
      </c>
    </row>
    <row r="529" spans="2:10">
      <c r="B529" s="988">
        <v>25538</v>
      </c>
      <c r="H529" s="986">
        <v>6.0000000000000001E-3</v>
      </c>
      <c r="I529" s="986"/>
      <c r="J529" s="988">
        <v>25538</v>
      </c>
    </row>
    <row r="530" spans="2:10">
      <c r="B530" s="988">
        <v>25569</v>
      </c>
      <c r="H530" s="986">
        <v>5.5999999999999999E-3</v>
      </c>
      <c r="I530" s="986"/>
      <c r="J530" s="988">
        <v>25569</v>
      </c>
    </row>
    <row r="531" spans="2:10">
      <c r="B531" s="988">
        <v>25600</v>
      </c>
      <c r="H531" s="986">
        <v>5.1999999999999998E-3</v>
      </c>
      <c r="I531" s="986"/>
      <c r="J531" s="988">
        <v>25600</v>
      </c>
    </row>
    <row r="532" spans="2:10">
      <c r="B532" s="988">
        <v>25628</v>
      </c>
      <c r="H532" s="986">
        <v>5.5999999999999999E-3</v>
      </c>
      <c r="I532" s="986"/>
      <c r="J532" s="988">
        <v>25628</v>
      </c>
    </row>
    <row r="533" spans="2:10">
      <c r="B533" s="988">
        <v>25659</v>
      </c>
      <c r="H533" s="986">
        <v>5.4000000000000003E-3</v>
      </c>
      <c r="I533" s="986"/>
      <c r="J533" s="988">
        <v>25659</v>
      </c>
    </row>
    <row r="534" spans="2:10">
      <c r="B534" s="988">
        <v>25689</v>
      </c>
      <c r="H534" s="986">
        <v>5.4999999999999997E-3</v>
      </c>
      <c r="I534" s="986"/>
      <c r="J534" s="988">
        <v>25689</v>
      </c>
    </row>
    <row r="535" spans="2:10">
      <c r="B535" s="988">
        <v>25720</v>
      </c>
      <c r="H535" s="986">
        <v>6.4000000000000003E-3</v>
      </c>
      <c r="I535" s="986"/>
      <c r="J535" s="988">
        <v>25720</v>
      </c>
    </row>
    <row r="536" spans="2:10">
      <c r="B536" s="988">
        <v>25750</v>
      </c>
      <c r="H536" s="986">
        <v>5.8999999999999999E-3</v>
      </c>
      <c r="I536" s="986"/>
      <c r="J536" s="988">
        <v>25750</v>
      </c>
    </row>
    <row r="537" spans="2:10">
      <c r="B537" s="988">
        <v>25781</v>
      </c>
      <c r="H537" s="986">
        <v>5.7000000000000002E-3</v>
      </c>
      <c r="I537" s="986"/>
      <c r="J537" s="988">
        <v>25781</v>
      </c>
    </row>
    <row r="538" spans="2:10">
      <c r="B538" s="988">
        <v>25812</v>
      </c>
      <c r="H538" s="986">
        <v>5.5999999999999999E-3</v>
      </c>
      <c r="I538" s="986"/>
      <c r="J538" s="988">
        <v>25812</v>
      </c>
    </row>
    <row r="539" spans="2:10">
      <c r="B539" s="988">
        <v>25842</v>
      </c>
      <c r="H539" s="986">
        <v>5.4999999999999997E-3</v>
      </c>
      <c r="I539" s="986"/>
      <c r="J539" s="988">
        <v>25842</v>
      </c>
    </row>
    <row r="540" spans="2:10">
      <c r="B540" s="988">
        <v>25873</v>
      </c>
      <c r="H540" s="986">
        <v>5.7999999999999996E-3</v>
      </c>
      <c r="I540" s="986"/>
      <c r="J540" s="988">
        <v>25873</v>
      </c>
    </row>
    <row r="541" spans="2:10">
      <c r="B541" s="988">
        <v>25903</v>
      </c>
      <c r="H541" s="986">
        <v>5.3E-3</v>
      </c>
      <c r="I541" s="986"/>
      <c r="J541" s="988">
        <v>25903</v>
      </c>
    </row>
    <row r="542" spans="2:10">
      <c r="B542" s="988">
        <v>25934</v>
      </c>
      <c r="H542" s="986">
        <v>5.1000000000000004E-3</v>
      </c>
      <c r="I542" s="986"/>
      <c r="J542" s="988">
        <v>25934</v>
      </c>
    </row>
    <row r="543" spans="2:10">
      <c r="B543" s="988">
        <v>25965</v>
      </c>
      <c r="H543" s="986">
        <v>4.5999999999999999E-3</v>
      </c>
      <c r="I543" s="986"/>
      <c r="J543" s="988">
        <v>25965</v>
      </c>
    </row>
    <row r="544" spans="2:10">
      <c r="B544" s="988">
        <v>25993</v>
      </c>
      <c r="H544" s="986">
        <v>5.5999999999999999E-3</v>
      </c>
      <c r="I544" s="986"/>
      <c r="J544" s="988">
        <v>25993</v>
      </c>
    </row>
    <row r="545" spans="2:10">
      <c r="B545" s="988">
        <v>26024</v>
      </c>
      <c r="H545" s="986">
        <v>4.7999999999999996E-3</v>
      </c>
      <c r="I545" s="986"/>
      <c r="J545" s="988">
        <v>26024</v>
      </c>
    </row>
    <row r="546" spans="2:10">
      <c r="B546" s="988">
        <v>26054</v>
      </c>
      <c r="H546" s="986">
        <v>4.7000000000000002E-3</v>
      </c>
      <c r="I546" s="986"/>
      <c r="J546" s="988">
        <v>26054</v>
      </c>
    </row>
    <row r="547" spans="2:10">
      <c r="B547" s="988">
        <v>26085</v>
      </c>
      <c r="H547" s="986">
        <v>5.5999999999999999E-3</v>
      </c>
      <c r="I547" s="986"/>
      <c r="J547" s="988">
        <v>26085</v>
      </c>
    </row>
    <row r="548" spans="2:10">
      <c r="B548" s="988">
        <v>26115</v>
      </c>
      <c r="H548" s="986">
        <v>5.1999999999999998E-3</v>
      </c>
      <c r="I548" s="986"/>
      <c r="J548" s="988">
        <v>26115</v>
      </c>
    </row>
    <row r="549" spans="2:10">
      <c r="B549" s="988">
        <v>26146</v>
      </c>
      <c r="H549" s="986">
        <v>5.4999999999999997E-3</v>
      </c>
      <c r="I549" s="986"/>
      <c r="J549" s="988">
        <v>26146</v>
      </c>
    </row>
    <row r="550" spans="2:10">
      <c r="B550" s="988">
        <v>26177</v>
      </c>
      <c r="H550" s="986">
        <v>4.8999999999999998E-3</v>
      </c>
      <c r="I550" s="986"/>
      <c r="J550" s="988">
        <v>26177</v>
      </c>
    </row>
    <row r="551" spans="2:10">
      <c r="B551" s="988">
        <v>26207</v>
      </c>
      <c r="H551" s="986">
        <v>4.7000000000000002E-3</v>
      </c>
      <c r="I551" s="986"/>
      <c r="J551" s="988">
        <v>26207</v>
      </c>
    </row>
    <row r="552" spans="2:10">
      <c r="B552" s="988">
        <v>26238</v>
      </c>
      <c r="H552" s="986">
        <v>5.1000000000000004E-3</v>
      </c>
      <c r="I552" s="986"/>
      <c r="J552" s="988">
        <v>26238</v>
      </c>
    </row>
    <row r="553" spans="2:10">
      <c r="B553" s="988">
        <v>26268</v>
      </c>
      <c r="H553" s="986">
        <v>5.0000000000000001E-3</v>
      </c>
      <c r="I553" s="986"/>
      <c r="J553" s="988">
        <v>26268</v>
      </c>
    </row>
    <row r="554" spans="2:10">
      <c r="B554" s="988">
        <v>26299</v>
      </c>
      <c r="H554" s="986">
        <v>5.0000000000000001E-3</v>
      </c>
      <c r="I554" s="986"/>
      <c r="J554" s="988">
        <v>26299</v>
      </c>
    </row>
    <row r="555" spans="2:10">
      <c r="B555" s="988">
        <v>26330</v>
      </c>
      <c r="H555" s="986">
        <v>4.7000000000000002E-3</v>
      </c>
      <c r="I555" s="986"/>
      <c r="J555" s="988">
        <v>26330</v>
      </c>
    </row>
    <row r="556" spans="2:10">
      <c r="B556" s="988">
        <v>26359</v>
      </c>
      <c r="H556" s="986">
        <v>4.8999999999999998E-3</v>
      </c>
      <c r="I556" s="986"/>
      <c r="J556" s="988">
        <v>26359</v>
      </c>
    </row>
    <row r="557" spans="2:10">
      <c r="B557" s="988">
        <v>26390</v>
      </c>
      <c r="H557" s="986">
        <v>4.7999999999999996E-3</v>
      </c>
      <c r="I557" s="986"/>
      <c r="J557" s="988">
        <v>26390</v>
      </c>
    </row>
    <row r="558" spans="2:10">
      <c r="B558" s="988">
        <v>26420</v>
      </c>
      <c r="H558" s="986">
        <v>5.4999999999999997E-3</v>
      </c>
      <c r="I558" s="986"/>
      <c r="J558" s="988">
        <v>26420</v>
      </c>
    </row>
    <row r="559" spans="2:10">
      <c r="B559" s="988">
        <v>26451</v>
      </c>
      <c r="H559" s="986">
        <v>4.8999999999999998E-3</v>
      </c>
      <c r="I559" s="986"/>
      <c r="J559" s="988">
        <v>26451</v>
      </c>
    </row>
    <row r="560" spans="2:10">
      <c r="B560" s="988">
        <v>26481</v>
      </c>
      <c r="H560" s="986">
        <v>5.1000000000000004E-3</v>
      </c>
      <c r="I560" s="986"/>
      <c r="J560" s="988">
        <v>26481</v>
      </c>
    </row>
    <row r="561" spans="1:10">
      <c r="B561" s="988">
        <v>26512</v>
      </c>
      <c r="H561" s="986">
        <v>4.8999999999999998E-3</v>
      </c>
      <c r="I561" s="986"/>
      <c r="J561" s="988">
        <v>26512</v>
      </c>
    </row>
    <row r="562" spans="1:10">
      <c r="B562" s="988">
        <v>26543</v>
      </c>
      <c r="H562" s="986">
        <v>4.7000000000000002E-3</v>
      </c>
      <c r="I562" s="986"/>
      <c r="J562" s="988">
        <v>26543</v>
      </c>
    </row>
    <row r="563" spans="1:10">
      <c r="B563" s="988">
        <v>26573</v>
      </c>
      <c r="H563" s="986">
        <v>5.1999999999999998E-3</v>
      </c>
      <c r="I563" s="986"/>
      <c r="J563" s="988">
        <v>26573</v>
      </c>
    </row>
    <row r="564" spans="1:10">
      <c r="B564" s="988">
        <v>26604</v>
      </c>
      <c r="H564" s="986">
        <v>4.7999999999999996E-3</v>
      </c>
      <c r="I564" s="986"/>
      <c r="J564" s="988">
        <v>26604</v>
      </c>
    </row>
    <row r="565" spans="1:10">
      <c r="A565" s="987">
        <v>68</v>
      </c>
      <c r="B565" s="988">
        <v>26634</v>
      </c>
      <c r="C565" s="987" t="s">
        <v>4635</v>
      </c>
      <c r="D565" s="987" t="s">
        <v>4636</v>
      </c>
      <c r="E565" s="987">
        <v>-19.5</v>
      </c>
      <c r="F565" s="987">
        <v>-66</v>
      </c>
      <c r="G565" s="987">
        <v>0</v>
      </c>
      <c r="H565" s="986">
        <v>4.4999999999999997E-3</v>
      </c>
      <c r="I565" s="986"/>
      <c r="J565" s="988">
        <v>26634</v>
      </c>
    </row>
    <row r="566" spans="1:10">
      <c r="A566" s="987">
        <v>68</v>
      </c>
      <c r="B566" s="988">
        <v>26665</v>
      </c>
      <c r="C566" s="987" t="s">
        <v>4635</v>
      </c>
      <c r="D566" s="987" t="s">
        <v>4636</v>
      </c>
      <c r="E566" s="987">
        <v>-17.125</v>
      </c>
      <c r="F566" s="987">
        <v>-0.121795</v>
      </c>
      <c r="G566" s="987">
        <v>0</v>
      </c>
      <c r="H566" s="986">
        <v>5.4000000000000003E-3</v>
      </c>
      <c r="I566" s="986">
        <f t="shared" ref="I566:I629" si="0">F566-H566</f>
        <v>-0.127195</v>
      </c>
      <c r="J566" s="988">
        <v>26665</v>
      </c>
    </row>
    <row r="567" spans="1:10">
      <c r="A567" s="987">
        <v>68</v>
      </c>
      <c r="B567" s="988">
        <v>26696</v>
      </c>
      <c r="C567" s="987" t="s">
        <v>4635</v>
      </c>
      <c r="D567" s="987" t="s">
        <v>4636</v>
      </c>
      <c r="E567" s="987">
        <v>-18.25</v>
      </c>
      <c r="F567" s="987">
        <v>6.5693000000000001E-2</v>
      </c>
      <c r="G567" s="987">
        <v>0</v>
      </c>
      <c r="H567" s="986">
        <v>5.1000000000000004E-3</v>
      </c>
      <c r="I567" s="986">
        <f t="shared" si="0"/>
        <v>6.0593000000000001E-2</v>
      </c>
      <c r="J567" s="988">
        <v>26696</v>
      </c>
    </row>
    <row r="568" spans="1:10">
      <c r="A568" s="987">
        <v>68</v>
      </c>
      <c r="B568" s="988">
        <v>26724</v>
      </c>
      <c r="C568" s="987" t="s">
        <v>4635</v>
      </c>
      <c r="D568" s="987" t="s">
        <v>4636</v>
      </c>
      <c r="E568" s="987">
        <v>-17.125</v>
      </c>
      <c r="F568" s="987">
        <v>-4.4658000000000003E-2</v>
      </c>
      <c r="G568" s="987">
        <v>0.31</v>
      </c>
      <c r="H568" s="986">
        <v>5.5999999999999999E-3</v>
      </c>
      <c r="I568" s="986">
        <f t="shared" si="0"/>
        <v>-5.0258000000000004E-2</v>
      </c>
      <c r="J568" s="988">
        <v>26724</v>
      </c>
    </row>
    <row r="569" spans="1:10">
      <c r="A569" s="987">
        <v>68</v>
      </c>
      <c r="B569" s="988">
        <v>26755</v>
      </c>
      <c r="C569" s="987" t="s">
        <v>4635</v>
      </c>
      <c r="D569" s="987" t="s">
        <v>4636</v>
      </c>
      <c r="E569" s="987">
        <v>-17</v>
      </c>
      <c r="F569" s="987">
        <v>-7.2989999999999999E-3</v>
      </c>
      <c r="G569" s="987">
        <v>0</v>
      </c>
      <c r="H569" s="986">
        <v>5.7000000000000002E-3</v>
      </c>
      <c r="I569" s="986">
        <f t="shared" si="0"/>
        <v>-1.2999E-2</v>
      </c>
      <c r="J569" s="988">
        <v>26755</v>
      </c>
    </row>
    <row r="570" spans="1:10">
      <c r="A570" s="987">
        <v>68</v>
      </c>
      <c r="B570" s="988">
        <v>26785</v>
      </c>
      <c r="C570" s="987" t="s">
        <v>4635</v>
      </c>
      <c r="D570" s="987" t="s">
        <v>4636</v>
      </c>
      <c r="E570" s="987">
        <v>-16.25</v>
      </c>
      <c r="F570" s="987">
        <v>-4.4117999999999997E-2</v>
      </c>
      <c r="G570" s="987">
        <v>0</v>
      </c>
      <c r="H570" s="986">
        <v>5.7999999999999996E-3</v>
      </c>
      <c r="I570" s="986">
        <f t="shared" si="0"/>
        <v>-4.9917999999999997E-2</v>
      </c>
      <c r="J570" s="988">
        <v>26785</v>
      </c>
    </row>
    <row r="571" spans="1:10">
      <c r="A571" s="987">
        <v>68</v>
      </c>
      <c r="B571" s="988">
        <v>26816</v>
      </c>
      <c r="C571" s="987" t="s">
        <v>4635</v>
      </c>
      <c r="D571" s="987" t="s">
        <v>4636</v>
      </c>
      <c r="E571" s="987">
        <v>-16.125</v>
      </c>
      <c r="F571" s="987">
        <v>1.1384999999999999E-2</v>
      </c>
      <c r="G571" s="987">
        <v>0.31</v>
      </c>
      <c r="H571" s="986">
        <v>5.4999999999999997E-3</v>
      </c>
      <c r="I571" s="986">
        <f t="shared" si="0"/>
        <v>5.8849999999999996E-3</v>
      </c>
      <c r="J571" s="988">
        <v>26816</v>
      </c>
    </row>
    <row r="572" spans="1:10">
      <c r="A572" s="987">
        <v>68</v>
      </c>
      <c r="B572" s="988">
        <v>26846</v>
      </c>
      <c r="C572" s="987" t="s">
        <v>4635</v>
      </c>
      <c r="D572" s="987" t="s">
        <v>4636</v>
      </c>
      <c r="E572" s="987">
        <v>-16.25</v>
      </c>
      <c r="F572" s="987">
        <v>7.7520000000000002E-3</v>
      </c>
      <c r="G572" s="987">
        <v>0</v>
      </c>
      <c r="H572" s="986">
        <v>6.1000000000000004E-3</v>
      </c>
      <c r="I572" s="986">
        <f t="shared" si="0"/>
        <v>1.6519999999999998E-3</v>
      </c>
      <c r="J572" s="988">
        <v>26846</v>
      </c>
    </row>
    <row r="573" spans="1:10">
      <c r="A573" s="987">
        <v>68</v>
      </c>
      <c r="B573" s="988">
        <v>26877</v>
      </c>
      <c r="C573" s="987" t="s">
        <v>4635</v>
      </c>
      <c r="D573" s="987" t="s">
        <v>4636</v>
      </c>
      <c r="E573" s="987">
        <v>-16.125</v>
      </c>
      <c r="F573" s="987">
        <v>-7.6920000000000001E-3</v>
      </c>
      <c r="G573" s="987">
        <v>0</v>
      </c>
      <c r="H573" s="986">
        <v>6.1999999999999998E-3</v>
      </c>
      <c r="I573" s="986">
        <f t="shared" si="0"/>
        <v>-1.3892E-2</v>
      </c>
      <c r="J573" s="988">
        <v>26877</v>
      </c>
    </row>
    <row r="574" spans="1:10">
      <c r="A574" s="987">
        <v>68</v>
      </c>
      <c r="B574" s="988">
        <v>26908</v>
      </c>
      <c r="C574" s="987" t="s">
        <v>4635</v>
      </c>
      <c r="D574" s="987" t="s">
        <v>4636</v>
      </c>
      <c r="E574" s="987">
        <v>-16</v>
      </c>
      <c r="F574" s="987">
        <v>1.2713E-2</v>
      </c>
      <c r="G574" s="987">
        <v>0.33</v>
      </c>
      <c r="H574" s="986">
        <v>5.4999999999999997E-3</v>
      </c>
      <c r="I574" s="986">
        <f t="shared" si="0"/>
        <v>7.2130000000000007E-3</v>
      </c>
      <c r="J574" s="988">
        <v>26908</v>
      </c>
    </row>
    <row r="575" spans="1:10">
      <c r="A575" s="987">
        <v>68</v>
      </c>
      <c r="B575" s="988">
        <v>26938</v>
      </c>
      <c r="C575" s="987" t="s">
        <v>4635</v>
      </c>
      <c r="D575" s="987" t="s">
        <v>4636</v>
      </c>
      <c r="E575" s="987">
        <v>-15.375</v>
      </c>
      <c r="F575" s="987">
        <v>-3.9061999999999999E-2</v>
      </c>
      <c r="G575" s="987">
        <v>0</v>
      </c>
      <c r="H575" s="986">
        <v>6.3E-3</v>
      </c>
      <c r="I575" s="986">
        <f t="shared" si="0"/>
        <v>-4.5362E-2</v>
      </c>
      <c r="J575" s="988">
        <v>26938</v>
      </c>
    </row>
    <row r="576" spans="1:10">
      <c r="A576" s="987">
        <v>68</v>
      </c>
      <c r="B576" s="988">
        <v>26969</v>
      </c>
      <c r="C576" s="987" t="s">
        <v>4635</v>
      </c>
      <c r="D576" s="987" t="s">
        <v>4636</v>
      </c>
      <c r="E576" s="987">
        <v>-13.9375</v>
      </c>
      <c r="F576" s="987">
        <v>-9.3495999999999996E-2</v>
      </c>
      <c r="G576" s="987">
        <v>0</v>
      </c>
      <c r="H576" s="986">
        <v>5.5999999999999999E-3</v>
      </c>
      <c r="I576" s="986">
        <f t="shared" si="0"/>
        <v>-9.909599999999999E-2</v>
      </c>
      <c r="J576" s="988">
        <v>26969</v>
      </c>
    </row>
    <row r="577" spans="1:10">
      <c r="A577" s="987">
        <v>68</v>
      </c>
      <c r="B577" s="988">
        <v>26999</v>
      </c>
      <c r="C577" s="987" t="s">
        <v>4635</v>
      </c>
      <c r="D577" s="987" t="s">
        <v>4636</v>
      </c>
      <c r="E577" s="987">
        <v>-13.875</v>
      </c>
      <c r="F577" s="987">
        <v>1.9193000000000002E-2</v>
      </c>
      <c r="G577" s="987">
        <v>0.33</v>
      </c>
      <c r="H577" s="986">
        <v>6.0000000000000001E-3</v>
      </c>
      <c r="I577" s="986">
        <f t="shared" si="0"/>
        <v>1.3193000000000002E-2</v>
      </c>
      <c r="J577" s="988">
        <v>26999</v>
      </c>
    </row>
    <row r="578" spans="1:10">
      <c r="A578" s="987">
        <v>68</v>
      </c>
      <c r="B578" s="988">
        <v>27030</v>
      </c>
      <c r="C578" s="987" t="s">
        <v>4635</v>
      </c>
      <c r="D578" s="987" t="s">
        <v>4636</v>
      </c>
      <c r="E578" s="987">
        <v>-15</v>
      </c>
      <c r="F578" s="987">
        <v>8.1081E-2</v>
      </c>
      <c r="G578" s="987">
        <v>0</v>
      </c>
      <c r="H578" s="986">
        <v>6.1000000000000004E-3</v>
      </c>
      <c r="I578" s="986">
        <f t="shared" si="0"/>
        <v>7.4981000000000006E-2</v>
      </c>
      <c r="J578" s="988">
        <v>27030</v>
      </c>
    </row>
    <row r="579" spans="1:10">
      <c r="A579" s="987">
        <v>68</v>
      </c>
      <c r="B579" s="988">
        <v>27061</v>
      </c>
      <c r="C579" s="987" t="s">
        <v>4635</v>
      </c>
      <c r="D579" s="987" t="s">
        <v>4636</v>
      </c>
      <c r="E579" s="987">
        <v>-15.75</v>
      </c>
      <c r="F579" s="987">
        <v>0.05</v>
      </c>
      <c r="G579" s="987">
        <v>0</v>
      </c>
      <c r="H579" s="986">
        <v>5.4999999999999997E-3</v>
      </c>
      <c r="I579" s="986">
        <f t="shared" si="0"/>
        <v>4.4500000000000005E-2</v>
      </c>
      <c r="J579" s="988">
        <v>27061</v>
      </c>
    </row>
    <row r="580" spans="1:10">
      <c r="A580" s="987">
        <v>68</v>
      </c>
      <c r="B580" s="988">
        <v>27089</v>
      </c>
      <c r="C580" s="987" t="s">
        <v>4635</v>
      </c>
      <c r="D580" s="987" t="s">
        <v>4636</v>
      </c>
      <c r="E580" s="987">
        <v>-14.5</v>
      </c>
      <c r="F580" s="987">
        <v>-5.8413E-2</v>
      </c>
      <c r="G580" s="987">
        <v>0.33</v>
      </c>
      <c r="H580" s="986">
        <v>5.7999999999999996E-3</v>
      </c>
      <c r="I580" s="986">
        <f t="shared" si="0"/>
        <v>-6.4212999999999992E-2</v>
      </c>
      <c r="J580" s="988">
        <v>27089</v>
      </c>
    </row>
    <row r="581" spans="1:10">
      <c r="A581" s="987">
        <v>68</v>
      </c>
      <c r="B581" s="988">
        <v>27120</v>
      </c>
      <c r="C581" s="987" t="s">
        <v>4635</v>
      </c>
      <c r="D581" s="987" t="s">
        <v>4636</v>
      </c>
      <c r="E581" s="987">
        <v>-13.625</v>
      </c>
      <c r="F581" s="987">
        <v>-6.0345000000000003E-2</v>
      </c>
      <c r="G581" s="987">
        <v>0</v>
      </c>
      <c r="H581" s="986">
        <v>6.7999999999999996E-3</v>
      </c>
      <c r="I581" s="986">
        <f t="shared" si="0"/>
        <v>-6.7144999999999996E-2</v>
      </c>
      <c r="J581" s="988">
        <v>27120</v>
      </c>
    </row>
    <row r="582" spans="1:10">
      <c r="A582" s="987">
        <v>68</v>
      </c>
      <c r="B582" s="988">
        <v>27150</v>
      </c>
      <c r="C582" s="987" t="s">
        <v>4635</v>
      </c>
      <c r="D582" s="987" t="s">
        <v>4636</v>
      </c>
      <c r="E582" s="987">
        <v>-12.25</v>
      </c>
      <c r="F582" s="987">
        <v>-0.10091700000000001</v>
      </c>
      <c r="G582" s="987">
        <v>0</v>
      </c>
      <c r="H582" s="986">
        <v>6.7999999999999996E-3</v>
      </c>
      <c r="I582" s="986">
        <f t="shared" si="0"/>
        <v>-0.10771700000000001</v>
      </c>
      <c r="J582" s="988">
        <v>27150</v>
      </c>
    </row>
    <row r="583" spans="1:10">
      <c r="A583" s="987">
        <v>68</v>
      </c>
      <c r="B583" s="988">
        <v>27181</v>
      </c>
      <c r="C583" s="987" t="s">
        <v>4635</v>
      </c>
      <c r="D583" s="987" t="s">
        <v>4636</v>
      </c>
      <c r="E583" s="987">
        <v>-11.375</v>
      </c>
      <c r="F583" s="987">
        <v>-4.4490000000000002E-2</v>
      </c>
      <c r="G583" s="987">
        <v>0.33</v>
      </c>
      <c r="H583" s="986">
        <v>6.1000000000000004E-3</v>
      </c>
      <c r="I583" s="986">
        <f t="shared" si="0"/>
        <v>-5.0590000000000003E-2</v>
      </c>
      <c r="J583" s="988">
        <v>27181</v>
      </c>
    </row>
    <row r="584" spans="1:10">
      <c r="A584" s="987">
        <v>68</v>
      </c>
      <c r="B584" s="988">
        <v>27211</v>
      </c>
      <c r="C584" s="987" t="s">
        <v>4635</v>
      </c>
      <c r="D584" s="987" t="s">
        <v>4636</v>
      </c>
      <c r="E584" s="987">
        <v>-10.25</v>
      </c>
      <c r="F584" s="987">
        <v>-9.8901000000000003E-2</v>
      </c>
      <c r="G584" s="987">
        <v>0</v>
      </c>
      <c r="H584" s="986">
        <v>7.1999999999999998E-3</v>
      </c>
      <c r="I584" s="986">
        <f t="shared" si="0"/>
        <v>-0.106101</v>
      </c>
      <c r="J584" s="988">
        <v>27211</v>
      </c>
    </row>
    <row r="585" spans="1:10">
      <c r="A585" s="987">
        <v>68</v>
      </c>
      <c r="B585" s="988">
        <v>27242</v>
      </c>
      <c r="C585" s="987" t="s">
        <v>4635</v>
      </c>
      <c r="D585" s="987" t="s">
        <v>4636</v>
      </c>
      <c r="E585" s="987">
        <v>-10.25</v>
      </c>
      <c r="F585" s="987">
        <v>0</v>
      </c>
      <c r="G585" s="987">
        <v>0</v>
      </c>
      <c r="H585" s="986">
        <v>6.4999999999999997E-3</v>
      </c>
      <c r="I585" s="986">
        <f t="shared" si="0"/>
        <v>-6.4999999999999997E-3</v>
      </c>
      <c r="J585" s="988">
        <v>27242</v>
      </c>
    </row>
    <row r="586" spans="1:10">
      <c r="A586" s="987">
        <v>68</v>
      </c>
      <c r="B586" s="988">
        <v>27273</v>
      </c>
      <c r="C586" s="987" t="s">
        <v>4635</v>
      </c>
      <c r="D586" s="987" t="s">
        <v>4636</v>
      </c>
      <c r="E586" s="987">
        <v>-10.625</v>
      </c>
      <c r="F586" s="987">
        <v>6.8779999999999994E-2</v>
      </c>
      <c r="G586" s="987">
        <v>0.33</v>
      </c>
      <c r="H586" s="986">
        <v>7.1000000000000004E-3</v>
      </c>
      <c r="I586" s="986">
        <f t="shared" si="0"/>
        <v>6.1679999999999992E-2</v>
      </c>
      <c r="J586" s="988">
        <v>27273</v>
      </c>
    </row>
    <row r="587" spans="1:10">
      <c r="A587" s="987">
        <v>68</v>
      </c>
      <c r="B587" s="988">
        <v>27303</v>
      </c>
      <c r="C587" s="987" t="s">
        <v>4635</v>
      </c>
      <c r="D587" s="987" t="s">
        <v>4636</v>
      </c>
      <c r="E587" s="987">
        <v>-10.125</v>
      </c>
      <c r="F587" s="987">
        <v>-4.7058999999999997E-2</v>
      </c>
      <c r="G587" s="987">
        <v>0</v>
      </c>
      <c r="H587" s="986">
        <v>7.0000000000000001E-3</v>
      </c>
      <c r="I587" s="986">
        <f t="shared" si="0"/>
        <v>-5.4058999999999996E-2</v>
      </c>
      <c r="J587" s="988">
        <v>27303</v>
      </c>
    </row>
    <row r="588" spans="1:10">
      <c r="A588" s="987">
        <v>68</v>
      </c>
      <c r="B588" s="988">
        <v>27334</v>
      </c>
      <c r="C588" s="987" t="s">
        <v>4635</v>
      </c>
      <c r="D588" s="987" t="s">
        <v>4636</v>
      </c>
      <c r="E588" s="987">
        <v>-11.125</v>
      </c>
      <c r="F588" s="987">
        <v>9.8765000000000006E-2</v>
      </c>
      <c r="G588" s="987">
        <v>0</v>
      </c>
      <c r="H588" s="986">
        <v>6.1999999999999998E-3</v>
      </c>
      <c r="I588" s="986">
        <f t="shared" si="0"/>
        <v>9.2565000000000008E-2</v>
      </c>
      <c r="J588" s="988">
        <v>27334</v>
      </c>
    </row>
    <row r="589" spans="1:10">
      <c r="A589" s="987">
        <v>68</v>
      </c>
      <c r="B589" s="988">
        <v>27364</v>
      </c>
      <c r="C589" s="987" t="s">
        <v>4635</v>
      </c>
      <c r="D589" s="987" t="s">
        <v>4636</v>
      </c>
      <c r="E589" s="987">
        <v>-9.875</v>
      </c>
      <c r="F589" s="987">
        <v>-8.2697000000000007E-2</v>
      </c>
      <c r="G589" s="987">
        <v>0.33</v>
      </c>
      <c r="H589" s="986">
        <v>6.7000000000000002E-3</v>
      </c>
      <c r="I589" s="986">
        <f t="shared" si="0"/>
        <v>-8.9397000000000004E-2</v>
      </c>
      <c r="J589" s="988">
        <v>27364</v>
      </c>
    </row>
    <row r="590" spans="1:10">
      <c r="A590" s="987">
        <v>68</v>
      </c>
      <c r="B590" s="988">
        <v>27395</v>
      </c>
      <c r="C590" s="987" t="s">
        <v>4635</v>
      </c>
      <c r="D590" s="987" t="s">
        <v>4636</v>
      </c>
      <c r="E590" s="987">
        <v>-13.625</v>
      </c>
      <c r="F590" s="987">
        <v>0.379747</v>
      </c>
      <c r="G590" s="987">
        <v>0</v>
      </c>
      <c r="H590" s="986">
        <v>6.7999999999999996E-3</v>
      </c>
      <c r="I590" s="986">
        <f t="shared" si="0"/>
        <v>0.37294700000000003</v>
      </c>
      <c r="J590" s="988">
        <v>27395</v>
      </c>
    </row>
    <row r="591" spans="1:10">
      <c r="A591" s="987">
        <v>68</v>
      </c>
      <c r="B591" s="988">
        <v>27426</v>
      </c>
      <c r="C591" s="987" t="s">
        <v>4635</v>
      </c>
      <c r="D591" s="987" t="s">
        <v>4636</v>
      </c>
      <c r="E591" s="987">
        <v>-12.875</v>
      </c>
      <c r="F591" s="987">
        <v>-5.5045999999999998E-2</v>
      </c>
      <c r="G591" s="987">
        <v>0</v>
      </c>
      <c r="H591" s="986">
        <v>6.0000000000000001E-3</v>
      </c>
      <c r="I591" s="986">
        <f t="shared" si="0"/>
        <v>-6.1045999999999996E-2</v>
      </c>
      <c r="J591" s="988">
        <v>27426</v>
      </c>
    </row>
    <row r="592" spans="1:10">
      <c r="A592" s="987">
        <v>68</v>
      </c>
      <c r="B592" s="988">
        <v>27454</v>
      </c>
      <c r="C592" s="987" t="s">
        <v>4635</v>
      </c>
      <c r="D592" s="987" t="s">
        <v>4636</v>
      </c>
      <c r="E592" s="987">
        <v>-11.875</v>
      </c>
      <c r="F592" s="987">
        <v>-5.2039000000000002E-2</v>
      </c>
      <c r="G592" s="987">
        <v>0.33</v>
      </c>
      <c r="H592" s="986">
        <v>6.6E-3</v>
      </c>
      <c r="I592" s="986">
        <f t="shared" si="0"/>
        <v>-5.8639000000000004E-2</v>
      </c>
      <c r="J592" s="988">
        <v>27454</v>
      </c>
    </row>
    <row r="593" spans="1:10">
      <c r="A593" s="987">
        <v>68</v>
      </c>
      <c r="B593" s="988">
        <v>27485</v>
      </c>
      <c r="C593" s="987" t="s">
        <v>4635</v>
      </c>
      <c r="D593" s="987" t="s">
        <v>4636</v>
      </c>
      <c r="E593" s="987">
        <v>-12.625</v>
      </c>
      <c r="F593" s="987">
        <v>6.3158000000000006E-2</v>
      </c>
      <c r="G593" s="987">
        <v>0</v>
      </c>
      <c r="H593" s="986">
        <v>6.7000000000000002E-3</v>
      </c>
      <c r="I593" s="986">
        <f t="shared" si="0"/>
        <v>5.6458000000000008E-2</v>
      </c>
      <c r="J593" s="988">
        <v>27485</v>
      </c>
    </row>
    <row r="594" spans="1:10">
      <c r="A594" s="987">
        <v>68</v>
      </c>
      <c r="B594" s="988">
        <v>27515</v>
      </c>
      <c r="C594" s="987" t="s">
        <v>4635</v>
      </c>
      <c r="D594" s="987" t="s">
        <v>4636</v>
      </c>
      <c r="E594" s="987">
        <v>-12.375</v>
      </c>
      <c r="F594" s="987">
        <v>-1.9802E-2</v>
      </c>
      <c r="G594" s="987">
        <v>0</v>
      </c>
      <c r="H594" s="986">
        <v>6.7000000000000002E-3</v>
      </c>
      <c r="I594" s="986">
        <f t="shared" si="0"/>
        <v>-2.6502000000000001E-2</v>
      </c>
      <c r="J594" s="988">
        <v>27515</v>
      </c>
    </row>
    <row r="595" spans="1:10">
      <c r="A595" s="987">
        <v>68</v>
      </c>
      <c r="B595" s="988">
        <v>27546</v>
      </c>
      <c r="C595" s="987" t="s">
        <v>4635</v>
      </c>
      <c r="D595" s="987" t="s">
        <v>4636</v>
      </c>
      <c r="E595" s="987">
        <v>-13.375</v>
      </c>
      <c r="F595" s="987">
        <v>0.107475</v>
      </c>
      <c r="G595" s="987">
        <v>0.33</v>
      </c>
      <c r="H595" s="986">
        <v>7.0000000000000001E-3</v>
      </c>
      <c r="I595" s="986">
        <f t="shared" si="0"/>
        <v>0.10047499999999999</v>
      </c>
      <c r="J595" s="988">
        <v>27546</v>
      </c>
    </row>
    <row r="596" spans="1:10">
      <c r="A596" s="987">
        <v>68</v>
      </c>
      <c r="B596" s="988">
        <v>27576</v>
      </c>
      <c r="C596" s="987" t="s">
        <v>4635</v>
      </c>
      <c r="D596" s="987" t="s">
        <v>4636</v>
      </c>
      <c r="E596" s="987">
        <v>-12.125</v>
      </c>
      <c r="F596" s="987">
        <v>-9.3457999999999999E-2</v>
      </c>
      <c r="G596" s="987">
        <v>0</v>
      </c>
      <c r="H596" s="986">
        <v>6.7999999999999996E-3</v>
      </c>
      <c r="I596" s="986">
        <f t="shared" si="0"/>
        <v>-0.100258</v>
      </c>
      <c r="J596" s="988">
        <v>27576</v>
      </c>
    </row>
    <row r="597" spans="1:10">
      <c r="A597" s="987">
        <v>68</v>
      </c>
      <c r="B597" s="988">
        <v>27607</v>
      </c>
      <c r="C597" s="987" t="s">
        <v>4635</v>
      </c>
      <c r="D597" s="987" t="s">
        <v>4636</v>
      </c>
      <c r="E597" s="987">
        <v>-11.625</v>
      </c>
      <c r="F597" s="987">
        <v>-4.1237000000000003E-2</v>
      </c>
      <c r="G597" s="987">
        <v>0</v>
      </c>
      <c r="H597" s="986">
        <v>6.4999999999999997E-3</v>
      </c>
      <c r="I597" s="986">
        <f t="shared" si="0"/>
        <v>-4.7737000000000002E-2</v>
      </c>
      <c r="J597" s="988">
        <v>27607</v>
      </c>
    </row>
    <row r="598" spans="1:10">
      <c r="A598" s="987">
        <v>68</v>
      </c>
      <c r="B598" s="988">
        <v>27638</v>
      </c>
      <c r="C598" s="987" t="s">
        <v>4635</v>
      </c>
      <c r="D598" s="987" t="s">
        <v>4636</v>
      </c>
      <c r="E598" s="987">
        <v>-11.375</v>
      </c>
      <c r="F598" s="987">
        <v>6.8820000000000001E-3</v>
      </c>
      <c r="G598" s="987">
        <v>0.33</v>
      </c>
      <c r="H598" s="986">
        <v>7.3000000000000001E-3</v>
      </c>
      <c r="I598" s="986">
        <f t="shared" si="0"/>
        <v>-4.1799999999999997E-4</v>
      </c>
      <c r="J598" s="988">
        <v>27638</v>
      </c>
    </row>
    <row r="599" spans="1:10">
      <c r="A599" s="987">
        <v>68</v>
      </c>
      <c r="B599" s="988">
        <v>27668</v>
      </c>
      <c r="C599" s="987" t="s">
        <v>4635</v>
      </c>
      <c r="D599" s="987" t="s">
        <v>4636</v>
      </c>
      <c r="E599" s="987">
        <v>-10.875</v>
      </c>
      <c r="F599" s="987">
        <v>-4.3956000000000002E-2</v>
      </c>
      <c r="G599" s="987">
        <v>0</v>
      </c>
      <c r="H599" s="986">
        <v>7.1999999999999998E-3</v>
      </c>
      <c r="I599" s="986">
        <f t="shared" si="0"/>
        <v>-5.1156E-2</v>
      </c>
      <c r="J599" s="988">
        <v>27668</v>
      </c>
    </row>
    <row r="600" spans="1:10">
      <c r="A600" s="987">
        <v>68</v>
      </c>
      <c r="B600" s="988">
        <v>27699</v>
      </c>
      <c r="C600" s="987" t="s">
        <v>4635</v>
      </c>
      <c r="D600" s="987" t="s">
        <v>4636</v>
      </c>
      <c r="E600" s="987">
        <v>-12.125</v>
      </c>
      <c r="F600" s="987">
        <v>0.114943</v>
      </c>
      <c r="G600" s="987">
        <v>0</v>
      </c>
      <c r="H600" s="986">
        <v>6.1000000000000004E-3</v>
      </c>
      <c r="I600" s="986">
        <f t="shared" si="0"/>
        <v>0.10884300000000001</v>
      </c>
      <c r="J600" s="988">
        <v>27699</v>
      </c>
    </row>
    <row r="601" spans="1:10">
      <c r="A601" s="987">
        <v>68</v>
      </c>
      <c r="B601" s="988">
        <v>27729</v>
      </c>
      <c r="C601" s="987" t="s">
        <v>4635</v>
      </c>
      <c r="D601" s="987" t="s">
        <v>4636</v>
      </c>
      <c r="E601" s="987">
        <v>-12.625</v>
      </c>
      <c r="F601" s="987">
        <v>6.8454000000000001E-2</v>
      </c>
      <c r="G601" s="987">
        <v>0.33</v>
      </c>
      <c r="H601" s="986">
        <v>7.4000000000000003E-3</v>
      </c>
      <c r="I601" s="986">
        <f t="shared" si="0"/>
        <v>6.1053999999999997E-2</v>
      </c>
      <c r="J601" s="988">
        <v>27729</v>
      </c>
    </row>
    <row r="602" spans="1:10">
      <c r="A602" s="987">
        <v>68</v>
      </c>
      <c r="B602" s="988">
        <v>27760</v>
      </c>
      <c r="C602" s="987" t="s">
        <v>4635</v>
      </c>
      <c r="D602" s="987" t="s">
        <v>4636</v>
      </c>
      <c r="E602" s="987">
        <v>-14.375</v>
      </c>
      <c r="F602" s="987">
        <v>0.13861399999999999</v>
      </c>
      <c r="G602" s="987">
        <v>0</v>
      </c>
      <c r="H602" s="986">
        <v>6.4999999999999997E-3</v>
      </c>
      <c r="I602" s="986">
        <f t="shared" si="0"/>
        <v>0.13211399999999998</v>
      </c>
      <c r="J602" s="988">
        <v>27760</v>
      </c>
    </row>
    <row r="603" spans="1:10">
      <c r="A603" s="987">
        <v>68</v>
      </c>
      <c r="B603" s="988">
        <v>27791</v>
      </c>
      <c r="C603" s="987" t="s">
        <v>4635</v>
      </c>
      <c r="D603" s="987" t="s">
        <v>4636</v>
      </c>
      <c r="E603" s="987">
        <v>-13.875</v>
      </c>
      <c r="F603" s="987">
        <v>-3.4783000000000001E-2</v>
      </c>
      <c r="G603" s="987">
        <v>0</v>
      </c>
      <c r="H603" s="986">
        <v>6.0000000000000001E-3</v>
      </c>
      <c r="I603" s="986">
        <f t="shared" si="0"/>
        <v>-4.0783E-2</v>
      </c>
      <c r="J603" s="988">
        <v>27791</v>
      </c>
    </row>
    <row r="604" spans="1:10">
      <c r="A604" s="987">
        <v>68</v>
      </c>
      <c r="B604" s="988">
        <v>27820</v>
      </c>
      <c r="C604" s="987" t="s">
        <v>4635</v>
      </c>
      <c r="D604" s="987" t="s">
        <v>4636</v>
      </c>
      <c r="E604" s="987">
        <v>-13.625</v>
      </c>
      <c r="F604" s="987">
        <v>5.7660000000000003E-3</v>
      </c>
      <c r="G604" s="987">
        <v>0.33</v>
      </c>
      <c r="H604" s="986">
        <v>7.1000000000000004E-3</v>
      </c>
      <c r="I604" s="986">
        <f t="shared" si="0"/>
        <v>-1.3340000000000001E-3</v>
      </c>
      <c r="J604" s="988">
        <v>27820</v>
      </c>
    </row>
    <row r="605" spans="1:10">
      <c r="A605" s="987">
        <v>68</v>
      </c>
      <c r="B605" s="988">
        <v>27851</v>
      </c>
      <c r="C605" s="987" t="s">
        <v>4635</v>
      </c>
      <c r="D605" s="987" t="s">
        <v>4636</v>
      </c>
      <c r="E605" s="987">
        <v>-14.375</v>
      </c>
      <c r="F605" s="987">
        <v>5.5045999999999998E-2</v>
      </c>
      <c r="G605" s="987">
        <v>0</v>
      </c>
      <c r="H605" s="986">
        <v>6.4000000000000003E-3</v>
      </c>
      <c r="I605" s="986">
        <f t="shared" si="0"/>
        <v>4.8645999999999995E-2</v>
      </c>
      <c r="J605" s="988">
        <v>27851</v>
      </c>
    </row>
    <row r="606" spans="1:10">
      <c r="A606" s="987">
        <v>68</v>
      </c>
      <c r="B606" s="988">
        <v>27881</v>
      </c>
      <c r="C606" s="987" t="s">
        <v>4635</v>
      </c>
      <c r="D606" s="987" t="s">
        <v>4636</v>
      </c>
      <c r="E606" s="987">
        <v>-14.125</v>
      </c>
      <c r="F606" s="987">
        <v>-1.7391E-2</v>
      </c>
      <c r="G606" s="987">
        <v>0</v>
      </c>
      <c r="H606" s="986">
        <v>5.8999999999999999E-3</v>
      </c>
      <c r="I606" s="986">
        <f t="shared" si="0"/>
        <v>-2.3290999999999999E-2</v>
      </c>
      <c r="J606" s="988">
        <v>27881</v>
      </c>
    </row>
    <row r="607" spans="1:10">
      <c r="A607" s="987">
        <v>68</v>
      </c>
      <c r="B607" s="988">
        <v>27912</v>
      </c>
      <c r="C607" s="987" t="s">
        <v>4635</v>
      </c>
      <c r="D607" s="987" t="s">
        <v>4636</v>
      </c>
      <c r="E607" s="987">
        <v>-13.125</v>
      </c>
      <c r="F607" s="987">
        <v>-4.7433999999999997E-2</v>
      </c>
      <c r="G607" s="987">
        <v>0.33</v>
      </c>
      <c r="H607" s="986">
        <v>7.3000000000000001E-3</v>
      </c>
      <c r="I607" s="986">
        <f t="shared" si="0"/>
        <v>-5.4733999999999998E-2</v>
      </c>
      <c r="J607" s="988">
        <v>27912</v>
      </c>
    </row>
    <row r="608" spans="1:10">
      <c r="A608" s="987">
        <v>68</v>
      </c>
      <c r="B608" s="988">
        <v>27942</v>
      </c>
      <c r="C608" s="987" t="s">
        <v>4635</v>
      </c>
      <c r="D608" s="987" t="s">
        <v>4636</v>
      </c>
      <c r="E608" s="987">
        <v>-13.625</v>
      </c>
      <c r="F608" s="987">
        <v>3.8094999999999997E-2</v>
      </c>
      <c r="G608" s="987">
        <v>0</v>
      </c>
      <c r="H608" s="986">
        <v>6.4999999999999997E-3</v>
      </c>
      <c r="I608" s="986">
        <f t="shared" si="0"/>
        <v>3.1594999999999998E-2</v>
      </c>
      <c r="J608" s="988">
        <v>27942</v>
      </c>
    </row>
    <row r="609" spans="1:10">
      <c r="A609" s="987">
        <v>68</v>
      </c>
      <c r="B609" s="988">
        <v>27973</v>
      </c>
      <c r="C609" s="987" t="s">
        <v>4635</v>
      </c>
      <c r="D609" s="987" t="s">
        <v>4636</v>
      </c>
      <c r="E609" s="987">
        <v>-14.125</v>
      </c>
      <c r="F609" s="987">
        <v>3.6697E-2</v>
      </c>
      <c r="G609" s="987">
        <v>0</v>
      </c>
      <c r="H609" s="986">
        <v>6.8999999999999999E-3</v>
      </c>
      <c r="I609" s="986">
        <f t="shared" si="0"/>
        <v>2.9797000000000001E-2</v>
      </c>
      <c r="J609" s="988">
        <v>27973</v>
      </c>
    </row>
    <row r="610" spans="1:10">
      <c r="A610" s="987">
        <v>68</v>
      </c>
      <c r="B610" s="988">
        <v>28004</v>
      </c>
      <c r="C610" s="987" t="s">
        <v>4635</v>
      </c>
      <c r="D610" s="987" t="s">
        <v>4636</v>
      </c>
      <c r="E610" s="987">
        <v>-13.625</v>
      </c>
      <c r="F610" s="987">
        <v>-1.2035000000000001E-2</v>
      </c>
      <c r="G610" s="987">
        <v>0.33</v>
      </c>
      <c r="H610" s="986">
        <v>6.4000000000000003E-3</v>
      </c>
      <c r="I610" s="986">
        <f t="shared" si="0"/>
        <v>-1.8435E-2</v>
      </c>
      <c r="J610" s="988">
        <v>28004</v>
      </c>
    </row>
    <row r="611" spans="1:10">
      <c r="A611" s="987">
        <v>68</v>
      </c>
      <c r="B611" s="988">
        <v>28034</v>
      </c>
      <c r="C611" s="987" t="s">
        <v>4635</v>
      </c>
      <c r="D611" s="987" t="s">
        <v>4636</v>
      </c>
      <c r="E611" s="987">
        <v>-13.625</v>
      </c>
      <c r="F611" s="987">
        <v>0</v>
      </c>
      <c r="G611" s="987">
        <v>0</v>
      </c>
      <c r="H611" s="986">
        <v>6.1000000000000004E-3</v>
      </c>
      <c r="I611" s="986">
        <f t="shared" si="0"/>
        <v>-6.1000000000000004E-3</v>
      </c>
      <c r="J611" s="988">
        <v>28034</v>
      </c>
    </row>
    <row r="612" spans="1:10">
      <c r="A612" s="987">
        <v>68</v>
      </c>
      <c r="B612" s="988">
        <v>28065</v>
      </c>
      <c r="C612" s="987" t="s">
        <v>4635</v>
      </c>
      <c r="D612" s="987" t="s">
        <v>4636</v>
      </c>
      <c r="E612" s="987">
        <v>-14.125</v>
      </c>
      <c r="F612" s="987">
        <v>3.6697E-2</v>
      </c>
      <c r="G612" s="987">
        <v>0</v>
      </c>
      <c r="H612" s="986">
        <v>6.6E-3</v>
      </c>
      <c r="I612" s="986">
        <f t="shared" si="0"/>
        <v>3.0096999999999999E-2</v>
      </c>
      <c r="J612" s="988">
        <v>28065</v>
      </c>
    </row>
    <row r="613" spans="1:10">
      <c r="A613" s="987">
        <v>68</v>
      </c>
      <c r="B613" s="988">
        <v>28095</v>
      </c>
      <c r="C613" s="987" t="s">
        <v>4635</v>
      </c>
      <c r="D613" s="987" t="s">
        <v>4636</v>
      </c>
      <c r="E613" s="987">
        <v>-15.125</v>
      </c>
      <c r="F613" s="987">
        <v>9.4159000000000007E-2</v>
      </c>
      <c r="G613" s="987">
        <v>0.33</v>
      </c>
      <c r="H613" s="986">
        <v>6.3E-3</v>
      </c>
      <c r="I613" s="986">
        <f t="shared" si="0"/>
        <v>8.7859000000000007E-2</v>
      </c>
      <c r="J613" s="988">
        <v>28095</v>
      </c>
    </row>
    <row r="614" spans="1:10">
      <c r="A614" s="987">
        <v>68</v>
      </c>
      <c r="B614" s="988">
        <v>28126</v>
      </c>
      <c r="C614" s="987" t="s">
        <v>4635</v>
      </c>
      <c r="D614" s="987" t="s">
        <v>4636</v>
      </c>
      <c r="E614" s="987">
        <v>-15.125</v>
      </c>
      <c r="F614" s="987">
        <v>0</v>
      </c>
      <c r="G614" s="987">
        <v>0</v>
      </c>
      <c r="H614" s="986">
        <v>5.8999999999999999E-3</v>
      </c>
      <c r="I614" s="986">
        <f t="shared" si="0"/>
        <v>-5.8999999999999999E-3</v>
      </c>
      <c r="J614" s="988">
        <v>28126</v>
      </c>
    </row>
    <row r="615" spans="1:10">
      <c r="A615" s="987">
        <v>68</v>
      </c>
      <c r="B615" s="988">
        <v>28157</v>
      </c>
      <c r="C615" s="987" t="s">
        <v>4635</v>
      </c>
      <c r="D615" s="987" t="s">
        <v>4636</v>
      </c>
      <c r="E615" s="987">
        <v>-14.875</v>
      </c>
      <c r="F615" s="987">
        <v>-1.6528999999999999E-2</v>
      </c>
      <c r="G615" s="987">
        <v>0</v>
      </c>
      <c r="H615" s="986">
        <v>5.7000000000000002E-3</v>
      </c>
      <c r="I615" s="986">
        <f t="shared" si="0"/>
        <v>-2.2228999999999999E-2</v>
      </c>
      <c r="J615" s="988">
        <v>28157</v>
      </c>
    </row>
    <row r="616" spans="1:10">
      <c r="A616" s="987">
        <v>68</v>
      </c>
      <c r="B616" s="988">
        <v>28185</v>
      </c>
      <c r="C616" s="987" t="s">
        <v>4635</v>
      </c>
      <c r="D616" s="987" t="s">
        <v>4636</v>
      </c>
      <c r="E616" s="987">
        <v>-14.875</v>
      </c>
      <c r="F616" s="987">
        <v>2.2185E-2</v>
      </c>
      <c r="G616" s="987">
        <v>0.33</v>
      </c>
      <c r="H616" s="986">
        <v>6.4999999999999997E-3</v>
      </c>
      <c r="I616" s="986">
        <f t="shared" si="0"/>
        <v>1.5685000000000001E-2</v>
      </c>
      <c r="J616" s="988">
        <v>28185</v>
      </c>
    </row>
    <row r="617" spans="1:10">
      <c r="A617" s="987">
        <v>68</v>
      </c>
      <c r="B617" s="988">
        <v>28216</v>
      </c>
      <c r="C617" s="987" t="s">
        <v>4635</v>
      </c>
      <c r="D617" s="987" t="s">
        <v>4636</v>
      </c>
      <c r="E617" s="987">
        <v>-14.125</v>
      </c>
      <c r="F617" s="987">
        <v>-5.042E-2</v>
      </c>
      <c r="G617" s="987">
        <v>0</v>
      </c>
      <c r="H617" s="986">
        <v>6.1000000000000004E-3</v>
      </c>
      <c r="I617" s="986">
        <f t="shared" si="0"/>
        <v>-5.6520000000000001E-2</v>
      </c>
      <c r="J617" s="988">
        <v>28216</v>
      </c>
    </row>
    <row r="618" spans="1:10">
      <c r="A618" s="987">
        <v>68</v>
      </c>
      <c r="B618" s="988">
        <v>28246</v>
      </c>
      <c r="C618" s="987" t="s">
        <v>4635</v>
      </c>
      <c r="D618" s="987" t="s">
        <v>4636</v>
      </c>
      <c r="E618" s="987">
        <v>-13.875</v>
      </c>
      <c r="F618" s="987">
        <v>-1.7698999999999999E-2</v>
      </c>
      <c r="G618" s="987">
        <v>0</v>
      </c>
      <c r="H618" s="986">
        <v>6.7000000000000002E-3</v>
      </c>
      <c r="I618" s="986">
        <f t="shared" si="0"/>
        <v>-2.4399000000000001E-2</v>
      </c>
      <c r="J618" s="988">
        <v>28246</v>
      </c>
    </row>
    <row r="619" spans="1:10">
      <c r="A619" s="987">
        <v>68</v>
      </c>
      <c r="B619" s="988">
        <v>28277</v>
      </c>
      <c r="C619" s="987" t="s">
        <v>4635</v>
      </c>
      <c r="D619" s="987" t="s">
        <v>4636</v>
      </c>
      <c r="E619" s="987">
        <v>-15.375</v>
      </c>
      <c r="F619" s="987">
        <v>0.13189200000000001</v>
      </c>
      <c r="G619" s="987">
        <v>0.33</v>
      </c>
      <c r="H619" s="986">
        <v>6.1999999999999998E-3</v>
      </c>
      <c r="I619" s="986">
        <f t="shared" si="0"/>
        <v>0.125692</v>
      </c>
      <c r="J619" s="988">
        <v>28277</v>
      </c>
    </row>
    <row r="620" spans="1:10">
      <c r="A620" s="987">
        <v>68</v>
      </c>
      <c r="B620" s="988">
        <v>28307</v>
      </c>
      <c r="C620" s="987" t="s">
        <v>4635</v>
      </c>
      <c r="D620" s="987" t="s">
        <v>4636</v>
      </c>
      <c r="E620" s="987">
        <v>-15.5</v>
      </c>
      <c r="F620" s="987">
        <v>8.1300000000000001E-3</v>
      </c>
      <c r="G620" s="987">
        <v>0</v>
      </c>
      <c r="H620" s="986">
        <v>5.8999999999999999E-3</v>
      </c>
      <c r="I620" s="986">
        <f t="shared" si="0"/>
        <v>2.2300000000000002E-3</v>
      </c>
      <c r="J620" s="988">
        <v>28307</v>
      </c>
    </row>
    <row r="621" spans="1:10">
      <c r="A621" s="987">
        <v>68</v>
      </c>
      <c r="B621" s="988">
        <v>28338</v>
      </c>
      <c r="C621" s="987" t="s">
        <v>4635</v>
      </c>
      <c r="D621" s="987" t="s">
        <v>4636</v>
      </c>
      <c r="E621" s="987">
        <v>-17</v>
      </c>
      <c r="F621" s="987">
        <v>9.6773999999999999E-2</v>
      </c>
      <c r="G621" s="987">
        <v>0</v>
      </c>
      <c r="H621" s="986">
        <v>6.7000000000000002E-3</v>
      </c>
      <c r="I621" s="986">
        <f t="shared" si="0"/>
        <v>9.0074000000000001E-2</v>
      </c>
      <c r="J621" s="988">
        <v>28338</v>
      </c>
    </row>
    <row r="622" spans="1:10">
      <c r="A622" s="987">
        <v>68</v>
      </c>
      <c r="B622" s="988">
        <v>28369</v>
      </c>
      <c r="C622" s="987" t="s">
        <v>4635</v>
      </c>
      <c r="D622" s="987" t="s">
        <v>4636</v>
      </c>
      <c r="E622" s="987">
        <v>-17.25</v>
      </c>
      <c r="F622" s="987">
        <v>3.4118000000000002E-2</v>
      </c>
      <c r="G622" s="987">
        <v>0.33</v>
      </c>
      <c r="H622" s="986">
        <v>6.1000000000000004E-3</v>
      </c>
      <c r="I622" s="986">
        <f t="shared" si="0"/>
        <v>2.8018000000000001E-2</v>
      </c>
      <c r="J622" s="988">
        <v>28369</v>
      </c>
    </row>
    <row r="623" spans="1:10">
      <c r="A623" s="987">
        <v>68</v>
      </c>
      <c r="B623" s="988">
        <v>28399</v>
      </c>
      <c r="C623" s="987" t="s">
        <v>4635</v>
      </c>
      <c r="D623" s="987" t="s">
        <v>4636</v>
      </c>
      <c r="E623" s="987">
        <v>-16.375</v>
      </c>
      <c r="F623" s="987">
        <v>-5.0724999999999999E-2</v>
      </c>
      <c r="G623" s="987">
        <v>0</v>
      </c>
      <c r="H623" s="986">
        <v>6.3E-3</v>
      </c>
      <c r="I623" s="986">
        <f t="shared" si="0"/>
        <v>-5.7024999999999999E-2</v>
      </c>
      <c r="J623" s="988">
        <v>28399</v>
      </c>
    </row>
    <row r="624" spans="1:10">
      <c r="A624" s="987">
        <v>68</v>
      </c>
      <c r="B624" s="988">
        <v>28430</v>
      </c>
      <c r="C624" s="987" t="s">
        <v>4635</v>
      </c>
      <c r="D624" s="987" t="s">
        <v>4636</v>
      </c>
      <c r="E624" s="987">
        <v>-15.75</v>
      </c>
      <c r="F624" s="987">
        <v>-3.8168000000000001E-2</v>
      </c>
      <c r="G624" s="987">
        <v>0</v>
      </c>
      <c r="H624" s="986">
        <v>6.3E-3</v>
      </c>
      <c r="I624" s="986">
        <f t="shared" si="0"/>
        <v>-4.4468000000000001E-2</v>
      </c>
      <c r="J624" s="988">
        <v>28430</v>
      </c>
    </row>
    <row r="625" spans="1:10">
      <c r="A625" s="987">
        <v>68</v>
      </c>
      <c r="B625" s="988">
        <v>28460</v>
      </c>
      <c r="C625" s="987" t="s">
        <v>4635</v>
      </c>
      <c r="D625" s="987" t="s">
        <v>4636</v>
      </c>
      <c r="E625" s="987">
        <v>-16.125</v>
      </c>
      <c r="F625" s="987">
        <v>4.4762000000000003E-2</v>
      </c>
      <c r="G625" s="987">
        <v>0.33</v>
      </c>
      <c r="H625" s="986">
        <v>6.1999999999999998E-3</v>
      </c>
      <c r="I625" s="986">
        <f t="shared" si="0"/>
        <v>3.8562000000000006E-2</v>
      </c>
      <c r="J625" s="988">
        <v>28460</v>
      </c>
    </row>
    <row r="626" spans="1:10">
      <c r="A626" s="987">
        <v>68</v>
      </c>
      <c r="B626" s="988">
        <v>28491</v>
      </c>
      <c r="C626" s="987" t="s">
        <v>4635</v>
      </c>
      <c r="D626" s="987" t="s">
        <v>4636</v>
      </c>
      <c r="E626" s="987">
        <v>-16.875</v>
      </c>
      <c r="F626" s="987">
        <v>4.6511999999999998E-2</v>
      </c>
      <c r="G626" s="987">
        <v>0</v>
      </c>
      <c r="H626" s="986">
        <v>6.8999999999999999E-3</v>
      </c>
      <c r="I626" s="986">
        <f t="shared" si="0"/>
        <v>3.9611999999999994E-2</v>
      </c>
      <c r="J626" s="988">
        <v>28491</v>
      </c>
    </row>
    <row r="627" spans="1:10">
      <c r="A627" s="987">
        <v>68</v>
      </c>
      <c r="B627" s="988">
        <v>28522</v>
      </c>
      <c r="C627" s="987" t="s">
        <v>4635</v>
      </c>
      <c r="D627" s="987" t="s">
        <v>4636</v>
      </c>
      <c r="E627" s="987">
        <v>-16</v>
      </c>
      <c r="F627" s="987">
        <v>-5.1852000000000002E-2</v>
      </c>
      <c r="G627" s="987">
        <v>0</v>
      </c>
      <c r="H627" s="986">
        <v>6.0000000000000001E-3</v>
      </c>
      <c r="I627" s="986">
        <f t="shared" si="0"/>
        <v>-5.7852000000000001E-2</v>
      </c>
      <c r="J627" s="988">
        <v>28522</v>
      </c>
    </row>
    <row r="628" spans="1:10">
      <c r="A628" s="987">
        <v>68</v>
      </c>
      <c r="B628" s="988">
        <v>28550</v>
      </c>
      <c r="C628" s="987" t="s">
        <v>4635</v>
      </c>
      <c r="D628" s="987" t="s">
        <v>4636</v>
      </c>
      <c r="E628" s="987">
        <v>-15.875</v>
      </c>
      <c r="F628" s="987">
        <v>1.2813E-2</v>
      </c>
      <c r="G628" s="987">
        <v>0.33</v>
      </c>
      <c r="H628" s="986">
        <v>6.8999999999999999E-3</v>
      </c>
      <c r="I628" s="986">
        <f t="shared" si="0"/>
        <v>5.9129999999999999E-3</v>
      </c>
      <c r="J628" s="988">
        <v>28550</v>
      </c>
    </row>
    <row r="629" spans="1:10">
      <c r="A629" s="987">
        <v>68</v>
      </c>
      <c r="B629" s="988">
        <v>28581</v>
      </c>
      <c r="C629" s="987" t="s">
        <v>4635</v>
      </c>
      <c r="D629" s="987" t="s">
        <v>4636</v>
      </c>
      <c r="E629" s="987">
        <v>-16.5</v>
      </c>
      <c r="F629" s="987">
        <v>3.9370000000000002E-2</v>
      </c>
      <c r="G629" s="987">
        <v>0</v>
      </c>
      <c r="H629" s="986">
        <v>6.3E-3</v>
      </c>
      <c r="I629" s="986">
        <f t="shared" si="0"/>
        <v>3.3070000000000002E-2</v>
      </c>
      <c r="J629" s="988">
        <v>28581</v>
      </c>
    </row>
    <row r="630" spans="1:10">
      <c r="A630" s="987">
        <v>68</v>
      </c>
      <c r="B630" s="988">
        <v>28611</v>
      </c>
      <c r="C630" s="987" t="s">
        <v>4635</v>
      </c>
      <c r="D630" s="987" t="s">
        <v>4636</v>
      </c>
      <c r="E630" s="987">
        <v>-16.25</v>
      </c>
      <c r="F630" s="987">
        <v>-1.5152000000000001E-2</v>
      </c>
      <c r="G630" s="987">
        <v>0</v>
      </c>
      <c r="H630" s="986">
        <v>7.4999999999999997E-3</v>
      </c>
      <c r="I630" s="986">
        <f t="shared" ref="I630:I693" si="1">F630-H630</f>
        <v>-2.2651999999999999E-2</v>
      </c>
      <c r="J630" s="988">
        <v>28611</v>
      </c>
    </row>
    <row r="631" spans="1:10">
      <c r="A631" s="987">
        <v>68</v>
      </c>
      <c r="B631" s="988">
        <v>28642</v>
      </c>
      <c r="C631" s="987" t="s">
        <v>4635</v>
      </c>
      <c r="D631" s="987" t="s">
        <v>4636</v>
      </c>
      <c r="E631" s="987">
        <v>-15.375</v>
      </c>
      <c r="F631" s="987">
        <v>-3.1691999999999998E-2</v>
      </c>
      <c r="G631" s="987">
        <v>0.36</v>
      </c>
      <c r="H631" s="986">
        <v>6.8999999999999999E-3</v>
      </c>
      <c r="I631" s="986">
        <f t="shared" si="1"/>
        <v>-3.8592000000000001E-2</v>
      </c>
      <c r="J631" s="988">
        <v>28642</v>
      </c>
    </row>
    <row r="632" spans="1:10">
      <c r="A632" s="987">
        <v>68</v>
      </c>
      <c r="B632" s="988">
        <v>28672</v>
      </c>
      <c r="C632" s="987" t="s">
        <v>4635</v>
      </c>
      <c r="D632" s="987" t="s">
        <v>4636</v>
      </c>
      <c r="E632" s="987">
        <v>-15.875</v>
      </c>
      <c r="F632" s="987">
        <v>3.252E-2</v>
      </c>
      <c r="G632" s="987">
        <v>0</v>
      </c>
      <c r="H632" s="986">
        <v>7.3000000000000001E-3</v>
      </c>
      <c r="I632" s="986">
        <f t="shared" si="1"/>
        <v>2.5219999999999999E-2</v>
      </c>
      <c r="J632" s="988">
        <v>28672</v>
      </c>
    </row>
    <row r="633" spans="1:10">
      <c r="A633" s="987">
        <v>68</v>
      </c>
      <c r="B633" s="988">
        <v>28703</v>
      </c>
      <c r="C633" s="987" t="s">
        <v>4635</v>
      </c>
      <c r="D633" s="987" t="s">
        <v>4636</v>
      </c>
      <c r="E633" s="987">
        <v>-16.125</v>
      </c>
      <c r="F633" s="987">
        <v>1.5748000000000002E-2</v>
      </c>
      <c r="G633" s="987">
        <v>0</v>
      </c>
      <c r="H633" s="986">
        <v>7.0000000000000001E-3</v>
      </c>
      <c r="I633" s="986">
        <f t="shared" si="1"/>
        <v>8.7480000000000023E-3</v>
      </c>
      <c r="J633" s="988">
        <v>28703</v>
      </c>
    </row>
    <row r="634" spans="1:10">
      <c r="A634" s="987">
        <v>68</v>
      </c>
      <c r="B634" s="988">
        <v>28734</v>
      </c>
      <c r="C634" s="987" t="s">
        <v>4635</v>
      </c>
      <c r="D634" s="987" t="s">
        <v>4636</v>
      </c>
      <c r="E634" s="987">
        <v>-16.75</v>
      </c>
      <c r="F634" s="987">
        <v>6.1085E-2</v>
      </c>
      <c r="G634" s="987">
        <v>0.36</v>
      </c>
      <c r="H634" s="986">
        <v>6.4999999999999997E-3</v>
      </c>
      <c r="I634" s="986">
        <f t="shared" si="1"/>
        <v>5.4585000000000002E-2</v>
      </c>
      <c r="J634" s="988">
        <v>28734</v>
      </c>
    </row>
    <row r="635" spans="1:10">
      <c r="A635" s="987">
        <v>68</v>
      </c>
      <c r="B635" s="988">
        <v>28764</v>
      </c>
      <c r="C635" s="987" t="s">
        <v>4635</v>
      </c>
      <c r="D635" s="987" t="s">
        <v>4636</v>
      </c>
      <c r="E635" s="987">
        <v>-14.25</v>
      </c>
      <c r="F635" s="987">
        <v>-0.149254</v>
      </c>
      <c r="G635" s="987">
        <v>0</v>
      </c>
      <c r="H635" s="986">
        <v>7.3000000000000001E-3</v>
      </c>
      <c r="I635" s="986">
        <f t="shared" si="1"/>
        <v>-0.156554</v>
      </c>
      <c r="J635" s="988">
        <v>28764</v>
      </c>
    </row>
    <row r="636" spans="1:10">
      <c r="A636" s="987">
        <v>68</v>
      </c>
      <c r="B636" s="988">
        <v>28795</v>
      </c>
      <c r="C636" s="987" t="s">
        <v>4635</v>
      </c>
      <c r="D636" s="987" t="s">
        <v>4636</v>
      </c>
      <c r="E636" s="987">
        <v>-14.75</v>
      </c>
      <c r="F636" s="987">
        <v>3.5088000000000001E-2</v>
      </c>
      <c r="G636" s="987">
        <v>0</v>
      </c>
      <c r="H636" s="986">
        <v>7.1000000000000004E-3</v>
      </c>
      <c r="I636" s="986">
        <f t="shared" si="1"/>
        <v>2.7987999999999999E-2</v>
      </c>
      <c r="J636" s="988">
        <v>28795</v>
      </c>
    </row>
    <row r="637" spans="1:10">
      <c r="A637" s="987">
        <v>68</v>
      </c>
      <c r="B637" s="988">
        <v>28825</v>
      </c>
      <c r="C637" s="987" t="s">
        <v>4635</v>
      </c>
      <c r="D637" s="987" t="s">
        <v>4636</v>
      </c>
      <c r="E637" s="987">
        <v>-14.75</v>
      </c>
      <c r="F637" s="987">
        <v>2.4407000000000002E-2</v>
      </c>
      <c r="G637" s="987">
        <v>0.36</v>
      </c>
      <c r="H637" s="986">
        <v>6.7999999999999996E-3</v>
      </c>
      <c r="I637" s="986">
        <f t="shared" si="1"/>
        <v>1.7607000000000001E-2</v>
      </c>
      <c r="J637" s="988">
        <v>28825</v>
      </c>
    </row>
    <row r="638" spans="1:10">
      <c r="A638" s="987">
        <v>68</v>
      </c>
      <c r="B638" s="988">
        <v>28856</v>
      </c>
      <c r="C638" s="987" t="s">
        <v>4635</v>
      </c>
      <c r="D638" s="987" t="s">
        <v>4636</v>
      </c>
      <c r="E638" s="987">
        <v>-16.25</v>
      </c>
      <c r="F638" s="987">
        <v>0.10169499999999999</v>
      </c>
      <c r="G638" s="987">
        <v>0</v>
      </c>
      <c r="H638" s="986">
        <v>7.9000000000000008E-3</v>
      </c>
      <c r="I638" s="986">
        <f t="shared" si="1"/>
        <v>9.3794999999999989E-2</v>
      </c>
      <c r="J638" s="988">
        <v>28856</v>
      </c>
    </row>
    <row r="639" spans="1:10">
      <c r="A639" s="987">
        <v>68</v>
      </c>
      <c r="B639" s="988">
        <v>28887</v>
      </c>
      <c r="C639" s="987" t="s">
        <v>4635</v>
      </c>
      <c r="D639" s="987" t="s">
        <v>4636</v>
      </c>
      <c r="E639" s="987">
        <v>-16</v>
      </c>
      <c r="F639" s="987">
        <v>-1.5384999999999999E-2</v>
      </c>
      <c r="G639" s="987">
        <v>0</v>
      </c>
      <c r="H639" s="986">
        <v>6.4999999999999997E-3</v>
      </c>
      <c r="I639" s="986">
        <f t="shared" si="1"/>
        <v>-2.1884999999999998E-2</v>
      </c>
      <c r="J639" s="988">
        <v>28887</v>
      </c>
    </row>
    <row r="640" spans="1:10">
      <c r="A640" s="987">
        <v>68</v>
      </c>
      <c r="B640" s="988">
        <v>28915</v>
      </c>
      <c r="C640" s="987" t="s">
        <v>4635</v>
      </c>
      <c r="D640" s="987" t="s">
        <v>4636</v>
      </c>
      <c r="E640" s="987">
        <v>-15</v>
      </c>
      <c r="F640" s="987">
        <v>-0.04</v>
      </c>
      <c r="G640" s="987">
        <v>0.36</v>
      </c>
      <c r="H640" s="986">
        <v>7.4000000000000003E-3</v>
      </c>
      <c r="I640" s="986">
        <f t="shared" si="1"/>
        <v>-4.7399999999999998E-2</v>
      </c>
      <c r="J640" s="988">
        <v>28915</v>
      </c>
    </row>
    <row r="641" spans="1:10">
      <c r="A641" s="987">
        <v>68</v>
      </c>
      <c r="B641" s="988">
        <v>28946</v>
      </c>
      <c r="C641" s="987" t="s">
        <v>4635</v>
      </c>
      <c r="D641" s="987" t="s">
        <v>4636</v>
      </c>
      <c r="E641" s="987">
        <v>-14.625</v>
      </c>
      <c r="F641" s="987">
        <v>-2.5000000000000001E-2</v>
      </c>
      <c r="G641" s="987">
        <v>0</v>
      </c>
      <c r="H641" s="986">
        <v>7.6E-3</v>
      </c>
      <c r="I641" s="986">
        <f t="shared" si="1"/>
        <v>-3.2600000000000004E-2</v>
      </c>
      <c r="J641" s="988">
        <v>28946</v>
      </c>
    </row>
    <row r="642" spans="1:10">
      <c r="A642" s="987">
        <v>68</v>
      </c>
      <c r="B642" s="988">
        <v>28976</v>
      </c>
      <c r="C642" s="987" t="s">
        <v>4635</v>
      </c>
      <c r="D642" s="987" t="s">
        <v>4636</v>
      </c>
      <c r="E642" s="987">
        <v>-14.875</v>
      </c>
      <c r="F642" s="987">
        <v>1.7094000000000002E-2</v>
      </c>
      <c r="G642" s="987">
        <v>0</v>
      </c>
      <c r="H642" s="986">
        <v>7.7000000000000002E-3</v>
      </c>
      <c r="I642" s="986">
        <f t="shared" si="1"/>
        <v>9.3940000000000013E-3</v>
      </c>
      <c r="J642" s="988">
        <v>28976</v>
      </c>
    </row>
    <row r="643" spans="1:10">
      <c r="A643" s="987">
        <v>68</v>
      </c>
      <c r="B643" s="988">
        <v>29007</v>
      </c>
      <c r="C643" s="987" t="s">
        <v>4635</v>
      </c>
      <c r="D643" s="987" t="s">
        <v>4636</v>
      </c>
      <c r="E643" s="987">
        <v>-15.375</v>
      </c>
      <c r="F643" s="987">
        <v>5.7814999999999998E-2</v>
      </c>
      <c r="G643" s="987">
        <v>0.36</v>
      </c>
      <c r="H643" s="986">
        <v>7.1000000000000004E-3</v>
      </c>
      <c r="I643" s="986">
        <f t="shared" si="1"/>
        <v>5.0714999999999996E-2</v>
      </c>
      <c r="J643" s="988">
        <v>29007</v>
      </c>
    </row>
    <row r="644" spans="1:10">
      <c r="A644" s="987">
        <v>68</v>
      </c>
      <c r="B644" s="988">
        <v>29037</v>
      </c>
      <c r="C644" s="987" t="s">
        <v>4635</v>
      </c>
      <c r="D644" s="987" t="s">
        <v>4636</v>
      </c>
      <c r="E644" s="987">
        <v>-16.875</v>
      </c>
      <c r="F644" s="987">
        <v>9.7560999999999995E-2</v>
      </c>
      <c r="G644" s="987">
        <v>0</v>
      </c>
      <c r="H644" s="986">
        <v>7.6E-3</v>
      </c>
      <c r="I644" s="986">
        <f t="shared" si="1"/>
        <v>8.9960999999999999E-2</v>
      </c>
      <c r="J644" s="988">
        <v>29037</v>
      </c>
    </row>
    <row r="645" spans="1:10">
      <c r="A645" s="987">
        <v>68</v>
      </c>
      <c r="B645" s="988">
        <v>29068</v>
      </c>
      <c r="C645" s="987" t="s">
        <v>4635</v>
      </c>
      <c r="D645" s="987" t="s">
        <v>4636</v>
      </c>
      <c r="E645" s="987">
        <v>-17</v>
      </c>
      <c r="F645" s="987">
        <v>7.4070000000000004E-3</v>
      </c>
      <c r="G645" s="987">
        <v>0</v>
      </c>
      <c r="H645" s="986">
        <v>7.3000000000000001E-3</v>
      </c>
      <c r="I645" s="986">
        <f t="shared" si="1"/>
        <v>1.0700000000000032E-4</v>
      </c>
      <c r="J645" s="988">
        <v>29068</v>
      </c>
    </row>
    <row r="646" spans="1:10">
      <c r="A646" s="987">
        <v>68</v>
      </c>
      <c r="B646" s="988">
        <v>29099</v>
      </c>
      <c r="C646" s="987" t="s">
        <v>4635</v>
      </c>
      <c r="D646" s="987" t="s">
        <v>4636</v>
      </c>
      <c r="E646" s="987">
        <v>-17.25</v>
      </c>
      <c r="F646" s="987">
        <v>3.7059000000000002E-2</v>
      </c>
      <c r="G646" s="987">
        <v>0.38</v>
      </c>
      <c r="H646" s="986">
        <v>6.7999999999999996E-3</v>
      </c>
      <c r="I646" s="986">
        <f t="shared" si="1"/>
        <v>3.0259000000000001E-2</v>
      </c>
      <c r="J646" s="988">
        <v>29099</v>
      </c>
    </row>
    <row r="647" spans="1:10">
      <c r="A647" s="987">
        <v>68</v>
      </c>
      <c r="B647" s="988">
        <v>29129</v>
      </c>
      <c r="C647" s="987" t="s">
        <v>4635</v>
      </c>
      <c r="D647" s="987" t="s">
        <v>4636</v>
      </c>
      <c r="E647" s="987">
        <v>-15</v>
      </c>
      <c r="F647" s="987">
        <v>-0.130435</v>
      </c>
      <c r="G647" s="987">
        <v>0</v>
      </c>
      <c r="H647" s="986">
        <v>8.2000000000000007E-3</v>
      </c>
      <c r="I647" s="986">
        <f t="shared" si="1"/>
        <v>-0.13863500000000001</v>
      </c>
      <c r="J647" s="988">
        <v>29129</v>
      </c>
    </row>
    <row r="648" spans="1:10">
      <c r="A648" s="987">
        <v>68</v>
      </c>
      <c r="B648" s="988">
        <v>29160</v>
      </c>
      <c r="C648" s="987" t="s">
        <v>4635</v>
      </c>
      <c r="D648" s="987" t="s">
        <v>4636</v>
      </c>
      <c r="E648" s="987">
        <v>-15.875</v>
      </c>
      <c r="F648" s="987">
        <v>5.8333000000000003E-2</v>
      </c>
      <c r="G648" s="987">
        <v>0</v>
      </c>
      <c r="H648" s="986">
        <v>8.3000000000000001E-3</v>
      </c>
      <c r="I648" s="986">
        <f t="shared" si="1"/>
        <v>5.0033000000000001E-2</v>
      </c>
      <c r="J648" s="988">
        <v>29160</v>
      </c>
    </row>
    <row r="649" spans="1:10">
      <c r="A649" s="987">
        <v>68</v>
      </c>
      <c r="B649" s="988">
        <v>29190</v>
      </c>
      <c r="C649" s="987" t="s">
        <v>4635</v>
      </c>
      <c r="D649" s="987" t="s">
        <v>4636</v>
      </c>
      <c r="E649" s="987">
        <v>-17.125</v>
      </c>
      <c r="F649" s="987">
        <v>0.102677</v>
      </c>
      <c r="G649" s="987">
        <v>0.38</v>
      </c>
      <c r="H649" s="986">
        <v>8.3000000000000001E-3</v>
      </c>
      <c r="I649" s="986">
        <f t="shared" si="1"/>
        <v>9.4377000000000003E-2</v>
      </c>
      <c r="J649" s="988">
        <v>29190</v>
      </c>
    </row>
    <row r="650" spans="1:10">
      <c r="A650" s="987">
        <v>68</v>
      </c>
      <c r="B650" s="988">
        <v>29221</v>
      </c>
      <c r="C650" s="987" t="s">
        <v>4635</v>
      </c>
      <c r="D650" s="987" t="s">
        <v>4636</v>
      </c>
      <c r="E650" s="987">
        <v>-15.625</v>
      </c>
      <c r="F650" s="987">
        <v>-8.7591000000000002E-2</v>
      </c>
      <c r="G650" s="987">
        <v>0</v>
      </c>
      <c r="H650" s="986">
        <v>8.3000000000000001E-3</v>
      </c>
      <c r="I650" s="986">
        <f t="shared" si="1"/>
        <v>-9.5891000000000004E-2</v>
      </c>
      <c r="J650" s="988">
        <v>29221</v>
      </c>
    </row>
    <row r="651" spans="1:10">
      <c r="A651" s="987">
        <v>68</v>
      </c>
      <c r="B651" s="988">
        <v>29252</v>
      </c>
      <c r="C651" s="987" t="s">
        <v>4635</v>
      </c>
      <c r="D651" s="987" t="s">
        <v>4636</v>
      </c>
      <c r="E651" s="987">
        <v>-14.75</v>
      </c>
      <c r="F651" s="987">
        <v>-5.6000000000000001E-2</v>
      </c>
      <c r="G651" s="987">
        <v>0</v>
      </c>
      <c r="H651" s="986">
        <v>8.3999999999999995E-3</v>
      </c>
      <c r="I651" s="986">
        <f t="shared" si="1"/>
        <v>-6.4399999999999999E-2</v>
      </c>
      <c r="J651" s="988">
        <v>29252</v>
      </c>
    </row>
    <row r="652" spans="1:10">
      <c r="A652" s="987">
        <v>68</v>
      </c>
      <c r="B652" s="988">
        <v>29281</v>
      </c>
      <c r="C652" s="987" t="s">
        <v>4635</v>
      </c>
      <c r="D652" s="987" t="s">
        <v>4636</v>
      </c>
      <c r="E652" s="987">
        <v>-13.625</v>
      </c>
      <c r="F652" s="987">
        <v>-5.0507999999999997E-2</v>
      </c>
      <c r="G652" s="987">
        <v>0.38</v>
      </c>
      <c r="H652" s="986">
        <v>9.9000000000000008E-3</v>
      </c>
      <c r="I652" s="986">
        <f t="shared" si="1"/>
        <v>-6.0407999999999996E-2</v>
      </c>
      <c r="J652" s="988">
        <v>29281</v>
      </c>
    </row>
    <row r="653" spans="1:10">
      <c r="A653" s="987">
        <v>68</v>
      </c>
      <c r="B653" s="988">
        <v>29312</v>
      </c>
      <c r="C653" s="987" t="s">
        <v>4635</v>
      </c>
      <c r="D653" s="987" t="s">
        <v>4636</v>
      </c>
      <c r="E653" s="987">
        <v>-16.25</v>
      </c>
      <c r="F653" s="987">
        <v>0.192661</v>
      </c>
      <c r="G653" s="987">
        <v>0</v>
      </c>
      <c r="H653" s="986">
        <v>0.01</v>
      </c>
      <c r="I653" s="986">
        <f t="shared" si="1"/>
        <v>0.18266099999999999</v>
      </c>
      <c r="J653" s="988">
        <v>29312</v>
      </c>
    </row>
    <row r="654" spans="1:10">
      <c r="A654" s="987">
        <v>68</v>
      </c>
      <c r="B654" s="988">
        <v>29342</v>
      </c>
      <c r="C654" s="987" t="s">
        <v>4635</v>
      </c>
      <c r="D654" s="987" t="s">
        <v>4636</v>
      </c>
      <c r="E654" s="987">
        <v>-15.875</v>
      </c>
      <c r="F654" s="987">
        <v>-2.3077E-2</v>
      </c>
      <c r="G654" s="987">
        <v>0</v>
      </c>
      <c r="H654" s="986">
        <v>8.6999999999999994E-3</v>
      </c>
      <c r="I654" s="986">
        <f t="shared" si="1"/>
        <v>-3.1777E-2</v>
      </c>
      <c r="J654" s="988">
        <v>29342</v>
      </c>
    </row>
    <row r="655" spans="1:10">
      <c r="A655" s="987">
        <v>68</v>
      </c>
      <c r="B655" s="988">
        <v>29373</v>
      </c>
      <c r="C655" s="987" t="s">
        <v>4635</v>
      </c>
      <c r="D655" s="987" t="s">
        <v>4636</v>
      </c>
      <c r="E655" s="987">
        <v>-15.875</v>
      </c>
      <c r="F655" s="987">
        <v>2.3937E-2</v>
      </c>
      <c r="G655" s="987">
        <v>0.38</v>
      </c>
      <c r="H655" s="986">
        <v>8.6E-3</v>
      </c>
      <c r="I655" s="986">
        <f t="shared" si="1"/>
        <v>1.5337E-2</v>
      </c>
      <c r="J655" s="988">
        <v>29373</v>
      </c>
    </row>
    <row r="656" spans="1:10">
      <c r="A656" s="987">
        <v>68</v>
      </c>
      <c r="B656" s="988">
        <v>29403</v>
      </c>
      <c r="C656" s="987" t="s">
        <v>4635</v>
      </c>
      <c r="D656" s="987" t="s">
        <v>4636</v>
      </c>
      <c r="E656" s="987">
        <v>-17.3125</v>
      </c>
      <c r="F656" s="987">
        <v>9.0551000000000006E-2</v>
      </c>
      <c r="G656" s="987">
        <v>0</v>
      </c>
      <c r="H656" s="986">
        <v>8.3999999999999995E-3</v>
      </c>
      <c r="I656" s="986">
        <f t="shared" si="1"/>
        <v>8.2151000000000002E-2</v>
      </c>
      <c r="J656" s="988">
        <v>29403</v>
      </c>
    </row>
    <row r="657" spans="1:10">
      <c r="A657" s="987">
        <v>68</v>
      </c>
      <c r="B657" s="988">
        <v>29434</v>
      </c>
      <c r="C657" s="987" t="s">
        <v>4635</v>
      </c>
      <c r="D657" s="987" t="s">
        <v>4636</v>
      </c>
      <c r="E657" s="987">
        <v>-17.6875</v>
      </c>
      <c r="F657" s="987">
        <v>2.1661E-2</v>
      </c>
      <c r="G657" s="987">
        <v>0</v>
      </c>
      <c r="H657" s="986">
        <v>8.0999999999999996E-3</v>
      </c>
      <c r="I657" s="986">
        <f t="shared" si="1"/>
        <v>1.3561E-2</v>
      </c>
      <c r="J657" s="988">
        <v>29434</v>
      </c>
    </row>
    <row r="658" spans="1:10">
      <c r="A658" s="987">
        <v>68</v>
      </c>
      <c r="B658" s="988">
        <v>29465</v>
      </c>
      <c r="C658" s="987" t="s">
        <v>4635</v>
      </c>
      <c r="D658" s="987" t="s">
        <v>4636</v>
      </c>
      <c r="E658" s="987">
        <v>-16.4375</v>
      </c>
      <c r="F658" s="987">
        <v>-4.8057000000000002E-2</v>
      </c>
      <c r="G658" s="987">
        <v>0.4</v>
      </c>
      <c r="H658" s="986">
        <v>9.7000000000000003E-3</v>
      </c>
      <c r="I658" s="986">
        <f t="shared" si="1"/>
        <v>-5.7757000000000003E-2</v>
      </c>
      <c r="J658" s="988">
        <v>29465</v>
      </c>
    </row>
    <row r="659" spans="1:10">
      <c r="A659" s="987">
        <v>68</v>
      </c>
      <c r="B659" s="988">
        <v>29495</v>
      </c>
      <c r="C659" s="987" t="s">
        <v>4635</v>
      </c>
      <c r="D659" s="987" t="s">
        <v>4636</v>
      </c>
      <c r="E659" s="987">
        <v>-15.5625</v>
      </c>
      <c r="F659" s="987">
        <v>-2.4829E-2</v>
      </c>
      <c r="G659" s="987">
        <v>0</v>
      </c>
      <c r="H659" s="986">
        <v>9.7000000000000003E-3</v>
      </c>
      <c r="I659" s="986">
        <f t="shared" si="1"/>
        <v>-3.4529000000000004E-2</v>
      </c>
      <c r="J659" s="988">
        <v>29495</v>
      </c>
    </row>
    <row r="660" spans="1:10">
      <c r="A660" s="987">
        <v>68</v>
      </c>
      <c r="B660" s="988">
        <v>29526</v>
      </c>
      <c r="C660" s="987" t="s">
        <v>4635</v>
      </c>
      <c r="D660" s="987" t="s">
        <v>4636</v>
      </c>
      <c r="E660" s="987">
        <v>-15.4375</v>
      </c>
      <c r="F660" s="987">
        <v>-8.0319999999999992E-3</v>
      </c>
      <c r="G660" s="987">
        <v>0</v>
      </c>
      <c r="H660" s="986">
        <v>9.1000000000000004E-3</v>
      </c>
      <c r="I660" s="986">
        <f t="shared" si="1"/>
        <v>-1.7132000000000001E-2</v>
      </c>
      <c r="J660" s="988">
        <v>29526</v>
      </c>
    </row>
    <row r="661" spans="1:10">
      <c r="A661" s="987">
        <v>68</v>
      </c>
      <c r="B661" s="988">
        <v>29556</v>
      </c>
      <c r="C661" s="987" t="s">
        <v>4635</v>
      </c>
      <c r="D661" s="987" t="s">
        <v>4636</v>
      </c>
      <c r="E661" s="987">
        <v>-16.5625</v>
      </c>
      <c r="F661" s="987">
        <v>9.8784999999999998E-2</v>
      </c>
      <c r="G661" s="987">
        <v>0.4</v>
      </c>
      <c r="H661" s="986">
        <v>1.0800000000000001E-2</v>
      </c>
      <c r="I661" s="986">
        <f t="shared" si="1"/>
        <v>8.7984999999999994E-2</v>
      </c>
      <c r="J661" s="988">
        <v>29556</v>
      </c>
    </row>
    <row r="662" spans="1:10">
      <c r="A662" s="987">
        <v>68</v>
      </c>
      <c r="B662" s="988">
        <v>29587</v>
      </c>
      <c r="C662" s="987" t="s">
        <v>4635</v>
      </c>
      <c r="D662" s="987" t="s">
        <v>4636</v>
      </c>
      <c r="E662" s="987">
        <v>-16.8125</v>
      </c>
      <c r="F662" s="987">
        <v>1.5094E-2</v>
      </c>
      <c r="G662" s="987">
        <v>0</v>
      </c>
      <c r="H662" s="986">
        <v>9.4000000000000004E-3</v>
      </c>
      <c r="I662" s="986">
        <f t="shared" si="1"/>
        <v>5.6939999999999994E-3</v>
      </c>
      <c r="J662" s="988">
        <v>29587</v>
      </c>
    </row>
    <row r="663" spans="1:10">
      <c r="A663" s="987">
        <v>68</v>
      </c>
      <c r="B663" s="988">
        <v>29618</v>
      </c>
      <c r="C663" s="987" t="s">
        <v>4635</v>
      </c>
      <c r="D663" s="987" t="s">
        <v>4636</v>
      </c>
      <c r="E663" s="987">
        <v>-16.875</v>
      </c>
      <c r="F663" s="987">
        <v>3.7169999999999998E-3</v>
      </c>
      <c r="G663" s="987">
        <v>0</v>
      </c>
      <c r="H663" s="986">
        <v>8.8000000000000005E-3</v>
      </c>
      <c r="I663" s="986">
        <f t="shared" si="1"/>
        <v>-5.0830000000000007E-3</v>
      </c>
      <c r="J663" s="988">
        <v>29618</v>
      </c>
    </row>
    <row r="664" spans="1:10">
      <c r="A664" s="987">
        <v>68</v>
      </c>
      <c r="B664" s="988">
        <v>29646</v>
      </c>
      <c r="C664" s="987" t="s">
        <v>4635</v>
      </c>
      <c r="D664" s="987" t="s">
        <v>4636</v>
      </c>
      <c r="E664" s="987">
        <v>-17.1875</v>
      </c>
      <c r="F664" s="987">
        <v>4.2222000000000003E-2</v>
      </c>
      <c r="G664" s="987">
        <v>0.4</v>
      </c>
      <c r="H664" s="986">
        <v>1.11E-2</v>
      </c>
      <c r="I664" s="986">
        <f t="shared" si="1"/>
        <v>3.1122000000000004E-2</v>
      </c>
      <c r="J664" s="988">
        <v>29646</v>
      </c>
    </row>
    <row r="665" spans="1:10">
      <c r="A665" s="987">
        <v>68</v>
      </c>
      <c r="B665" s="988">
        <v>29677</v>
      </c>
      <c r="C665" s="987" t="s">
        <v>4635</v>
      </c>
      <c r="D665" s="987" t="s">
        <v>4636</v>
      </c>
      <c r="E665" s="987">
        <v>-15.6875</v>
      </c>
      <c r="F665" s="987">
        <v>-8.7273000000000003E-2</v>
      </c>
      <c r="G665" s="987">
        <v>0</v>
      </c>
      <c r="H665" s="986">
        <v>1.01E-2</v>
      </c>
      <c r="I665" s="986">
        <f t="shared" si="1"/>
        <v>-9.7373000000000001E-2</v>
      </c>
      <c r="J665" s="988">
        <v>29677</v>
      </c>
    </row>
    <row r="666" spans="1:10">
      <c r="A666" s="987">
        <v>68</v>
      </c>
      <c r="B666" s="988">
        <v>29707</v>
      </c>
      <c r="C666" s="987" t="s">
        <v>4635</v>
      </c>
      <c r="D666" s="987" t="s">
        <v>4636</v>
      </c>
      <c r="E666" s="987">
        <v>-15.125</v>
      </c>
      <c r="F666" s="987">
        <v>-3.5857E-2</v>
      </c>
      <c r="G666" s="987">
        <v>0</v>
      </c>
      <c r="H666" s="986">
        <v>1.04E-2</v>
      </c>
      <c r="I666" s="986">
        <f t="shared" si="1"/>
        <v>-4.6257E-2</v>
      </c>
      <c r="J666" s="988">
        <v>29707</v>
      </c>
    </row>
    <row r="667" spans="1:10">
      <c r="A667" s="987">
        <v>68</v>
      </c>
      <c r="B667" s="988">
        <v>29738</v>
      </c>
      <c r="C667" s="987" t="s">
        <v>4635</v>
      </c>
      <c r="D667" s="987" t="s">
        <v>4636</v>
      </c>
      <c r="E667" s="987">
        <v>-13.8125</v>
      </c>
      <c r="F667" s="987">
        <v>-6.0331000000000003E-2</v>
      </c>
      <c r="G667" s="987">
        <v>0.4</v>
      </c>
      <c r="H667" s="986">
        <v>1.09E-2</v>
      </c>
      <c r="I667" s="986">
        <f t="shared" si="1"/>
        <v>-7.1231000000000003E-2</v>
      </c>
      <c r="J667" s="988">
        <v>29738</v>
      </c>
    </row>
    <row r="668" spans="1:10">
      <c r="A668" s="987">
        <v>68</v>
      </c>
      <c r="B668" s="988">
        <v>29768</v>
      </c>
      <c r="C668" s="987" t="s">
        <v>4635</v>
      </c>
      <c r="D668" s="987" t="s">
        <v>4636</v>
      </c>
      <c r="E668" s="987">
        <v>-13.75</v>
      </c>
      <c r="F668" s="987">
        <v>-4.5250000000000004E-3</v>
      </c>
      <c r="G668" s="987">
        <v>0</v>
      </c>
      <c r="H668" s="986">
        <v>1.09E-2</v>
      </c>
      <c r="I668" s="986">
        <f t="shared" si="1"/>
        <v>-1.5425000000000001E-2</v>
      </c>
      <c r="J668" s="988">
        <v>29768</v>
      </c>
    </row>
    <row r="669" spans="1:10">
      <c r="A669" s="987">
        <v>68</v>
      </c>
      <c r="B669" s="988">
        <v>29799</v>
      </c>
      <c r="C669" s="987" t="s">
        <v>4635</v>
      </c>
      <c r="D669" s="987" t="s">
        <v>4636</v>
      </c>
      <c r="E669" s="987">
        <v>-13.5625</v>
      </c>
      <c r="F669" s="987">
        <v>-1.3636000000000001E-2</v>
      </c>
      <c r="G669" s="987">
        <v>0</v>
      </c>
      <c r="H669" s="986">
        <v>1.0999999999999999E-2</v>
      </c>
      <c r="I669" s="986">
        <f t="shared" si="1"/>
        <v>-2.4635999999999998E-2</v>
      </c>
      <c r="J669" s="988">
        <v>29799</v>
      </c>
    </row>
    <row r="670" spans="1:10">
      <c r="A670" s="987">
        <v>68</v>
      </c>
      <c r="B670" s="988">
        <v>29830</v>
      </c>
      <c r="C670" s="987" t="s">
        <v>4635</v>
      </c>
      <c r="D670" s="987" t="s">
        <v>4636</v>
      </c>
      <c r="E670" s="987">
        <v>-12.375</v>
      </c>
      <c r="F670" s="987">
        <v>-5.6590000000000001E-2</v>
      </c>
      <c r="G670" s="987">
        <v>0.42</v>
      </c>
      <c r="H670" s="986">
        <v>1.14E-2</v>
      </c>
      <c r="I670" s="986">
        <f t="shared" si="1"/>
        <v>-6.7989999999999995E-2</v>
      </c>
      <c r="J670" s="988">
        <v>29830</v>
      </c>
    </row>
    <row r="671" spans="1:10">
      <c r="A671" s="987">
        <v>68</v>
      </c>
      <c r="B671" s="988">
        <v>29860</v>
      </c>
      <c r="C671" s="987" t="s">
        <v>4635</v>
      </c>
      <c r="D671" s="987" t="s">
        <v>4636</v>
      </c>
      <c r="E671" s="987">
        <v>-12.625</v>
      </c>
      <c r="F671" s="987">
        <v>2.0202000000000001E-2</v>
      </c>
      <c r="G671" s="987">
        <v>0</v>
      </c>
      <c r="H671" s="986">
        <v>1.17E-2</v>
      </c>
      <c r="I671" s="986">
        <f t="shared" si="1"/>
        <v>8.5020000000000009E-3</v>
      </c>
      <c r="J671" s="988">
        <v>29860</v>
      </c>
    </row>
    <row r="672" spans="1:10">
      <c r="A672" s="987">
        <v>68</v>
      </c>
      <c r="B672" s="988">
        <v>29891</v>
      </c>
      <c r="C672" s="987" t="s">
        <v>4635</v>
      </c>
      <c r="D672" s="987" t="s">
        <v>4636</v>
      </c>
      <c r="E672" s="987">
        <v>-14.1875</v>
      </c>
      <c r="F672" s="987">
        <v>0.123762</v>
      </c>
      <c r="G672" s="987">
        <v>0</v>
      </c>
      <c r="H672" s="986">
        <v>1.1299999999999999E-2</v>
      </c>
      <c r="I672" s="986">
        <f t="shared" si="1"/>
        <v>0.11246199999999999</v>
      </c>
      <c r="J672" s="988">
        <v>29891</v>
      </c>
    </row>
    <row r="673" spans="1:10">
      <c r="A673" s="987">
        <v>68</v>
      </c>
      <c r="B673" s="988">
        <v>29921</v>
      </c>
      <c r="C673" s="987" t="s">
        <v>4635</v>
      </c>
      <c r="D673" s="987" t="s">
        <v>4636</v>
      </c>
      <c r="E673" s="987">
        <v>-13.875</v>
      </c>
      <c r="F673" s="987">
        <v>7.5770000000000004E-3</v>
      </c>
      <c r="G673" s="987">
        <v>0.42</v>
      </c>
      <c r="H673" s="986">
        <v>0.01</v>
      </c>
      <c r="I673" s="986">
        <f t="shared" si="1"/>
        <v>-2.4229999999999998E-3</v>
      </c>
      <c r="J673" s="988">
        <v>29921</v>
      </c>
    </row>
    <row r="674" spans="1:10">
      <c r="A674" s="987">
        <v>68</v>
      </c>
      <c r="B674" s="988">
        <v>29952</v>
      </c>
      <c r="C674" s="987" t="s">
        <v>4637</v>
      </c>
      <c r="D674" s="987" t="s">
        <v>4638</v>
      </c>
      <c r="E674" s="987">
        <v>-14.0625</v>
      </c>
      <c r="F674" s="987">
        <v>1.3514E-2</v>
      </c>
      <c r="G674" s="987">
        <v>0</v>
      </c>
      <c r="H674" s="986">
        <v>1.0800000000000001E-2</v>
      </c>
      <c r="I674" s="986">
        <f t="shared" si="1"/>
        <v>2.7139999999999994E-3</v>
      </c>
      <c r="J674" s="988">
        <v>29952</v>
      </c>
    </row>
    <row r="675" spans="1:10">
      <c r="A675" s="987">
        <v>68</v>
      </c>
      <c r="B675" s="988">
        <v>29983</v>
      </c>
      <c r="C675" s="987" t="s">
        <v>4637</v>
      </c>
      <c r="D675" s="987" t="s">
        <v>4638</v>
      </c>
      <c r="E675" s="987">
        <v>-14.1875</v>
      </c>
      <c r="F675" s="987">
        <v>8.8889999999999993E-3</v>
      </c>
      <c r="G675" s="987">
        <v>0</v>
      </c>
      <c r="H675" s="986">
        <v>1.03E-2</v>
      </c>
      <c r="I675" s="986">
        <f t="shared" si="1"/>
        <v>-1.4110000000000008E-3</v>
      </c>
      <c r="J675" s="988">
        <v>29983</v>
      </c>
    </row>
    <row r="676" spans="1:10">
      <c r="A676" s="987">
        <v>68</v>
      </c>
      <c r="B676" s="988">
        <v>30011</v>
      </c>
      <c r="C676" s="987" t="s">
        <v>4637</v>
      </c>
      <c r="D676" s="987" t="s">
        <v>4638</v>
      </c>
      <c r="E676" s="987">
        <v>-13.125</v>
      </c>
      <c r="F676" s="987">
        <v>-4.5286E-2</v>
      </c>
      <c r="G676" s="987">
        <v>0.42</v>
      </c>
      <c r="H676" s="986">
        <v>1.24E-2</v>
      </c>
      <c r="I676" s="986">
        <f t="shared" si="1"/>
        <v>-5.7686000000000001E-2</v>
      </c>
      <c r="J676" s="988">
        <v>30011</v>
      </c>
    </row>
    <row r="677" spans="1:10">
      <c r="A677" s="987">
        <v>68</v>
      </c>
      <c r="B677" s="988">
        <v>30042</v>
      </c>
      <c r="C677" s="987" t="s">
        <v>4637</v>
      </c>
      <c r="D677" s="987" t="s">
        <v>4638</v>
      </c>
      <c r="E677" s="987">
        <v>-13.5</v>
      </c>
      <c r="F677" s="987">
        <v>2.8570999999999999E-2</v>
      </c>
      <c r="G677" s="987">
        <v>0</v>
      </c>
      <c r="H677" s="986">
        <v>1.12E-2</v>
      </c>
      <c r="I677" s="986">
        <f t="shared" si="1"/>
        <v>1.7370999999999998E-2</v>
      </c>
      <c r="J677" s="988">
        <v>30042</v>
      </c>
    </row>
    <row r="678" spans="1:10">
      <c r="A678" s="987">
        <v>68</v>
      </c>
      <c r="B678" s="988">
        <v>30072</v>
      </c>
      <c r="C678" s="987" t="s">
        <v>4637</v>
      </c>
      <c r="D678" s="987" t="s">
        <v>4638</v>
      </c>
      <c r="E678" s="987">
        <v>-13.5</v>
      </c>
      <c r="F678" s="987">
        <v>0</v>
      </c>
      <c r="G678" s="987">
        <v>0</v>
      </c>
      <c r="H678" s="986">
        <v>1.01E-2</v>
      </c>
      <c r="I678" s="986">
        <f t="shared" si="1"/>
        <v>-1.01E-2</v>
      </c>
      <c r="J678" s="988">
        <v>30072</v>
      </c>
    </row>
    <row r="679" spans="1:10">
      <c r="A679" s="987">
        <v>68</v>
      </c>
      <c r="B679" s="988">
        <v>30103</v>
      </c>
      <c r="C679" s="987" t="s">
        <v>4637</v>
      </c>
      <c r="D679" s="987" t="s">
        <v>4638</v>
      </c>
      <c r="E679" s="987">
        <v>-13.875</v>
      </c>
      <c r="F679" s="987">
        <v>5.8888999999999997E-2</v>
      </c>
      <c r="G679" s="987">
        <v>0.42</v>
      </c>
      <c r="H679" s="986">
        <v>1.2E-2</v>
      </c>
      <c r="I679" s="986">
        <f t="shared" si="1"/>
        <v>4.6889E-2</v>
      </c>
      <c r="J679" s="988">
        <v>30103</v>
      </c>
    </row>
    <row r="680" spans="1:10">
      <c r="A680" s="987">
        <v>68</v>
      </c>
      <c r="B680" s="988">
        <v>30133</v>
      </c>
      <c r="C680" s="987" t="s">
        <v>4637</v>
      </c>
      <c r="D680" s="987" t="s">
        <v>4639</v>
      </c>
      <c r="E680" s="987">
        <v>13.5</v>
      </c>
      <c r="F680" s="987">
        <v>-2.7026999999999999E-2</v>
      </c>
      <c r="G680" s="987">
        <v>0</v>
      </c>
      <c r="H680" s="986">
        <v>1.14E-2</v>
      </c>
      <c r="I680" s="986">
        <f t="shared" si="1"/>
        <v>-3.8427000000000003E-2</v>
      </c>
      <c r="J680" s="988">
        <v>30133</v>
      </c>
    </row>
    <row r="681" spans="1:10">
      <c r="A681" s="987">
        <v>68</v>
      </c>
      <c r="B681" s="988">
        <v>30164</v>
      </c>
      <c r="C681" s="987" t="s">
        <v>4637</v>
      </c>
      <c r="D681" s="987" t="s">
        <v>4639</v>
      </c>
      <c r="E681" s="987">
        <v>15</v>
      </c>
      <c r="F681" s="987">
        <v>0.111111</v>
      </c>
      <c r="G681" s="987">
        <v>0</v>
      </c>
      <c r="H681" s="986">
        <v>1.12E-2</v>
      </c>
      <c r="I681" s="986">
        <f t="shared" si="1"/>
        <v>9.9911E-2</v>
      </c>
      <c r="J681" s="988">
        <v>30164</v>
      </c>
    </row>
    <row r="682" spans="1:10">
      <c r="A682" s="987">
        <v>68</v>
      </c>
      <c r="B682" s="988">
        <v>30195</v>
      </c>
      <c r="C682" s="987" t="s">
        <v>4637</v>
      </c>
      <c r="D682" s="987" t="s">
        <v>4639</v>
      </c>
      <c r="E682" s="987">
        <v>14.75</v>
      </c>
      <c r="F682" s="987">
        <v>1.2666999999999999E-2</v>
      </c>
      <c r="G682" s="987">
        <v>0.44</v>
      </c>
      <c r="H682" s="986">
        <v>0.01</v>
      </c>
      <c r="I682" s="986">
        <f t="shared" si="1"/>
        <v>2.6669999999999992E-3</v>
      </c>
      <c r="J682" s="988">
        <v>30195</v>
      </c>
    </row>
    <row r="683" spans="1:10">
      <c r="A683" s="987">
        <v>68</v>
      </c>
      <c r="B683" s="988">
        <v>30225</v>
      </c>
      <c r="C683" s="987" t="s">
        <v>4637</v>
      </c>
      <c r="D683" s="987" t="s">
        <v>4639</v>
      </c>
      <c r="E683" s="987">
        <v>15.75</v>
      </c>
      <c r="F683" s="987">
        <v>6.7796999999999996E-2</v>
      </c>
      <c r="G683" s="987">
        <v>0</v>
      </c>
      <c r="H683" s="986">
        <v>9.1000000000000004E-3</v>
      </c>
      <c r="I683" s="986">
        <f t="shared" si="1"/>
        <v>5.8696999999999999E-2</v>
      </c>
      <c r="J683" s="988">
        <v>30225</v>
      </c>
    </row>
    <row r="684" spans="1:10">
      <c r="A684" s="987">
        <v>68</v>
      </c>
      <c r="B684" s="988">
        <v>30256</v>
      </c>
      <c r="C684" s="987" t="s">
        <v>4637</v>
      </c>
      <c r="D684" s="987" t="s">
        <v>4639</v>
      </c>
      <c r="E684" s="987">
        <v>16.75</v>
      </c>
      <c r="F684" s="987">
        <v>6.3492000000000007E-2</v>
      </c>
      <c r="G684" s="987">
        <v>0</v>
      </c>
      <c r="H684" s="986">
        <v>9.4000000000000004E-3</v>
      </c>
      <c r="I684" s="986">
        <f t="shared" si="1"/>
        <v>5.4092000000000008E-2</v>
      </c>
      <c r="J684" s="988">
        <v>30256</v>
      </c>
    </row>
    <row r="685" spans="1:10">
      <c r="A685" s="987">
        <v>68</v>
      </c>
      <c r="B685" s="988">
        <v>30286</v>
      </c>
      <c r="C685" s="987" t="s">
        <v>4637</v>
      </c>
      <c r="D685" s="987" t="s">
        <v>4639</v>
      </c>
      <c r="E685" s="987">
        <v>15.25</v>
      </c>
      <c r="F685" s="987">
        <v>-6.3284000000000007E-2</v>
      </c>
      <c r="G685" s="987">
        <v>0.44</v>
      </c>
      <c r="H685" s="986">
        <v>9.2999999999999992E-3</v>
      </c>
      <c r="I685" s="986">
        <f t="shared" si="1"/>
        <v>-7.258400000000001E-2</v>
      </c>
      <c r="J685" s="988">
        <v>30286</v>
      </c>
    </row>
    <row r="686" spans="1:10">
      <c r="A686" s="987">
        <v>68</v>
      </c>
      <c r="B686" s="988">
        <v>30317</v>
      </c>
      <c r="C686" s="987" t="s">
        <v>4637</v>
      </c>
      <c r="D686" s="987" t="s">
        <v>4639</v>
      </c>
      <c r="E686" s="987">
        <v>17.25</v>
      </c>
      <c r="F686" s="987">
        <v>0.13114799999999999</v>
      </c>
      <c r="G686" s="987">
        <v>0</v>
      </c>
      <c r="H686" s="986">
        <v>8.6999999999999994E-3</v>
      </c>
      <c r="I686" s="986">
        <f t="shared" si="1"/>
        <v>0.12244799999999999</v>
      </c>
      <c r="J686" s="988">
        <v>30317</v>
      </c>
    </row>
    <row r="687" spans="1:10">
      <c r="A687" s="987">
        <v>68</v>
      </c>
      <c r="B687" s="988">
        <v>30348</v>
      </c>
      <c r="C687" s="987" t="s">
        <v>4637</v>
      </c>
      <c r="D687" s="987" t="s">
        <v>4639</v>
      </c>
      <c r="E687" s="987">
        <v>16.375</v>
      </c>
      <c r="F687" s="987">
        <v>-5.0724999999999999E-2</v>
      </c>
      <c r="G687" s="987">
        <v>0</v>
      </c>
      <c r="H687" s="986">
        <v>8.0999999999999996E-3</v>
      </c>
      <c r="I687" s="986">
        <f t="shared" si="1"/>
        <v>-5.8825000000000002E-2</v>
      </c>
      <c r="J687" s="988">
        <v>30348</v>
      </c>
    </row>
    <row r="688" spans="1:10">
      <c r="A688" s="987">
        <v>68</v>
      </c>
      <c r="B688" s="988">
        <v>30376</v>
      </c>
      <c r="C688" s="987" t="s">
        <v>4637</v>
      </c>
      <c r="D688" s="987" t="s">
        <v>4639</v>
      </c>
      <c r="E688" s="987">
        <v>15.875</v>
      </c>
      <c r="F688" s="987">
        <v>-3.6640000000000002E-3</v>
      </c>
      <c r="G688" s="987">
        <v>0.44</v>
      </c>
      <c r="H688" s="986">
        <v>8.8999999999999999E-3</v>
      </c>
      <c r="I688" s="986">
        <f t="shared" si="1"/>
        <v>-1.2564000000000001E-2</v>
      </c>
      <c r="J688" s="988">
        <v>30376</v>
      </c>
    </row>
    <row r="689" spans="1:10">
      <c r="A689" s="987">
        <v>68</v>
      </c>
      <c r="B689" s="988">
        <v>30407</v>
      </c>
      <c r="C689" s="987" t="s">
        <v>4637</v>
      </c>
      <c r="D689" s="987" t="s">
        <v>4639</v>
      </c>
      <c r="E689" s="987">
        <v>16.125</v>
      </c>
      <c r="F689" s="987">
        <v>1.5748000000000002E-2</v>
      </c>
      <c r="G689" s="987">
        <v>0</v>
      </c>
      <c r="H689" s="986">
        <v>8.5000000000000006E-3</v>
      </c>
      <c r="I689" s="986">
        <f t="shared" si="1"/>
        <v>7.248000000000001E-3</v>
      </c>
      <c r="J689" s="988">
        <v>30407</v>
      </c>
    </row>
    <row r="690" spans="1:10">
      <c r="A690" s="987">
        <v>68</v>
      </c>
      <c r="B690" s="988">
        <v>30437</v>
      </c>
      <c r="C690" s="987" t="s">
        <v>4637</v>
      </c>
      <c r="D690" s="987" t="s">
        <v>4639</v>
      </c>
      <c r="E690" s="987">
        <v>17</v>
      </c>
      <c r="F690" s="987">
        <v>5.4264E-2</v>
      </c>
      <c r="G690" s="987">
        <v>0</v>
      </c>
      <c r="H690" s="986">
        <v>9.1000000000000004E-3</v>
      </c>
      <c r="I690" s="986">
        <f t="shared" si="1"/>
        <v>4.5163999999999996E-2</v>
      </c>
      <c r="J690" s="988">
        <v>30437</v>
      </c>
    </row>
    <row r="691" spans="1:10">
      <c r="A691" s="987">
        <v>68</v>
      </c>
      <c r="B691" s="988">
        <v>30468</v>
      </c>
      <c r="C691" s="987" t="s">
        <v>4637</v>
      </c>
      <c r="D691" s="987" t="s">
        <v>4639</v>
      </c>
      <c r="E691" s="987">
        <v>15.875</v>
      </c>
      <c r="F691" s="987">
        <v>-4.0294000000000003E-2</v>
      </c>
      <c r="G691" s="987">
        <v>0.44</v>
      </c>
      <c r="H691" s="986">
        <v>8.9999999999999993E-3</v>
      </c>
      <c r="I691" s="986">
        <f t="shared" si="1"/>
        <v>-4.9294000000000004E-2</v>
      </c>
      <c r="J691" s="988">
        <v>30468</v>
      </c>
    </row>
    <row r="692" spans="1:10">
      <c r="A692" s="987">
        <v>68</v>
      </c>
      <c r="B692" s="988">
        <v>30498</v>
      </c>
      <c r="C692" s="987" t="s">
        <v>4637</v>
      </c>
      <c r="D692" s="987" t="s">
        <v>4639</v>
      </c>
      <c r="E692" s="987">
        <v>16.125</v>
      </c>
      <c r="F692" s="987">
        <v>1.5748000000000002E-2</v>
      </c>
      <c r="G692" s="987">
        <v>0</v>
      </c>
      <c r="H692" s="986">
        <v>8.8000000000000005E-3</v>
      </c>
      <c r="I692" s="986">
        <f t="shared" si="1"/>
        <v>6.9480000000000011E-3</v>
      </c>
      <c r="J692" s="988">
        <v>30498</v>
      </c>
    </row>
    <row r="693" spans="1:10">
      <c r="A693" s="987">
        <v>68</v>
      </c>
      <c r="B693" s="988">
        <v>30529</v>
      </c>
      <c r="C693" s="987" t="s">
        <v>4637</v>
      </c>
      <c r="D693" s="987" t="s">
        <v>4639</v>
      </c>
      <c r="E693" s="987">
        <v>16.75</v>
      </c>
      <c r="F693" s="987">
        <v>3.8760000000000003E-2</v>
      </c>
      <c r="G693" s="987">
        <v>0</v>
      </c>
      <c r="H693" s="986">
        <v>1.03E-2</v>
      </c>
      <c r="I693" s="986">
        <f t="shared" si="1"/>
        <v>2.8460000000000003E-2</v>
      </c>
      <c r="J693" s="988">
        <v>30529</v>
      </c>
    </row>
    <row r="694" spans="1:10">
      <c r="A694" s="987">
        <v>68</v>
      </c>
      <c r="B694" s="988">
        <v>30560</v>
      </c>
      <c r="C694" s="987" t="s">
        <v>4637</v>
      </c>
      <c r="D694" s="987" t="s">
        <v>4639</v>
      </c>
      <c r="E694" s="987">
        <v>17.75</v>
      </c>
      <c r="F694" s="987">
        <v>8.7164000000000005E-2</v>
      </c>
      <c r="G694" s="987">
        <v>0.46</v>
      </c>
      <c r="H694" s="986">
        <v>9.5999999999999992E-3</v>
      </c>
      <c r="I694" s="986">
        <f t="shared" ref="I694:I757" si="2">F694-H694</f>
        <v>7.7564000000000008E-2</v>
      </c>
      <c r="J694" s="988">
        <v>30560</v>
      </c>
    </row>
    <row r="695" spans="1:10">
      <c r="A695" s="987">
        <v>68</v>
      </c>
      <c r="B695" s="988">
        <v>30590</v>
      </c>
      <c r="C695" s="987" t="s">
        <v>4637</v>
      </c>
      <c r="D695" s="987" t="s">
        <v>4639</v>
      </c>
      <c r="E695" s="987">
        <v>17.125</v>
      </c>
      <c r="F695" s="987">
        <v>-3.5210999999999999E-2</v>
      </c>
      <c r="G695" s="987">
        <v>0</v>
      </c>
      <c r="H695" s="986">
        <v>9.4999999999999998E-3</v>
      </c>
      <c r="I695" s="986">
        <f t="shared" si="2"/>
        <v>-4.4711000000000001E-2</v>
      </c>
      <c r="J695" s="988">
        <v>30590</v>
      </c>
    </row>
    <row r="696" spans="1:10">
      <c r="A696" s="987">
        <v>68</v>
      </c>
      <c r="B696" s="988">
        <v>30621</v>
      </c>
      <c r="C696" s="987" t="s">
        <v>4637</v>
      </c>
      <c r="D696" s="987" t="s">
        <v>4639</v>
      </c>
      <c r="E696" s="987">
        <v>27</v>
      </c>
      <c r="F696" s="987">
        <v>0.57664199999999999</v>
      </c>
      <c r="G696" s="987">
        <v>0</v>
      </c>
      <c r="H696" s="986">
        <v>9.4000000000000004E-3</v>
      </c>
      <c r="I696" s="986">
        <f t="shared" si="2"/>
        <v>0.56724200000000002</v>
      </c>
      <c r="J696" s="988">
        <v>30621</v>
      </c>
    </row>
    <row r="697" spans="1:10">
      <c r="A697" s="987">
        <v>68</v>
      </c>
      <c r="B697" s="988">
        <v>30651</v>
      </c>
      <c r="C697" s="987" t="s">
        <v>4637</v>
      </c>
      <c r="D697" s="987" t="s">
        <v>4639</v>
      </c>
      <c r="E697" s="987">
        <v>24</v>
      </c>
      <c r="F697" s="987">
        <v>-9.4074000000000005E-2</v>
      </c>
      <c r="G697" s="987">
        <v>0.46</v>
      </c>
      <c r="H697" s="986">
        <v>9.4000000000000004E-3</v>
      </c>
      <c r="I697" s="986">
        <f t="shared" si="2"/>
        <v>-0.10347400000000001</v>
      </c>
      <c r="J697" s="988">
        <v>30651</v>
      </c>
    </row>
    <row r="698" spans="1:10">
      <c r="A698" s="987">
        <v>68</v>
      </c>
      <c r="B698" s="988">
        <v>30682</v>
      </c>
      <c r="C698" s="987" t="s">
        <v>4637</v>
      </c>
      <c r="D698" s="987" t="s">
        <v>4639</v>
      </c>
      <c r="E698" s="987">
        <v>20</v>
      </c>
      <c r="F698" s="987">
        <v>-0.16666700000000001</v>
      </c>
      <c r="G698" s="987">
        <v>0</v>
      </c>
      <c r="H698" s="986">
        <v>1.03E-2</v>
      </c>
      <c r="I698" s="986">
        <f t="shared" si="2"/>
        <v>-0.17696700000000001</v>
      </c>
      <c r="J698" s="988">
        <v>30682</v>
      </c>
    </row>
    <row r="699" spans="1:10">
      <c r="A699" s="987">
        <v>68</v>
      </c>
      <c r="B699" s="988">
        <v>30713</v>
      </c>
      <c r="C699" s="987" t="s">
        <v>4637</v>
      </c>
      <c r="D699" s="987" t="s">
        <v>4639</v>
      </c>
      <c r="E699" s="987">
        <v>22.125</v>
      </c>
      <c r="F699" s="987">
        <v>0.10625</v>
      </c>
      <c r="G699" s="987">
        <v>0</v>
      </c>
      <c r="H699" s="986">
        <v>9.1999999999999998E-3</v>
      </c>
      <c r="I699" s="986">
        <f t="shared" si="2"/>
        <v>9.7049999999999997E-2</v>
      </c>
      <c r="J699" s="988">
        <v>30713</v>
      </c>
    </row>
    <row r="700" spans="1:10">
      <c r="A700" s="987">
        <v>68</v>
      </c>
      <c r="B700" s="988">
        <v>30742</v>
      </c>
      <c r="C700" s="987" t="s">
        <v>4637</v>
      </c>
      <c r="D700" s="987" t="s">
        <v>4639</v>
      </c>
      <c r="E700" s="987">
        <v>20.875</v>
      </c>
      <c r="F700" s="987">
        <v>-3.5706000000000002E-2</v>
      </c>
      <c r="G700" s="987">
        <v>0.46</v>
      </c>
      <c r="H700" s="986">
        <v>9.7999999999999997E-3</v>
      </c>
      <c r="I700" s="986">
        <f t="shared" si="2"/>
        <v>-4.5506000000000005E-2</v>
      </c>
      <c r="J700" s="988">
        <v>30742</v>
      </c>
    </row>
    <row r="701" spans="1:10">
      <c r="A701" s="987">
        <v>68</v>
      </c>
      <c r="B701" s="988">
        <v>30773</v>
      </c>
      <c r="C701" s="987" t="s">
        <v>4637</v>
      </c>
      <c r="D701" s="987" t="s">
        <v>4639</v>
      </c>
      <c r="E701" s="987">
        <v>21.375</v>
      </c>
      <c r="F701" s="987">
        <v>2.3952000000000001E-2</v>
      </c>
      <c r="G701" s="987">
        <v>0</v>
      </c>
      <c r="H701" s="986">
        <v>1.04E-2</v>
      </c>
      <c r="I701" s="986">
        <f t="shared" si="2"/>
        <v>1.3552000000000002E-2</v>
      </c>
      <c r="J701" s="988">
        <v>30773</v>
      </c>
    </row>
    <row r="702" spans="1:10">
      <c r="A702" s="987">
        <v>68</v>
      </c>
      <c r="B702" s="988">
        <v>30803</v>
      </c>
      <c r="C702" s="987" t="s">
        <v>4637</v>
      </c>
      <c r="D702" s="987" t="s">
        <v>4639</v>
      </c>
      <c r="E702" s="987">
        <v>24.25</v>
      </c>
      <c r="F702" s="987">
        <v>0.13450300000000001</v>
      </c>
      <c r="G702" s="987">
        <v>0</v>
      </c>
      <c r="H702" s="986">
        <v>1.03E-2</v>
      </c>
      <c r="I702" s="986">
        <f t="shared" si="2"/>
        <v>0.12420300000000001</v>
      </c>
      <c r="J702" s="988">
        <v>30803</v>
      </c>
    </row>
    <row r="703" spans="1:10">
      <c r="A703" s="987">
        <v>68</v>
      </c>
      <c r="B703" s="988">
        <v>30834</v>
      </c>
      <c r="C703" s="987" t="s">
        <v>4637</v>
      </c>
      <c r="D703" s="987" t="s">
        <v>4639</v>
      </c>
      <c r="E703" s="987">
        <v>22.75</v>
      </c>
      <c r="F703" s="987">
        <v>-4.0825E-2</v>
      </c>
      <c r="G703" s="987">
        <v>0.51</v>
      </c>
      <c r="H703" s="986">
        <v>1.06E-2</v>
      </c>
      <c r="I703" s="986">
        <f t="shared" si="2"/>
        <v>-5.1424999999999998E-2</v>
      </c>
      <c r="J703" s="988">
        <v>30834</v>
      </c>
    </row>
    <row r="704" spans="1:10">
      <c r="A704" s="987">
        <v>68</v>
      </c>
      <c r="B704" s="988">
        <v>30864</v>
      </c>
      <c r="C704" s="987" t="s">
        <v>4637</v>
      </c>
      <c r="D704" s="987" t="s">
        <v>4639</v>
      </c>
      <c r="E704" s="987">
        <v>23.5</v>
      </c>
      <c r="F704" s="987">
        <v>3.2967000000000003E-2</v>
      </c>
      <c r="G704" s="987">
        <v>0</v>
      </c>
      <c r="H704" s="986">
        <v>1.1599999999999999E-2</v>
      </c>
      <c r="I704" s="986">
        <f t="shared" si="2"/>
        <v>2.1367000000000004E-2</v>
      </c>
      <c r="J704" s="988">
        <v>30864</v>
      </c>
    </row>
    <row r="705" spans="1:10">
      <c r="A705" s="987">
        <v>68</v>
      </c>
      <c r="B705" s="988">
        <v>30895</v>
      </c>
      <c r="C705" s="987" t="s">
        <v>4637</v>
      </c>
      <c r="D705" s="987" t="s">
        <v>4639</v>
      </c>
      <c r="E705" s="987">
        <v>25</v>
      </c>
      <c r="F705" s="987">
        <v>6.3829999999999998E-2</v>
      </c>
      <c r="G705" s="987">
        <v>0</v>
      </c>
      <c r="H705" s="986">
        <v>1.06E-2</v>
      </c>
      <c r="I705" s="986">
        <f t="shared" si="2"/>
        <v>5.323E-2</v>
      </c>
      <c r="J705" s="988">
        <v>30895</v>
      </c>
    </row>
    <row r="706" spans="1:10">
      <c r="A706" s="987">
        <v>68</v>
      </c>
      <c r="B706" s="988">
        <v>30926</v>
      </c>
      <c r="C706" s="987" t="s">
        <v>4637</v>
      </c>
      <c r="D706" s="987" t="s">
        <v>4639</v>
      </c>
      <c r="E706" s="987">
        <v>25.75</v>
      </c>
      <c r="F706" s="987">
        <v>5.04E-2</v>
      </c>
      <c r="G706" s="987">
        <v>0.51</v>
      </c>
      <c r="H706" s="986">
        <v>9.4000000000000004E-3</v>
      </c>
      <c r="I706" s="986">
        <f t="shared" si="2"/>
        <v>4.1000000000000002E-2</v>
      </c>
      <c r="J706" s="988">
        <v>30926</v>
      </c>
    </row>
    <row r="707" spans="1:10">
      <c r="A707" s="987">
        <v>68</v>
      </c>
      <c r="B707" s="988">
        <v>30956</v>
      </c>
      <c r="C707" s="987" t="s">
        <v>4637</v>
      </c>
      <c r="D707" s="987" t="s">
        <v>4639</v>
      </c>
      <c r="E707" s="987">
        <v>26.25</v>
      </c>
      <c r="F707" s="987">
        <v>1.9417E-2</v>
      </c>
      <c r="G707" s="987">
        <v>0</v>
      </c>
      <c r="H707" s="986">
        <v>1.0800000000000001E-2</v>
      </c>
      <c r="I707" s="986">
        <f t="shared" si="2"/>
        <v>8.6169999999999997E-3</v>
      </c>
      <c r="J707" s="988">
        <v>30956</v>
      </c>
    </row>
    <row r="708" spans="1:10">
      <c r="A708" s="987">
        <v>68</v>
      </c>
      <c r="B708" s="988">
        <v>30987</v>
      </c>
      <c r="C708" s="987" t="s">
        <v>4637</v>
      </c>
      <c r="D708" s="987" t="s">
        <v>4639</v>
      </c>
      <c r="E708" s="987">
        <v>25.875</v>
      </c>
      <c r="F708" s="987">
        <v>-1.4286E-2</v>
      </c>
      <c r="G708" s="987">
        <v>0</v>
      </c>
      <c r="H708" s="986">
        <v>9.1000000000000004E-3</v>
      </c>
      <c r="I708" s="986">
        <f t="shared" si="2"/>
        <v>-2.3386000000000001E-2</v>
      </c>
      <c r="J708" s="988">
        <v>30987</v>
      </c>
    </row>
    <row r="709" spans="1:10">
      <c r="A709" s="987">
        <v>68</v>
      </c>
      <c r="B709" s="988">
        <v>31017</v>
      </c>
      <c r="C709" s="987" t="s">
        <v>4637</v>
      </c>
      <c r="D709" s="987" t="s">
        <v>4639</v>
      </c>
      <c r="E709" s="987">
        <v>26</v>
      </c>
      <c r="F709" s="987">
        <v>2.4541E-2</v>
      </c>
      <c r="G709" s="987">
        <v>0.51</v>
      </c>
      <c r="H709" s="986">
        <v>9.7999999999999997E-3</v>
      </c>
      <c r="I709" s="986">
        <f t="shared" si="2"/>
        <v>1.4741000000000001E-2</v>
      </c>
      <c r="J709" s="988">
        <v>31017</v>
      </c>
    </row>
    <row r="710" spans="1:10">
      <c r="A710" s="987">
        <v>68</v>
      </c>
      <c r="B710" s="988">
        <v>31048</v>
      </c>
      <c r="C710" s="987" t="s">
        <v>4637</v>
      </c>
      <c r="D710" s="987" t="s">
        <v>4639</v>
      </c>
      <c r="E710" s="987">
        <v>25.25</v>
      </c>
      <c r="F710" s="987">
        <v>-2.8846E-2</v>
      </c>
      <c r="G710" s="987">
        <v>0</v>
      </c>
      <c r="H710" s="986">
        <v>9.5999999999999992E-3</v>
      </c>
      <c r="I710" s="986">
        <f t="shared" si="2"/>
        <v>-3.8446000000000001E-2</v>
      </c>
      <c r="J710" s="988">
        <v>31048</v>
      </c>
    </row>
    <row r="711" spans="1:10">
      <c r="A711" s="987">
        <v>68</v>
      </c>
      <c r="B711" s="988">
        <v>31079</v>
      </c>
      <c r="C711" s="987" t="s">
        <v>4637</v>
      </c>
      <c r="D711" s="987" t="s">
        <v>4639</v>
      </c>
      <c r="E711" s="987">
        <v>25.5</v>
      </c>
      <c r="F711" s="987">
        <v>9.9010000000000001E-3</v>
      </c>
      <c r="G711" s="987">
        <v>0</v>
      </c>
      <c r="H711" s="986">
        <v>8.2000000000000007E-3</v>
      </c>
      <c r="I711" s="986">
        <f t="shared" si="2"/>
        <v>1.7009999999999994E-3</v>
      </c>
      <c r="J711" s="988">
        <v>31079</v>
      </c>
    </row>
    <row r="712" spans="1:10">
      <c r="A712" s="987">
        <v>68</v>
      </c>
      <c r="B712" s="988">
        <v>31107</v>
      </c>
      <c r="C712" s="987" t="s">
        <v>4637</v>
      </c>
      <c r="D712" s="987" t="s">
        <v>4639</v>
      </c>
      <c r="E712" s="987">
        <v>25.875</v>
      </c>
      <c r="F712" s="987">
        <v>3.4706000000000001E-2</v>
      </c>
      <c r="G712" s="987">
        <v>0.51</v>
      </c>
      <c r="H712" s="986">
        <v>9.4000000000000004E-3</v>
      </c>
      <c r="I712" s="986">
        <f t="shared" si="2"/>
        <v>2.5306000000000002E-2</v>
      </c>
      <c r="J712" s="988">
        <v>31107</v>
      </c>
    </row>
    <row r="713" spans="1:10">
      <c r="A713" s="987">
        <v>68</v>
      </c>
      <c r="B713" s="988">
        <v>31138</v>
      </c>
      <c r="C713" s="987" t="s">
        <v>4637</v>
      </c>
      <c r="D713" s="987" t="s">
        <v>4639</v>
      </c>
      <c r="E713" s="987">
        <v>26.5</v>
      </c>
      <c r="F713" s="987">
        <v>2.4154999999999999E-2</v>
      </c>
      <c r="G713" s="987">
        <v>0</v>
      </c>
      <c r="H713" s="986">
        <v>1.0200000000000001E-2</v>
      </c>
      <c r="I713" s="986">
        <f t="shared" si="2"/>
        <v>1.3954999999999999E-2</v>
      </c>
      <c r="J713" s="988">
        <v>31138</v>
      </c>
    </row>
    <row r="714" spans="1:10">
      <c r="A714" s="987">
        <v>68</v>
      </c>
      <c r="B714" s="988">
        <v>31168</v>
      </c>
      <c r="C714" s="987" t="s">
        <v>4637</v>
      </c>
      <c r="D714" s="987" t="s">
        <v>4639</v>
      </c>
      <c r="E714" s="987">
        <v>28.75</v>
      </c>
      <c r="F714" s="987">
        <v>8.4905999999999995E-2</v>
      </c>
      <c r="G714" s="987">
        <v>0</v>
      </c>
      <c r="H714" s="986">
        <v>9.7000000000000003E-3</v>
      </c>
      <c r="I714" s="986">
        <f t="shared" si="2"/>
        <v>7.5205999999999995E-2</v>
      </c>
      <c r="J714" s="988">
        <v>31168</v>
      </c>
    </row>
    <row r="715" spans="1:10">
      <c r="A715" s="987">
        <v>68</v>
      </c>
      <c r="B715" s="988">
        <v>31199</v>
      </c>
      <c r="C715" s="987" t="s">
        <v>4637</v>
      </c>
      <c r="D715" s="987" t="s">
        <v>4639</v>
      </c>
      <c r="E715" s="987">
        <v>27.625</v>
      </c>
      <c r="F715" s="987">
        <v>-0.02</v>
      </c>
      <c r="G715" s="987">
        <v>0.55000000000000004</v>
      </c>
      <c r="H715" s="986">
        <v>8.0000000000000002E-3</v>
      </c>
      <c r="I715" s="986">
        <f t="shared" si="2"/>
        <v>-2.8000000000000001E-2</v>
      </c>
      <c r="J715" s="988">
        <v>31199</v>
      </c>
    </row>
    <row r="716" spans="1:10">
      <c r="A716" s="987">
        <v>68</v>
      </c>
      <c r="B716" s="988">
        <v>31229</v>
      </c>
      <c r="C716" s="987" t="s">
        <v>4637</v>
      </c>
      <c r="D716" s="987" t="s">
        <v>4639</v>
      </c>
      <c r="E716" s="987">
        <v>27.25</v>
      </c>
      <c r="F716" s="987">
        <v>-1.3575E-2</v>
      </c>
      <c r="G716" s="987">
        <v>0</v>
      </c>
      <c r="H716" s="986">
        <v>9.4000000000000004E-3</v>
      </c>
      <c r="I716" s="986">
        <f t="shared" si="2"/>
        <v>-2.2975000000000002E-2</v>
      </c>
      <c r="J716" s="988">
        <v>31229</v>
      </c>
    </row>
    <row r="717" spans="1:10">
      <c r="A717" s="987">
        <v>68</v>
      </c>
      <c r="B717" s="988">
        <v>31260</v>
      </c>
      <c r="C717" s="987" t="s">
        <v>4637</v>
      </c>
      <c r="D717" s="987" t="s">
        <v>4639</v>
      </c>
      <c r="E717" s="987">
        <v>27.375</v>
      </c>
      <c r="F717" s="987">
        <v>4.5869999999999999E-3</v>
      </c>
      <c r="G717" s="987">
        <v>0</v>
      </c>
      <c r="H717" s="986">
        <v>8.5000000000000006E-3</v>
      </c>
      <c r="I717" s="986">
        <f t="shared" si="2"/>
        <v>-3.9130000000000007E-3</v>
      </c>
      <c r="J717" s="988">
        <v>31260</v>
      </c>
    </row>
    <row r="718" spans="1:10">
      <c r="A718" s="987">
        <v>68</v>
      </c>
      <c r="B718" s="988">
        <v>31291</v>
      </c>
      <c r="C718" s="987" t="s">
        <v>4637</v>
      </c>
      <c r="D718" s="987" t="s">
        <v>4639</v>
      </c>
      <c r="E718" s="987">
        <v>25.625</v>
      </c>
      <c r="F718" s="987">
        <v>-4.3836E-2</v>
      </c>
      <c r="G718" s="987">
        <v>0.55000000000000004</v>
      </c>
      <c r="H718" s="986">
        <v>8.8000000000000005E-3</v>
      </c>
      <c r="I718" s="986">
        <f t="shared" si="2"/>
        <v>-5.2636000000000002E-2</v>
      </c>
      <c r="J718" s="988">
        <v>31291</v>
      </c>
    </row>
    <row r="719" spans="1:10">
      <c r="A719" s="987">
        <v>68</v>
      </c>
      <c r="B719" s="988">
        <v>31321</v>
      </c>
      <c r="C719" s="987" t="s">
        <v>4637</v>
      </c>
      <c r="D719" s="987" t="s">
        <v>4639</v>
      </c>
      <c r="E719" s="987">
        <v>25.125</v>
      </c>
      <c r="F719" s="987">
        <v>-1.9512000000000002E-2</v>
      </c>
      <c r="G719" s="987">
        <v>0</v>
      </c>
      <c r="H719" s="986">
        <v>8.8999999999999999E-3</v>
      </c>
      <c r="I719" s="986">
        <f t="shared" si="2"/>
        <v>-2.8412E-2</v>
      </c>
      <c r="J719" s="988">
        <v>31321</v>
      </c>
    </row>
    <row r="720" spans="1:10">
      <c r="A720" s="987">
        <v>68</v>
      </c>
      <c r="B720" s="988">
        <v>31352</v>
      </c>
      <c r="C720" s="987" t="s">
        <v>4637</v>
      </c>
      <c r="D720" s="987" t="s">
        <v>4639</v>
      </c>
      <c r="E720" s="987">
        <v>25.875</v>
      </c>
      <c r="F720" s="987">
        <v>2.9850999999999999E-2</v>
      </c>
      <c r="G720" s="987">
        <v>0</v>
      </c>
      <c r="H720" s="986">
        <v>8.0999999999999996E-3</v>
      </c>
      <c r="I720" s="986">
        <f t="shared" si="2"/>
        <v>2.1751E-2</v>
      </c>
      <c r="J720" s="988">
        <v>31352</v>
      </c>
    </row>
    <row r="721" spans="1:10">
      <c r="A721" s="987">
        <v>68</v>
      </c>
      <c r="B721" s="988">
        <v>31382</v>
      </c>
      <c r="C721" s="987" t="s">
        <v>4637</v>
      </c>
      <c r="D721" s="987" t="s">
        <v>4639</v>
      </c>
      <c r="E721" s="987">
        <v>25.625</v>
      </c>
      <c r="F721" s="987">
        <v>1.1594E-2</v>
      </c>
      <c r="G721" s="987">
        <v>0.55000000000000004</v>
      </c>
      <c r="H721" s="986">
        <v>8.6E-3</v>
      </c>
      <c r="I721" s="986">
        <f t="shared" si="2"/>
        <v>2.9940000000000001E-3</v>
      </c>
      <c r="J721" s="988">
        <v>31382</v>
      </c>
    </row>
    <row r="722" spans="1:10">
      <c r="A722" s="987">
        <v>68</v>
      </c>
      <c r="B722" s="988">
        <v>31413</v>
      </c>
      <c r="C722" s="987" t="s">
        <v>4637</v>
      </c>
      <c r="D722" s="987" t="s">
        <v>4639</v>
      </c>
      <c r="E722" s="987">
        <v>26.75</v>
      </c>
      <c r="F722" s="987">
        <v>4.3901999999999997E-2</v>
      </c>
      <c r="G722" s="987">
        <v>0</v>
      </c>
      <c r="H722" s="986">
        <v>7.9000000000000008E-3</v>
      </c>
      <c r="I722" s="986">
        <f t="shared" si="2"/>
        <v>3.6001999999999992E-2</v>
      </c>
      <c r="J722" s="988">
        <v>31413</v>
      </c>
    </row>
    <row r="723" spans="1:10">
      <c r="A723" s="987">
        <v>68</v>
      </c>
      <c r="B723" s="988">
        <v>31444</v>
      </c>
      <c r="C723" s="987" t="s">
        <v>4637</v>
      </c>
      <c r="D723" s="987" t="s">
        <v>4639</v>
      </c>
      <c r="E723" s="987">
        <v>29.375</v>
      </c>
      <c r="F723" s="987">
        <v>9.8130999999999996E-2</v>
      </c>
      <c r="G723" s="987">
        <v>0</v>
      </c>
      <c r="H723" s="986">
        <v>7.3000000000000001E-3</v>
      </c>
      <c r="I723" s="986">
        <f t="shared" si="2"/>
        <v>9.0830999999999995E-2</v>
      </c>
      <c r="J723" s="988">
        <v>31444</v>
      </c>
    </row>
    <row r="724" spans="1:10">
      <c r="A724" s="987">
        <v>68</v>
      </c>
      <c r="B724" s="988">
        <v>31472</v>
      </c>
      <c r="C724" s="987" t="s">
        <v>4637</v>
      </c>
      <c r="D724" s="987" t="s">
        <v>4639</v>
      </c>
      <c r="E724" s="987">
        <v>28.75</v>
      </c>
      <c r="F724" s="987">
        <v>-2.5530000000000001E-3</v>
      </c>
      <c r="G724" s="987">
        <v>0.55000000000000004</v>
      </c>
      <c r="H724" s="986">
        <v>7.1000000000000004E-3</v>
      </c>
      <c r="I724" s="986">
        <f t="shared" si="2"/>
        <v>-9.6530000000000001E-3</v>
      </c>
      <c r="J724" s="988">
        <v>31472</v>
      </c>
    </row>
    <row r="725" spans="1:10">
      <c r="A725" s="987">
        <v>68</v>
      </c>
      <c r="B725" s="988">
        <v>31503</v>
      </c>
      <c r="C725" s="987" t="s">
        <v>4637</v>
      </c>
      <c r="D725" s="987" t="s">
        <v>4639</v>
      </c>
      <c r="E725" s="987">
        <v>28</v>
      </c>
      <c r="F725" s="987">
        <v>-2.6086999999999999E-2</v>
      </c>
      <c r="G725" s="987">
        <v>0</v>
      </c>
      <c r="H725" s="986">
        <v>6.3E-3</v>
      </c>
      <c r="I725" s="986">
        <f t="shared" si="2"/>
        <v>-3.2386999999999999E-2</v>
      </c>
      <c r="J725" s="988">
        <v>31503</v>
      </c>
    </row>
    <row r="726" spans="1:10">
      <c r="A726" s="987">
        <v>68</v>
      </c>
      <c r="B726" s="988">
        <v>31533</v>
      </c>
      <c r="C726" s="987" t="s">
        <v>4637</v>
      </c>
      <c r="D726" s="987" t="s">
        <v>4639</v>
      </c>
      <c r="E726" s="987">
        <v>28.875</v>
      </c>
      <c r="F726" s="987">
        <v>3.125E-2</v>
      </c>
      <c r="G726" s="987">
        <v>0</v>
      </c>
      <c r="H726" s="986">
        <v>6.1999999999999998E-3</v>
      </c>
      <c r="I726" s="986">
        <f t="shared" si="2"/>
        <v>2.5049999999999999E-2</v>
      </c>
      <c r="J726" s="988">
        <v>31533</v>
      </c>
    </row>
    <row r="727" spans="1:10">
      <c r="A727" s="987">
        <v>68</v>
      </c>
      <c r="B727" s="988">
        <v>31564</v>
      </c>
      <c r="C727" s="987" t="s">
        <v>4637</v>
      </c>
      <c r="D727" s="987" t="s">
        <v>4639</v>
      </c>
      <c r="E727" s="987">
        <v>29.875</v>
      </c>
      <c r="F727" s="987">
        <v>5.4718999999999997E-2</v>
      </c>
      <c r="G727" s="987">
        <v>0.57999999999999996</v>
      </c>
      <c r="H727" s="986">
        <v>7.0000000000000001E-3</v>
      </c>
      <c r="I727" s="986">
        <f t="shared" si="2"/>
        <v>4.7718999999999998E-2</v>
      </c>
      <c r="J727" s="988">
        <v>31564</v>
      </c>
    </row>
    <row r="728" spans="1:10">
      <c r="A728" s="987">
        <v>68</v>
      </c>
      <c r="B728" s="988">
        <v>31594</v>
      </c>
      <c r="C728" s="987" t="s">
        <v>4637</v>
      </c>
      <c r="D728" s="987" t="s">
        <v>4639</v>
      </c>
      <c r="E728" s="987">
        <v>31.625</v>
      </c>
      <c r="F728" s="987">
        <v>5.8576999999999997E-2</v>
      </c>
      <c r="G728" s="987">
        <v>0</v>
      </c>
      <c r="H728" s="986">
        <v>6.6E-3</v>
      </c>
      <c r="I728" s="986">
        <f t="shared" si="2"/>
        <v>5.1976999999999995E-2</v>
      </c>
      <c r="J728" s="988">
        <v>31594</v>
      </c>
    </row>
    <row r="729" spans="1:10">
      <c r="A729" s="987">
        <v>68</v>
      </c>
      <c r="B729" s="988">
        <v>31625</v>
      </c>
      <c r="C729" s="987" t="s">
        <v>4637</v>
      </c>
      <c r="D729" s="987" t="s">
        <v>4639</v>
      </c>
      <c r="E729" s="987">
        <v>33.5</v>
      </c>
      <c r="F729" s="987">
        <v>5.9289000000000001E-2</v>
      </c>
      <c r="G729" s="987">
        <v>0</v>
      </c>
      <c r="H729" s="986">
        <v>6.3E-3</v>
      </c>
      <c r="I729" s="986">
        <f t="shared" si="2"/>
        <v>5.2989000000000001E-2</v>
      </c>
      <c r="J729" s="988">
        <v>31625</v>
      </c>
    </row>
    <row r="730" spans="1:10">
      <c r="A730" s="987">
        <v>68</v>
      </c>
      <c r="B730" s="988">
        <v>31656</v>
      </c>
      <c r="C730" s="987" t="s">
        <v>4637</v>
      </c>
      <c r="D730" s="987" t="s">
        <v>4639</v>
      </c>
      <c r="E730" s="987">
        <v>29.75</v>
      </c>
      <c r="F730" s="987">
        <v>-9.4627000000000003E-2</v>
      </c>
      <c r="G730" s="987">
        <v>0.57999999999999996</v>
      </c>
      <c r="H730" s="986">
        <v>6.4999999999999997E-3</v>
      </c>
      <c r="I730" s="986">
        <f t="shared" si="2"/>
        <v>-0.10112700000000001</v>
      </c>
      <c r="J730" s="988">
        <v>31656</v>
      </c>
    </row>
    <row r="731" spans="1:10">
      <c r="A731" s="987">
        <v>68</v>
      </c>
      <c r="B731" s="988">
        <v>31686</v>
      </c>
      <c r="C731" s="987" t="s">
        <v>4637</v>
      </c>
      <c r="D731" s="987" t="s">
        <v>4639</v>
      </c>
      <c r="E731" s="987">
        <v>29.75</v>
      </c>
      <c r="F731" s="987">
        <v>0</v>
      </c>
      <c r="G731" s="987">
        <v>0</v>
      </c>
      <c r="H731" s="986">
        <v>6.8999999999999999E-3</v>
      </c>
      <c r="I731" s="986">
        <f t="shared" si="2"/>
        <v>-6.8999999999999999E-3</v>
      </c>
      <c r="J731" s="988">
        <v>31686</v>
      </c>
    </row>
    <row r="732" spans="1:10">
      <c r="A732" s="987">
        <v>68</v>
      </c>
      <c r="B732" s="988">
        <v>31717</v>
      </c>
      <c r="C732" s="987" t="s">
        <v>4637</v>
      </c>
      <c r="D732" s="987" t="s">
        <v>4639</v>
      </c>
      <c r="E732" s="987">
        <v>30</v>
      </c>
      <c r="F732" s="987">
        <v>8.4030000000000007E-3</v>
      </c>
      <c r="G732" s="987">
        <v>0</v>
      </c>
      <c r="H732" s="986">
        <v>5.8999999999999999E-3</v>
      </c>
      <c r="I732" s="986">
        <f t="shared" si="2"/>
        <v>2.5030000000000009E-3</v>
      </c>
      <c r="J732" s="988">
        <v>31717</v>
      </c>
    </row>
    <row r="733" spans="1:10">
      <c r="A733" s="987">
        <v>68</v>
      </c>
      <c r="B733" s="988">
        <v>31747</v>
      </c>
      <c r="C733" s="987" t="s">
        <v>4637</v>
      </c>
      <c r="D733" s="987" t="s">
        <v>4639</v>
      </c>
      <c r="E733" s="987">
        <v>29.5</v>
      </c>
      <c r="F733" s="987">
        <v>2.6670000000000001E-3</v>
      </c>
      <c r="G733" s="987">
        <v>0.57999999999999996</v>
      </c>
      <c r="H733" s="986">
        <v>7.0000000000000001E-3</v>
      </c>
      <c r="I733" s="986">
        <f t="shared" si="2"/>
        <v>-4.333E-3</v>
      </c>
      <c r="J733" s="988">
        <v>31747</v>
      </c>
    </row>
    <row r="734" spans="1:10">
      <c r="A734" s="987">
        <v>68</v>
      </c>
      <c r="B734" s="988">
        <v>31778</v>
      </c>
      <c r="C734" s="987" t="s">
        <v>4637</v>
      </c>
      <c r="D734" s="987" t="s">
        <v>4639</v>
      </c>
      <c r="E734" s="987">
        <v>36</v>
      </c>
      <c r="F734" s="987">
        <v>0.22033900000000001</v>
      </c>
      <c r="G734" s="987">
        <v>0</v>
      </c>
      <c r="H734" s="986">
        <v>6.4000000000000003E-3</v>
      </c>
      <c r="I734" s="986">
        <f t="shared" si="2"/>
        <v>0.21393900000000002</v>
      </c>
      <c r="J734" s="988">
        <v>31778</v>
      </c>
    </row>
    <row r="735" spans="1:10">
      <c r="A735" s="987">
        <v>68</v>
      </c>
      <c r="B735" s="988">
        <v>31809</v>
      </c>
      <c r="C735" s="987" t="s">
        <v>4637</v>
      </c>
      <c r="D735" s="987" t="s">
        <v>4639</v>
      </c>
      <c r="E735" s="987">
        <v>37.875</v>
      </c>
      <c r="F735" s="987">
        <v>5.2082999999999997E-2</v>
      </c>
      <c r="G735" s="987">
        <v>0</v>
      </c>
      <c r="H735" s="986">
        <v>5.8999999999999999E-3</v>
      </c>
      <c r="I735" s="986">
        <f t="shared" si="2"/>
        <v>4.6182999999999995E-2</v>
      </c>
      <c r="J735" s="988">
        <v>31809</v>
      </c>
    </row>
    <row r="736" spans="1:10">
      <c r="A736" s="987">
        <v>68</v>
      </c>
      <c r="B736" s="988">
        <v>31837</v>
      </c>
      <c r="C736" s="987" t="s">
        <v>4637</v>
      </c>
      <c r="D736" s="987" t="s">
        <v>4639</v>
      </c>
      <c r="E736" s="987">
        <v>19.125</v>
      </c>
      <c r="F736" s="987">
        <v>2.5215000000000001E-2</v>
      </c>
      <c r="G736" s="987">
        <v>0.57999999999999996</v>
      </c>
      <c r="H736" s="986">
        <v>6.6E-3</v>
      </c>
      <c r="I736" s="986">
        <f t="shared" si="2"/>
        <v>1.8615E-2</v>
      </c>
      <c r="J736" s="988">
        <v>31837</v>
      </c>
    </row>
    <row r="737" spans="1:10">
      <c r="A737" s="987">
        <v>68</v>
      </c>
      <c r="B737" s="988">
        <v>31868</v>
      </c>
      <c r="C737" s="987" t="s">
        <v>4637</v>
      </c>
      <c r="D737" s="987" t="s">
        <v>4639</v>
      </c>
      <c r="E737" s="987">
        <v>19.25</v>
      </c>
      <c r="F737" s="987">
        <v>6.5360000000000001E-3</v>
      </c>
      <c r="G737" s="987">
        <v>0</v>
      </c>
      <c r="H737" s="986">
        <v>6.4999999999999997E-3</v>
      </c>
      <c r="I737" s="986">
        <f t="shared" si="2"/>
        <v>3.6000000000000441E-5</v>
      </c>
      <c r="J737" s="988">
        <v>31868</v>
      </c>
    </row>
    <row r="738" spans="1:10">
      <c r="A738" s="987">
        <v>68</v>
      </c>
      <c r="B738" s="988">
        <v>31898</v>
      </c>
      <c r="C738" s="987" t="s">
        <v>4637</v>
      </c>
      <c r="D738" s="987" t="s">
        <v>4639</v>
      </c>
      <c r="E738" s="987">
        <v>20.5</v>
      </c>
      <c r="F738" s="987">
        <v>6.4935000000000007E-2</v>
      </c>
      <c r="G738" s="987">
        <v>0</v>
      </c>
      <c r="H738" s="986">
        <v>6.6E-3</v>
      </c>
      <c r="I738" s="986">
        <f t="shared" si="2"/>
        <v>5.8335000000000005E-2</v>
      </c>
      <c r="J738" s="988">
        <v>31898</v>
      </c>
    </row>
    <row r="739" spans="1:10">
      <c r="A739" s="987">
        <v>68</v>
      </c>
      <c r="B739" s="988">
        <v>31929</v>
      </c>
      <c r="C739" s="987" t="s">
        <v>4637</v>
      </c>
      <c r="D739" s="987" t="s">
        <v>4639</v>
      </c>
      <c r="E739" s="987">
        <v>21</v>
      </c>
      <c r="F739" s="987">
        <v>3.9511999999999999E-2</v>
      </c>
      <c r="G739" s="987">
        <v>0.31</v>
      </c>
      <c r="H739" s="986">
        <v>7.4999999999999997E-3</v>
      </c>
      <c r="I739" s="986">
        <f t="shared" si="2"/>
        <v>3.2011999999999999E-2</v>
      </c>
      <c r="J739" s="988">
        <v>31929</v>
      </c>
    </row>
    <row r="740" spans="1:10">
      <c r="A740" s="987">
        <v>68</v>
      </c>
      <c r="B740" s="988">
        <v>31959</v>
      </c>
      <c r="C740" s="987" t="s">
        <v>4637</v>
      </c>
      <c r="D740" s="987" t="s">
        <v>4639</v>
      </c>
      <c r="E740" s="987">
        <v>22.625</v>
      </c>
      <c r="F740" s="987">
        <v>7.7381000000000005E-2</v>
      </c>
      <c r="G740" s="987">
        <v>0</v>
      </c>
      <c r="H740" s="986">
        <v>7.3000000000000001E-3</v>
      </c>
      <c r="I740" s="986">
        <f t="shared" si="2"/>
        <v>7.0081000000000004E-2</v>
      </c>
      <c r="J740" s="988">
        <v>31959</v>
      </c>
    </row>
    <row r="741" spans="1:10">
      <c r="A741" s="987">
        <v>68</v>
      </c>
      <c r="B741" s="988">
        <v>31990</v>
      </c>
      <c r="C741" s="987" t="s">
        <v>4637</v>
      </c>
      <c r="D741" s="987" t="s">
        <v>4639</v>
      </c>
      <c r="E741" s="987">
        <v>22.75</v>
      </c>
      <c r="F741" s="987">
        <v>5.5250000000000004E-3</v>
      </c>
      <c r="G741" s="987">
        <v>0</v>
      </c>
      <c r="H741" s="986">
        <v>7.4999999999999997E-3</v>
      </c>
      <c r="I741" s="986">
        <f t="shared" si="2"/>
        <v>-1.9749999999999993E-3</v>
      </c>
      <c r="J741" s="988">
        <v>31990</v>
      </c>
    </row>
    <row r="742" spans="1:10">
      <c r="A742" s="987">
        <v>68</v>
      </c>
      <c r="B742" s="988">
        <v>32021</v>
      </c>
      <c r="C742" s="987" t="s">
        <v>4637</v>
      </c>
      <c r="D742" s="987" t="s">
        <v>4639</v>
      </c>
      <c r="E742" s="987">
        <v>21.875</v>
      </c>
      <c r="F742" s="987">
        <v>-2.4834999999999999E-2</v>
      </c>
      <c r="G742" s="987">
        <v>0.31</v>
      </c>
      <c r="H742" s="986">
        <v>7.4999999999999997E-3</v>
      </c>
      <c r="I742" s="986">
        <f t="shared" si="2"/>
        <v>-3.2335000000000003E-2</v>
      </c>
      <c r="J742" s="988">
        <v>32021</v>
      </c>
    </row>
    <row r="743" spans="1:10">
      <c r="A743" s="987">
        <v>68</v>
      </c>
      <c r="B743" s="988">
        <v>32051</v>
      </c>
      <c r="C743" s="987" t="s">
        <v>4637</v>
      </c>
      <c r="D743" s="987" t="s">
        <v>4639</v>
      </c>
      <c r="E743" s="987">
        <v>18.125</v>
      </c>
      <c r="F743" s="987">
        <v>-0.171429</v>
      </c>
      <c r="G743" s="987">
        <v>0</v>
      </c>
      <c r="H743" s="986">
        <v>7.9000000000000008E-3</v>
      </c>
      <c r="I743" s="986">
        <f t="shared" si="2"/>
        <v>-0.17932899999999999</v>
      </c>
      <c r="J743" s="988">
        <v>32051</v>
      </c>
    </row>
    <row r="744" spans="1:10">
      <c r="A744" s="987">
        <v>68</v>
      </c>
      <c r="B744" s="988">
        <v>32082</v>
      </c>
      <c r="C744" s="987" t="s">
        <v>4637</v>
      </c>
      <c r="D744" s="987" t="s">
        <v>4639</v>
      </c>
      <c r="E744" s="987">
        <v>18.375</v>
      </c>
      <c r="F744" s="987">
        <v>1.3793E-2</v>
      </c>
      <c r="G744" s="987">
        <v>0</v>
      </c>
      <c r="H744" s="986">
        <v>7.4999999999999997E-3</v>
      </c>
      <c r="I744" s="986">
        <f t="shared" si="2"/>
        <v>6.293E-3</v>
      </c>
      <c r="J744" s="988">
        <v>32082</v>
      </c>
    </row>
    <row r="745" spans="1:10">
      <c r="A745" s="987">
        <v>68</v>
      </c>
      <c r="B745" s="988">
        <v>32112</v>
      </c>
      <c r="C745" s="987" t="s">
        <v>4637</v>
      </c>
      <c r="D745" s="987" t="s">
        <v>4639</v>
      </c>
      <c r="E745" s="987">
        <v>16.5</v>
      </c>
      <c r="F745" s="987">
        <v>-8.5169999999999996E-2</v>
      </c>
      <c r="G745" s="987">
        <v>0.31</v>
      </c>
      <c r="H745" s="986">
        <v>7.7999999999999996E-3</v>
      </c>
      <c r="I745" s="986">
        <f t="shared" si="2"/>
        <v>-9.2969999999999997E-2</v>
      </c>
      <c r="J745" s="988">
        <v>32112</v>
      </c>
    </row>
    <row r="746" spans="1:10">
      <c r="A746" s="987">
        <v>68</v>
      </c>
      <c r="B746" s="988">
        <v>32143</v>
      </c>
      <c r="C746" s="987" t="s">
        <v>4637</v>
      </c>
      <c r="D746" s="987" t="s">
        <v>4639</v>
      </c>
      <c r="E746" s="987">
        <v>17.875</v>
      </c>
      <c r="F746" s="987">
        <v>8.3333000000000004E-2</v>
      </c>
      <c r="G746" s="987">
        <v>0</v>
      </c>
      <c r="H746" s="986">
        <v>7.1999999999999998E-3</v>
      </c>
      <c r="I746" s="986">
        <f t="shared" si="2"/>
        <v>7.6133000000000006E-2</v>
      </c>
      <c r="J746" s="988">
        <v>32143</v>
      </c>
    </row>
    <row r="747" spans="1:10">
      <c r="A747" s="987">
        <v>68</v>
      </c>
      <c r="B747" s="988">
        <v>32174</v>
      </c>
      <c r="C747" s="987" t="s">
        <v>4637</v>
      </c>
      <c r="D747" s="987" t="s">
        <v>4639</v>
      </c>
      <c r="E747" s="987">
        <v>19.5</v>
      </c>
      <c r="F747" s="987">
        <v>9.0909000000000004E-2</v>
      </c>
      <c r="G747" s="987">
        <v>0</v>
      </c>
      <c r="H747" s="986">
        <v>7.1000000000000004E-3</v>
      </c>
      <c r="I747" s="986">
        <f t="shared" si="2"/>
        <v>8.3809000000000008E-2</v>
      </c>
      <c r="J747" s="988">
        <v>32174</v>
      </c>
    </row>
    <row r="748" spans="1:10">
      <c r="A748" s="987">
        <v>68</v>
      </c>
      <c r="B748" s="988">
        <v>32203</v>
      </c>
      <c r="C748" s="987" t="s">
        <v>4637</v>
      </c>
      <c r="D748" s="987" t="s">
        <v>4639</v>
      </c>
      <c r="E748" s="987">
        <v>19.5</v>
      </c>
      <c r="F748" s="987">
        <v>1.5897000000000001E-2</v>
      </c>
      <c r="G748" s="987">
        <v>0.31</v>
      </c>
      <c r="H748" s="986">
        <v>7.1999999999999998E-3</v>
      </c>
      <c r="I748" s="986">
        <f t="shared" si="2"/>
        <v>8.6970000000000016E-3</v>
      </c>
      <c r="J748" s="988">
        <v>32203</v>
      </c>
    </row>
    <row r="749" spans="1:10">
      <c r="A749" s="987">
        <v>68</v>
      </c>
      <c r="B749" s="988">
        <v>32234</v>
      </c>
      <c r="C749" s="987" t="s">
        <v>4637</v>
      </c>
      <c r="D749" s="987" t="s">
        <v>4639</v>
      </c>
      <c r="E749" s="987">
        <v>19.375</v>
      </c>
      <c r="F749" s="987">
        <v>-6.4099999999999999E-3</v>
      </c>
      <c r="G749" s="987">
        <v>0</v>
      </c>
      <c r="H749" s="986">
        <v>7.0000000000000001E-3</v>
      </c>
      <c r="I749" s="986">
        <f t="shared" si="2"/>
        <v>-1.341E-2</v>
      </c>
      <c r="J749" s="988">
        <v>32234</v>
      </c>
    </row>
    <row r="750" spans="1:10">
      <c r="A750" s="987">
        <v>68</v>
      </c>
      <c r="B750" s="988">
        <v>32264</v>
      </c>
      <c r="C750" s="987" t="s">
        <v>4637</v>
      </c>
      <c r="D750" s="987" t="s">
        <v>4639</v>
      </c>
      <c r="E750" s="987">
        <v>18.75</v>
      </c>
      <c r="F750" s="987">
        <v>-3.2258000000000002E-2</v>
      </c>
      <c r="G750" s="987">
        <v>0</v>
      </c>
      <c r="H750" s="986">
        <v>7.7999999999999996E-3</v>
      </c>
      <c r="I750" s="986">
        <f t="shared" si="2"/>
        <v>-4.0058000000000003E-2</v>
      </c>
      <c r="J750" s="988">
        <v>32264</v>
      </c>
    </row>
    <row r="751" spans="1:10">
      <c r="A751" s="987">
        <v>68</v>
      </c>
      <c r="B751" s="988">
        <v>32295</v>
      </c>
      <c r="C751" s="987" t="s">
        <v>4637</v>
      </c>
      <c r="D751" s="987" t="s">
        <v>4639</v>
      </c>
      <c r="E751" s="987">
        <v>18.75</v>
      </c>
      <c r="F751" s="987">
        <v>1.7600000000000001E-2</v>
      </c>
      <c r="G751" s="987">
        <v>0.33</v>
      </c>
      <c r="H751" s="986">
        <v>7.6E-3</v>
      </c>
      <c r="I751" s="986">
        <f t="shared" si="2"/>
        <v>1.0000000000000002E-2</v>
      </c>
      <c r="J751" s="988">
        <v>32295</v>
      </c>
    </row>
    <row r="752" spans="1:10">
      <c r="A752" s="987">
        <v>68</v>
      </c>
      <c r="B752" s="988">
        <v>32325</v>
      </c>
      <c r="C752" s="987" t="s">
        <v>4637</v>
      </c>
      <c r="D752" s="987" t="s">
        <v>4639</v>
      </c>
      <c r="E752" s="987">
        <v>18</v>
      </c>
      <c r="F752" s="987">
        <v>-0.04</v>
      </c>
      <c r="G752" s="987">
        <v>0</v>
      </c>
      <c r="H752" s="986">
        <v>7.1000000000000004E-3</v>
      </c>
      <c r="I752" s="986">
        <f t="shared" si="2"/>
        <v>-4.7100000000000003E-2</v>
      </c>
      <c r="J752" s="988">
        <v>32325</v>
      </c>
    </row>
    <row r="753" spans="1:10">
      <c r="A753" s="987">
        <v>68</v>
      </c>
      <c r="B753" s="988">
        <v>32356</v>
      </c>
      <c r="C753" s="987" t="s">
        <v>4637</v>
      </c>
      <c r="D753" s="987" t="s">
        <v>4639</v>
      </c>
      <c r="E753" s="987">
        <v>18</v>
      </c>
      <c r="F753" s="987">
        <v>0</v>
      </c>
      <c r="G753" s="987">
        <v>0</v>
      </c>
      <c r="H753" s="986">
        <v>8.3000000000000001E-3</v>
      </c>
      <c r="I753" s="986">
        <f t="shared" si="2"/>
        <v>-8.3000000000000001E-3</v>
      </c>
      <c r="J753" s="988">
        <v>32356</v>
      </c>
    </row>
    <row r="754" spans="1:10">
      <c r="A754" s="987">
        <v>68</v>
      </c>
      <c r="B754" s="988">
        <v>32387</v>
      </c>
      <c r="C754" s="987" t="s">
        <v>4637</v>
      </c>
      <c r="D754" s="987" t="s">
        <v>4639</v>
      </c>
      <c r="E754" s="987">
        <v>19.625</v>
      </c>
      <c r="F754" s="987">
        <v>0.108611</v>
      </c>
      <c r="G754" s="987">
        <v>0.33</v>
      </c>
      <c r="H754" s="986">
        <v>7.6E-3</v>
      </c>
      <c r="I754" s="986">
        <f t="shared" si="2"/>
        <v>0.101011</v>
      </c>
      <c r="J754" s="988">
        <v>32387</v>
      </c>
    </row>
    <row r="755" spans="1:10">
      <c r="A755" s="987">
        <v>68</v>
      </c>
      <c r="B755" s="988">
        <v>32417</v>
      </c>
      <c r="C755" s="987" t="s">
        <v>4637</v>
      </c>
      <c r="D755" s="987" t="s">
        <v>4639</v>
      </c>
      <c r="E755" s="987">
        <v>19</v>
      </c>
      <c r="F755" s="987">
        <v>-3.1847E-2</v>
      </c>
      <c r="G755" s="987">
        <v>0</v>
      </c>
      <c r="H755" s="986">
        <v>7.6E-3</v>
      </c>
      <c r="I755" s="986">
        <f t="shared" si="2"/>
        <v>-3.9447000000000003E-2</v>
      </c>
      <c r="J755" s="988">
        <v>32417</v>
      </c>
    </row>
    <row r="756" spans="1:10">
      <c r="A756" s="987">
        <v>68</v>
      </c>
      <c r="B756" s="988">
        <v>32448</v>
      </c>
      <c r="C756" s="987" t="s">
        <v>4637</v>
      </c>
      <c r="D756" s="987" t="s">
        <v>4639</v>
      </c>
      <c r="E756" s="987">
        <v>19.125</v>
      </c>
      <c r="F756" s="987">
        <v>6.5789999999999998E-3</v>
      </c>
      <c r="G756" s="987">
        <v>0</v>
      </c>
      <c r="H756" s="986">
        <v>7.0000000000000001E-3</v>
      </c>
      <c r="I756" s="986">
        <f t="shared" si="2"/>
        <v>-4.2100000000000037E-4</v>
      </c>
      <c r="J756" s="988">
        <v>32448</v>
      </c>
    </row>
    <row r="757" spans="1:10">
      <c r="A757" s="987">
        <v>68</v>
      </c>
      <c r="B757" s="988">
        <v>32478</v>
      </c>
      <c r="C757" s="987" t="s">
        <v>4637</v>
      </c>
      <c r="D757" s="987" t="s">
        <v>4639</v>
      </c>
      <c r="E757" s="987">
        <v>17.75</v>
      </c>
      <c r="F757" s="987">
        <v>-5.4641000000000002E-2</v>
      </c>
      <c r="G757" s="987">
        <v>0.33</v>
      </c>
      <c r="H757" s="986">
        <v>7.4999999999999997E-3</v>
      </c>
      <c r="I757" s="986">
        <f t="shared" si="2"/>
        <v>-6.2141000000000002E-2</v>
      </c>
      <c r="J757" s="988">
        <v>32478</v>
      </c>
    </row>
    <row r="758" spans="1:10">
      <c r="A758" s="987">
        <v>68</v>
      </c>
      <c r="B758" s="988">
        <v>32509</v>
      </c>
      <c r="C758" s="987" t="s">
        <v>4637</v>
      </c>
      <c r="D758" s="987" t="s">
        <v>4639</v>
      </c>
      <c r="E758" s="987">
        <v>18.375</v>
      </c>
      <c r="F758" s="987">
        <v>3.5210999999999999E-2</v>
      </c>
      <c r="G758" s="987">
        <v>0</v>
      </c>
      <c r="H758" s="986">
        <v>8.0000000000000002E-3</v>
      </c>
      <c r="I758" s="986">
        <f t="shared" ref="I758:I821" si="3">F758-H758</f>
        <v>2.7210999999999999E-2</v>
      </c>
      <c r="J758" s="988">
        <v>32509</v>
      </c>
    </row>
    <row r="759" spans="1:10">
      <c r="A759" s="987">
        <v>68</v>
      </c>
      <c r="B759" s="988">
        <v>32540</v>
      </c>
      <c r="C759" s="987" t="s">
        <v>4637</v>
      </c>
      <c r="D759" s="987" t="s">
        <v>4639</v>
      </c>
      <c r="E759" s="987">
        <v>18.5</v>
      </c>
      <c r="F759" s="987">
        <v>6.803E-3</v>
      </c>
      <c r="G759" s="987">
        <v>0</v>
      </c>
      <c r="H759" s="986">
        <v>6.8999999999999999E-3</v>
      </c>
      <c r="I759" s="986">
        <f t="shared" si="3"/>
        <v>-9.6999999999999864E-5</v>
      </c>
      <c r="J759" s="988">
        <v>32540</v>
      </c>
    </row>
    <row r="760" spans="1:10">
      <c r="A760" s="987">
        <v>68</v>
      </c>
      <c r="B760" s="988">
        <v>32568</v>
      </c>
      <c r="C760" s="987" t="s">
        <v>4637</v>
      </c>
      <c r="D760" s="987" t="s">
        <v>4639</v>
      </c>
      <c r="E760" s="987">
        <v>17.625</v>
      </c>
      <c r="F760" s="987">
        <v>-2.9458999999999999E-2</v>
      </c>
      <c r="G760" s="987">
        <v>0.33</v>
      </c>
      <c r="H760" s="986">
        <v>7.9000000000000008E-3</v>
      </c>
      <c r="I760" s="986">
        <f t="shared" si="3"/>
        <v>-3.7359000000000003E-2</v>
      </c>
      <c r="J760" s="988">
        <v>32568</v>
      </c>
    </row>
    <row r="761" spans="1:10">
      <c r="A761" s="987">
        <v>68</v>
      </c>
      <c r="B761" s="988">
        <v>32599</v>
      </c>
      <c r="C761" s="987" t="s">
        <v>4637</v>
      </c>
      <c r="D761" s="987" t="s">
        <v>4639</v>
      </c>
      <c r="E761" s="987">
        <v>17.5</v>
      </c>
      <c r="F761" s="987">
        <v>-7.0920000000000002E-3</v>
      </c>
      <c r="G761" s="987">
        <v>0</v>
      </c>
      <c r="H761" s="986">
        <v>7.0000000000000001E-3</v>
      </c>
      <c r="I761" s="986">
        <f t="shared" si="3"/>
        <v>-1.4092E-2</v>
      </c>
      <c r="J761" s="988">
        <v>32599</v>
      </c>
    </row>
    <row r="762" spans="1:10">
      <c r="A762" s="987">
        <v>68</v>
      </c>
      <c r="B762" s="988">
        <v>32629</v>
      </c>
      <c r="C762" s="987" t="s">
        <v>4637</v>
      </c>
      <c r="D762" s="987" t="s">
        <v>4639</v>
      </c>
      <c r="E762" s="987">
        <v>19.625</v>
      </c>
      <c r="F762" s="987">
        <v>0.121429</v>
      </c>
      <c r="G762" s="987">
        <v>0</v>
      </c>
      <c r="H762" s="986">
        <v>8.0000000000000002E-3</v>
      </c>
      <c r="I762" s="986">
        <f t="shared" si="3"/>
        <v>0.113429</v>
      </c>
      <c r="J762" s="988">
        <v>32629</v>
      </c>
    </row>
    <row r="763" spans="1:10">
      <c r="A763" s="987">
        <v>68</v>
      </c>
      <c r="B763" s="988">
        <v>32660</v>
      </c>
      <c r="C763" s="987" t="s">
        <v>4637</v>
      </c>
      <c r="D763" s="987" t="s">
        <v>4639</v>
      </c>
      <c r="E763" s="987">
        <v>20</v>
      </c>
      <c r="F763" s="987">
        <v>3.6942999999999997E-2</v>
      </c>
      <c r="G763" s="987">
        <v>0.35</v>
      </c>
      <c r="H763" s="986">
        <v>7.0000000000000001E-3</v>
      </c>
      <c r="I763" s="986">
        <f t="shared" si="3"/>
        <v>2.9942999999999997E-2</v>
      </c>
      <c r="J763" s="988">
        <v>32660</v>
      </c>
    </row>
    <row r="764" spans="1:10">
      <c r="A764" s="987">
        <v>68</v>
      </c>
      <c r="B764" s="988">
        <v>32690</v>
      </c>
      <c r="C764" s="987" t="s">
        <v>4637</v>
      </c>
      <c r="D764" s="987" t="s">
        <v>4639</v>
      </c>
      <c r="E764" s="987">
        <v>20.375</v>
      </c>
      <c r="F764" s="987">
        <v>1.8749999999999999E-2</v>
      </c>
      <c r="G764" s="987">
        <v>0</v>
      </c>
      <c r="H764" s="986">
        <v>6.7999999999999996E-3</v>
      </c>
      <c r="I764" s="986">
        <f t="shared" si="3"/>
        <v>1.1949999999999999E-2</v>
      </c>
      <c r="J764" s="988">
        <v>32690</v>
      </c>
    </row>
    <row r="765" spans="1:10">
      <c r="A765" s="987">
        <v>68</v>
      </c>
      <c r="B765" s="988">
        <v>32721</v>
      </c>
      <c r="C765" s="987" t="s">
        <v>4637</v>
      </c>
      <c r="D765" s="987" t="s">
        <v>4639</v>
      </c>
      <c r="E765" s="987">
        <v>20</v>
      </c>
      <c r="F765" s="987">
        <v>-1.8405000000000001E-2</v>
      </c>
      <c r="G765" s="987">
        <v>0</v>
      </c>
      <c r="H765" s="986">
        <v>6.6E-3</v>
      </c>
      <c r="I765" s="986">
        <f t="shared" si="3"/>
        <v>-2.5004999999999999E-2</v>
      </c>
      <c r="J765" s="988">
        <v>32721</v>
      </c>
    </row>
    <row r="766" spans="1:10">
      <c r="A766" s="987">
        <v>68</v>
      </c>
      <c r="B766" s="988">
        <v>32752</v>
      </c>
      <c r="C766" s="987" t="s">
        <v>4637</v>
      </c>
      <c r="D766" s="987" t="s">
        <v>4639</v>
      </c>
      <c r="E766" s="987">
        <v>19.5</v>
      </c>
      <c r="F766" s="987">
        <v>-7.4999999999999997E-3</v>
      </c>
      <c r="G766" s="987">
        <v>0.35</v>
      </c>
      <c r="H766" s="986">
        <v>6.4999999999999997E-3</v>
      </c>
      <c r="I766" s="986">
        <f t="shared" si="3"/>
        <v>-1.3999999999999999E-2</v>
      </c>
      <c r="J766" s="988">
        <v>32752</v>
      </c>
    </row>
    <row r="767" spans="1:10">
      <c r="A767" s="987">
        <v>68</v>
      </c>
      <c r="B767" s="988">
        <v>32782</v>
      </c>
      <c r="C767" s="987" t="s">
        <v>4637</v>
      </c>
      <c r="D767" s="987" t="s">
        <v>4639</v>
      </c>
      <c r="E767" s="987">
        <v>19.625</v>
      </c>
      <c r="F767" s="987">
        <v>6.4099999999999999E-3</v>
      </c>
      <c r="G767" s="987">
        <v>0</v>
      </c>
      <c r="H767" s="986">
        <v>7.1999999999999998E-3</v>
      </c>
      <c r="I767" s="986">
        <f t="shared" si="3"/>
        <v>-7.899999999999999E-4</v>
      </c>
      <c r="J767" s="988">
        <v>32782</v>
      </c>
    </row>
    <row r="768" spans="1:10">
      <c r="A768" s="987">
        <v>68</v>
      </c>
      <c r="B768" s="988">
        <v>32813</v>
      </c>
      <c r="C768" s="987" t="s">
        <v>4637</v>
      </c>
      <c r="D768" s="987" t="s">
        <v>4639</v>
      </c>
      <c r="E768" s="987">
        <v>20.875</v>
      </c>
      <c r="F768" s="987">
        <v>6.3694000000000001E-2</v>
      </c>
      <c r="G768" s="987">
        <v>0</v>
      </c>
      <c r="H768" s="986">
        <v>6.4000000000000003E-3</v>
      </c>
      <c r="I768" s="986">
        <f t="shared" si="3"/>
        <v>5.7293999999999998E-2</v>
      </c>
      <c r="J768" s="988">
        <v>32813</v>
      </c>
    </row>
    <row r="769" spans="1:10">
      <c r="A769" s="987">
        <v>68</v>
      </c>
      <c r="B769" s="988">
        <v>32843</v>
      </c>
      <c r="C769" s="987" t="s">
        <v>4637</v>
      </c>
      <c r="D769" s="987" t="s">
        <v>4639</v>
      </c>
      <c r="E769" s="987">
        <v>21</v>
      </c>
      <c r="F769" s="987">
        <v>2.2754E-2</v>
      </c>
      <c r="G769" s="987">
        <v>0.35</v>
      </c>
      <c r="H769" s="986">
        <v>6.4000000000000003E-3</v>
      </c>
      <c r="I769" s="986">
        <f t="shared" si="3"/>
        <v>1.6354E-2</v>
      </c>
      <c r="J769" s="988">
        <v>32843</v>
      </c>
    </row>
    <row r="770" spans="1:10">
      <c r="A770" s="987">
        <v>68</v>
      </c>
      <c r="B770" s="988">
        <v>32874</v>
      </c>
      <c r="C770" s="987" t="s">
        <v>4637</v>
      </c>
      <c r="D770" s="987" t="s">
        <v>4639</v>
      </c>
      <c r="E770" s="987">
        <v>18.75</v>
      </c>
      <c r="F770" s="987">
        <v>-0.107143</v>
      </c>
      <c r="G770" s="987">
        <v>0</v>
      </c>
      <c r="H770" s="986">
        <v>7.3000000000000001E-3</v>
      </c>
      <c r="I770" s="986">
        <f t="shared" si="3"/>
        <v>-0.114443</v>
      </c>
      <c r="J770" s="988">
        <v>32874</v>
      </c>
    </row>
    <row r="771" spans="1:10">
      <c r="A771" s="987">
        <v>68</v>
      </c>
      <c r="B771" s="988">
        <v>32905</v>
      </c>
      <c r="C771" s="987" t="s">
        <v>4637</v>
      </c>
      <c r="D771" s="987" t="s">
        <v>4639</v>
      </c>
      <c r="E771" s="987">
        <v>19.125</v>
      </c>
      <c r="F771" s="987">
        <v>0.02</v>
      </c>
      <c r="G771" s="987">
        <v>0</v>
      </c>
      <c r="H771" s="986">
        <v>6.6E-3</v>
      </c>
      <c r="I771" s="986">
        <f t="shared" si="3"/>
        <v>1.34E-2</v>
      </c>
      <c r="J771" s="988">
        <v>32905</v>
      </c>
    </row>
    <row r="772" spans="1:10">
      <c r="A772" s="987">
        <v>68</v>
      </c>
      <c r="B772" s="988">
        <v>32933</v>
      </c>
      <c r="C772" s="987" t="s">
        <v>4637</v>
      </c>
      <c r="D772" s="987" t="s">
        <v>4639</v>
      </c>
      <c r="E772" s="987">
        <v>18.5</v>
      </c>
      <c r="F772" s="987">
        <v>-1.4378999999999999E-2</v>
      </c>
      <c r="G772" s="987">
        <v>0.35</v>
      </c>
      <c r="H772" s="986">
        <v>7.1000000000000004E-3</v>
      </c>
      <c r="I772" s="986">
        <f t="shared" si="3"/>
        <v>-2.1478999999999998E-2</v>
      </c>
      <c r="J772" s="988">
        <v>32933</v>
      </c>
    </row>
    <row r="773" spans="1:10">
      <c r="A773" s="987">
        <v>68</v>
      </c>
      <c r="B773" s="988">
        <v>32964</v>
      </c>
      <c r="C773" s="987" t="s">
        <v>4637</v>
      </c>
      <c r="D773" s="987" t="s">
        <v>4639</v>
      </c>
      <c r="E773" s="987">
        <v>18</v>
      </c>
      <c r="F773" s="987">
        <v>-2.7026999999999999E-2</v>
      </c>
      <c r="G773" s="987">
        <v>0</v>
      </c>
      <c r="H773" s="986">
        <v>7.4999999999999997E-3</v>
      </c>
      <c r="I773" s="986">
        <f t="shared" si="3"/>
        <v>-3.4527000000000002E-2</v>
      </c>
      <c r="J773" s="988">
        <v>32964</v>
      </c>
    </row>
    <row r="774" spans="1:10">
      <c r="A774" s="987">
        <v>68</v>
      </c>
      <c r="B774" s="988">
        <v>32994</v>
      </c>
      <c r="C774" s="987" t="s">
        <v>4637</v>
      </c>
      <c r="D774" s="987" t="s">
        <v>4639</v>
      </c>
      <c r="E774" s="987">
        <v>19</v>
      </c>
      <c r="F774" s="987">
        <v>5.5556000000000001E-2</v>
      </c>
      <c r="G774" s="987">
        <v>0</v>
      </c>
      <c r="H774" s="986">
        <v>7.4999999999999997E-3</v>
      </c>
      <c r="I774" s="986">
        <f t="shared" si="3"/>
        <v>4.8056000000000001E-2</v>
      </c>
      <c r="J774" s="988">
        <v>32994</v>
      </c>
    </row>
    <row r="775" spans="1:10">
      <c r="A775" s="987">
        <v>68</v>
      </c>
      <c r="B775" s="988">
        <v>33025</v>
      </c>
      <c r="C775" s="987" t="s">
        <v>4637</v>
      </c>
      <c r="D775" s="987" t="s">
        <v>4639</v>
      </c>
      <c r="E775" s="987">
        <v>18.5</v>
      </c>
      <c r="F775" s="987">
        <v>-6.842E-3</v>
      </c>
      <c r="G775" s="987">
        <v>0.37</v>
      </c>
      <c r="H775" s="986">
        <v>6.7999999999999996E-3</v>
      </c>
      <c r="I775" s="986">
        <f t="shared" si="3"/>
        <v>-1.3642E-2</v>
      </c>
      <c r="J775" s="988">
        <v>33025</v>
      </c>
    </row>
    <row r="776" spans="1:10">
      <c r="A776" s="987">
        <v>68</v>
      </c>
      <c r="B776" s="988">
        <v>33055</v>
      </c>
      <c r="C776" s="987" t="s">
        <v>4637</v>
      </c>
      <c r="D776" s="987" t="s">
        <v>4639</v>
      </c>
      <c r="E776" s="987">
        <v>18</v>
      </c>
      <c r="F776" s="987">
        <v>-2.7026999999999999E-2</v>
      </c>
      <c r="G776" s="987">
        <v>0</v>
      </c>
      <c r="H776" s="986">
        <v>7.4000000000000003E-3</v>
      </c>
      <c r="I776" s="986">
        <f t="shared" si="3"/>
        <v>-3.4426999999999999E-2</v>
      </c>
      <c r="J776" s="988">
        <v>33055</v>
      </c>
    </row>
    <row r="777" spans="1:10">
      <c r="A777" s="987">
        <v>68</v>
      </c>
      <c r="B777" s="988">
        <v>33086</v>
      </c>
      <c r="C777" s="987" t="s">
        <v>4637</v>
      </c>
      <c r="D777" s="987" t="s">
        <v>4639</v>
      </c>
      <c r="E777" s="987">
        <v>17.125</v>
      </c>
      <c r="F777" s="987">
        <v>-4.8611000000000001E-2</v>
      </c>
      <c r="G777" s="987">
        <v>0</v>
      </c>
      <c r="H777" s="986">
        <v>7.1000000000000004E-3</v>
      </c>
      <c r="I777" s="986">
        <f t="shared" si="3"/>
        <v>-5.5711000000000004E-2</v>
      </c>
      <c r="J777" s="988">
        <v>33086</v>
      </c>
    </row>
    <row r="778" spans="1:10">
      <c r="A778" s="987">
        <v>68</v>
      </c>
      <c r="B778" s="988">
        <v>33117</v>
      </c>
      <c r="C778" s="987" t="s">
        <v>4637</v>
      </c>
      <c r="D778" s="987" t="s">
        <v>4639</v>
      </c>
      <c r="E778" s="987">
        <v>18</v>
      </c>
      <c r="F778" s="987">
        <v>7.2701000000000002E-2</v>
      </c>
      <c r="G778" s="987">
        <v>0.37</v>
      </c>
      <c r="H778" s="986">
        <v>6.8999999999999999E-3</v>
      </c>
      <c r="I778" s="986">
        <f t="shared" si="3"/>
        <v>6.5800999999999998E-2</v>
      </c>
      <c r="J778" s="988">
        <v>33117</v>
      </c>
    </row>
    <row r="779" spans="1:10">
      <c r="A779" s="987">
        <v>68</v>
      </c>
      <c r="B779" s="988">
        <v>33147</v>
      </c>
      <c r="C779" s="987" t="s">
        <v>4637</v>
      </c>
      <c r="D779" s="987" t="s">
        <v>4639</v>
      </c>
      <c r="E779" s="987">
        <v>17.75</v>
      </c>
      <c r="F779" s="987">
        <v>-1.3889E-2</v>
      </c>
      <c r="G779" s="987">
        <v>0</v>
      </c>
      <c r="H779" s="986">
        <v>8.0999999999999996E-3</v>
      </c>
      <c r="I779" s="986">
        <f t="shared" si="3"/>
        <v>-2.1989000000000002E-2</v>
      </c>
      <c r="J779" s="988">
        <v>33147</v>
      </c>
    </row>
    <row r="780" spans="1:10">
      <c r="A780" s="987">
        <v>68</v>
      </c>
      <c r="B780" s="988">
        <v>33178</v>
      </c>
      <c r="C780" s="987" t="s">
        <v>4637</v>
      </c>
      <c r="D780" s="987" t="s">
        <v>4639</v>
      </c>
      <c r="E780" s="987">
        <v>18.375</v>
      </c>
      <c r="F780" s="987">
        <v>3.5210999999999999E-2</v>
      </c>
      <c r="G780" s="987">
        <v>0</v>
      </c>
      <c r="H780" s="986">
        <v>7.1000000000000004E-3</v>
      </c>
      <c r="I780" s="986">
        <f t="shared" si="3"/>
        <v>2.8110999999999997E-2</v>
      </c>
      <c r="J780" s="988">
        <v>33178</v>
      </c>
    </row>
    <row r="781" spans="1:10">
      <c r="A781" s="987">
        <v>68</v>
      </c>
      <c r="B781" s="988">
        <v>33208</v>
      </c>
      <c r="C781" s="987" t="s">
        <v>4637</v>
      </c>
      <c r="D781" s="987" t="s">
        <v>4639</v>
      </c>
      <c r="E781" s="987">
        <v>18.375</v>
      </c>
      <c r="F781" s="987">
        <v>2.0136000000000001E-2</v>
      </c>
      <c r="G781" s="987">
        <v>0.37</v>
      </c>
      <c r="H781" s="986">
        <v>7.1999999999999998E-3</v>
      </c>
      <c r="I781" s="986">
        <f t="shared" si="3"/>
        <v>1.2936000000000001E-2</v>
      </c>
      <c r="J781" s="988">
        <v>33208</v>
      </c>
    </row>
    <row r="782" spans="1:10">
      <c r="A782" s="987">
        <v>68</v>
      </c>
      <c r="B782" s="988">
        <v>33239</v>
      </c>
      <c r="C782" s="987" t="s">
        <v>4637</v>
      </c>
      <c r="D782" s="987" t="s">
        <v>4639</v>
      </c>
      <c r="E782" s="987">
        <v>17.875</v>
      </c>
      <c r="F782" s="987">
        <v>-2.7210999999999999E-2</v>
      </c>
      <c r="G782" s="987">
        <v>0</v>
      </c>
      <c r="H782" s="986">
        <v>7.1000000000000004E-3</v>
      </c>
      <c r="I782" s="986">
        <f t="shared" si="3"/>
        <v>-3.4311000000000001E-2</v>
      </c>
      <c r="J782" s="988">
        <v>33239</v>
      </c>
    </row>
    <row r="783" spans="1:10">
      <c r="A783" s="987">
        <v>68</v>
      </c>
      <c r="B783" s="988">
        <v>33270</v>
      </c>
      <c r="C783" s="987" t="s">
        <v>4637</v>
      </c>
      <c r="D783" s="987" t="s">
        <v>4639</v>
      </c>
      <c r="E783" s="987">
        <v>18.5</v>
      </c>
      <c r="F783" s="987">
        <v>3.4965000000000003E-2</v>
      </c>
      <c r="G783" s="987">
        <v>0</v>
      </c>
      <c r="H783" s="986">
        <v>6.4000000000000003E-3</v>
      </c>
      <c r="I783" s="986">
        <f t="shared" si="3"/>
        <v>2.8565000000000004E-2</v>
      </c>
      <c r="J783" s="988">
        <v>33270</v>
      </c>
    </row>
    <row r="784" spans="1:10">
      <c r="A784" s="987">
        <v>68</v>
      </c>
      <c r="B784" s="988">
        <v>33298</v>
      </c>
      <c r="C784" s="987" t="s">
        <v>4637</v>
      </c>
      <c r="D784" s="987" t="s">
        <v>4639</v>
      </c>
      <c r="E784" s="987">
        <v>17.75</v>
      </c>
      <c r="F784" s="987">
        <v>-2.0541E-2</v>
      </c>
      <c r="G784" s="987">
        <v>0.37</v>
      </c>
      <c r="H784" s="986">
        <v>6.4000000000000003E-3</v>
      </c>
      <c r="I784" s="986">
        <f t="shared" si="3"/>
        <v>-2.6941E-2</v>
      </c>
      <c r="J784" s="988">
        <v>33298</v>
      </c>
    </row>
    <row r="785" spans="1:10">
      <c r="A785" s="987">
        <v>68</v>
      </c>
      <c r="B785" s="988">
        <v>33329</v>
      </c>
      <c r="C785" s="987" t="s">
        <v>4637</v>
      </c>
      <c r="D785" s="987" t="s">
        <v>4639</v>
      </c>
      <c r="E785" s="987">
        <v>18.875</v>
      </c>
      <c r="F785" s="987">
        <v>6.3380000000000006E-2</v>
      </c>
      <c r="G785" s="987">
        <v>0</v>
      </c>
      <c r="H785" s="986">
        <v>7.6E-3</v>
      </c>
      <c r="I785" s="986">
        <f t="shared" si="3"/>
        <v>5.5780000000000003E-2</v>
      </c>
      <c r="J785" s="988">
        <v>33329</v>
      </c>
    </row>
    <row r="786" spans="1:10">
      <c r="A786" s="987">
        <v>68</v>
      </c>
      <c r="B786" s="988">
        <v>33359</v>
      </c>
      <c r="C786" s="987" t="s">
        <v>4637</v>
      </c>
      <c r="D786" s="987" t="s">
        <v>4639</v>
      </c>
      <c r="E786" s="987">
        <v>19.5</v>
      </c>
      <c r="F786" s="987">
        <v>3.3112999999999997E-2</v>
      </c>
      <c r="G786" s="987">
        <v>0</v>
      </c>
      <c r="H786" s="986">
        <v>6.7999999999999996E-3</v>
      </c>
      <c r="I786" s="986">
        <f t="shared" si="3"/>
        <v>2.6312999999999996E-2</v>
      </c>
      <c r="J786" s="988">
        <v>33359</v>
      </c>
    </row>
    <row r="787" spans="1:10">
      <c r="A787" s="987">
        <v>68</v>
      </c>
      <c r="B787" s="988">
        <v>33390</v>
      </c>
      <c r="C787" s="987" t="s">
        <v>4637</v>
      </c>
      <c r="D787" s="987" t="s">
        <v>4639</v>
      </c>
      <c r="E787" s="987">
        <v>18.625</v>
      </c>
      <c r="F787" s="987">
        <v>-2.5385000000000001E-2</v>
      </c>
      <c r="G787" s="987">
        <v>0.38</v>
      </c>
      <c r="H787" s="986">
        <v>6.3E-3</v>
      </c>
      <c r="I787" s="986">
        <f t="shared" si="3"/>
        <v>-3.1685000000000005E-2</v>
      </c>
      <c r="J787" s="988">
        <v>33390</v>
      </c>
    </row>
    <row r="788" spans="1:10">
      <c r="A788" s="987">
        <v>68</v>
      </c>
      <c r="B788" s="988">
        <v>33420</v>
      </c>
      <c r="C788" s="987" t="s">
        <v>4637</v>
      </c>
      <c r="D788" s="987" t="s">
        <v>4639</v>
      </c>
      <c r="E788" s="987">
        <v>18.375</v>
      </c>
      <c r="F788" s="987">
        <v>-1.3422999999999999E-2</v>
      </c>
      <c r="G788" s="987">
        <v>0</v>
      </c>
      <c r="H788" s="986">
        <v>7.6E-3</v>
      </c>
      <c r="I788" s="986">
        <f t="shared" si="3"/>
        <v>-2.1023E-2</v>
      </c>
      <c r="J788" s="988">
        <v>33420</v>
      </c>
    </row>
    <row r="789" spans="1:10">
      <c r="A789" s="987">
        <v>68</v>
      </c>
      <c r="B789" s="988">
        <v>33451</v>
      </c>
      <c r="C789" s="987" t="s">
        <v>4637</v>
      </c>
      <c r="D789" s="987" t="s">
        <v>4639</v>
      </c>
      <c r="E789" s="987">
        <v>18.875</v>
      </c>
      <c r="F789" s="987">
        <v>2.7210999999999999E-2</v>
      </c>
      <c r="G789" s="987">
        <v>0</v>
      </c>
      <c r="H789" s="986">
        <v>6.7999999999999996E-3</v>
      </c>
      <c r="I789" s="986">
        <f t="shared" si="3"/>
        <v>2.0410999999999999E-2</v>
      </c>
      <c r="J789" s="988">
        <v>33451</v>
      </c>
    </row>
    <row r="790" spans="1:10">
      <c r="A790" s="987">
        <v>68</v>
      </c>
      <c r="B790" s="988">
        <v>33482</v>
      </c>
      <c r="C790" s="987" t="s">
        <v>4637</v>
      </c>
      <c r="D790" s="987" t="s">
        <v>4639</v>
      </c>
      <c r="E790" s="987">
        <v>19.75</v>
      </c>
      <c r="F790" s="987">
        <v>6.6489999999999994E-2</v>
      </c>
      <c r="G790" s="987">
        <v>0.38</v>
      </c>
      <c r="H790" s="986">
        <v>6.7999999999999996E-3</v>
      </c>
      <c r="I790" s="986">
        <f t="shared" si="3"/>
        <v>5.9689999999999993E-2</v>
      </c>
      <c r="J790" s="988">
        <v>33482</v>
      </c>
    </row>
    <row r="791" spans="1:10">
      <c r="A791" s="987">
        <v>68</v>
      </c>
      <c r="B791" s="988">
        <v>33512</v>
      </c>
      <c r="C791" s="987" t="s">
        <v>4637</v>
      </c>
      <c r="D791" s="987" t="s">
        <v>4639</v>
      </c>
      <c r="E791" s="987">
        <v>19.25</v>
      </c>
      <c r="F791" s="987">
        <v>-2.5316000000000002E-2</v>
      </c>
      <c r="G791" s="987">
        <v>0</v>
      </c>
      <c r="H791" s="986">
        <v>6.4999999999999997E-3</v>
      </c>
      <c r="I791" s="986">
        <f t="shared" si="3"/>
        <v>-3.1816000000000004E-2</v>
      </c>
      <c r="J791" s="988">
        <v>33512</v>
      </c>
    </row>
    <row r="792" spans="1:10">
      <c r="A792" s="987">
        <v>68</v>
      </c>
      <c r="B792" s="988">
        <v>33543</v>
      </c>
      <c r="C792" s="987" t="s">
        <v>4637</v>
      </c>
      <c r="D792" s="987" t="s">
        <v>4639</v>
      </c>
      <c r="E792" s="987">
        <v>20.375</v>
      </c>
      <c r="F792" s="987">
        <v>5.8442000000000001E-2</v>
      </c>
      <c r="G792" s="987">
        <v>0</v>
      </c>
      <c r="H792" s="986">
        <v>6.0000000000000001E-3</v>
      </c>
      <c r="I792" s="986">
        <f t="shared" si="3"/>
        <v>5.2442000000000003E-2</v>
      </c>
      <c r="J792" s="988">
        <v>33543</v>
      </c>
    </row>
    <row r="793" spans="1:10">
      <c r="A793" s="987">
        <v>68</v>
      </c>
      <c r="B793" s="988">
        <v>33573</v>
      </c>
      <c r="C793" s="987" t="s">
        <v>4637</v>
      </c>
      <c r="D793" s="987" t="s">
        <v>4639</v>
      </c>
      <c r="E793" s="987">
        <v>20.375</v>
      </c>
      <c r="F793" s="987">
        <v>1.865E-2</v>
      </c>
      <c r="G793" s="987">
        <v>0.38</v>
      </c>
      <c r="H793" s="986">
        <v>6.7999999999999996E-3</v>
      </c>
      <c r="I793" s="986">
        <f t="shared" si="3"/>
        <v>1.1849999999999999E-2</v>
      </c>
      <c r="J793" s="988">
        <v>33573</v>
      </c>
    </row>
    <row r="794" spans="1:10">
      <c r="A794" s="987">
        <v>68</v>
      </c>
      <c r="B794" s="988">
        <v>33604</v>
      </c>
      <c r="C794" s="987" t="s">
        <v>4637</v>
      </c>
      <c r="D794" s="987" t="s">
        <v>4639</v>
      </c>
      <c r="E794" s="987">
        <v>19</v>
      </c>
      <c r="F794" s="987">
        <v>-6.7485000000000003E-2</v>
      </c>
      <c r="G794" s="987">
        <v>0</v>
      </c>
      <c r="H794" s="986">
        <v>6.1000000000000004E-3</v>
      </c>
      <c r="I794" s="986">
        <f t="shared" si="3"/>
        <v>-7.3584999999999998E-2</v>
      </c>
      <c r="J794" s="988">
        <v>33604</v>
      </c>
    </row>
    <row r="795" spans="1:10">
      <c r="A795" s="987">
        <v>68</v>
      </c>
      <c r="B795" s="988">
        <v>33635</v>
      </c>
      <c r="C795" s="987" t="s">
        <v>4637</v>
      </c>
      <c r="D795" s="987" t="s">
        <v>4639</v>
      </c>
      <c r="E795" s="987">
        <v>18.875</v>
      </c>
      <c r="F795" s="987">
        <v>-6.5789999999999998E-3</v>
      </c>
      <c r="G795" s="987">
        <v>0</v>
      </c>
      <c r="H795" s="986">
        <v>5.8999999999999999E-3</v>
      </c>
      <c r="I795" s="986">
        <f t="shared" si="3"/>
        <v>-1.2479000000000001E-2</v>
      </c>
      <c r="J795" s="988">
        <v>33635</v>
      </c>
    </row>
    <row r="796" spans="1:10">
      <c r="A796" s="987">
        <v>68</v>
      </c>
      <c r="B796" s="988">
        <v>33664</v>
      </c>
      <c r="C796" s="987" t="s">
        <v>4637</v>
      </c>
      <c r="D796" s="987" t="s">
        <v>4639</v>
      </c>
      <c r="E796" s="987">
        <v>19</v>
      </c>
      <c r="F796" s="987">
        <v>2.6755000000000001E-2</v>
      </c>
      <c r="G796" s="987">
        <v>0.38</v>
      </c>
      <c r="H796" s="986">
        <v>6.7000000000000002E-3</v>
      </c>
      <c r="I796" s="986">
        <f t="shared" si="3"/>
        <v>2.0055E-2</v>
      </c>
      <c r="J796" s="988">
        <v>33664</v>
      </c>
    </row>
    <row r="797" spans="1:10">
      <c r="A797" s="987">
        <v>68</v>
      </c>
      <c r="B797" s="988">
        <v>33695</v>
      </c>
      <c r="C797" s="987" t="s">
        <v>4637</v>
      </c>
      <c r="D797" s="987" t="s">
        <v>4639</v>
      </c>
      <c r="E797" s="987">
        <v>19.75</v>
      </c>
      <c r="F797" s="987">
        <v>3.9474000000000002E-2</v>
      </c>
      <c r="G797" s="987">
        <v>0</v>
      </c>
      <c r="H797" s="986">
        <v>6.4999999999999997E-3</v>
      </c>
      <c r="I797" s="986">
        <f t="shared" si="3"/>
        <v>3.2974000000000003E-2</v>
      </c>
      <c r="J797" s="988">
        <v>33695</v>
      </c>
    </row>
    <row r="798" spans="1:10">
      <c r="A798" s="987">
        <v>68</v>
      </c>
      <c r="B798" s="988">
        <v>33725</v>
      </c>
      <c r="C798" s="987" t="s">
        <v>4637</v>
      </c>
      <c r="D798" s="987" t="s">
        <v>4639</v>
      </c>
      <c r="E798" s="987">
        <v>20.375</v>
      </c>
      <c r="F798" s="987">
        <v>3.1646000000000001E-2</v>
      </c>
      <c r="G798" s="987">
        <v>0</v>
      </c>
      <c r="H798" s="986">
        <v>6.1000000000000004E-3</v>
      </c>
      <c r="I798" s="986">
        <f t="shared" si="3"/>
        <v>2.5545999999999999E-2</v>
      </c>
      <c r="J798" s="988">
        <v>33725</v>
      </c>
    </row>
    <row r="799" spans="1:10">
      <c r="A799" s="987">
        <v>68</v>
      </c>
      <c r="B799" s="988">
        <v>33756</v>
      </c>
      <c r="C799" s="987" t="s">
        <v>4637</v>
      </c>
      <c r="D799" s="987" t="s">
        <v>4639</v>
      </c>
      <c r="E799" s="987">
        <v>20.125</v>
      </c>
      <c r="F799" s="987">
        <v>6.3800000000000003E-3</v>
      </c>
      <c r="G799" s="987">
        <v>0.38</v>
      </c>
      <c r="H799" s="986">
        <v>6.7000000000000002E-3</v>
      </c>
      <c r="I799" s="986">
        <f t="shared" si="3"/>
        <v>-3.1999999999999997E-4</v>
      </c>
      <c r="J799" s="988">
        <v>33756</v>
      </c>
    </row>
    <row r="800" spans="1:10">
      <c r="A800" s="987">
        <v>68</v>
      </c>
      <c r="B800" s="988">
        <v>33786</v>
      </c>
      <c r="C800" s="987" t="s">
        <v>4637</v>
      </c>
      <c r="D800" s="987" t="s">
        <v>4639</v>
      </c>
      <c r="E800" s="987">
        <v>22.625</v>
      </c>
      <c r="F800" s="987">
        <v>0.124224</v>
      </c>
      <c r="G800" s="987">
        <v>0</v>
      </c>
      <c r="H800" s="986">
        <v>6.3E-3</v>
      </c>
      <c r="I800" s="986">
        <f t="shared" si="3"/>
        <v>0.117924</v>
      </c>
      <c r="J800" s="988">
        <v>33786</v>
      </c>
    </row>
    <row r="801" spans="1:10">
      <c r="A801" s="987">
        <v>68</v>
      </c>
      <c r="B801" s="988">
        <v>33817</v>
      </c>
      <c r="C801" s="987" t="s">
        <v>4637</v>
      </c>
      <c r="D801" s="987" t="s">
        <v>4639</v>
      </c>
      <c r="E801" s="987">
        <v>22.75</v>
      </c>
      <c r="F801" s="987">
        <v>5.5250000000000004E-3</v>
      </c>
      <c r="G801" s="987">
        <v>0</v>
      </c>
      <c r="H801" s="986">
        <v>6.0000000000000001E-3</v>
      </c>
      <c r="I801" s="986">
        <f t="shared" si="3"/>
        <v>-4.7499999999999973E-4</v>
      </c>
      <c r="J801" s="988">
        <v>33817</v>
      </c>
    </row>
    <row r="802" spans="1:10">
      <c r="A802" s="987">
        <v>68</v>
      </c>
      <c r="B802" s="988">
        <v>33848</v>
      </c>
      <c r="C802" s="987" t="s">
        <v>4637</v>
      </c>
      <c r="D802" s="987" t="s">
        <v>4639</v>
      </c>
      <c r="E802" s="987">
        <v>22.375</v>
      </c>
      <c r="F802" s="987">
        <v>2.2000000000000001E-4</v>
      </c>
      <c r="G802" s="987">
        <v>0.38</v>
      </c>
      <c r="H802" s="986">
        <v>5.7999999999999996E-3</v>
      </c>
      <c r="I802" s="986">
        <f t="shared" si="3"/>
        <v>-5.5799999999999999E-3</v>
      </c>
      <c r="J802" s="988">
        <v>33848</v>
      </c>
    </row>
    <row r="803" spans="1:10">
      <c r="A803" s="987">
        <v>68</v>
      </c>
      <c r="B803" s="988">
        <v>33878</v>
      </c>
      <c r="C803" s="987" t="s">
        <v>4637</v>
      </c>
      <c r="D803" s="987" t="s">
        <v>4639</v>
      </c>
      <c r="E803" s="987">
        <v>23.25</v>
      </c>
      <c r="F803" s="987">
        <v>3.9106000000000002E-2</v>
      </c>
      <c r="G803" s="987">
        <v>0</v>
      </c>
      <c r="H803" s="986">
        <v>5.7000000000000002E-3</v>
      </c>
      <c r="I803" s="986">
        <f t="shared" si="3"/>
        <v>3.3406000000000005E-2</v>
      </c>
      <c r="J803" s="988">
        <v>33878</v>
      </c>
    </row>
    <row r="804" spans="1:10">
      <c r="A804" s="987">
        <v>68</v>
      </c>
      <c r="B804" s="988">
        <v>33909</v>
      </c>
      <c r="C804" s="987" t="s">
        <v>4637</v>
      </c>
      <c r="D804" s="987" t="s">
        <v>4639</v>
      </c>
      <c r="E804" s="987">
        <v>22.75</v>
      </c>
      <c r="F804" s="987">
        <v>-2.1505E-2</v>
      </c>
      <c r="G804" s="987">
        <v>0</v>
      </c>
      <c r="H804" s="986">
        <v>6.1000000000000004E-3</v>
      </c>
      <c r="I804" s="986">
        <f t="shared" si="3"/>
        <v>-2.7605000000000001E-2</v>
      </c>
      <c r="J804" s="988">
        <v>33909</v>
      </c>
    </row>
    <row r="805" spans="1:10">
      <c r="A805" s="987">
        <v>68</v>
      </c>
      <c r="B805" s="988">
        <v>33939</v>
      </c>
      <c r="C805" s="987" t="s">
        <v>4637</v>
      </c>
      <c r="D805" s="987" t="s">
        <v>4639</v>
      </c>
      <c r="E805" s="987">
        <v>24.375</v>
      </c>
      <c r="F805" s="987">
        <v>8.8132000000000002E-2</v>
      </c>
      <c r="G805" s="987">
        <v>0.38</v>
      </c>
      <c r="H805" s="986">
        <v>6.3E-3</v>
      </c>
      <c r="I805" s="986">
        <f t="shared" si="3"/>
        <v>8.1832000000000002E-2</v>
      </c>
      <c r="J805" s="988">
        <v>33939</v>
      </c>
    </row>
    <row r="806" spans="1:10">
      <c r="A806" s="987">
        <v>68</v>
      </c>
      <c r="B806" s="988">
        <v>33970</v>
      </c>
      <c r="C806" s="987" t="s">
        <v>4637</v>
      </c>
      <c r="D806" s="987" t="s">
        <v>4639</v>
      </c>
      <c r="E806" s="987">
        <v>25.25</v>
      </c>
      <c r="F806" s="987">
        <v>3.5896999999999998E-2</v>
      </c>
      <c r="G806" s="987">
        <v>0</v>
      </c>
      <c r="H806" s="986">
        <v>5.8999999999999999E-3</v>
      </c>
      <c r="I806" s="986">
        <f t="shared" si="3"/>
        <v>2.9996999999999999E-2</v>
      </c>
      <c r="J806" s="988">
        <v>33970</v>
      </c>
    </row>
    <row r="807" spans="1:10">
      <c r="A807" s="987">
        <v>68</v>
      </c>
      <c r="B807" s="988">
        <v>34001</v>
      </c>
      <c r="C807" s="987" t="s">
        <v>4637</v>
      </c>
      <c r="D807" s="987" t="s">
        <v>4639</v>
      </c>
      <c r="E807" s="987">
        <v>26.625</v>
      </c>
      <c r="F807" s="987">
        <v>5.4455000000000003E-2</v>
      </c>
      <c r="G807" s="987">
        <v>0</v>
      </c>
      <c r="H807" s="986">
        <v>5.4999999999999997E-3</v>
      </c>
      <c r="I807" s="986">
        <f t="shared" si="3"/>
        <v>4.8955000000000005E-2</v>
      </c>
      <c r="J807" s="988">
        <v>34001</v>
      </c>
    </row>
    <row r="808" spans="1:10">
      <c r="A808" s="987">
        <v>68</v>
      </c>
      <c r="B808" s="988">
        <v>34029</v>
      </c>
      <c r="C808" s="987" t="s">
        <v>4637</v>
      </c>
      <c r="D808" s="987" t="s">
        <v>4639</v>
      </c>
      <c r="E808" s="987">
        <v>26.25</v>
      </c>
      <c r="F808" s="987">
        <v>1.8799999999999999E-4</v>
      </c>
      <c r="G808" s="987">
        <v>0.38</v>
      </c>
      <c r="H808" s="986">
        <v>6.3E-3</v>
      </c>
      <c r="I808" s="986">
        <f t="shared" si="3"/>
        <v>-6.1120000000000002E-3</v>
      </c>
      <c r="J808" s="988">
        <v>34029</v>
      </c>
    </row>
    <row r="809" spans="1:10">
      <c r="A809" s="987">
        <v>68</v>
      </c>
      <c r="B809" s="988">
        <v>34060</v>
      </c>
      <c r="C809" s="987" t="s">
        <v>4637</v>
      </c>
      <c r="D809" s="987" t="s">
        <v>4639</v>
      </c>
      <c r="E809" s="987">
        <v>25.875</v>
      </c>
      <c r="F809" s="987">
        <v>-1.4286E-2</v>
      </c>
      <c r="G809" s="987">
        <v>0</v>
      </c>
      <c r="H809" s="986">
        <v>5.7000000000000002E-3</v>
      </c>
      <c r="I809" s="986">
        <f t="shared" si="3"/>
        <v>-1.9986E-2</v>
      </c>
      <c r="J809" s="988">
        <v>34060</v>
      </c>
    </row>
    <row r="810" spans="1:10">
      <c r="A810" s="987">
        <v>68</v>
      </c>
      <c r="B810" s="988">
        <v>34090</v>
      </c>
      <c r="C810" s="987" t="s">
        <v>4637</v>
      </c>
      <c r="D810" s="987" t="s">
        <v>4639</v>
      </c>
      <c r="E810" s="987">
        <v>25.875</v>
      </c>
      <c r="F810" s="987">
        <v>0</v>
      </c>
      <c r="G810" s="987">
        <v>0</v>
      </c>
      <c r="H810" s="986">
        <v>5.1999999999999998E-3</v>
      </c>
      <c r="I810" s="986">
        <f t="shared" si="3"/>
        <v>-5.1999999999999998E-3</v>
      </c>
      <c r="J810" s="988">
        <v>34090</v>
      </c>
    </row>
    <row r="811" spans="1:10">
      <c r="A811" s="987">
        <v>68</v>
      </c>
      <c r="B811" s="988">
        <v>34121</v>
      </c>
      <c r="C811" s="987" t="s">
        <v>4637</v>
      </c>
      <c r="D811" s="987" t="s">
        <v>4639</v>
      </c>
      <c r="E811" s="987">
        <v>27.75</v>
      </c>
      <c r="F811" s="987">
        <v>8.7150000000000005E-2</v>
      </c>
      <c r="G811" s="987">
        <v>0.38</v>
      </c>
      <c r="H811" s="986">
        <v>6.1999999999999998E-3</v>
      </c>
      <c r="I811" s="986">
        <f t="shared" si="3"/>
        <v>8.0950000000000008E-2</v>
      </c>
      <c r="J811" s="988">
        <v>34121</v>
      </c>
    </row>
    <row r="812" spans="1:10">
      <c r="A812" s="987">
        <v>68</v>
      </c>
      <c r="B812" s="988">
        <v>34151</v>
      </c>
      <c r="C812" s="987" t="s">
        <v>4637</v>
      </c>
      <c r="D812" s="987" t="s">
        <v>4639</v>
      </c>
      <c r="E812" s="987">
        <v>27.75</v>
      </c>
      <c r="F812" s="987">
        <v>0</v>
      </c>
      <c r="G812" s="987">
        <v>0</v>
      </c>
      <c r="H812" s="986">
        <v>5.4000000000000003E-3</v>
      </c>
      <c r="I812" s="986">
        <f t="shared" si="3"/>
        <v>-5.4000000000000003E-3</v>
      </c>
      <c r="J812" s="988">
        <v>34151</v>
      </c>
    </row>
    <row r="813" spans="1:10">
      <c r="A813" s="987">
        <v>68</v>
      </c>
      <c r="B813" s="988">
        <v>34182</v>
      </c>
      <c r="C813" s="987" t="s">
        <v>4637</v>
      </c>
      <c r="D813" s="987" t="s">
        <v>4639</v>
      </c>
      <c r="E813" s="987">
        <v>28.25</v>
      </c>
      <c r="F813" s="987">
        <v>1.8017999999999999E-2</v>
      </c>
      <c r="G813" s="987">
        <v>0</v>
      </c>
      <c r="H813" s="986">
        <v>5.5999999999999999E-3</v>
      </c>
      <c r="I813" s="986">
        <f t="shared" si="3"/>
        <v>1.2417999999999998E-2</v>
      </c>
      <c r="J813" s="988">
        <v>34182</v>
      </c>
    </row>
    <row r="814" spans="1:10">
      <c r="A814" s="987">
        <v>68</v>
      </c>
      <c r="B814" s="988">
        <v>34213</v>
      </c>
      <c r="C814" s="987" t="s">
        <v>4637</v>
      </c>
      <c r="D814" s="987" t="s">
        <v>4639</v>
      </c>
      <c r="E814" s="987">
        <v>29.125</v>
      </c>
      <c r="F814" s="987">
        <v>4.4424999999999999E-2</v>
      </c>
      <c r="G814" s="987">
        <v>0.38</v>
      </c>
      <c r="H814" s="986">
        <v>5.0000000000000001E-3</v>
      </c>
      <c r="I814" s="986">
        <f t="shared" si="3"/>
        <v>3.9425000000000002E-2</v>
      </c>
      <c r="J814" s="988">
        <v>34213</v>
      </c>
    </row>
    <row r="815" spans="1:10">
      <c r="A815" s="987">
        <v>68</v>
      </c>
      <c r="B815" s="988">
        <v>34243</v>
      </c>
      <c r="C815" s="987" t="s">
        <v>4637</v>
      </c>
      <c r="D815" s="987" t="s">
        <v>4639</v>
      </c>
      <c r="E815" s="987">
        <v>27.5</v>
      </c>
      <c r="F815" s="987">
        <v>-5.5794000000000003E-2</v>
      </c>
      <c r="G815" s="987">
        <v>0</v>
      </c>
      <c r="H815" s="986">
        <v>4.8999999999999998E-3</v>
      </c>
      <c r="I815" s="986">
        <f t="shared" si="3"/>
        <v>-6.0694000000000005E-2</v>
      </c>
      <c r="J815" s="988">
        <v>34243</v>
      </c>
    </row>
    <row r="816" spans="1:10">
      <c r="A816" s="987">
        <v>68</v>
      </c>
      <c r="B816" s="988">
        <v>34274</v>
      </c>
      <c r="C816" s="987" t="s">
        <v>4637</v>
      </c>
      <c r="D816" s="987" t="s">
        <v>4639</v>
      </c>
      <c r="E816" s="987">
        <v>25.875</v>
      </c>
      <c r="F816" s="987">
        <v>-5.9090999999999998E-2</v>
      </c>
      <c r="G816" s="987">
        <v>0</v>
      </c>
      <c r="H816" s="986">
        <v>5.3E-3</v>
      </c>
      <c r="I816" s="986">
        <f t="shared" si="3"/>
        <v>-6.4391000000000004E-2</v>
      </c>
      <c r="J816" s="988">
        <v>34274</v>
      </c>
    </row>
    <row r="817" spans="1:10">
      <c r="A817" s="987">
        <v>68</v>
      </c>
      <c r="B817" s="988">
        <v>34304</v>
      </c>
      <c r="C817" s="987" t="s">
        <v>4637</v>
      </c>
      <c r="D817" s="987" t="s">
        <v>4639</v>
      </c>
      <c r="E817" s="987">
        <v>25.875</v>
      </c>
      <c r="F817" s="987">
        <v>1.4685999999999999E-2</v>
      </c>
      <c r="G817" s="987">
        <v>0.38</v>
      </c>
      <c r="H817" s="986">
        <v>5.4999999999999997E-3</v>
      </c>
      <c r="I817" s="986">
        <f t="shared" si="3"/>
        <v>9.1859999999999997E-3</v>
      </c>
      <c r="J817" s="988">
        <v>34304</v>
      </c>
    </row>
    <row r="818" spans="1:10">
      <c r="A818" s="987">
        <v>68</v>
      </c>
      <c r="B818" s="988">
        <v>34335</v>
      </c>
      <c r="C818" s="987" t="s">
        <v>4637</v>
      </c>
      <c r="D818" s="987" t="s">
        <v>4639</v>
      </c>
      <c r="E818" s="987">
        <v>26.25</v>
      </c>
      <c r="F818" s="987">
        <v>1.4493000000000001E-2</v>
      </c>
      <c r="G818" s="987">
        <v>0</v>
      </c>
      <c r="H818" s="986">
        <v>5.4999999999999997E-3</v>
      </c>
      <c r="I818" s="986">
        <f t="shared" si="3"/>
        <v>8.993000000000001E-3</v>
      </c>
      <c r="J818" s="988">
        <v>34335</v>
      </c>
    </row>
    <row r="819" spans="1:10">
      <c r="A819" s="987">
        <v>68</v>
      </c>
      <c r="B819" s="988">
        <v>34366</v>
      </c>
      <c r="C819" s="987" t="s">
        <v>4637</v>
      </c>
      <c r="D819" s="987" t="s">
        <v>4639</v>
      </c>
      <c r="E819" s="987">
        <v>25.75</v>
      </c>
      <c r="F819" s="987">
        <v>-1.9047999999999999E-2</v>
      </c>
      <c r="G819" s="987">
        <v>0</v>
      </c>
      <c r="H819" s="986">
        <v>4.8999999999999998E-3</v>
      </c>
      <c r="I819" s="986">
        <f t="shared" si="3"/>
        <v>-2.3947999999999997E-2</v>
      </c>
      <c r="J819" s="988">
        <v>34366</v>
      </c>
    </row>
    <row r="820" spans="1:10">
      <c r="A820" s="987">
        <v>68</v>
      </c>
      <c r="B820" s="988">
        <v>34394</v>
      </c>
      <c r="C820" s="987" t="s">
        <v>4637</v>
      </c>
      <c r="D820" s="987" t="s">
        <v>4639</v>
      </c>
      <c r="E820" s="987">
        <v>24.375</v>
      </c>
      <c r="F820" s="987">
        <v>-3.8641000000000002E-2</v>
      </c>
      <c r="G820" s="987">
        <v>0.38</v>
      </c>
      <c r="H820" s="986">
        <v>5.7999999999999996E-3</v>
      </c>
      <c r="I820" s="986">
        <f t="shared" si="3"/>
        <v>-4.4441000000000001E-2</v>
      </c>
      <c r="J820" s="988">
        <v>34394</v>
      </c>
    </row>
    <row r="821" spans="1:10">
      <c r="A821" s="987">
        <v>68</v>
      </c>
      <c r="B821" s="988">
        <v>34425</v>
      </c>
      <c r="C821" s="987" t="s">
        <v>4637</v>
      </c>
      <c r="D821" s="987" t="s">
        <v>4639</v>
      </c>
      <c r="E821" s="987">
        <v>24.75</v>
      </c>
      <c r="F821" s="987">
        <v>1.5384999999999999E-2</v>
      </c>
      <c r="G821" s="987">
        <v>0</v>
      </c>
      <c r="H821" s="986">
        <v>5.7000000000000002E-3</v>
      </c>
      <c r="I821" s="986">
        <f t="shared" si="3"/>
        <v>9.6849999999999992E-3</v>
      </c>
      <c r="J821" s="988">
        <v>34425</v>
      </c>
    </row>
    <row r="822" spans="1:10">
      <c r="A822" s="987">
        <v>68</v>
      </c>
      <c r="B822" s="988">
        <v>34455</v>
      </c>
      <c r="C822" s="987" t="s">
        <v>4637</v>
      </c>
      <c r="D822" s="987" t="s">
        <v>4639</v>
      </c>
      <c r="E822" s="987">
        <v>24</v>
      </c>
      <c r="F822" s="987">
        <v>-3.0303E-2</v>
      </c>
      <c r="G822" s="987">
        <v>0</v>
      </c>
      <c r="H822" s="986">
        <v>6.3E-3</v>
      </c>
      <c r="I822" s="986">
        <f t="shared" ref="I822:I885" si="4">F822-H822</f>
        <v>-3.6602999999999997E-2</v>
      </c>
      <c r="J822" s="988">
        <v>34455</v>
      </c>
    </row>
    <row r="823" spans="1:10">
      <c r="A823" s="987">
        <v>68</v>
      </c>
      <c r="B823" s="988">
        <v>34486</v>
      </c>
      <c r="C823" s="987" t="s">
        <v>4637</v>
      </c>
      <c r="D823" s="987" t="s">
        <v>4639</v>
      </c>
      <c r="E823" s="987">
        <v>22</v>
      </c>
      <c r="F823" s="987">
        <v>-6.7500000000000004E-2</v>
      </c>
      <c r="G823" s="987">
        <v>0.38</v>
      </c>
      <c r="H823" s="986">
        <v>6.1000000000000004E-3</v>
      </c>
      <c r="I823" s="986">
        <f t="shared" si="4"/>
        <v>-7.3599999999999999E-2</v>
      </c>
      <c r="J823" s="988">
        <v>34486</v>
      </c>
    </row>
    <row r="824" spans="1:10">
      <c r="A824" s="987">
        <v>68</v>
      </c>
      <c r="B824" s="988">
        <v>34516</v>
      </c>
      <c r="C824" s="987" t="s">
        <v>4637</v>
      </c>
      <c r="D824" s="987" t="s">
        <v>4639</v>
      </c>
      <c r="E824" s="987">
        <v>22.25</v>
      </c>
      <c r="F824" s="987">
        <v>1.1364000000000001E-2</v>
      </c>
      <c r="G824" s="987">
        <v>0</v>
      </c>
      <c r="H824" s="986">
        <v>6.0000000000000001E-3</v>
      </c>
      <c r="I824" s="986">
        <f t="shared" si="4"/>
        <v>5.3640000000000007E-3</v>
      </c>
      <c r="J824" s="988">
        <v>34516</v>
      </c>
    </row>
    <row r="825" spans="1:10">
      <c r="A825" s="987">
        <v>68</v>
      </c>
      <c r="B825" s="988">
        <v>34547</v>
      </c>
      <c r="C825" s="987" t="s">
        <v>4637</v>
      </c>
      <c r="D825" s="987" t="s">
        <v>4639</v>
      </c>
      <c r="E825" s="987">
        <v>22.375</v>
      </c>
      <c r="F825" s="987">
        <v>5.6179999999999997E-3</v>
      </c>
      <c r="G825" s="987">
        <v>0</v>
      </c>
      <c r="H825" s="986">
        <v>6.6E-3</v>
      </c>
      <c r="I825" s="986">
        <f t="shared" si="4"/>
        <v>-9.8200000000000023E-4</v>
      </c>
      <c r="J825" s="988">
        <v>34547</v>
      </c>
    </row>
    <row r="826" spans="1:10">
      <c r="A826" s="987">
        <v>68</v>
      </c>
      <c r="B826" s="988">
        <v>34578</v>
      </c>
      <c r="C826" s="987" t="s">
        <v>4637</v>
      </c>
      <c r="D826" s="987" t="s">
        <v>4639</v>
      </c>
      <c r="E826" s="987">
        <v>21.125</v>
      </c>
      <c r="F826" s="987">
        <v>-3.8883000000000001E-2</v>
      </c>
      <c r="G826" s="987">
        <v>0.38</v>
      </c>
      <c r="H826" s="986">
        <v>6.1000000000000004E-3</v>
      </c>
      <c r="I826" s="986">
        <f t="shared" si="4"/>
        <v>-4.4983000000000002E-2</v>
      </c>
      <c r="J826" s="988">
        <v>34578</v>
      </c>
    </row>
    <row r="827" spans="1:10">
      <c r="A827" s="987">
        <v>68</v>
      </c>
      <c r="B827" s="988">
        <v>34608</v>
      </c>
      <c r="C827" s="987" t="s">
        <v>4637</v>
      </c>
      <c r="D827" s="987" t="s">
        <v>4639</v>
      </c>
      <c r="E827" s="987">
        <v>21.75</v>
      </c>
      <c r="F827" s="987">
        <v>2.9586000000000001E-2</v>
      </c>
      <c r="G827" s="987">
        <v>0</v>
      </c>
      <c r="H827" s="986">
        <v>6.6E-3</v>
      </c>
      <c r="I827" s="986">
        <f t="shared" si="4"/>
        <v>2.2985999999999999E-2</v>
      </c>
      <c r="J827" s="988">
        <v>34608</v>
      </c>
    </row>
    <row r="828" spans="1:10">
      <c r="A828" s="987">
        <v>68</v>
      </c>
      <c r="B828" s="988">
        <v>34639</v>
      </c>
      <c r="C828" s="987" t="s">
        <v>4637</v>
      </c>
      <c r="D828" s="987" t="s">
        <v>4639</v>
      </c>
      <c r="E828" s="987">
        <v>22.875</v>
      </c>
      <c r="F828" s="987">
        <v>5.1723999999999999E-2</v>
      </c>
      <c r="G828" s="987">
        <v>0</v>
      </c>
      <c r="H828" s="986">
        <v>6.4000000000000003E-3</v>
      </c>
      <c r="I828" s="986">
        <f t="shared" si="4"/>
        <v>4.5323999999999996E-2</v>
      </c>
      <c r="J828" s="988">
        <v>34639</v>
      </c>
    </row>
    <row r="829" spans="1:10">
      <c r="A829" s="987">
        <v>68</v>
      </c>
      <c r="B829" s="988">
        <v>34669</v>
      </c>
      <c r="C829" s="987" t="s">
        <v>4637</v>
      </c>
      <c r="D829" s="987" t="s">
        <v>4639</v>
      </c>
      <c r="E829" s="987">
        <v>22.625</v>
      </c>
      <c r="F829" s="987">
        <v>5.6829999999999997E-3</v>
      </c>
      <c r="G829" s="987">
        <v>0.38</v>
      </c>
      <c r="H829" s="986">
        <v>6.6E-3</v>
      </c>
      <c r="I829" s="986">
        <f t="shared" si="4"/>
        <v>-9.1700000000000028E-4</v>
      </c>
      <c r="J829" s="988">
        <v>34669</v>
      </c>
    </row>
    <row r="830" spans="1:10">
      <c r="A830" s="987">
        <v>68</v>
      </c>
      <c r="B830" s="988">
        <v>34700</v>
      </c>
      <c r="C830" s="987" t="s">
        <v>4637</v>
      </c>
      <c r="D830" s="987" t="s">
        <v>4639</v>
      </c>
      <c r="E830" s="987">
        <v>22.375</v>
      </c>
      <c r="F830" s="987">
        <v>-1.1050000000000001E-2</v>
      </c>
      <c r="G830" s="987">
        <v>0</v>
      </c>
      <c r="H830" s="986">
        <v>7.0000000000000001E-3</v>
      </c>
      <c r="I830" s="986">
        <f t="shared" si="4"/>
        <v>-1.805E-2</v>
      </c>
      <c r="J830" s="988">
        <v>34700</v>
      </c>
    </row>
    <row r="831" spans="1:10">
      <c r="A831" s="987">
        <v>68</v>
      </c>
      <c r="B831" s="988">
        <v>34731</v>
      </c>
      <c r="C831" s="987" t="s">
        <v>4637</v>
      </c>
      <c r="D831" s="987" t="s">
        <v>4639</v>
      </c>
      <c r="E831" s="987">
        <v>23.125</v>
      </c>
      <c r="F831" s="987">
        <v>3.3520000000000001E-2</v>
      </c>
      <c r="G831" s="987">
        <v>0</v>
      </c>
      <c r="H831" s="986">
        <v>5.8999999999999999E-3</v>
      </c>
      <c r="I831" s="986">
        <f t="shared" si="4"/>
        <v>2.7620000000000002E-2</v>
      </c>
      <c r="J831" s="988">
        <v>34731</v>
      </c>
    </row>
    <row r="832" spans="1:10">
      <c r="A832" s="987">
        <v>68</v>
      </c>
      <c r="B832" s="988">
        <v>34759</v>
      </c>
      <c r="C832" s="987" t="s">
        <v>4637</v>
      </c>
      <c r="D832" s="987" t="s">
        <v>4639</v>
      </c>
      <c r="E832" s="987">
        <v>22.25</v>
      </c>
      <c r="F832" s="987">
        <v>-2.1405E-2</v>
      </c>
      <c r="G832" s="987">
        <v>0.38</v>
      </c>
      <c r="H832" s="986">
        <v>6.4000000000000003E-3</v>
      </c>
      <c r="I832" s="986">
        <f t="shared" si="4"/>
        <v>-2.7805E-2</v>
      </c>
      <c r="J832" s="988">
        <v>34759</v>
      </c>
    </row>
    <row r="833" spans="1:10">
      <c r="A833" s="987">
        <v>68</v>
      </c>
      <c r="B833" s="988">
        <v>34790</v>
      </c>
      <c r="C833" s="987" t="s">
        <v>4637</v>
      </c>
      <c r="D833" s="987" t="s">
        <v>4639</v>
      </c>
      <c r="E833" s="987">
        <v>22.5</v>
      </c>
      <c r="F833" s="987">
        <v>1.1235999999999999E-2</v>
      </c>
      <c r="G833" s="987">
        <v>0</v>
      </c>
      <c r="H833" s="986">
        <v>5.7999999999999996E-3</v>
      </c>
      <c r="I833" s="986">
        <f t="shared" si="4"/>
        <v>5.4359999999999999E-3</v>
      </c>
      <c r="J833" s="988">
        <v>34790</v>
      </c>
    </row>
    <row r="834" spans="1:10">
      <c r="A834" s="987">
        <v>68</v>
      </c>
      <c r="B834" s="988">
        <v>34820</v>
      </c>
      <c r="C834" s="987" t="s">
        <v>4637</v>
      </c>
      <c r="D834" s="987" t="s">
        <v>4639</v>
      </c>
      <c r="E834" s="987">
        <v>22.75</v>
      </c>
      <c r="F834" s="987">
        <v>1.1110999999999999E-2</v>
      </c>
      <c r="G834" s="987">
        <v>0</v>
      </c>
      <c r="H834" s="986">
        <v>6.4999999999999997E-3</v>
      </c>
      <c r="I834" s="986">
        <f t="shared" si="4"/>
        <v>4.6109999999999996E-3</v>
      </c>
      <c r="J834" s="988">
        <v>34820</v>
      </c>
    </row>
    <row r="835" spans="1:10">
      <c r="A835" s="987">
        <v>68</v>
      </c>
      <c r="B835" s="988">
        <v>34851</v>
      </c>
      <c r="C835" s="987" t="s">
        <v>4637</v>
      </c>
      <c r="D835" s="987" t="s">
        <v>4639</v>
      </c>
      <c r="E835" s="987">
        <v>23.125</v>
      </c>
      <c r="F835" s="987">
        <v>3.3187000000000001E-2</v>
      </c>
      <c r="G835" s="987">
        <v>0.38</v>
      </c>
      <c r="H835" s="986">
        <v>5.4000000000000003E-3</v>
      </c>
      <c r="I835" s="986">
        <f t="shared" si="4"/>
        <v>2.7786999999999999E-2</v>
      </c>
      <c r="J835" s="988">
        <v>34851</v>
      </c>
    </row>
    <row r="836" spans="1:10">
      <c r="A836" s="987">
        <v>68</v>
      </c>
      <c r="B836" s="988">
        <v>34881</v>
      </c>
      <c r="C836" s="987" t="s">
        <v>4637</v>
      </c>
      <c r="D836" s="987" t="s">
        <v>4639</v>
      </c>
      <c r="E836" s="987">
        <v>23.75</v>
      </c>
      <c r="F836" s="987">
        <v>2.7026999999999999E-2</v>
      </c>
      <c r="G836" s="987">
        <v>0</v>
      </c>
      <c r="H836" s="986">
        <v>5.5999999999999999E-3</v>
      </c>
      <c r="I836" s="986">
        <f t="shared" si="4"/>
        <v>2.1426999999999998E-2</v>
      </c>
      <c r="J836" s="988">
        <v>34881</v>
      </c>
    </row>
    <row r="837" spans="1:10">
      <c r="A837" s="987">
        <v>68</v>
      </c>
      <c r="B837" s="988">
        <v>34912</v>
      </c>
      <c r="C837" s="987" t="s">
        <v>4637</v>
      </c>
      <c r="D837" s="987" t="s">
        <v>4639</v>
      </c>
      <c r="E837" s="987">
        <v>24</v>
      </c>
      <c r="F837" s="987">
        <v>1.0526000000000001E-2</v>
      </c>
      <c r="G837" s="987">
        <v>0</v>
      </c>
      <c r="H837" s="986">
        <v>5.7000000000000002E-3</v>
      </c>
      <c r="I837" s="986">
        <f t="shared" si="4"/>
        <v>4.8260000000000004E-3</v>
      </c>
      <c r="J837" s="988">
        <v>34912</v>
      </c>
    </row>
    <row r="838" spans="1:10">
      <c r="A838" s="987">
        <v>68</v>
      </c>
      <c r="B838" s="988">
        <v>34943</v>
      </c>
      <c r="C838" s="987" t="s">
        <v>4637</v>
      </c>
      <c r="D838" s="987" t="s">
        <v>4639</v>
      </c>
      <c r="E838" s="987">
        <v>25.875</v>
      </c>
      <c r="F838" s="987">
        <v>9.3958E-2</v>
      </c>
      <c r="G838" s="987">
        <v>0.38</v>
      </c>
      <c r="H838" s="986">
        <v>5.1999999999999998E-3</v>
      </c>
      <c r="I838" s="986">
        <f t="shared" si="4"/>
        <v>8.8758000000000004E-2</v>
      </c>
      <c r="J838" s="988">
        <v>34943</v>
      </c>
    </row>
    <row r="839" spans="1:10">
      <c r="A839" s="987">
        <v>68</v>
      </c>
      <c r="B839" s="988">
        <v>34973</v>
      </c>
      <c r="C839" s="987" t="s">
        <v>4637</v>
      </c>
      <c r="D839" s="987" t="s">
        <v>4639</v>
      </c>
      <c r="E839" s="987">
        <v>25</v>
      </c>
      <c r="F839" s="987">
        <v>-3.3815999999999999E-2</v>
      </c>
      <c r="G839" s="987">
        <v>0</v>
      </c>
      <c r="H839" s="986">
        <v>5.7000000000000002E-3</v>
      </c>
      <c r="I839" s="986">
        <f t="shared" si="4"/>
        <v>-3.9515999999999996E-2</v>
      </c>
      <c r="J839" s="988">
        <v>34973</v>
      </c>
    </row>
    <row r="840" spans="1:10">
      <c r="A840" s="987">
        <v>68</v>
      </c>
      <c r="B840" s="988">
        <v>35004</v>
      </c>
      <c r="C840" s="987" t="s">
        <v>4637</v>
      </c>
      <c r="D840" s="987" t="s">
        <v>4639</v>
      </c>
      <c r="E840" s="987">
        <v>27.875</v>
      </c>
      <c r="F840" s="987">
        <v>0.115</v>
      </c>
      <c r="G840" s="987">
        <v>0</v>
      </c>
      <c r="H840" s="986">
        <v>5.1000000000000004E-3</v>
      </c>
      <c r="I840" s="986">
        <f t="shared" si="4"/>
        <v>0.1099</v>
      </c>
      <c r="J840" s="988">
        <v>35004</v>
      </c>
    </row>
    <row r="841" spans="1:10">
      <c r="A841" s="987">
        <v>68</v>
      </c>
      <c r="B841" s="988">
        <v>35034</v>
      </c>
      <c r="C841" s="987" t="s">
        <v>4637</v>
      </c>
      <c r="D841" s="987" t="s">
        <v>4639</v>
      </c>
      <c r="E841" s="987">
        <v>30.125</v>
      </c>
      <c r="F841" s="987">
        <v>9.4350000000000003E-2</v>
      </c>
      <c r="G841" s="987">
        <v>0.38</v>
      </c>
      <c r="H841" s="986">
        <v>4.8999999999999998E-3</v>
      </c>
      <c r="I841" s="986">
        <f t="shared" si="4"/>
        <v>8.9450000000000002E-2</v>
      </c>
      <c r="J841" s="988">
        <v>35034</v>
      </c>
    </row>
    <row r="842" spans="1:10">
      <c r="A842" s="987">
        <v>68</v>
      </c>
      <c r="B842" s="988">
        <v>35065</v>
      </c>
      <c r="C842" s="987" t="s">
        <v>4637</v>
      </c>
      <c r="D842" s="987" t="s">
        <v>4639</v>
      </c>
      <c r="E842" s="987">
        <v>27.375</v>
      </c>
      <c r="F842" s="987">
        <v>-9.1286000000000006E-2</v>
      </c>
      <c r="G842" s="987">
        <v>0</v>
      </c>
      <c r="H842" s="986">
        <v>5.4000000000000003E-3</v>
      </c>
      <c r="I842" s="986">
        <f t="shared" si="4"/>
        <v>-9.6686000000000008E-2</v>
      </c>
      <c r="J842" s="988">
        <v>35065</v>
      </c>
    </row>
    <row r="843" spans="1:10">
      <c r="A843" s="987">
        <v>68</v>
      </c>
      <c r="B843" s="988">
        <v>35096</v>
      </c>
      <c r="C843" s="987" t="s">
        <v>4637</v>
      </c>
      <c r="D843" s="987" t="s">
        <v>4639</v>
      </c>
      <c r="E843" s="987">
        <v>29.125</v>
      </c>
      <c r="F843" s="987">
        <v>6.3926999999999998E-2</v>
      </c>
      <c r="G843" s="987">
        <v>0</v>
      </c>
      <c r="H843" s="986">
        <v>4.7999999999999996E-3</v>
      </c>
      <c r="I843" s="986">
        <f t="shared" si="4"/>
        <v>5.9126999999999999E-2</v>
      </c>
      <c r="J843" s="988">
        <v>35096</v>
      </c>
    </row>
    <row r="844" spans="1:10">
      <c r="A844" s="987">
        <v>68</v>
      </c>
      <c r="B844" s="988">
        <v>35125</v>
      </c>
      <c r="C844" s="987" t="s">
        <v>4637</v>
      </c>
      <c r="D844" s="987" t="s">
        <v>4639</v>
      </c>
      <c r="E844" s="987">
        <v>28.875</v>
      </c>
      <c r="F844" s="987">
        <v>4.8069999999999996E-3</v>
      </c>
      <c r="G844" s="987">
        <v>0.39</v>
      </c>
      <c r="H844" s="986">
        <v>5.1999999999999998E-3</v>
      </c>
      <c r="I844" s="986">
        <f t="shared" si="4"/>
        <v>-3.9300000000000012E-4</v>
      </c>
      <c r="J844" s="988">
        <v>35125</v>
      </c>
    </row>
    <row r="845" spans="1:10">
      <c r="A845" s="987">
        <v>68</v>
      </c>
      <c r="B845" s="988">
        <v>35156</v>
      </c>
      <c r="C845" s="987" t="s">
        <v>4637</v>
      </c>
      <c r="D845" s="987" t="s">
        <v>4639</v>
      </c>
      <c r="E845" s="987">
        <v>28.375</v>
      </c>
      <c r="F845" s="987">
        <v>-1.7316000000000002E-2</v>
      </c>
      <c r="G845" s="987">
        <v>0</v>
      </c>
      <c r="H845" s="986">
        <v>5.8999999999999999E-3</v>
      </c>
      <c r="I845" s="986">
        <f t="shared" si="4"/>
        <v>-2.3216000000000001E-2</v>
      </c>
      <c r="J845" s="988">
        <v>35156</v>
      </c>
    </row>
    <row r="846" spans="1:10">
      <c r="A846" s="987">
        <v>68</v>
      </c>
      <c r="B846" s="988">
        <v>35186</v>
      </c>
      <c r="C846" s="987" t="s">
        <v>4637</v>
      </c>
      <c r="D846" s="987" t="s">
        <v>4639</v>
      </c>
      <c r="E846" s="987">
        <v>27.5</v>
      </c>
      <c r="F846" s="987">
        <v>-3.0837E-2</v>
      </c>
      <c r="G846" s="987">
        <v>0</v>
      </c>
      <c r="H846" s="986">
        <v>5.7999999999999996E-3</v>
      </c>
      <c r="I846" s="986">
        <f t="shared" si="4"/>
        <v>-3.6637000000000003E-2</v>
      </c>
      <c r="J846" s="988">
        <v>35186</v>
      </c>
    </row>
    <row r="847" spans="1:10">
      <c r="A847" s="987">
        <v>68</v>
      </c>
      <c r="B847" s="988">
        <v>35217</v>
      </c>
      <c r="C847" s="987" t="s">
        <v>4637</v>
      </c>
      <c r="D847" s="987" t="s">
        <v>4639</v>
      </c>
      <c r="E847" s="987">
        <v>28.75</v>
      </c>
      <c r="F847" s="987">
        <v>5.9636000000000002E-2</v>
      </c>
      <c r="G847" s="987">
        <v>0.39</v>
      </c>
      <c r="H847" s="986">
        <v>5.4000000000000003E-3</v>
      </c>
      <c r="I847" s="986">
        <f t="shared" si="4"/>
        <v>5.4235999999999999E-2</v>
      </c>
      <c r="J847" s="988">
        <v>35217</v>
      </c>
    </row>
    <row r="848" spans="1:10">
      <c r="A848" s="987">
        <v>68</v>
      </c>
      <c r="B848" s="988">
        <v>35247</v>
      </c>
      <c r="C848" s="987" t="s">
        <v>4637</v>
      </c>
      <c r="D848" s="987" t="s">
        <v>4639</v>
      </c>
      <c r="E848" s="987">
        <v>27.75</v>
      </c>
      <c r="F848" s="987">
        <v>-3.4783000000000001E-2</v>
      </c>
      <c r="G848" s="987">
        <v>0</v>
      </c>
      <c r="H848" s="986">
        <v>6.1999999999999998E-3</v>
      </c>
      <c r="I848" s="986">
        <f t="shared" si="4"/>
        <v>-4.0982999999999999E-2</v>
      </c>
      <c r="J848" s="988">
        <v>35247</v>
      </c>
    </row>
    <row r="849" spans="1:10">
      <c r="A849" s="987">
        <v>68</v>
      </c>
      <c r="B849" s="988">
        <v>35278</v>
      </c>
      <c r="C849" s="987" t="s">
        <v>4637</v>
      </c>
      <c r="D849" s="987" t="s">
        <v>4639</v>
      </c>
      <c r="E849" s="987">
        <v>28.625</v>
      </c>
      <c r="F849" s="987">
        <v>3.1531999999999998E-2</v>
      </c>
      <c r="G849" s="987">
        <v>0</v>
      </c>
      <c r="H849" s="986">
        <v>5.7000000000000002E-3</v>
      </c>
      <c r="I849" s="986">
        <f t="shared" si="4"/>
        <v>2.5831999999999997E-2</v>
      </c>
      <c r="J849" s="988">
        <v>35278</v>
      </c>
    </row>
    <row r="850" spans="1:10">
      <c r="A850" s="987">
        <v>68</v>
      </c>
      <c r="B850" s="988">
        <v>35309</v>
      </c>
      <c r="C850" s="987" t="s">
        <v>4637</v>
      </c>
      <c r="D850" s="987" t="s">
        <v>4639</v>
      </c>
      <c r="E850" s="987">
        <v>28</v>
      </c>
      <c r="F850" s="987">
        <v>-8.2100000000000003E-3</v>
      </c>
      <c r="G850" s="987">
        <v>0.39</v>
      </c>
      <c r="H850" s="986">
        <v>6.0000000000000001E-3</v>
      </c>
      <c r="I850" s="986">
        <f t="shared" si="4"/>
        <v>-1.421E-2</v>
      </c>
      <c r="J850" s="988">
        <v>35309</v>
      </c>
    </row>
    <row r="851" spans="1:10">
      <c r="A851" s="987">
        <v>68</v>
      </c>
      <c r="B851" s="988">
        <v>35339</v>
      </c>
      <c r="C851" s="987" t="s">
        <v>4637</v>
      </c>
      <c r="D851" s="987" t="s">
        <v>4639</v>
      </c>
      <c r="E851" s="987">
        <v>27.625</v>
      </c>
      <c r="F851" s="987">
        <v>-1.3393E-2</v>
      </c>
      <c r="G851" s="987">
        <v>0</v>
      </c>
      <c r="H851" s="986">
        <v>5.7999999999999996E-3</v>
      </c>
      <c r="I851" s="986">
        <f t="shared" si="4"/>
        <v>-1.9193000000000002E-2</v>
      </c>
      <c r="J851" s="988">
        <v>35339</v>
      </c>
    </row>
    <row r="852" spans="1:10">
      <c r="A852" s="987">
        <v>68</v>
      </c>
      <c r="B852" s="988">
        <v>35370</v>
      </c>
      <c r="C852" s="987" t="s">
        <v>4637</v>
      </c>
      <c r="D852" s="987" t="s">
        <v>4639</v>
      </c>
      <c r="E852" s="987">
        <v>29.625</v>
      </c>
      <c r="F852" s="987">
        <v>7.2398000000000004E-2</v>
      </c>
      <c r="G852" s="987">
        <v>0</v>
      </c>
      <c r="H852" s="986">
        <v>5.1999999999999998E-3</v>
      </c>
      <c r="I852" s="986">
        <f t="shared" si="4"/>
        <v>6.7198000000000008E-2</v>
      </c>
      <c r="J852" s="988">
        <v>35370</v>
      </c>
    </row>
    <row r="853" spans="1:10">
      <c r="A853" s="987">
        <v>68</v>
      </c>
      <c r="B853" s="988">
        <v>35400</v>
      </c>
      <c r="C853" s="987" t="s">
        <v>4637</v>
      </c>
      <c r="D853" s="987" t="s">
        <v>4639</v>
      </c>
      <c r="E853" s="987">
        <v>29.25</v>
      </c>
      <c r="F853" s="987">
        <v>8.4400000000000002E-4</v>
      </c>
      <c r="G853" s="987">
        <v>0.4</v>
      </c>
      <c r="H853" s="986">
        <v>5.5999999999999999E-3</v>
      </c>
      <c r="I853" s="986">
        <f t="shared" si="4"/>
        <v>-4.7559999999999998E-3</v>
      </c>
      <c r="J853" s="988">
        <v>35400</v>
      </c>
    </row>
    <row r="854" spans="1:10">
      <c r="A854" s="987">
        <v>68</v>
      </c>
      <c r="B854" s="988">
        <v>35431</v>
      </c>
      <c r="C854" s="987" t="s">
        <v>4637</v>
      </c>
      <c r="D854" s="987" t="s">
        <v>4639</v>
      </c>
      <c r="E854" s="987">
        <v>29.875</v>
      </c>
      <c r="F854" s="987">
        <v>2.1368000000000002E-2</v>
      </c>
      <c r="G854" s="987">
        <v>0</v>
      </c>
      <c r="H854" s="986">
        <v>5.5999999999999999E-3</v>
      </c>
      <c r="I854" s="986">
        <f t="shared" si="4"/>
        <v>1.5768000000000001E-2</v>
      </c>
      <c r="J854" s="988">
        <v>35431</v>
      </c>
    </row>
    <row r="855" spans="1:10">
      <c r="A855" s="987">
        <v>68</v>
      </c>
      <c r="B855" s="988">
        <v>35462</v>
      </c>
      <c r="C855" s="987" t="s">
        <v>4637</v>
      </c>
      <c r="D855" s="987" t="s">
        <v>4639</v>
      </c>
      <c r="E855" s="987">
        <v>28.75</v>
      </c>
      <c r="F855" s="987">
        <v>-3.7657000000000003E-2</v>
      </c>
      <c r="G855" s="987">
        <v>0</v>
      </c>
      <c r="H855" s="986">
        <v>5.1000000000000004E-3</v>
      </c>
      <c r="I855" s="986">
        <f t="shared" si="4"/>
        <v>-4.2757000000000003E-2</v>
      </c>
      <c r="J855" s="988">
        <v>35462</v>
      </c>
    </row>
    <row r="856" spans="1:10">
      <c r="A856" s="987">
        <v>68</v>
      </c>
      <c r="B856" s="988">
        <v>35490</v>
      </c>
      <c r="C856" s="987" t="s">
        <v>4637</v>
      </c>
      <c r="D856" s="987" t="s">
        <v>4639</v>
      </c>
      <c r="E856" s="987">
        <v>28.5</v>
      </c>
      <c r="F856" s="987">
        <v>5.2170000000000003E-3</v>
      </c>
      <c r="G856" s="987">
        <v>0.4</v>
      </c>
      <c r="H856" s="986">
        <v>5.8999999999999999E-3</v>
      </c>
      <c r="I856" s="986">
        <f t="shared" si="4"/>
        <v>-6.8299999999999958E-4</v>
      </c>
      <c r="J856" s="988">
        <v>35490</v>
      </c>
    </row>
    <row r="857" spans="1:10">
      <c r="A857" s="987">
        <v>68</v>
      </c>
      <c r="B857" s="988">
        <v>35521</v>
      </c>
      <c r="C857" s="987" t="s">
        <v>4637</v>
      </c>
      <c r="D857" s="987" t="s">
        <v>4639</v>
      </c>
      <c r="E857" s="987">
        <v>28.875</v>
      </c>
      <c r="F857" s="987">
        <v>1.3158E-2</v>
      </c>
      <c r="G857" s="987">
        <v>0</v>
      </c>
      <c r="H857" s="986">
        <v>5.8999999999999999E-3</v>
      </c>
      <c r="I857" s="986">
        <f t="shared" si="4"/>
        <v>7.2579999999999997E-3</v>
      </c>
      <c r="J857" s="988">
        <v>35521</v>
      </c>
    </row>
    <row r="858" spans="1:10">
      <c r="A858" s="987">
        <v>68</v>
      </c>
      <c r="B858" s="988">
        <v>35551</v>
      </c>
      <c r="C858" s="987" t="s">
        <v>4637</v>
      </c>
      <c r="D858" s="987" t="s">
        <v>4639</v>
      </c>
      <c r="E858" s="987">
        <v>31.125</v>
      </c>
      <c r="F858" s="987">
        <v>7.7922000000000005E-2</v>
      </c>
      <c r="G858" s="987">
        <v>0</v>
      </c>
      <c r="H858" s="986">
        <v>5.7999999999999996E-3</v>
      </c>
      <c r="I858" s="986">
        <f t="shared" si="4"/>
        <v>7.2122000000000006E-2</v>
      </c>
      <c r="J858" s="988">
        <v>35551</v>
      </c>
    </row>
    <row r="859" spans="1:10">
      <c r="A859" s="987">
        <v>68</v>
      </c>
      <c r="B859" s="988">
        <v>35582</v>
      </c>
      <c r="C859" s="987" t="s">
        <v>4637</v>
      </c>
      <c r="D859" s="987" t="s">
        <v>4639</v>
      </c>
      <c r="E859" s="987">
        <v>31.375</v>
      </c>
      <c r="F859" s="987">
        <v>2.0884E-2</v>
      </c>
      <c r="G859" s="987">
        <v>0.4</v>
      </c>
      <c r="H859" s="986">
        <v>5.8999999999999999E-3</v>
      </c>
      <c r="I859" s="986">
        <f t="shared" si="4"/>
        <v>1.4984000000000001E-2</v>
      </c>
      <c r="J859" s="988">
        <v>35582</v>
      </c>
    </row>
    <row r="860" spans="1:10">
      <c r="A860" s="987">
        <v>68</v>
      </c>
      <c r="B860" s="988">
        <v>35612</v>
      </c>
      <c r="C860" s="987" t="s">
        <v>4637</v>
      </c>
      <c r="D860" s="987" t="s">
        <v>4639</v>
      </c>
      <c r="E860" s="987">
        <v>31.625</v>
      </c>
      <c r="F860" s="987">
        <v>7.9679999999999994E-3</v>
      </c>
      <c r="G860" s="987">
        <v>0</v>
      </c>
      <c r="H860" s="986">
        <v>5.7999999999999996E-3</v>
      </c>
      <c r="I860" s="986">
        <f t="shared" si="4"/>
        <v>2.1679999999999998E-3</v>
      </c>
      <c r="J860" s="988">
        <v>35612</v>
      </c>
    </row>
    <row r="861" spans="1:10">
      <c r="A861" s="987">
        <v>68</v>
      </c>
      <c r="B861" s="988">
        <v>35643</v>
      </c>
      <c r="C861" s="987" t="s">
        <v>4637</v>
      </c>
      <c r="D861" s="987" t="s">
        <v>4639</v>
      </c>
      <c r="E861" s="987">
        <v>32.0625</v>
      </c>
      <c r="F861" s="987">
        <v>1.3834000000000001E-2</v>
      </c>
      <c r="G861" s="987">
        <v>0</v>
      </c>
      <c r="H861" s="986">
        <v>4.8999999999999998E-3</v>
      </c>
      <c r="I861" s="986">
        <f t="shared" si="4"/>
        <v>8.934000000000001E-3</v>
      </c>
      <c r="J861" s="988">
        <v>35643</v>
      </c>
    </row>
    <row r="862" spans="1:10">
      <c r="A862" s="987">
        <v>68</v>
      </c>
      <c r="B862" s="988">
        <v>35674</v>
      </c>
      <c r="C862" s="987" t="s">
        <v>4637</v>
      </c>
      <c r="D862" s="987" t="s">
        <v>4639</v>
      </c>
      <c r="E862" s="987">
        <v>32.375</v>
      </c>
      <c r="F862" s="987">
        <v>2.2221999999999999E-2</v>
      </c>
      <c r="G862" s="987">
        <v>0.4</v>
      </c>
      <c r="H862" s="986">
        <v>5.7999999999999996E-3</v>
      </c>
      <c r="I862" s="986">
        <f t="shared" si="4"/>
        <v>1.6421999999999999E-2</v>
      </c>
      <c r="J862" s="988">
        <v>35674</v>
      </c>
    </row>
    <row r="863" spans="1:10">
      <c r="A863" s="987">
        <v>68</v>
      </c>
      <c r="B863" s="988">
        <v>35704</v>
      </c>
      <c r="C863" s="987" t="s">
        <v>4637</v>
      </c>
      <c r="D863" s="987" t="s">
        <v>4639</v>
      </c>
      <c r="E863" s="987">
        <v>32.375</v>
      </c>
      <c r="F863" s="987">
        <v>0</v>
      </c>
      <c r="G863" s="987">
        <v>0</v>
      </c>
      <c r="H863" s="986">
        <v>5.4000000000000003E-3</v>
      </c>
      <c r="I863" s="986">
        <f t="shared" si="4"/>
        <v>-5.4000000000000003E-3</v>
      </c>
      <c r="J863" s="988">
        <v>35704</v>
      </c>
    </row>
    <row r="864" spans="1:10">
      <c r="A864" s="987">
        <v>68</v>
      </c>
      <c r="B864" s="988">
        <v>35735</v>
      </c>
      <c r="C864" s="987" t="s">
        <v>4637</v>
      </c>
      <c r="D864" s="987" t="s">
        <v>4639</v>
      </c>
      <c r="E864" s="987">
        <v>34.8125</v>
      </c>
      <c r="F864" s="987">
        <v>7.5289999999999996E-2</v>
      </c>
      <c r="G864" s="987">
        <v>0</v>
      </c>
      <c r="H864" s="986">
        <v>4.7000000000000002E-3</v>
      </c>
      <c r="I864" s="986">
        <f t="shared" si="4"/>
        <v>7.059E-2</v>
      </c>
      <c r="J864" s="988">
        <v>35735</v>
      </c>
    </row>
    <row r="865" spans="1:10">
      <c r="A865" s="987">
        <v>68</v>
      </c>
      <c r="B865" s="988">
        <v>35765</v>
      </c>
      <c r="C865" s="987" t="s">
        <v>4637</v>
      </c>
      <c r="D865" s="987" t="s">
        <v>4639</v>
      </c>
      <c r="E865" s="987">
        <v>40.0625</v>
      </c>
      <c r="F865" s="987">
        <v>0.16258500000000001</v>
      </c>
      <c r="G865" s="987">
        <v>0.41</v>
      </c>
      <c r="H865" s="986">
        <v>5.4000000000000003E-3</v>
      </c>
      <c r="I865" s="986">
        <f t="shared" si="4"/>
        <v>0.15718500000000002</v>
      </c>
      <c r="J865" s="988">
        <v>35765</v>
      </c>
    </row>
    <row r="866" spans="1:10">
      <c r="A866" s="987">
        <v>68</v>
      </c>
      <c r="B866" s="988">
        <v>35796</v>
      </c>
      <c r="C866" s="987" t="s">
        <v>4637</v>
      </c>
      <c r="D866" s="987" t="s">
        <v>4639</v>
      </c>
      <c r="E866" s="987">
        <v>35.5</v>
      </c>
      <c r="F866" s="987">
        <v>-0.113885</v>
      </c>
      <c r="G866" s="987">
        <v>0</v>
      </c>
      <c r="H866" s="986">
        <v>4.7999999999999996E-3</v>
      </c>
      <c r="I866" s="986">
        <f t="shared" si="4"/>
        <v>-0.118685</v>
      </c>
      <c r="J866" s="988">
        <v>35796</v>
      </c>
    </row>
    <row r="867" spans="1:10">
      <c r="A867" s="987">
        <v>68</v>
      </c>
      <c r="B867" s="988">
        <v>35827</v>
      </c>
      <c r="C867" s="987" t="s">
        <v>4637</v>
      </c>
      <c r="D867" s="987" t="s">
        <v>4639</v>
      </c>
      <c r="E867" s="987">
        <v>36.5</v>
      </c>
      <c r="F867" s="987">
        <v>2.8169E-2</v>
      </c>
      <c r="G867" s="987">
        <v>0</v>
      </c>
      <c r="H867" s="986">
        <v>4.4000000000000003E-3</v>
      </c>
      <c r="I867" s="986">
        <f t="shared" si="4"/>
        <v>2.3768999999999998E-2</v>
      </c>
      <c r="J867" s="988">
        <v>35827</v>
      </c>
    </row>
    <row r="868" spans="1:10">
      <c r="A868" s="987">
        <v>68</v>
      </c>
      <c r="B868" s="988">
        <v>35855</v>
      </c>
      <c r="C868" s="987" t="s">
        <v>4637</v>
      </c>
      <c r="D868" s="987" t="s">
        <v>4639</v>
      </c>
      <c r="E868" s="987">
        <v>39.1875</v>
      </c>
      <c r="F868" s="987">
        <v>8.4862999999999994E-2</v>
      </c>
      <c r="G868" s="987">
        <v>0.41</v>
      </c>
      <c r="H868" s="986">
        <v>5.1999999999999998E-3</v>
      </c>
      <c r="I868" s="986">
        <f t="shared" si="4"/>
        <v>7.9662999999999998E-2</v>
      </c>
      <c r="J868" s="988">
        <v>35855</v>
      </c>
    </row>
    <row r="869" spans="1:10">
      <c r="A869" s="987">
        <v>68</v>
      </c>
      <c r="B869" s="988">
        <v>35886</v>
      </c>
      <c r="C869" s="987" t="s">
        <v>4637</v>
      </c>
      <c r="D869" s="987" t="s">
        <v>4639</v>
      </c>
      <c r="E869" s="987">
        <v>37.75</v>
      </c>
      <c r="F869" s="987">
        <v>-3.6683E-2</v>
      </c>
      <c r="G869" s="987">
        <v>0</v>
      </c>
      <c r="H869" s="986">
        <v>4.8999999999999998E-3</v>
      </c>
      <c r="I869" s="986">
        <f t="shared" si="4"/>
        <v>-4.1583000000000002E-2</v>
      </c>
      <c r="J869" s="988">
        <v>35886</v>
      </c>
    </row>
    <row r="870" spans="1:10">
      <c r="A870" s="987">
        <v>68</v>
      </c>
      <c r="B870" s="988">
        <v>35916</v>
      </c>
      <c r="C870" s="987" t="s">
        <v>4637</v>
      </c>
      <c r="D870" s="987" t="s">
        <v>4639</v>
      </c>
      <c r="E870" s="987">
        <v>35.9375</v>
      </c>
      <c r="F870" s="987">
        <v>-4.8013E-2</v>
      </c>
      <c r="G870" s="987">
        <v>0</v>
      </c>
      <c r="H870" s="986">
        <v>4.7999999999999996E-3</v>
      </c>
      <c r="I870" s="986">
        <f t="shared" si="4"/>
        <v>-5.2812999999999999E-2</v>
      </c>
      <c r="J870" s="988">
        <v>35916</v>
      </c>
    </row>
    <row r="871" spans="1:10">
      <c r="A871" s="987">
        <v>68</v>
      </c>
      <c r="B871" s="988">
        <v>35947</v>
      </c>
      <c r="C871" s="987" t="s">
        <v>4637</v>
      </c>
      <c r="D871" s="987" t="s">
        <v>4639</v>
      </c>
      <c r="E871" s="987">
        <v>35.6875</v>
      </c>
      <c r="F871" s="987">
        <v>4.4520000000000002E-3</v>
      </c>
      <c r="G871" s="987">
        <v>0.41</v>
      </c>
      <c r="H871" s="986">
        <v>5.1999999999999998E-3</v>
      </c>
      <c r="I871" s="986">
        <f t="shared" si="4"/>
        <v>-7.4799999999999953E-4</v>
      </c>
      <c r="J871" s="988">
        <v>35947</v>
      </c>
    </row>
    <row r="872" spans="1:10">
      <c r="A872" s="987">
        <v>68</v>
      </c>
      <c r="B872" s="988">
        <v>35977</v>
      </c>
      <c r="C872" s="987" t="s">
        <v>4637</v>
      </c>
      <c r="D872" s="987" t="s">
        <v>4639</v>
      </c>
      <c r="E872" s="987">
        <v>34.25</v>
      </c>
      <c r="F872" s="987">
        <v>-4.0280000000000003E-2</v>
      </c>
      <c r="G872" s="987">
        <v>0</v>
      </c>
      <c r="H872" s="986">
        <v>4.8999999999999998E-3</v>
      </c>
      <c r="I872" s="986">
        <f t="shared" si="4"/>
        <v>-4.5180000000000005E-2</v>
      </c>
      <c r="J872" s="988">
        <v>35977</v>
      </c>
    </row>
    <row r="873" spans="1:10">
      <c r="A873" s="987">
        <v>68</v>
      </c>
      <c r="B873" s="988">
        <v>36008</v>
      </c>
      <c r="C873" s="987" t="s">
        <v>4637</v>
      </c>
      <c r="D873" s="987" t="s">
        <v>4639</v>
      </c>
      <c r="E873" s="987">
        <v>33.6875</v>
      </c>
      <c r="F873" s="987">
        <v>-1.6423E-2</v>
      </c>
      <c r="G873" s="987">
        <v>0</v>
      </c>
      <c r="H873" s="986">
        <v>4.7999999999999996E-3</v>
      </c>
      <c r="I873" s="986">
        <f t="shared" si="4"/>
        <v>-2.1222999999999999E-2</v>
      </c>
      <c r="J873" s="988">
        <v>36008</v>
      </c>
    </row>
    <row r="874" spans="1:10">
      <c r="A874" s="987">
        <v>68</v>
      </c>
      <c r="B874" s="988">
        <v>36039</v>
      </c>
      <c r="C874" s="987" t="s">
        <v>4637</v>
      </c>
      <c r="D874" s="987" t="s">
        <v>4639</v>
      </c>
      <c r="E874" s="987">
        <v>35.625</v>
      </c>
      <c r="F874" s="987">
        <v>6.9684999999999997E-2</v>
      </c>
      <c r="G874" s="987">
        <v>0.41</v>
      </c>
      <c r="H874" s="986">
        <v>4.4000000000000003E-3</v>
      </c>
      <c r="I874" s="986">
        <f t="shared" si="4"/>
        <v>6.5284999999999996E-2</v>
      </c>
      <c r="J874" s="988">
        <v>36039</v>
      </c>
    </row>
    <row r="875" spans="1:10">
      <c r="A875" s="987">
        <v>68</v>
      </c>
      <c r="B875" s="988">
        <v>36069</v>
      </c>
      <c r="C875" s="987" t="s">
        <v>4637</v>
      </c>
      <c r="D875" s="987" t="s">
        <v>4639</v>
      </c>
      <c r="E875" s="987">
        <v>38.4375</v>
      </c>
      <c r="F875" s="987">
        <v>7.8947000000000003E-2</v>
      </c>
      <c r="G875" s="987">
        <v>0</v>
      </c>
      <c r="H875" s="986">
        <v>4.1999999999999997E-3</v>
      </c>
      <c r="I875" s="986">
        <f t="shared" si="4"/>
        <v>7.4747000000000008E-2</v>
      </c>
      <c r="J875" s="988">
        <v>36069</v>
      </c>
    </row>
    <row r="876" spans="1:10">
      <c r="A876" s="987">
        <v>68</v>
      </c>
      <c r="B876" s="988">
        <v>36100</v>
      </c>
      <c r="C876" s="987" t="s">
        <v>4637</v>
      </c>
      <c r="D876" s="987" t="s">
        <v>4639</v>
      </c>
      <c r="E876" s="987">
        <v>38.9375</v>
      </c>
      <c r="F876" s="987">
        <v>1.3008E-2</v>
      </c>
      <c r="G876" s="987">
        <v>0</v>
      </c>
      <c r="H876" s="986">
        <v>4.4999999999999997E-3</v>
      </c>
      <c r="I876" s="986">
        <f t="shared" si="4"/>
        <v>8.5080000000000017E-3</v>
      </c>
      <c r="J876" s="988">
        <v>36100</v>
      </c>
    </row>
    <row r="877" spans="1:10">
      <c r="A877" s="987">
        <v>68</v>
      </c>
      <c r="B877" s="988">
        <v>36130</v>
      </c>
      <c r="C877" s="987" t="s">
        <v>4637</v>
      </c>
      <c r="D877" s="987" t="s">
        <v>4639</v>
      </c>
      <c r="E877" s="987">
        <v>39.5</v>
      </c>
      <c r="F877" s="987">
        <v>2.5232999999999998E-2</v>
      </c>
      <c r="G877" s="987">
        <v>0.42</v>
      </c>
      <c r="H877" s="986">
        <v>4.4999999999999997E-3</v>
      </c>
      <c r="I877" s="986">
        <f t="shared" si="4"/>
        <v>2.0732999999999998E-2</v>
      </c>
      <c r="J877" s="988">
        <v>36130</v>
      </c>
    </row>
    <row r="878" spans="1:10">
      <c r="A878" s="987">
        <v>68</v>
      </c>
      <c r="B878" s="988">
        <v>36161</v>
      </c>
      <c r="C878" s="987" t="s">
        <v>4637</v>
      </c>
      <c r="D878" s="987" t="s">
        <v>4639</v>
      </c>
      <c r="E878" s="987">
        <v>36.375</v>
      </c>
      <c r="F878" s="987">
        <v>-7.9114000000000004E-2</v>
      </c>
      <c r="G878" s="987">
        <v>0</v>
      </c>
      <c r="H878" s="986">
        <v>4.1999999999999997E-3</v>
      </c>
      <c r="I878" s="986">
        <f t="shared" si="4"/>
        <v>-8.3313999999999999E-2</v>
      </c>
      <c r="J878" s="988">
        <v>36161</v>
      </c>
    </row>
    <row r="879" spans="1:10">
      <c r="A879" s="987">
        <v>68</v>
      </c>
      <c r="B879" s="988">
        <v>36192</v>
      </c>
      <c r="C879" s="987" t="s">
        <v>4637</v>
      </c>
      <c r="D879" s="987" t="s">
        <v>4639</v>
      </c>
      <c r="E879" s="987">
        <v>34.9375</v>
      </c>
      <c r="F879" s="987">
        <v>-3.9518999999999999E-2</v>
      </c>
      <c r="G879" s="987">
        <v>0</v>
      </c>
      <c r="H879" s="986">
        <v>4.0000000000000001E-3</v>
      </c>
      <c r="I879" s="986">
        <f t="shared" si="4"/>
        <v>-4.3519000000000002E-2</v>
      </c>
      <c r="J879" s="988">
        <v>36192</v>
      </c>
    </row>
    <row r="880" spans="1:10">
      <c r="A880" s="987">
        <v>68</v>
      </c>
      <c r="B880" s="988">
        <v>36220</v>
      </c>
      <c r="C880" s="987" t="s">
        <v>4637</v>
      </c>
      <c r="D880" s="987" t="s">
        <v>4639</v>
      </c>
      <c r="E880" s="987">
        <v>35.5625</v>
      </c>
      <c r="F880" s="987">
        <v>2.9911E-2</v>
      </c>
      <c r="G880" s="987">
        <v>0.42</v>
      </c>
      <c r="H880" s="986">
        <v>5.3E-3</v>
      </c>
      <c r="I880" s="986">
        <f t="shared" si="4"/>
        <v>2.4611000000000001E-2</v>
      </c>
      <c r="J880" s="988">
        <v>36220</v>
      </c>
    </row>
    <row r="881" spans="1:10">
      <c r="A881" s="987">
        <v>68</v>
      </c>
      <c r="B881" s="988">
        <v>36251</v>
      </c>
      <c r="C881" s="987" t="s">
        <v>4637</v>
      </c>
      <c r="D881" s="987" t="s">
        <v>4639</v>
      </c>
      <c r="E881" s="987">
        <v>36.875</v>
      </c>
      <c r="F881" s="987">
        <v>3.6907000000000002E-2</v>
      </c>
      <c r="G881" s="987">
        <v>0</v>
      </c>
      <c r="H881" s="986">
        <v>4.7999999999999996E-3</v>
      </c>
      <c r="I881" s="986">
        <f t="shared" si="4"/>
        <v>3.2107000000000004E-2</v>
      </c>
      <c r="J881" s="988">
        <v>36251</v>
      </c>
    </row>
    <row r="882" spans="1:10">
      <c r="A882" s="987">
        <v>68</v>
      </c>
      <c r="B882" s="988">
        <v>36281</v>
      </c>
      <c r="C882" s="987" t="s">
        <v>4637</v>
      </c>
      <c r="D882" s="987" t="s">
        <v>4639</v>
      </c>
      <c r="E882" s="987">
        <v>37.75</v>
      </c>
      <c r="F882" s="987">
        <v>2.3729E-2</v>
      </c>
      <c r="G882" s="987">
        <v>0</v>
      </c>
      <c r="H882" s="986">
        <v>4.4999999999999997E-3</v>
      </c>
      <c r="I882" s="986">
        <f t="shared" si="4"/>
        <v>1.9229E-2</v>
      </c>
      <c r="J882" s="988">
        <v>36281</v>
      </c>
    </row>
    <row r="883" spans="1:10">
      <c r="A883" s="987">
        <v>68</v>
      </c>
      <c r="B883" s="988">
        <v>36312</v>
      </c>
      <c r="C883" s="987" t="s">
        <v>4637</v>
      </c>
      <c r="D883" s="987" t="s">
        <v>4639</v>
      </c>
      <c r="E883" s="987">
        <v>37.4375</v>
      </c>
      <c r="F883" s="987">
        <v>2.8479999999999998E-3</v>
      </c>
      <c r="G883" s="987">
        <v>0.42</v>
      </c>
      <c r="H883" s="986">
        <v>5.4999999999999997E-3</v>
      </c>
      <c r="I883" s="986">
        <f t="shared" si="4"/>
        <v>-2.6519999999999998E-3</v>
      </c>
      <c r="J883" s="988">
        <v>36312</v>
      </c>
    </row>
    <row r="884" spans="1:10">
      <c r="A884" s="987">
        <v>68</v>
      </c>
      <c r="B884" s="988">
        <v>36342</v>
      </c>
      <c r="C884" s="987" t="s">
        <v>4637</v>
      </c>
      <c r="D884" s="987" t="s">
        <v>4639</v>
      </c>
      <c r="E884" s="987">
        <v>39.5625</v>
      </c>
      <c r="F884" s="987">
        <v>5.6760999999999999E-2</v>
      </c>
      <c r="G884" s="987">
        <v>0</v>
      </c>
      <c r="H884" s="986">
        <v>5.1000000000000004E-3</v>
      </c>
      <c r="I884" s="986">
        <f t="shared" si="4"/>
        <v>5.1660999999999999E-2</v>
      </c>
      <c r="J884" s="988">
        <v>36342</v>
      </c>
    </row>
    <row r="885" spans="1:10">
      <c r="A885" s="987">
        <v>68</v>
      </c>
      <c r="B885" s="988">
        <v>36373</v>
      </c>
      <c r="C885" s="987" t="s">
        <v>4637</v>
      </c>
      <c r="D885" s="987" t="s">
        <v>4639</v>
      </c>
      <c r="E885" s="987">
        <v>38.75</v>
      </c>
      <c r="F885" s="987">
        <v>-2.0537E-2</v>
      </c>
      <c r="G885" s="987">
        <v>0</v>
      </c>
      <c r="H885" s="986">
        <v>5.4000000000000003E-3</v>
      </c>
      <c r="I885" s="986">
        <f t="shared" si="4"/>
        <v>-2.5937000000000002E-2</v>
      </c>
      <c r="J885" s="988">
        <v>36373</v>
      </c>
    </row>
    <row r="886" spans="1:10">
      <c r="A886" s="987">
        <v>68</v>
      </c>
      <c r="B886" s="988">
        <v>36404</v>
      </c>
      <c r="C886" s="987" t="s">
        <v>4637</v>
      </c>
      <c r="D886" s="987" t="s">
        <v>4639</v>
      </c>
      <c r="E886" s="987">
        <v>40</v>
      </c>
      <c r="F886" s="987">
        <v>4.3097000000000003E-2</v>
      </c>
      <c r="G886" s="987">
        <v>0.42</v>
      </c>
      <c r="H886" s="986">
        <v>5.1999999999999998E-3</v>
      </c>
      <c r="I886" s="986">
        <f t="shared" ref="I886:I949" si="5">F886-H886</f>
        <v>3.7897E-2</v>
      </c>
      <c r="J886" s="988">
        <v>36404</v>
      </c>
    </row>
    <row r="887" spans="1:10">
      <c r="A887" s="987">
        <v>68</v>
      </c>
      <c r="B887" s="988">
        <v>36434</v>
      </c>
      <c r="C887" s="987" t="s">
        <v>4637</v>
      </c>
      <c r="D887" s="987" t="s">
        <v>4639</v>
      </c>
      <c r="E887" s="987">
        <v>40.6875</v>
      </c>
      <c r="F887" s="987">
        <v>1.7187999999999998E-2</v>
      </c>
      <c r="G887" s="987">
        <v>0</v>
      </c>
      <c r="H887" s="986">
        <v>5.0000000000000001E-3</v>
      </c>
      <c r="I887" s="986">
        <f t="shared" si="5"/>
        <v>1.2187999999999997E-2</v>
      </c>
      <c r="J887" s="988">
        <v>36434</v>
      </c>
    </row>
    <row r="888" spans="1:10">
      <c r="A888" s="987">
        <v>68</v>
      </c>
      <c r="B888" s="988">
        <v>36465</v>
      </c>
      <c r="C888" s="987" t="s">
        <v>4637</v>
      </c>
      <c r="D888" s="987" t="s">
        <v>4639</v>
      </c>
      <c r="E888" s="987">
        <v>40.25</v>
      </c>
      <c r="F888" s="987">
        <v>-1.0753E-2</v>
      </c>
      <c r="G888" s="987">
        <v>0</v>
      </c>
      <c r="H888" s="986">
        <v>5.5999999999999999E-3</v>
      </c>
      <c r="I888" s="986">
        <f t="shared" si="5"/>
        <v>-1.6352999999999999E-2</v>
      </c>
      <c r="J888" s="988">
        <v>36465</v>
      </c>
    </row>
    <row r="889" spans="1:10">
      <c r="A889" s="987">
        <v>68</v>
      </c>
      <c r="B889" s="988">
        <v>36495</v>
      </c>
      <c r="C889" s="987" t="s">
        <v>4637</v>
      </c>
      <c r="D889" s="987" t="s">
        <v>4639</v>
      </c>
      <c r="E889" s="987">
        <v>39.0625</v>
      </c>
      <c r="F889" s="987">
        <v>-1.882E-2</v>
      </c>
      <c r="G889" s="987">
        <v>0.43</v>
      </c>
      <c r="H889" s="986">
        <v>5.4999999999999997E-3</v>
      </c>
      <c r="I889" s="986">
        <f t="shared" si="5"/>
        <v>-2.4320000000000001E-2</v>
      </c>
      <c r="J889" s="988">
        <v>36495</v>
      </c>
    </row>
    <row r="890" spans="1:10">
      <c r="A890" s="987">
        <v>68</v>
      </c>
      <c r="B890" s="988">
        <v>36526</v>
      </c>
      <c r="C890" s="987" t="s">
        <v>4637</v>
      </c>
      <c r="D890" s="987" t="s">
        <v>4639</v>
      </c>
      <c r="E890" s="987">
        <v>37.8125</v>
      </c>
      <c r="F890" s="987">
        <v>-3.2000000000000001E-2</v>
      </c>
      <c r="G890" s="987">
        <v>0</v>
      </c>
      <c r="H890" s="986">
        <v>5.7000000000000002E-3</v>
      </c>
      <c r="I890" s="986">
        <f t="shared" si="5"/>
        <v>-3.7699999999999997E-2</v>
      </c>
      <c r="J890" s="988">
        <v>36526</v>
      </c>
    </row>
    <row r="891" spans="1:10">
      <c r="A891" s="987">
        <v>68</v>
      </c>
      <c r="B891" s="988">
        <v>36557</v>
      </c>
      <c r="C891" s="987" t="s">
        <v>4637</v>
      </c>
      <c r="D891" s="987" t="s">
        <v>4639</v>
      </c>
      <c r="E891" s="987">
        <v>37.125</v>
      </c>
      <c r="F891" s="987">
        <v>-1.8182E-2</v>
      </c>
      <c r="G891" s="987">
        <v>0</v>
      </c>
      <c r="H891" s="986">
        <v>5.1000000000000004E-3</v>
      </c>
      <c r="I891" s="986">
        <f t="shared" si="5"/>
        <v>-2.3282000000000001E-2</v>
      </c>
      <c r="J891" s="988">
        <v>36557</v>
      </c>
    </row>
    <row r="892" spans="1:10">
      <c r="A892" s="987">
        <v>68</v>
      </c>
      <c r="B892" s="988">
        <v>36586</v>
      </c>
      <c r="C892" s="987" t="s">
        <v>4637</v>
      </c>
      <c r="D892" s="987" t="s">
        <v>4639</v>
      </c>
      <c r="E892" s="987">
        <v>42.75</v>
      </c>
      <c r="F892" s="987">
        <v>0.16309799999999999</v>
      </c>
      <c r="G892" s="987">
        <v>0.43</v>
      </c>
      <c r="H892" s="986">
        <v>5.4000000000000003E-3</v>
      </c>
      <c r="I892" s="986">
        <f t="shared" si="5"/>
        <v>0.157698</v>
      </c>
      <c r="J892" s="988">
        <v>36586</v>
      </c>
    </row>
    <row r="893" spans="1:10">
      <c r="A893" s="987">
        <v>68</v>
      </c>
      <c r="B893" s="988">
        <v>36617</v>
      </c>
      <c r="C893" s="987" t="s">
        <v>4637</v>
      </c>
      <c r="D893" s="987" t="s">
        <v>4639</v>
      </c>
      <c r="E893" s="987">
        <v>40.25</v>
      </c>
      <c r="F893" s="987">
        <v>-5.8479999999999997E-2</v>
      </c>
      <c r="G893" s="987">
        <v>0</v>
      </c>
      <c r="H893" s="986">
        <v>4.7000000000000002E-3</v>
      </c>
      <c r="I893" s="986">
        <f t="shared" si="5"/>
        <v>-6.318E-2</v>
      </c>
      <c r="J893" s="988">
        <v>36617</v>
      </c>
    </row>
    <row r="894" spans="1:10">
      <c r="A894" s="987">
        <v>68</v>
      </c>
      <c r="B894" s="988">
        <v>36647</v>
      </c>
      <c r="C894" s="987" t="s">
        <v>4637</v>
      </c>
      <c r="D894" s="987" t="s">
        <v>4639</v>
      </c>
      <c r="E894" s="987">
        <v>38.75</v>
      </c>
      <c r="F894" s="987">
        <v>-3.7267000000000002E-2</v>
      </c>
      <c r="G894" s="987">
        <v>0</v>
      </c>
      <c r="H894" s="986">
        <v>5.5999999999999999E-3</v>
      </c>
      <c r="I894" s="986">
        <f t="shared" si="5"/>
        <v>-4.2867000000000002E-2</v>
      </c>
      <c r="J894" s="988">
        <v>36647</v>
      </c>
    </row>
    <row r="895" spans="1:10">
      <c r="A895" s="987">
        <v>68</v>
      </c>
      <c r="B895" s="988">
        <v>36678</v>
      </c>
      <c r="C895" s="987" t="s">
        <v>4637</v>
      </c>
      <c r="D895" s="987" t="s">
        <v>4639</v>
      </c>
      <c r="E895" s="987">
        <v>38.0625</v>
      </c>
      <c r="F895" s="987">
        <v>-6.6449999999999999E-3</v>
      </c>
      <c r="G895" s="987">
        <v>0.43</v>
      </c>
      <c r="H895" s="986">
        <v>5.1999999999999998E-3</v>
      </c>
      <c r="I895" s="986">
        <f t="shared" si="5"/>
        <v>-1.1845E-2</v>
      </c>
      <c r="J895" s="988">
        <v>36678</v>
      </c>
    </row>
    <row r="896" spans="1:10">
      <c r="A896" s="987">
        <v>68</v>
      </c>
      <c r="B896" s="988">
        <v>36708</v>
      </c>
      <c r="C896" s="987" t="s">
        <v>4637</v>
      </c>
      <c r="D896" s="987" t="s">
        <v>4639</v>
      </c>
      <c r="E896" s="987">
        <v>40</v>
      </c>
      <c r="F896" s="987">
        <v>5.0902999999999997E-2</v>
      </c>
      <c r="G896" s="987">
        <v>0</v>
      </c>
      <c r="H896" s="986">
        <v>5.1999999999999998E-3</v>
      </c>
      <c r="I896" s="986">
        <f t="shared" si="5"/>
        <v>4.5702999999999994E-2</v>
      </c>
      <c r="J896" s="988">
        <v>36708</v>
      </c>
    </row>
    <row r="897" spans="1:10">
      <c r="A897" s="987">
        <v>68</v>
      </c>
      <c r="B897" s="988">
        <v>36739</v>
      </c>
      <c r="C897" s="987" t="s">
        <v>4637</v>
      </c>
      <c r="D897" s="987" t="s">
        <v>4639</v>
      </c>
      <c r="E897" s="987">
        <v>40</v>
      </c>
      <c r="F897" s="987">
        <v>0</v>
      </c>
      <c r="G897" s="987">
        <v>0</v>
      </c>
      <c r="H897" s="986">
        <v>5.0000000000000001E-3</v>
      </c>
      <c r="I897" s="986">
        <f t="shared" si="5"/>
        <v>-5.0000000000000001E-3</v>
      </c>
      <c r="J897" s="988">
        <v>36739</v>
      </c>
    </row>
    <row r="898" spans="1:10">
      <c r="A898" s="987">
        <v>68</v>
      </c>
      <c r="B898" s="988">
        <v>36770</v>
      </c>
      <c r="C898" s="987" t="s">
        <v>4637</v>
      </c>
      <c r="D898" s="987" t="s">
        <v>4639</v>
      </c>
      <c r="E898" s="987">
        <v>40.625</v>
      </c>
      <c r="F898" s="987">
        <v>2.6374999999999999E-2</v>
      </c>
      <c r="G898" s="987">
        <v>0.43</v>
      </c>
      <c r="H898" s="986">
        <v>4.5999999999999999E-3</v>
      </c>
      <c r="I898" s="986">
        <f t="shared" si="5"/>
        <v>2.1774999999999999E-2</v>
      </c>
      <c r="J898" s="988">
        <v>36770</v>
      </c>
    </row>
    <row r="899" spans="1:10">
      <c r="A899" s="987">
        <v>68</v>
      </c>
      <c r="B899" s="988">
        <v>36800</v>
      </c>
      <c r="C899" s="987" t="s">
        <v>4637</v>
      </c>
      <c r="D899" s="987" t="s">
        <v>4639</v>
      </c>
      <c r="E899" s="987">
        <v>39.9375</v>
      </c>
      <c r="F899" s="987">
        <v>-1.6923000000000001E-2</v>
      </c>
      <c r="G899" s="987">
        <v>0</v>
      </c>
      <c r="H899" s="986">
        <v>5.3E-3</v>
      </c>
      <c r="I899" s="986">
        <f t="shared" si="5"/>
        <v>-2.2223E-2</v>
      </c>
      <c r="J899" s="988">
        <v>36800</v>
      </c>
    </row>
    <row r="900" spans="1:10">
      <c r="A900" s="987">
        <v>68</v>
      </c>
      <c r="B900" s="988">
        <v>36831</v>
      </c>
      <c r="C900" s="987" t="s">
        <v>4637</v>
      </c>
      <c r="D900" s="987" t="s">
        <v>4639</v>
      </c>
      <c r="E900" s="987">
        <v>40.25</v>
      </c>
      <c r="F900" s="987">
        <v>7.8250000000000004E-3</v>
      </c>
      <c r="G900" s="987">
        <v>0</v>
      </c>
      <c r="H900" s="986">
        <v>4.7999999999999996E-3</v>
      </c>
      <c r="I900" s="986">
        <f t="shared" si="5"/>
        <v>3.0250000000000008E-3</v>
      </c>
      <c r="J900" s="988">
        <v>36831</v>
      </c>
    </row>
    <row r="901" spans="1:10">
      <c r="A901" s="987">
        <v>68</v>
      </c>
      <c r="B901" s="988">
        <v>36861</v>
      </c>
      <c r="C901" s="987" t="s">
        <v>4637</v>
      </c>
      <c r="D901" s="987" t="s">
        <v>4639</v>
      </c>
      <c r="E901" s="987">
        <v>43.25</v>
      </c>
      <c r="F901" s="987">
        <v>8.5466E-2</v>
      </c>
      <c r="G901" s="987">
        <v>0.44</v>
      </c>
      <c r="H901" s="986">
        <v>4.4999999999999997E-3</v>
      </c>
      <c r="I901" s="986">
        <f t="shared" si="5"/>
        <v>8.0965999999999996E-2</v>
      </c>
      <c r="J901" s="988">
        <v>36861</v>
      </c>
    </row>
    <row r="902" spans="1:10">
      <c r="A902" s="987">
        <v>68</v>
      </c>
      <c r="B902" s="988">
        <v>36892</v>
      </c>
      <c r="C902" s="987" t="s">
        <v>4637</v>
      </c>
      <c r="D902" s="987" t="s">
        <v>4639</v>
      </c>
      <c r="E902" s="987">
        <v>37.26</v>
      </c>
      <c r="F902" s="987">
        <v>-0.13849700000000001</v>
      </c>
      <c r="G902" s="987">
        <v>0</v>
      </c>
      <c r="H902" s="986">
        <v>4.8999999999999998E-3</v>
      </c>
      <c r="I902" s="986">
        <f t="shared" si="5"/>
        <v>-0.143397</v>
      </c>
      <c r="J902" s="988">
        <v>36892</v>
      </c>
    </row>
    <row r="903" spans="1:10">
      <c r="A903" s="987">
        <v>68</v>
      </c>
      <c r="B903" s="988">
        <v>36923</v>
      </c>
      <c r="C903" s="987" t="s">
        <v>4637</v>
      </c>
      <c r="D903" s="987" t="s">
        <v>4639</v>
      </c>
      <c r="E903" s="987">
        <v>38.26</v>
      </c>
      <c r="F903" s="987">
        <v>2.6838000000000001E-2</v>
      </c>
      <c r="G903" s="987">
        <v>0</v>
      </c>
      <c r="H903" s="986">
        <v>4.1999999999999997E-3</v>
      </c>
      <c r="I903" s="986">
        <f t="shared" si="5"/>
        <v>2.2638000000000002E-2</v>
      </c>
      <c r="J903" s="988">
        <v>36923</v>
      </c>
    </row>
    <row r="904" spans="1:10">
      <c r="A904" s="987">
        <v>68</v>
      </c>
      <c r="B904" s="988">
        <v>36951</v>
      </c>
      <c r="C904" s="987" t="s">
        <v>4637</v>
      </c>
      <c r="D904" s="987" t="s">
        <v>4639</v>
      </c>
      <c r="E904" s="987">
        <v>41.15</v>
      </c>
      <c r="F904" s="987">
        <v>8.7036000000000002E-2</v>
      </c>
      <c r="G904" s="987">
        <v>0.44</v>
      </c>
      <c r="H904" s="986">
        <v>4.4999999999999997E-3</v>
      </c>
      <c r="I904" s="986">
        <f t="shared" si="5"/>
        <v>8.2535999999999998E-2</v>
      </c>
      <c r="J904" s="988">
        <v>36951</v>
      </c>
    </row>
    <row r="905" spans="1:10">
      <c r="A905" s="987">
        <v>68</v>
      </c>
      <c r="B905" s="988">
        <v>36982</v>
      </c>
      <c r="C905" s="987" t="s">
        <v>4637</v>
      </c>
      <c r="D905" s="987" t="s">
        <v>4639</v>
      </c>
      <c r="E905" s="987">
        <v>43.29</v>
      </c>
      <c r="F905" s="987">
        <v>5.2005000000000003E-2</v>
      </c>
      <c r="G905" s="987">
        <v>0</v>
      </c>
      <c r="H905" s="986">
        <v>4.7000000000000002E-3</v>
      </c>
      <c r="I905" s="986">
        <f t="shared" si="5"/>
        <v>4.7305E-2</v>
      </c>
      <c r="J905" s="988">
        <v>36982</v>
      </c>
    </row>
    <row r="906" spans="1:10">
      <c r="A906" s="987">
        <v>68</v>
      </c>
      <c r="B906" s="988">
        <v>37012</v>
      </c>
      <c r="C906" s="987" t="s">
        <v>4637</v>
      </c>
      <c r="D906" s="987" t="s">
        <v>4639</v>
      </c>
      <c r="E906" s="987">
        <v>44.64</v>
      </c>
      <c r="F906" s="987">
        <v>3.1185000000000001E-2</v>
      </c>
      <c r="G906" s="987">
        <v>0</v>
      </c>
      <c r="H906" s="986">
        <v>5.0000000000000001E-3</v>
      </c>
      <c r="I906" s="986">
        <f t="shared" si="5"/>
        <v>2.6185E-2</v>
      </c>
      <c r="J906" s="988">
        <v>37012</v>
      </c>
    </row>
    <row r="907" spans="1:10">
      <c r="A907" s="987">
        <v>68</v>
      </c>
      <c r="B907" s="988">
        <v>37043</v>
      </c>
      <c r="C907" s="987" t="s">
        <v>4637</v>
      </c>
      <c r="D907" s="987" t="s">
        <v>4639</v>
      </c>
      <c r="E907" s="987">
        <v>45.2</v>
      </c>
      <c r="F907" s="987">
        <v>2.2401000000000001E-2</v>
      </c>
      <c r="G907" s="987">
        <v>0.44</v>
      </c>
      <c r="H907" s="986">
        <v>4.7000000000000002E-3</v>
      </c>
      <c r="I907" s="986">
        <f t="shared" si="5"/>
        <v>1.7701000000000001E-2</v>
      </c>
      <c r="J907" s="988">
        <v>37043</v>
      </c>
    </row>
    <row r="908" spans="1:10">
      <c r="A908" s="987">
        <v>68</v>
      </c>
      <c r="B908" s="988">
        <v>37073</v>
      </c>
      <c r="C908" s="987" t="s">
        <v>4637</v>
      </c>
      <c r="D908" s="987" t="s">
        <v>4639</v>
      </c>
      <c r="E908" s="987">
        <v>43.45</v>
      </c>
      <c r="F908" s="987">
        <v>-3.8717000000000001E-2</v>
      </c>
      <c r="G908" s="987">
        <v>0</v>
      </c>
      <c r="H908" s="986">
        <v>5.1999999999999998E-3</v>
      </c>
      <c r="I908" s="986">
        <f t="shared" si="5"/>
        <v>-4.3916999999999998E-2</v>
      </c>
      <c r="J908" s="988">
        <v>37073</v>
      </c>
    </row>
    <row r="909" spans="1:10">
      <c r="A909" s="987">
        <v>68</v>
      </c>
      <c r="B909" s="988">
        <v>37104</v>
      </c>
      <c r="C909" s="987" t="s">
        <v>4637</v>
      </c>
      <c r="D909" s="987" t="s">
        <v>4639</v>
      </c>
      <c r="E909" s="987">
        <v>45</v>
      </c>
      <c r="F909" s="987">
        <v>3.5673000000000003E-2</v>
      </c>
      <c r="G909" s="987">
        <v>0</v>
      </c>
      <c r="H909" s="986">
        <v>4.5999999999999999E-3</v>
      </c>
      <c r="I909" s="986">
        <f t="shared" si="5"/>
        <v>3.1073000000000003E-2</v>
      </c>
      <c r="J909" s="988">
        <v>37104</v>
      </c>
    </row>
    <row r="910" spans="1:10">
      <c r="A910" s="987">
        <v>68</v>
      </c>
      <c r="B910" s="988">
        <v>37135</v>
      </c>
      <c r="C910" s="987" t="s">
        <v>4637</v>
      </c>
      <c r="D910" s="987" t="s">
        <v>4639</v>
      </c>
      <c r="E910" s="987">
        <v>44.21</v>
      </c>
      <c r="F910" s="987">
        <v>-7.7780000000000002E-3</v>
      </c>
      <c r="G910" s="987">
        <v>0.44</v>
      </c>
      <c r="H910" s="986">
        <v>4.1000000000000003E-3</v>
      </c>
      <c r="I910" s="986">
        <f t="shared" si="5"/>
        <v>-1.1878E-2</v>
      </c>
      <c r="J910" s="988">
        <v>37135</v>
      </c>
    </row>
    <row r="911" spans="1:10">
      <c r="A911" s="987">
        <v>68</v>
      </c>
      <c r="B911" s="988">
        <v>37165</v>
      </c>
      <c r="C911" s="987" t="s">
        <v>4637</v>
      </c>
      <c r="D911" s="987" t="s">
        <v>4639</v>
      </c>
      <c r="E911" s="987">
        <v>45</v>
      </c>
      <c r="F911" s="987">
        <v>1.7868999999999999E-2</v>
      </c>
      <c r="G911" s="987">
        <v>0</v>
      </c>
      <c r="H911" s="986">
        <v>4.7999999999999996E-3</v>
      </c>
      <c r="I911" s="986">
        <f t="shared" si="5"/>
        <v>1.3069000000000001E-2</v>
      </c>
      <c r="J911" s="988">
        <v>37165</v>
      </c>
    </row>
    <row r="912" spans="1:10">
      <c r="A912" s="987">
        <v>68</v>
      </c>
      <c r="B912" s="988">
        <v>37196</v>
      </c>
      <c r="C912" s="987" t="s">
        <v>4637</v>
      </c>
      <c r="D912" s="987" t="s">
        <v>4639</v>
      </c>
      <c r="E912" s="987">
        <v>46.95</v>
      </c>
      <c r="F912" s="987">
        <v>4.3333000000000003E-2</v>
      </c>
      <c r="G912" s="987">
        <v>0</v>
      </c>
      <c r="H912" s="986">
        <v>4.1000000000000003E-3</v>
      </c>
      <c r="I912" s="986">
        <f t="shared" si="5"/>
        <v>3.9233000000000004E-2</v>
      </c>
      <c r="J912" s="988">
        <v>37196</v>
      </c>
    </row>
    <row r="913" spans="1:10">
      <c r="A913" s="987">
        <v>68</v>
      </c>
      <c r="B913" s="988">
        <v>37226</v>
      </c>
      <c r="C913" s="987" t="s">
        <v>4637</v>
      </c>
      <c r="D913" s="987" t="s">
        <v>4639</v>
      </c>
      <c r="E913" s="987">
        <v>46.8</v>
      </c>
      <c r="F913" s="987">
        <v>6.3899999999999998E-3</v>
      </c>
      <c r="G913" s="987">
        <v>0.45</v>
      </c>
      <c r="H913" s="986">
        <v>4.5999999999999999E-3</v>
      </c>
      <c r="I913" s="986">
        <f t="shared" si="5"/>
        <v>1.7899999999999999E-3</v>
      </c>
      <c r="J913" s="988">
        <v>37226</v>
      </c>
    </row>
    <row r="914" spans="1:10">
      <c r="A914" s="987">
        <v>68</v>
      </c>
      <c r="B914" s="988">
        <v>37257</v>
      </c>
      <c r="C914" s="987" t="s">
        <v>4637</v>
      </c>
      <c r="D914" s="987" t="s">
        <v>4639</v>
      </c>
      <c r="E914" s="987">
        <v>45.37</v>
      </c>
      <c r="F914" s="987">
        <v>-3.0556E-2</v>
      </c>
      <c r="G914" s="987">
        <v>0</v>
      </c>
      <c r="H914" s="986">
        <v>4.7999999999999996E-3</v>
      </c>
      <c r="I914" s="986">
        <f t="shared" si="5"/>
        <v>-3.5355999999999999E-2</v>
      </c>
      <c r="J914" s="988">
        <v>37257</v>
      </c>
    </row>
    <row r="915" spans="1:10">
      <c r="A915" s="987">
        <v>68</v>
      </c>
      <c r="B915" s="988">
        <v>37288</v>
      </c>
      <c r="C915" s="987" t="s">
        <v>4637</v>
      </c>
      <c r="D915" s="987" t="s">
        <v>4639</v>
      </c>
      <c r="E915" s="987">
        <v>45.59</v>
      </c>
      <c r="F915" s="987">
        <v>4.849E-3</v>
      </c>
      <c r="G915" s="987">
        <v>0</v>
      </c>
      <c r="H915" s="986">
        <v>4.3E-3</v>
      </c>
      <c r="I915" s="986">
        <f t="shared" si="5"/>
        <v>5.4900000000000001E-4</v>
      </c>
      <c r="J915" s="988">
        <v>37288</v>
      </c>
    </row>
    <row r="916" spans="1:10">
      <c r="A916" s="987">
        <v>68</v>
      </c>
      <c r="B916" s="988">
        <v>37316</v>
      </c>
      <c r="C916" s="987" t="s">
        <v>4637</v>
      </c>
      <c r="D916" s="987" t="s">
        <v>4639</v>
      </c>
      <c r="E916" s="987">
        <v>30.24</v>
      </c>
      <c r="F916" s="987">
        <v>4.8260000000000004E-3</v>
      </c>
      <c r="G916" s="987">
        <v>0.45</v>
      </c>
      <c r="H916" s="986">
        <v>4.3E-3</v>
      </c>
      <c r="I916" s="986">
        <f t="shared" si="5"/>
        <v>5.2600000000000043E-4</v>
      </c>
      <c r="J916" s="988">
        <v>37316</v>
      </c>
    </row>
    <row r="917" spans="1:10">
      <c r="A917" s="987">
        <v>68</v>
      </c>
      <c r="B917" s="988">
        <v>37347</v>
      </c>
      <c r="C917" s="987" t="s">
        <v>4637</v>
      </c>
      <c r="D917" s="987" t="s">
        <v>4639</v>
      </c>
      <c r="E917" s="987">
        <v>32</v>
      </c>
      <c r="F917" s="987">
        <v>5.8201000000000003E-2</v>
      </c>
      <c r="G917" s="987">
        <v>0</v>
      </c>
      <c r="H917" s="986">
        <v>5.4000000000000003E-3</v>
      </c>
      <c r="I917" s="986">
        <f t="shared" si="5"/>
        <v>5.2801000000000001E-2</v>
      </c>
      <c r="J917" s="988">
        <v>37347</v>
      </c>
    </row>
    <row r="918" spans="1:10">
      <c r="A918" s="987">
        <v>68</v>
      </c>
      <c r="B918" s="988">
        <v>37377</v>
      </c>
      <c r="C918" s="987" t="s">
        <v>4637</v>
      </c>
      <c r="D918" s="987" t="s">
        <v>4639</v>
      </c>
      <c r="E918" s="987">
        <v>30.5</v>
      </c>
      <c r="F918" s="987">
        <v>-4.6875E-2</v>
      </c>
      <c r="G918" s="987">
        <v>0</v>
      </c>
      <c r="H918" s="986">
        <v>4.8999999999999998E-3</v>
      </c>
      <c r="I918" s="986">
        <f t="shared" si="5"/>
        <v>-5.1775000000000002E-2</v>
      </c>
      <c r="J918" s="988">
        <v>37377</v>
      </c>
    </row>
    <row r="919" spans="1:10">
      <c r="A919" s="987">
        <v>68</v>
      </c>
      <c r="B919" s="988">
        <v>37408</v>
      </c>
      <c r="C919" s="987" t="s">
        <v>4637</v>
      </c>
      <c r="D919" s="987" t="s">
        <v>4639</v>
      </c>
      <c r="E919" s="987">
        <v>29.85</v>
      </c>
      <c r="F919" s="987">
        <v>-1.1475000000000001E-2</v>
      </c>
      <c r="G919" s="987">
        <v>0.3</v>
      </c>
      <c r="H919" s="986">
        <v>4.4000000000000003E-3</v>
      </c>
      <c r="I919" s="986">
        <f t="shared" si="5"/>
        <v>-1.5875E-2</v>
      </c>
      <c r="J919" s="988">
        <v>37408</v>
      </c>
    </row>
    <row r="920" spans="1:10">
      <c r="A920" s="987">
        <v>68</v>
      </c>
      <c r="B920" s="988">
        <v>37438</v>
      </c>
      <c r="C920" s="987" t="s">
        <v>4637</v>
      </c>
      <c r="D920" s="987" t="s">
        <v>4639</v>
      </c>
      <c r="E920" s="987">
        <v>30.2</v>
      </c>
      <c r="F920" s="987">
        <v>1.1724999999999999E-2</v>
      </c>
      <c r="G920" s="987">
        <v>0</v>
      </c>
      <c r="H920" s="986">
        <v>5.1000000000000004E-3</v>
      </c>
      <c r="I920" s="986">
        <f t="shared" si="5"/>
        <v>6.6249999999999989E-3</v>
      </c>
      <c r="J920" s="988">
        <v>37438</v>
      </c>
    </row>
    <row r="921" spans="1:10">
      <c r="A921" s="987">
        <v>68</v>
      </c>
      <c r="B921" s="988">
        <v>37469</v>
      </c>
      <c r="C921" s="987" t="s">
        <v>4637</v>
      </c>
      <c r="D921" s="987" t="s">
        <v>4639</v>
      </c>
      <c r="E921" s="987">
        <v>31.25</v>
      </c>
      <c r="F921" s="987">
        <v>3.4768E-2</v>
      </c>
      <c r="G921" s="987">
        <v>0</v>
      </c>
      <c r="H921" s="986">
        <v>4.4000000000000003E-3</v>
      </c>
      <c r="I921" s="986">
        <f t="shared" si="5"/>
        <v>3.0367999999999999E-2</v>
      </c>
      <c r="J921" s="988">
        <v>37469</v>
      </c>
    </row>
    <row r="922" spans="1:10">
      <c r="A922" s="987">
        <v>68</v>
      </c>
      <c r="B922" s="988">
        <v>37500</v>
      </c>
      <c r="C922" s="987" t="s">
        <v>4637</v>
      </c>
      <c r="D922" s="987" t="s">
        <v>4639</v>
      </c>
      <c r="E922" s="987">
        <v>32.9</v>
      </c>
      <c r="F922" s="987">
        <v>6.2399999999999997E-2</v>
      </c>
      <c r="G922" s="987">
        <v>0.3</v>
      </c>
      <c r="H922" s="986">
        <v>4.1999999999999997E-3</v>
      </c>
      <c r="I922" s="986">
        <f t="shared" si="5"/>
        <v>5.8199999999999995E-2</v>
      </c>
      <c r="J922" s="988">
        <v>37500</v>
      </c>
    </row>
    <row r="923" spans="1:10">
      <c r="A923" s="987">
        <v>68</v>
      </c>
      <c r="B923" s="988">
        <v>37530</v>
      </c>
      <c r="C923" s="987" t="s">
        <v>4637</v>
      </c>
      <c r="D923" s="987" t="s">
        <v>4639</v>
      </c>
      <c r="E923" s="987">
        <v>31.58</v>
      </c>
      <c r="F923" s="987">
        <v>-4.0121999999999998E-2</v>
      </c>
      <c r="G923" s="987">
        <v>0</v>
      </c>
      <c r="H923" s="986">
        <v>4.0000000000000001E-3</v>
      </c>
      <c r="I923" s="986">
        <f t="shared" si="5"/>
        <v>-4.4121999999999995E-2</v>
      </c>
      <c r="J923" s="988">
        <v>37530</v>
      </c>
    </row>
    <row r="924" spans="1:10">
      <c r="A924" s="987">
        <v>68</v>
      </c>
      <c r="B924" s="988">
        <v>37561</v>
      </c>
      <c r="C924" s="987" t="s">
        <v>4637</v>
      </c>
      <c r="D924" s="987" t="s">
        <v>4639</v>
      </c>
      <c r="E924" s="987">
        <v>31.45</v>
      </c>
      <c r="F924" s="987">
        <v>-4.117E-3</v>
      </c>
      <c r="G924" s="987">
        <v>0</v>
      </c>
      <c r="H924" s="986">
        <v>4.0000000000000001E-3</v>
      </c>
      <c r="I924" s="986">
        <f t="shared" si="5"/>
        <v>-8.1169999999999992E-3</v>
      </c>
      <c r="J924" s="988">
        <v>37561</v>
      </c>
    </row>
    <row r="925" spans="1:10">
      <c r="A925" s="987">
        <v>68</v>
      </c>
      <c r="B925" s="988">
        <v>37591</v>
      </c>
      <c r="C925" s="987" t="s">
        <v>4637</v>
      </c>
      <c r="D925" s="987" t="s">
        <v>4639</v>
      </c>
      <c r="E925" s="987">
        <v>31.59</v>
      </c>
      <c r="F925" s="987">
        <v>1.4308E-2</v>
      </c>
      <c r="G925" s="987">
        <v>0.31</v>
      </c>
      <c r="H925" s="986">
        <v>4.4999999999999997E-3</v>
      </c>
      <c r="I925" s="986">
        <f t="shared" si="5"/>
        <v>9.8080000000000007E-3</v>
      </c>
      <c r="J925" s="988">
        <v>37591</v>
      </c>
    </row>
    <row r="926" spans="1:10">
      <c r="A926" s="987">
        <v>68</v>
      </c>
      <c r="B926" s="988">
        <v>37622</v>
      </c>
      <c r="C926" s="987" t="s">
        <v>4637</v>
      </c>
      <c r="D926" s="987" t="s">
        <v>4639</v>
      </c>
      <c r="E926" s="987">
        <v>31.81</v>
      </c>
      <c r="F926" s="987">
        <v>6.9639999999999997E-3</v>
      </c>
      <c r="G926" s="987">
        <v>0</v>
      </c>
      <c r="H926" s="986">
        <v>4.1000000000000003E-3</v>
      </c>
      <c r="I926" s="986">
        <f t="shared" si="5"/>
        <v>2.8639999999999994E-3</v>
      </c>
      <c r="J926" s="988">
        <v>37622</v>
      </c>
    </row>
    <row r="927" spans="1:10">
      <c r="A927" s="987">
        <v>68</v>
      </c>
      <c r="B927" s="988">
        <v>37653</v>
      </c>
      <c r="C927" s="987" t="s">
        <v>4637</v>
      </c>
      <c r="D927" s="987" t="s">
        <v>4639</v>
      </c>
      <c r="E927" s="987">
        <v>32.07</v>
      </c>
      <c r="F927" s="987">
        <v>8.1740000000000007E-3</v>
      </c>
      <c r="G927" s="987">
        <v>0</v>
      </c>
      <c r="H927" s="986">
        <v>3.8E-3</v>
      </c>
      <c r="I927" s="986">
        <f t="shared" si="5"/>
        <v>4.3740000000000012E-3</v>
      </c>
      <c r="J927" s="988">
        <v>37653</v>
      </c>
    </row>
    <row r="928" spans="1:10">
      <c r="A928" s="987">
        <v>68</v>
      </c>
      <c r="B928" s="988">
        <v>37681</v>
      </c>
      <c r="C928" s="987" t="s">
        <v>4637</v>
      </c>
      <c r="D928" s="987" t="s">
        <v>4639</v>
      </c>
      <c r="E928" s="987">
        <v>32.65</v>
      </c>
      <c r="F928" s="987">
        <v>2.7751999999999999E-2</v>
      </c>
      <c r="G928" s="987">
        <v>0.31</v>
      </c>
      <c r="H928" s="986">
        <v>4.0000000000000001E-3</v>
      </c>
      <c r="I928" s="986">
        <f t="shared" si="5"/>
        <v>2.3751999999999999E-2</v>
      </c>
      <c r="J928" s="988">
        <v>37681</v>
      </c>
    </row>
    <row r="929" spans="1:10">
      <c r="A929" s="987">
        <v>68</v>
      </c>
      <c r="B929" s="988">
        <v>37712</v>
      </c>
      <c r="C929" s="987" t="s">
        <v>4637</v>
      </c>
      <c r="D929" s="987" t="s">
        <v>4639</v>
      </c>
      <c r="E929" s="987">
        <v>34.25</v>
      </c>
      <c r="F929" s="987">
        <v>4.9005E-2</v>
      </c>
      <c r="G929" s="987">
        <v>0</v>
      </c>
      <c r="H929" s="986">
        <v>4.0000000000000001E-3</v>
      </c>
      <c r="I929" s="986">
        <f t="shared" si="5"/>
        <v>4.5005000000000003E-2</v>
      </c>
      <c r="J929" s="988">
        <v>37712</v>
      </c>
    </row>
    <row r="930" spans="1:10">
      <c r="A930" s="987">
        <v>68</v>
      </c>
      <c r="B930" s="988">
        <v>37742</v>
      </c>
      <c r="C930" s="987" t="s">
        <v>4637</v>
      </c>
      <c r="D930" s="987" t="s">
        <v>4639</v>
      </c>
      <c r="E930" s="987">
        <v>35.369999999999997</v>
      </c>
      <c r="F930" s="987">
        <v>3.2701000000000001E-2</v>
      </c>
      <c r="G930" s="987">
        <v>0</v>
      </c>
      <c r="H930" s="986">
        <v>3.8999999999999998E-3</v>
      </c>
      <c r="I930" s="986">
        <f t="shared" si="5"/>
        <v>2.8801E-2</v>
      </c>
      <c r="J930" s="988">
        <v>37742</v>
      </c>
    </row>
    <row r="931" spans="1:10">
      <c r="A931" s="987">
        <v>68</v>
      </c>
      <c r="B931" s="988">
        <v>37773</v>
      </c>
      <c r="C931" s="987" t="s">
        <v>4637</v>
      </c>
      <c r="D931" s="987" t="s">
        <v>4639</v>
      </c>
      <c r="E931" s="987">
        <v>35.5</v>
      </c>
      <c r="F931" s="987">
        <v>1.244E-2</v>
      </c>
      <c r="G931" s="987">
        <v>0.31</v>
      </c>
      <c r="H931" s="986">
        <v>3.5999999999999999E-3</v>
      </c>
      <c r="I931" s="986">
        <f t="shared" si="5"/>
        <v>8.8400000000000006E-3</v>
      </c>
      <c r="J931" s="988">
        <v>37773</v>
      </c>
    </row>
    <row r="932" spans="1:10">
      <c r="A932" s="987">
        <v>68</v>
      </c>
      <c r="B932" s="988">
        <v>37803</v>
      </c>
      <c r="C932" s="987" t="s">
        <v>4637</v>
      </c>
      <c r="D932" s="987" t="s">
        <v>4639</v>
      </c>
      <c r="E932" s="987">
        <v>34.880000000000003</v>
      </c>
      <c r="F932" s="987">
        <v>-1.7465000000000001E-2</v>
      </c>
      <c r="G932" s="987">
        <v>0</v>
      </c>
      <c r="H932" s="986">
        <v>3.8E-3</v>
      </c>
      <c r="I932" s="986">
        <f t="shared" si="5"/>
        <v>-2.1265000000000003E-2</v>
      </c>
      <c r="J932" s="988">
        <v>37803</v>
      </c>
    </row>
    <row r="933" spans="1:10">
      <c r="A933" s="987">
        <v>68</v>
      </c>
      <c r="B933" s="988">
        <v>37834</v>
      </c>
      <c r="C933" s="987" t="s">
        <v>4637</v>
      </c>
      <c r="D933" s="987" t="s">
        <v>4639</v>
      </c>
      <c r="E933" s="987">
        <v>36.1</v>
      </c>
      <c r="F933" s="987">
        <v>3.4977000000000001E-2</v>
      </c>
      <c r="G933" s="987">
        <v>0</v>
      </c>
      <c r="H933" s="986">
        <v>4.1999999999999997E-3</v>
      </c>
      <c r="I933" s="986">
        <f t="shared" si="5"/>
        <v>3.0777000000000002E-2</v>
      </c>
      <c r="J933" s="988">
        <v>37834</v>
      </c>
    </row>
    <row r="934" spans="1:10">
      <c r="A934" s="987">
        <v>68</v>
      </c>
      <c r="B934" s="988">
        <v>37865</v>
      </c>
      <c r="C934" s="987" t="s">
        <v>4637</v>
      </c>
      <c r="D934" s="987" t="s">
        <v>4639</v>
      </c>
      <c r="E934" s="987">
        <v>36.04</v>
      </c>
      <c r="F934" s="987">
        <v>6.9249999999999997E-3</v>
      </c>
      <c r="G934" s="987">
        <v>0.31</v>
      </c>
      <c r="H934" s="986">
        <v>4.5999999999999999E-3</v>
      </c>
      <c r="I934" s="986">
        <f t="shared" si="5"/>
        <v>2.3249999999999998E-3</v>
      </c>
      <c r="J934" s="988">
        <v>37865</v>
      </c>
    </row>
    <row r="935" spans="1:10">
      <c r="A935" s="987">
        <v>68</v>
      </c>
      <c r="B935" s="988">
        <v>37895</v>
      </c>
      <c r="C935" s="987" t="s">
        <v>4637</v>
      </c>
      <c r="D935" s="987" t="s">
        <v>4639</v>
      </c>
      <c r="E935" s="987">
        <v>37.85</v>
      </c>
      <c r="F935" s="987">
        <v>5.0222000000000003E-2</v>
      </c>
      <c r="G935" s="987">
        <v>0</v>
      </c>
      <c r="H935" s="986">
        <v>4.1000000000000003E-3</v>
      </c>
      <c r="I935" s="986">
        <f t="shared" si="5"/>
        <v>4.6122000000000003E-2</v>
      </c>
      <c r="J935" s="988">
        <v>37895</v>
      </c>
    </row>
    <row r="936" spans="1:10">
      <c r="A936" s="987">
        <v>68</v>
      </c>
      <c r="B936" s="988">
        <v>37926</v>
      </c>
      <c r="C936" s="987" t="s">
        <v>4637</v>
      </c>
      <c r="D936" s="987" t="s">
        <v>4639</v>
      </c>
      <c r="E936" s="987">
        <v>38.4</v>
      </c>
      <c r="F936" s="987">
        <v>1.4531000000000001E-2</v>
      </c>
      <c r="G936" s="987">
        <v>0</v>
      </c>
      <c r="H936" s="986">
        <v>3.8999999999999998E-3</v>
      </c>
      <c r="I936" s="986">
        <f t="shared" si="5"/>
        <v>1.0631000000000002E-2</v>
      </c>
      <c r="J936" s="988">
        <v>37926</v>
      </c>
    </row>
    <row r="937" spans="1:10">
      <c r="A937" s="987">
        <v>68</v>
      </c>
      <c r="B937" s="988">
        <v>37956</v>
      </c>
      <c r="C937" s="987" t="s">
        <v>4637</v>
      </c>
      <c r="D937" s="987" t="s">
        <v>4639</v>
      </c>
      <c r="E937" s="987">
        <v>38.51</v>
      </c>
      <c r="F937" s="987">
        <v>1.1328E-2</v>
      </c>
      <c r="G937" s="987">
        <v>0.32500000000000001</v>
      </c>
      <c r="H937" s="986">
        <v>4.7000000000000002E-3</v>
      </c>
      <c r="I937" s="986">
        <f t="shared" si="5"/>
        <v>6.6279999999999993E-3</v>
      </c>
      <c r="J937" s="988">
        <v>37956</v>
      </c>
    </row>
    <row r="938" spans="1:10">
      <c r="A938" s="987">
        <v>68</v>
      </c>
      <c r="B938" s="988">
        <v>37987</v>
      </c>
      <c r="C938" s="987" t="s">
        <v>4637</v>
      </c>
      <c r="D938" s="987" t="s">
        <v>4639</v>
      </c>
      <c r="E938" s="987">
        <v>38.590000000000003</v>
      </c>
      <c r="F938" s="987">
        <v>2.0769999999999999E-3</v>
      </c>
      <c r="G938" s="987">
        <v>0</v>
      </c>
      <c r="H938" s="986">
        <v>4.1999999999999997E-3</v>
      </c>
      <c r="I938" s="986">
        <f t="shared" si="5"/>
        <v>-2.1229999999999999E-3</v>
      </c>
      <c r="J938" s="988">
        <v>37987</v>
      </c>
    </row>
    <row r="939" spans="1:10">
      <c r="A939" s="987">
        <v>68</v>
      </c>
      <c r="B939" s="988">
        <v>38018</v>
      </c>
      <c r="C939" s="987" t="s">
        <v>4637</v>
      </c>
      <c r="D939" s="987" t="s">
        <v>4639</v>
      </c>
      <c r="E939" s="987">
        <v>38.9</v>
      </c>
      <c r="F939" s="987">
        <v>8.0330000000000002E-3</v>
      </c>
      <c r="G939" s="987">
        <v>0</v>
      </c>
      <c r="H939" s="986">
        <v>3.8E-3</v>
      </c>
      <c r="I939" s="986">
        <f t="shared" si="5"/>
        <v>4.2330000000000007E-3</v>
      </c>
      <c r="J939" s="988">
        <v>38018</v>
      </c>
    </row>
    <row r="940" spans="1:10">
      <c r="A940" s="987">
        <v>68</v>
      </c>
      <c r="B940" s="988">
        <v>38047</v>
      </c>
      <c r="C940" s="987" t="s">
        <v>4637</v>
      </c>
      <c r="D940" s="987" t="s">
        <v>4639</v>
      </c>
      <c r="E940" s="987">
        <v>37.799999999999997</v>
      </c>
      <c r="F940" s="987">
        <v>-1.9923E-2</v>
      </c>
      <c r="G940" s="987">
        <v>0.32500000000000001</v>
      </c>
      <c r="H940" s="986">
        <v>4.3E-3</v>
      </c>
      <c r="I940" s="986">
        <f t="shared" si="5"/>
        <v>-2.4223000000000001E-2</v>
      </c>
      <c r="J940" s="988">
        <v>38047</v>
      </c>
    </row>
    <row r="941" spans="1:10">
      <c r="A941" s="987">
        <v>68</v>
      </c>
      <c r="B941" s="988">
        <v>38078</v>
      </c>
      <c r="C941" s="987" t="s">
        <v>4637</v>
      </c>
      <c r="D941" s="987" t="s">
        <v>4639</v>
      </c>
      <c r="E941" s="987">
        <v>38.11</v>
      </c>
      <c r="F941" s="987">
        <v>8.201E-3</v>
      </c>
      <c r="G941" s="987">
        <v>0</v>
      </c>
      <c r="H941" s="986">
        <v>3.8999999999999998E-3</v>
      </c>
      <c r="I941" s="986">
        <f t="shared" si="5"/>
        <v>4.3010000000000001E-3</v>
      </c>
      <c r="J941" s="988">
        <v>38078</v>
      </c>
    </row>
    <row r="942" spans="1:10">
      <c r="A942" s="987">
        <v>68</v>
      </c>
      <c r="B942" s="988">
        <v>38108</v>
      </c>
      <c r="C942" s="987" t="s">
        <v>4637</v>
      </c>
      <c r="D942" s="987" t="s">
        <v>4639</v>
      </c>
      <c r="E942" s="987">
        <v>39.270000000000003</v>
      </c>
      <c r="F942" s="987">
        <v>3.0438E-2</v>
      </c>
      <c r="G942" s="987">
        <v>0</v>
      </c>
      <c r="H942" s="986">
        <v>4.0000000000000001E-3</v>
      </c>
      <c r="I942" s="986">
        <f t="shared" si="5"/>
        <v>2.6438E-2</v>
      </c>
      <c r="J942" s="988">
        <v>38108</v>
      </c>
    </row>
    <row r="943" spans="1:10">
      <c r="A943" s="987">
        <v>68</v>
      </c>
      <c r="B943" s="988">
        <v>38139</v>
      </c>
      <c r="C943" s="987" t="s">
        <v>4637</v>
      </c>
      <c r="D943" s="987" t="s">
        <v>4639</v>
      </c>
      <c r="E943" s="987">
        <v>41.58</v>
      </c>
      <c r="F943" s="987">
        <v>6.7100000000000007E-2</v>
      </c>
      <c r="G943" s="987">
        <v>0.32500000000000001</v>
      </c>
      <c r="H943" s="986">
        <v>4.7999999999999996E-3</v>
      </c>
      <c r="I943" s="986">
        <f t="shared" si="5"/>
        <v>6.2300000000000008E-2</v>
      </c>
      <c r="J943" s="988">
        <v>38139</v>
      </c>
    </row>
    <row r="944" spans="1:10">
      <c r="A944" s="987">
        <v>68</v>
      </c>
      <c r="B944" s="988">
        <v>38169</v>
      </c>
      <c r="C944" s="987" t="s">
        <v>4637</v>
      </c>
      <c r="D944" s="987" t="s">
        <v>4639</v>
      </c>
      <c r="E944" s="987">
        <v>40.65</v>
      </c>
      <c r="F944" s="987">
        <v>-2.2367000000000001E-2</v>
      </c>
      <c r="G944" s="987">
        <v>0</v>
      </c>
      <c r="H944" s="986">
        <v>4.3E-3</v>
      </c>
      <c r="I944" s="986">
        <f t="shared" si="5"/>
        <v>-2.6667000000000003E-2</v>
      </c>
      <c r="J944" s="988">
        <v>38169</v>
      </c>
    </row>
    <row r="945" spans="1:10">
      <c r="A945" s="987">
        <v>68</v>
      </c>
      <c r="B945" s="988">
        <v>38200</v>
      </c>
      <c r="C945" s="987" t="s">
        <v>4637</v>
      </c>
      <c r="D945" s="987" t="s">
        <v>4639</v>
      </c>
      <c r="E945" s="987">
        <v>40.85</v>
      </c>
      <c r="F945" s="987">
        <v>4.9199999999999999E-3</v>
      </c>
      <c r="G945" s="987">
        <v>0</v>
      </c>
      <c r="H945" s="986">
        <v>4.4999999999999997E-3</v>
      </c>
      <c r="I945" s="986">
        <f t="shared" si="5"/>
        <v>4.2000000000000023E-4</v>
      </c>
      <c r="J945" s="988">
        <v>38200</v>
      </c>
    </row>
    <row r="946" spans="1:10">
      <c r="A946" s="987">
        <v>68</v>
      </c>
      <c r="B946" s="988">
        <v>38231</v>
      </c>
      <c r="C946" s="987" t="s">
        <v>4637</v>
      </c>
      <c r="D946" s="987" t="s">
        <v>4639</v>
      </c>
      <c r="E946" s="987">
        <v>41.4</v>
      </c>
      <c r="F946" s="987">
        <v>2.1420000000000002E-2</v>
      </c>
      <c r="G946" s="987">
        <v>0.32500000000000001</v>
      </c>
      <c r="H946" s="986">
        <v>4.0000000000000001E-3</v>
      </c>
      <c r="I946" s="986">
        <f t="shared" si="5"/>
        <v>1.7420000000000001E-2</v>
      </c>
      <c r="J946" s="988">
        <v>38231</v>
      </c>
    </row>
    <row r="947" spans="1:10">
      <c r="A947" s="987">
        <v>68</v>
      </c>
      <c r="B947" s="988">
        <v>38261</v>
      </c>
      <c r="C947" s="987" t="s">
        <v>4637</v>
      </c>
      <c r="D947" s="987" t="s">
        <v>4639</v>
      </c>
      <c r="E947" s="987">
        <v>41.11</v>
      </c>
      <c r="F947" s="987">
        <v>-7.0049999999999999E-3</v>
      </c>
      <c r="G947" s="987">
        <v>0</v>
      </c>
      <c r="H947" s="986">
        <v>3.8E-3</v>
      </c>
      <c r="I947" s="986">
        <f t="shared" si="5"/>
        <v>-1.0805E-2</v>
      </c>
      <c r="J947" s="988">
        <v>38261</v>
      </c>
    </row>
    <row r="948" spans="1:10">
      <c r="A948" s="987">
        <v>68</v>
      </c>
      <c r="B948" s="988">
        <v>38292</v>
      </c>
      <c r="C948" s="987" t="s">
        <v>4637</v>
      </c>
      <c r="D948" s="987" t="s">
        <v>4639</v>
      </c>
      <c r="E948" s="987">
        <v>43.5</v>
      </c>
      <c r="F948" s="987">
        <v>5.8137000000000001E-2</v>
      </c>
      <c r="G948" s="987">
        <v>0</v>
      </c>
      <c r="H948" s="986">
        <v>4.1000000000000003E-3</v>
      </c>
      <c r="I948" s="986">
        <f t="shared" si="5"/>
        <v>5.4037000000000002E-2</v>
      </c>
      <c r="J948" s="988">
        <v>38292</v>
      </c>
    </row>
    <row r="949" spans="1:10">
      <c r="A949" s="987">
        <v>68</v>
      </c>
      <c r="B949" s="988">
        <v>38322</v>
      </c>
      <c r="C949" s="987" t="s">
        <v>4637</v>
      </c>
      <c r="D949" s="987" t="s">
        <v>4639</v>
      </c>
      <c r="E949" s="987">
        <v>43.34</v>
      </c>
      <c r="F949" s="987">
        <v>4.1380000000000002E-3</v>
      </c>
      <c r="G949" s="987">
        <v>0.34</v>
      </c>
      <c r="H949" s="986">
        <v>4.3E-3</v>
      </c>
      <c r="I949" s="986">
        <f t="shared" si="5"/>
        <v>-1.6199999999999982E-4</v>
      </c>
      <c r="J949" s="988">
        <v>38322</v>
      </c>
    </row>
    <row r="950" spans="1:10">
      <c r="A950" s="987">
        <v>68</v>
      </c>
      <c r="B950" s="988">
        <v>38353</v>
      </c>
      <c r="C950" s="987" t="s">
        <v>4637</v>
      </c>
      <c r="D950" s="987" t="s">
        <v>4639</v>
      </c>
      <c r="E950" s="987">
        <v>43.85</v>
      </c>
      <c r="F950" s="987">
        <v>1.1767E-2</v>
      </c>
      <c r="G950" s="987">
        <v>0</v>
      </c>
      <c r="H950" s="986">
        <v>4.1000000000000003E-3</v>
      </c>
      <c r="I950" s="986">
        <f t="shared" ref="I950:I1013" si="6">F950-H950</f>
        <v>7.6669999999999993E-3</v>
      </c>
      <c r="J950" s="988">
        <v>38353</v>
      </c>
    </row>
    <row r="951" spans="1:10">
      <c r="A951" s="987">
        <v>68</v>
      </c>
      <c r="B951" s="988">
        <v>38384</v>
      </c>
      <c r="C951" s="987" t="s">
        <v>4637</v>
      </c>
      <c r="D951" s="987" t="s">
        <v>4639</v>
      </c>
      <c r="E951" s="987">
        <v>44.4</v>
      </c>
      <c r="F951" s="987">
        <v>1.2543E-2</v>
      </c>
      <c r="G951" s="987">
        <v>0</v>
      </c>
      <c r="H951" s="986">
        <v>3.5000000000000001E-3</v>
      </c>
      <c r="I951" s="986">
        <f t="shared" si="6"/>
        <v>9.0430000000000007E-3</v>
      </c>
      <c r="J951" s="988">
        <v>38384</v>
      </c>
    </row>
    <row r="952" spans="1:10">
      <c r="A952" s="987">
        <v>68</v>
      </c>
      <c r="B952" s="988">
        <v>38412</v>
      </c>
      <c r="C952" s="987" t="s">
        <v>4637</v>
      </c>
      <c r="D952" s="987" t="s">
        <v>4639</v>
      </c>
      <c r="E952" s="987">
        <v>43.53</v>
      </c>
      <c r="F952" s="987">
        <v>-1.1937E-2</v>
      </c>
      <c r="G952" s="987">
        <v>0.34</v>
      </c>
      <c r="H952" s="986">
        <v>4.1000000000000003E-3</v>
      </c>
      <c r="I952" s="986">
        <f t="shared" si="6"/>
        <v>-1.6036999999999999E-2</v>
      </c>
      <c r="J952" s="988">
        <v>38412</v>
      </c>
    </row>
    <row r="953" spans="1:10">
      <c r="A953" s="987">
        <v>68</v>
      </c>
      <c r="B953" s="988">
        <v>38443</v>
      </c>
      <c r="C953" s="987" t="s">
        <v>4637</v>
      </c>
      <c r="D953" s="987" t="s">
        <v>4639</v>
      </c>
      <c r="E953" s="987">
        <v>43.36</v>
      </c>
      <c r="F953" s="987">
        <v>-3.9050000000000001E-3</v>
      </c>
      <c r="G953" s="987">
        <v>0</v>
      </c>
      <c r="H953" s="986">
        <v>3.8999999999999998E-3</v>
      </c>
      <c r="I953" s="986">
        <f t="shared" si="6"/>
        <v>-7.8049999999999994E-3</v>
      </c>
      <c r="J953" s="988">
        <v>38443</v>
      </c>
    </row>
    <row r="954" spans="1:10">
      <c r="A954" s="987">
        <v>68</v>
      </c>
      <c r="B954" s="988">
        <v>38473</v>
      </c>
      <c r="C954" s="987" t="s">
        <v>4637</v>
      </c>
      <c r="D954" s="987" t="s">
        <v>4639</v>
      </c>
      <c r="E954" s="987">
        <v>45.1</v>
      </c>
      <c r="F954" s="987">
        <v>4.0128999999999998E-2</v>
      </c>
      <c r="G954" s="987">
        <v>0</v>
      </c>
      <c r="H954" s="986">
        <v>4.0000000000000001E-3</v>
      </c>
      <c r="I954" s="986">
        <f t="shared" si="6"/>
        <v>3.6128999999999994E-2</v>
      </c>
      <c r="J954" s="988">
        <v>38473</v>
      </c>
    </row>
    <row r="955" spans="1:10">
      <c r="A955" s="987">
        <v>68</v>
      </c>
      <c r="B955" s="988">
        <v>38504</v>
      </c>
      <c r="C955" s="987" t="s">
        <v>4637</v>
      </c>
      <c r="D955" s="987" t="s">
        <v>4639</v>
      </c>
      <c r="E955" s="987">
        <v>48.25</v>
      </c>
      <c r="F955" s="987">
        <v>7.7383999999999994E-2</v>
      </c>
      <c r="G955" s="987">
        <v>0.34</v>
      </c>
      <c r="H955" s="986">
        <v>3.5999999999999999E-3</v>
      </c>
      <c r="I955" s="986">
        <f t="shared" si="6"/>
        <v>7.3783999999999988E-2</v>
      </c>
      <c r="J955" s="988">
        <v>38504</v>
      </c>
    </row>
    <row r="956" spans="1:10">
      <c r="A956" s="987">
        <v>68</v>
      </c>
      <c r="B956" s="988">
        <v>38534</v>
      </c>
      <c r="C956" s="987" t="s">
        <v>4637</v>
      </c>
      <c r="D956" s="987" t="s">
        <v>4639</v>
      </c>
      <c r="E956" s="987">
        <v>47.26</v>
      </c>
      <c r="F956" s="987">
        <v>-2.0518000000000002E-2</v>
      </c>
      <c r="G956" s="987">
        <v>0</v>
      </c>
      <c r="H956" s="986">
        <v>3.3999999999999998E-3</v>
      </c>
      <c r="I956" s="986">
        <f t="shared" si="6"/>
        <v>-2.3918000000000002E-2</v>
      </c>
      <c r="J956" s="988">
        <v>38534</v>
      </c>
    </row>
    <row r="957" spans="1:10">
      <c r="A957" s="987">
        <v>68</v>
      </c>
      <c r="B957" s="988">
        <v>38565</v>
      </c>
      <c r="C957" s="987" t="s">
        <v>4637</v>
      </c>
      <c r="D957" s="987" t="s">
        <v>4639</v>
      </c>
      <c r="E957" s="987">
        <v>46.98</v>
      </c>
      <c r="F957" s="987">
        <v>-5.9249999999999997E-3</v>
      </c>
      <c r="G957" s="987">
        <v>0</v>
      </c>
      <c r="H957" s="986">
        <v>4.0000000000000001E-3</v>
      </c>
      <c r="I957" s="986">
        <f t="shared" si="6"/>
        <v>-9.9249999999999998E-3</v>
      </c>
      <c r="J957" s="988">
        <v>38565</v>
      </c>
    </row>
    <row r="958" spans="1:10">
      <c r="A958" s="987">
        <v>68</v>
      </c>
      <c r="B958" s="988">
        <v>38596</v>
      </c>
      <c r="C958" s="987" t="s">
        <v>4637</v>
      </c>
      <c r="D958" s="987" t="s">
        <v>4639</v>
      </c>
      <c r="E958" s="987">
        <v>45.98</v>
      </c>
      <c r="F958" s="987">
        <v>-1.4049000000000001E-2</v>
      </c>
      <c r="G958" s="987">
        <v>0.34</v>
      </c>
      <c r="H958" s="986">
        <v>3.5000000000000001E-3</v>
      </c>
      <c r="I958" s="986">
        <f t="shared" si="6"/>
        <v>-1.7549000000000002E-2</v>
      </c>
      <c r="J958" s="988">
        <v>38596</v>
      </c>
    </row>
    <row r="959" spans="1:10">
      <c r="A959" s="987">
        <v>68</v>
      </c>
      <c r="B959" s="988">
        <v>38626</v>
      </c>
      <c r="C959" s="987" t="s">
        <v>4637</v>
      </c>
      <c r="D959" s="987" t="s">
        <v>4639</v>
      </c>
      <c r="E959" s="987">
        <v>43.16</v>
      </c>
      <c r="F959" s="987">
        <v>-6.1330999999999997E-2</v>
      </c>
      <c r="G959" s="987">
        <v>0</v>
      </c>
      <c r="H959" s="986">
        <v>3.8999999999999998E-3</v>
      </c>
      <c r="I959" s="986">
        <f t="shared" si="6"/>
        <v>-6.5230999999999997E-2</v>
      </c>
      <c r="J959" s="988">
        <v>38626</v>
      </c>
    </row>
    <row r="960" spans="1:10">
      <c r="A960" s="987">
        <v>68</v>
      </c>
      <c r="B960" s="988">
        <v>38657</v>
      </c>
      <c r="C960" s="987" t="s">
        <v>4637</v>
      </c>
      <c r="D960" s="987" t="s">
        <v>4639</v>
      </c>
      <c r="E960" s="987">
        <v>42.51</v>
      </c>
      <c r="F960" s="987">
        <v>-1.506E-2</v>
      </c>
      <c r="G960" s="987">
        <v>0</v>
      </c>
      <c r="H960" s="986">
        <v>3.8999999999999998E-3</v>
      </c>
      <c r="I960" s="986">
        <f t="shared" si="6"/>
        <v>-1.8960000000000001E-2</v>
      </c>
      <c r="J960" s="988">
        <v>38657</v>
      </c>
    </row>
    <row r="961" spans="1:10">
      <c r="A961" s="987">
        <v>68</v>
      </c>
      <c r="B961" s="988">
        <v>38687</v>
      </c>
      <c r="C961" s="987" t="s">
        <v>4637</v>
      </c>
      <c r="D961" s="987" t="s">
        <v>4639</v>
      </c>
      <c r="E961" s="987">
        <v>41.89</v>
      </c>
      <c r="F961" s="987">
        <v>-6.1159999999999999E-3</v>
      </c>
      <c r="G961" s="987">
        <v>0.36</v>
      </c>
      <c r="H961" s="986">
        <v>3.8999999999999998E-3</v>
      </c>
      <c r="I961" s="986">
        <f t="shared" si="6"/>
        <v>-1.0016000000000001E-2</v>
      </c>
      <c r="J961" s="988">
        <v>38687</v>
      </c>
    </row>
    <row r="962" spans="1:10">
      <c r="A962" s="987">
        <v>68</v>
      </c>
      <c r="B962" s="988">
        <v>38718</v>
      </c>
      <c r="C962" s="987" t="s">
        <v>4637</v>
      </c>
      <c r="D962" s="987" t="s">
        <v>4639</v>
      </c>
      <c r="E962" s="987">
        <v>45.45</v>
      </c>
      <c r="F962" s="987">
        <v>8.4985000000000005E-2</v>
      </c>
      <c r="G962" s="987">
        <v>0</v>
      </c>
      <c r="H962" s="986">
        <v>4.0000000000000001E-3</v>
      </c>
      <c r="I962" s="986">
        <f t="shared" si="6"/>
        <v>8.0985000000000001E-2</v>
      </c>
      <c r="J962" s="988">
        <v>38718</v>
      </c>
    </row>
    <row r="963" spans="1:10">
      <c r="A963" s="987">
        <v>68</v>
      </c>
      <c r="B963" s="988">
        <v>38749</v>
      </c>
      <c r="C963" s="987" t="s">
        <v>4637</v>
      </c>
      <c r="D963" s="987" t="s">
        <v>4639</v>
      </c>
      <c r="E963" s="987">
        <v>45</v>
      </c>
      <c r="F963" s="987">
        <v>-9.9010000000000001E-3</v>
      </c>
      <c r="G963" s="987">
        <v>0</v>
      </c>
      <c r="H963" s="986">
        <v>3.5999999999999999E-3</v>
      </c>
      <c r="I963" s="986">
        <f t="shared" si="6"/>
        <v>-1.3500999999999999E-2</v>
      </c>
      <c r="J963" s="988">
        <v>38749</v>
      </c>
    </row>
    <row r="964" spans="1:10">
      <c r="A964" s="987">
        <v>68</v>
      </c>
      <c r="B964" s="988">
        <v>38777</v>
      </c>
      <c r="C964" s="987" t="s">
        <v>4637</v>
      </c>
      <c r="D964" s="987" t="s">
        <v>4639</v>
      </c>
      <c r="E964" s="987">
        <v>45.25</v>
      </c>
      <c r="F964" s="987">
        <v>1.3556E-2</v>
      </c>
      <c r="G964" s="987">
        <v>0.36</v>
      </c>
      <c r="H964" s="986">
        <v>3.8999999999999998E-3</v>
      </c>
      <c r="I964" s="986">
        <f t="shared" si="6"/>
        <v>9.6560000000000014E-3</v>
      </c>
      <c r="J964" s="988">
        <v>38777</v>
      </c>
    </row>
    <row r="965" spans="1:10">
      <c r="A965" s="987">
        <v>68</v>
      </c>
      <c r="B965" s="988">
        <v>38808</v>
      </c>
      <c r="C965" s="987" t="s">
        <v>4637</v>
      </c>
      <c r="D965" s="987" t="s">
        <v>4639</v>
      </c>
      <c r="E965" s="987">
        <v>44.27</v>
      </c>
      <c r="F965" s="987">
        <v>-2.1656999999999999E-2</v>
      </c>
      <c r="G965" s="987">
        <v>0</v>
      </c>
      <c r="H965" s="986">
        <v>3.8999999999999998E-3</v>
      </c>
      <c r="I965" s="986">
        <f t="shared" si="6"/>
        <v>-2.5557E-2</v>
      </c>
      <c r="J965" s="988">
        <v>38808</v>
      </c>
    </row>
    <row r="966" spans="1:10">
      <c r="A966" s="987">
        <v>68</v>
      </c>
      <c r="B966" s="988">
        <v>38838</v>
      </c>
      <c r="C966" s="987" t="s">
        <v>4637</v>
      </c>
      <c r="D966" s="987" t="s">
        <v>4639</v>
      </c>
      <c r="E966" s="987">
        <v>44.92</v>
      </c>
      <c r="F966" s="987">
        <v>1.4683E-2</v>
      </c>
      <c r="G966" s="987">
        <v>0</v>
      </c>
      <c r="H966" s="986">
        <v>4.7999999999999996E-3</v>
      </c>
      <c r="I966" s="986">
        <f t="shared" si="6"/>
        <v>9.8829999999999994E-3</v>
      </c>
      <c r="J966" s="988">
        <v>38838</v>
      </c>
    </row>
    <row r="967" spans="1:10">
      <c r="A967" s="987">
        <v>68</v>
      </c>
      <c r="B967" s="988">
        <v>38869</v>
      </c>
      <c r="C967" s="987" t="s">
        <v>4637</v>
      </c>
      <c r="D967" s="987" t="s">
        <v>4639</v>
      </c>
      <c r="E967" s="987">
        <v>46.78</v>
      </c>
      <c r="F967" s="987">
        <v>4.9421E-2</v>
      </c>
      <c r="G967" s="987">
        <v>0.36</v>
      </c>
      <c r="H967" s="986">
        <v>4.4000000000000003E-3</v>
      </c>
      <c r="I967" s="986">
        <f t="shared" si="6"/>
        <v>4.5020999999999999E-2</v>
      </c>
      <c r="J967" s="988">
        <v>38869</v>
      </c>
    </row>
    <row r="968" spans="1:10">
      <c r="A968" s="987">
        <v>68</v>
      </c>
      <c r="B968" s="988">
        <v>38899</v>
      </c>
      <c r="C968" s="987" t="s">
        <v>4637</v>
      </c>
      <c r="D968" s="987" t="s">
        <v>4639</v>
      </c>
      <c r="E968" s="987">
        <v>49.93</v>
      </c>
      <c r="F968" s="987">
        <v>6.7335999999999993E-2</v>
      </c>
      <c r="G968" s="987">
        <v>0</v>
      </c>
      <c r="H968" s="986">
        <v>4.4999999999999997E-3</v>
      </c>
      <c r="I968" s="986">
        <f t="shared" si="6"/>
        <v>6.2835999999999989E-2</v>
      </c>
      <c r="J968" s="988">
        <v>38899</v>
      </c>
    </row>
    <row r="969" spans="1:10">
      <c r="A969" s="987">
        <v>68</v>
      </c>
      <c r="B969" s="988">
        <v>38930</v>
      </c>
      <c r="C969" s="987" t="s">
        <v>4637</v>
      </c>
      <c r="D969" s="987" t="s">
        <v>4639</v>
      </c>
      <c r="E969" s="987">
        <v>49.66</v>
      </c>
      <c r="F969" s="987">
        <v>-5.4079999999999996E-3</v>
      </c>
      <c r="G969" s="987">
        <v>0</v>
      </c>
      <c r="H969" s="986">
        <v>4.3E-3</v>
      </c>
      <c r="I969" s="986">
        <f t="shared" si="6"/>
        <v>-9.7079999999999996E-3</v>
      </c>
      <c r="J969" s="988">
        <v>38930</v>
      </c>
    </row>
    <row r="970" spans="1:10">
      <c r="A970" s="987">
        <v>68</v>
      </c>
      <c r="B970" s="988">
        <v>38961</v>
      </c>
      <c r="C970" s="987" t="s">
        <v>4637</v>
      </c>
      <c r="D970" s="987" t="s">
        <v>4639</v>
      </c>
      <c r="E970" s="987">
        <v>49.3</v>
      </c>
      <c r="F970" s="987">
        <v>0</v>
      </c>
      <c r="G970" s="987">
        <v>0.36</v>
      </c>
      <c r="H970" s="986">
        <v>3.8999999999999998E-3</v>
      </c>
      <c r="I970" s="986">
        <f t="shared" si="6"/>
        <v>-3.8999999999999998E-3</v>
      </c>
      <c r="J970" s="988">
        <v>38961</v>
      </c>
    </row>
    <row r="971" spans="1:10">
      <c r="A971" s="987">
        <v>68</v>
      </c>
      <c r="B971" s="988">
        <v>38991</v>
      </c>
      <c r="C971" s="987" t="s">
        <v>4637</v>
      </c>
      <c r="D971" s="987" t="s">
        <v>4639</v>
      </c>
      <c r="E971" s="987">
        <v>51.86</v>
      </c>
      <c r="F971" s="987">
        <v>5.1927000000000001E-2</v>
      </c>
      <c r="G971" s="987">
        <v>0</v>
      </c>
      <c r="H971" s="986">
        <v>4.1999999999999997E-3</v>
      </c>
      <c r="I971" s="986">
        <f t="shared" si="6"/>
        <v>4.7726999999999999E-2</v>
      </c>
      <c r="J971" s="988">
        <v>38991</v>
      </c>
    </row>
    <row r="972" spans="1:10">
      <c r="A972" s="987">
        <v>68</v>
      </c>
      <c r="B972" s="988">
        <v>39022</v>
      </c>
      <c r="C972" s="987" t="s">
        <v>4637</v>
      </c>
      <c r="D972" s="987" t="s">
        <v>4639</v>
      </c>
      <c r="E972" s="987">
        <v>51.75</v>
      </c>
      <c r="F972" s="987">
        <v>-2.1210000000000001E-3</v>
      </c>
      <c r="G972" s="987">
        <v>0</v>
      </c>
      <c r="H972" s="986">
        <v>3.8999999999999998E-3</v>
      </c>
      <c r="I972" s="986">
        <f t="shared" si="6"/>
        <v>-6.0210000000000003E-3</v>
      </c>
      <c r="J972" s="988">
        <v>39022</v>
      </c>
    </row>
    <row r="973" spans="1:10">
      <c r="A973" s="987">
        <v>68</v>
      </c>
      <c r="B973" s="988">
        <v>39052</v>
      </c>
      <c r="C973" s="987" t="s">
        <v>4637</v>
      </c>
      <c r="D973" s="987" t="s">
        <v>4639</v>
      </c>
      <c r="E973" s="987">
        <v>48.58</v>
      </c>
      <c r="F973" s="987">
        <v>-5.3913000000000003E-2</v>
      </c>
      <c r="G973" s="987">
        <v>0.38</v>
      </c>
      <c r="H973" s="986">
        <v>3.5999999999999999E-3</v>
      </c>
      <c r="I973" s="986">
        <f t="shared" si="6"/>
        <v>-5.7513000000000002E-2</v>
      </c>
      <c r="J973" s="988">
        <v>39052</v>
      </c>
    </row>
    <row r="974" spans="1:10">
      <c r="A974" s="987">
        <v>68</v>
      </c>
      <c r="B974" s="988">
        <v>39083</v>
      </c>
      <c r="C974" s="987" t="s">
        <v>4637</v>
      </c>
      <c r="D974" s="987" t="s">
        <v>4639</v>
      </c>
      <c r="E974" s="987">
        <v>46.6</v>
      </c>
      <c r="F974" s="987">
        <v>-4.0758000000000003E-2</v>
      </c>
      <c r="G974" s="987">
        <v>0</v>
      </c>
      <c r="H974" s="986">
        <v>4.3E-3</v>
      </c>
      <c r="I974" s="986">
        <f t="shared" si="6"/>
        <v>-4.5058000000000001E-2</v>
      </c>
      <c r="J974" s="988">
        <v>39083</v>
      </c>
    </row>
    <row r="975" spans="1:10">
      <c r="A975" s="987">
        <v>68</v>
      </c>
      <c r="B975" s="988">
        <v>39114</v>
      </c>
      <c r="C975" s="987" t="s">
        <v>4637</v>
      </c>
      <c r="D975" s="987" t="s">
        <v>4639</v>
      </c>
      <c r="E975" s="987">
        <v>49.39</v>
      </c>
      <c r="F975" s="987">
        <v>5.9871000000000001E-2</v>
      </c>
      <c r="G975" s="987">
        <v>0</v>
      </c>
      <c r="H975" s="986">
        <v>3.8E-3</v>
      </c>
      <c r="I975" s="986">
        <f t="shared" si="6"/>
        <v>5.6071000000000003E-2</v>
      </c>
      <c r="J975" s="988">
        <v>39114</v>
      </c>
    </row>
    <row r="976" spans="1:10">
      <c r="A976" s="987">
        <v>68</v>
      </c>
      <c r="B976" s="988">
        <v>39142</v>
      </c>
      <c r="C976" s="987" t="s">
        <v>4637</v>
      </c>
      <c r="D976" s="987" t="s">
        <v>4639</v>
      </c>
      <c r="E976" s="987">
        <v>50.05</v>
      </c>
      <c r="F976" s="987">
        <v>2.1056999999999999E-2</v>
      </c>
      <c r="G976" s="987">
        <v>0.38</v>
      </c>
      <c r="H976" s="986">
        <v>3.8999999999999998E-3</v>
      </c>
      <c r="I976" s="986">
        <f t="shared" si="6"/>
        <v>1.7156999999999999E-2</v>
      </c>
      <c r="J976" s="988">
        <v>39142</v>
      </c>
    </row>
    <row r="977" spans="1:10">
      <c r="A977" s="987">
        <v>68</v>
      </c>
      <c r="B977" s="988">
        <v>39173</v>
      </c>
      <c r="C977" s="987" t="s">
        <v>4637</v>
      </c>
      <c r="D977" s="987" t="s">
        <v>4639</v>
      </c>
      <c r="E977" s="987">
        <v>53.7</v>
      </c>
      <c r="F977" s="987">
        <v>7.2927000000000006E-2</v>
      </c>
      <c r="G977" s="987">
        <v>0</v>
      </c>
      <c r="H977" s="986">
        <v>4.1999999999999997E-3</v>
      </c>
      <c r="I977" s="986">
        <f t="shared" si="6"/>
        <v>6.872700000000001E-2</v>
      </c>
      <c r="J977" s="988">
        <v>39173</v>
      </c>
    </row>
    <row r="978" spans="1:10">
      <c r="A978" s="987">
        <v>68</v>
      </c>
      <c r="B978" s="988">
        <v>39203</v>
      </c>
      <c r="C978" s="987" t="s">
        <v>4637</v>
      </c>
      <c r="D978" s="987" t="s">
        <v>4639</v>
      </c>
      <c r="E978" s="987">
        <v>54.78</v>
      </c>
      <c r="F978" s="987">
        <v>2.0112000000000001E-2</v>
      </c>
      <c r="G978" s="987">
        <v>0</v>
      </c>
      <c r="H978" s="986">
        <v>4.1000000000000003E-3</v>
      </c>
      <c r="I978" s="986">
        <f t="shared" si="6"/>
        <v>1.6012000000000002E-2</v>
      </c>
      <c r="J978" s="988">
        <v>39203</v>
      </c>
    </row>
    <row r="979" spans="1:10">
      <c r="A979" s="987">
        <v>68</v>
      </c>
      <c r="B979" s="988">
        <v>39234</v>
      </c>
      <c r="C979" s="987" t="s">
        <v>4637</v>
      </c>
      <c r="D979" s="987" t="s">
        <v>4639</v>
      </c>
      <c r="E979" s="987">
        <v>51.02</v>
      </c>
      <c r="F979" s="987">
        <v>-6.1700999999999999E-2</v>
      </c>
      <c r="G979" s="987">
        <v>0.38</v>
      </c>
      <c r="H979" s="986">
        <v>4.0000000000000001E-3</v>
      </c>
      <c r="I979" s="986">
        <f t="shared" si="6"/>
        <v>-6.5700999999999996E-2</v>
      </c>
      <c r="J979" s="988">
        <v>39234</v>
      </c>
    </row>
    <row r="980" spans="1:10">
      <c r="A980" s="987">
        <v>68</v>
      </c>
      <c r="B980" s="988">
        <v>39264</v>
      </c>
      <c r="C980" s="987" t="s">
        <v>4637</v>
      </c>
      <c r="D980" s="987" t="s">
        <v>4639</v>
      </c>
      <c r="E980" s="987">
        <v>47</v>
      </c>
      <c r="F980" s="987">
        <v>-7.8793000000000002E-2</v>
      </c>
      <c r="G980" s="987">
        <v>0</v>
      </c>
      <c r="H980" s="986">
        <v>4.5999999999999999E-3</v>
      </c>
      <c r="I980" s="986">
        <f t="shared" si="6"/>
        <v>-8.3392999999999995E-2</v>
      </c>
      <c r="J980" s="988">
        <v>39264</v>
      </c>
    </row>
    <row r="981" spans="1:10">
      <c r="A981" s="987">
        <v>68</v>
      </c>
      <c r="B981" s="988">
        <v>39295</v>
      </c>
      <c r="C981" s="987" t="s">
        <v>4637</v>
      </c>
      <c r="D981" s="987" t="s">
        <v>4639</v>
      </c>
      <c r="E981" s="987">
        <v>48.98</v>
      </c>
      <c r="F981" s="987">
        <v>4.2127999999999999E-2</v>
      </c>
      <c r="G981" s="987">
        <v>0</v>
      </c>
      <c r="H981" s="986">
        <v>4.1999999999999997E-3</v>
      </c>
      <c r="I981" s="986">
        <f t="shared" si="6"/>
        <v>3.7927999999999996E-2</v>
      </c>
      <c r="J981" s="988">
        <v>39295</v>
      </c>
    </row>
    <row r="982" spans="1:10">
      <c r="A982" s="987">
        <v>68</v>
      </c>
      <c r="B982" s="988">
        <v>39326</v>
      </c>
      <c r="C982" s="987" t="s">
        <v>4637</v>
      </c>
      <c r="D982" s="987" t="s">
        <v>4639</v>
      </c>
      <c r="E982" s="987">
        <v>49.59</v>
      </c>
      <c r="F982" s="987">
        <v>2.0212000000000001E-2</v>
      </c>
      <c r="G982" s="987">
        <v>0.38</v>
      </c>
      <c r="H982" s="986">
        <v>3.7000000000000002E-3</v>
      </c>
      <c r="I982" s="986">
        <f t="shared" si="6"/>
        <v>1.6511999999999999E-2</v>
      </c>
      <c r="J982" s="988">
        <v>39326</v>
      </c>
    </row>
    <row r="983" spans="1:10">
      <c r="A983" s="987">
        <v>68</v>
      </c>
      <c r="B983" s="988">
        <v>39356</v>
      </c>
      <c r="C983" s="987" t="s">
        <v>4637</v>
      </c>
      <c r="D983" s="987" t="s">
        <v>4639</v>
      </c>
      <c r="E983" s="987">
        <v>49.25</v>
      </c>
      <c r="F983" s="987">
        <v>-6.8560000000000001E-3</v>
      </c>
      <c r="G983" s="987">
        <v>0</v>
      </c>
      <c r="H983" s="986">
        <v>4.3E-3</v>
      </c>
      <c r="I983" s="986">
        <f t="shared" si="6"/>
        <v>-1.1155999999999999E-2</v>
      </c>
      <c r="J983" s="988">
        <v>39356</v>
      </c>
    </row>
    <row r="984" spans="1:10">
      <c r="A984" s="987">
        <v>68</v>
      </c>
      <c r="B984" s="988">
        <v>39387</v>
      </c>
      <c r="C984" s="987" t="s">
        <v>4637</v>
      </c>
      <c r="D984" s="987" t="s">
        <v>4639</v>
      </c>
      <c r="E984" s="987">
        <v>50.45</v>
      </c>
      <c r="F984" s="987">
        <v>2.4365000000000001E-2</v>
      </c>
      <c r="G984" s="987">
        <v>0</v>
      </c>
      <c r="H984" s="986">
        <v>3.8999999999999998E-3</v>
      </c>
      <c r="I984" s="986">
        <f t="shared" si="6"/>
        <v>2.0465000000000001E-2</v>
      </c>
      <c r="J984" s="988">
        <v>39387</v>
      </c>
    </row>
    <row r="985" spans="1:10">
      <c r="A985" s="987">
        <v>68</v>
      </c>
      <c r="B985" s="988">
        <v>39417</v>
      </c>
      <c r="C985" s="987" t="s">
        <v>4637</v>
      </c>
      <c r="D985" s="987" t="s">
        <v>4639</v>
      </c>
      <c r="E985" s="987">
        <v>50.02</v>
      </c>
      <c r="F985" s="987">
        <v>-5.9500000000000004E-4</v>
      </c>
      <c r="G985" s="987">
        <v>0.4</v>
      </c>
      <c r="H985" s="986">
        <v>3.7000000000000002E-3</v>
      </c>
      <c r="I985" s="986">
        <f t="shared" si="6"/>
        <v>-4.2950000000000002E-3</v>
      </c>
      <c r="J985" s="988">
        <v>39417</v>
      </c>
    </row>
    <row r="986" spans="1:10">
      <c r="A986" s="987">
        <v>68</v>
      </c>
      <c r="B986" s="988">
        <v>39448</v>
      </c>
      <c r="C986" s="987" t="s">
        <v>4637</v>
      </c>
      <c r="D986" s="987" t="s">
        <v>4639</v>
      </c>
      <c r="E986" s="987">
        <v>46.83</v>
      </c>
      <c r="F986" s="987">
        <v>-6.3773999999999997E-2</v>
      </c>
      <c r="G986" s="987">
        <v>0</v>
      </c>
      <c r="H986" s="986">
        <v>4.0000000000000001E-3</v>
      </c>
      <c r="I986" s="986">
        <f t="shared" si="6"/>
        <v>-6.7774000000000001E-2</v>
      </c>
      <c r="J986" s="988">
        <v>39448</v>
      </c>
    </row>
    <row r="987" spans="1:10">
      <c r="A987" s="987">
        <v>68</v>
      </c>
      <c r="B987" s="988">
        <v>39479</v>
      </c>
      <c r="C987" s="987" t="s">
        <v>4637</v>
      </c>
      <c r="D987" s="987" t="s">
        <v>4639</v>
      </c>
      <c r="E987" s="987">
        <v>46.01</v>
      </c>
      <c r="F987" s="987">
        <v>-1.7510000000000001E-2</v>
      </c>
      <c r="G987" s="987">
        <v>0</v>
      </c>
      <c r="H987" s="986">
        <v>3.3999999999999998E-3</v>
      </c>
      <c r="I987" s="986">
        <f t="shared" si="6"/>
        <v>-2.0910000000000002E-2</v>
      </c>
      <c r="J987" s="988">
        <v>39479</v>
      </c>
    </row>
    <row r="988" spans="1:10">
      <c r="A988" s="987">
        <v>68</v>
      </c>
      <c r="B988" s="988">
        <v>39508</v>
      </c>
      <c r="C988" s="987" t="s">
        <v>4637</v>
      </c>
      <c r="D988" s="987" t="s">
        <v>4639</v>
      </c>
      <c r="E988" s="987">
        <v>31.05</v>
      </c>
      <c r="F988" s="987">
        <v>2.1408E-2</v>
      </c>
      <c r="G988" s="987">
        <v>0.42</v>
      </c>
      <c r="H988" s="986">
        <v>3.7000000000000002E-3</v>
      </c>
      <c r="I988" s="986">
        <f t="shared" si="6"/>
        <v>1.7708000000000002E-2</v>
      </c>
      <c r="J988" s="988">
        <v>39508</v>
      </c>
    </row>
    <row r="989" spans="1:10">
      <c r="A989" s="987">
        <v>68</v>
      </c>
      <c r="B989" s="988">
        <v>39539</v>
      </c>
      <c r="C989" s="987" t="s">
        <v>4637</v>
      </c>
      <c r="D989" s="987" t="s">
        <v>4639</v>
      </c>
      <c r="E989" s="987">
        <v>31.85</v>
      </c>
      <c r="F989" s="987">
        <v>2.5765E-2</v>
      </c>
      <c r="G989" s="987">
        <v>0</v>
      </c>
      <c r="H989" s="986">
        <v>3.5000000000000001E-3</v>
      </c>
      <c r="I989" s="986">
        <f t="shared" si="6"/>
        <v>2.2265E-2</v>
      </c>
      <c r="J989" s="988">
        <v>39539</v>
      </c>
    </row>
    <row r="990" spans="1:10">
      <c r="A990" s="987">
        <v>68</v>
      </c>
      <c r="B990" s="988">
        <v>39569</v>
      </c>
      <c r="C990" s="987" t="s">
        <v>4637</v>
      </c>
      <c r="D990" s="987" t="s">
        <v>4639</v>
      </c>
      <c r="E990" s="987">
        <v>33.31</v>
      </c>
      <c r="F990" s="987">
        <v>4.5839999999999999E-2</v>
      </c>
      <c r="G990" s="987">
        <v>0</v>
      </c>
      <c r="H990" s="986">
        <v>3.7000000000000002E-3</v>
      </c>
      <c r="I990" s="986">
        <f t="shared" si="6"/>
        <v>4.2139999999999997E-2</v>
      </c>
      <c r="J990" s="988">
        <v>39569</v>
      </c>
    </row>
    <row r="991" spans="1:10">
      <c r="A991" s="987">
        <v>68</v>
      </c>
      <c r="B991" s="988">
        <v>39600</v>
      </c>
      <c r="C991" s="987" t="s">
        <v>4637</v>
      </c>
      <c r="D991" s="987" t="s">
        <v>4639</v>
      </c>
      <c r="E991" s="987">
        <v>32.65</v>
      </c>
      <c r="F991" s="987">
        <v>-1.1408E-2</v>
      </c>
      <c r="G991" s="987">
        <v>0.28000000000000003</v>
      </c>
      <c r="H991" s="986">
        <v>4.0000000000000001E-3</v>
      </c>
      <c r="I991" s="986">
        <f t="shared" si="6"/>
        <v>-1.5408E-2</v>
      </c>
      <c r="J991" s="988">
        <v>39600</v>
      </c>
    </row>
    <row r="992" spans="1:10">
      <c r="A992" s="987">
        <v>68</v>
      </c>
      <c r="B992" s="988">
        <v>39630</v>
      </c>
      <c r="C992" s="987" t="s">
        <v>4637</v>
      </c>
      <c r="D992" s="987" t="s">
        <v>4639</v>
      </c>
      <c r="E992" s="987">
        <v>34.090000000000003</v>
      </c>
      <c r="F992" s="987">
        <v>4.4103999999999997E-2</v>
      </c>
      <c r="G992" s="987">
        <v>0</v>
      </c>
      <c r="H992" s="986">
        <v>3.8999999999999998E-3</v>
      </c>
      <c r="I992" s="986">
        <f t="shared" si="6"/>
        <v>4.0203999999999997E-2</v>
      </c>
      <c r="J992" s="988">
        <v>39630</v>
      </c>
    </row>
    <row r="993" spans="1:10">
      <c r="A993" s="987">
        <v>68</v>
      </c>
      <c r="B993" s="988">
        <v>39661</v>
      </c>
      <c r="C993" s="987" t="s">
        <v>4637</v>
      </c>
      <c r="D993" s="987" t="s">
        <v>4639</v>
      </c>
      <c r="E993" s="987">
        <v>36.18</v>
      </c>
      <c r="F993" s="987">
        <v>6.1308000000000001E-2</v>
      </c>
      <c r="G993" s="987">
        <v>0</v>
      </c>
      <c r="H993" s="986">
        <v>3.5999999999999999E-3</v>
      </c>
      <c r="I993" s="986">
        <f t="shared" si="6"/>
        <v>5.7708000000000002E-2</v>
      </c>
      <c r="J993" s="988">
        <v>39661</v>
      </c>
    </row>
    <row r="994" spans="1:10">
      <c r="A994" s="987">
        <v>68</v>
      </c>
      <c r="B994" s="988">
        <v>39692</v>
      </c>
      <c r="C994" s="987" t="s">
        <v>4637</v>
      </c>
      <c r="D994" s="987" t="s">
        <v>4639</v>
      </c>
      <c r="E994" s="987">
        <v>35.89</v>
      </c>
      <c r="F994" s="987">
        <v>-2.7599999999999999E-4</v>
      </c>
      <c r="G994" s="987">
        <v>0.28000000000000003</v>
      </c>
      <c r="H994" s="986">
        <v>3.8999999999999998E-3</v>
      </c>
      <c r="I994" s="986">
        <f t="shared" si="6"/>
        <v>-4.176E-3</v>
      </c>
      <c r="J994" s="988">
        <v>39692</v>
      </c>
    </row>
    <row r="995" spans="1:10">
      <c r="A995" s="987">
        <v>68</v>
      </c>
      <c r="B995" s="988">
        <v>39722</v>
      </c>
      <c r="C995" s="987" t="s">
        <v>4637</v>
      </c>
      <c r="D995" s="987" t="s">
        <v>4639</v>
      </c>
      <c r="E995" s="987">
        <v>37.24</v>
      </c>
      <c r="F995" s="987">
        <v>3.7615000000000003E-2</v>
      </c>
      <c r="G995" s="987">
        <v>0</v>
      </c>
      <c r="H995" s="986">
        <v>3.7000000000000002E-3</v>
      </c>
      <c r="I995" s="986">
        <f t="shared" si="6"/>
        <v>3.3915000000000001E-2</v>
      </c>
      <c r="J995" s="988">
        <v>39722</v>
      </c>
    </row>
    <row r="996" spans="1:10">
      <c r="A996" s="987">
        <v>68</v>
      </c>
      <c r="B996" s="988">
        <v>39753</v>
      </c>
      <c r="C996" s="987" t="s">
        <v>4637</v>
      </c>
      <c r="D996" s="987" t="s">
        <v>4639</v>
      </c>
      <c r="E996" s="987">
        <v>40.159999999999997</v>
      </c>
      <c r="F996" s="987">
        <v>7.8409999999999994E-2</v>
      </c>
      <c r="G996" s="987">
        <v>0</v>
      </c>
      <c r="H996" s="986">
        <v>3.5999999999999999E-3</v>
      </c>
      <c r="I996" s="986">
        <f t="shared" si="6"/>
        <v>7.4809999999999988E-2</v>
      </c>
      <c r="J996" s="988">
        <v>39753</v>
      </c>
    </row>
    <row r="997" spans="1:10">
      <c r="A997" s="987">
        <v>68</v>
      </c>
      <c r="B997" s="988">
        <v>39783</v>
      </c>
      <c r="C997" s="987" t="s">
        <v>4637</v>
      </c>
      <c r="D997" s="987" t="s">
        <v>4639</v>
      </c>
      <c r="E997" s="987">
        <v>39.35</v>
      </c>
      <c r="F997" s="987">
        <v>-1.2449999999999999E-2</v>
      </c>
      <c r="G997" s="987">
        <v>0.31</v>
      </c>
      <c r="H997" s="986">
        <v>3.3E-3</v>
      </c>
      <c r="I997" s="986">
        <f t="shared" si="6"/>
        <v>-1.575E-2</v>
      </c>
      <c r="J997" s="988">
        <v>39783</v>
      </c>
    </row>
    <row r="998" spans="1:10">
      <c r="A998" s="987">
        <v>68</v>
      </c>
      <c r="B998" s="988">
        <v>39814</v>
      </c>
      <c r="C998" s="987" t="s">
        <v>4637</v>
      </c>
      <c r="D998" s="987" t="s">
        <v>4639</v>
      </c>
      <c r="E998" s="987">
        <v>40.090000000000003</v>
      </c>
      <c r="F998" s="987">
        <v>1.8806E-2</v>
      </c>
      <c r="G998" s="987">
        <v>0</v>
      </c>
      <c r="H998" s="986">
        <v>2.3999999999999998E-3</v>
      </c>
      <c r="I998" s="986">
        <f t="shared" si="6"/>
        <v>1.6406E-2</v>
      </c>
      <c r="J998" s="988">
        <v>39814</v>
      </c>
    </row>
    <row r="999" spans="1:10">
      <c r="A999" s="987">
        <v>68</v>
      </c>
      <c r="B999" s="988">
        <v>39845</v>
      </c>
      <c r="C999" s="987" t="s">
        <v>4637</v>
      </c>
      <c r="D999" s="987" t="s">
        <v>4639</v>
      </c>
      <c r="E999" s="987">
        <v>35.07</v>
      </c>
      <c r="F999" s="987">
        <v>-0.125218</v>
      </c>
      <c r="G999" s="987">
        <v>0</v>
      </c>
      <c r="H999" s="986">
        <v>3.0000000000000001E-3</v>
      </c>
      <c r="I999" s="986">
        <f t="shared" si="6"/>
        <v>-0.128218</v>
      </c>
      <c r="J999" s="988">
        <v>39845</v>
      </c>
    </row>
    <row r="1000" spans="1:10">
      <c r="A1000" s="987">
        <v>68</v>
      </c>
      <c r="B1000" s="988">
        <v>39873</v>
      </c>
      <c r="C1000" s="987" t="s">
        <v>4637</v>
      </c>
      <c r="D1000" s="987" t="s">
        <v>4639</v>
      </c>
      <c r="E1000" s="987">
        <v>33.979999999999997</v>
      </c>
      <c r="F1000" s="987">
        <v>-2.2241E-2</v>
      </c>
      <c r="G1000" s="987">
        <v>0.31</v>
      </c>
      <c r="H1000" s="986">
        <v>3.5000000000000001E-3</v>
      </c>
      <c r="I1000" s="986">
        <f t="shared" si="6"/>
        <v>-2.5741E-2</v>
      </c>
      <c r="J1000" s="988">
        <v>39873</v>
      </c>
    </row>
    <row r="1001" spans="1:10">
      <c r="A1001" s="987">
        <v>68</v>
      </c>
      <c r="B1001" s="988">
        <v>39904</v>
      </c>
      <c r="C1001" s="987" t="s">
        <v>4637</v>
      </c>
      <c r="D1001" s="987" t="s">
        <v>4639</v>
      </c>
      <c r="E1001" s="987">
        <v>32.92</v>
      </c>
      <c r="F1001" s="987">
        <v>-3.1195000000000001E-2</v>
      </c>
      <c r="G1001" s="987">
        <v>0</v>
      </c>
      <c r="H1001" s="986">
        <v>2.8999999999999998E-3</v>
      </c>
      <c r="I1001" s="986">
        <f t="shared" si="6"/>
        <v>-3.4095E-2</v>
      </c>
      <c r="J1001" s="988">
        <v>39904</v>
      </c>
    </row>
    <row r="1002" spans="1:10">
      <c r="A1002" s="987">
        <v>68</v>
      </c>
      <c r="B1002" s="988">
        <v>39934</v>
      </c>
      <c r="C1002" s="987" t="s">
        <v>4637</v>
      </c>
      <c r="D1002" s="987" t="s">
        <v>4639</v>
      </c>
      <c r="E1002" s="987">
        <v>33.270000000000003</v>
      </c>
      <c r="F1002" s="987">
        <v>1.0632000000000001E-2</v>
      </c>
      <c r="G1002" s="987">
        <v>0</v>
      </c>
      <c r="H1002" s="986">
        <v>3.3E-3</v>
      </c>
      <c r="I1002" s="986">
        <f t="shared" si="6"/>
        <v>7.3320000000000008E-3</v>
      </c>
      <c r="J1002" s="988">
        <v>39934</v>
      </c>
    </row>
    <row r="1003" spans="1:10">
      <c r="A1003" s="987">
        <v>68</v>
      </c>
      <c r="B1003" s="988">
        <v>39965</v>
      </c>
      <c r="C1003" s="987" t="s">
        <v>4637</v>
      </c>
      <c r="D1003" s="987" t="s">
        <v>4639</v>
      </c>
      <c r="E1003" s="987">
        <v>37.04</v>
      </c>
      <c r="F1003" s="987">
        <v>0.12263300000000001</v>
      </c>
      <c r="G1003" s="987">
        <v>0.31</v>
      </c>
      <c r="H1003" s="986">
        <v>3.8E-3</v>
      </c>
      <c r="I1003" s="986">
        <f t="shared" si="6"/>
        <v>0.11883300000000001</v>
      </c>
      <c r="J1003" s="988">
        <v>39965</v>
      </c>
    </row>
    <row r="1004" spans="1:10">
      <c r="A1004" s="987">
        <v>68</v>
      </c>
      <c r="B1004" s="988">
        <v>39995</v>
      </c>
      <c r="C1004" s="987" t="s">
        <v>4637</v>
      </c>
      <c r="D1004" s="987" t="s">
        <v>4639</v>
      </c>
      <c r="E1004" s="987">
        <v>38.6</v>
      </c>
      <c r="F1004" s="987">
        <v>4.2117000000000002E-2</v>
      </c>
      <c r="G1004" s="987">
        <v>0</v>
      </c>
      <c r="H1004" s="986">
        <v>3.5999999999999999E-3</v>
      </c>
      <c r="I1004" s="986">
        <f t="shared" si="6"/>
        <v>3.8517000000000003E-2</v>
      </c>
      <c r="J1004" s="988">
        <v>39995</v>
      </c>
    </row>
    <row r="1005" spans="1:10">
      <c r="A1005" s="987">
        <v>68</v>
      </c>
      <c r="B1005" s="988">
        <v>40026</v>
      </c>
      <c r="C1005" s="987" t="s">
        <v>4637</v>
      </c>
      <c r="D1005" s="987" t="s">
        <v>4639</v>
      </c>
      <c r="E1005" s="987">
        <v>36.75</v>
      </c>
      <c r="F1005" s="987">
        <v>-4.7926999999999997E-2</v>
      </c>
      <c r="G1005" s="987">
        <v>0</v>
      </c>
      <c r="H1005" s="986">
        <v>3.5999999999999999E-3</v>
      </c>
      <c r="I1005" s="986">
        <f t="shared" si="6"/>
        <v>-5.1526999999999996E-2</v>
      </c>
      <c r="J1005" s="988">
        <v>40026</v>
      </c>
    </row>
    <row r="1006" spans="1:10">
      <c r="A1006" s="987">
        <v>68</v>
      </c>
      <c r="B1006" s="988">
        <v>40057</v>
      </c>
      <c r="C1006" s="987" t="s">
        <v>4637</v>
      </c>
      <c r="D1006" s="987" t="s">
        <v>4639</v>
      </c>
      <c r="E1006" s="987">
        <v>36.31</v>
      </c>
      <c r="F1006" s="987">
        <v>-3.5370000000000002E-3</v>
      </c>
      <c r="G1006" s="987">
        <v>0.31</v>
      </c>
      <c r="H1006" s="986">
        <v>3.3999999999999998E-3</v>
      </c>
      <c r="I1006" s="986">
        <f t="shared" si="6"/>
        <v>-6.9370000000000005E-3</v>
      </c>
      <c r="J1006" s="988">
        <v>40057</v>
      </c>
    </row>
    <row r="1007" spans="1:10">
      <c r="A1007" s="987">
        <v>68</v>
      </c>
      <c r="B1007" s="988">
        <v>40087</v>
      </c>
      <c r="C1007" s="987" t="s">
        <v>4637</v>
      </c>
      <c r="D1007" s="987" t="s">
        <v>4639</v>
      </c>
      <c r="E1007" s="987">
        <v>35.200000000000003</v>
      </c>
      <c r="F1007" s="987">
        <v>-3.057E-2</v>
      </c>
      <c r="G1007" s="987">
        <v>0</v>
      </c>
      <c r="H1007" s="986">
        <v>3.3E-3</v>
      </c>
      <c r="I1007" s="986">
        <f t="shared" si="6"/>
        <v>-3.3869999999999997E-2</v>
      </c>
      <c r="J1007" s="988">
        <v>40087</v>
      </c>
    </row>
    <row r="1008" spans="1:10">
      <c r="A1008" s="987">
        <v>68</v>
      </c>
      <c r="B1008" s="988">
        <v>40118</v>
      </c>
      <c r="C1008" s="987" t="s">
        <v>4637</v>
      </c>
      <c r="D1008" s="987" t="s">
        <v>4639</v>
      </c>
      <c r="E1008" s="987">
        <v>35.229999999999997</v>
      </c>
      <c r="F1008" s="987">
        <v>8.52E-4</v>
      </c>
      <c r="G1008" s="987">
        <v>0</v>
      </c>
      <c r="H1008" s="986">
        <v>3.5000000000000001E-3</v>
      </c>
      <c r="I1008" s="986">
        <f t="shared" si="6"/>
        <v>-2.6480000000000002E-3</v>
      </c>
      <c r="J1008" s="988">
        <v>40118</v>
      </c>
    </row>
    <row r="1009" spans="1:10">
      <c r="A1009" s="987">
        <v>68</v>
      </c>
      <c r="B1009" s="988">
        <v>40148</v>
      </c>
      <c r="C1009" s="987" t="s">
        <v>4637</v>
      </c>
      <c r="D1009" s="987" t="s">
        <v>4639</v>
      </c>
      <c r="E1009" s="987">
        <v>37.4</v>
      </c>
      <c r="F1009" s="987">
        <v>7.1246000000000004E-2</v>
      </c>
      <c r="G1009" s="987">
        <v>0.34</v>
      </c>
      <c r="H1009" s="986">
        <v>3.3999999999999998E-3</v>
      </c>
      <c r="I1009" s="986">
        <f t="shared" si="6"/>
        <v>6.7846000000000004E-2</v>
      </c>
      <c r="J1009" s="988">
        <v>40148</v>
      </c>
    </row>
    <row r="1010" spans="1:10">
      <c r="A1010" s="987">
        <v>68</v>
      </c>
      <c r="B1010" s="988">
        <v>40179</v>
      </c>
      <c r="C1010" s="987" t="s">
        <v>4637</v>
      </c>
      <c r="D1010" s="987" t="s">
        <v>4639</v>
      </c>
      <c r="E1010" s="987">
        <v>36.49</v>
      </c>
      <c r="F1010" s="987">
        <v>-2.4331999999999999E-2</v>
      </c>
      <c r="G1010" s="987">
        <v>0</v>
      </c>
      <c r="H1010" s="986">
        <v>3.5999999999999999E-3</v>
      </c>
      <c r="I1010" s="986">
        <f t="shared" si="6"/>
        <v>-2.7931999999999998E-2</v>
      </c>
      <c r="J1010" s="988">
        <v>40179</v>
      </c>
    </row>
    <row r="1011" spans="1:10">
      <c r="A1011" s="987">
        <v>68</v>
      </c>
      <c r="B1011" s="988">
        <v>40210</v>
      </c>
      <c r="C1011" s="987" t="s">
        <v>4637</v>
      </c>
      <c r="D1011" s="987" t="s">
        <v>4639</v>
      </c>
      <c r="E1011" s="987">
        <v>36.42</v>
      </c>
      <c r="F1011" s="987">
        <v>-1.918E-3</v>
      </c>
      <c r="G1011" s="987">
        <v>0</v>
      </c>
      <c r="H1011" s="986">
        <v>3.3E-3</v>
      </c>
      <c r="I1011" s="986">
        <f t="shared" si="6"/>
        <v>-5.2180000000000004E-3</v>
      </c>
      <c r="J1011" s="988">
        <v>40210</v>
      </c>
    </row>
    <row r="1012" spans="1:10">
      <c r="A1012" s="987">
        <v>68</v>
      </c>
      <c r="B1012" s="988">
        <v>40238</v>
      </c>
      <c r="C1012" s="987" t="s">
        <v>4637</v>
      </c>
      <c r="D1012" s="987" t="s">
        <v>4639</v>
      </c>
      <c r="E1012" s="987">
        <v>37.56</v>
      </c>
      <c r="F1012" s="987">
        <v>4.0637E-2</v>
      </c>
      <c r="G1012" s="987">
        <v>0.34</v>
      </c>
      <c r="H1012" s="986">
        <v>4.0000000000000001E-3</v>
      </c>
      <c r="I1012" s="986">
        <f t="shared" si="6"/>
        <v>3.6637000000000003E-2</v>
      </c>
      <c r="J1012" s="988">
        <v>40238</v>
      </c>
    </row>
    <row r="1013" spans="1:10">
      <c r="A1013" s="987">
        <v>68</v>
      </c>
      <c r="B1013" s="988">
        <v>40269</v>
      </c>
      <c r="C1013" s="987" t="s">
        <v>4637</v>
      </c>
      <c r="D1013" s="987" t="s">
        <v>4639</v>
      </c>
      <c r="E1013" s="987">
        <v>37.729999999999997</v>
      </c>
      <c r="F1013" s="987">
        <v>4.5259999999999996E-3</v>
      </c>
      <c r="G1013" s="987">
        <v>0</v>
      </c>
      <c r="H1013" s="986">
        <v>3.8E-3</v>
      </c>
      <c r="I1013" s="986">
        <f t="shared" si="6"/>
        <v>7.2599999999999965E-4</v>
      </c>
      <c r="J1013" s="988">
        <v>40269</v>
      </c>
    </row>
    <row r="1014" spans="1:10">
      <c r="A1014" s="987">
        <v>68</v>
      </c>
      <c r="B1014" s="988">
        <v>40299</v>
      </c>
      <c r="C1014" s="987" t="s">
        <v>4637</v>
      </c>
      <c r="D1014" s="987" t="s">
        <v>4639</v>
      </c>
      <c r="E1014" s="987">
        <v>35.450000000000003</v>
      </c>
      <c r="F1014" s="987">
        <v>-6.0428999999999997E-2</v>
      </c>
      <c r="G1014" s="987">
        <v>0</v>
      </c>
      <c r="H1014" s="986">
        <v>3.3999999999999998E-3</v>
      </c>
      <c r="I1014" s="986">
        <f t="shared" ref="I1014:I1077" si="7">F1014-H1014</f>
        <v>-6.3828999999999997E-2</v>
      </c>
      <c r="J1014" s="988">
        <v>40299</v>
      </c>
    </row>
    <row r="1015" spans="1:10">
      <c r="A1015" s="987">
        <v>68</v>
      </c>
      <c r="B1015" s="988">
        <v>40330</v>
      </c>
      <c r="C1015" s="987" t="s">
        <v>4637</v>
      </c>
      <c r="D1015" s="987" t="s">
        <v>4639</v>
      </c>
      <c r="E1015" s="987">
        <v>35.200000000000003</v>
      </c>
      <c r="F1015" s="987">
        <v>2.539E-3</v>
      </c>
      <c r="G1015" s="987">
        <v>0.34</v>
      </c>
      <c r="H1015" s="986">
        <v>3.7000000000000002E-3</v>
      </c>
      <c r="I1015" s="986">
        <f t="shared" si="7"/>
        <v>-1.1610000000000001E-3</v>
      </c>
      <c r="J1015" s="988">
        <v>40330</v>
      </c>
    </row>
    <row r="1016" spans="1:10">
      <c r="A1016" s="987">
        <v>68</v>
      </c>
      <c r="B1016" s="988">
        <v>40360</v>
      </c>
      <c r="C1016" s="987" t="s">
        <v>4637</v>
      </c>
      <c r="D1016" s="987" t="s">
        <v>4639</v>
      </c>
      <c r="E1016" s="987">
        <v>37.33</v>
      </c>
      <c r="F1016" s="987">
        <v>6.0511000000000002E-2</v>
      </c>
      <c r="G1016" s="987">
        <v>0</v>
      </c>
      <c r="H1016" s="986">
        <v>3.0999999999999999E-3</v>
      </c>
      <c r="I1016" s="986">
        <f t="shared" si="7"/>
        <v>5.7411000000000004E-2</v>
      </c>
      <c r="J1016" s="988">
        <v>40360</v>
      </c>
    </row>
    <row r="1017" spans="1:10">
      <c r="A1017" s="987">
        <v>68</v>
      </c>
      <c r="B1017" s="988">
        <v>40391</v>
      </c>
      <c r="C1017" s="987" t="s">
        <v>4637</v>
      </c>
      <c r="D1017" s="987" t="s">
        <v>4639</v>
      </c>
      <c r="E1017" s="987">
        <v>37.21</v>
      </c>
      <c r="F1017" s="987">
        <v>-3.215E-3</v>
      </c>
      <c r="G1017" s="987">
        <v>0</v>
      </c>
      <c r="H1017" s="986">
        <v>3.2000000000000002E-3</v>
      </c>
      <c r="I1017" s="986">
        <f t="shared" si="7"/>
        <v>-6.4150000000000006E-3</v>
      </c>
      <c r="J1017" s="988">
        <v>40391</v>
      </c>
    </row>
    <row r="1018" spans="1:10">
      <c r="A1018" s="987">
        <v>68</v>
      </c>
      <c r="B1018" s="988">
        <v>40422</v>
      </c>
      <c r="C1018" s="987" t="s">
        <v>4637</v>
      </c>
      <c r="D1018" s="987" t="s">
        <v>4639</v>
      </c>
      <c r="E1018" s="987">
        <v>39.22</v>
      </c>
      <c r="F1018" s="987">
        <v>6.3155000000000003E-2</v>
      </c>
      <c r="G1018" s="987">
        <v>0.34</v>
      </c>
      <c r="H1018" s="986">
        <v>2.5999999999999999E-3</v>
      </c>
      <c r="I1018" s="986">
        <f t="shared" si="7"/>
        <v>6.0555000000000005E-2</v>
      </c>
      <c r="J1018" s="988">
        <v>40422</v>
      </c>
    </row>
    <row r="1019" spans="1:10">
      <c r="A1019" s="987">
        <v>68</v>
      </c>
      <c r="B1019" s="988">
        <v>40452</v>
      </c>
      <c r="C1019" s="987" t="s">
        <v>4637</v>
      </c>
      <c r="D1019" s="987" t="s">
        <v>4639</v>
      </c>
      <c r="E1019" s="987">
        <v>40.49</v>
      </c>
      <c r="F1019" s="987">
        <v>3.2381E-2</v>
      </c>
      <c r="G1019" s="987">
        <v>0</v>
      </c>
      <c r="H1019" s="986">
        <v>2.7000000000000001E-3</v>
      </c>
      <c r="I1019" s="986">
        <f t="shared" si="7"/>
        <v>2.9680999999999999E-2</v>
      </c>
      <c r="J1019" s="988">
        <v>40452</v>
      </c>
    </row>
    <row r="1020" spans="1:10">
      <c r="A1020" s="987">
        <v>68</v>
      </c>
      <c r="B1020" s="988">
        <v>40483</v>
      </c>
      <c r="C1020" s="987" t="s">
        <v>4637</v>
      </c>
      <c r="D1020" s="987" t="s">
        <v>4639</v>
      </c>
      <c r="E1020" s="987">
        <v>43.11</v>
      </c>
      <c r="F1020" s="987">
        <v>6.4707000000000001E-2</v>
      </c>
      <c r="G1020" s="987">
        <v>0</v>
      </c>
      <c r="H1020" s="986">
        <v>3.2000000000000002E-3</v>
      </c>
      <c r="I1020" s="986">
        <f t="shared" si="7"/>
        <v>6.1506999999999999E-2</v>
      </c>
      <c r="J1020" s="988">
        <v>40483</v>
      </c>
    </row>
    <row r="1021" spans="1:10">
      <c r="A1021" s="987">
        <v>68</v>
      </c>
      <c r="B1021" s="988">
        <v>40513</v>
      </c>
      <c r="C1021" s="987" t="s">
        <v>4637</v>
      </c>
      <c r="D1021" s="987" t="s">
        <v>4639</v>
      </c>
      <c r="E1021" s="987">
        <v>43.11</v>
      </c>
      <c r="F1021" s="987">
        <v>8.3510000000000008E-3</v>
      </c>
      <c r="G1021" s="987">
        <v>0.36</v>
      </c>
      <c r="H1021" s="986">
        <v>3.2000000000000002E-3</v>
      </c>
      <c r="I1021" s="986">
        <f t="shared" si="7"/>
        <v>5.1510000000000011E-3</v>
      </c>
      <c r="J1021" s="988">
        <v>40513</v>
      </c>
    </row>
    <row r="1022" spans="1:10" ht="13.8">
      <c r="A1022" s="983">
        <v>68</v>
      </c>
      <c r="B1022" s="988">
        <v>40544</v>
      </c>
      <c r="C1022" s="983" t="s">
        <v>4637</v>
      </c>
      <c r="D1022" s="983" t="s">
        <v>4639</v>
      </c>
      <c r="E1022" s="983">
        <v>41.96</v>
      </c>
      <c r="F1022" s="983">
        <v>-2.6675999999999998E-2</v>
      </c>
      <c r="G1022" s="983">
        <v>0</v>
      </c>
      <c r="H1022" s="987">
        <v>3.5666666699999999E-3</v>
      </c>
      <c r="I1022" s="986">
        <f t="shared" si="7"/>
        <v>-3.0242666669999998E-2</v>
      </c>
      <c r="J1022" s="988">
        <v>40544</v>
      </c>
    </row>
    <row r="1023" spans="1:10" ht="13.8">
      <c r="A1023" s="983">
        <v>68</v>
      </c>
      <c r="B1023" s="988">
        <v>40575</v>
      </c>
      <c r="C1023" s="983" t="s">
        <v>4637</v>
      </c>
      <c r="D1023" s="983" t="s">
        <v>4639</v>
      </c>
      <c r="E1023" s="983">
        <v>41.83</v>
      </c>
      <c r="F1023" s="983">
        <v>-3.0980000000000001E-3</v>
      </c>
      <c r="G1023" s="983">
        <v>0</v>
      </c>
      <c r="H1023" s="987">
        <v>3.68333333E-3</v>
      </c>
      <c r="I1023" s="986">
        <f t="shared" si="7"/>
        <v>-6.78133333E-3</v>
      </c>
      <c r="J1023" s="988">
        <v>40575</v>
      </c>
    </row>
    <row r="1024" spans="1:10" ht="13.8">
      <c r="A1024" s="983">
        <v>68</v>
      </c>
      <c r="B1024" s="988">
        <v>40603</v>
      </c>
      <c r="C1024" s="983" t="s">
        <v>4637</v>
      </c>
      <c r="D1024" s="983" t="s">
        <v>4639</v>
      </c>
      <c r="E1024" s="983">
        <v>42.95</v>
      </c>
      <c r="F1024" s="983">
        <v>3.5381000000000003E-2</v>
      </c>
      <c r="G1024" s="983">
        <v>0.36</v>
      </c>
      <c r="H1024" s="987">
        <v>3.5583333299999999E-3</v>
      </c>
      <c r="I1024" s="986">
        <f t="shared" si="7"/>
        <v>3.1822666669999999E-2</v>
      </c>
      <c r="J1024" s="988">
        <v>40603</v>
      </c>
    </row>
    <row r="1025" spans="1:10" ht="13.8">
      <c r="A1025" s="983">
        <v>68</v>
      </c>
      <c r="B1025" s="988">
        <v>40634</v>
      </c>
      <c r="C1025" s="983" t="s">
        <v>4637</v>
      </c>
      <c r="D1025" s="983" t="s">
        <v>4639</v>
      </c>
      <c r="E1025" s="983">
        <v>43.78</v>
      </c>
      <c r="F1025" s="983">
        <v>1.9324999999999998E-2</v>
      </c>
      <c r="G1025" s="983">
        <v>0</v>
      </c>
      <c r="H1025" s="987">
        <v>3.5666666699999999E-3</v>
      </c>
      <c r="I1025" s="986">
        <f t="shared" si="7"/>
        <v>1.5758333329999999E-2</v>
      </c>
      <c r="J1025" s="988">
        <v>40634</v>
      </c>
    </row>
    <row r="1026" spans="1:10" ht="13.8">
      <c r="A1026" s="983">
        <v>68</v>
      </c>
      <c r="B1026" s="988">
        <v>40664</v>
      </c>
      <c r="C1026" s="983" t="s">
        <v>4637</v>
      </c>
      <c r="D1026" s="983" t="s">
        <v>4639</v>
      </c>
      <c r="E1026" s="983">
        <v>46.08</v>
      </c>
      <c r="F1026" s="983">
        <v>5.2534999999999998E-2</v>
      </c>
      <c r="G1026" s="983">
        <v>0</v>
      </c>
      <c r="H1026" s="987">
        <v>3.3416666699999996E-3</v>
      </c>
      <c r="I1026" s="986">
        <f t="shared" si="7"/>
        <v>4.9193333329999998E-2</v>
      </c>
      <c r="J1026" s="988">
        <v>40664</v>
      </c>
    </row>
    <row r="1027" spans="1:10" ht="13.8">
      <c r="A1027" s="983">
        <v>68</v>
      </c>
      <c r="B1027" s="988">
        <v>40695</v>
      </c>
      <c r="C1027" s="983" t="s">
        <v>4637</v>
      </c>
      <c r="D1027" s="983" t="s">
        <v>4639</v>
      </c>
      <c r="E1027" s="983">
        <v>44.61</v>
      </c>
      <c r="F1027" s="983">
        <v>-2.4088999999999999E-2</v>
      </c>
      <c r="G1027" s="983">
        <v>0.36</v>
      </c>
      <c r="H1027" s="987">
        <v>3.25833333E-3</v>
      </c>
      <c r="I1027" s="986">
        <f t="shared" si="7"/>
        <v>-2.7347333330000001E-2</v>
      </c>
      <c r="J1027" s="988">
        <v>40695</v>
      </c>
    </row>
    <row r="1028" spans="1:10" ht="13.8">
      <c r="A1028" s="983">
        <v>68</v>
      </c>
      <c r="B1028" s="988">
        <v>40725</v>
      </c>
      <c r="C1028" s="983" t="s">
        <v>4637</v>
      </c>
      <c r="D1028" s="983" t="s">
        <v>4639</v>
      </c>
      <c r="E1028" s="983">
        <v>43.61</v>
      </c>
      <c r="F1028" s="983">
        <v>-2.2415999999999998E-2</v>
      </c>
      <c r="G1028" s="983">
        <v>0</v>
      </c>
      <c r="H1028" s="987">
        <v>3.2916666700000003E-3</v>
      </c>
      <c r="I1028" s="986">
        <f t="shared" si="7"/>
        <v>-2.5707666669999997E-2</v>
      </c>
      <c r="J1028" s="988">
        <v>40725</v>
      </c>
    </row>
    <row r="1029" spans="1:10" ht="13.8">
      <c r="A1029" s="983">
        <v>68</v>
      </c>
      <c r="B1029" s="988">
        <v>40756</v>
      </c>
      <c r="C1029" s="983" t="s">
        <v>4637</v>
      </c>
      <c r="D1029" s="983" t="s">
        <v>4639</v>
      </c>
      <c r="E1029" s="983">
        <v>47.11</v>
      </c>
      <c r="F1029" s="983">
        <v>8.0256999999999995E-2</v>
      </c>
      <c r="G1029" s="983">
        <v>0</v>
      </c>
      <c r="H1029" s="987">
        <v>3.0416666666666665E-3</v>
      </c>
      <c r="I1029" s="986">
        <f t="shared" si="7"/>
        <v>7.721533333333333E-2</v>
      </c>
      <c r="J1029" s="988">
        <v>40756</v>
      </c>
    </row>
    <row r="1030" spans="1:10" ht="13.8">
      <c r="A1030" s="983">
        <v>68</v>
      </c>
      <c r="B1030" s="988">
        <v>40787</v>
      </c>
      <c r="C1030" s="983" t="s">
        <v>4637</v>
      </c>
      <c r="D1030" s="983" t="s">
        <v>4639</v>
      </c>
      <c r="E1030" s="983">
        <v>42.57</v>
      </c>
      <c r="F1030" s="983">
        <v>-8.8729000000000002E-2</v>
      </c>
      <c r="G1030" s="983">
        <v>0.36</v>
      </c>
      <c r="H1030" s="987">
        <v>2.3583333300000002E-3</v>
      </c>
      <c r="I1030" s="986">
        <f t="shared" si="7"/>
        <v>-9.1087333330000006E-2</v>
      </c>
      <c r="J1030" s="988">
        <v>40787</v>
      </c>
    </row>
    <row r="1031" spans="1:10" ht="13.8">
      <c r="A1031" s="983">
        <v>68</v>
      </c>
      <c r="B1031" s="988">
        <v>40817</v>
      </c>
      <c r="C1031" s="983" t="s">
        <v>4637</v>
      </c>
      <c r="D1031" s="983" t="s">
        <v>4639</v>
      </c>
      <c r="E1031" s="983">
        <v>47.02</v>
      </c>
      <c r="F1031" s="983">
        <v>0.104534</v>
      </c>
      <c r="G1031" s="983">
        <v>0</v>
      </c>
      <c r="H1031" s="987">
        <v>2.3916666700000001E-3</v>
      </c>
      <c r="I1031" s="986">
        <f t="shared" si="7"/>
        <v>0.10214233333</v>
      </c>
      <c r="J1031" s="988">
        <v>40817</v>
      </c>
    </row>
    <row r="1032" spans="1:10" ht="13.8">
      <c r="A1032" s="983">
        <v>68</v>
      </c>
      <c r="B1032" s="988">
        <v>40848</v>
      </c>
      <c r="C1032" s="983" t="s">
        <v>4637</v>
      </c>
      <c r="D1032" s="983" t="s">
        <v>4639</v>
      </c>
      <c r="E1032" s="983">
        <v>47.31</v>
      </c>
      <c r="F1032" s="983">
        <v>6.1679999999999999E-3</v>
      </c>
      <c r="G1032" s="983">
        <v>0</v>
      </c>
      <c r="H1032" s="987">
        <v>2.26666667E-3</v>
      </c>
      <c r="I1032" s="986">
        <f t="shared" si="7"/>
        <v>3.9013333299999999E-3</v>
      </c>
      <c r="J1032" s="988">
        <v>40848</v>
      </c>
    </row>
    <row r="1033" spans="1:10" ht="13.8">
      <c r="A1033" s="983">
        <v>68</v>
      </c>
      <c r="B1033" s="988">
        <v>40878</v>
      </c>
      <c r="C1033" s="983" t="s">
        <v>4637</v>
      </c>
      <c r="D1033" s="983" t="s">
        <v>4639</v>
      </c>
      <c r="E1033" s="983">
        <v>49.2</v>
      </c>
      <c r="F1033" s="983">
        <v>4.7981000000000003E-2</v>
      </c>
      <c r="G1033" s="983">
        <v>0.38</v>
      </c>
      <c r="H1033" s="987">
        <v>2.4833333333333335E-3</v>
      </c>
      <c r="I1033" s="986">
        <f t="shared" si="7"/>
        <v>4.5497666666666672E-2</v>
      </c>
      <c r="J1033" s="988">
        <v>40878</v>
      </c>
    </row>
    <row r="1034" spans="1:10" ht="13.8">
      <c r="A1034" s="983">
        <v>68</v>
      </c>
      <c r="B1034" s="988">
        <v>40909</v>
      </c>
      <c r="C1034" s="983" t="s">
        <v>4637</v>
      </c>
      <c r="D1034" s="983" t="s">
        <v>4639</v>
      </c>
      <c r="E1034" s="983">
        <v>47.72</v>
      </c>
      <c r="F1034" s="983">
        <v>-3.0081E-2</v>
      </c>
      <c r="G1034" s="983">
        <v>0</v>
      </c>
      <c r="H1034" s="987">
        <v>2.0999999999999999E-3</v>
      </c>
      <c r="I1034" s="986">
        <f t="shared" si="7"/>
        <v>-3.2181000000000001E-2</v>
      </c>
      <c r="J1034" s="988">
        <v>40909</v>
      </c>
    </row>
    <row r="1035" spans="1:10" ht="13.8">
      <c r="A1035" s="983">
        <v>68</v>
      </c>
      <c r="B1035" s="988">
        <v>40940</v>
      </c>
      <c r="C1035" s="983" t="s">
        <v>4637</v>
      </c>
      <c r="D1035" s="983" t="s">
        <v>4639</v>
      </c>
      <c r="E1035" s="983">
        <v>46.69</v>
      </c>
      <c r="F1035" s="983">
        <v>-2.1583999999999999E-2</v>
      </c>
      <c r="G1035" s="983">
        <v>0</v>
      </c>
      <c r="H1035" s="987">
        <v>2E-3</v>
      </c>
      <c r="I1035" s="986">
        <f t="shared" si="7"/>
        <v>-2.3584000000000001E-2</v>
      </c>
      <c r="J1035" s="988">
        <v>40940</v>
      </c>
    </row>
    <row r="1036" spans="1:10" ht="13.8">
      <c r="A1036" s="983">
        <v>68</v>
      </c>
      <c r="B1036" s="988">
        <v>40969</v>
      </c>
      <c r="C1036" s="983" t="s">
        <v>4637</v>
      </c>
      <c r="D1036" s="983" t="s">
        <v>4639</v>
      </c>
      <c r="E1036" s="983">
        <v>44.57</v>
      </c>
      <c r="F1036" s="983">
        <v>-3.7267000000000002E-2</v>
      </c>
      <c r="G1036" s="983">
        <v>0.38</v>
      </c>
      <c r="H1036" s="987">
        <v>2.2000000000000001E-3</v>
      </c>
      <c r="I1036" s="986">
        <f t="shared" si="7"/>
        <v>-3.9467000000000002E-2</v>
      </c>
      <c r="J1036" s="988">
        <v>40969</v>
      </c>
    </row>
    <row r="1037" spans="1:10" ht="13.8">
      <c r="A1037" s="983">
        <v>68</v>
      </c>
      <c r="B1037" s="988">
        <v>41000</v>
      </c>
      <c r="C1037" s="983" t="s">
        <v>4637</v>
      </c>
      <c r="D1037" s="983" t="s">
        <v>4639</v>
      </c>
      <c r="E1037" s="983">
        <v>43.24</v>
      </c>
      <c r="F1037" s="983">
        <v>-2.9840999999999999E-2</v>
      </c>
      <c r="G1037" s="983">
        <v>0</v>
      </c>
      <c r="H1037" s="987">
        <v>2.5000000000000001E-3</v>
      </c>
      <c r="I1037" s="986">
        <f t="shared" si="7"/>
        <v>-3.2341000000000002E-2</v>
      </c>
      <c r="J1037" s="988">
        <v>41000</v>
      </c>
    </row>
    <row r="1038" spans="1:10" ht="13.8">
      <c r="A1038" s="983">
        <v>68</v>
      </c>
      <c r="B1038" s="988">
        <v>41030</v>
      </c>
      <c r="C1038" s="983" t="s">
        <v>4637</v>
      </c>
      <c r="D1038" s="983" t="s">
        <v>4639</v>
      </c>
      <c r="E1038" s="983">
        <v>41.98</v>
      </c>
      <c r="F1038" s="983">
        <v>-2.9139999999999999E-2</v>
      </c>
      <c r="G1038" s="983">
        <v>0</v>
      </c>
      <c r="H1038" s="987">
        <v>2.3E-3</v>
      </c>
      <c r="I1038" s="986">
        <f t="shared" si="7"/>
        <v>-3.1439999999999996E-2</v>
      </c>
      <c r="J1038" s="988">
        <v>41030</v>
      </c>
    </row>
    <row r="1039" spans="1:10" ht="13.8">
      <c r="A1039" s="983">
        <v>68</v>
      </c>
      <c r="B1039" s="988">
        <v>41061</v>
      </c>
      <c r="C1039" s="983" t="s">
        <v>4637</v>
      </c>
      <c r="D1039" s="983" t="s">
        <v>4639</v>
      </c>
      <c r="E1039" s="983">
        <v>43.61</v>
      </c>
      <c r="F1039" s="983">
        <v>4.7879999999999999E-2</v>
      </c>
      <c r="G1039" s="983">
        <v>0.38</v>
      </c>
      <c r="H1039" s="987">
        <v>1.8E-3</v>
      </c>
      <c r="I1039" s="986">
        <f t="shared" si="7"/>
        <v>4.6079999999999996E-2</v>
      </c>
      <c r="J1039" s="988">
        <v>41061</v>
      </c>
    </row>
    <row r="1040" spans="1:10" ht="13.8">
      <c r="B1040" s="988">
        <v>41091</v>
      </c>
      <c r="C1040" s="983" t="s">
        <v>4637</v>
      </c>
      <c r="D1040" s="983" t="s">
        <v>4639</v>
      </c>
      <c r="E1040" s="983">
        <v>45.9</v>
      </c>
      <c r="F1040" s="987">
        <f t="shared" ref="F1040:F1071" si="8">((E1040-E1039)/E1039)+(G1040/E1039)</f>
        <v>5.2510891997248316E-2</v>
      </c>
      <c r="G1040" s="987">
        <v>0</v>
      </c>
      <c r="H1040" s="987">
        <v>2E-3</v>
      </c>
      <c r="I1040" s="986">
        <f t="shared" si="7"/>
        <v>5.0510891997248314E-2</v>
      </c>
      <c r="J1040" s="988">
        <v>41091</v>
      </c>
    </row>
    <row r="1041" spans="2:10" ht="13.8">
      <c r="B1041" s="988">
        <v>41122</v>
      </c>
      <c r="C1041" s="983" t="s">
        <v>4637</v>
      </c>
      <c r="D1041" s="983" t="s">
        <v>4639</v>
      </c>
      <c r="E1041" s="983">
        <v>44.81</v>
      </c>
      <c r="F1041" s="987">
        <f t="shared" si="8"/>
        <v>-2.374727668845308E-2</v>
      </c>
      <c r="G1041" s="987">
        <v>0</v>
      </c>
      <c r="H1041" s="987">
        <v>1.8E-3</v>
      </c>
      <c r="I1041" s="986">
        <f t="shared" si="7"/>
        <v>-2.554727668845308E-2</v>
      </c>
      <c r="J1041" s="988">
        <v>41122</v>
      </c>
    </row>
    <row r="1042" spans="2:10" ht="13.8">
      <c r="B1042" s="988">
        <v>41153</v>
      </c>
      <c r="C1042" s="983" t="s">
        <v>4637</v>
      </c>
      <c r="D1042" s="983" t="s">
        <v>4639</v>
      </c>
      <c r="E1042" s="987">
        <v>45.72</v>
      </c>
      <c r="F1042" s="987">
        <f t="shared" si="8"/>
        <v>3.7714795804507845E-2</v>
      </c>
      <c r="G1042" s="987">
        <v>0.78</v>
      </c>
      <c r="H1042" s="987">
        <v>1.6999999999999999E-3</v>
      </c>
      <c r="I1042" s="986">
        <f t="shared" si="7"/>
        <v>3.6014795804507845E-2</v>
      </c>
      <c r="J1042" s="988">
        <v>41153</v>
      </c>
    </row>
    <row r="1043" spans="2:10" ht="13.8">
      <c r="B1043" s="988">
        <v>41183</v>
      </c>
      <c r="C1043" s="983" t="s">
        <v>4637</v>
      </c>
      <c r="D1043" s="983" t="s">
        <v>4639</v>
      </c>
      <c r="E1043" s="987">
        <v>44.46</v>
      </c>
      <c r="F1043" s="987">
        <f t="shared" si="8"/>
        <v>-2.7559055118110194E-2</v>
      </c>
      <c r="G1043" s="987">
        <v>0</v>
      </c>
      <c r="H1043" s="987">
        <v>2.0999999999999999E-3</v>
      </c>
      <c r="I1043" s="986">
        <f t="shared" si="7"/>
        <v>-2.9659055118110195E-2</v>
      </c>
      <c r="J1043" s="988">
        <v>41183</v>
      </c>
    </row>
    <row r="1044" spans="2:10" ht="13.8">
      <c r="B1044" s="988">
        <v>41214</v>
      </c>
      <c r="C1044" s="983" t="s">
        <v>4637</v>
      </c>
      <c r="D1044" s="983" t="s">
        <v>4639</v>
      </c>
      <c r="E1044" s="987">
        <v>40.58</v>
      </c>
      <c r="F1044" s="987">
        <f t="shared" si="8"/>
        <v>-8.7269455690508382E-2</v>
      </c>
      <c r="G1044" s="987">
        <v>0</v>
      </c>
      <c r="H1044" s="987">
        <v>1.9E-3</v>
      </c>
      <c r="I1044" s="986">
        <f t="shared" si="7"/>
        <v>-8.9169455690508381E-2</v>
      </c>
      <c r="J1044" s="988">
        <v>41214</v>
      </c>
    </row>
    <row r="1045" spans="2:10" ht="13.8">
      <c r="B1045" s="988">
        <v>41244</v>
      </c>
      <c r="C1045" s="983" t="s">
        <v>4637</v>
      </c>
      <c r="D1045" s="983" t="s">
        <v>4639</v>
      </c>
      <c r="E1045" s="987">
        <v>39.619999999999997</v>
      </c>
      <c r="F1045" s="987">
        <f t="shared" si="8"/>
        <v>-1.3799901429275525E-2</v>
      </c>
      <c r="G1045" s="987">
        <v>0.4</v>
      </c>
      <c r="H1045" s="987">
        <v>1.9E-3</v>
      </c>
      <c r="I1045" s="986">
        <f t="shared" si="7"/>
        <v>-1.5699901429275524E-2</v>
      </c>
      <c r="J1045" s="988">
        <v>41244</v>
      </c>
    </row>
    <row r="1046" spans="2:10" ht="13.8">
      <c r="B1046" s="988">
        <v>41275</v>
      </c>
      <c r="C1046" s="983" t="s">
        <v>4637</v>
      </c>
      <c r="D1046" s="983" t="s">
        <v>4639</v>
      </c>
      <c r="E1046" s="987">
        <v>42.06</v>
      </c>
      <c r="F1046" s="987">
        <f t="shared" si="8"/>
        <v>6.1585058051489276E-2</v>
      </c>
      <c r="G1046" s="987">
        <v>0</v>
      </c>
      <c r="H1046" s="987">
        <v>2.2000000000000001E-3</v>
      </c>
      <c r="I1046" s="986">
        <f t="shared" si="7"/>
        <v>5.9385058051489276E-2</v>
      </c>
      <c r="J1046" s="988">
        <v>41275</v>
      </c>
    </row>
    <row r="1047" spans="2:10" ht="13.8">
      <c r="B1047" s="988">
        <v>41306</v>
      </c>
      <c r="C1047" s="983" t="s">
        <v>4637</v>
      </c>
      <c r="D1047" s="983" t="s">
        <v>4639</v>
      </c>
      <c r="E1047" s="987">
        <v>44.56</v>
      </c>
      <c r="F1047" s="987">
        <f t="shared" si="8"/>
        <v>5.9438896814075125E-2</v>
      </c>
      <c r="G1047" s="987">
        <v>0</v>
      </c>
      <c r="H1047" s="987">
        <v>2.2000000000000001E-3</v>
      </c>
      <c r="I1047" s="986">
        <f t="shared" si="7"/>
        <v>5.7238896814075124E-2</v>
      </c>
      <c r="J1047" s="988">
        <v>41306</v>
      </c>
    </row>
    <row r="1048" spans="2:10" ht="13.8">
      <c r="B1048" s="988">
        <v>41334</v>
      </c>
      <c r="C1048" s="983" t="s">
        <v>4637</v>
      </c>
      <c r="D1048" s="983" t="s">
        <v>4639</v>
      </c>
      <c r="E1048" s="987">
        <v>44.85</v>
      </c>
      <c r="F1048" s="987">
        <f t="shared" si="8"/>
        <v>1.5484739676840196E-2</v>
      </c>
      <c r="G1048" s="987">
        <v>0.4</v>
      </c>
      <c r="H1048" s="987">
        <v>2.0999999999999999E-3</v>
      </c>
      <c r="I1048" s="986">
        <f t="shared" si="7"/>
        <v>1.3384739676840196E-2</v>
      </c>
      <c r="J1048" s="988">
        <v>41334</v>
      </c>
    </row>
    <row r="1049" spans="2:10" ht="13.8">
      <c r="B1049" s="988">
        <v>41365</v>
      </c>
      <c r="C1049" s="983" t="s">
        <v>4637</v>
      </c>
      <c r="D1049" s="983" t="s">
        <v>4639</v>
      </c>
      <c r="E1049" s="987">
        <v>47.2</v>
      </c>
      <c r="F1049" s="987">
        <f t="shared" si="8"/>
        <v>5.2396878483835035E-2</v>
      </c>
      <c r="G1049" s="987">
        <v>0</v>
      </c>
      <c r="H1049" s="987">
        <v>2.5999999999999999E-3</v>
      </c>
      <c r="I1049" s="986">
        <f t="shared" si="7"/>
        <v>4.9796878483835037E-2</v>
      </c>
      <c r="J1049" s="988">
        <v>41365</v>
      </c>
    </row>
    <row r="1050" spans="2:10" ht="13.8">
      <c r="B1050" s="988">
        <v>41395</v>
      </c>
      <c r="C1050" s="983" t="s">
        <v>4637</v>
      </c>
      <c r="D1050" s="983" t="s">
        <v>4639</v>
      </c>
      <c r="E1050" s="987">
        <v>45.38</v>
      </c>
      <c r="F1050" s="987">
        <f t="shared" si="8"/>
        <v>-3.8559322033898308E-2</v>
      </c>
      <c r="G1050" s="987">
        <v>0</v>
      </c>
      <c r="H1050" s="987">
        <v>2.3E-3</v>
      </c>
      <c r="I1050" s="986">
        <f t="shared" si="7"/>
        <v>-4.0859322033898304E-2</v>
      </c>
      <c r="J1050" s="988">
        <v>41395</v>
      </c>
    </row>
    <row r="1051" spans="2:10" ht="13.8">
      <c r="B1051" s="988">
        <v>41426</v>
      </c>
      <c r="C1051" s="983" t="s">
        <v>4637</v>
      </c>
      <c r="D1051" s="983" t="s">
        <v>4639</v>
      </c>
      <c r="E1051" s="987">
        <v>41.53</v>
      </c>
      <c r="F1051" s="987">
        <f t="shared" si="8"/>
        <v>-7.6024680475980627E-2</v>
      </c>
      <c r="G1051" s="987">
        <v>0.4</v>
      </c>
      <c r="H1051" s="987">
        <v>2.3999999999999998E-3</v>
      </c>
      <c r="I1051" s="986">
        <f t="shared" si="7"/>
        <v>-7.8424680475980627E-2</v>
      </c>
      <c r="J1051" s="988">
        <v>41426</v>
      </c>
    </row>
    <row r="1052" spans="2:10" ht="13.8">
      <c r="B1052" s="988">
        <v>41456</v>
      </c>
      <c r="C1052" s="983" t="s">
        <v>4637</v>
      </c>
      <c r="D1052" s="983" t="s">
        <v>4639</v>
      </c>
      <c r="E1052" s="987">
        <v>44.76</v>
      </c>
      <c r="F1052" s="987">
        <f t="shared" si="8"/>
        <v>7.7775102335660887E-2</v>
      </c>
      <c r="G1052" s="987">
        <v>0</v>
      </c>
      <c r="H1052" s="987">
        <v>3.0000000000000001E-3</v>
      </c>
      <c r="I1052" s="986">
        <f t="shared" si="7"/>
        <v>7.4775102335660884E-2</v>
      </c>
      <c r="J1052" s="988">
        <v>41456</v>
      </c>
    </row>
    <row r="1053" spans="2:10" ht="13.8">
      <c r="B1053" s="988">
        <v>41487</v>
      </c>
      <c r="C1053" s="983" t="s">
        <v>4637</v>
      </c>
      <c r="D1053" s="983" t="s">
        <v>4639</v>
      </c>
      <c r="E1053" s="987">
        <v>43.08</v>
      </c>
      <c r="F1053" s="987">
        <f t="shared" si="8"/>
        <v>-3.7533512064343161E-2</v>
      </c>
      <c r="G1053" s="987">
        <v>0</v>
      </c>
      <c r="H1053" s="987">
        <v>2.8E-3</v>
      </c>
      <c r="I1053" s="986">
        <f t="shared" si="7"/>
        <v>-4.0333512064343158E-2</v>
      </c>
      <c r="J1053" s="988">
        <v>41487</v>
      </c>
    </row>
    <row r="1054" spans="2:10" ht="13.8">
      <c r="B1054" s="988">
        <v>41518</v>
      </c>
      <c r="C1054" s="983" t="s">
        <v>4637</v>
      </c>
      <c r="D1054" s="983" t="s">
        <v>4639</v>
      </c>
      <c r="E1054" s="987">
        <v>44.05</v>
      </c>
      <c r="F1054" s="987">
        <f t="shared" si="8"/>
        <v>3.2265552460538506E-2</v>
      </c>
      <c r="G1054" s="987">
        <v>0.42</v>
      </c>
      <c r="H1054" s="987">
        <v>2.8999999999999998E-3</v>
      </c>
      <c r="I1054" s="986">
        <f t="shared" si="7"/>
        <v>2.9365552460538506E-2</v>
      </c>
      <c r="J1054" s="988">
        <v>41518</v>
      </c>
    </row>
    <row r="1055" spans="2:10" ht="13.8">
      <c r="B1055" s="988">
        <v>41548</v>
      </c>
      <c r="C1055" s="983" t="s">
        <v>4637</v>
      </c>
      <c r="D1055" s="983" t="s">
        <v>4639</v>
      </c>
      <c r="E1055" s="987">
        <v>46.03</v>
      </c>
      <c r="F1055" s="987">
        <f t="shared" si="8"/>
        <v>4.4948921679909284E-2</v>
      </c>
      <c r="G1055" s="987">
        <v>0</v>
      </c>
      <c r="H1055" s="987">
        <v>2.8999999999999998E-3</v>
      </c>
      <c r="I1055" s="986">
        <f t="shared" si="7"/>
        <v>4.2048921679909285E-2</v>
      </c>
      <c r="J1055" s="988">
        <v>41548</v>
      </c>
    </row>
    <row r="1056" spans="2:10" ht="13.8">
      <c r="B1056" s="988">
        <v>41579</v>
      </c>
      <c r="C1056" s="983" t="s">
        <v>4637</v>
      </c>
      <c r="D1056" s="983" t="s">
        <v>4639</v>
      </c>
      <c r="E1056" s="987">
        <v>45.69</v>
      </c>
      <c r="F1056" s="987">
        <f t="shared" si="8"/>
        <v>-7.3864870736476953E-3</v>
      </c>
      <c r="G1056" s="987">
        <v>0</v>
      </c>
      <c r="H1056" s="987">
        <v>2.7000000000000001E-3</v>
      </c>
      <c r="I1056" s="986">
        <f t="shared" si="7"/>
        <v>-1.0086487073647695E-2</v>
      </c>
      <c r="J1056" s="988">
        <v>41579</v>
      </c>
    </row>
    <row r="1057" spans="2:12" ht="13.8">
      <c r="B1057" s="988">
        <v>41609</v>
      </c>
      <c r="C1057" s="983" t="s">
        <v>4637</v>
      </c>
      <c r="D1057" s="983" t="s">
        <v>4639</v>
      </c>
      <c r="E1057" s="987">
        <v>46.24</v>
      </c>
      <c r="F1057" s="987">
        <f t="shared" si="8"/>
        <v>2.1230028452615547E-2</v>
      </c>
      <c r="G1057" s="987">
        <v>0.42</v>
      </c>
      <c r="H1057" s="987">
        <v>3.0999999999999999E-3</v>
      </c>
      <c r="I1057" s="986">
        <f t="shared" si="7"/>
        <v>1.8130028452615549E-2</v>
      </c>
      <c r="J1057" s="988">
        <v>41609</v>
      </c>
    </row>
    <row r="1058" spans="2:12" ht="13.8">
      <c r="B1058" s="988">
        <v>41640</v>
      </c>
      <c r="C1058" s="983" t="s">
        <v>4637</v>
      </c>
      <c r="D1058" s="983" t="s">
        <v>4639</v>
      </c>
      <c r="E1058" s="987">
        <v>45.6</v>
      </c>
      <c r="F1058" s="987">
        <f t="shared" si="8"/>
        <v>-1.3840830449827002E-2</v>
      </c>
      <c r="G1058" s="987">
        <v>0</v>
      </c>
      <c r="H1058" s="987">
        <v>3.2000000000000002E-3</v>
      </c>
      <c r="I1058" s="986">
        <f t="shared" si="7"/>
        <v>-1.7040830449827002E-2</v>
      </c>
      <c r="J1058" s="988">
        <v>41640</v>
      </c>
    </row>
    <row r="1059" spans="2:12" ht="13.8">
      <c r="B1059" s="988">
        <v>41671</v>
      </c>
      <c r="C1059" s="983" t="s">
        <v>4637</v>
      </c>
      <c r="D1059" s="983" t="s">
        <v>4639</v>
      </c>
      <c r="E1059" s="987">
        <v>45.01</v>
      </c>
      <c r="F1059" s="987">
        <f t="shared" si="8"/>
        <v>-1.2938596491228145E-2</v>
      </c>
      <c r="G1059" s="987">
        <v>0</v>
      </c>
      <c r="H1059" s="987">
        <v>2.5999999999999999E-3</v>
      </c>
      <c r="I1059" s="986">
        <f t="shared" si="7"/>
        <v>-1.5538596491228145E-2</v>
      </c>
      <c r="J1059" s="988">
        <v>41671</v>
      </c>
    </row>
    <row r="1060" spans="2:12" ht="13.8">
      <c r="B1060" s="988">
        <v>41699</v>
      </c>
      <c r="C1060" s="983" t="s">
        <v>4637</v>
      </c>
      <c r="D1060" s="983" t="s">
        <v>4639</v>
      </c>
      <c r="E1060" s="987">
        <v>49.8</v>
      </c>
      <c r="F1060" s="987">
        <f t="shared" si="8"/>
        <v>0.11575205509886691</v>
      </c>
      <c r="G1060" s="987">
        <v>0.42</v>
      </c>
      <c r="H1060" s="987">
        <v>2.8999999999999998E-3</v>
      </c>
      <c r="I1060" s="986">
        <f t="shared" si="7"/>
        <v>0.11285205509886691</v>
      </c>
      <c r="J1060" s="988">
        <v>41699</v>
      </c>
    </row>
    <row r="1061" spans="2:12" ht="13.8">
      <c r="B1061" s="988">
        <v>41730</v>
      </c>
      <c r="C1061" s="983" t="s">
        <v>4637</v>
      </c>
      <c r="D1061" s="983" t="s">
        <v>4639</v>
      </c>
      <c r="E1061" s="983">
        <v>49.73</v>
      </c>
      <c r="F1061" s="987">
        <f t="shared" si="8"/>
        <v>-1.4056224899598451E-3</v>
      </c>
      <c r="G1061" s="987">
        <v>0</v>
      </c>
      <c r="H1061" s="987">
        <v>2.8E-3</v>
      </c>
      <c r="I1061" s="986">
        <f t="shared" si="7"/>
        <v>-4.2056224899598453E-3</v>
      </c>
      <c r="J1061" s="988">
        <v>41730</v>
      </c>
    </row>
    <row r="1062" spans="2:12" ht="13.8">
      <c r="B1062" s="988">
        <v>41760</v>
      </c>
      <c r="C1062" s="983" t="s">
        <v>4637</v>
      </c>
      <c r="D1062" s="983" t="s">
        <v>4639</v>
      </c>
      <c r="E1062" s="983">
        <v>55.01</v>
      </c>
      <c r="F1062" s="987">
        <f t="shared" si="8"/>
        <v>0.10617333601447822</v>
      </c>
      <c r="G1062" s="987">
        <v>0</v>
      </c>
      <c r="H1062" s="987">
        <v>2.8E-3</v>
      </c>
      <c r="I1062" s="986">
        <f t="shared" si="7"/>
        <v>0.10337333601447822</v>
      </c>
      <c r="J1062" s="988">
        <v>41760</v>
      </c>
    </row>
    <row r="1063" spans="2:12" ht="13.8">
      <c r="B1063" s="988">
        <v>41791</v>
      </c>
      <c r="C1063" s="983" t="s">
        <v>4637</v>
      </c>
      <c r="D1063" s="983" t="s">
        <v>4639</v>
      </c>
      <c r="E1063" s="983">
        <v>57.16</v>
      </c>
      <c r="F1063" s="987">
        <f t="shared" si="8"/>
        <v>4.6718778403926534E-2</v>
      </c>
      <c r="G1063" s="987">
        <v>0.42</v>
      </c>
      <c r="H1063" s="987">
        <v>2.5000000000000001E-3</v>
      </c>
      <c r="I1063" s="986">
        <f t="shared" si="7"/>
        <v>4.4218778403926531E-2</v>
      </c>
      <c r="J1063" s="988">
        <v>41791</v>
      </c>
    </row>
    <row r="1064" spans="2:12" ht="14.4">
      <c r="B1064" s="988">
        <v>41821</v>
      </c>
      <c r="C1064" s="983" t="s">
        <v>4637</v>
      </c>
      <c r="D1064" s="983" t="s">
        <v>4639</v>
      </c>
      <c r="E1064" s="994">
        <v>51.08</v>
      </c>
      <c r="F1064" s="987">
        <f t="shared" si="8"/>
        <v>-0.10636808957312804</v>
      </c>
      <c r="G1064" s="987">
        <v>0</v>
      </c>
      <c r="H1064" s="987">
        <v>2.7000000000000001E-3</v>
      </c>
      <c r="I1064" s="986">
        <f t="shared" si="7"/>
        <v>-0.10906808957312804</v>
      </c>
      <c r="J1064" s="988">
        <v>41821</v>
      </c>
    </row>
    <row r="1065" spans="2:12" ht="14.4">
      <c r="B1065" s="988">
        <v>41852</v>
      </c>
      <c r="C1065" s="983" t="s">
        <v>4637</v>
      </c>
      <c r="D1065" s="983" t="s">
        <v>4639</v>
      </c>
      <c r="E1065" s="994">
        <v>52.23</v>
      </c>
      <c r="F1065" s="987">
        <f t="shared" si="8"/>
        <v>2.2513703993735291E-2</v>
      </c>
      <c r="G1065" s="987">
        <v>0</v>
      </c>
      <c r="H1065" s="987">
        <v>2.5999999999999999E-3</v>
      </c>
      <c r="I1065" s="986">
        <f t="shared" si="7"/>
        <v>1.9913703993735293E-2</v>
      </c>
      <c r="J1065" s="988">
        <v>41852</v>
      </c>
    </row>
    <row r="1066" spans="2:12" ht="14.4">
      <c r="B1066" s="988">
        <v>41883</v>
      </c>
      <c r="C1066" s="983" t="s">
        <v>4637</v>
      </c>
      <c r="D1066" s="983" t="s">
        <v>4639</v>
      </c>
      <c r="E1066" s="994">
        <v>50.51</v>
      </c>
      <c r="F1066" s="987">
        <f t="shared" si="8"/>
        <v>-2.4315527474631417E-2</v>
      </c>
      <c r="G1066" s="987">
        <v>0.45</v>
      </c>
      <c r="H1066" s="987">
        <v>2.3E-3</v>
      </c>
      <c r="I1066" s="986">
        <f t="shared" si="7"/>
        <v>-2.6615527474631417E-2</v>
      </c>
      <c r="J1066" s="988">
        <v>41883</v>
      </c>
    </row>
    <row r="1067" spans="2:12" ht="14.4">
      <c r="B1067" s="988">
        <v>41913</v>
      </c>
      <c r="C1067" s="983" t="s">
        <v>4637</v>
      </c>
      <c r="D1067" s="983" t="s">
        <v>4639</v>
      </c>
      <c r="E1067" s="994">
        <v>58.48</v>
      </c>
      <c r="F1067" s="987">
        <f t="shared" si="8"/>
        <v>0.15779053652742028</v>
      </c>
      <c r="G1067" s="987">
        <v>0</v>
      </c>
      <c r="H1067" s="987">
        <v>2.5000000000000001E-3</v>
      </c>
      <c r="I1067" s="986">
        <f t="shared" si="7"/>
        <v>0.15529053652742028</v>
      </c>
      <c r="J1067" s="988">
        <v>41913</v>
      </c>
    </row>
    <row r="1068" spans="2:12" ht="14.4">
      <c r="B1068" s="988">
        <v>41944</v>
      </c>
      <c r="C1068" s="983" t="s">
        <v>4637</v>
      </c>
      <c r="D1068" s="983" t="s">
        <v>4639</v>
      </c>
      <c r="E1068" s="994">
        <v>57.9</v>
      </c>
      <c r="F1068" s="987">
        <f t="shared" si="8"/>
        <v>-9.917920656634719E-3</v>
      </c>
      <c r="G1068" s="987">
        <v>0</v>
      </c>
      <c r="H1068" s="987">
        <v>2.3E-3</v>
      </c>
      <c r="I1068" s="986">
        <f t="shared" si="7"/>
        <v>-1.2217920656634719E-2</v>
      </c>
      <c r="J1068" s="988">
        <v>41944</v>
      </c>
    </row>
    <row r="1069" spans="2:12" ht="14.4">
      <c r="B1069" s="988">
        <v>41974</v>
      </c>
      <c r="C1069" s="983" t="s">
        <v>4637</v>
      </c>
      <c r="D1069" s="983" t="s">
        <v>4639</v>
      </c>
      <c r="E1069" s="994">
        <v>61.2</v>
      </c>
      <c r="F1069" s="987">
        <f t="shared" si="8"/>
        <v>6.4766839378238419E-2</v>
      </c>
      <c r="G1069" s="987">
        <v>0.45</v>
      </c>
      <c r="H1069" s="987">
        <v>2.2000000000000001E-3</v>
      </c>
      <c r="I1069" s="986">
        <f t="shared" si="7"/>
        <v>6.2566839378238426E-2</v>
      </c>
      <c r="J1069" s="988">
        <v>41974</v>
      </c>
    </row>
    <row r="1070" spans="2:12" ht="14.4">
      <c r="B1070" s="988">
        <v>42005</v>
      </c>
      <c r="C1070" s="983" t="s">
        <v>4637</v>
      </c>
      <c r="D1070" s="983" t="s">
        <v>4639</v>
      </c>
      <c r="E1070" s="994">
        <v>63.88</v>
      </c>
      <c r="F1070" s="987">
        <f t="shared" si="8"/>
        <v>4.3790849673202605E-2</v>
      </c>
      <c r="G1070" s="987">
        <v>0</v>
      </c>
      <c r="H1070" s="987">
        <v>2E-3</v>
      </c>
      <c r="I1070" s="986">
        <f t="shared" si="7"/>
        <v>4.1790849673202603E-2</v>
      </c>
      <c r="J1070" s="988">
        <v>42005</v>
      </c>
    </row>
    <row r="1071" spans="2:12" ht="13.8">
      <c r="B1071" s="988">
        <v>42036</v>
      </c>
      <c r="C1071" s="983" t="s">
        <v>4637</v>
      </c>
      <c r="D1071" s="983" t="s">
        <v>4639</v>
      </c>
      <c r="E1071" s="987">
        <v>62.58</v>
      </c>
      <c r="F1071" s="987">
        <f t="shared" si="8"/>
        <v>-2.0350657482780279E-2</v>
      </c>
      <c r="G1071" s="987">
        <v>0</v>
      </c>
      <c r="H1071" s="987">
        <v>1.5E-3</v>
      </c>
      <c r="I1071" s="986">
        <f t="shared" si="7"/>
        <v>-2.185065748278028E-2</v>
      </c>
      <c r="J1071" s="988">
        <v>42036</v>
      </c>
    </row>
    <row r="1072" spans="2:12" ht="13.8">
      <c r="B1072" s="988">
        <v>42064</v>
      </c>
      <c r="C1072" s="983" t="s">
        <v>4637</v>
      </c>
      <c r="D1072" s="983" t="s">
        <v>4639</v>
      </c>
      <c r="E1072" s="987">
        <v>31.06</v>
      </c>
      <c r="F1072" s="987">
        <f>((E1072-(E1071/2))/(E1071/2))+(G1072/(E1071/2))</f>
        <v>-1.5979546180889832E-4</v>
      </c>
      <c r="G1072" s="987">
        <v>0.22500000000000001</v>
      </c>
      <c r="H1072" s="987">
        <v>2.0999999999999999E-3</v>
      </c>
      <c r="I1072" s="986">
        <f t="shared" si="7"/>
        <v>-2.2597954618088982E-3</v>
      </c>
      <c r="J1072" s="988">
        <v>42064</v>
      </c>
      <c r="L1072" s="987" t="s">
        <v>4640</v>
      </c>
    </row>
    <row r="1073" spans="2:10" ht="13.8">
      <c r="B1073" s="988">
        <v>42095</v>
      </c>
      <c r="C1073" s="983" t="s">
        <v>4637</v>
      </c>
      <c r="D1073" s="983" t="s">
        <v>4639</v>
      </c>
      <c r="E1073" s="987">
        <v>30.51</v>
      </c>
      <c r="F1073" s="987">
        <f t="shared" ref="F1073:F1136" si="9">((E1073-E1072)/E1072)+(G1073/E1072)</f>
        <v>-1.7707662588538221E-2</v>
      </c>
      <c r="G1073" s="987">
        <v>0</v>
      </c>
      <c r="H1073" s="987">
        <v>1.9E-3</v>
      </c>
      <c r="I1073" s="986">
        <f t="shared" si="7"/>
        <v>-1.960766258853822E-2</v>
      </c>
      <c r="J1073" s="988">
        <v>42095</v>
      </c>
    </row>
    <row r="1074" spans="2:10" ht="13.8">
      <c r="B1074" s="988">
        <v>42125</v>
      </c>
      <c r="C1074" s="983" t="s">
        <v>4637</v>
      </c>
      <c r="D1074" s="983" t="s">
        <v>4639</v>
      </c>
      <c r="E1074" s="987">
        <v>30.07</v>
      </c>
      <c r="F1074" s="987">
        <f t="shared" si="9"/>
        <v>-1.4421501147164905E-2</v>
      </c>
      <c r="G1074" s="987">
        <v>0</v>
      </c>
      <c r="H1074" s="987">
        <v>2E-3</v>
      </c>
      <c r="I1074" s="986">
        <f t="shared" si="7"/>
        <v>-1.6421501147164903E-2</v>
      </c>
      <c r="J1074" s="988">
        <v>42125</v>
      </c>
    </row>
    <row r="1075" spans="2:10" ht="13.8">
      <c r="B1075" s="988">
        <v>42156</v>
      </c>
      <c r="C1075" s="983" t="s">
        <v>4637</v>
      </c>
      <c r="D1075" s="983" t="s">
        <v>4639</v>
      </c>
      <c r="E1075" s="987">
        <v>27.55</v>
      </c>
      <c r="F1075" s="987">
        <f t="shared" si="9"/>
        <v>-7.6321915530428983E-2</v>
      </c>
      <c r="G1075" s="987">
        <v>0.22500000000000001</v>
      </c>
      <c r="H1075" s="987">
        <v>2.3E-3</v>
      </c>
      <c r="I1075" s="986">
        <f t="shared" si="7"/>
        <v>-7.8621915530428979E-2</v>
      </c>
      <c r="J1075" s="988">
        <f t="shared" ref="J1075:J1138" si="10">B1075</f>
        <v>42156</v>
      </c>
    </row>
    <row r="1076" spans="2:10" ht="13.8">
      <c r="B1076" s="988">
        <v>42186</v>
      </c>
      <c r="C1076" s="983" t="s">
        <v>4637</v>
      </c>
      <c r="D1076" s="983" t="s">
        <v>4639</v>
      </c>
      <c r="E1076" s="987">
        <v>28.9</v>
      </c>
      <c r="F1076" s="987">
        <f t="shared" si="9"/>
        <v>4.9001814882032591E-2</v>
      </c>
      <c r="G1076" s="987">
        <v>0</v>
      </c>
      <c r="H1076" s="987">
        <v>2.3999999999999998E-3</v>
      </c>
      <c r="I1076" s="986">
        <f t="shared" si="7"/>
        <v>4.6601814882032591E-2</v>
      </c>
      <c r="J1076" s="988">
        <f t="shared" si="10"/>
        <v>42186</v>
      </c>
    </row>
    <row r="1077" spans="2:10" ht="13.8">
      <c r="B1077" s="988">
        <v>42217</v>
      </c>
      <c r="C1077" s="983" t="s">
        <v>4637</v>
      </c>
      <c r="D1077" s="983" t="s">
        <v>4639</v>
      </c>
      <c r="E1077" s="987">
        <v>28.27</v>
      </c>
      <c r="F1077" s="987">
        <f t="shared" si="9"/>
        <v>-2.1799307958477475E-2</v>
      </c>
      <c r="G1077" s="987">
        <v>0</v>
      </c>
      <c r="H1077" s="987">
        <v>2.2000000000000001E-3</v>
      </c>
      <c r="I1077" s="986">
        <f t="shared" si="7"/>
        <v>-2.3999307958477475E-2</v>
      </c>
      <c r="J1077" s="988">
        <f t="shared" si="10"/>
        <v>42217</v>
      </c>
    </row>
    <row r="1078" spans="2:10">
      <c r="B1078" s="988">
        <v>42248</v>
      </c>
      <c r="C1078" s="987" t="s">
        <v>4637</v>
      </c>
      <c r="D1078" s="987" t="s">
        <v>4639</v>
      </c>
      <c r="E1078" s="987">
        <v>30.03</v>
      </c>
      <c r="F1078" s="987">
        <f t="shared" si="9"/>
        <v>7.0746374248319824E-2</v>
      </c>
      <c r="G1078" s="987">
        <v>0.24</v>
      </c>
      <c r="H1078" s="987">
        <v>2.0999999999999999E-3</v>
      </c>
      <c r="I1078" s="987">
        <f t="shared" ref="I1078:I1141" si="11">F1078-H1078</f>
        <v>6.8646374248319819E-2</v>
      </c>
      <c r="J1078" s="988">
        <f t="shared" si="10"/>
        <v>42248</v>
      </c>
    </row>
    <row r="1079" spans="2:10">
      <c r="B1079" s="988">
        <v>42278</v>
      </c>
      <c r="C1079" s="987" t="s">
        <v>4637</v>
      </c>
      <c r="D1079" s="987" t="s">
        <v>4639</v>
      </c>
      <c r="E1079" s="987">
        <v>31.68</v>
      </c>
      <c r="F1079" s="987">
        <f t="shared" si="9"/>
        <v>5.4945054945054896E-2</v>
      </c>
      <c r="G1079" s="987">
        <v>0</v>
      </c>
      <c r="H1079" s="987">
        <v>2.0999999999999999E-3</v>
      </c>
      <c r="I1079" s="987">
        <f t="shared" si="11"/>
        <v>5.2845054945054898E-2</v>
      </c>
      <c r="J1079" s="988">
        <f t="shared" si="10"/>
        <v>42278</v>
      </c>
    </row>
    <row r="1080" spans="2:10">
      <c r="B1080" s="988">
        <v>42309</v>
      </c>
      <c r="C1080" s="987" t="s">
        <v>4637</v>
      </c>
      <c r="D1080" s="987" t="s">
        <v>4639</v>
      </c>
      <c r="E1080" s="987">
        <v>30.05</v>
      </c>
      <c r="F1080" s="987">
        <f t="shared" si="9"/>
        <v>-5.1452020202020173E-2</v>
      </c>
      <c r="G1080" s="987">
        <v>0</v>
      </c>
      <c r="H1080" s="987">
        <v>2.2000000000000001E-3</v>
      </c>
      <c r="I1080" s="987">
        <f t="shared" si="11"/>
        <v>-5.3652020202020173E-2</v>
      </c>
      <c r="J1080" s="988">
        <f t="shared" si="10"/>
        <v>42309</v>
      </c>
    </row>
    <row r="1081" spans="2:10">
      <c r="B1081" s="988">
        <v>42339</v>
      </c>
      <c r="C1081" s="987" t="s">
        <v>4637</v>
      </c>
      <c r="D1081" s="987" t="s">
        <v>4639</v>
      </c>
      <c r="E1081" s="987">
        <v>32.96</v>
      </c>
      <c r="F1081" s="987">
        <f t="shared" si="9"/>
        <v>0.1048252911813644</v>
      </c>
      <c r="G1081" s="987">
        <v>0.24</v>
      </c>
      <c r="H1081" s="987">
        <v>2.2000000000000001E-3</v>
      </c>
      <c r="I1081" s="987">
        <f t="shared" si="11"/>
        <v>0.1026252911813644</v>
      </c>
      <c r="J1081" s="988">
        <f t="shared" si="10"/>
        <v>42339</v>
      </c>
    </row>
    <row r="1082" spans="2:10">
      <c r="B1082" s="988">
        <v>42370</v>
      </c>
      <c r="C1082" s="987" t="s">
        <v>4637</v>
      </c>
      <c r="D1082" s="987" t="s">
        <v>4639</v>
      </c>
      <c r="E1082" s="987">
        <v>35.22</v>
      </c>
      <c r="F1082" s="987">
        <f t="shared" si="9"/>
        <v>6.8567961165048485E-2</v>
      </c>
      <c r="G1082" s="987">
        <v>0</v>
      </c>
      <c r="H1082" s="987">
        <v>2.0999999999999999E-3</v>
      </c>
      <c r="I1082" s="987">
        <f t="shared" si="11"/>
        <v>6.6467961165048481E-2</v>
      </c>
      <c r="J1082" s="988">
        <f t="shared" si="10"/>
        <v>42370</v>
      </c>
    </row>
    <row r="1083" spans="2:10">
      <c r="B1083" s="988">
        <v>42401</v>
      </c>
      <c r="C1083" s="987" t="s">
        <v>4637</v>
      </c>
      <c r="D1083" s="987" t="s">
        <v>4639</v>
      </c>
      <c r="E1083" s="987">
        <v>34.619999999999997</v>
      </c>
      <c r="F1083" s="987">
        <f t="shared" si="9"/>
        <v>-1.7035775127768354E-2</v>
      </c>
      <c r="G1083" s="987">
        <v>0</v>
      </c>
      <c r="H1083" s="987">
        <v>2E-3</v>
      </c>
      <c r="I1083" s="987">
        <f t="shared" si="11"/>
        <v>-1.9035775127768356E-2</v>
      </c>
      <c r="J1083" s="988">
        <f t="shared" si="10"/>
        <v>42401</v>
      </c>
    </row>
    <row r="1084" spans="2:10">
      <c r="B1084" s="988">
        <v>42430</v>
      </c>
      <c r="C1084" s="987" t="s">
        <v>4637</v>
      </c>
      <c r="D1084" s="987" t="s">
        <v>4639</v>
      </c>
      <c r="E1084" s="987">
        <v>36.43</v>
      </c>
      <c r="F1084" s="987">
        <f t="shared" si="9"/>
        <v>5.9214326978625137E-2</v>
      </c>
      <c r="G1084" s="987">
        <v>0.24</v>
      </c>
      <c r="H1084" s="987">
        <v>1.8E-3</v>
      </c>
      <c r="I1084" s="987">
        <f t="shared" si="11"/>
        <v>5.7414326978625134E-2</v>
      </c>
      <c r="J1084" s="988">
        <f t="shared" si="10"/>
        <v>42430</v>
      </c>
    </row>
    <row r="1085" spans="2:10">
      <c r="B1085" s="988">
        <v>42461</v>
      </c>
      <c r="C1085" s="987" t="s">
        <v>4637</v>
      </c>
      <c r="D1085" s="987" t="s">
        <v>4639</v>
      </c>
      <c r="E1085" s="987">
        <v>35.68</v>
      </c>
      <c r="F1085" s="987">
        <f t="shared" si="9"/>
        <v>-2.0587427944002198E-2</v>
      </c>
      <c r="G1085" s="987">
        <v>0</v>
      </c>
      <c r="H1085" s="987">
        <v>1.6999999999999999E-3</v>
      </c>
      <c r="I1085" s="987">
        <f t="shared" si="11"/>
        <v>-2.2287427944002198E-2</v>
      </c>
      <c r="J1085" s="988">
        <f t="shared" si="10"/>
        <v>42461</v>
      </c>
    </row>
    <row r="1086" spans="2:10">
      <c r="B1086" s="988">
        <v>42491</v>
      </c>
      <c r="C1086" s="987" t="s">
        <v>4637</v>
      </c>
      <c r="D1086" s="987" t="s">
        <v>4639</v>
      </c>
      <c r="E1086" s="987">
        <v>35.15</v>
      </c>
      <c r="F1086" s="987">
        <f t="shared" si="9"/>
        <v>-1.4854260089686131E-2</v>
      </c>
      <c r="G1086" s="987">
        <v>0</v>
      </c>
      <c r="H1086" s="987">
        <v>2E-3</v>
      </c>
      <c r="I1086" s="987">
        <f t="shared" si="11"/>
        <v>-1.6854260089686129E-2</v>
      </c>
      <c r="J1086" s="988">
        <f t="shared" si="10"/>
        <v>42491</v>
      </c>
    </row>
    <row r="1087" spans="2:10">
      <c r="B1087" s="988">
        <v>42522</v>
      </c>
      <c r="C1087" s="987" t="s">
        <v>4637</v>
      </c>
      <c r="D1087" s="987" t="s">
        <v>4639</v>
      </c>
      <c r="E1087" s="987">
        <v>38.549999999999997</v>
      </c>
      <c r="F1087" s="987">
        <f t="shared" si="9"/>
        <v>0.10355618776671405</v>
      </c>
      <c r="G1087" s="987">
        <v>0.24</v>
      </c>
      <c r="H1087" s="987">
        <v>1.8E-3</v>
      </c>
      <c r="I1087" s="987">
        <f t="shared" si="11"/>
        <v>0.10175618776671405</v>
      </c>
      <c r="J1087" s="988">
        <f t="shared" si="10"/>
        <v>42522</v>
      </c>
    </row>
    <row r="1088" spans="2:10">
      <c r="B1088" s="988">
        <v>42552</v>
      </c>
      <c r="C1088" s="987" t="s">
        <v>4637</v>
      </c>
      <c r="D1088" s="987" t="s">
        <v>4639</v>
      </c>
      <c r="E1088" s="987">
        <v>37.24</v>
      </c>
      <c r="F1088" s="987">
        <f t="shared" si="9"/>
        <v>-3.3981841763942811E-2</v>
      </c>
      <c r="G1088" s="987">
        <v>0</v>
      </c>
      <c r="H1088" s="987">
        <v>1.4E-3</v>
      </c>
      <c r="I1088" s="987">
        <f t="shared" si="11"/>
        <v>-3.5381841763942809E-2</v>
      </c>
      <c r="J1088" s="988">
        <f t="shared" si="10"/>
        <v>42552</v>
      </c>
    </row>
    <row r="1089" spans="2:10">
      <c r="B1089" s="988">
        <v>42583</v>
      </c>
      <c r="C1089" s="987" t="s">
        <v>4637</v>
      </c>
      <c r="D1089" s="987" t="s">
        <v>4639</v>
      </c>
      <c r="E1089" s="987">
        <v>33.64</v>
      </c>
      <c r="F1089" s="987">
        <f t="shared" si="9"/>
        <v>-9.667024704618693E-2</v>
      </c>
      <c r="G1089" s="987">
        <v>0</v>
      </c>
      <c r="H1089" s="987">
        <v>1.6000000000000001E-3</v>
      </c>
      <c r="I1089" s="987">
        <f t="shared" si="11"/>
        <v>-9.8270247046186934E-2</v>
      </c>
      <c r="J1089" s="988">
        <f t="shared" si="10"/>
        <v>42583</v>
      </c>
    </row>
    <row r="1090" spans="2:10">
      <c r="B1090" s="988">
        <v>42614</v>
      </c>
      <c r="C1090" s="987" t="s">
        <v>4637</v>
      </c>
      <c r="D1090" s="987" t="s">
        <v>4639</v>
      </c>
      <c r="E1090" s="987">
        <v>32.86</v>
      </c>
      <c r="F1090" s="987">
        <f t="shared" si="9"/>
        <v>-1.5606420927467335E-2</v>
      </c>
      <c r="G1090" s="987">
        <v>0.255</v>
      </c>
      <c r="H1090" s="987">
        <v>1.5E-3</v>
      </c>
      <c r="I1090" s="987">
        <f t="shared" si="11"/>
        <v>-1.7106420927467336E-2</v>
      </c>
      <c r="J1090" s="988">
        <f t="shared" si="10"/>
        <v>42614</v>
      </c>
    </row>
    <row r="1091" spans="2:10">
      <c r="B1091" s="988">
        <v>42644</v>
      </c>
      <c r="C1091" s="987" t="s">
        <v>4637</v>
      </c>
      <c r="D1091" s="987" t="s">
        <v>4639</v>
      </c>
      <c r="E1091" s="987">
        <v>33.950000000000003</v>
      </c>
      <c r="F1091" s="987">
        <f t="shared" si="9"/>
        <v>3.3171028606208262E-2</v>
      </c>
      <c r="G1091" s="987">
        <v>0</v>
      </c>
      <c r="H1091" s="987">
        <v>1.6000000000000001E-3</v>
      </c>
      <c r="I1091" s="987">
        <f t="shared" si="11"/>
        <v>3.1571028606208265E-2</v>
      </c>
      <c r="J1091" s="988">
        <f t="shared" si="10"/>
        <v>42644</v>
      </c>
    </row>
    <row r="1092" spans="2:10">
      <c r="B1092" s="988">
        <v>42675</v>
      </c>
      <c r="C1092" s="987" t="s">
        <v>4637</v>
      </c>
      <c r="D1092" s="987" t="s">
        <v>4639</v>
      </c>
      <c r="E1092" s="987">
        <v>34.450000000000003</v>
      </c>
      <c r="F1092" s="987">
        <f t="shared" si="9"/>
        <v>1.4727540500736375E-2</v>
      </c>
      <c r="G1092" s="987">
        <v>0</v>
      </c>
      <c r="H1092" s="987">
        <v>1.8E-3</v>
      </c>
      <c r="I1092" s="987">
        <f t="shared" si="11"/>
        <v>1.2927540500736375E-2</v>
      </c>
      <c r="J1092" s="988">
        <f t="shared" si="10"/>
        <v>42675</v>
      </c>
    </row>
    <row r="1093" spans="2:10">
      <c r="B1093" s="988">
        <v>42705</v>
      </c>
      <c r="C1093" s="987" t="s">
        <v>4637</v>
      </c>
      <c r="D1093" s="987" t="s">
        <v>4639</v>
      </c>
      <c r="E1093" s="987">
        <v>35.5</v>
      </c>
      <c r="F1093" s="987">
        <f t="shared" si="9"/>
        <v>3.7880986937590622E-2</v>
      </c>
      <c r="G1093" s="987">
        <v>0.255</v>
      </c>
      <c r="H1093" s="987">
        <v>2.2000000000000001E-3</v>
      </c>
      <c r="I1093" s="987">
        <f t="shared" si="11"/>
        <v>3.5680986937590621E-2</v>
      </c>
      <c r="J1093" s="988">
        <f t="shared" si="10"/>
        <v>42705</v>
      </c>
    </row>
    <row r="1094" spans="2:10">
      <c r="B1094" s="988">
        <v>42736</v>
      </c>
      <c r="C1094" s="987" t="s">
        <v>4637</v>
      </c>
      <c r="D1094" s="987" t="s">
        <v>4639</v>
      </c>
      <c r="E1094" s="987">
        <v>37.700000000000003</v>
      </c>
      <c r="F1094" s="987">
        <f t="shared" si="9"/>
        <v>6.197183098591557E-2</v>
      </c>
      <c r="G1094" s="987">
        <v>0</v>
      </c>
      <c r="H1094" s="987">
        <v>2.3999999999999998E-3</v>
      </c>
      <c r="I1094" s="987">
        <f t="shared" si="11"/>
        <v>5.9571830985915571E-2</v>
      </c>
      <c r="J1094" s="988">
        <f t="shared" si="10"/>
        <v>42736</v>
      </c>
    </row>
    <row r="1095" spans="2:10">
      <c r="B1095" s="988">
        <v>42767</v>
      </c>
      <c r="C1095" s="987" t="s">
        <v>4637</v>
      </c>
      <c r="D1095" s="987" t="s">
        <v>4639</v>
      </c>
      <c r="E1095" s="987">
        <v>39.4</v>
      </c>
      <c r="F1095" s="987">
        <f t="shared" si="9"/>
        <v>4.5092838196286358E-2</v>
      </c>
      <c r="G1095" s="987">
        <v>0</v>
      </c>
      <c r="H1095" s="987">
        <v>2.0999999999999999E-3</v>
      </c>
      <c r="I1095" s="987">
        <f t="shared" si="11"/>
        <v>4.2992838196286361E-2</v>
      </c>
      <c r="J1095" s="988">
        <f t="shared" si="10"/>
        <v>42767</v>
      </c>
    </row>
    <row r="1096" spans="2:10">
      <c r="B1096" s="988">
        <v>42795</v>
      </c>
      <c r="C1096" s="987" t="s">
        <v>4637</v>
      </c>
      <c r="D1096" s="987" t="s">
        <v>4639</v>
      </c>
      <c r="E1096" s="987">
        <v>39.6</v>
      </c>
      <c r="F1096" s="987">
        <f t="shared" si="9"/>
        <v>1.154822335025388E-2</v>
      </c>
      <c r="G1096" s="987">
        <v>0.255</v>
      </c>
      <c r="H1096" s="987">
        <v>2.3E-3</v>
      </c>
      <c r="I1096" s="987">
        <f t="shared" si="11"/>
        <v>9.2482233502538796E-3</v>
      </c>
      <c r="J1096" s="988">
        <f t="shared" si="10"/>
        <v>42795</v>
      </c>
    </row>
    <row r="1097" spans="2:10">
      <c r="B1097" s="988">
        <v>42826</v>
      </c>
      <c r="C1097" s="987" t="s">
        <v>4637</v>
      </c>
      <c r="D1097" s="987" t="s">
        <v>4639</v>
      </c>
      <c r="E1097" s="987">
        <v>40.35</v>
      </c>
      <c r="F1097" s="987">
        <f t="shared" si="9"/>
        <v>1.893939393939394E-2</v>
      </c>
      <c r="G1097" s="987">
        <v>0</v>
      </c>
      <c r="H1097" s="987">
        <v>2.0999999999999999E-3</v>
      </c>
      <c r="I1097" s="987">
        <f t="shared" si="11"/>
        <v>1.6839393939393939E-2</v>
      </c>
      <c r="J1097" s="988">
        <f t="shared" si="10"/>
        <v>42826</v>
      </c>
    </row>
    <row r="1098" spans="2:10">
      <c r="B1098" s="988">
        <v>42856</v>
      </c>
      <c r="C1098" s="987" t="s">
        <v>4637</v>
      </c>
      <c r="D1098" s="987" t="s">
        <v>4639</v>
      </c>
      <c r="E1098" s="987">
        <v>41.9</v>
      </c>
      <c r="F1098" s="987">
        <f t="shared" si="9"/>
        <v>3.8413878562577372E-2</v>
      </c>
      <c r="G1098" s="987">
        <v>0</v>
      </c>
      <c r="H1098" s="987">
        <v>2.3999999999999998E-3</v>
      </c>
      <c r="I1098" s="987">
        <f t="shared" si="11"/>
        <v>3.6013878562577373E-2</v>
      </c>
      <c r="J1098" s="988">
        <f t="shared" si="10"/>
        <v>42856</v>
      </c>
    </row>
    <row r="1099" spans="2:10">
      <c r="B1099" s="988">
        <v>42887</v>
      </c>
      <c r="C1099" s="987" t="s">
        <v>4637</v>
      </c>
      <c r="D1099" s="987" t="s">
        <v>4639</v>
      </c>
      <c r="E1099" s="987">
        <v>39.700000000000003</v>
      </c>
      <c r="F1099" s="987">
        <f t="shared" si="9"/>
        <v>-4.6420047732696791E-2</v>
      </c>
      <c r="G1099" s="987">
        <v>0.255</v>
      </c>
      <c r="H1099" s="987">
        <v>2.0999999999999999E-3</v>
      </c>
      <c r="I1099" s="987">
        <f t="shared" si="11"/>
        <v>-4.8520047732696789E-2</v>
      </c>
      <c r="J1099" s="988">
        <f t="shared" si="10"/>
        <v>42887</v>
      </c>
    </row>
    <row r="1100" spans="2:10">
      <c r="B1100" s="988">
        <v>42917</v>
      </c>
      <c r="C1100" s="987" t="s">
        <v>4637</v>
      </c>
      <c r="D1100" s="987" t="s">
        <v>4639</v>
      </c>
      <c r="E1100" s="987">
        <v>42.15</v>
      </c>
      <c r="F1100" s="987">
        <f t="shared" si="9"/>
        <v>6.1712846347606938E-2</v>
      </c>
      <c r="G1100" s="987">
        <v>0</v>
      </c>
      <c r="H1100" s="987">
        <v>2.2000000000000001E-3</v>
      </c>
      <c r="I1100" s="987">
        <f t="shared" si="11"/>
        <v>5.9512846347606937E-2</v>
      </c>
      <c r="J1100" s="988">
        <f t="shared" si="10"/>
        <v>42917</v>
      </c>
    </row>
    <row r="1101" spans="2:10">
      <c r="B1101" s="988">
        <v>42948</v>
      </c>
      <c r="C1101" s="987" t="s">
        <v>4637</v>
      </c>
      <c r="D1101" s="987" t="s">
        <v>4639</v>
      </c>
      <c r="E1101" s="987">
        <v>43.65</v>
      </c>
      <c r="F1101" s="987">
        <f t="shared" si="9"/>
        <v>3.5587188612099648E-2</v>
      </c>
      <c r="G1101" s="987">
        <v>0</v>
      </c>
      <c r="H1101" s="987">
        <v>2.2000000000000001E-3</v>
      </c>
      <c r="I1101" s="987">
        <f t="shared" si="11"/>
        <v>3.3387188612099647E-2</v>
      </c>
      <c r="J1101" s="988">
        <f t="shared" si="10"/>
        <v>42948</v>
      </c>
    </row>
    <row r="1102" spans="2:10">
      <c r="B1102" s="988">
        <v>42979</v>
      </c>
      <c r="C1102" s="987" t="s">
        <v>4637</v>
      </c>
      <c r="D1102" s="987" t="s">
        <v>4639</v>
      </c>
      <c r="E1102" s="987">
        <v>42.15</v>
      </c>
      <c r="F1102" s="987">
        <f t="shared" si="9"/>
        <v>-2.8121420389461631E-2</v>
      </c>
      <c r="G1102" s="987">
        <v>0.27250000000000002</v>
      </c>
      <c r="H1102" s="987">
        <v>1.9E-3</v>
      </c>
      <c r="I1102" s="987">
        <f t="shared" si="11"/>
        <v>-3.002142038946163E-2</v>
      </c>
      <c r="J1102" s="988">
        <f t="shared" si="10"/>
        <v>42979</v>
      </c>
    </row>
    <row r="1103" spans="2:10">
      <c r="B1103" s="988">
        <v>43009</v>
      </c>
      <c r="C1103" s="987" t="s">
        <v>4637</v>
      </c>
      <c r="D1103" s="987" t="s">
        <v>4639</v>
      </c>
      <c r="E1103" s="987">
        <v>44.45</v>
      </c>
      <c r="F1103" s="987">
        <f t="shared" si="9"/>
        <v>5.456702253855289E-2</v>
      </c>
      <c r="G1103" s="987">
        <v>0</v>
      </c>
      <c r="H1103" s="987">
        <v>2.2000000000000001E-3</v>
      </c>
      <c r="I1103" s="987">
        <f t="shared" si="11"/>
        <v>5.2367022538552889E-2</v>
      </c>
      <c r="J1103" s="988">
        <f t="shared" si="10"/>
        <v>43009</v>
      </c>
    </row>
    <row r="1104" spans="2:10">
      <c r="B1104" s="988">
        <v>43040</v>
      </c>
      <c r="C1104" s="987" t="s">
        <v>4637</v>
      </c>
      <c r="D1104" s="987" t="s">
        <v>4639</v>
      </c>
      <c r="E1104" s="987">
        <v>44.6</v>
      </c>
      <c r="F1104" s="987">
        <f t="shared" si="9"/>
        <v>3.3745781777277518E-3</v>
      </c>
      <c r="G1104" s="987">
        <v>0</v>
      </c>
      <c r="H1104" s="987">
        <v>2.0999999999999999E-3</v>
      </c>
      <c r="I1104" s="987">
        <f t="shared" si="11"/>
        <v>1.274578177727752E-3</v>
      </c>
      <c r="J1104" s="988">
        <f t="shared" si="10"/>
        <v>43040</v>
      </c>
    </row>
    <row r="1105" spans="2:10">
      <c r="B1105" s="988">
        <v>43070</v>
      </c>
      <c r="C1105" s="987" t="s">
        <v>4637</v>
      </c>
      <c r="D1105" s="987" t="s">
        <v>4639</v>
      </c>
      <c r="E1105" s="987">
        <v>40.200000000000003</v>
      </c>
      <c r="F1105" s="987">
        <f t="shared" si="9"/>
        <v>-9.2544843049327322E-2</v>
      </c>
      <c r="G1105" s="987">
        <v>0.27250000000000002</v>
      </c>
      <c r="H1105" s="987">
        <v>2E-3</v>
      </c>
      <c r="I1105" s="987">
        <f t="shared" si="11"/>
        <v>-9.4544843049327323E-2</v>
      </c>
      <c r="J1105" s="988">
        <f t="shared" si="10"/>
        <v>43070</v>
      </c>
    </row>
    <row r="1106" spans="2:10">
      <c r="B1106" s="988">
        <v>43101</v>
      </c>
      <c r="C1106" s="987" t="s">
        <v>4637</v>
      </c>
      <c r="D1106" s="987" t="s">
        <v>4639</v>
      </c>
      <c r="E1106" s="987">
        <v>38.799999999999997</v>
      </c>
      <c r="F1106" s="987">
        <f t="shared" si="9"/>
        <v>-3.4825870646766309E-2</v>
      </c>
      <c r="G1106" s="987">
        <v>0</v>
      </c>
      <c r="H1106" s="987">
        <v>2.3999999999999998E-3</v>
      </c>
      <c r="I1106" s="987">
        <f t="shared" si="11"/>
        <v>-3.7225870646766308E-2</v>
      </c>
      <c r="J1106" s="988">
        <f t="shared" si="10"/>
        <v>43101</v>
      </c>
    </row>
    <row r="1107" spans="2:10">
      <c r="B1107" s="988">
        <v>43132</v>
      </c>
      <c r="C1107" s="987" t="s">
        <v>4637</v>
      </c>
      <c r="D1107" s="987" t="s">
        <v>4639</v>
      </c>
      <c r="E1107" s="987">
        <v>38.1</v>
      </c>
      <c r="F1107" s="987">
        <f t="shared" si="9"/>
        <v>-1.8041237113401953E-2</v>
      </c>
      <c r="G1107" s="987">
        <v>0</v>
      </c>
      <c r="H1107" s="987">
        <v>2.2000000000000001E-3</v>
      </c>
      <c r="I1107" s="987">
        <f t="shared" si="11"/>
        <v>-2.0241237113401953E-2</v>
      </c>
      <c r="J1107" s="988">
        <f t="shared" si="10"/>
        <v>43132</v>
      </c>
    </row>
    <row r="1108" spans="2:10">
      <c r="B1108" s="988">
        <v>43160</v>
      </c>
      <c r="C1108" s="987" t="s">
        <v>4637</v>
      </c>
      <c r="D1108" s="987" t="s">
        <v>4639</v>
      </c>
      <c r="E1108" s="987">
        <v>40.1</v>
      </c>
      <c r="F1108" s="987">
        <f t="shared" si="9"/>
        <v>5.9645669291338584E-2</v>
      </c>
      <c r="G1108" s="987">
        <v>0.27250000000000002</v>
      </c>
      <c r="H1108" s="987">
        <v>2.3999999999999998E-3</v>
      </c>
      <c r="I1108" s="987">
        <f t="shared" si="11"/>
        <v>5.7245669291338584E-2</v>
      </c>
      <c r="J1108" s="988">
        <f t="shared" si="10"/>
        <v>43160</v>
      </c>
    </row>
    <row r="1109" spans="2:10">
      <c r="B1109" s="988">
        <v>43191</v>
      </c>
      <c r="C1109" s="987" t="s">
        <v>4637</v>
      </c>
      <c r="D1109" s="987" t="s">
        <v>4639</v>
      </c>
      <c r="E1109" s="987">
        <v>41.35</v>
      </c>
      <c r="F1109" s="987">
        <f t="shared" si="9"/>
        <v>3.1172069825436407E-2</v>
      </c>
      <c r="G1109" s="987">
        <v>0</v>
      </c>
      <c r="H1109" s="987">
        <v>2.5000000000000001E-3</v>
      </c>
      <c r="I1109" s="987">
        <f t="shared" si="11"/>
        <v>2.8672069825436408E-2</v>
      </c>
      <c r="J1109" s="988">
        <f t="shared" si="10"/>
        <v>43191</v>
      </c>
    </row>
    <row r="1110" spans="2:10">
      <c r="B1110" s="988">
        <v>43221</v>
      </c>
      <c r="C1110" s="987" t="s">
        <v>4637</v>
      </c>
      <c r="D1110" s="987" t="s">
        <v>4639</v>
      </c>
      <c r="E1110" s="987">
        <v>44.4</v>
      </c>
      <c r="F1110" s="987">
        <f t="shared" si="9"/>
        <v>7.3760580411124474E-2</v>
      </c>
      <c r="G1110" s="987">
        <v>0</v>
      </c>
      <c r="H1110" s="987">
        <v>2.5000000000000001E-3</v>
      </c>
      <c r="I1110" s="987">
        <f t="shared" si="11"/>
        <v>7.1260580411124472E-2</v>
      </c>
      <c r="J1110" s="988">
        <f t="shared" si="10"/>
        <v>43221</v>
      </c>
    </row>
    <row r="1111" spans="2:10">
      <c r="B1111" s="988">
        <v>43252</v>
      </c>
      <c r="C1111" s="987" t="s">
        <v>4637</v>
      </c>
      <c r="D1111" s="987" t="s">
        <v>4639</v>
      </c>
      <c r="E1111" s="987">
        <v>44.75</v>
      </c>
      <c r="F1111" s="987">
        <f t="shared" si="9"/>
        <v>1.4020270270270304E-2</v>
      </c>
      <c r="G1111" s="987">
        <v>0.27250000000000002</v>
      </c>
      <c r="H1111" s="987">
        <v>2.3E-3</v>
      </c>
      <c r="I1111" s="987">
        <f t="shared" si="11"/>
        <v>1.1720270270270304E-2</v>
      </c>
      <c r="J1111" s="988">
        <f t="shared" si="10"/>
        <v>43252</v>
      </c>
    </row>
    <row r="1112" spans="2:10">
      <c r="B1112" s="988">
        <v>43282</v>
      </c>
      <c r="C1112" s="987" t="s">
        <v>4637</v>
      </c>
      <c r="D1112" s="987" t="s">
        <v>4639</v>
      </c>
      <c r="E1112" s="987">
        <v>46.25</v>
      </c>
      <c r="F1112" s="987">
        <f t="shared" si="9"/>
        <v>3.3519553072625698E-2</v>
      </c>
      <c r="G1112" s="987">
        <v>0</v>
      </c>
      <c r="H1112" s="987">
        <v>2.5000000000000001E-3</v>
      </c>
      <c r="I1112" s="987">
        <f t="shared" si="11"/>
        <v>3.1019553072625699E-2</v>
      </c>
      <c r="J1112" s="988">
        <f t="shared" si="10"/>
        <v>43282</v>
      </c>
    </row>
    <row r="1113" spans="2:10">
      <c r="B1113" s="988">
        <v>43313</v>
      </c>
      <c r="C1113" s="987" t="s">
        <v>4637</v>
      </c>
      <c r="D1113" s="987" t="s">
        <v>4639</v>
      </c>
      <c r="E1113" s="987">
        <v>45.6</v>
      </c>
      <c r="F1113" s="987">
        <f t="shared" si="9"/>
        <v>-1.4054054054054023E-2</v>
      </c>
      <c r="G1113" s="987">
        <v>0</v>
      </c>
      <c r="H1113" s="987">
        <v>2.5000000000000001E-3</v>
      </c>
      <c r="I1113" s="987">
        <f t="shared" si="11"/>
        <v>-1.6554054054054024E-2</v>
      </c>
      <c r="J1113" s="988">
        <f t="shared" si="10"/>
        <v>43313</v>
      </c>
    </row>
    <row r="1114" spans="2:10">
      <c r="B1114" s="988">
        <v>43344</v>
      </c>
      <c r="C1114" s="987" t="s">
        <v>4637</v>
      </c>
      <c r="D1114" s="987" t="s">
        <v>4639</v>
      </c>
      <c r="E1114" s="987">
        <v>46.1</v>
      </c>
      <c r="F1114" s="987">
        <f t="shared" si="9"/>
        <v>1.7379385964912279E-2</v>
      </c>
      <c r="G1114" s="987">
        <v>0.29249999999999998</v>
      </c>
      <c r="H1114" s="987">
        <v>2.2000000000000001E-3</v>
      </c>
      <c r="I1114" s="987">
        <f t="shared" si="11"/>
        <v>1.5179385964912279E-2</v>
      </c>
      <c r="J1114" s="988">
        <f t="shared" si="10"/>
        <v>43344</v>
      </c>
    </row>
    <row r="1115" spans="2:10">
      <c r="B1115" s="988">
        <v>43374</v>
      </c>
      <c r="C1115" s="987" t="s">
        <v>4637</v>
      </c>
      <c r="D1115" s="987" t="s">
        <v>4639</v>
      </c>
      <c r="E1115" s="987">
        <v>45.1</v>
      </c>
      <c r="F1115" s="987">
        <f t="shared" si="9"/>
        <v>-2.1691973969631236E-2</v>
      </c>
      <c r="G1115" s="987">
        <v>0</v>
      </c>
      <c r="H1115" s="987">
        <v>3.0000000000000001E-3</v>
      </c>
      <c r="I1115" s="987">
        <f t="shared" si="11"/>
        <v>-2.4691973969631235E-2</v>
      </c>
      <c r="J1115" s="988">
        <f t="shared" si="10"/>
        <v>43374</v>
      </c>
    </row>
    <row r="1116" spans="2:10">
      <c r="B1116" s="988">
        <v>43405</v>
      </c>
      <c r="C1116" s="987" t="s">
        <v>4637</v>
      </c>
      <c r="D1116" s="987" t="s">
        <v>4639</v>
      </c>
      <c r="E1116" s="987">
        <v>48.53</v>
      </c>
      <c r="F1116" s="987">
        <f t="shared" si="9"/>
        <v>7.6053215077605318E-2</v>
      </c>
      <c r="G1116" s="987">
        <v>0</v>
      </c>
      <c r="H1116" s="987">
        <v>2.8E-3</v>
      </c>
      <c r="I1116" s="987">
        <f t="shared" si="11"/>
        <v>7.3253215077605321E-2</v>
      </c>
      <c r="J1116" s="988">
        <f t="shared" si="10"/>
        <v>43405</v>
      </c>
    </row>
    <row r="1117" spans="2:10">
      <c r="B1117" s="988">
        <v>43435</v>
      </c>
      <c r="C1117" s="987" t="s">
        <v>4637</v>
      </c>
      <c r="D1117" s="987" t="s">
        <v>4639</v>
      </c>
      <c r="E1117" s="987">
        <v>45.67</v>
      </c>
      <c r="F1117" s="987">
        <f t="shared" si="9"/>
        <v>-5.2905419328250554E-2</v>
      </c>
      <c r="G1117" s="987">
        <v>0.29249999999999998</v>
      </c>
      <c r="H1117" s="987">
        <v>2.7000000000000001E-3</v>
      </c>
      <c r="I1117" s="987">
        <f t="shared" si="11"/>
        <v>-5.5605419328250555E-2</v>
      </c>
      <c r="J1117" s="988">
        <f t="shared" si="10"/>
        <v>43435</v>
      </c>
    </row>
    <row r="1118" spans="2:10">
      <c r="B1118" s="988">
        <v>43466</v>
      </c>
      <c r="C1118" s="987" t="s">
        <v>4637</v>
      </c>
      <c r="D1118" s="987" t="s">
        <v>4639</v>
      </c>
      <c r="E1118" s="987">
        <v>48.5</v>
      </c>
      <c r="F1118" s="987">
        <f t="shared" si="9"/>
        <v>6.1966279833588753E-2</v>
      </c>
      <c r="G1118" s="987">
        <v>0</v>
      </c>
      <c r="H1118" s="987">
        <v>2.5000000000000001E-3</v>
      </c>
      <c r="I1118" s="987">
        <f t="shared" si="11"/>
        <v>5.946627983358875E-2</v>
      </c>
      <c r="J1118" s="988">
        <f t="shared" si="10"/>
        <v>43466</v>
      </c>
    </row>
    <row r="1119" spans="2:10">
      <c r="B1119" s="988">
        <v>43497</v>
      </c>
      <c r="C1119" s="987" t="s">
        <v>4637</v>
      </c>
      <c r="D1119" s="987" t="s">
        <v>4639</v>
      </c>
      <c r="E1119" s="987">
        <v>48.4</v>
      </c>
      <c r="F1119" s="987">
        <f t="shared" si="9"/>
        <v>-2.0618556701031219E-3</v>
      </c>
      <c r="G1119" s="987">
        <v>0</v>
      </c>
      <c r="H1119" s="987">
        <v>2.2000000000000001E-3</v>
      </c>
      <c r="I1119" s="987">
        <f t="shared" si="11"/>
        <v>-4.2618556701031225E-3</v>
      </c>
      <c r="J1119" s="988">
        <f t="shared" si="10"/>
        <v>43497</v>
      </c>
    </row>
    <row r="1120" spans="2:10">
      <c r="B1120" s="988">
        <v>43525</v>
      </c>
      <c r="C1120" s="987" t="s">
        <v>4637</v>
      </c>
      <c r="D1120" s="987" t="s">
        <v>4639</v>
      </c>
      <c r="E1120" s="987">
        <v>49.79</v>
      </c>
      <c r="F1120" s="987">
        <f t="shared" si="9"/>
        <v>3.4762396694214888E-2</v>
      </c>
      <c r="G1120" s="987">
        <v>0.29249999999999998</v>
      </c>
      <c r="H1120" s="987">
        <v>2.3E-3</v>
      </c>
      <c r="I1120" s="987">
        <f t="shared" si="11"/>
        <v>3.2462396694214884E-2</v>
      </c>
      <c r="J1120" s="988">
        <f t="shared" si="10"/>
        <v>43525</v>
      </c>
    </row>
    <row r="1121" spans="2:10">
      <c r="B1121" s="988">
        <v>43556</v>
      </c>
      <c r="C1121" s="987" t="s">
        <v>4637</v>
      </c>
      <c r="D1121" s="987" t="s">
        <v>4639</v>
      </c>
      <c r="E1121" s="987">
        <v>50.08</v>
      </c>
      <c r="F1121" s="987">
        <f t="shared" si="9"/>
        <v>5.8244627435227788E-3</v>
      </c>
      <c r="G1121" s="987">
        <v>0</v>
      </c>
      <c r="H1121" s="987">
        <v>2.3E-3</v>
      </c>
      <c r="I1121" s="987">
        <f t="shared" si="11"/>
        <v>3.5244627435227788E-3</v>
      </c>
      <c r="J1121" s="988">
        <f t="shared" si="10"/>
        <v>43556</v>
      </c>
    </row>
    <row r="1122" spans="2:10">
      <c r="B1122" s="988">
        <v>43586</v>
      </c>
      <c r="C1122" s="987" t="s">
        <v>4637</v>
      </c>
      <c r="D1122" s="987" t="s">
        <v>4639</v>
      </c>
      <c r="E1122" s="987">
        <v>47.45</v>
      </c>
      <c r="F1122" s="987">
        <f t="shared" si="9"/>
        <v>-5.2515974440894481E-2</v>
      </c>
      <c r="G1122" s="987">
        <v>0</v>
      </c>
      <c r="H1122" s="987">
        <v>2.3E-3</v>
      </c>
      <c r="I1122" s="987">
        <f t="shared" si="11"/>
        <v>-5.4815974440894477E-2</v>
      </c>
      <c r="J1122" s="988">
        <f t="shared" si="10"/>
        <v>43586</v>
      </c>
    </row>
    <row r="1123" spans="2:10">
      <c r="B1123" s="988">
        <v>43617</v>
      </c>
      <c r="C1123" s="987" t="s">
        <v>4637</v>
      </c>
      <c r="D1123" s="987" t="s">
        <v>4639</v>
      </c>
      <c r="E1123" s="987">
        <v>49.77</v>
      </c>
      <c r="F1123" s="987">
        <f t="shared" si="9"/>
        <v>5.5057955742887257E-2</v>
      </c>
      <c r="G1123" s="987">
        <v>0.29249999999999998</v>
      </c>
      <c r="H1123" s="987">
        <v>1.8E-3</v>
      </c>
      <c r="I1123" s="987">
        <f t="shared" si="11"/>
        <v>5.3257955742887254E-2</v>
      </c>
      <c r="J1123" s="988">
        <f t="shared" si="10"/>
        <v>43617</v>
      </c>
    </row>
    <row r="1124" spans="2:10">
      <c r="B1124" s="988">
        <v>43647</v>
      </c>
      <c r="C1124" s="987" t="s">
        <v>4637</v>
      </c>
      <c r="D1124" s="987" t="s">
        <v>4639</v>
      </c>
      <c r="E1124" s="987">
        <v>49.87</v>
      </c>
      <c r="F1124" s="987">
        <f t="shared" si="9"/>
        <v>2.0092425155715152E-3</v>
      </c>
      <c r="G1124" s="987">
        <v>0</v>
      </c>
      <c r="H1124" s="987">
        <v>2.0999999999999999E-3</v>
      </c>
      <c r="I1124" s="987">
        <f t="shared" si="11"/>
        <v>-9.0757484428484643E-5</v>
      </c>
      <c r="J1124" s="988">
        <f t="shared" si="10"/>
        <v>43647</v>
      </c>
    </row>
    <row r="1125" spans="2:10">
      <c r="B1125" s="988">
        <v>43678</v>
      </c>
      <c r="C1125" s="987" t="s">
        <v>4637</v>
      </c>
      <c r="D1125" s="987" t="s">
        <v>4639</v>
      </c>
      <c r="E1125" s="987">
        <v>45.74</v>
      </c>
      <c r="F1125" s="987">
        <f t="shared" si="9"/>
        <v>-8.281531983156197E-2</v>
      </c>
      <c r="G1125" s="987">
        <v>0</v>
      </c>
      <c r="H1125" s="987">
        <v>1.9E-3</v>
      </c>
      <c r="I1125" s="987">
        <f t="shared" si="11"/>
        <v>-8.4715319831561969E-2</v>
      </c>
      <c r="J1125" s="988">
        <f t="shared" si="10"/>
        <v>43678</v>
      </c>
    </row>
    <row r="1126" spans="2:10">
      <c r="B1126" s="988">
        <v>43709</v>
      </c>
      <c r="C1126" s="987" t="s">
        <v>4637</v>
      </c>
      <c r="D1126" s="987" t="s">
        <v>4639</v>
      </c>
      <c r="E1126" s="987">
        <v>45.22</v>
      </c>
      <c r="F1126" s="987">
        <f t="shared" si="9"/>
        <v>-4.5365107127241606E-3</v>
      </c>
      <c r="G1126" s="987">
        <v>0.3125</v>
      </c>
      <c r="H1126" s="987">
        <v>1.5E-3</v>
      </c>
      <c r="I1126" s="987">
        <f t="shared" si="11"/>
        <v>-6.0365107127241611E-3</v>
      </c>
      <c r="J1126" s="988">
        <f t="shared" si="10"/>
        <v>43709</v>
      </c>
    </row>
    <row r="1127" spans="2:10">
      <c r="B1127" s="988">
        <v>43739</v>
      </c>
      <c r="C1127" s="987" t="s">
        <v>4637</v>
      </c>
      <c r="D1127" s="987" t="s">
        <v>4639</v>
      </c>
      <c r="E1127" s="987">
        <v>43.6</v>
      </c>
      <c r="F1127" s="987">
        <f t="shared" si="9"/>
        <v>-3.5824856258292737E-2</v>
      </c>
      <c r="G1127" s="987">
        <v>0</v>
      </c>
      <c r="H1127" s="987">
        <v>1.6000000000000001E-3</v>
      </c>
      <c r="I1127" s="987">
        <f t="shared" si="11"/>
        <v>-3.7424856258292734E-2</v>
      </c>
      <c r="J1127" s="988">
        <f t="shared" si="10"/>
        <v>43739</v>
      </c>
    </row>
    <row r="1128" spans="2:10">
      <c r="B1128" s="988">
        <v>43770</v>
      </c>
      <c r="C1128" s="987" t="s">
        <v>4637</v>
      </c>
      <c r="D1128" s="987" t="s">
        <v>4639</v>
      </c>
      <c r="E1128" s="987">
        <v>42.54</v>
      </c>
      <c r="F1128" s="987">
        <f t="shared" si="9"/>
        <v>-2.4311926605504637E-2</v>
      </c>
      <c r="G1128" s="987">
        <v>0</v>
      </c>
      <c r="H1128" s="987">
        <v>1.6000000000000001E-3</v>
      </c>
      <c r="I1128" s="987">
        <f t="shared" si="11"/>
        <v>-2.5911926605504638E-2</v>
      </c>
      <c r="J1128" s="988">
        <f t="shared" si="10"/>
        <v>43770</v>
      </c>
    </row>
    <row r="1129" spans="2:10">
      <c r="B1129" s="988">
        <v>43800</v>
      </c>
      <c r="C1129" s="987" t="s">
        <v>4637</v>
      </c>
      <c r="D1129" s="987" t="s">
        <v>4639</v>
      </c>
      <c r="E1129" s="987">
        <v>44.57</v>
      </c>
      <c r="F1129" s="987">
        <f t="shared" si="9"/>
        <v>5.5065820404325373E-2</v>
      </c>
      <c r="G1129" s="987">
        <v>0.3125</v>
      </c>
      <c r="H1129" s="987">
        <v>1.8E-3</v>
      </c>
      <c r="I1129" s="987">
        <f t="shared" si="11"/>
        <v>5.326582040432537E-2</v>
      </c>
      <c r="J1129" s="988">
        <f t="shared" si="10"/>
        <v>43800</v>
      </c>
    </row>
    <row r="1130" spans="2:10">
      <c r="B1130" s="988">
        <v>43831</v>
      </c>
      <c r="C1130" s="987" t="s">
        <v>4637</v>
      </c>
      <c r="D1130" s="987" t="s">
        <v>4639</v>
      </c>
      <c r="E1130" s="987">
        <v>41.32</v>
      </c>
      <c r="F1130" s="987">
        <f t="shared" si="9"/>
        <v>-7.2919003814224809E-2</v>
      </c>
      <c r="G1130" s="987">
        <v>0</v>
      </c>
      <c r="H1130" s="987">
        <v>2E-3</v>
      </c>
      <c r="I1130" s="987">
        <f t="shared" si="11"/>
        <v>-7.491900381422481E-2</v>
      </c>
      <c r="J1130" s="988">
        <f t="shared" si="10"/>
        <v>43831</v>
      </c>
    </row>
    <row r="1131" spans="2:10">
      <c r="B1131" s="988">
        <v>43862</v>
      </c>
      <c r="C1131" s="987" t="s">
        <v>4637</v>
      </c>
      <c r="D1131" s="987" t="s">
        <v>4639</v>
      </c>
      <c r="E1131" s="987">
        <v>35.31</v>
      </c>
      <c r="F1131" s="987">
        <f t="shared" si="9"/>
        <v>-0.1454501452081316</v>
      </c>
      <c r="G1131" s="987">
        <v>0</v>
      </c>
      <c r="H1131" s="987">
        <v>1.5E-3</v>
      </c>
      <c r="I1131" s="987">
        <f t="shared" si="11"/>
        <v>-0.1469501452081316</v>
      </c>
      <c r="J1131" s="988">
        <f t="shared" si="10"/>
        <v>43862</v>
      </c>
    </row>
    <row r="1132" spans="2:10">
      <c r="B1132" s="988">
        <v>43891</v>
      </c>
      <c r="C1132" s="987" t="s">
        <v>4637</v>
      </c>
      <c r="D1132" s="987" t="s">
        <v>4639</v>
      </c>
      <c r="E1132" s="987">
        <v>33.97</v>
      </c>
      <c r="F1132" s="987">
        <f t="shared" si="9"/>
        <v>-2.9099405267629663E-2</v>
      </c>
      <c r="G1132" s="987">
        <v>0.3125</v>
      </c>
      <c r="H1132" s="987">
        <v>1.23E-3</v>
      </c>
      <c r="I1132" s="987">
        <f t="shared" si="11"/>
        <v>-3.0329405267629662E-2</v>
      </c>
      <c r="J1132" s="988">
        <f t="shared" si="10"/>
        <v>43891</v>
      </c>
    </row>
    <row r="1133" spans="2:10">
      <c r="B1133" s="988">
        <v>43922</v>
      </c>
      <c r="C1133" s="987" t="s">
        <v>4637</v>
      </c>
      <c r="D1133" s="987" t="s">
        <v>4639</v>
      </c>
      <c r="E1133" s="987">
        <v>33.78</v>
      </c>
      <c r="F1133" s="987">
        <f t="shared" si="9"/>
        <v>-5.593170444509795E-3</v>
      </c>
      <c r="G1133" s="987">
        <v>0</v>
      </c>
      <c r="H1133" s="987">
        <v>8.9999999999999998E-4</v>
      </c>
      <c r="I1133" s="987">
        <f t="shared" si="11"/>
        <v>-6.4931704445097948E-3</v>
      </c>
      <c r="J1133" s="988">
        <f t="shared" si="10"/>
        <v>43922</v>
      </c>
    </row>
    <row r="1134" spans="2:10">
      <c r="B1134" s="988">
        <v>43952</v>
      </c>
      <c r="C1134" s="987" t="s">
        <v>4637</v>
      </c>
      <c r="D1134" s="987" t="s">
        <v>4639</v>
      </c>
      <c r="E1134" s="987">
        <v>35.119999999999997</v>
      </c>
      <c r="F1134" s="987">
        <f t="shared" si="9"/>
        <v>3.9668442865600839E-2</v>
      </c>
      <c r="G1134" s="987">
        <v>0</v>
      </c>
      <c r="H1134" s="987">
        <v>8.9999999999999998E-4</v>
      </c>
      <c r="I1134" s="987">
        <f t="shared" si="11"/>
        <v>3.8768442865600841E-2</v>
      </c>
      <c r="J1134" s="988">
        <f t="shared" si="10"/>
        <v>43952</v>
      </c>
    </row>
    <row r="1135" spans="2:10">
      <c r="B1135" s="988">
        <v>43983</v>
      </c>
      <c r="C1135" s="987" t="s">
        <v>4637</v>
      </c>
      <c r="D1135" s="987" t="s">
        <v>4639</v>
      </c>
      <c r="E1135" s="987">
        <v>32.65</v>
      </c>
      <c r="F1135" s="987">
        <f t="shared" si="9"/>
        <v>-6.1432232346241428E-2</v>
      </c>
      <c r="G1135" s="987">
        <v>0.3125</v>
      </c>
      <c r="H1135" s="987">
        <v>8.9999999999999998E-4</v>
      </c>
      <c r="I1135" s="987">
        <f t="shared" si="11"/>
        <v>-6.2332232346241426E-2</v>
      </c>
      <c r="J1135" s="988">
        <f t="shared" si="10"/>
        <v>43983</v>
      </c>
    </row>
    <row r="1136" spans="2:10">
      <c r="B1136" s="988">
        <v>44013</v>
      </c>
      <c r="C1136" s="987" t="s">
        <v>4637</v>
      </c>
      <c r="D1136" s="987" t="s">
        <v>4639</v>
      </c>
      <c r="E1136" s="987">
        <v>31.06</v>
      </c>
      <c r="F1136" s="987">
        <f t="shared" si="9"/>
        <v>-4.8698315467075037E-2</v>
      </c>
      <c r="G1136" s="987">
        <v>0</v>
      </c>
      <c r="H1136" s="987">
        <v>1E-3</v>
      </c>
      <c r="I1136" s="987">
        <f t="shared" si="11"/>
        <v>-4.9698315467075038E-2</v>
      </c>
      <c r="J1136" s="988">
        <f t="shared" si="10"/>
        <v>44013</v>
      </c>
    </row>
    <row r="1137" spans="2:10">
      <c r="B1137" s="988">
        <v>44044</v>
      </c>
      <c r="C1137" s="987" t="s">
        <v>4637</v>
      </c>
      <c r="D1137" s="987" t="s">
        <v>4639</v>
      </c>
      <c r="E1137" s="987">
        <v>30.14</v>
      </c>
      <c r="F1137" s="987">
        <f t="shared" ref="F1137:F1165" si="12">((E1137-E1136)/E1136)+(G1137/E1136)</f>
        <v>-2.9620090148100391E-2</v>
      </c>
      <c r="G1137" s="987">
        <v>0</v>
      </c>
      <c r="H1137" s="987">
        <v>8.0000000000000004E-4</v>
      </c>
      <c r="I1137" s="987">
        <f t="shared" si="11"/>
        <v>-3.042009014810039E-2</v>
      </c>
      <c r="J1137" s="988">
        <f t="shared" si="10"/>
        <v>44044</v>
      </c>
    </row>
    <row r="1138" spans="2:10">
      <c r="B1138" s="988">
        <v>44075</v>
      </c>
      <c r="C1138" s="987" t="s">
        <v>4637</v>
      </c>
      <c r="D1138" s="987" t="s">
        <v>4639</v>
      </c>
      <c r="E1138" s="987">
        <v>27.02</v>
      </c>
      <c r="F1138" s="987">
        <f t="shared" si="12"/>
        <v>-9.2485069674850734E-2</v>
      </c>
      <c r="G1138" s="987">
        <v>0.33250000000000002</v>
      </c>
      <c r="H1138" s="987">
        <v>0</v>
      </c>
      <c r="I1138" s="987">
        <f t="shared" si="11"/>
        <v>-9.2485069674850734E-2</v>
      </c>
      <c r="J1138" s="988">
        <f t="shared" si="10"/>
        <v>44075</v>
      </c>
    </row>
    <row r="1139" spans="2:10">
      <c r="B1139" s="988">
        <v>44105</v>
      </c>
      <c r="C1139" s="987" t="s">
        <v>4637</v>
      </c>
      <c r="D1139" s="987" t="s">
        <v>4639</v>
      </c>
      <c r="E1139" s="987">
        <v>29.18</v>
      </c>
      <c r="F1139" s="987">
        <f t="shared" si="12"/>
        <v>7.9940784603997048E-2</v>
      </c>
      <c r="G1139" s="987">
        <v>0</v>
      </c>
      <c r="H1139" s="987">
        <v>8.9999999999999998E-4</v>
      </c>
      <c r="I1139" s="987">
        <f t="shared" si="11"/>
        <v>7.904078460399705E-2</v>
      </c>
      <c r="J1139" s="988">
        <f t="shared" ref="J1139:J1165" si="13">B1139</f>
        <v>44105</v>
      </c>
    </row>
    <row r="1140" spans="2:10">
      <c r="B1140" s="988">
        <v>44136</v>
      </c>
      <c r="C1140" s="987" t="s">
        <v>4637</v>
      </c>
      <c r="D1140" s="987" t="s">
        <v>4639</v>
      </c>
      <c r="E1140" s="987">
        <v>33.03</v>
      </c>
      <c r="F1140" s="987">
        <f t="shared" si="12"/>
        <v>0.13193968471555864</v>
      </c>
      <c r="G1140" s="987">
        <v>0</v>
      </c>
      <c r="H1140" s="987">
        <v>1.1000000000000001E-3</v>
      </c>
      <c r="I1140" s="987">
        <f t="shared" si="11"/>
        <v>0.13083968471555865</v>
      </c>
      <c r="J1140" s="988">
        <f t="shared" si="13"/>
        <v>44136</v>
      </c>
    </row>
    <row r="1141" spans="2:10">
      <c r="B1141" s="988">
        <v>44166</v>
      </c>
      <c r="C1141" s="987" t="s">
        <v>4637</v>
      </c>
      <c r="D1141" s="987" t="s">
        <v>4639</v>
      </c>
      <c r="E1141" s="987">
        <v>35.549999999999997</v>
      </c>
      <c r="F1141" s="987">
        <f t="shared" si="12"/>
        <v>8.6360884044807629E-2</v>
      </c>
      <c r="G1141" s="987">
        <v>0.33250000000000002</v>
      </c>
      <c r="H1141" s="987">
        <v>1.1000000000000001E-3</v>
      </c>
      <c r="I1141" s="987">
        <f t="shared" si="11"/>
        <v>8.5260884044807625E-2</v>
      </c>
      <c r="J1141" s="988">
        <f t="shared" si="13"/>
        <v>44166</v>
      </c>
    </row>
    <row r="1142" spans="2:10">
      <c r="B1142" s="988">
        <v>44197</v>
      </c>
      <c r="C1142" s="987" t="s">
        <v>4637</v>
      </c>
      <c r="D1142" s="987" t="s">
        <v>4639</v>
      </c>
      <c r="E1142" s="987">
        <v>35.01</v>
      </c>
      <c r="F1142" s="987">
        <f t="shared" si="12"/>
        <v>-1.5189873417721496E-2</v>
      </c>
      <c r="G1142" s="987">
        <v>0</v>
      </c>
      <c r="H1142" s="987">
        <v>1.1000000000000001E-3</v>
      </c>
      <c r="I1142" s="987">
        <f t="shared" ref="I1142:I1165" si="14">F1142-H1142</f>
        <v>-1.6289873417721496E-2</v>
      </c>
      <c r="J1142" s="988">
        <f t="shared" si="13"/>
        <v>44197</v>
      </c>
    </row>
    <row r="1143" spans="2:10">
      <c r="B1143" s="988">
        <v>44228</v>
      </c>
      <c r="C1143" s="987" t="s">
        <v>4637</v>
      </c>
      <c r="D1143" s="987" t="s">
        <v>4639</v>
      </c>
      <c r="E1143" s="987">
        <v>39.29</v>
      </c>
      <c r="F1143" s="987">
        <f t="shared" si="12"/>
        <v>0.12225078548986008</v>
      </c>
      <c r="G1143" s="987">
        <v>0</v>
      </c>
      <c r="H1143" s="987">
        <v>1.1999999999999999E-3</v>
      </c>
      <c r="I1143" s="987">
        <f t="shared" si="14"/>
        <v>0.12105078548986008</v>
      </c>
      <c r="J1143" s="988">
        <f t="shared" si="13"/>
        <v>44228</v>
      </c>
    </row>
    <row r="1144" spans="2:10">
      <c r="B1144" s="988">
        <v>44256</v>
      </c>
      <c r="C1144" s="987" t="s">
        <v>4637</v>
      </c>
      <c r="D1144" s="987" t="s">
        <v>4639</v>
      </c>
      <c r="E1144" s="987">
        <v>39.869999999999997</v>
      </c>
      <c r="F1144" s="987">
        <f t="shared" si="12"/>
        <v>2.3224739119368752E-2</v>
      </c>
      <c r="G1144" s="987">
        <v>0.33250000000000002</v>
      </c>
      <c r="H1144" s="987">
        <v>1.8E-3</v>
      </c>
      <c r="I1144" s="987">
        <f t="shared" si="14"/>
        <v>2.1424739119368753E-2</v>
      </c>
      <c r="J1144" s="988">
        <f t="shared" si="13"/>
        <v>44256</v>
      </c>
    </row>
    <row r="1145" spans="2:10">
      <c r="B1145" s="988">
        <v>44287</v>
      </c>
      <c r="C1145" s="987" t="s">
        <v>4637</v>
      </c>
      <c r="D1145" s="987" t="s">
        <v>4639</v>
      </c>
      <c r="E1145" s="987">
        <v>41.95</v>
      </c>
      <c r="F1145" s="987">
        <f t="shared" si="12"/>
        <v>5.2169551040883007E-2</v>
      </c>
      <c r="G1145" s="987">
        <v>0</v>
      </c>
      <c r="H1145" s="987">
        <v>1.9E-3</v>
      </c>
      <c r="I1145" s="987">
        <f t="shared" si="14"/>
        <v>5.0269551040883008E-2</v>
      </c>
      <c r="J1145" s="988">
        <f t="shared" si="13"/>
        <v>44287</v>
      </c>
    </row>
    <row r="1146" spans="2:10">
      <c r="B1146" s="988">
        <v>44317</v>
      </c>
      <c r="C1146" s="987" t="s">
        <v>4637</v>
      </c>
      <c r="D1146" s="987" t="s">
        <v>4639</v>
      </c>
      <c r="E1146" s="987">
        <v>42.72</v>
      </c>
      <c r="F1146" s="987">
        <f t="shared" si="12"/>
        <v>1.8355184743742453E-2</v>
      </c>
      <c r="G1146" s="987">
        <v>0</v>
      </c>
      <c r="H1146" s="987">
        <v>1.8E-3</v>
      </c>
      <c r="I1146" s="987">
        <f t="shared" si="14"/>
        <v>1.6555184743742454E-2</v>
      </c>
      <c r="J1146" s="988">
        <f t="shared" si="13"/>
        <v>44317</v>
      </c>
    </row>
    <row r="1147" spans="2:10">
      <c r="B1147" s="988">
        <v>44348</v>
      </c>
      <c r="C1147" s="987" t="s">
        <v>4637</v>
      </c>
      <c r="D1147" s="987" t="s">
        <v>4639</v>
      </c>
      <c r="E1147" s="987">
        <v>39.57</v>
      </c>
      <c r="F1147" s="987">
        <f t="shared" si="12"/>
        <v>-6.5952715355805214E-2</v>
      </c>
      <c r="G1147" s="987">
        <v>0.33250000000000002</v>
      </c>
      <c r="H1147" s="987">
        <v>1.6999999999999999E-3</v>
      </c>
      <c r="I1147" s="987">
        <f t="shared" si="14"/>
        <v>-6.7652715355805207E-2</v>
      </c>
      <c r="J1147" s="988">
        <f t="shared" si="13"/>
        <v>44348</v>
      </c>
    </row>
    <row r="1148" spans="2:10">
      <c r="B1148" s="988">
        <v>44378</v>
      </c>
      <c r="C1148" s="987" t="s">
        <v>4637</v>
      </c>
      <c r="D1148" s="987" t="s">
        <v>4639</v>
      </c>
      <c r="E1148" s="987">
        <v>38.520000000000003</v>
      </c>
      <c r="F1148" s="987">
        <f t="shared" si="12"/>
        <v>-2.6535253980288026E-2</v>
      </c>
      <c r="G1148" s="987">
        <v>0</v>
      </c>
      <c r="H1148" s="987">
        <v>1.6000000000000001E-3</v>
      </c>
      <c r="I1148" s="987">
        <f t="shared" si="14"/>
        <v>-2.8135253980288027E-2</v>
      </c>
      <c r="J1148" s="988">
        <f t="shared" si="13"/>
        <v>44378</v>
      </c>
    </row>
    <row r="1149" spans="2:10">
      <c r="B1149" s="988">
        <v>44409</v>
      </c>
      <c r="C1149" s="987" t="s">
        <v>4637</v>
      </c>
      <c r="D1149" s="987" t="s">
        <v>4639</v>
      </c>
      <c r="E1149" s="987">
        <v>37.340000000000003</v>
      </c>
      <c r="F1149" s="987">
        <f t="shared" si="12"/>
        <v>-3.0633437175493241E-2</v>
      </c>
      <c r="G1149" s="987">
        <v>0</v>
      </c>
      <c r="H1149" s="987">
        <v>1.5E-3</v>
      </c>
      <c r="I1149" s="987">
        <f t="shared" si="14"/>
        <v>-3.2133437175493239E-2</v>
      </c>
      <c r="J1149" s="988">
        <f t="shared" si="13"/>
        <v>44409</v>
      </c>
    </row>
    <row r="1150" spans="2:10">
      <c r="B1150" s="988">
        <v>44440</v>
      </c>
      <c r="C1150" s="987" t="s">
        <v>4637</v>
      </c>
      <c r="D1150" s="987" t="s">
        <v>4639</v>
      </c>
      <c r="E1150" s="987">
        <v>34.81</v>
      </c>
      <c r="F1150" s="987">
        <f t="shared" si="12"/>
        <v>-5.8047670058918074E-2</v>
      </c>
      <c r="G1150" s="987">
        <v>0.36249999999999999</v>
      </c>
      <c r="H1150" s="987">
        <v>1.4E-3</v>
      </c>
      <c r="I1150" s="987">
        <f t="shared" si="14"/>
        <v>-5.9447670058918073E-2</v>
      </c>
      <c r="J1150" s="988">
        <f t="shared" si="13"/>
        <v>44440</v>
      </c>
    </row>
    <row r="1151" spans="2:10">
      <c r="B1151" s="988">
        <v>44470</v>
      </c>
      <c r="C1151" s="987" t="s">
        <v>4637</v>
      </c>
      <c r="D1151" s="987" t="s">
        <v>4639</v>
      </c>
      <c r="E1151" s="987">
        <v>37.81</v>
      </c>
      <c r="F1151" s="987">
        <f t="shared" si="12"/>
        <v>8.618213157138753E-2</v>
      </c>
      <c r="G1151" s="987">
        <v>0</v>
      </c>
      <c r="H1151" s="987">
        <v>1.5E-3</v>
      </c>
      <c r="I1151" s="987">
        <f t="shared" si="14"/>
        <v>8.4682131571387528E-2</v>
      </c>
      <c r="J1151" s="988">
        <f t="shared" si="13"/>
        <v>44470</v>
      </c>
    </row>
    <row r="1152" spans="2:10">
      <c r="B1152" s="988">
        <v>44501</v>
      </c>
      <c r="C1152" s="987" t="s">
        <v>4637</v>
      </c>
      <c r="D1152" s="987" t="s">
        <v>4639</v>
      </c>
      <c r="E1152" s="987">
        <v>36.78</v>
      </c>
      <c r="F1152" s="987">
        <f t="shared" si="12"/>
        <v>-2.7241470510447001E-2</v>
      </c>
      <c r="G1152" s="987">
        <v>0</v>
      </c>
      <c r="H1152" s="987">
        <v>1.6999999999999999E-3</v>
      </c>
      <c r="I1152" s="987">
        <f t="shared" si="14"/>
        <v>-2.8941470510447001E-2</v>
      </c>
      <c r="J1152" s="988">
        <f t="shared" si="13"/>
        <v>44501</v>
      </c>
    </row>
    <row r="1153" spans="2:10">
      <c r="B1153" s="988">
        <v>44531</v>
      </c>
      <c r="C1153" s="987" t="s">
        <v>4637</v>
      </c>
      <c r="D1153" s="987" t="s">
        <v>4639</v>
      </c>
      <c r="E1153" s="987">
        <v>41.06</v>
      </c>
      <c r="F1153" s="987">
        <f t="shared" si="12"/>
        <v>0.12622349102773248</v>
      </c>
      <c r="G1153" s="987">
        <v>0.36249999999999999</v>
      </c>
      <c r="H1153" s="987">
        <v>1.5E-3</v>
      </c>
      <c r="I1153" s="987">
        <f t="shared" si="14"/>
        <v>0.12472349102773247</v>
      </c>
      <c r="J1153" s="988">
        <f t="shared" si="13"/>
        <v>44531</v>
      </c>
    </row>
    <row r="1154" spans="2:10">
      <c r="B1154" s="988">
        <v>44562</v>
      </c>
      <c r="C1154" s="987" t="s">
        <v>4637</v>
      </c>
      <c r="D1154" s="987" t="s">
        <v>4639</v>
      </c>
      <c r="E1154" s="987">
        <v>40.21</v>
      </c>
      <c r="F1154" s="987">
        <f t="shared" si="12"/>
        <v>-2.0701412566975191E-2</v>
      </c>
      <c r="G1154" s="987">
        <v>0</v>
      </c>
      <c r="H1154" s="987">
        <v>1.7500000000000003E-3</v>
      </c>
      <c r="I1154" s="987">
        <f t="shared" si="14"/>
        <v>-2.2451412566975193E-2</v>
      </c>
      <c r="J1154" s="988">
        <f t="shared" si="13"/>
        <v>44562</v>
      </c>
    </row>
    <row r="1155" spans="2:10">
      <c r="B1155" s="988">
        <v>44593</v>
      </c>
      <c r="C1155" s="987" t="s">
        <v>4637</v>
      </c>
      <c r="D1155" s="987" t="s">
        <v>4639</v>
      </c>
      <c r="E1155" s="987">
        <v>43.62</v>
      </c>
      <c r="F1155" s="987">
        <f t="shared" si="12"/>
        <v>8.480477493160897E-2</v>
      </c>
      <c r="G1155" s="987">
        <v>0</v>
      </c>
      <c r="H1155" s="987">
        <v>1.8749999999999999E-3</v>
      </c>
      <c r="I1155" s="987">
        <f t="shared" si="14"/>
        <v>8.2929774931608968E-2</v>
      </c>
      <c r="J1155" s="988">
        <f t="shared" si="13"/>
        <v>44593</v>
      </c>
    </row>
    <row r="1156" spans="2:10">
      <c r="B1156" s="988">
        <v>44621</v>
      </c>
      <c r="C1156" s="987" t="s">
        <v>4637</v>
      </c>
      <c r="D1156" s="987" t="s">
        <v>4639</v>
      </c>
      <c r="E1156" s="987">
        <v>45.86</v>
      </c>
      <c r="F1156" s="987">
        <f t="shared" si="12"/>
        <v>5.9662998624484237E-2</v>
      </c>
      <c r="G1156" s="987">
        <v>0.36249999999999999</v>
      </c>
      <c r="H1156" s="987">
        <v>2.0083333333333333E-3</v>
      </c>
      <c r="I1156" s="987">
        <f t="shared" si="14"/>
        <v>5.7654665291150903E-2</v>
      </c>
      <c r="J1156" s="988">
        <f t="shared" si="13"/>
        <v>44621</v>
      </c>
    </row>
    <row r="1157" spans="2:10">
      <c r="B1157" s="988">
        <v>44652</v>
      </c>
      <c r="C1157" s="987" t="s">
        <v>4637</v>
      </c>
      <c r="D1157" s="987" t="s">
        <v>4639</v>
      </c>
      <c r="E1157" s="987">
        <v>43.16</v>
      </c>
      <c r="F1157" s="987">
        <f t="shared" si="12"/>
        <v>-5.8874836458787674E-2</v>
      </c>
      <c r="G1157" s="987">
        <v>0</v>
      </c>
      <c r="H1157" s="987">
        <v>2.3416666666666668E-3</v>
      </c>
      <c r="I1157" s="987">
        <f t="shared" si="14"/>
        <v>-6.121650312545434E-2</v>
      </c>
      <c r="J1157" s="988">
        <f t="shared" si="13"/>
        <v>44652</v>
      </c>
    </row>
    <row r="1158" spans="2:10">
      <c r="B1158" s="988">
        <v>44682</v>
      </c>
      <c r="C1158" s="987" t="s">
        <v>4637</v>
      </c>
      <c r="D1158" s="987" t="s">
        <v>4639</v>
      </c>
      <c r="E1158" s="987">
        <v>45.92</v>
      </c>
      <c r="F1158" s="987">
        <f t="shared" si="12"/>
        <v>6.3948100092678525E-2</v>
      </c>
      <c r="G1158" s="987">
        <v>0</v>
      </c>
      <c r="H1158" s="987">
        <v>2.558333333333333E-3</v>
      </c>
      <c r="I1158" s="987">
        <f t="shared" si="14"/>
        <v>6.1389766759345189E-2</v>
      </c>
      <c r="J1158" s="988">
        <f t="shared" si="13"/>
        <v>44682</v>
      </c>
    </row>
    <row r="1159" spans="2:10">
      <c r="B1159" s="988">
        <v>44713</v>
      </c>
      <c r="C1159" s="987" t="s">
        <v>4637</v>
      </c>
      <c r="D1159" s="987" t="s">
        <v>4639</v>
      </c>
      <c r="E1159" s="987">
        <v>44.53</v>
      </c>
      <c r="F1159" s="987">
        <f t="shared" si="12"/>
        <v>-2.2375871080139387E-2</v>
      </c>
      <c r="G1159" s="987">
        <v>0.36249999999999999</v>
      </c>
      <c r="H1159" s="987">
        <v>2.708333333333333E-3</v>
      </c>
      <c r="I1159" s="987">
        <f t="shared" si="14"/>
        <v>-2.508420441347272E-2</v>
      </c>
      <c r="J1159" s="988">
        <f t="shared" si="13"/>
        <v>44713</v>
      </c>
    </row>
    <row r="1160" spans="2:10">
      <c r="B1160" s="988">
        <v>44743</v>
      </c>
      <c r="C1160" s="987" t="s">
        <v>4637</v>
      </c>
      <c r="D1160" s="987" t="s">
        <v>4639</v>
      </c>
      <c r="E1160" s="987">
        <v>46.19</v>
      </c>
      <c r="F1160" s="987">
        <f t="shared" si="12"/>
        <v>3.7278239389175759E-2</v>
      </c>
      <c r="G1160" s="987">
        <v>0</v>
      </c>
      <c r="H1160" s="987">
        <v>2.5833333333333337E-3</v>
      </c>
      <c r="I1160" s="987">
        <f t="shared" si="14"/>
        <v>3.4694906055842425E-2</v>
      </c>
      <c r="J1160" s="988">
        <f t="shared" si="13"/>
        <v>44743</v>
      </c>
    </row>
    <row r="1161" spans="2:10">
      <c r="B1161" s="988">
        <v>44774</v>
      </c>
      <c r="C1161" s="987" t="s">
        <v>4637</v>
      </c>
      <c r="D1161" s="987" t="s">
        <v>4639</v>
      </c>
      <c r="E1161" s="987">
        <v>44.14</v>
      </c>
      <c r="F1161" s="987">
        <f t="shared" si="12"/>
        <v>-4.4381900844338545E-2</v>
      </c>
      <c r="G1161" s="987">
        <v>0</v>
      </c>
      <c r="H1161" s="987">
        <v>2.6083333333333332E-3</v>
      </c>
      <c r="I1161" s="987">
        <f t="shared" si="14"/>
        <v>-4.6990234177671876E-2</v>
      </c>
      <c r="J1161" s="988">
        <f t="shared" si="13"/>
        <v>44774</v>
      </c>
    </row>
    <row r="1162" spans="2:10">
      <c r="B1162" s="988">
        <v>44805</v>
      </c>
      <c r="C1162" s="987" t="s">
        <v>4637</v>
      </c>
      <c r="D1162" s="987" t="s">
        <v>4639</v>
      </c>
      <c r="E1162" s="987">
        <v>38.700000000000003</v>
      </c>
      <c r="F1162" s="987">
        <f t="shared" si="12"/>
        <v>-0.11440869959220656</v>
      </c>
      <c r="G1162" s="987">
        <v>0.39</v>
      </c>
      <c r="H1162" s="987">
        <v>2.9666666666666669E-3</v>
      </c>
      <c r="I1162" s="987">
        <f t="shared" si="14"/>
        <v>-0.11737536625887324</v>
      </c>
      <c r="J1162" s="988">
        <f t="shared" si="13"/>
        <v>44805</v>
      </c>
    </row>
    <row r="1163" spans="2:10">
      <c r="B1163" s="988">
        <v>44835</v>
      </c>
      <c r="C1163" s="987" t="s">
        <v>4637</v>
      </c>
      <c r="D1163" s="987" t="s">
        <v>4639</v>
      </c>
      <c r="E1163" s="987">
        <v>44.64</v>
      </c>
      <c r="F1163" s="987">
        <f t="shared" si="12"/>
        <v>0.15348837209302318</v>
      </c>
      <c r="G1163" s="987">
        <v>0</v>
      </c>
      <c r="H1163" s="987">
        <v>3.3666666666666667E-3</v>
      </c>
      <c r="I1163" s="987">
        <f t="shared" si="14"/>
        <v>0.15012170542635653</v>
      </c>
      <c r="J1163" s="988">
        <f t="shared" si="13"/>
        <v>44835</v>
      </c>
    </row>
    <row r="1164" spans="2:10">
      <c r="B1164" s="988">
        <v>44866</v>
      </c>
      <c r="C1164" s="987" t="s">
        <v>4637</v>
      </c>
      <c r="D1164" s="987" t="s">
        <v>4639</v>
      </c>
      <c r="E1164" s="987">
        <v>49.75</v>
      </c>
      <c r="F1164" s="987">
        <f t="shared" si="12"/>
        <v>0.11447132616487454</v>
      </c>
      <c r="G1164" s="987">
        <v>0</v>
      </c>
      <c r="H1164" s="987">
        <v>3.3333333333333331E-3</v>
      </c>
      <c r="I1164" s="987">
        <f t="shared" si="14"/>
        <v>0.11113799283154122</v>
      </c>
      <c r="J1164" s="988">
        <f t="shared" si="13"/>
        <v>44866</v>
      </c>
    </row>
    <row r="1165" spans="2:10">
      <c r="B1165" s="988">
        <v>44896</v>
      </c>
      <c r="C1165" s="987" t="s">
        <v>4637</v>
      </c>
      <c r="D1165" s="987" t="s">
        <v>4639</v>
      </c>
      <c r="E1165" s="987">
        <v>49.62</v>
      </c>
      <c r="F1165" s="987">
        <f t="shared" si="12"/>
        <v>5.2261306532662812E-3</v>
      </c>
      <c r="G1165" s="987">
        <v>0.39</v>
      </c>
      <c r="H1165" s="987">
        <v>3.0499999999999998E-3</v>
      </c>
      <c r="I1165" s="987">
        <f t="shared" si="14"/>
        <v>2.1761306532662814E-3</v>
      </c>
      <c r="J1165" s="988">
        <f t="shared" si="13"/>
        <v>44896</v>
      </c>
    </row>
  </sheetData>
  <conditionalFormatting sqref="E565:E1037">
    <cfRule type="cellIs" dxfId="9" priority="1" stopIfTrue="1" operator="lessThan">
      <formula>0</formula>
    </cfRule>
  </conditionalFormatting>
  <conditionalFormatting sqref="F565:F1026">
    <cfRule type="cellIs" dxfId="8" priority="2" stopIfTrue="1" operator="lessThan">
      <formula>-1</formula>
    </cfRule>
  </conditionalFormatting>
  <pageMargins left="0.70000000000000007" right="0.70000000000000007" top="0.75" bottom="0.75" header="0.30000000000000004" footer="0.30000000000000004"/>
  <pageSetup paperSize="0" scale="94" fitToWidth="0" fitToHeight="0" orientation="portrait" horizontalDpi="0" verticalDpi="0" copie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5"/>
  <sheetViews>
    <sheetView workbookViewId="0"/>
  </sheetViews>
  <sheetFormatPr defaultColWidth="9" defaultRowHeight="13.2"/>
  <cols>
    <col min="1" max="1" width="11.33203125" style="987" customWidth="1"/>
    <col min="2" max="2" width="10.5546875" style="988" bestFit="1" customWidth="1"/>
    <col min="3" max="3" width="32" style="987" bestFit="1" customWidth="1"/>
    <col min="4" max="4" width="6.88671875" style="987" customWidth="1"/>
    <col min="5" max="5" width="10.109375" style="987" customWidth="1"/>
    <col min="6" max="6" width="9.109375" style="987" bestFit="1" customWidth="1"/>
    <col min="7" max="7" width="10.33203125" style="987" customWidth="1"/>
    <col min="8" max="9" width="9.6640625" style="987" bestFit="1" customWidth="1"/>
    <col min="10" max="10" width="10.109375" style="988" bestFit="1" customWidth="1"/>
    <col min="11" max="11" width="9.5546875" style="987" customWidth="1"/>
    <col min="12" max="16384" width="9" style="987"/>
  </cols>
  <sheetData>
    <row r="1" spans="1:10" ht="39.6">
      <c r="A1" s="984" t="s">
        <v>4619</v>
      </c>
      <c r="B1" s="985" t="s">
        <v>4620</v>
      </c>
      <c r="C1" s="984" t="s">
        <v>4621</v>
      </c>
      <c r="D1" s="984" t="s">
        <v>181</v>
      </c>
      <c r="E1" s="984" t="s">
        <v>4622</v>
      </c>
      <c r="F1" s="984" t="s">
        <v>4623</v>
      </c>
      <c r="G1" s="984" t="s">
        <v>4624</v>
      </c>
      <c r="H1" s="986" t="s">
        <v>4625</v>
      </c>
      <c r="I1" s="987" t="s">
        <v>1482</v>
      </c>
      <c r="J1" s="985" t="s">
        <v>4620</v>
      </c>
    </row>
    <row r="2" spans="1:10">
      <c r="B2" s="988">
        <v>9498</v>
      </c>
      <c r="H2" s="986">
        <v>3.0999999999999999E-3</v>
      </c>
      <c r="I2" s="986"/>
      <c r="J2" s="988">
        <v>9498</v>
      </c>
    </row>
    <row r="3" spans="1:10">
      <c r="B3" s="988">
        <v>9529</v>
      </c>
      <c r="H3" s="986">
        <v>2.8E-3</v>
      </c>
      <c r="I3" s="986"/>
      <c r="J3" s="988">
        <v>9529</v>
      </c>
    </row>
    <row r="4" spans="1:10">
      <c r="B4" s="988">
        <v>9557</v>
      </c>
      <c r="H4" s="986">
        <v>3.2000000000000002E-3</v>
      </c>
      <c r="I4" s="986"/>
      <c r="J4" s="988">
        <v>9557</v>
      </c>
    </row>
    <row r="5" spans="1:10">
      <c r="B5" s="988">
        <v>9588</v>
      </c>
      <c r="H5" s="986">
        <v>3.0000000000000001E-3</v>
      </c>
      <c r="I5" s="986"/>
      <c r="J5" s="988">
        <v>9588</v>
      </c>
    </row>
    <row r="6" spans="1:10">
      <c r="B6" s="988">
        <v>9618</v>
      </c>
      <c r="H6" s="986">
        <v>2.8E-3</v>
      </c>
      <c r="I6" s="986"/>
      <c r="J6" s="988">
        <v>9618</v>
      </c>
    </row>
    <row r="7" spans="1:10">
      <c r="B7" s="988">
        <v>9649</v>
      </c>
      <c r="H7" s="986">
        <v>3.3E-3</v>
      </c>
      <c r="I7" s="986"/>
      <c r="J7" s="988">
        <v>9649</v>
      </c>
    </row>
    <row r="8" spans="1:10">
      <c r="B8" s="988">
        <v>9679</v>
      </c>
      <c r="H8" s="986">
        <v>3.0999999999999999E-3</v>
      </c>
      <c r="I8" s="986"/>
      <c r="J8" s="988">
        <v>9679</v>
      </c>
    </row>
    <row r="9" spans="1:10">
      <c r="B9" s="988">
        <v>9710</v>
      </c>
      <c r="H9" s="986">
        <v>3.0999999999999999E-3</v>
      </c>
      <c r="I9" s="986"/>
      <c r="J9" s="988">
        <v>9710</v>
      </c>
    </row>
    <row r="10" spans="1:10">
      <c r="B10" s="988">
        <v>9741</v>
      </c>
      <c r="H10" s="986">
        <v>3.0000000000000001E-3</v>
      </c>
      <c r="I10" s="986"/>
      <c r="J10" s="988">
        <v>9741</v>
      </c>
    </row>
    <row r="11" spans="1:10">
      <c r="B11" s="988">
        <v>9771</v>
      </c>
      <c r="H11" s="986">
        <v>3.0000000000000001E-3</v>
      </c>
      <c r="I11" s="986"/>
      <c r="J11" s="988">
        <v>9771</v>
      </c>
    </row>
    <row r="12" spans="1:10">
      <c r="B12" s="988">
        <v>9802</v>
      </c>
      <c r="H12" s="986">
        <v>3.0999999999999999E-3</v>
      </c>
      <c r="I12" s="986"/>
      <c r="J12" s="988">
        <v>9802</v>
      </c>
    </row>
    <row r="13" spans="1:10">
      <c r="B13" s="988">
        <v>9832</v>
      </c>
      <c r="H13" s="986">
        <v>3.0000000000000001E-3</v>
      </c>
      <c r="I13" s="986"/>
      <c r="J13" s="988">
        <v>9832</v>
      </c>
    </row>
    <row r="14" spans="1:10">
      <c r="B14" s="988">
        <v>9863</v>
      </c>
      <c r="H14" s="986">
        <v>3.0000000000000001E-3</v>
      </c>
      <c r="I14" s="986"/>
      <c r="J14" s="988">
        <v>9863</v>
      </c>
    </row>
    <row r="15" spans="1:10">
      <c r="B15" s="988">
        <v>9894</v>
      </c>
      <c r="H15" s="986">
        <v>2.7000000000000001E-3</v>
      </c>
      <c r="I15" s="986"/>
      <c r="J15" s="988">
        <v>9894</v>
      </c>
    </row>
    <row r="16" spans="1:10">
      <c r="B16" s="988">
        <v>9922</v>
      </c>
      <c r="H16" s="986">
        <v>2.8999999999999998E-3</v>
      </c>
      <c r="I16" s="986"/>
      <c r="J16" s="988">
        <v>9922</v>
      </c>
    </row>
    <row r="17" spans="2:10">
      <c r="B17" s="988">
        <v>9953</v>
      </c>
      <c r="H17" s="986">
        <v>2.7000000000000001E-3</v>
      </c>
      <c r="I17" s="986"/>
      <c r="J17" s="988">
        <v>9953</v>
      </c>
    </row>
    <row r="18" spans="2:10">
      <c r="B18" s="988">
        <v>9983</v>
      </c>
      <c r="H18" s="986">
        <v>2.8E-3</v>
      </c>
      <c r="I18" s="986"/>
      <c r="J18" s="988">
        <v>9983</v>
      </c>
    </row>
    <row r="19" spans="2:10">
      <c r="B19" s="988">
        <v>10014</v>
      </c>
      <c r="H19" s="986">
        <v>2.7000000000000001E-3</v>
      </c>
      <c r="I19" s="986"/>
      <c r="J19" s="988">
        <v>10014</v>
      </c>
    </row>
    <row r="20" spans="2:10">
      <c r="B20" s="988">
        <v>10044</v>
      </c>
      <c r="H20" s="986">
        <v>2.7000000000000001E-3</v>
      </c>
      <c r="I20" s="986"/>
      <c r="J20" s="988">
        <v>10044</v>
      </c>
    </row>
    <row r="21" spans="2:10">
      <c r="B21" s="988">
        <v>10075</v>
      </c>
      <c r="H21" s="986">
        <v>2.8999999999999998E-3</v>
      </c>
      <c r="I21" s="986"/>
      <c r="J21" s="988">
        <v>10075</v>
      </c>
    </row>
    <row r="22" spans="2:10">
      <c r="B22" s="988">
        <v>10106</v>
      </c>
      <c r="H22" s="986">
        <v>2.7000000000000001E-3</v>
      </c>
      <c r="I22" s="986"/>
      <c r="J22" s="988">
        <v>10106</v>
      </c>
    </row>
    <row r="23" spans="2:10">
      <c r="B23" s="988">
        <v>10136</v>
      </c>
      <c r="H23" s="986">
        <v>2.8E-3</v>
      </c>
      <c r="I23" s="986"/>
      <c r="J23" s="988">
        <v>10136</v>
      </c>
    </row>
    <row r="24" spans="2:10">
      <c r="B24" s="988">
        <v>10167</v>
      </c>
      <c r="H24" s="986">
        <v>2.7000000000000001E-3</v>
      </c>
      <c r="I24" s="986"/>
      <c r="J24" s="988">
        <v>10167</v>
      </c>
    </row>
    <row r="25" spans="2:10">
      <c r="B25" s="988">
        <v>10197</v>
      </c>
      <c r="H25" s="986">
        <v>2.7000000000000001E-3</v>
      </c>
      <c r="I25" s="986"/>
      <c r="J25" s="988">
        <v>10197</v>
      </c>
    </row>
    <row r="26" spans="2:10">
      <c r="B26" s="988">
        <v>10228</v>
      </c>
      <c r="H26" s="986">
        <v>2.7000000000000001E-3</v>
      </c>
      <c r="I26" s="986"/>
      <c r="J26" s="988">
        <v>10228</v>
      </c>
    </row>
    <row r="27" spans="2:10">
      <c r="B27" s="988">
        <v>10259</v>
      </c>
      <c r="H27" s="986">
        <v>2.5000000000000001E-3</v>
      </c>
      <c r="I27" s="986"/>
      <c r="J27" s="988">
        <v>10259</v>
      </c>
    </row>
    <row r="28" spans="2:10">
      <c r="B28" s="988">
        <v>10288</v>
      </c>
      <c r="H28" s="986">
        <v>2.7000000000000001E-3</v>
      </c>
      <c r="I28" s="986"/>
      <c r="J28" s="988">
        <v>10288</v>
      </c>
    </row>
    <row r="29" spans="2:10">
      <c r="B29" s="988">
        <v>10319</v>
      </c>
      <c r="H29" s="986">
        <v>2.5999999999999999E-3</v>
      </c>
      <c r="I29" s="986"/>
      <c r="J29" s="988">
        <v>10319</v>
      </c>
    </row>
    <row r="30" spans="2:10">
      <c r="B30" s="988">
        <v>10349</v>
      </c>
      <c r="H30" s="986">
        <v>2.7000000000000001E-3</v>
      </c>
      <c r="I30" s="986"/>
      <c r="J30" s="988">
        <v>10349</v>
      </c>
    </row>
    <row r="31" spans="2:10">
      <c r="B31" s="988">
        <v>10380</v>
      </c>
      <c r="H31" s="986">
        <v>2.7000000000000001E-3</v>
      </c>
      <c r="I31" s="986"/>
      <c r="J31" s="988">
        <v>10380</v>
      </c>
    </row>
    <row r="32" spans="2:10">
      <c r="B32" s="988">
        <v>10410</v>
      </c>
      <c r="H32" s="986">
        <v>2.7000000000000001E-3</v>
      </c>
      <c r="I32" s="986"/>
      <c r="J32" s="988">
        <v>10410</v>
      </c>
    </row>
    <row r="33" spans="2:10">
      <c r="B33" s="988">
        <v>10441</v>
      </c>
      <c r="H33" s="986">
        <v>2.8999999999999998E-3</v>
      </c>
      <c r="I33" s="986"/>
      <c r="J33" s="988">
        <v>10441</v>
      </c>
    </row>
    <row r="34" spans="2:10">
      <c r="B34" s="988">
        <v>10472</v>
      </c>
      <c r="H34" s="986">
        <v>2.7000000000000001E-3</v>
      </c>
      <c r="I34" s="986"/>
      <c r="J34" s="988">
        <v>10472</v>
      </c>
    </row>
    <row r="35" spans="2:10">
      <c r="B35" s="988">
        <v>10502</v>
      </c>
      <c r="H35" s="986">
        <v>3.0000000000000001E-3</v>
      </c>
      <c r="I35" s="986"/>
      <c r="J35" s="988">
        <v>10502</v>
      </c>
    </row>
    <row r="36" spans="2:10">
      <c r="B36" s="988">
        <v>10533</v>
      </c>
      <c r="H36" s="986">
        <v>2.7000000000000001E-3</v>
      </c>
      <c r="I36" s="986"/>
      <c r="J36" s="988">
        <v>10533</v>
      </c>
    </row>
    <row r="37" spans="2:10">
      <c r="B37" s="988">
        <v>10563</v>
      </c>
      <c r="H37" s="986">
        <v>2.8999999999999998E-3</v>
      </c>
      <c r="I37" s="986"/>
      <c r="J37" s="988">
        <v>10563</v>
      </c>
    </row>
    <row r="38" spans="2:10">
      <c r="B38" s="988">
        <v>10594</v>
      </c>
      <c r="H38" s="986">
        <v>2.8999999999999998E-3</v>
      </c>
      <c r="I38" s="986"/>
      <c r="J38" s="988">
        <v>10594</v>
      </c>
    </row>
    <row r="39" spans="2:10">
      <c r="B39" s="988">
        <v>10625</v>
      </c>
      <c r="H39" s="986">
        <v>2.7000000000000001E-3</v>
      </c>
      <c r="I39" s="986"/>
      <c r="J39" s="988">
        <v>10625</v>
      </c>
    </row>
    <row r="40" spans="2:10">
      <c r="B40" s="988">
        <v>10653</v>
      </c>
      <c r="H40" s="986">
        <v>2.8E-3</v>
      </c>
      <c r="I40" s="986"/>
      <c r="J40" s="988">
        <v>10653</v>
      </c>
    </row>
    <row r="41" spans="2:10">
      <c r="B41" s="988">
        <v>10684</v>
      </c>
      <c r="H41" s="986">
        <v>3.3999999999999998E-3</v>
      </c>
      <c r="I41" s="986"/>
      <c r="J41" s="988">
        <v>10684</v>
      </c>
    </row>
    <row r="42" spans="2:10">
      <c r="B42" s="988">
        <v>10714</v>
      </c>
      <c r="H42" s="986">
        <v>3.0000000000000001E-3</v>
      </c>
      <c r="I42" s="986"/>
      <c r="J42" s="988">
        <v>10714</v>
      </c>
    </row>
    <row r="43" spans="2:10">
      <c r="B43" s="988">
        <v>10745</v>
      </c>
      <c r="H43" s="986">
        <v>2.8999999999999998E-3</v>
      </c>
      <c r="I43" s="986"/>
      <c r="J43" s="988">
        <v>10745</v>
      </c>
    </row>
    <row r="44" spans="2:10">
      <c r="B44" s="988">
        <v>10775</v>
      </c>
      <c r="H44" s="986">
        <v>3.2000000000000002E-3</v>
      </c>
      <c r="I44" s="986"/>
      <c r="J44" s="988">
        <v>10775</v>
      </c>
    </row>
    <row r="45" spans="2:10">
      <c r="B45" s="988">
        <v>10806</v>
      </c>
      <c r="H45" s="986">
        <v>3.0000000000000001E-3</v>
      </c>
      <c r="I45" s="986"/>
      <c r="J45" s="988">
        <v>10806</v>
      </c>
    </row>
    <row r="46" spans="2:10">
      <c r="B46" s="988">
        <v>10837</v>
      </c>
      <c r="H46" s="986">
        <v>3.2000000000000002E-3</v>
      </c>
      <c r="I46" s="986"/>
      <c r="J46" s="988">
        <v>10837</v>
      </c>
    </row>
    <row r="47" spans="2:10">
      <c r="B47" s="988">
        <v>10867</v>
      </c>
      <c r="H47" s="986">
        <v>3.0999999999999999E-3</v>
      </c>
      <c r="I47" s="986"/>
      <c r="J47" s="988">
        <v>10867</v>
      </c>
    </row>
    <row r="48" spans="2:10">
      <c r="B48" s="988">
        <v>10898</v>
      </c>
      <c r="H48" s="986">
        <v>2.5999999999999999E-3</v>
      </c>
      <c r="I48" s="986"/>
      <c r="J48" s="988">
        <v>10898</v>
      </c>
    </row>
    <row r="49" spans="2:10">
      <c r="B49" s="988">
        <v>10928</v>
      </c>
      <c r="H49" s="986">
        <v>3.0999999999999999E-3</v>
      </c>
      <c r="I49" s="986"/>
      <c r="J49" s="988">
        <v>10928</v>
      </c>
    </row>
    <row r="50" spans="2:10">
      <c r="B50" s="988">
        <v>10959</v>
      </c>
      <c r="H50" s="986">
        <v>2.8999999999999998E-3</v>
      </c>
      <c r="I50" s="986"/>
      <c r="J50" s="988">
        <v>10959</v>
      </c>
    </row>
    <row r="51" spans="2:10">
      <c r="B51" s="988">
        <v>10990</v>
      </c>
      <c r="H51" s="986">
        <v>2.5999999999999999E-3</v>
      </c>
      <c r="I51" s="986"/>
      <c r="J51" s="988">
        <v>10990</v>
      </c>
    </row>
    <row r="52" spans="2:10">
      <c r="B52" s="988">
        <v>11018</v>
      </c>
      <c r="H52" s="986">
        <v>2.8999999999999998E-3</v>
      </c>
      <c r="I52" s="986"/>
      <c r="J52" s="988">
        <v>11018</v>
      </c>
    </row>
    <row r="53" spans="2:10">
      <c r="B53" s="988">
        <v>11049</v>
      </c>
      <c r="H53" s="986">
        <v>2.7000000000000001E-3</v>
      </c>
      <c r="I53" s="986"/>
      <c r="J53" s="988">
        <v>11049</v>
      </c>
    </row>
    <row r="54" spans="2:10">
      <c r="B54" s="988">
        <v>11079</v>
      </c>
      <c r="H54" s="986">
        <v>2.7000000000000001E-3</v>
      </c>
      <c r="I54" s="986"/>
      <c r="J54" s="988">
        <v>11079</v>
      </c>
    </row>
    <row r="55" spans="2:10">
      <c r="B55" s="988">
        <v>11110</v>
      </c>
      <c r="H55" s="986">
        <v>2.8999999999999998E-3</v>
      </c>
      <c r="I55" s="986"/>
      <c r="J55" s="988">
        <v>11110</v>
      </c>
    </row>
    <row r="56" spans="2:10">
      <c r="B56" s="988">
        <v>11140</v>
      </c>
      <c r="H56" s="986">
        <v>2.8E-3</v>
      </c>
      <c r="I56" s="986"/>
      <c r="J56" s="988">
        <v>11140</v>
      </c>
    </row>
    <row r="57" spans="2:10">
      <c r="B57" s="988">
        <v>11171</v>
      </c>
      <c r="H57" s="986">
        <v>2.5999999999999999E-3</v>
      </c>
      <c r="I57" s="986"/>
      <c r="J57" s="988">
        <v>11171</v>
      </c>
    </row>
    <row r="58" spans="2:10">
      <c r="B58" s="988">
        <v>11202</v>
      </c>
      <c r="H58" s="986">
        <v>2.8999999999999998E-3</v>
      </c>
      <c r="I58" s="986"/>
      <c r="J58" s="988">
        <v>11202</v>
      </c>
    </row>
    <row r="59" spans="2:10">
      <c r="B59" s="988">
        <v>11232</v>
      </c>
      <c r="H59" s="986">
        <v>2.7000000000000001E-3</v>
      </c>
      <c r="I59" s="986"/>
      <c r="J59" s="988">
        <v>11232</v>
      </c>
    </row>
    <row r="60" spans="2:10">
      <c r="B60" s="988">
        <v>11263</v>
      </c>
      <c r="H60" s="986">
        <v>2.5999999999999999E-3</v>
      </c>
      <c r="I60" s="986"/>
      <c r="J60" s="988">
        <v>11263</v>
      </c>
    </row>
    <row r="61" spans="2:10">
      <c r="B61" s="988">
        <v>11293</v>
      </c>
      <c r="H61" s="986">
        <v>2.8E-3</v>
      </c>
      <c r="I61" s="986"/>
      <c r="J61" s="988">
        <v>11293</v>
      </c>
    </row>
    <row r="62" spans="2:10">
      <c r="B62" s="988">
        <v>11324</v>
      </c>
      <c r="H62" s="986">
        <v>2.8E-3</v>
      </c>
      <c r="I62" s="986"/>
      <c r="J62" s="988">
        <v>11324</v>
      </c>
    </row>
    <row r="63" spans="2:10">
      <c r="B63" s="988">
        <v>11355</v>
      </c>
      <c r="H63" s="986">
        <v>2.5999999999999999E-3</v>
      </c>
      <c r="I63" s="986"/>
      <c r="J63" s="988">
        <v>11355</v>
      </c>
    </row>
    <row r="64" spans="2:10">
      <c r="B64" s="988">
        <v>11383</v>
      </c>
      <c r="H64" s="986">
        <v>2.8999999999999998E-3</v>
      </c>
      <c r="I64" s="986"/>
      <c r="J64" s="988">
        <v>11383</v>
      </c>
    </row>
    <row r="65" spans="2:10">
      <c r="B65" s="988">
        <v>11414</v>
      </c>
      <c r="H65" s="986">
        <v>2.7000000000000001E-3</v>
      </c>
      <c r="I65" s="986"/>
      <c r="J65" s="988">
        <v>11414</v>
      </c>
    </row>
    <row r="66" spans="2:10">
      <c r="B66" s="988">
        <v>11444</v>
      </c>
      <c r="H66" s="986">
        <v>2.5999999999999999E-3</v>
      </c>
      <c r="I66" s="986"/>
      <c r="J66" s="988">
        <v>11444</v>
      </c>
    </row>
    <row r="67" spans="2:10">
      <c r="B67" s="988">
        <v>11475</v>
      </c>
      <c r="H67" s="986">
        <v>2.8E-3</v>
      </c>
      <c r="I67" s="986"/>
      <c r="J67" s="988">
        <v>11475</v>
      </c>
    </row>
    <row r="68" spans="2:10">
      <c r="B68" s="988">
        <v>11505</v>
      </c>
      <c r="H68" s="986">
        <v>2.7000000000000001E-3</v>
      </c>
      <c r="I68" s="986"/>
      <c r="J68" s="988">
        <v>11505</v>
      </c>
    </row>
    <row r="69" spans="2:10">
      <c r="B69" s="988">
        <v>11536</v>
      </c>
      <c r="H69" s="986">
        <v>2.7000000000000001E-3</v>
      </c>
      <c r="I69" s="986"/>
      <c r="J69" s="988">
        <v>11536</v>
      </c>
    </row>
    <row r="70" spans="2:10">
      <c r="B70" s="988">
        <v>11567</v>
      </c>
      <c r="H70" s="986">
        <v>2.7000000000000001E-3</v>
      </c>
      <c r="I70" s="986"/>
      <c r="J70" s="988">
        <v>11567</v>
      </c>
    </row>
    <row r="71" spans="2:10">
      <c r="B71" s="988">
        <v>11597</v>
      </c>
      <c r="H71" s="986">
        <v>2.8999999999999998E-3</v>
      </c>
      <c r="I71" s="986"/>
      <c r="J71" s="988">
        <v>11597</v>
      </c>
    </row>
    <row r="72" spans="2:10">
      <c r="B72" s="988">
        <v>11628</v>
      </c>
      <c r="H72" s="986">
        <v>3.0999999999999999E-3</v>
      </c>
      <c r="I72" s="986"/>
      <c r="J72" s="988">
        <v>11628</v>
      </c>
    </row>
    <row r="73" spans="2:10">
      <c r="B73" s="988">
        <v>11658</v>
      </c>
      <c r="H73" s="986">
        <v>3.2000000000000002E-3</v>
      </c>
      <c r="I73" s="986"/>
      <c r="J73" s="988">
        <v>11658</v>
      </c>
    </row>
    <row r="74" spans="2:10">
      <c r="B74" s="988">
        <v>11689</v>
      </c>
      <c r="H74" s="986">
        <v>3.2000000000000002E-3</v>
      </c>
      <c r="I74" s="986"/>
      <c r="J74" s="988">
        <v>11689</v>
      </c>
    </row>
    <row r="75" spans="2:10">
      <c r="B75" s="988">
        <v>11720</v>
      </c>
      <c r="H75" s="986">
        <v>3.2000000000000002E-3</v>
      </c>
      <c r="I75" s="986"/>
      <c r="J75" s="988">
        <v>11720</v>
      </c>
    </row>
    <row r="76" spans="2:10">
      <c r="B76" s="988">
        <v>11749</v>
      </c>
      <c r="H76" s="986">
        <v>3.0999999999999999E-3</v>
      </c>
      <c r="I76" s="986"/>
      <c r="J76" s="988">
        <v>11749</v>
      </c>
    </row>
    <row r="77" spans="2:10">
      <c r="B77" s="988">
        <v>11780</v>
      </c>
      <c r="H77" s="986">
        <v>3.0000000000000001E-3</v>
      </c>
      <c r="I77" s="986"/>
      <c r="J77" s="988">
        <v>11780</v>
      </c>
    </row>
    <row r="78" spans="2:10">
      <c r="B78" s="988">
        <v>11810</v>
      </c>
      <c r="H78" s="986">
        <v>2.8E-3</v>
      </c>
      <c r="I78" s="986"/>
      <c r="J78" s="988">
        <v>11810</v>
      </c>
    </row>
    <row r="79" spans="2:10">
      <c r="B79" s="988">
        <v>11841</v>
      </c>
      <c r="H79" s="986">
        <v>2.8E-3</v>
      </c>
      <c r="I79" s="986"/>
      <c r="J79" s="988">
        <v>11841</v>
      </c>
    </row>
    <row r="80" spans="2:10">
      <c r="B80" s="988">
        <v>11871</v>
      </c>
      <c r="H80" s="986">
        <v>2.8E-3</v>
      </c>
      <c r="I80" s="986"/>
      <c r="J80" s="988">
        <v>11871</v>
      </c>
    </row>
    <row r="81" spans="2:10">
      <c r="B81" s="988">
        <v>11902</v>
      </c>
      <c r="H81" s="986">
        <v>2.8E-3</v>
      </c>
      <c r="I81" s="986"/>
      <c r="J81" s="988">
        <v>11902</v>
      </c>
    </row>
    <row r="82" spans="2:10">
      <c r="B82" s="988">
        <v>11933</v>
      </c>
      <c r="H82" s="986">
        <v>2.5999999999999999E-3</v>
      </c>
      <c r="I82" s="986"/>
      <c r="J82" s="988">
        <v>11933</v>
      </c>
    </row>
    <row r="83" spans="2:10">
      <c r="B83" s="988">
        <v>11963</v>
      </c>
      <c r="H83" s="986">
        <v>2.7000000000000001E-3</v>
      </c>
      <c r="I83" s="986"/>
      <c r="J83" s="988">
        <v>11963</v>
      </c>
    </row>
    <row r="84" spans="2:10">
      <c r="B84" s="988">
        <v>11994</v>
      </c>
      <c r="H84" s="986">
        <v>2.5999999999999999E-3</v>
      </c>
      <c r="I84" s="986"/>
      <c r="J84" s="988">
        <v>11994</v>
      </c>
    </row>
    <row r="85" spans="2:10">
      <c r="B85" s="988">
        <v>12024</v>
      </c>
      <c r="H85" s="986">
        <v>2.7000000000000001E-3</v>
      </c>
      <c r="I85" s="986"/>
      <c r="J85" s="988">
        <v>12024</v>
      </c>
    </row>
    <row r="86" spans="2:10">
      <c r="B86" s="988">
        <v>12055</v>
      </c>
      <c r="H86" s="986">
        <v>2.7000000000000001E-3</v>
      </c>
      <c r="I86" s="986"/>
      <c r="J86" s="988">
        <v>12055</v>
      </c>
    </row>
    <row r="87" spans="2:10">
      <c r="B87" s="988">
        <v>12086</v>
      </c>
      <c r="H87" s="986">
        <v>2.3E-3</v>
      </c>
      <c r="I87" s="986"/>
      <c r="J87" s="988">
        <v>12086</v>
      </c>
    </row>
    <row r="88" spans="2:10">
      <c r="B88" s="988">
        <v>12114</v>
      </c>
      <c r="H88" s="986">
        <v>2.7000000000000001E-3</v>
      </c>
      <c r="I88" s="986"/>
      <c r="J88" s="988">
        <v>12114</v>
      </c>
    </row>
    <row r="89" spans="2:10">
      <c r="B89" s="988">
        <v>12145</v>
      </c>
      <c r="H89" s="986">
        <v>2.5000000000000001E-3</v>
      </c>
      <c r="I89" s="986"/>
      <c r="J89" s="988">
        <v>12145</v>
      </c>
    </row>
    <row r="90" spans="2:10">
      <c r="B90" s="988">
        <v>12175</v>
      </c>
      <c r="H90" s="986">
        <v>2.8E-3</v>
      </c>
      <c r="I90" s="986"/>
      <c r="J90" s="988">
        <v>12175</v>
      </c>
    </row>
    <row r="91" spans="2:10">
      <c r="B91" s="988">
        <v>12206</v>
      </c>
      <c r="H91" s="986">
        <v>2.5000000000000001E-3</v>
      </c>
      <c r="I91" s="986"/>
      <c r="J91" s="988">
        <v>12206</v>
      </c>
    </row>
    <row r="92" spans="2:10">
      <c r="B92" s="988">
        <v>12236</v>
      </c>
      <c r="H92" s="986">
        <v>2.5999999999999999E-3</v>
      </c>
      <c r="I92" s="986"/>
      <c r="J92" s="988">
        <v>12236</v>
      </c>
    </row>
    <row r="93" spans="2:10">
      <c r="B93" s="988">
        <v>12267</v>
      </c>
      <c r="H93" s="986">
        <v>2.5999999999999999E-3</v>
      </c>
      <c r="I93" s="986"/>
      <c r="J93" s="988">
        <v>12267</v>
      </c>
    </row>
    <row r="94" spans="2:10">
      <c r="B94" s="988">
        <v>12298</v>
      </c>
      <c r="H94" s="986">
        <v>2.5000000000000001E-3</v>
      </c>
      <c r="I94" s="986"/>
      <c r="J94" s="988">
        <v>12298</v>
      </c>
    </row>
    <row r="95" spans="2:10">
      <c r="B95" s="988">
        <v>12328</v>
      </c>
      <c r="H95" s="986">
        <v>2.5999999999999999E-3</v>
      </c>
      <c r="I95" s="986"/>
      <c r="J95" s="988">
        <v>12328</v>
      </c>
    </row>
    <row r="96" spans="2:10">
      <c r="B96" s="988">
        <v>12359</v>
      </c>
      <c r="H96" s="986">
        <v>2.5000000000000001E-3</v>
      </c>
      <c r="I96" s="986"/>
      <c r="J96" s="988">
        <v>12359</v>
      </c>
    </row>
    <row r="97" spans="2:10">
      <c r="B97" s="988">
        <v>12389</v>
      </c>
      <c r="H97" s="986">
        <v>2.8E-3</v>
      </c>
      <c r="I97" s="986"/>
      <c r="J97" s="988">
        <v>12389</v>
      </c>
    </row>
    <row r="98" spans="2:10">
      <c r="B98" s="988">
        <v>12420</v>
      </c>
      <c r="H98" s="986">
        <v>2.8999999999999998E-3</v>
      </c>
      <c r="I98" s="986"/>
      <c r="J98" s="988">
        <v>12420</v>
      </c>
    </row>
    <row r="99" spans="2:10">
      <c r="B99" s="988">
        <v>12451</v>
      </c>
      <c r="H99" s="986">
        <v>2.3999999999999998E-3</v>
      </c>
      <c r="I99" s="986"/>
      <c r="J99" s="988">
        <v>12451</v>
      </c>
    </row>
    <row r="100" spans="2:10">
      <c r="B100" s="988">
        <v>12479</v>
      </c>
      <c r="H100" s="986">
        <v>2.7000000000000001E-3</v>
      </c>
      <c r="I100" s="986"/>
      <c r="J100" s="988">
        <v>12479</v>
      </c>
    </row>
    <row r="101" spans="2:10">
      <c r="B101" s="988">
        <v>12510</v>
      </c>
      <c r="H101" s="986">
        <v>2.5000000000000001E-3</v>
      </c>
      <c r="I101" s="986"/>
      <c r="J101" s="988">
        <v>12510</v>
      </c>
    </row>
    <row r="102" spans="2:10">
      <c r="B102" s="988">
        <v>12540</v>
      </c>
      <c r="H102" s="986">
        <v>2.5000000000000001E-3</v>
      </c>
      <c r="I102" s="986"/>
      <c r="J102" s="988">
        <v>12540</v>
      </c>
    </row>
    <row r="103" spans="2:10">
      <c r="B103" s="988">
        <v>12571</v>
      </c>
      <c r="H103" s="986">
        <v>2.3999999999999998E-3</v>
      </c>
      <c r="I103" s="986"/>
      <c r="J103" s="988">
        <v>12571</v>
      </c>
    </row>
    <row r="104" spans="2:10">
      <c r="B104" s="988">
        <v>12601</v>
      </c>
      <c r="H104" s="986">
        <v>2.3999999999999998E-3</v>
      </c>
      <c r="I104" s="986"/>
      <c r="J104" s="988">
        <v>12601</v>
      </c>
    </row>
    <row r="105" spans="2:10">
      <c r="B105" s="988">
        <v>12632</v>
      </c>
      <c r="H105" s="986">
        <v>2.3999999999999998E-3</v>
      </c>
      <c r="I105" s="986"/>
      <c r="J105" s="988">
        <v>12632</v>
      </c>
    </row>
    <row r="106" spans="2:10">
      <c r="B106" s="988">
        <v>12663</v>
      </c>
      <c r="H106" s="986">
        <v>2.3E-3</v>
      </c>
      <c r="I106" s="986"/>
      <c r="J106" s="988">
        <v>12663</v>
      </c>
    </row>
    <row r="107" spans="2:10">
      <c r="B107" s="988">
        <v>12693</v>
      </c>
      <c r="H107" s="986">
        <v>2.7000000000000001E-3</v>
      </c>
      <c r="I107" s="986"/>
      <c r="J107" s="988">
        <v>12693</v>
      </c>
    </row>
    <row r="108" spans="2:10">
      <c r="B108" s="988">
        <v>12724</v>
      </c>
      <c r="H108" s="986">
        <v>2.5000000000000001E-3</v>
      </c>
      <c r="I108" s="986"/>
      <c r="J108" s="988">
        <v>12724</v>
      </c>
    </row>
    <row r="109" spans="2:10">
      <c r="B109" s="988">
        <v>12754</v>
      </c>
      <c r="H109" s="986">
        <v>2.5000000000000001E-3</v>
      </c>
      <c r="I109" s="986"/>
      <c r="J109" s="988">
        <v>12754</v>
      </c>
    </row>
    <row r="110" spans="2:10">
      <c r="B110" s="988">
        <v>12785</v>
      </c>
      <c r="H110" s="986">
        <v>2.5000000000000001E-3</v>
      </c>
      <c r="I110" s="986"/>
      <c r="J110" s="988">
        <v>12785</v>
      </c>
    </row>
    <row r="111" spans="2:10">
      <c r="B111" s="988">
        <v>12816</v>
      </c>
      <c r="H111" s="986">
        <v>2.0999999999999999E-3</v>
      </c>
      <c r="I111" s="986"/>
      <c r="J111" s="988">
        <v>12816</v>
      </c>
    </row>
    <row r="112" spans="2:10">
      <c r="B112" s="988">
        <v>12844</v>
      </c>
      <c r="H112" s="986">
        <v>2.2000000000000001E-3</v>
      </c>
      <c r="I112" s="986"/>
      <c r="J112" s="988">
        <v>12844</v>
      </c>
    </row>
    <row r="113" spans="2:10">
      <c r="B113" s="988">
        <v>12875</v>
      </c>
      <c r="H113" s="986">
        <v>2.3E-3</v>
      </c>
      <c r="I113" s="986"/>
      <c r="J113" s="988">
        <v>12875</v>
      </c>
    </row>
    <row r="114" spans="2:10">
      <c r="B114" s="988">
        <v>12905</v>
      </c>
      <c r="H114" s="986">
        <v>2.3E-3</v>
      </c>
      <c r="I114" s="986"/>
      <c r="J114" s="988">
        <v>12905</v>
      </c>
    </row>
    <row r="115" spans="2:10">
      <c r="B115" s="988">
        <v>12936</v>
      </c>
      <c r="H115" s="986">
        <v>2.2000000000000001E-3</v>
      </c>
      <c r="I115" s="986"/>
      <c r="J115" s="988">
        <v>12936</v>
      </c>
    </row>
    <row r="116" spans="2:10">
      <c r="B116" s="988">
        <v>12966</v>
      </c>
      <c r="H116" s="986">
        <v>2.3999999999999998E-3</v>
      </c>
      <c r="I116" s="986"/>
      <c r="J116" s="988">
        <v>12966</v>
      </c>
    </row>
    <row r="117" spans="2:10">
      <c r="B117" s="988">
        <v>12997</v>
      </c>
      <c r="H117" s="986">
        <v>2.3E-3</v>
      </c>
      <c r="I117" s="986"/>
      <c r="J117" s="988">
        <v>12997</v>
      </c>
    </row>
    <row r="118" spans="2:10">
      <c r="B118" s="988">
        <v>13028</v>
      </c>
      <c r="H118" s="986">
        <v>2.3E-3</v>
      </c>
      <c r="I118" s="986"/>
      <c r="J118" s="988">
        <v>13028</v>
      </c>
    </row>
    <row r="119" spans="2:10">
      <c r="B119" s="988">
        <v>13058</v>
      </c>
      <c r="H119" s="986">
        <v>2.3E-3</v>
      </c>
      <c r="I119" s="986"/>
      <c r="J119" s="988">
        <v>13058</v>
      </c>
    </row>
    <row r="120" spans="2:10">
      <c r="B120" s="988">
        <v>13089</v>
      </c>
      <c r="H120" s="986">
        <v>2.3999999999999998E-3</v>
      </c>
      <c r="I120" s="986"/>
      <c r="J120" s="988">
        <v>13089</v>
      </c>
    </row>
    <row r="121" spans="2:10">
      <c r="B121" s="988">
        <v>13119</v>
      </c>
      <c r="H121" s="986">
        <v>2.3999999999999998E-3</v>
      </c>
      <c r="I121" s="986"/>
      <c r="J121" s="988">
        <v>13119</v>
      </c>
    </row>
    <row r="122" spans="2:10">
      <c r="B122" s="988">
        <v>13150</v>
      </c>
      <c r="H122" s="986">
        <v>2.3999999999999998E-3</v>
      </c>
      <c r="I122" s="986"/>
      <c r="J122" s="988">
        <v>13150</v>
      </c>
    </row>
    <row r="123" spans="2:10">
      <c r="B123" s="988">
        <v>13181</v>
      </c>
      <c r="H123" s="986">
        <v>2.3E-3</v>
      </c>
      <c r="I123" s="986"/>
      <c r="J123" s="988">
        <v>13181</v>
      </c>
    </row>
    <row r="124" spans="2:10">
      <c r="B124" s="988">
        <v>13210</v>
      </c>
      <c r="H124" s="986">
        <v>2.3999999999999998E-3</v>
      </c>
      <c r="I124" s="986"/>
      <c r="J124" s="988">
        <v>13210</v>
      </c>
    </row>
    <row r="125" spans="2:10">
      <c r="B125" s="988">
        <v>13241</v>
      </c>
      <c r="H125" s="986">
        <v>2.2000000000000001E-3</v>
      </c>
      <c r="I125" s="986"/>
      <c r="J125" s="988">
        <v>13241</v>
      </c>
    </row>
    <row r="126" spans="2:10">
      <c r="B126" s="988">
        <v>13271</v>
      </c>
      <c r="H126" s="986">
        <v>2.2000000000000001E-3</v>
      </c>
      <c r="I126" s="986"/>
      <c r="J126" s="988">
        <v>13271</v>
      </c>
    </row>
    <row r="127" spans="2:10">
      <c r="B127" s="988">
        <v>13302</v>
      </c>
      <c r="H127" s="986">
        <v>2.3999999999999998E-3</v>
      </c>
      <c r="I127" s="986"/>
      <c r="J127" s="988">
        <v>13302</v>
      </c>
    </row>
    <row r="128" spans="2:10">
      <c r="B128" s="988">
        <v>13332</v>
      </c>
      <c r="H128" s="986">
        <v>2.3E-3</v>
      </c>
      <c r="I128" s="986"/>
      <c r="J128" s="988">
        <v>13332</v>
      </c>
    </row>
    <row r="129" spans="2:10">
      <c r="B129" s="988">
        <v>13363</v>
      </c>
      <c r="H129" s="986">
        <v>2.3E-3</v>
      </c>
      <c r="I129" s="986"/>
      <c r="J129" s="988">
        <v>13363</v>
      </c>
    </row>
    <row r="130" spans="2:10">
      <c r="B130" s="988">
        <v>13394</v>
      </c>
      <c r="H130" s="986">
        <v>2.0999999999999999E-3</v>
      </c>
      <c r="I130" s="986"/>
      <c r="J130" s="988">
        <v>13394</v>
      </c>
    </row>
    <row r="131" spans="2:10">
      <c r="B131" s="988">
        <v>13424</v>
      </c>
      <c r="H131" s="986">
        <v>2.3E-3</v>
      </c>
      <c r="I131" s="986"/>
      <c r="J131" s="988">
        <v>13424</v>
      </c>
    </row>
    <row r="132" spans="2:10">
      <c r="B132" s="988">
        <v>13455</v>
      </c>
      <c r="H132" s="986">
        <v>2.2000000000000001E-3</v>
      </c>
      <c r="I132" s="986"/>
      <c r="J132" s="988">
        <v>13455</v>
      </c>
    </row>
    <row r="133" spans="2:10">
      <c r="B133" s="988">
        <v>13485</v>
      </c>
      <c r="H133" s="986">
        <v>2.2000000000000001E-3</v>
      </c>
      <c r="I133" s="986"/>
      <c r="J133" s="988">
        <v>13485</v>
      </c>
    </row>
    <row r="134" spans="2:10">
      <c r="B134" s="988">
        <v>13516</v>
      </c>
      <c r="H134" s="986">
        <v>2.0999999999999999E-3</v>
      </c>
      <c r="I134" s="986"/>
      <c r="J134" s="988">
        <v>13516</v>
      </c>
    </row>
    <row r="135" spans="2:10">
      <c r="B135" s="988">
        <v>13547</v>
      </c>
      <c r="H135" s="986">
        <v>2E-3</v>
      </c>
      <c r="I135" s="986"/>
      <c r="J135" s="988">
        <v>13547</v>
      </c>
    </row>
    <row r="136" spans="2:10">
      <c r="B136" s="988">
        <v>13575</v>
      </c>
      <c r="H136" s="986">
        <v>2.2000000000000001E-3</v>
      </c>
      <c r="I136" s="986"/>
      <c r="J136" s="988">
        <v>13575</v>
      </c>
    </row>
    <row r="137" spans="2:10">
      <c r="B137" s="988">
        <v>13606</v>
      </c>
      <c r="H137" s="986">
        <v>2.3E-3</v>
      </c>
      <c r="I137" s="986"/>
      <c r="J137" s="988">
        <v>13606</v>
      </c>
    </row>
    <row r="138" spans="2:10">
      <c r="B138" s="988">
        <v>13636</v>
      </c>
      <c r="H138" s="986">
        <v>2.2000000000000001E-3</v>
      </c>
      <c r="I138" s="986"/>
      <c r="J138" s="988">
        <v>13636</v>
      </c>
    </row>
    <row r="139" spans="2:10">
      <c r="B139" s="988">
        <v>13667</v>
      </c>
      <c r="H139" s="986">
        <v>2.5000000000000001E-3</v>
      </c>
      <c r="I139" s="986"/>
      <c r="J139" s="988">
        <v>13667</v>
      </c>
    </row>
    <row r="140" spans="2:10">
      <c r="B140" s="988">
        <v>13697</v>
      </c>
      <c r="H140" s="986">
        <v>2.3999999999999998E-3</v>
      </c>
      <c r="I140" s="986"/>
      <c r="J140" s="988">
        <v>13697</v>
      </c>
    </row>
    <row r="141" spans="2:10">
      <c r="B141" s="988">
        <v>13728</v>
      </c>
      <c r="H141" s="986">
        <v>2.3E-3</v>
      </c>
      <c r="I141" s="986"/>
      <c r="J141" s="988">
        <v>13728</v>
      </c>
    </row>
    <row r="142" spans="2:10">
      <c r="B142" s="988">
        <v>13759</v>
      </c>
      <c r="H142" s="986">
        <v>2.3E-3</v>
      </c>
      <c r="I142" s="986"/>
      <c r="J142" s="988">
        <v>13759</v>
      </c>
    </row>
    <row r="143" spans="2:10">
      <c r="B143" s="988">
        <v>13789</v>
      </c>
      <c r="H143" s="986">
        <v>2.3E-3</v>
      </c>
      <c r="I143" s="986"/>
      <c r="J143" s="988">
        <v>13789</v>
      </c>
    </row>
    <row r="144" spans="2:10">
      <c r="B144" s="988">
        <v>13820</v>
      </c>
      <c r="H144" s="986">
        <v>2.3999999999999998E-3</v>
      </c>
      <c r="I144" s="986"/>
      <c r="J144" s="988">
        <v>13820</v>
      </c>
    </row>
    <row r="145" spans="2:10">
      <c r="B145" s="988">
        <v>13850</v>
      </c>
      <c r="H145" s="986">
        <v>2.3E-3</v>
      </c>
      <c r="I145" s="986"/>
      <c r="J145" s="988">
        <v>13850</v>
      </c>
    </row>
    <row r="146" spans="2:10">
      <c r="B146" s="988">
        <v>13881</v>
      </c>
      <c r="H146" s="986">
        <v>2.3E-3</v>
      </c>
      <c r="I146" s="986"/>
      <c r="J146" s="988">
        <v>13881</v>
      </c>
    </row>
    <row r="147" spans="2:10">
      <c r="B147" s="988">
        <v>13912</v>
      </c>
      <c r="H147" s="986">
        <v>2.0999999999999999E-3</v>
      </c>
      <c r="I147" s="986"/>
      <c r="J147" s="988">
        <v>13912</v>
      </c>
    </row>
    <row r="148" spans="2:10">
      <c r="B148" s="988">
        <v>13940</v>
      </c>
      <c r="H148" s="986">
        <v>2.3E-3</v>
      </c>
      <c r="I148" s="986"/>
      <c r="J148" s="988">
        <v>13940</v>
      </c>
    </row>
    <row r="149" spans="2:10">
      <c r="B149" s="988">
        <v>13971</v>
      </c>
      <c r="H149" s="986">
        <v>2.2000000000000001E-3</v>
      </c>
      <c r="I149" s="986"/>
      <c r="J149" s="988">
        <v>13971</v>
      </c>
    </row>
    <row r="150" spans="2:10">
      <c r="B150" s="988">
        <v>14001</v>
      </c>
      <c r="H150" s="986">
        <v>2.2000000000000001E-3</v>
      </c>
      <c r="I150" s="986"/>
      <c r="J150" s="988">
        <v>14001</v>
      </c>
    </row>
    <row r="151" spans="2:10">
      <c r="B151" s="988">
        <v>14032</v>
      </c>
      <c r="H151" s="986">
        <v>2.0999999999999999E-3</v>
      </c>
      <c r="I151" s="986"/>
      <c r="J151" s="988">
        <v>14032</v>
      </c>
    </row>
    <row r="152" spans="2:10">
      <c r="B152" s="988">
        <v>14062</v>
      </c>
      <c r="H152" s="986">
        <v>2.0999999999999999E-3</v>
      </c>
      <c r="I152" s="986"/>
      <c r="J152" s="988">
        <v>14062</v>
      </c>
    </row>
    <row r="153" spans="2:10">
      <c r="B153" s="988">
        <v>14093</v>
      </c>
      <c r="H153" s="986">
        <v>2.2000000000000001E-3</v>
      </c>
      <c r="I153" s="986"/>
      <c r="J153" s="988">
        <v>14093</v>
      </c>
    </row>
    <row r="154" spans="2:10">
      <c r="B154" s="988">
        <v>14124</v>
      </c>
      <c r="H154" s="986">
        <v>2.0999999999999999E-3</v>
      </c>
      <c r="I154" s="986"/>
      <c r="J154" s="988">
        <v>14124</v>
      </c>
    </row>
    <row r="155" spans="2:10">
      <c r="B155" s="988">
        <v>14154</v>
      </c>
      <c r="H155" s="986">
        <v>2.2000000000000001E-3</v>
      </c>
      <c r="I155" s="986"/>
      <c r="J155" s="988">
        <v>14154</v>
      </c>
    </row>
    <row r="156" spans="2:10">
      <c r="B156" s="988">
        <v>14185</v>
      </c>
      <c r="H156" s="986">
        <v>2.0999999999999999E-3</v>
      </c>
      <c r="I156" s="986"/>
      <c r="J156" s="988">
        <v>14185</v>
      </c>
    </row>
    <row r="157" spans="2:10">
      <c r="B157" s="988">
        <v>14215</v>
      </c>
      <c r="H157" s="986">
        <v>2.2000000000000001E-3</v>
      </c>
      <c r="I157" s="986"/>
      <c r="J157" s="988">
        <v>14215</v>
      </c>
    </row>
    <row r="158" spans="2:10">
      <c r="B158" s="988">
        <v>14246</v>
      </c>
      <c r="H158" s="986">
        <v>2.0999999999999999E-3</v>
      </c>
      <c r="I158" s="986"/>
      <c r="J158" s="988">
        <v>14246</v>
      </c>
    </row>
    <row r="159" spans="2:10">
      <c r="B159" s="988">
        <v>14277</v>
      </c>
      <c r="H159" s="986">
        <v>1.9E-3</v>
      </c>
      <c r="I159" s="986"/>
      <c r="J159" s="988">
        <v>14277</v>
      </c>
    </row>
    <row r="160" spans="2:10">
      <c r="B160" s="988">
        <v>14305</v>
      </c>
      <c r="H160" s="986">
        <v>2.0999999999999999E-3</v>
      </c>
      <c r="I160" s="986"/>
      <c r="J160" s="988">
        <v>14305</v>
      </c>
    </row>
    <row r="161" spans="2:10">
      <c r="B161" s="988">
        <v>14336</v>
      </c>
      <c r="H161" s="986">
        <v>1.9E-3</v>
      </c>
      <c r="I161" s="986"/>
      <c r="J161" s="988">
        <v>14336</v>
      </c>
    </row>
    <row r="162" spans="2:10">
      <c r="B162" s="988">
        <v>14366</v>
      </c>
      <c r="H162" s="986">
        <v>2E-3</v>
      </c>
      <c r="I162" s="986"/>
      <c r="J162" s="988">
        <v>14366</v>
      </c>
    </row>
    <row r="163" spans="2:10">
      <c r="B163" s="988">
        <v>14397</v>
      </c>
      <c r="H163" s="986">
        <v>1.8E-3</v>
      </c>
      <c r="I163" s="986"/>
      <c r="J163" s="988">
        <v>14397</v>
      </c>
    </row>
    <row r="164" spans="2:10">
      <c r="B164" s="988">
        <v>14427</v>
      </c>
      <c r="H164" s="986">
        <v>1.9E-3</v>
      </c>
      <c r="I164" s="986"/>
      <c r="J164" s="988">
        <v>14427</v>
      </c>
    </row>
    <row r="165" spans="2:10">
      <c r="B165" s="988">
        <v>14458</v>
      </c>
      <c r="H165" s="986">
        <v>1.8E-3</v>
      </c>
      <c r="I165" s="986"/>
      <c r="J165" s="988">
        <v>14458</v>
      </c>
    </row>
    <row r="166" spans="2:10">
      <c r="B166" s="988">
        <v>14489</v>
      </c>
      <c r="H166" s="986">
        <v>1.9E-3</v>
      </c>
      <c r="I166" s="986"/>
      <c r="J166" s="988">
        <v>14489</v>
      </c>
    </row>
    <row r="167" spans="2:10">
      <c r="B167" s="988">
        <v>14519</v>
      </c>
      <c r="H167" s="986">
        <v>2.3E-3</v>
      </c>
      <c r="I167" s="986"/>
      <c r="J167" s="988">
        <v>14519</v>
      </c>
    </row>
    <row r="168" spans="2:10">
      <c r="B168" s="988">
        <v>14550</v>
      </c>
      <c r="H168" s="986">
        <v>2E-3</v>
      </c>
      <c r="I168" s="986"/>
      <c r="J168" s="988">
        <v>14550</v>
      </c>
    </row>
    <row r="169" spans="2:10">
      <c r="B169" s="988">
        <v>14580</v>
      </c>
      <c r="H169" s="986">
        <v>1.9E-3</v>
      </c>
      <c r="I169" s="986"/>
      <c r="J169" s="988">
        <v>14580</v>
      </c>
    </row>
    <row r="170" spans="2:10">
      <c r="B170" s="988">
        <v>14611</v>
      </c>
      <c r="H170" s="986">
        <v>2E-3</v>
      </c>
      <c r="I170" s="986"/>
      <c r="J170" s="988">
        <v>14611</v>
      </c>
    </row>
    <row r="171" spans="2:10">
      <c r="B171" s="988">
        <v>14642</v>
      </c>
      <c r="H171" s="986">
        <v>1.8E-3</v>
      </c>
      <c r="I171" s="986"/>
      <c r="J171" s="988">
        <v>14642</v>
      </c>
    </row>
    <row r="172" spans="2:10">
      <c r="B172" s="988">
        <v>14671</v>
      </c>
      <c r="H172" s="986">
        <v>1.9E-3</v>
      </c>
      <c r="I172" s="986"/>
      <c r="J172" s="988">
        <v>14671</v>
      </c>
    </row>
    <row r="173" spans="2:10">
      <c r="B173" s="988">
        <v>14702</v>
      </c>
      <c r="H173" s="986">
        <v>1.8E-3</v>
      </c>
      <c r="I173" s="986"/>
      <c r="J173" s="988">
        <v>14702</v>
      </c>
    </row>
    <row r="174" spans="2:10">
      <c r="B174" s="988">
        <v>14732</v>
      </c>
      <c r="H174" s="986">
        <v>1.9E-3</v>
      </c>
      <c r="I174" s="986"/>
      <c r="J174" s="988">
        <v>14732</v>
      </c>
    </row>
    <row r="175" spans="2:10">
      <c r="B175" s="988">
        <v>14763</v>
      </c>
      <c r="H175" s="986">
        <v>1.9E-3</v>
      </c>
      <c r="I175" s="986"/>
      <c r="J175" s="988">
        <v>14763</v>
      </c>
    </row>
    <row r="176" spans="2:10">
      <c r="B176" s="988">
        <v>14793</v>
      </c>
      <c r="H176" s="986">
        <v>2E-3</v>
      </c>
      <c r="I176" s="986"/>
      <c r="J176" s="988">
        <v>14793</v>
      </c>
    </row>
    <row r="177" spans="2:10">
      <c r="B177" s="988">
        <v>14824</v>
      </c>
      <c r="H177" s="986">
        <v>1.9E-3</v>
      </c>
      <c r="I177" s="986"/>
      <c r="J177" s="988">
        <v>14824</v>
      </c>
    </row>
    <row r="178" spans="2:10">
      <c r="B178" s="988">
        <v>14855</v>
      </c>
      <c r="H178" s="986">
        <v>1.8E-3</v>
      </c>
      <c r="I178" s="986"/>
      <c r="J178" s="988">
        <v>14855</v>
      </c>
    </row>
    <row r="179" spans="2:10">
      <c r="B179" s="988">
        <v>14885</v>
      </c>
      <c r="H179" s="986">
        <v>1.8E-3</v>
      </c>
      <c r="I179" s="986"/>
      <c r="J179" s="988">
        <v>14885</v>
      </c>
    </row>
    <row r="180" spans="2:10">
      <c r="B180" s="988">
        <v>14916</v>
      </c>
      <c r="H180" s="986">
        <v>1.8E-3</v>
      </c>
      <c r="I180" s="986"/>
      <c r="J180" s="988">
        <v>14916</v>
      </c>
    </row>
    <row r="181" spans="2:10">
      <c r="B181" s="988">
        <v>14946</v>
      </c>
      <c r="H181" s="986">
        <v>1.6999999999999999E-3</v>
      </c>
      <c r="I181" s="986"/>
      <c r="J181" s="988">
        <v>14946</v>
      </c>
    </row>
    <row r="182" spans="2:10">
      <c r="B182" s="988">
        <v>14977</v>
      </c>
      <c r="H182" s="986">
        <v>1.6000000000000001E-3</v>
      </c>
      <c r="I182" s="986"/>
      <c r="J182" s="988">
        <v>14977</v>
      </c>
    </row>
    <row r="183" spans="2:10">
      <c r="B183" s="988">
        <v>15008</v>
      </c>
      <c r="H183" s="986">
        <v>1.6000000000000001E-3</v>
      </c>
      <c r="I183" s="986"/>
      <c r="J183" s="988">
        <v>15008</v>
      </c>
    </row>
    <row r="184" spans="2:10">
      <c r="B184" s="988">
        <v>15036</v>
      </c>
      <c r="H184" s="986">
        <v>1.8E-3</v>
      </c>
      <c r="I184" s="986"/>
      <c r="J184" s="988">
        <v>15036</v>
      </c>
    </row>
    <row r="185" spans="2:10">
      <c r="B185" s="988">
        <v>15067</v>
      </c>
      <c r="H185" s="986">
        <v>1.6999999999999999E-3</v>
      </c>
      <c r="I185" s="986"/>
      <c r="J185" s="988">
        <v>15067</v>
      </c>
    </row>
    <row r="186" spans="2:10">
      <c r="B186" s="988">
        <v>15097</v>
      </c>
      <c r="H186" s="986">
        <v>1.6999999999999999E-3</v>
      </c>
      <c r="I186" s="986"/>
      <c r="J186" s="988">
        <v>15097</v>
      </c>
    </row>
    <row r="187" spans="2:10">
      <c r="B187" s="988">
        <v>15128</v>
      </c>
      <c r="H187" s="986">
        <v>1.6000000000000001E-3</v>
      </c>
      <c r="I187" s="986"/>
      <c r="J187" s="988">
        <v>15128</v>
      </c>
    </row>
    <row r="188" spans="2:10">
      <c r="B188" s="988">
        <v>15158</v>
      </c>
      <c r="H188" s="986">
        <v>1.6000000000000001E-3</v>
      </c>
      <c r="I188" s="986"/>
      <c r="J188" s="988">
        <v>15158</v>
      </c>
    </row>
    <row r="189" spans="2:10">
      <c r="B189" s="988">
        <v>15189</v>
      </c>
      <c r="H189" s="986">
        <v>1.6000000000000001E-3</v>
      </c>
      <c r="I189" s="986"/>
      <c r="J189" s="988">
        <v>15189</v>
      </c>
    </row>
    <row r="190" spans="2:10">
      <c r="B190" s="988">
        <v>15220</v>
      </c>
      <c r="H190" s="986">
        <v>1.6000000000000001E-3</v>
      </c>
      <c r="I190" s="986"/>
      <c r="J190" s="988">
        <v>15220</v>
      </c>
    </row>
    <row r="191" spans="2:10">
      <c r="B191" s="988">
        <v>15250</v>
      </c>
      <c r="H191" s="986">
        <v>1.6000000000000001E-3</v>
      </c>
      <c r="I191" s="986"/>
      <c r="J191" s="988">
        <v>15250</v>
      </c>
    </row>
    <row r="192" spans="2:10">
      <c r="B192" s="988">
        <v>15281</v>
      </c>
      <c r="H192" s="986">
        <v>1.4E-3</v>
      </c>
      <c r="I192" s="986"/>
      <c r="J192" s="988">
        <v>15281</v>
      </c>
    </row>
    <row r="193" spans="2:10">
      <c r="B193" s="988">
        <v>15311</v>
      </c>
      <c r="H193" s="986">
        <v>1.6000000000000001E-3</v>
      </c>
      <c r="I193" s="986"/>
      <c r="J193" s="988">
        <v>15311</v>
      </c>
    </row>
    <row r="194" spans="2:10">
      <c r="B194" s="988">
        <v>15342</v>
      </c>
      <c r="H194" s="986">
        <v>2.0999999999999999E-3</v>
      </c>
      <c r="I194" s="986"/>
      <c r="J194" s="988">
        <v>15342</v>
      </c>
    </row>
    <row r="195" spans="2:10">
      <c r="B195" s="988">
        <v>15373</v>
      </c>
      <c r="H195" s="986">
        <v>1.9E-3</v>
      </c>
      <c r="I195" s="986"/>
      <c r="J195" s="988">
        <v>15373</v>
      </c>
    </row>
    <row r="196" spans="2:10">
      <c r="B196" s="988">
        <v>15401</v>
      </c>
      <c r="H196" s="986">
        <v>2.0999999999999999E-3</v>
      </c>
      <c r="I196" s="986"/>
      <c r="J196" s="988">
        <v>15401</v>
      </c>
    </row>
    <row r="197" spans="2:10">
      <c r="B197" s="988">
        <v>15432</v>
      </c>
      <c r="H197" s="986">
        <v>2E-3</v>
      </c>
      <c r="I197" s="986"/>
      <c r="J197" s="988">
        <v>15432</v>
      </c>
    </row>
    <row r="198" spans="2:10">
      <c r="B198" s="988">
        <v>15462</v>
      </c>
      <c r="H198" s="986">
        <v>1.9E-3</v>
      </c>
      <c r="I198" s="986"/>
      <c r="J198" s="988">
        <v>15462</v>
      </c>
    </row>
    <row r="199" spans="2:10">
      <c r="B199" s="988">
        <v>15493</v>
      </c>
      <c r="H199" s="986">
        <v>2.0999999999999999E-3</v>
      </c>
      <c r="I199" s="986"/>
      <c r="J199" s="988">
        <v>15493</v>
      </c>
    </row>
    <row r="200" spans="2:10">
      <c r="B200" s="988">
        <v>15523</v>
      </c>
      <c r="H200" s="986">
        <v>2.0999999999999999E-3</v>
      </c>
      <c r="I200" s="986"/>
      <c r="J200" s="988">
        <v>15523</v>
      </c>
    </row>
    <row r="201" spans="2:10">
      <c r="B201" s="988">
        <v>15554</v>
      </c>
      <c r="H201" s="986">
        <v>2.0999999999999999E-3</v>
      </c>
      <c r="I201" s="986"/>
      <c r="J201" s="988">
        <v>15554</v>
      </c>
    </row>
    <row r="202" spans="2:10">
      <c r="B202" s="988">
        <v>15585</v>
      </c>
      <c r="H202" s="986">
        <v>2E-3</v>
      </c>
      <c r="I202" s="986"/>
      <c r="J202" s="988">
        <v>15585</v>
      </c>
    </row>
    <row r="203" spans="2:10">
      <c r="B203" s="988">
        <v>15615</v>
      </c>
      <c r="H203" s="986">
        <v>2.0999999999999999E-3</v>
      </c>
      <c r="I203" s="986"/>
      <c r="J203" s="988">
        <v>15615</v>
      </c>
    </row>
    <row r="204" spans="2:10">
      <c r="B204" s="988">
        <v>15646</v>
      </c>
      <c r="H204" s="986">
        <v>2E-3</v>
      </c>
      <c r="I204" s="986"/>
      <c r="J204" s="988">
        <v>15646</v>
      </c>
    </row>
    <row r="205" spans="2:10">
      <c r="B205" s="988">
        <v>15676</v>
      </c>
      <c r="H205" s="986">
        <v>2.0999999999999999E-3</v>
      </c>
      <c r="I205" s="986"/>
      <c r="J205" s="988">
        <v>15676</v>
      </c>
    </row>
    <row r="206" spans="2:10">
      <c r="B206" s="988">
        <v>15707</v>
      </c>
      <c r="H206" s="986">
        <v>2E-3</v>
      </c>
      <c r="I206" s="986"/>
      <c r="J206" s="988">
        <v>15707</v>
      </c>
    </row>
    <row r="207" spans="2:10">
      <c r="B207" s="988">
        <v>15738</v>
      </c>
      <c r="H207" s="986">
        <v>1.9E-3</v>
      </c>
      <c r="I207" s="986"/>
      <c r="J207" s="988">
        <v>15738</v>
      </c>
    </row>
    <row r="208" spans="2:10">
      <c r="B208" s="988">
        <v>15766</v>
      </c>
      <c r="H208" s="986">
        <v>2.0999999999999999E-3</v>
      </c>
      <c r="I208" s="986"/>
      <c r="J208" s="988">
        <v>15766</v>
      </c>
    </row>
    <row r="209" spans="2:10">
      <c r="B209" s="988">
        <v>15797</v>
      </c>
      <c r="H209" s="986">
        <v>2E-3</v>
      </c>
      <c r="I209" s="986"/>
      <c r="J209" s="988">
        <v>15797</v>
      </c>
    </row>
    <row r="210" spans="2:10">
      <c r="B210" s="988">
        <v>15827</v>
      </c>
      <c r="H210" s="986">
        <v>1.9E-3</v>
      </c>
      <c r="I210" s="986"/>
      <c r="J210" s="988">
        <v>15827</v>
      </c>
    </row>
    <row r="211" spans="2:10">
      <c r="B211" s="988">
        <v>15858</v>
      </c>
      <c r="H211" s="986">
        <v>2.0999999999999999E-3</v>
      </c>
      <c r="I211" s="986"/>
      <c r="J211" s="988">
        <v>15858</v>
      </c>
    </row>
    <row r="212" spans="2:10">
      <c r="B212" s="988">
        <v>15888</v>
      </c>
      <c r="H212" s="986">
        <v>2.0999999999999999E-3</v>
      </c>
      <c r="I212" s="986"/>
      <c r="J212" s="988">
        <v>15888</v>
      </c>
    </row>
    <row r="213" spans="2:10">
      <c r="B213" s="988">
        <v>15919</v>
      </c>
      <c r="H213" s="986">
        <v>2.0999999999999999E-3</v>
      </c>
      <c r="I213" s="986"/>
      <c r="J213" s="988">
        <v>15919</v>
      </c>
    </row>
    <row r="214" spans="2:10">
      <c r="B214" s="988">
        <v>15950</v>
      </c>
      <c r="H214" s="986">
        <v>2E-3</v>
      </c>
      <c r="I214" s="986"/>
      <c r="J214" s="988">
        <v>15950</v>
      </c>
    </row>
    <row r="215" spans="2:10">
      <c r="B215" s="988">
        <v>15980</v>
      </c>
      <c r="H215" s="986">
        <v>2E-3</v>
      </c>
      <c r="I215" s="986"/>
      <c r="J215" s="988">
        <v>15980</v>
      </c>
    </row>
    <row r="216" spans="2:10">
      <c r="B216" s="988">
        <v>16011</v>
      </c>
      <c r="H216" s="986">
        <v>2.0999999999999999E-3</v>
      </c>
      <c r="I216" s="986"/>
      <c r="J216" s="988">
        <v>16011</v>
      </c>
    </row>
    <row r="217" spans="2:10">
      <c r="B217" s="988">
        <v>16041</v>
      </c>
      <c r="H217" s="986">
        <v>2.0999999999999999E-3</v>
      </c>
      <c r="I217" s="986"/>
      <c r="J217" s="988">
        <v>16041</v>
      </c>
    </row>
    <row r="218" spans="2:10">
      <c r="B218" s="988">
        <v>16072</v>
      </c>
      <c r="H218" s="986">
        <v>2.0999999999999999E-3</v>
      </c>
      <c r="I218" s="986"/>
      <c r="J218" s="988">
        <v>16072</v>
      </c>
    </row>
    <row r="219" spans="2:10">
      <c r="B219" s="988">
        <v>16103</v>
      </c>
      <c r="H219" s="986">
        <v>2E-3</v>
      </c>
      <c r="I219" s="986"/>
      <c r="J219" s="988">
        <v>16103</v>
      </c>
    </row>
    <row r="220" spans="2:10">
      <c r="B220" s="988">
        <v>16132</v>
      </c>
      <c r="H220" s="986">
        <v>2.0999999999999999E-3</v>
      </c>
      <c r="I220" s="986"/>
      <c r="J220" s="988">
        <v>16132</v>
      </c>
    </row>
    <row r="221" spans="2:10">
      <c r="B221" s="988">
        <v>16163</v>
      </c>
      <c r="H221" s="986">
        <v>2E-3</v>
      </c>
      <c r="I221" s="986"/>
      <c r="J221" s="988">
        <v>16163</v>
      </c>
    </row>
    <row r="222" spans="2:10">
      <c r="B222" s="988">
        <v>16193</v>
      </c>
      <c r="H222" s="986">
        <v>2.2000000000000001E-3</v>
      </c>
      <c r="I222" s="986"/>
      <c r="J222" s="988">
        <v>16193</v>
      </c>
    </row>
    <row r="223" spans="2:10">
      <c r="B223" s="988">
        <v>16224</v>
      </c>
      <c r="H223" s="986">
        <v>2E-3</v>
      </c>
      <c r="I223" s="986"/>
      <c r="J223" s="988">
        <v>16224</v>
      </c>
    </row>
    <row r="224" spans="2:10">
      <c r="B224" s="988">
        <v>16254</v>
      </c>
      <c r="H224" s="986">
        <v>2.0999999999999999E-3</v>
      </c>
      <c r="I224" s="986"/>
      <c r="J224" s="988">
        <v>16254</v>
      </c>
    </row>
    <row r="225" spans="2:10">
      <c r="B225" s="988">
        <v>16285</v>
      </c>
      <c r="H225" s="986">
        <v>2.0999999999999999E-3</v>
      </c>
      <c r="I225" s="986"/>
      <c r="J225" s="988">
        <v>16285</v>
      </c>
    </row>
    <row r="226" spans="2:10">
      <c r="B226" s="988">
        <v>16316</v>
      </c>
      <c r="H226" s="986">
        <v>2E-3</v>
      </c>
      <c r="I226" s="986"/>
      <c r="J226" s="988">
        <v>16316</v>
      </c>
    </row>
    <row r="227" spans="2:10">
      <c r="B227" s="988">
        <v>16346</v>
      </c>
      <c r="H227" s="986">
        <v>2.0999999999999999E-3</v>
      </c>
      <c r="I227" s="986"/>
      <c r="J227" s="988">
        <v>16346</v>
      </c>
    </row>
    <row r="228" spans="2:10">
      <c r="B228" s="988">
        <v>16377</v>
      </c>
      <c r="H228" s="986">
        <v>2E-3</v>
      </c>
      <c r="I228" s="986"/>
      <c r="J228" s="988">
        <v>16377</v>
      </c>
    </row>
    <row r="229" spans="2:10">
      <c r="B229" s="988">
        <v>16407</v>
      </c>
      <c r="H229" s="986">
        <v>2E-3</v>
      </c>
      <c r="I229" s="986"/>
      <c r="J229" s="988">
        <v>16407</v>
      </c>
    </row>
    <row r="230" spans="2:10">
      <c r="B230" s="988">
        <v>16438</v>
      </c>
      <c r="H230" s="986">
        <v>2.0999999999999999E-3</v>
      </c>
      <c r="I230" s="986"/>
      <c r="J230" s="988">
        <v>16438</v>
      </c>
    </row>
    <row r="231" spans="2:10">
      <c r="B231" s="988">
        <v>16469</v>
      </c>
      <c r="H231" s="986">
        <v>1.8E-3</v>
      </c>
      <c r="I231" s="986"/>
      <c r="J231" s="988">
        <v>16469</v>
      </c>
    </row>
    <row r="232" spans="2:10">
      <c r="B232" s="988">
        <v>16497</v>
      </c>
      <c r="H232" s="986">
        <v>2E-3</v>
      </c>
      <c r="I232" s="986"/>
      <c r="J232" s="988">
        <v>16497</v>
      </c>
    </row>
    <row r="233" spans="2:10">
      <c r="B233" s="988">
        <v>16528</v>
      </c>
      <c r="H233" s="986">
        <v>1.9E-3</v>
      </c>
      <c r="I233" s="986"/>
      <c r="J233" s="988">
        <v>16528</v>
      </c>
    </row>
    <row r="234" spans="2:10">
      <c r="B234" s="988">
        <v>16558</v>
      </c>
      <c r="H234" s="986">
        <v>1.9E-3</v>
      </c>
      <c r="I234" s="986"/>
      <c r="J234" s="988">
        <v>16558</v>
      </c>
    </row>
    <row r="235" spans="2:10">
      <c r="B235" s="988">
        <v>16589</v>
      </c>
      <c r="H235" s="986">
        <v>1.9E-3</v>
      </c>
      <c r="I235" s="986"/>
      <c r="J235" s="988">
        <v>16589</v>
      </c>
    </row>
    <row r="236" spans="2:10">
      <c r="B236" s="988">
        <v>16619</v>
      </c>
      <c r="H236" s="986">
        <v>1.8E-3</v>
      </c>
      <c r="I236" s="986"/>
      <c r="J236" s="988">
        <v>16619</v>
      </c>
    </row>
    <row r="237" spans="2:10">
      <c r="B237" s="988">
        <v>16650</v>
      </c>
      <c r="H237" s="986">
        <v>1.9E-3</v>
      </c>
      <c r="I237" s="986"/>
      <c r="J237" s="988">
        <v>16650</v>
      </c>
    </row>
    <row r="238" spans="2:10">
      <c r="B238" s="988">
        <v>16681</v>
      </c>
      <c r="H238" s="986">
        <v>1.8E-3</v>
      </c>
      <c r="I238" s="986"/>
      <c r="J238" s="988">
        <v>16681</v>
      </c>
    </row>
    <row r="239" spans="2:10">
      <c r="B239" s="988">
        <v>16711</v>
      </c>
      <c r="H239" s="986">
        <v>1.9E-3</v>
      </c>
      <c r="I239" s="986"/>
      <c r="J239" s="988">
        <v>16711</v>
      </c>
    </row>
    <row r="240" spans="2:10">
      <c r="B240" s="988">
        <v>16742</v>
      </c>
      <c r="H240" s="986">
        <v>1.8E-3</v>
      </c>
      <c r="I240" s="986"/>
      <c r="J240" s="988">
        <v>16742</v>
      </c>
    </row>
    <row r="241" spans="2:10">
      <c r="B241" s="988">
        <v>16772</v>
      </c>
      <c r="H241" s="986">
        <v>1.8E-3</v>
      </c>
      <c r="I241" s="986"/>
      <c r="J241" s="988">
        <v>16772</v>
      </c>
    </row>
    <row r="242" spans="2:10">
      <c r="B242" s="988">
        <v>16803</v>
      </c>
      <c r="H242" s="986">
        <v>1.6999999999999999E-3</v>
      </c>
      <c r="I242" s="986"/>
      <c r="J242" s="988">
        <v>16803</v>
      </c>
    </row>
    <row r="243" spans="2:10">
      <c r="B243" s="988">
        <v>16834</v>
      </c>
      <c r="H243" s="986">
        <v>1.5E-3</v>
      </c>
      <c r="I243" s="986"/>
      <c r="J243" s="988">
        <v>16834</v>
      </c>
    </row>
    <row r="244" spans="2:10">
      <c r="B244" s="988">
        <v>16862</v>
      </c>
      <c r="H244" s="986">
        <v>1.6000000000000001E-3</v>
      </c>
      <c r="I244" s="986"/>
      <c r="J244" s="988">
        <v>16862</v>
      </c>
    </row>
    <row r="245" spans="2:10">
      <c r="B245" s="988">
        <v>16893</v>
      </c>
      <c r="H245" s="986">
        <v>1.6999999999999999E-3</v>
      </c>
      <c r="I245" s="986"/>
      <c r="J245" s="988">
        <v>16893</v>
      </c>
    </row>
    <row r="246" spans="2:10">
      <c r="B246" s="988">
        <v>16923</v>
      </c>
      <c r="H246" s="986">
        <v>1.8E-3</v>
      </c>
      <c r="I246" s="986"/>
      <c r="J246" s="988">
        <v>16923</v>
      </c>
    </row>
    <row r="247" spans="2:10">
      <c r="B247" s="988">
        <v>16954</v>
      </c>
      <c r="H247" s="986">
        <v>1.6000000000000001E-3</v>
      </c>
      <c r="I247" s="986"/>
      <c r="J247" s="988">
        <v>16954</v>
      </c>
    </row>
    <row r="248" spans="2:10">
      <c r="B248" s="988">
        <v>16984</v>
      </c>
      <c r="H248" s="986">
        <v>1.9E-3</v>
      </c>
      <c r="I248" s="986"/>
      <c r="J248" s="988">
        <v>16984</v>
      </c>
    </row>
    <row r="249" spans="2:10">
      <c r="B249" s="988">
        <v>17015</v>
      </c>
      <c r="H249" s="986">
        <v>1.6999999999999999E-3</v>
      </c>
      <c r="I249" s="986"/>
      <c r="J249" s="988">
        <v>17015</v>
      </c>
    </row>
    <row r="250" spans="2:10">
      <c r="B250" s="988">
        <v>17046</v>
      </c>
      <c r="H250" s="986">
        <v>1.8E-3</v>
      </c>
      <c r="I250" s="986"/>
      <c r="J250" s="988">
        <v>17046</v>
      </c>
    </row>
    <row r="251" spans="2:10">
      <c r="B251" s="988">
        <v>17076</v>
      </c>
      <c r="H251" s="986">
        <v>1.9E-3</v>
      </c>
      <c r="I251" s="986"/>
      <c r="J251" s="988">
        <v>17076</v>
      </c>
    </row>
    <row r="252" spans="2:10">
      <c r="B252" s="988">
        <v>17107</v>
      </c>
      <c r="H252" s="986">
        <v>1.8E-3</v>
      </c>
      <c r="I252" s="986"/>
      <c r="J252" s="988">
        <v>17107</v>
      </c>
    </row>
    <row r="253" spans="2:10">
      <c r="B253" s="988">
        <v>17137</v>
      </c>
      <c r="H253" s="986">
        <v>1.9E-3</v>
      </c>
      <c r="I253" s="986"/>
      <c r="J253" s="988">
        <v>17137</v>
      </c>
    </row>
    <row r="254" spans="2:10">
      <c r="B254" s="988">
        <v>17168</v>
      </c>
      <c r="H254" s="986">
        <v>1.8E-3</v>
      </c>
      <c r="I254" s="986"/>
      <c r="J254" s="988">
        <v>17168</v>
      </c>
    </row>
    <row r="255" spans="2:10">
      <c r="B255" s="988">
        <v>17199</v>
      </c>
      <c r="H255" s="986">
        <v>1.6000000000000001E-3</v>
      </c>
      <c r="I255" s="986"/>
      <c r="J255" s="988">
        <v>17199</v>
      </c>
    </row>
    <row r="256" spans="2:10">
      <c r="B256" s="988">
        <v>17227</v>
      </c>
      <c r="H256" s="986">
        <v>1.8E-3</v>
      </c>
      <c r="I256" s="986"/>
      <c r="J256" s="988">
        <v>17227</v>
      </c>
    </row>
    <row r="257" spans="2:10">
      <c r="B257" s="988">
        <v>17258</v>
      </c>
      <c r="H257" s="986">
        <v>1.6999999999999999E-3</v>
      </c>
      <c r="I257" s="986"/>
      <c r="J257" s="988">
        <v>17258</v>
      </c>
    </row>
    <row r="258" spans="2:10">
      <c r="B258" s="988">
        <v>17288</v>
      </c>
      <c r="H258" s="986">
        <v>1.6999999999999999E-3</v>
      </c>
      <c r="I258" s="986"/>
      <c r="J258" s="988">
        <v>17288</v>
      </c>
    </row>
    <row r="259" spans="2:10">
      <c r="B259" s="988">
        <v>17319</v>
      </c>
      <c r="H259" s="986">
        <v>1.9E-3</v>
      </c>
      <c r="I259" s="986"/>
      <c r="J259" s="988">
        <v>17319</v>
      </c>
    </row>
    <row r="260" spans="2:10">
      <c r="B260" s="988">
        <v>17349</v>
      </c>
      <c r="H260" s="986">
        <v>1.8E-3</v>
      </c>
      <c r="I260" s="986"/>
      <c r="J260" s="988">
        <v>17349</v>
      </c>
    </row>
    <row r="261" spans="2:10">
      <c r="B261" s="988">
        <v>17380</v>
      </c>
      <c r="H261" s="986">
        <v>1.6999999999999999E-3</v>
      </c>
      <c r="I261" s="986"/>
      <c r="J261" s="988">
        <v>17380</v>
      </c>
    </row>
    <row r="262" spans="2:10">
      <c r="B262" s="988">
        <v>17411</v>
      </c>
      <c r="H262" s="986">
        <v>1.8E-3</v>
      </c>
      <c r="I262" s="986"/>
      <c r="J262" s="988">
        <v>17411</v>
      </c>
    </row>
    <row r="263" spans="2:10">
      <c r="B263" s="988">
        <v>17441</v>
      </c>
      <c r="H263" s="986">
        <v>1.8E-3</v>
      </c>
      <c r="I263" s="986"/>
      <c r="J263" s="988">
        <v>17441</v>
      </c>
    </row>
    <row r="264" spans="2:10">
      <c r="B264" s="988">
        <v>17472</v>
      </c>
      <c r="H264" s="986">
        <v>1.6999999999999999E-3</v>
      </c>
      <c r="I264" s="986"/>
      <c r="J264" s="988">
        <v>17472</v>
      </c>
    </row>
    <row r="265" spans="2:10">
      <c r="B265" s="988">
        <v>17502</v>
      </c>
      <c r="H265" s="986">
        <v>2.0999999999999999E-3</v>
      </c>
      <c r="I265" s="986"/>
      <c r="J265" s="988">
        <v>17502</v>
      </c>
    </row>
    <row r="266" spans="2:10">
      <c r="B266" s="988">
        <v>17533</v>
      </c>
      <c r="H266" s="986">
        <v>2E-3</v>
      </c>
      <c r="I266" s="986"/>
      <c r="J266" s="988">
        <v>17533</v>
      </c>
    </row>
    <row r="267" spans="2:10">
      <c r="B267" s="988">
        <v>17564</v>
      </c>
      <c r="H267" s="986">
        <v>1.9E-3</v>
      </c>
      <c r="I267" s="986"/>
      <c r="J267" s="988">
        <v>17564</v>
      </c>
    </row>
    <row r="268" spans="2:10">
      <c r="B268" s="988">
        <v>17593</v>
      </c>
      <c r="H268" s="986">
        <v>2.2000000000000001E-3</v>
      </c>
      <c r="I268" s="986"/>
      <c r="J268" s="988">
        <v>17593</v>
      </c>
    </row>
    <row r="269" spans="2:10">
      <c r="B269" s="988">
        <v>17624</v>
      </c>
      <c r="H269" s="986">
        <v>2E-3</v>
      </c>
      <c r="I269" s="986"/>
      <c r="J269" s="988">
        <v>17624</v>
      </c>
    </row>
    <row r="270" spans="2:10">
      <c r="B270" s="988">
        <v>17654</v>
      </c>
      <c r="H270" s="986">
        <v>1.8E-3</v>
      </c>
      <c r="I270" s="986"/>
      <c r="J270" s="988">
        <v>17654</v>
      </c>
    </row>
    <row r="271" spans="2:10">
      <c r="B271" s="988">
        <v>17685</v>
      </c>
      <c r="H271" s="986">
        <v>2.0999999999999999E-3</v>
      </c>
      <c r="I271" s="986"/>
      <c r="J271" s="988">
        <v>17685</v>
      </c>
    </row>
    <row r="272" spans="2:10">
      <c r="B272" s="988">
        <v>17715</v>
      </c>
      <c r="H272" s="986">
        <v>1.9E-3</v>
      </c>
      <c r="I272" s="986"/>
      <c r="J272" s="988">
        <v>17715</v>
      </c>
    </row>
    <row r="273" spans="2:10">
      <c r="B273" s="988">
        <v>17746</v>
      </c>
      <c r="H273" s="986">
        <v>2.0999999999999999E-3</v>
      </c>
      <c r="I273" s="986"/>
      <c r="J273" s="988">
        <v>17746</v>
      </c>
    </row>
    <row r="274" spans="2:10">
      <c r="B274" s="988">
        <v>17777</v>
      </c>
      <c r="H274" s="986">
        <v>2E-3</v>
      </c>
      <c r="I274" s="986"/>
      <c r="J274" s="988">
        <v>17777</v>
      </c>
    </row>
    <row r="275" spans="2:10">
      <c r="B275" s="988">
        <v>17807</v>
      </c>
      <c r="H275" s="986">
        <v>1.9E-3</v>
      </c>
      <c r="I275" s="986"/>
      <c r="J275" s="988">
        <v>17807</v>
      </c>
    </row>
    <row r="276" spans="2:10">
      <c r="B276" s="988">
        <v>17838</v>
      </c>
      <c r="H276" s="986">
        <v>2.0999999999999999E-3</v>
      </c>
      <c r="I276" s="986"/>
      <c r="J276" s="988">
        <v>17838</v>
      </c>
    </row>
    <row r="277" spans="2:10">
      <c r="B277" s="988">
        <v>17868</v>
      </c>
      <c r="H277" s="986">
        <v>2E-3</v>
      </c>
      <c r="I277" s="986"/>
      <c r="J277" s="988">
        <v>17868</v>
      </c>
    </row>
    <row r="278" spans="2:10">
      <c r="B278" s="988">
        <v>17899</v>
      </c>
      <c r="H278" s="986">
        <v>2E-3</v>
      </c>
      <c r="I278" s="986"/>
      <c r="J278" s="988">
        <v>17899</v>
      </c>
    </row>
    <row r="279" spans="2:10">
      <c r="B279" s="988">
        <v>17930</v>
      </c>
      <c r="H279" s="986">
        <v>1.8E-3</v>
      </c>
      <c r="I279" s="986"/>
      <c r="J279" s="988">
        <v>17930</v>
      </c>
    </row>
    <row r="280" spans="2:10">
      <c r="B280" s="988">
        <v>17958</v>
      </c>
      <c r="H280" s="986">
        <v>1.9E-3</v>
      </c>
      <c r="I280" s="986"/>
      <c r="J280" s="988">
        <v>17958</v>
      </c>
    </row>
    <row r="281" spans="2:10">
      <c r="B281" s="988">
        <v>17989</v>
      </c>
      <c r="H281" s="986">
        <v>1.8E-3</v>
      </c>
      <c r="I281" s="986"/>
      <c r="J281" s="988">
        <v>17989</v>
      </c>
    </row>
    <row r="282" spans="2:10">
      <c r="B282" s="988">
        <v>18019</v>
      </c>
      <c r="H282" s="986">
        <v>2E-3</v>
      </c>
      <c r="I282" s="986"/>
      <c r="J282" s="988">
        <v>18019</v>
      </c>
    </row>
    <row r="283" spans="2:10">
      <c r="B283" s="988">
        <v>18050</v>
      </c>
      <c r="H283" s="986">
        <v>1.9E-3</v>
      </c>
      <c r="I283" s="986"/>
      <c r="J283" s="988">
        <v>18050</v>
      </c>
    </row>
    <row r="284" spans="2:10">
      <c r="B284" s="988">
        <v>18080</v>
      </c>
      <c r="H284" s="986">
        <v>1.6999999999999999E-3</v>
      </c>
      <c r="I284" s="986"/>
      <c r="J284" s="988">
        <v>18080</v>
      </c>
    </row>
    <row r="285" spans="2:10">
      <c r="B285" s="988">
        <v>18111</v>
      </c>
      <c r="H285" s="986">
        <v>1.9E-3</v>
      </c>
      <c r="I285" s="986"/>
      <c r="J285" s="988">
        <v>18111</v>
      </c>
    </row>
    <row r="286" spans="2:10">
      <c r="B286" s="988">
        <v>18142</v>
      </c>
      <c r="H286" s="986">
        <v>1.6999999999999999E-3</v>
      </c>
      <c r="I286" s="986"/>
      <c r="J286" s="988">
        <v>18142</v>
      </c>
    </row>
    <row r="287" spans="2:10">
      <c r="B287" s="988">
        <v>18172</v>
      </c>
      <c r="H287" s="986">
        <v>1.8E-3</v>
      </c>
      <c r="I287" s="986"/>
      <c r="J287" s="988">
        <v>18172</v>
      </c>
    </row>
    <row r="288" spans="2:10">
      <c r="B288" s="988">
        <v>18203</v>
      </c>
      <c r="H288" s="986">
        <v>1.6999999999999999E-3</v>
      </c>
      <c r="I288" s="986"/>
      <c r="J288" s="988">
        <v>18203</v>
      </c>
    </row>
    <row r="289" spans="2:10">
      <c r="B289" s="988">
        <v>18233</v>
      </c>
      <c r="H289" s="986">
        <v>1.6999999999999999E-3</v>
      </c>
      <c r="I289" s="986"/>
      <c r="J289" s="988">
        <v>18233</v>
      </c>
    </row>
    <row r="290" spans="2:10">
      <c r="B290" s="988">
        <v>18264</v>
      </c>
      <c r="H290" s="986">
        <v>1.8E-3</v>
      </c>
      <c r="I290" s="986"/>
      <c r="J290" s="988">
        <v>18264</v>
      </c>
    </row>
    <row r="291" spans="2:10">
      <c r="B291" s="988">
        <v>18295</v>
      </c>
      <c r="H291" s="986">
        <v>1.6000000000000001E-3</v>
      </c>
      <c r="I291" s="986"/>
      <c r="J291" s="988">
        <v>18295</v>
      </c>
    </row>
    <row r="292" spans="2:10">
      <c r="B292" s="988">
        <v>18323</v>
      </c>
      <c r="H292" s="986">
        <v>1.8E-3</v>
      </c>
      <c r="I292" s="986"/>
      <c r="J292" s="988">
        <v>18323</v>
      </c>
    </row>
    <row r="293" spans="2:10">
      <c r="B293" s="988">
        <v>18354</v>
      </c>
      <c r="H293" s="986">
        <v>1.6000000000000001E-3</v>
      </c>
      <c r="I293" s="986"/>
      <c r="J293" s="988">
        <v>18354</v>
      </c>
    </row>
    <row r="294" spans="2:10">
      <c r="B294" s="988">
        <v>18384</v>
      </c>
      <c r="H294" s="986">
        <v>1.9E-3</v>
      </c>
      <c r="I294" s="986"/>
      <c r="J294" s="988">
        <v>18384</v>
      </c>
    </row>
    <row r="295" spans="2:10">
      <c r="B295" s="988">
        <v>18415</v>
      </c>
      <c r="H295" s="986">
        <v>1.6999999999999999E-3</v>
      </c>
      <c r="I295" s="986"/>
      <c r="J295" s="988">
        <v>18415</v>
      </c>
    </row>
    <row r="296" spans="2:10">
      <c r="B296" s="988">
        <v>18445</v>
      </c>
      <c r="H296" s="986">
        <v>1.8E-3</v>
      </c>
      <c r="I296" s="986"/>
      <c r="J296" s="988">
        <v>18445</v>
      </c>
    </row>
    <row r="297" spans="2:10">
      <c r="B297" s="988">
        <v>18476</v>
      </c>
      <c r="H297" s="986">
        <v>1.8E-3</v>
      </c>
      <c r="I297" s="986"/>
      <c r="J297" s="988">
        <v>18476</v>
      </c>
    </row>
    <row r="298" spans="2:10">
      <c r="B298" s="988">
        <v>18507</v>
      </c>
      <c r="H298" s="986">
        <v>1.6999999999999999E-3</v>
      </c>
      <c r="I298" s="986"/>
      <c r="J298" s="988">
        <v>18507</v>
      </c>
    </row>
    <row r="299" spans="2:10">
      <c r="B299" s="988">
        <v>18537</v>
      </c>
      <c r="H299" s="986">
        <v>1.9E-3</v>
      </c>
      <c r="I299" s="986"/>
      <c r="J299" s="988">
        <v>18537</v>
      </c>
    </row>
    <row r="300" spans="2:10">
      <c r="B300" s="988">
        <v>18568</v>
      </c>
      <c r="H300" s="986">
        <v>1.8E-3</v>
      </c>
      <c r="I300" s="986"/>
      <c r="J300" s="988">
        <v>18568</v>
      </c>
    </row>
    <row r="301" spans="2:10">
      <c r="B301" s="988">
        <v>18598</v>
      </c>
      <c r="H301" s="986">
        <v>1.8E-3</v>
      </c>
      <c r="I301" s="986"/>
      <c r="J301" s="988">
        <v>18598</v>
      </c>
    </row>
    <row r="302" spans="2:10">
      <c r="B302" s="988">
        <v>18629</v>
      </c>
      <c r="H302" s="986">
        <v>2E-3</v>
      </c>
      <c r="I302" s="986"/>
      <c r="J302" s="988">
        <v>18629</v>
      </c>
    </row>
    <row r="303" spans="2:10">
      <c r="B303" s="988">
        <v>18660</v>
      </c>
      <c r="H303" s="986">
        <v>1.6999999999999999E-3</v>
      </c>
      <c r="I303" s="986"/>
      <c r="J303" s="988">
        <v>18660</v>
      </c>
    </row>
    <row r="304" spans="2:10">
      <c r="B304" s="988">
        <v>18688</v>
      </c>
      <c r="H304" s="986">
        <v>1.9E-3</v>
      </c>
      <c r="I304" s="986"/>
      <c r="J304" s="988">
        <v>18688</v>
      </c>
    </row>
    <row r="305" spans="2:10">
      <c r="B305" s="988">
        <v>18719</v>
      </c>
      <c r="H305" s="986">
        <v>2E-3</v>
      </c>
      <c r="I305" s="986"/>
      <c r="J305" s="988">
        <v>18719</v>
      </c>
    </row>
    <row r="306" spans="2:10">
      <c r="B306" s="988">
        <v>18749</v>
      </c>
      <c r="H306" s="986">
        <v>2.0999999999999999E-3</v>
      </c>
      <c r="I306" s="986"/>
      <c r="J306" s="988">
        <v>18749</v>
      </c>
    </row>
    <row r="307" spans="2:10">
      <c r="B307" s="988">
        <v>18780</v>
      </c>
      <c r="H307" s="986">
        <v>2E-3</v>
      </c>
      <c r="I307" s="986"/>
      <c r="J307" s="988">
        <v>18780</v>
      </c>
    </row>
    <row r="308" spans="2:10">
      <c r="B308" s="988">
        <v>18810</v>
      </c>
      <c r="H308" s="986">
        <v>2.3E-3</v>
      </c>
      <c r="I308" s="986"/>
      <c r="J308" s="988">
        <v>18810</v>
      </c>
    </row>
    <row r="309" spans="2:10">
      <c r="B309" s="988">
        <v>18841</v>
      </c>
      <c r="H309" s="986">
        <v>2.0999999999999999E-3</v>
      </c>
      <c r="I309" s="986"/>
      <c r="J309" s="988">
        <v>18841</v>
      </c>
    </row>
    <row r="310" spans="2:10">
      <c r="B310" s="988">
        <v>18872</v>
      </c>
      <c r="H310" s="986">
        <v>1.9E-3</v>
      </c>
      <c r="I310" s="986"/>
      <c r="J310" s="988">
        <v>18872</v>
      </c>
    </row>
    <row r="311" spans="2:10">
      <c r="B311" s="988">
        <v>18902</v>
      </c>
      <c r="H311" s="986">
        <v>2.3E-3</v>
      </c>
      <c r="I311" s="986"/>
      <c r="J311" s="988">
        <v>18902</v>
      </c>
    </row>
    <row r="312" spans="2:10">
      <c r="B312" s="988">
        <v>18933</v>
      </c>
      <c r="H312" s="986">
        <v>2.0999999999999999E-3</v>
      </c>
      <c r="I312" s="986"/>
      <c r="J312" s="988">
        <v>18933</v>
      </c>
    </row>
    <row r="313" spans="2:10">
      <c r="B313" s="988">
        <v>18963</v>
      </c>
      <c r="H313" s="986">
        <v>2.2000000000000001E-3</v>
      </c>
      <c r="I313" s="986"/>
      <c r="J313" s="988">
        <v>18963</v>
      </c>
    </row>
    <row r="314" spans="2:10">
      <c r="B314" s="988">
        <v>18994</v>
      </c>
      <c r="H314" s="986">
        <v>2.3E-3</v>
      </c>
      <c r="I314" s="986"/>
      <c r="J314" s="988">
        <v>18994</v>
      </c>
    </row>
    <row r="315" spans="2:10">
      <c r="B315" s="988">
        <v>19025</v>
      </c>
      <c r="H315" s="986">
        <v>2.0999999999999999E-3</v>
      </c>
      <c r="I315" s="986"/>
      <c r="J315" s="988">
        <v>19025</v>
      </c>
    </row>
    <row r="316" spans="2:10">
      <c r="B316" s="988">
        <v>19054</v>
      </c>
      <c r="H316" s="986">
        <v>2.3E-3</v>
      </c>
      <c r="I316" s="986"/>
      <c r="J316" s="988">
        <v>19054</v>
      </c>
    </row>
    <row r="317" spans="2:10">
      <c r="B317" s="988">
        <v>19085</v>
      </c>
      <c r="H317" s="986">
        <v>2.2000000000000001E-3</v>
      </c>
      <c r="I317" s="986"/>
      <c r="J317" s="988">
        <v>19085</v>
      </c>
    </row>
    <row r="318" spans="2:10">
      <c r="B318" s="988">
        <v>19115</v>
      </c>
      <c r="H318" s="986">
        <v>2E-3</v>
      </c>
      <c r="I318" s="986"/>
      <c r="J318" s="988">
        <v>19115</v>
      </c>
    </row>
    <row r="319" spans="2:10">
      <c r="B319" s="988">
        <v>19146</v>
      </c>
      <c r="H319" s="986">
        <v>2.2000000000000001E-3</v>
      </c>
      <c r="I319" s="986"/>
      <c r="J319" s="988">
        <v>19146</v>
      </c>
    </row>
    <row r="320" spans="2:10">
      <c r="B320" s="988">
        <v>19176</v>
      </c>
      <c r="H320" s="986">
        <v>2.2000000000000001E-3</v>
      </c>
      <c r="I320" s="986"/>
      <c r="J320" s="988">
        <v>19176</v>
      </c>
    </row>
    <row r="321" spans="2:10">
      <c r="B321" s="988">
        <v>19207</v>
      </c>
      <c r="H321" s="986">
        <v>2.0999999999999999E-3</v>
      </c>
      <c r="I321" s="986"/>
      <c r="J321" s="988">
        <v>19207</v>
      </c>
    </row>
    <row r="322" spans="2:10">
      <c r="B322" s="988">
        <v>19238</v>
      </c>
      <c r="H322" s="986">
        <v>2.3E-3</v>
      </c>
      <c r="I322" s="986"/>
      <c r="J322" s="988">
        <v>19238</v>
      </c>
    </row>
    <row r="323" spans="2:10">
      <c r="B323" s="988">
        <v>19268</v>
      </c>
      <c r="H323" s="986">
        <v>2.3E-3</v>
      </c>
      <c r="I323" s="986"/>
      <c r="J323" s="988">
        <v>19268</v>
      </c>
    </row>
    <row r="324" spans="2:10">
      <c r="B324" s="988">
        <v>19299</v>
      </c>
      <c r="H324" s="986">
        <v>2.0999999999999999E-3</v>
      </c>
      <c r="I324" s="986"/>
      <c r="J324" s="988">
        <v>19299</v>
      </c>
    </row>
    <row r="325" spans="2:10">
      <c r="B325" s="988">
        <v>19329</v>
      </c>
      <c r="H325" s="986">
        <v>2.3999999999999998E-3</v>
      </c>
      <c r="I325" s="986"/>
      <c r="J325" s="988">
        <v>19329</v>
      </c>
    </row>
    <row r="326" spans="2:10">
      <c r="B326" s="988">
        <v>19360</v>
      </c>
      <c r="H326" s="986">
        <v>2.3E-3</v>
      </c>
      <c r="I326" s="986"/>
      <c r="J326" s="988">
        <v>19360</v>
      </c>
    </row>
    <row r="327" spans="2:10">
      <c r="B327" s="988">
        <v>19391</v>
      </c>
      <c r="H327" s="986">
        <v>2.0999999999999999E-3</v>
      </c>
      <c r="I327" s="986"/>
      <c r="J327" s="988">
        <v>19391</v>
      </c>
    </row>
    <row r="328" spans="2:10">
      <c r="B328" s="988">
        <v>19419</v>
      </c>
      <c r="H328" s="986">
        <v>2.5000000000000001E-3</v>
      </c>
      <c r="I328" s="986"/>
      <c r="J328" s="988">
        <v>19419</v>
      </c>
    </row>
    <row r="329" spans="2:10">
      <c r="B329" s="988">
        <v>19450</v>
      </c>
      <c r="H329" s="986">
        <v>2.3999999999999998E-3</v>
      </c>
      <c r="I329" s="986"/>
      <c r="J329" s="988">
        <v>19450</v>
      </c>
    </row>
    <row r="330" spans="2:10">
      <c r="B330" s="988">
        <v>19480</v>
      </c>
      <c r="H330" s="986">
        <v>2.3999999999999998E-3</v>
      </c>
      <c r="I330" s="986"/>
      <c r="J330" s="988">
        <v>19480</v>
      </c>
    </row>
    <row r="331" spans="2:10">
      <c r="B331" s="988">
        <v>19511</v>
      </c>
      <c r="H331" s="986">
        <v>2.7000000000000001E-3</v>
      </c>
      <c r="I331" s="986"/>
      <c r="J331" s="988">
        <v>19511</v>
      </c>
    </row>
    <row r="332" spans="2:10">
      <c r="B332" s="988">
        <v>19541</v>
      </c>
      <c r="H332" s="986">
        <v>2.5000000000000001E-3</v>
      </c>
      <c r="I332" s="986"/>
      <c r="J332" s="988">
        <v>19541</v>
      </c>
    </row>
    <row r="333" spans="2:10">
      <c r="B333" s="988">
        <v>19572</v>
      </c>
      <c r="H333" s="986">
        <v>2.5000000000000001E-3</v>
      </c>
      <c r="I333" s="986"/>
      <c r="J333" s="988">
        <v>19572</v>
      </c>
    </row>
    <row r="334" spans="2:10">
      <c r="B334" s="988">
        <v>19603</v>
      </c>
      <c r="H334" s="986">
        <v>2.5000000000000001E-3</v>
      </c>
      <c r="I334" s="986"/>
      <c r="J334" s="988">
        <v>19603</v>
      </c>
    </row>
    <row r="335" spans="2:10">
      <c r="B335" s="988">
        <v>19633</v>
      </c>
      <c r="H335" s="986">
        <v>2.3E-3</v>
      </c>
      <c r="I335" s="986"/>
      <c r="J335" s="988">
        <v>19633</v>
      </c>
    </row>
    <row r="336" spans="2:10">
      <c r="B336" s="988">
        <v>19664</v>
      </c>
      <c r="H336" s="986">
        <v>2.3999999999999998E-3</v>
      </c>
      <c r="I336" s="986"/>
      <c r="J336" s="988">
        <v>19664</v>
      </c>
    </row>
    <row r="337" spans="2:10">
      <c r="B337" s="988">
        <v>19694</v>
      </c>
      <c r="H337" s="986">
        <v>2.3999999999999998E-3</v>
      </c>
      <c r="I337" s="986"/>
      <c r="J337" s="988">
        <v>19694</v>
      </c>
    </row>
    <row r="338" spans="2:10">
      <c r="B338" s="988">
        <v>19725</v>
      </c>
      <c r="H338" s="986">
        <v>2.3E-3</v>
      </c>
      <c r="I338" s="986"/>
      <c r="J338" s="988">
        <v>19725</v>
      </c>
    </row>
    <row r="339" spans="2:10">
      <c r="B339" s="988">
        <v>19756</v>
      </c>
      <c r="H339" s="986">
        <v>2.2000000000000001E-3</v>
      </c>
      <c r="I339" s="986"/>
      <c r="J339" s="988">
        <v>19756</v>
      </c>
    </row>
    <row r="340" spans="2:10">
      <c r="B340" s="988">
        <v>19784</v>
      </c>
      <c r="H340" s="986">
        <v>2.5000000000000001E-3</v>
      </c>
      <c r="I340" s="986"/>
      <c r="J340" s="988">
        <v>19784</v>
      </c>
    </row>
    <row r="341" spans="2:10">
      <c r="B341" s="988">
        <v>19815</v>
      </c>
      <c r="H341" s="986">
        <v>2.2000000000000001E-3</v>
      </c>
      <c r="I341" s="986"/>
      <c r="J341" s="988">
        <v>19815</v>
      </c>
    </row>
    <row r="342" spans="2:10">
      <c r="B342" s="988">
        <v>19845</v>
      </c>
      <c r="H342" s="986">
        <v>2E-3</v>
      </c>
      <c r="I342" s="986"/>
      <c r="J342" s="988">
        <v>19845</v>
      </c>
    </row>
    <row r="343" spans="2:10">
      <c r="B343" s="988">
        <v>19876</v>
      </c>
      <c r="H343" s="986">
        <v>2.5000000000000001E-3</v>
      </c>
      <c r="I343" s="986"/>
      <c r="J343" s="988">
        <v>19876</v>
      </c>
    </row>
    <row r="344" spans="2:10">
      <c r="B344" s="988">
        <v>19906</v>
      </c>
      <c r="H344" s="986">
        <v>2.2000000000000001E-3</v>
      </c>
      <c r="I344" s="986"/>
      <c r="J344" s="988">
        <v>19906</v>
      </c>
    </row>
    <row r="345" spans="2:10">
      <c r="B345" s="988">
        <v>19937</v>
      </c>
      <c r="H345" s="986">
        <v>2.3E-3</v>
      </c>
      <c r="I345" s="986"/>
      <c r="J345" s="988">
        <v>19937</v>
      </c>
    </row>
    <row r="346" spans="2:10">
      <c r="B346" s="988">
        <v>19968</v>
      </c>
      <c r="H346" s="986">
        <v>2.2000000000000001E-3</v>
      </c>
      <c r="I346" s="986"/>
      <c r="J346" s="988">
        <v>19968</v>
      </c>
    </row>
    <row r="347" spans="2:10">
      <c r="B347" s="988">
        <v>19998</v>
      </c>
      <c r="H347" s="986">
        <v>2.0999999999999999E-3</v>
      </c>
      <c r="I347" s="986"/>
      <c r="J347" s="988">
        <v>19998</v>
      </c>
    </row>
    <row r="348" spans="2:10">
      <c r="B348" s="988">
        <v>20029</v>
      </c>
      <c r="H348" s="986">
        <v>2.3E-3</v>
      </c>
      <c r="I348" s="986"/>
      <c r="J348" s="988">
        <v>20029</v>
      </c>
    </row>
    <row r="349" spans="2:10">
      <c r="B349" s="988">
        <v>20059</v>
      </c>
      <c r="H349" s="986">
        <v>2.3E-3</v>
      </c>
      <c r="I349" s="986"/>
      <c r="J349" s="988">
        <v>20059</v>
      </c>
    </row>
    <row r="350" spans="2:10">
      <c r="B350" s="988">
        <v>20090</v>
      </c>
      <c r="H350" s="986">
        <v>2.2000000000000001E-3</v>
      </c>
      <c r="I350" s="986"/>
      <c r="J350" s="988">
        <v>20090</v>
      </c>
    </row>
    <row r="351" spans="2:10">
      <c r="B351" s="988">
        <v>20121</v>
      </c>
      <c r="H351" s="986">
        <v>2.2000000000000001E-3</v>
      </c>
      <c r="I351" s="986"/>
      <c r="J351" s="988">
        <v>20121</v>
      </c>
    </row>
    <row r="352" spans="2:10">
      <c r="B352" s="988">
        <v>20149</v>
      </c>
      <c r="H352" s="986">
        <v>2.3999999999999998E-3</v>
      </c>
      <c r="I352" s="986"/>
      <c r="J352" s="988">
        <v>20149</v>
      </c>
    </row>
    <row r="353" spans="2:10">
      <c r="B353" s="988">
        <v>20180</v>
      </c>
      <c r="H353" s="986">
        <v>2.2000000000000001E-3</v>
      </c>
      <c r="I353" s="986"/>
      <c r="J353" s="988">
        <v>20180</v>
      </c>
    </row>
    <row r="354" spans="2:10">
      <c r="B354" s="988">
        <v>20210</v>
      </c>
      <c r="H354" s="986">
        <v>2.5000000000000001E-3</v>
      </c>
      <c r="I354" s="986"/>
      <c r="J354" s="988">
        <v>20210</v>
      </c>
    </row>
    <row r="355" spans="2:10">
      <c r="B355" s="988">
        <v>20241</v>
      </c>
      <c r="H355" s="986">
        <v>2.3E-3</v>
      </c>
      <c r="I355" s="986"/>
      <c r="J355" s="988">
        <v>20241</v>
      </c>
    </row>
    <row r="356" spans="2:10">
      <c r="B356" s="988">
        <v>20271</v>
      </c>
      <c r="H356" s="986">
        <v>2.3E-3</v>
      </c>
      <c r="I356" s="986"/>
      <c r="J356" s="988">
        <v>20271</v>
      </c>
    </row>
    <row r="357" spans="2:10">
      <c r="B357" s="988">
        <v>20302</v>
      </c>
      <c r="H357" s="986">
        <v>2.7000000000000001E-3</v>
      </c>
      <c r="I357" s="986"/>
      <c r="J357" s="988">
        <v>20302</v>
      </c>
    </row>
    <row r="358" spans="2:10">
      <c r="B358" s="988">
        <v>20333</v>
      </c>
      <c r="H358" s="986">
        <v>2.3999999999999998E-3</v>
      </c>
      <c r="I358" s="986"/>
      <c r="J358" s="988">
        <v>20333</v>
      </c>
    </row>
    <row r="359" spans="2:10">
      <c r="B359" s="988">
        <v>20363</v>
      </c>
      <c r="H359" s="986">
        <v>2.5000000000000001E-3</v>
      </c>
      <c r="I359" s="986"/>
      <c r="J359" s="988">
        <v>20363</v>
      </c>
    </row>
    <row r="360" spans="2:10">
      <c r="B360" s="988">
        <v>20394</v>
      </c>
      <c r="H360" s="986">
        <v>2.3999999999999998E-3</v>
      </c>
      <c r="I360" s="986"/>
      <c r="J360" s="988">
        <v>20394</v>
      </c>
    </row>
    <row r="361" spans="2:10">
      <c r="B361" s="988">
        <v>20424</v>
      </c>
      <c r="H361" s="986">
        <v>2.3999999999999998E-3</v>
      </c>
      <c r="I361" s="986"/>
      <c r="J361" s="988">
        <v>20424</v>
      </c>
    </row>
    <row r="362" spans="2:10">
      <c r="B362" s="988">
        <v>20455</v>
      </c>
      <c r="H362" s="986">
        <v>2.5000000000000001E-3</v>
      </c>
      <c r="I362" s="986"/>
      <c r="J362" s="988">
        <v>20455</v>
      </c>
    </row>
    <row r="363" spans="2:10">
      <c r="B363" s="988">
        <v>20486</v>
      </c>
      <c r="H363" s="986">
        <v>2.3E-3</v>
      </c>
      <c r="I363" s="986"/>
      <c r="J363" s="988">
        <v>20486</v>
      </c>
    </row>
    <row r="364" spans="2:10">
      <c r="B364" s="988">
        <v>20515</v>
      </c>
      <c r="H364" s="986">
        <v>2.3E-3</v>
      </c>
      <c r="I364" s="986"/>
      <c r="J364" s="988">
        <v>20515</v>
      </c>
    </row>
    <row r="365" spans="2:10">
      <c r="B365" s="988">
        <v>20546</v>
      </c>
      <c r="H365" s="986">
        <v>2.5999999999999999E-3</v>
      </c>
      <c r="I365" s="986"/>
      <c r="J365" s="988">
        <v>20546</v>
      </c>
    </row>
    <row r="366" spans="2:10">
      <c r="B366" s="988">
        <v>20576</v>
      </c>
      <c r="H366" s="986">
        <v>2.5999999999999999E-3</v>
      </c>
      <c r="I366" s="986"/>
      <c r="J366" s="988">
        <v>20576</v>
      </c>
    </row>
    <row r="367" spans="2:10">
      <c r="B367" s="988">
        <v>20607</v>
      </c>
      <c r="H367" s="986">
        <v>2.3E-3</v>
      </c>
      <c r="I367" s="986"/>
      <c r="J367" s="988">
        <v>20607</v>
      </c>
    </row>
    <row r="368" spans="2:10">
      <c r="B368" s="988">
        <v>20637</v>
      </c>
      <c r="H368" s="986">
        <v>2.5999999999999999E-3</v>
      </c>
      <c r="I368" s="986"/>
      <c r="J368" s="988">
        <v>20637</v>
      </c>
    </row>
    <row r="369" spans="2:10">
      <c r="B369" s="988">
        <v>20668</v>
      </c>
      <c r="H369" s="986">
        <v>2.5999999999999999E-3</v>
      </c>
      <c r="I369" s="986"/>
      <c r="J369" s="988">
        <v>20668</v>
      </c>
    </row>
    <row r="370" spans="2:10">
      <c r="B370" s="988">
        <v>20699</v>
      </c>
      <c r="H370" s="986">
        <v>2.5000000000000001E-3</v>
      </c>
      <c r="I370" s="986"/>
      <c r="J370" s="988">
        <v>20699</v>
      </c>
    </row>
    <row r="371" spans="2:10">
      <c r="B371" s="988">
        <v>20729</v>
      </c>
      <c r="H371" s="986">
        <v>2.8999999999999998E-3</v>
      </c>
      <c r="I371" s="986"/>
      <c r="J371" s="988">
        <v>20729</v>
      </c>
    </row>
    <row r="372" spans="2:10">
      <c r="B372" s="988">
        <v>20760</v>
      </c>
      <c r="H372" s="986">
        <v>2.7000000000000001E-3</v>
      </c>
      <c r="I372" s="986"/>
      <c r="J372" s="988">
        <v>20760</v>
      </c>
    </row>
    <row r="373" spans="2:10">
      <c r="B373" s="988">
        <v>20790</v>
      </c>
      <c r="H373" s="986">
        <v>2.8E-3</v>
      </c>
      <c r="I373" s="986"/>
      <c r="J373" s="988">
        <v>20790</v>
      </c>
    </row>
    <row r="374" spans="2:10">
      <c r="B374" s="988">
        <v>20821</v>
      </c>
      <c r="H374" s="986">
        <v>2.8999999999999998E-3</v>
      </c>
      <c r="I374" s="986"/>
      <c r="J374" s="988">
        <v>20821</v>
      </c>
    </row>
    <row r="375" spans="2:10">
      <c r="B375" s="988">
        <v>20852</v>
      </c>
      <c r="H375" s="986">
        <v>2.5000000000000001E-3</v>
      </c>
      <c r="I375" s="986"/>
      <c r="J375" s="988">
        <v>20852</v>
      </c>
    </row>
    <row r="376" spans="2:10">
      <c r="B376" s="988">
        <v>20880</v>
      </c>
      <c r="H376" s="986">
        <v>2.5999999999999999E-3</v>
      </c>
      <c r="I376" s="986"/>
      <c r="J376" s="988">
        <v>20880</v>
      </c>
    </row>
    <row r="377" spans="2:10">
      <c r="B377" s="988">
        <v>20911</v>
      </c>
      <c r="H377" s="986">
        <v>2.8999999999999998E-3</v>
      </c>
      <c r="I377" s="986"/>
      <c r="J377" s="988">
        <v>20911</v>
      </c>
    </row>
    <row r="378" spans="2:10">
      <c r="B378" s="988">
        <v>20941</v>
      </c>
      <c r="H378" s="986">
        <v>2.8999999999999998E-3</v>
      </c>
      <c r="I378" s="986"/>
      <c r="J378" s="988">
        <v>20941</v>
      </c>
    </row>
    <row r="379" spans="2:10">
      <c r="B379" s="988">
        <v>20972</v>
      </c>
      <c r="H379" s="986">
        <v>2.5000000000000001E-3</v>
      </c>
      <c r="I379" s="986"/>
      <c r="J379" s="988">
        <v>20972</v>
      </c>
    </row>
    <row r="380" spans="2:10">
      <c r="B380" s="988">
        <v>21002</v>
      </c>
      <c r="H380" s="986">
        <v>3.3E-3</v>
      </c>
      <c r="I380" s="986"/>
      <c r="J380" s="988">
        <v>21002</v>
      </c>
    </row>
    <row r="381" spans="2:10">
      <c r="B381" s="988">
        <v>21033</v>
      </c>
      <c r="H381" s="986">
        <v>3.0000000000000001E-3</v>
      </c>
      <c r="I381" s="986"/>
      <c r="J381" s="988">
        <v>21033</v>
      </c>
    </row>
    <row r="382" spans="2:10">
      <c r="B382" s="988">
        <v>21064</v>
      </c>
      <c r="H382" s="986">
        <v>3.0999999999999999E-3</v>
      </c>
      <c r="I382" s="986"/>
      <c r="J382" s="988">
        <v>21064</v>
      </c>
    </row>
    <row r="383" spans="2:10">
      <c r="B383" s="988">
        <v>21094</v>
      </c>
      <c r="H383" s="986">
        <v>3.0999999999999999E-3</v>
      </c>
      <c r="I383" s="986"/>
      <c r="J383" s="988">
        <v>21094</v>
      </c>
    </row>
    <row r="384" spans="2:10">
      <c r="B384" s="988">
        <v>21125</v>
      </c>
      <c r="H384" s="986">
        <v>2.8999999999999998E-3</v>
      </c>
      <c r="I384" s="986"/>
      <c r="J384" s="988">
        <v>21125</v>
      </c>
    </row>
    <row r="385" spans="2:10">
      <c r="B385" s="988">
        <v>21155</v>
      </c>
      <c r="H385" s="986">
        <v>2.8999999999999998E-3</v>
      </c>
      <c r="I385" s="986"/>
      <c r="J385" s="988">
        <v>21155</v>
      </c>
    </row>
    <row r="386" spans="2:10">
      <c r="B386" s="988">
        <v>21186</v>
      </c>
      <c r="H386" s="986">
        <v>2.7000000000000001E-3</v>
      </c>
      <c r="I386" s="986"/>
      <c r="J386" s="988">
        <v>21186</v>
      </c>
    </row>
    <row r="387" spans="2:10">
      <c r="B387" s="988">
        <v>21217</v>
      </c>
      <c r="H387" s="986">
        <v>2.5000000000000001E-3</v>
      </c>
      <c r="I387" s="986"/>
      <c r="J387" s="988">
        <v>21217</v>
      </c>
    </row>
    <row r="388" spans="2:10">
      <c r="B388" s="988">
        <v>21245</v>
      </c>
      <c r="H388" s="986">
        <v>2.7000000000000001E-3</v>
      </c>
      <c r="I388" s="986"/>
      <c r="J388" s="988">
        <v>21245</v>
      </c>
    </row>
    <row r="389" spans="2:10">
      <c r="B389" s="988">
        <v>21276</v>
      </c>
      <c r="H389" s="986">
        <v>2.5999999999999999E-3</v>
      </c>
      <c r="I389" s="986"/>
      <c r="J389" s="988">
        <v>21276</v>
      </c>
    </row>
    <row r="390" spans="2:10">
      <c r="B390" s="988">
        <v>21306</v>
      </c>
      <c r="H390" s="986">
        <v>2.3999999999999998E-3</v>
      </c>
      <c r="I390" s="986"/>
      <c r="J390" s="988">
        <v>21306</v>
      </c>
    </row>
    <row r="391" spans="2:10">
      <c r="B391" s="988">
        <v>21337</v>
      </c>
      <c r="H391" s="986">
        <v>2.7000000000000001E-3</v>
      </c>
      <c r="I391" s="986"/>
      <c r="J391" s="988">
        <v>21337</v>
      </c>
    </row>
    <row r="392" spans="2:10">
      <c r="B392" s="988">
        <v>21367</v>
      </c>
      <c r="H392" s="986">
        <v>2.7000000000000001E-3</v>
      </c>
      <c r="I392" s="986"/>
      <c r="J392" s="988">
        <v>21367</v>
      </c>
    </row>
    <row r="393" spans="2:10">
      <c r="B393" s="988">
        <v>21398</v>
      </c>
      <c r="H393" s="986">
        <v>2.7000000000000001E-3</v>
      </c>
      <c r="I393" s="986"/>
      <c r="J393" s="988">
        <v>21398</v>
      </c>
    </row>
    <row r="394" spans="2:10">
      <c r="B394" s="988">
        <v>21429</v>
      </c>
      <c r="H394" s="986">
        <v>3.2000000000000002E-3</v>
      </c>
      <c r="I394" s="986"/>
      <c r="J394" s="988">
        <v>21429</v>
      </c>
    </row>
    <row r="395" spans="2:10">
      <c r="B395" s="988">
        <v>21459</v>
      </c>
      <c r="H395" s="986">
        <v>3.2000000000000002E-3</v>
      </c>
      <c r="I395" s="986"/>
      <c r="J395" s="988">
        <v>21459</v>
      </c>
    </row>
    <row r="396" spans="2:10">
      <c r="B396" s="988">
        <v>21490</v>
      </c>
      <c r="H396" s="986">
        <v>2.8E-3</v>
      </c>
      <c r="I396" s="986"/>
      <c r="J396" s="988">
        <v>21490</v>
      </c>
    </row>
    <row r="397" spans="2:10">
      <c r="B397" s="988">
        <v>21520</v>
      </c>
      <c r="H397" s="986">
        <v>3.3E-3</v>
      </c>
      <c r="I397" s="986"/>
      <c r="J397" s="988">
        <v>21520</v>
      </c>
    </row>
    <row r="398" spans="2:10">
      <c r="B398" s="988">
        <v>21551</v>
      </c>
      <c r="H398" s="986">
        <v>3.0999999999999999E-3</v>
      </c>
      <c r="I398" s="986"/>
      <c r="J398" s="988">
        <v>21551</v>
      </c>
    </row>
    <row r="399" spans="2:10">
      <c r="B399" s="988">
        <v>21582</v>
      </c>
      <c r="H399" s="986">
        <v>3.0999999999999999E-3</v>
      </c>
      <c r="I399" s="986"/>
      <c r="J399" s="988">
        <v>21582</v>
      </c>
    </row>
    <row r="400" spans="2:10">
      <c r="B400" s="988">
        <v>21610</v>
      </c>
      <c r="H400" s="986">
        <v>3.5000000000000001E-3</v>
      </c>
      <c r="I400" s="986"/>
      <c r="J400" s="988">
        <v>21610</v>
      </c>
    </row>
    <row r="401" spans="2:10">
      <c r="B401" s="988">
        <v>21641</v>
      </c>
      <c r="H401" s="986">
        <v>3.3E-3</v>
      </c>
      <c r="I401" s="986"/>
      <c r="J401" s="988">
        <v>21641</v>
      </c>
    </row>
    <row r="402" spans="2:10">
      <c r="B402" s="988">
        <v>21671</v>
      </c>
      <c r="H402" s="986">
        <v>3.3E-3</v>
      </c>
      <c r="I402" s="986"/>
      <c r="J402" s="988">
        <v>21671</v>
      </c>
    </row>
    <row r="403" spans="2:10">
      <c r="B403" s="988">
        <v>21702</v>
      </c>
      <c r="H403" s="986">
        <v>3.5999999999999999E-3</v>
      </c>
      <c r="I403" s="986"/>
      <c r="J403" s="988">
        <v>21702</v>
      </c>
    </row>
    <row r="404" spans="2:10">
      <c r="B404" s="988">
        <v>21732</v>
      </c>
      <c r="H404" s="986">
        <v>3.5000000000000001E-3</v>
      </c>
      <c r="I404" s="986"/>
      <c r="J404" s="988">
        <v>21732</v>
      </c>
    </row>
    <row r="405" spans="2:10">
      <c r="B405" s="988">
        <v>21763</v>
      </c>
      <c r="H405" s="986">
        <v>3.5000000000000001E-3</v>
      </c>
      <c r="I405" s="986"/>
      <c r="J405" s="988">
        <v>21763</v>
      </c>
    </row>
    <row r="406" spans="2:10">
      <c r="B406" s="988">
        <v>21794</v>
      </c>
      <c r="H406" s="986">
        <v>3.3999999999999998E-3</v>
      </c>
      <c r="I406" s="986"/>
      <c r="J406" s="988">
        <v>21794</v>
      </c>
    </row>
    <row r="407" spans="2:10">
      <c r="B407" s="988">
        <v>21824</v>
      </c>
      <c r="H407" s="986">
        <v>3.5000000000000001E-3</v>
      </c>
      <c r="I407" s="986"/>
      <c r="J407" s="988">
        <v>21824</v>
      </c>
    </row>
    <row r="408" spans="2:10">
      <c r="B408" s="988">
        <v>21855</v>
      </c>
      <c r="H408" s="986">
        <v>3.5000000000000001E-3</v>
      </c>
      <c r="I408" s="986"/>
      <c r="J408" s="988">
        <v>21855</v>
      </c>
    </row>
    <row r="409" spans="2:10">
      <c r="B409" s="988">
        <v>21885</v>
      </c>
      <c r="H409" s="986">
        <v>3.5999999999999999E-3</v>
      </c>
      <c r="I409" s="986"/>
      <c r="J409" s="988">
        <v>21885</v>
      </c>
    </row>
    <row r="410" spans="2:10">
      <c r="B410" s="988">
        <v>21916</v>
      </c>
      <c r="H410" s="986">
        <v>3.5000000000000001E-3</v>
      </c>
      <c r="I410" s="986"/>
      <c r="J410" s="988">
        <v>21916</v>
      </c>
    </row>
    <row r="411" spans="2:10">
      <c r="B411" s="988">
        <v>21947</v>
      </c>
      <c r="H411" s="986">
        <v>3.7000000000000002E-3</v>
      </c>
      <c r="I411" s="986"/>
      <c r="J411" s="988">
        <v>21947</v>
      </c>
    </row>
    <row r="412" spans="2:10">
      <c r="B412" s="988">
        <v>21976</v>
      </c>
      <c r="H412" s="986">
        <v>3.5999999999999999E-3</v>
      </c>
      <c r="I412" s="986"/>
      <c r="J412" s="988">
        <v>21976</v>
      </c>
    </row>
    <row r="413" spans="2:10">
      <c r="B413" s="988">
        <v>22007</v>
      </c>
      <c r="H413" s="986">
        <v>3.2000000000000002E-3</v>
      </c>
      <c r="I413" s="986"/>
      <c r="J413" s="988">
        <v>22007</v>
      </c>
    </row>
    <row r="414" spans="2:10">
      <c r="B414" s="988">
        <v>22037</v>
      </c>
      <c r="H414" s="986">
        <v>3.7000000000000002E-3</v>
      </c>
      <c r="I414" s="986"/>
      <c r="J414" s="988">
        <v>22037</v>
      </c>
    </row>
    <row r="415" spans="2:10">
      <c r="B415" s="988">
        <v>22068</v>
      </c>
      <c r="H415" s="986">
        <v>3.3999999999999998E-3</v>
      </c>
      <c r="I415" s="986"/>
      <c r="J415" s="988">
        <v>22068</v>
      </c>
    </row>
    <row r="416" spans="2:10">
      <c r="B416" s="988">
        <v>22098</v>
      </c>
      <c r="H416" s="986">
        <v>3.2000000000000002E-3</v>
      </c>
      <c r="I416" s="986"/>
      <c r="J416" s="988">
        <v>22098</v>
      </c>
    </row>
    <row r="417" spans="2:10">
      <c r="B417" s="988">
        <v>22129</v>
      </c>
      <c r="H417" s="986">
        <v>3.3999999999999998E-3</v>
      </c>
      <c r="I417" s="986"/>
      <c r="J417" s="988">
        <v>22129</v>
      </c>
    </row>
    <row r="418" spans="2:10">
      <c r="B418" s="988">
        <v>22160</v>
      </c>
      <c r="H418" s="986">
        <v>3.2000000000000002E-3</v>
      </c>
      <c r="I418" s="986"/>
      <c r="J418" s="988">
        <v>22160</v>
      </c>
    </row>
    <row r="419" spans="2:10">
      <c r="B419" s="988">
        <v>22190</v>
      </c>
      <c r="H419" s="986">
        <v>3.3E-3</v>
      </c>
      <c r="I419" s="986"/>
      <c r="J419" s="988">
        <v>22190</v>
      </c>
    </row>
    <row r="420" spans="2:10">
      <c r="B420" s="988">
        <v>22221</v>
      </c>
      <c r="H420" s="986">
        <v>3.2000000000000002E-3</v>
      </c>
      <c r="I420" s="986"/>
      <c r="J420" s="988">
        <v>22221</v>
      </c>
    </row>
    <row r="421" spans="2:10">
      <c r="B421" s="988">
        <v>22251</v>
      </c>
      <c r="H421" s="986">
        <v>3.3E-3</v>
      </c>
      <c r="I421" s="986"/>
      <c r="J421" s="988">
        <v>22251</v>
      </c>
    </row>
    <row r="422" spans="2:10">
      <c r="B422" s="988">
        <v>22282</v>
      </c>
      <c r="H422" s="986">
        <v>3.3E-3</v>
      </c>
      <c r="I422" s="986"/>
      <c r="J422" s="988">
        <v>22282</v>
      </c>
    </row>
    <row r="423" spans="2:10">
      <c r="B423" s="988">
        <v>22313</v>
      </c>
      <c r="H423" s="986">
        <v>3.0000000000000001E-3</v>
      </c>
      <c r="I423" s="986"/>
      <c r="J423" s="988">
        <v>22313</v>
      </c>
    </row>
    <row r="424" spans="2:10">
      <c r="B424" s="988">
        <v>22341</v>
      </c>
      <c r="H424" s="986">
        <v>3.0999999999999999E-3</v>
      </c>
      <c r="I424" s="986"/>
      <c r="J424" s="988">
        <v>22341</v>
      </c>
    </row>
    <row r="425" spans="2:10">
      <c r="B425" s="988">
        <v>22372</v>
      </c>
      <c r="H425" s="986">
        <v>3.0999999999999999E-3</v>
      </c>
      <c r="I425" s="986"/>
      <c r="J425" s="988">
        <v>22372</v>
      </c>
    </row>
    <row r="426" spans="2:10">
      <c r="B426" s="988">
        <v>22402</v>
      </c>
      <c r="H426" s="986">
        <v>3.3999999999999998E-3</v>
      </c>
      <c r="I426" s="986"/>
      <c r="J426" s="988">
        <v>22402</v>
      </c>
    </row>
    <row r="427" spans="2:10">
      <c r="B427" s="988">
        <v>22433</v>
      </c>
      <c r="H427" s="986">
        <v>3.2000000000000002E-3</v>
      </c>
      <c r="I427" s="986"/>
      <c r="J427" s="988">
        <v>22433</v>
      </c>
    </row>
    <row r="428" spans="2:10">
      <c r="B428" s="988">
        <v>22463</v>
      </c>
      <c r="H428" s="986">
        <v>3.3E-3</v>
      </c>
      <c r="I428" s="986"/>
      <c r="J428" s="988">
        <v>22463</v>
      </c>
    </row>
    <row r="429" spans="2:10">
      <c r="B429" s="988">
        <v>22494</v>
      </c>
      <c r="H429" s="986">
        <v>3.3E-3</v>
      </c>
      <c r="I429" s="986"/>
      <c r="J429" s="988">
        <v>22494</v>
      </c>
    </row>
    <row r="430" spans="2:10">
      <c r="B430" s="988">
        <v>22525</v>
      </c>
      <c r="H430" s="986">
        <v>3.2000000000000002E-3</v>
      </c>
      <c r="I430" s="986"/>
      <c r="J430" s="988">
        <v>22525</v>
      </c>
    </row>
    <row r="431" spans="2:10">
      <c r="B431" s="988">
        <v>22555</v>
      </c>
      <c r="H431" s="986">
        <v>3.3999999999999998E-3</v>
      </c>
      <c r="I431" s="986"/>
      <c r="J431" s="988">
        <v>22555</v>
      </c>
    </row>
    <row r="432" spans="2:10">
      <c r="B432" s="988">
        <v>22586</v>
      </c>
      <c r="H432" s="986">
        <v>3.2000000000000002E-3</v>
      </c>
      <c r="I432" s="986"/>
      <c r="J432" s="988">
        <v>22586</v>
      </c>
    </row>
    <row r="433" spans="1:10">
      <c r="B433" s="988">
        <v>22616</v>
      </c>
      <c r="H433" s="986">
        <v>3.0999999999999999E-3</v>
      </c>
      <c r="I433" s="986"/>
      <c r="J433" s="988">
        <v>22616</v>
      </c>
    </row>
    <row r="434" spans="1:10">
      <c r="B434" s="988">
        <v>22647</v>
      </c>
      <c r="H434" s="986">
        <v>3.7000000000000002E-3</v>
      </c>
      <c r="I434" s="986"/>
      <c r="J434" s="988">
        <v>22647</v>
      </c>
    </row>
    <row r="435" spans="1:10">
      <c r="B435" s="988">
        <v>22678</v>
      </c>
      <c r="H435" s="986">
        <v>3.2000000000000002E-3</v>
      </c>
      <c r="I435" s="986"/>
      <c r="J435" s="988">
        <v>22678</v>
      </c>
    </row>
    <row r="436" spans="1:10">
      <c r="B436" s="988">
        <v>22706</v>
      </c>
      <c r="H436" s="986">
        <v>3.3E-3</v>
      </c>
      <c r="I436" s="986"/>
      <c r="J436" s="988">
        <v>22706</v>
      </c>
    </row>
    <row r="437" spans="1:10">
      <c r="B437" s="988">
        <v>22737</v>
      </c>
      <c r="H437" s="986">
        <v>3.3E-3</v>
      </c>
      <c r="I437" s="986"/>
      <c r="J437" s="988">
        <v>22737</v>
      </c>
    </row>
    <row r="438" spans="1:10">
      <c r="B438" s="988">
        <v>22767</v>
      </c>
      <c r="H438" s="986">
        <v>3.2000000000000002E-3</v>
      </c>
      <c r="I438" s="986"/>
      <c r="J438" s="988">
        <v>22767</v>
      </c>
    </row>
    <row r="439" spans="1:10">
      <c r="B439" s="988">
        <v>22798</v>
      </c>
      <c r="H439" s="986">
        <v>3.0000000000000001E-3</v>
      </c>
      <c r="I439" s="986"/>
      <c r="J439" s="988">
        <v>22798</v>
      </c>
    </row>
    <row r="440" spans="1:10">
      <c r="B440" s="988">
        <v>22828</v>
      </c>
      <c r="H440" s="986">
        <v>3.3999999999999998E-3</v>
      </c>
      <c r="I440" s="986"/>
      <c r="J440" s="988">
        <v>22828</v>
      </c>
    </row>
    <row r="441" spans="1:10">
      <c r="B441" s="988">
        <v>22859</v>
      </c>
      <c r="H441" s="986">
        <v>3.3999999999999998E-3</v>
      </c>
      <c r="I441" s="986"/>
      <c r="J441" s="988">
        <v>22859</v>
      </c>
    </row>
    <row r="442" spans="1:10">
      <c r="B442" s="988">
        <v>22890</v>
      </c>
      <c r="H442" s="986">
        <v>3.0000000000000001E-3</v>
      </c>
      <c r="I442" s="986"/>
      <c r="J442" s="988">
        <v>22890</v>
      </c>
    </row>
    <row r="443" spans="1:10">
      <c r="B443" s="988">
        <v>22920</v>
      </c>
      <c r="H443" s="986">
        <v>3.5000000000000001E-3</v>
      </c>
      <c r="I443" s="986"/>
      <c r="J443" s="988">
        <v>22920</v>
      </c>
    </row>
    <row r="444" spans="1:10">
      <c r="B444" s="988">
        <v>22951</v>
      </c>
      <c r="H444" s="986">
        <v>3.0999999999999999E-3</v>
      </c>
      <c r="I444" s="986"/>
      <c r="J444" s="988">
        <v>22951</v>
      </c>
    </row>
    <row r="445" spans="1:10">
      <c r="A445" s="987">
        <v>39</v>
      </c>
      <c r="B445" s="988">
        <v>22981</v>
      </c>
      <c r="C445" s="987" t="s">
        <v>4641</v>
      </c>
      <c r="D445" s="987" t="s">
        <v>4642</v>
      </c>
      <c r="E445" s="987">
        <v>44.125</v>
      </c>
      <c r="F445" s="987">
        <v>-66</v>
      </c>
      <c r="G445" s="987">
        <v>0</v>
      </c>
      <c r="H445" s="986">
        <v>3.2000000000000002E-3</v>
      </c>
      <c r="I445" s="986"/>
      <c r="J445" s="988">
        <v>22981</v>
      </c>
    </row>
    <row r="446" spans="1:10">
      <c r="A446" s="987">
        <v>39</v>
      </c>
      <c r="B446" s="988">
        <v>23012</v>
      </c>
      <c r="C446" s="987" t="s">
        <v>4641</v>
      </c>
      <c r="D446" s="987" t="s">
        <v>4642</v>
      </c>
      <c r="E446" s="987">
        <v>48</v>
      </c>
      <c r="F446" s="987">
        <v>8.7818999999999994E-2</v>
      </c>
      <c r="G446" s="987">
        <v>0</v>
      </c>
      <c r="H446" s="986">
        <v>3.2000000000000002E-3</v>
      </c>
      <c r="I446" s="986">
        <f t="shared" ref="I446:I509" si="0">F446-H446</f>
        <v>8.4619E-2</v>
      </c>
      <c r="J446" s="988">
        <v>23012</v>
      </c>
    </row>
    <row r="447" spans="1:10">
      <c r="A447" s="987">
        <v>39</v>
      </c>
      <c r="B447" s="988">
        <v>23043</v>
      </c>
      <c r="C447" s="987" t="s">
        <v>4641</v>
      </c>
      <c r="D447" s="987" t="s">
        <v>4642</v>
      </c>
      <c r="E447" s="987">
        <v>45.5</v>
      </c>
      <c r="F447" s="987">
        <v>-4.5207999999999998E-2</v>
      </c>
      <c r="G447" s="987">
        <v>0.33</v>
      </c>
      <c r="H447" s="986">
        <v>2.8999999999999998E-3</v>
      </c>
      <c r="I447" s="986">
        <f t="shared" si="0"/>
        <v>-4.8107999999999998E-2</v>
      </c>
      <c r="J447" s="988">
        <v>23043</v>
      </c>
    </row>
    <row r="448" spans="1:10">
      <c r="A448" s="987">
        <v>39</v>
      </c>
      <c r="B448" s="988">
        <v>23071</v>
      </c>
      <c r="C448" s="987" t="s">
        <v>4641</v>
      </c>
      <c r="D448" s="987" t="s">
        <v>4642</v>
      </c>
      <c r="E448" s="987">
        <v>47.375</v>
      </c>
      <c r="F448" s="987">
        <v>4.1209000000000003E-2</v>
      </c>
      <c r="G448" s="987">
        <v>0</v>
      </c>
      <c r="H448" s="986">
        <v>3.0999999999999999E-3</v>
      </c>
      <c r="I448" s="986">
        <f t="shared" si="0"/>
        <v>3.8109000000000004E-2</v>
      </c>
      <c r="J448" s="988">
        <v>23071</v>
      </c>
    </row>
    <row r="449" spans="1:10">
      <c r="A449" s="987">
        <v>39</v>
      </c>
      <c r="B449" s="988">
        <v>23102</v>
      </c>
      <c r="C449" s="987" t="s">
        <v>4641</v>
      </c>
      <c r="D449" s="987" t="s">
        <v>4642</v>
      </c>
      <c r="E449" s="987">
        <v>52.125</v>
      </c>
      <c r="F449" s="987">
        <v>0.10026400000000001</v>
      </c>
      <c r="G449" s="987">
        <v>0</v>
      </c>
      <c r="H449" s="986">
        <v>3.3999999999999998E-3</v>
      </c>
      <c r="I449" s="986">
        <f t="shared" si="0"/>
        <v>9.6864000000000006E-2</v>
      </c>
      <c r="J449" s="988">
        <v>23102</v>
      </c>
    </row>
    <row r="450" spans="1:10">
      <c r="A450" s="987">
        <v>39</v>
      </c>
      <c r="B450" s="988">
        <v>23132</v>
      </c>
      <c r="C450" s="987" t="s">
        <v>4641</v>
      </c>
      <c r="D450" s="987" t="s">
        <v>4642</v>
      </c>
      <c r="E450" s="987">
        <v>50.375</v>
      </c>
      <c r="F450" s="987">
        <v>-2.7241999999999999E-2</v>
      </c>
      <c r="G450" s="987">
        <v>0.33</v>
      </c>
      <c r="H450" s="986">
        <v>3.3E-3</v>
      </c>
      <c r="I450" s="986">
        <f t="shared" si="0"/>
        <v>-3.0542E-2</v>
      </c>
      <c r="J450" s="988">
        <v>23132</v>
      </c>
    </row>
    <row r="451" spans="1:10">
      <c r="A451" s="987">
        <v>39</v>
      </c>
      <c r="B451" s="988">
        <v>23163</v>
      </c>
      <c r="C451" s="987" t="s">
        <v>4641</v>
      </c>
      <c r="D451" s="987" t="s">
        <v>4642</v>
      </c>
      <c r="E451" s="987">
        <v>51.375</v>
      </c>
      <c r="F451" s="987">
        <v>1.9851000000000001E-2</v>
      </c>
      <c r="G451" s="987">
        <v>0</v>
      </c>
      <c r="H451" s="986">
        <v>3.0000000000000001E-3</v>
      </c>
      <c r="I451" s="986">
        <f t="shared" si="0"/>
        <v>1.6851000000000001E-2</v>
      </c>
      <c r="J451" s="988">
        <v>23163</v>
      </c>
    </row>
    <row r="452" spans="1:10">
      <c r="A452" s="987">
        <v>39</v>
      </c>
      <c r="B452" s="988">
        <v>23193</v>
      </c>
      <c r="C452" s="987" t="s">
        <v>4641</v>
      </c>
      <c r="D452" s="987" t="s">
        <v>4642</v>
      </c>
      <c r="E452" s="987">
        <v>54.5</v>
      </c>
      <c r="F452" s="987">
        <v>6.0826999999999999E-2</v>
      </c>
      <c r="G452" s="987">
        <v>0</v>
      </c>
      <c r="H452" s="986">
        <v>3.5999999999999999E-3</v>
      </c>
      <c r="I452" s="986">
        <f t="shared" si="0"/>
        <v>5.7227E-2</v>
      </c>
      <c r="J452" s="988">
        <v>23193</v>
      </c>
    </row>
    <row r="453" spans="1:10">
      <c r="A453" s="987">
        <v>39</v>
      </c>
      <c r="B453" s="988">
        <v>23224</v>
      </c>
      <c r="C453" s="987" t="s">
        <v>4641</v>
      </c>
      <c r="D453" s="987" t="s">
        <v>4642</v>
      </c>
      <c r="E453" s="987">
        <v>54.5</v>
      </c>
      <c r="F453" s="987">
        <v>6.0549999999999996E-3</v>
      </c>
      <c r="G453" s="987">
        <v>0.33</v>
      </c>
      <c r="H453" s="986">
        <v>3.3E-3</v>
      </c>
      <c r="I453" s="986">
        <f t="shared" si="0"/>
        <v>2.7549999999999996E-3</v>
      </c>
      <c r="J453" s="988">
        <v>23224</v>
      </c>
    </row>
    <row r="454" spans="1:10">
      <c r="A454" s="987">
        <v>39</v>
      </c>
      <c r="B454" s="988">
        <v>23255</v>
      </c>
      <c r="C454" s="987" t="s">
        <v>4641</v>
      </c>
      <c r="D454" s="987" t="s">
        <v>4642</v>
      </c>
      <c r="E454" s="987">
        <v>53.5</v>
      </c>
      <c r="F454" s="987">
        <v>-1.8349000000000001E-2</v>
      </c>
      <c r="G454" s="987">
        <v>0</v>
      </c>
      <c r="H454" s="986">
        <v>3.3999999999999998E-3</v>
      </c>
      <c r="I454" s="986">
        <f t="shared" si="0"/>
        <v>-2.1749000000000001E-2</v>
      </c>
      <c r="J454" s="988">
        <v>23255</v>
      </c>
    </row>
    <row r="455" spans="1:10">
      <c r="A455" s="987">
        <v>39</v>
      </c>
      <c r="B455" s="988">
        <v>23285</v>
      </c>
      <c r="C455" s="987" t="s">
        <v>4641</v>
      </c>
      <c r="D455" s="987" t="s">
        <v>4642</v>
      </c>
      <c r="E455" s="987">
        <v>55.75</v>
      </c>
      <c r="F455" s="987">
        <v>4.2056000000000003E-2</v>
      </c>
      <c r="G455" s="987">
        <v>0</v>
      </c>
      <c r="H455" s="986">
        <v>3.3999999999999998E-3</v>
      </c>
      <c r="I455" s="986">
        <f t="shared" si="0"/>
        <v>3.8656000000000003E-2</v>
      </c>
      <c r="J455" s="988">
        <v>23285</v>
      </c>
    </row>
    <row r="456" spans="1:10">
      <c r="A456" s="987">
        <v>39</v>
      </c>
      <c r="B456" s="988">
        <v>23316</v>
      </c>
      <c r="C456" s="987" t="s">
        <v>4641</v>
      </c>
      <c r="D456" s="987" t="s">
        <v>4642</v>
      </c>
      <c r="E456" s="987">
        <v>53.25</v>
      </c>
      <c r="F456" s="987">
        <v>-3.8205999999999997E-2</v>
      </c>
      <c r="G456" s="987">
        <v>0.37</v>
      </c>
      <c r="H456" s="986">
        <v>3.2000000000000002E-3</v>
      </c>
      <c r="I456" s="986">
        <f t="shared" si="0"/>
        <v>-4.1405999999999998E-2</v>
      </c>
      <c r="J456" s="988">
        <v>23316</v>
      </c>
    </row>
    <row r="457" spans="1:10">
      <c r="A457" s="987">
        <v>39</v>
      </c>
      <c r="B457" s="988">
        <v>23346</v>
      </c>
      <c r="C457" s="987" t="s">
        <v>4641</v>
      </c>
      <c r="D457" s="987" t="s">
        <v>4642</v>
      </c>
      <c r="E457" s="987">
        <v>52.25</v>
      </c>
      <c r="F457" s="987">
        <v>-1.8779000000000001E-2</v>
      </c>
      <c r="G457" s="987">
        <v>0</v>
      </c>
      <c r="H457" s="986">
        <v>3.5999999999999999E-3</v>
      </c>
      <c r="I457" s="986">
        <f t="shared" si="0"/>
        <v>-2.2379E-2</v>
      </c>
      <c r="J457" s="988">
        <v>23346</v>
      </c>
    </row>
    <row r="458" spans="1:10">
      <c r="A458" s="987">
        <v>39</v>
      </c>
      <c r="B458" s="988">
        <v>23377</v>
      </c>
      <c r="C458" s="987" t="s">
        <v>4641</v>
      </c>
      <c r="D458" s="987" t="s">
        <v>4642</v>
      </c>
      <c r="E458" s="987">
        <v>53</v>
      </c>
      <c r="F458" s="987">
        <v>1.4354E-2</v>
      </c>
      <c r="G458" s="987">
        <v>0</v>
      </c>
      <c r="H458" s="986">
        <v>3.5000000000000001E-3</v>
      </c>
      <c r="I458" s="986">
        <f t="shared" si="0"/>
        <v>1.0854000000000001E-2</v>
      </c>
      <c r="J458" s="988">
        <v>23377</v>
      </c>
    </row>
    <row r="459" spans="1:10">
      <c r="A459" s="987">
        <v>39</v>
      </c>
      <c r="B459" s="988">
        <v>23408</v>
      </c>
      <c r="C459" s="987" t="s">
        <v>4641</v>
      </c>
      <c r="D459" s="987" t="s">
        <v>4642</v>
      </c>
      <c r="E459" s="987">
        <v>55.625</v>
      </c>
      <c r="F459" s="987">
        <v>5.6508999999999997E-2</v>
      </c>
      <c r="G459" s="987">
        <v>0.37</v>
      </c>
      <c r="H459" s="986">
        <v>3.2000000000000002E-3</v>
      </c>
      <c r="I459" s="986">
        <f t="shared" si="0"/>
        <v>5.3308999999999995E-2</v>
      </c>
      <c r="J459" s="988">
        <v>23408</v>
      </c>
    </row>
    <row r="460" spans="1:10">
      <c r="A460" s="987">
        <v>39</v>
      </c>
      <c r="B460" s="988">
        <v>23437</v>
      </c>
      <c r="C460" s="987" t="s">
        <v>4641</v>
      </c>
      <c r="D460" s="987" t="s">
        <v>4642</v>
      </c>
      <c r="E460" s="987">
        <v>56.25</v>
      </c>
      <c r="F460" s="987">
        <v>1.1235999999999999E-2</v>
      </c>
      <c r="G460" s="987">
        <v>0</v>
      </c>
      <c r="H460" s="986">
        <v>3.7000000000000002E-3</v>
      </c>
      <c r="I460" s="986">
        <f t="shared" si="0"/>
        <v>7.5359999999999993E-3</v>
      </c>
      <c r="J460" s="988">
        <v>23437</v>
      </c>
    </row>
    <row r="461" spans="1:10">
      <c r="A461" s="987">
        <v>39</v>
      </c>
      <c r="B461" s="988">
        <v>23468</v>
      </c>
      <c r="C461" s="987" t="s">
        <v>4641</v>
      </c>
      <c r="D461" s="987" t="s">
        <v>4642</v>
      </c>
      <c r="E461" s="987">
        <v>56.375</v>
      </c>
      <c r="F461" s="987">
        <v>2.222E-3</v>
      </c>
      <c r="G461" s="987">
        <v>0</v>
      </c>
      <c r="H461" s="986">
        <v>3.5000000000000001E-3</v>
      </c>
      <c r="I461" s="986">
        <f t="shared" si="0"/>
        <v>-1.2780000000000001E-3</v>
      </c>
      <c r="J461" s="988">
        <v>23468</v>
      </c>
    </row>
    <row r="462" spans="1:10">
      <c r="A462" s="987">
        <v>39</v>
      </c>
      <c r="B462" s="988">
        <v>23498</v>
      </c>
      <c r="C462" s="987" t="s">
        <v>4641</v>
      </c>
      <c r="D462" s="987" t="s">
        <v>4642</v>
      </c>
      <c r="E462" s="987">
        <v>55.75</v>
      </c>
      <c r="F462" s="987">
        <v>-4.5230000000000001E-3</v>
      </c>
      <c r="G462" s="987">
        <v>0.37</v>
      </c>
      <c r="H462" s="986">
        <v>3.2000000000000002E-3</v>
      </c>
      <c r="I462" s="986">
        <f t="shared" si="0"/>
        <v>-7.7230000000000007E-3</v>
      </c>
      <c r="J462" s="988">
        <v>23498</v>
      </c>
    </row>
    <row r="463" spans="1:10">
      <c r="A463" s="987">
        <v>39</v>
      </c>
      <c r="B463" s="988">
        <v>23529</v>
      </c>
      <c r="C463" s="987" t="s">
        <v>4641</v>
      </c>
      <c r="D463" s="987" t="s">
        <v>4642</v>
      </c>
      <c r="E463" s="987">
        <v>56.375</v>
      </c>
      <c r="F463" s="987">
        <v>1.1211E-2</v>
      </c>
      <c r="G463" s="987">
        <v>0</v>
      </c>
      <c r="H463" s="986">
        <v>3.8E-3</v>
      </c>
      <c r="I463" s="986">
        <f t="shared" si="0"/>
        <v>7.4110000000000009E-3</v>
      </c>
      <c r="J463" s="988">
        <v>23529</v>
      </c>
    </row>
    <row r="464" spans="1:10">
      <c r="A464" s="987">
        <v>39</v>
      </c>
      <c r="B464" s="988">
        <v>23559</v>
      </c>
      <c r="C464" s="987" t="s">
        <v>4641</v>
      </c>
      <c r="D464" s="987" t="s">
        <v>4642</v>
      </c>
      <c r="E464" s="987">
        <v>59.125</v>
      </c>
      <c r="F464" s="987">
        <v>4.8779999999999997E-2</v>
      </c>
      <c r="G464" s="987">
        <v>0</v>
      </c>
      <c r="H464" s="986">
        <v>3.5000000000000001E-3</v>
      </c>
      <c r="I464" s="986">
        <f t="shared" si="0"/>
        <v>4.5279999999999994E-2</v>
      </c>
      <c r="J464" s="988">
        <v>23559</v>
      </c>
    </row>
    <row r="465" spans="1:10">
      <c r="A465" s="987">
        <v>39</v>
      </c>
      <c r="B465" s="988">
        <v>23590</v>
      </c>
      <c r="C465" s="987" t="s">
        <v>4641</v>
      </c>
      <c r="D465" s="987" t="s">
        <v>4642</v>
      </c>
      <c r="E465" s="987">
        <v>59.75</v>
      </c>
      <c r="F465" s="987">
        <v>1.6829E-2</v>
      </c>
      <c r="G465" s="987">
        <v>0.37</v>
      </c>
      <c r="H465" s="986">
        <v>3.5000000000000001E-3</v>
      </c>
      <c r="I465" s="986">
        <f t="shared" si="0"/>
        <v>1.3329000000000001E-2</v>
      </c>
      <c r="J465" s="988">
        <v>23590</v>
      </c>
    </row>
    <row r="466" spans="1:10">
      <c r="A466" s="987">
        <v>39</v>
      </c>
      <c r="B466" s="988">
        <v>23621</v>
      </c>
      <c r="C466" s="987" t="s">
        <v>4641</v>
      </c>
      <c r="D466" s="987" t="s">
        <v>4642</v>
      </c>
      <c r="E466" s="987">
        <v>65.25</v>
      </c>
      <c r="F466" s="987">
        <v>9.2050000000000007E-2</v>
      </c>
      <c r="G466" s="987">
        <v>0</v>
      </c>
      <c r="H466" s="986">
        <v>3.3999999999999998E-3</v>
      </c>
      <c r="I466" s="986">
        <f t="shared" si="0"/>
        <v>8.8650000000000007E-2</v>
      </c>
      <c r="J466" s="988">
        <v>23621</v>
      </c>
    </row>
    <row r="467" spans="1:10">
      <c r="A467" s="987">
        <v>39</v>
      </c>
      <c r="B467" s="988">
        <v>23651</v>
      </c>
      <c r="C467" s="987" t="s">
        <v>4641</v>
      </c>
      <c r="D467" s="987" t="s">
        <v>4642</v>
      </c>
      <c r="E467" s="987">
        <v>61.5</v>
      </c>
      <c r="F467" s="987">
        <v>-5.7471000000000001E-2</v>
      </c>
      <c r="G467" s="987">
        <v>0</v>
      </c>
      <c r="H467" s="986">
        <v>3.3999999999999998E-3</v>
      </c>
      <c r="I467" s="986">
        <f t="shared" si="0"/>
        <v>-6.0871000000000001E-2</v>
      </c>
      <c r="J467" s="988">
        <v>23651</v>
      </c>
    </row>
    <row r="468" spans="1:10">
      <c r="A468" s="987">
        <v>39</v>
      </c>
      <c r="B468" s="988">
        <v>23682</v>
      </c>
      <c r="C468" s="987" t="s">
        <v>4641</v>
      </c>
      <c r="D468" s="987" t="s">
        <v>4642</v>
      </c>
      <c r="E468" s="987">
        <v>61.625</v>
      </c>
      <c r="F468" s="987">
        <v>8.5369999999999994E-3</v>
      </c>
      <c r="G468" s="987">
        <v>0.4</v>
      </c>
      <c r="H468" s="986">
        <v>3.5000000000000001E-3</v>
      </c>
      <c r="I468" s="986">
        <f t="shared" si="0"/>
        <v>5.0369999999999998E-3</v>
      </c>
      <c r="J468" s="988">
        <v>23682</v>
      </c>
    </row>
    <row r="469" spans="1:10">
      <c r="A469" s="987">
        <v>39</v>
      </c>
      <c r="B469" s="988">
        <v>23712</v>
      </c>
      <c r="C469" s="987" t="s">
        <v>4641</v>
      </c>
      <c r="D469" s="987" t="s">
        <v>4642</v>
      </c>
      <c r="E469" s="987">
        <v>59.5</v>
      </c>
      <c r="F469" s="987">
        <v>-3.4483E-2</v>
      </c>
      <c r="G469" s="987">
        <v>0</v>
      </c>
      <c r="H469" s="986">
        <v>3.5000000000000001E-3</v>
      </c>
      <c r="I469" s="986">
        <f t="shared" si="0"/>
        <v>-3.7983000000000003E-2</v>
      </c>
      <c r="J469" s="988">
        <v>23712</v>
      </c>
    </row>
    <row r="470" spans="1:10">
      <c r="A470" s="987">
        <v>39</v>
      </c>
      <c r="B470" s="988">
        <v>23743</v>
      </c>
      <c r="C470" s="987" t="s">
        <v>4641</v>
      </c>
      <c r="D470" s="987" t="s">
        <v>4642</v>
      </c>
      <c r="E470" s="987">
        <v>64</v>
      </c>
      <c r="F470" s="987">
        <v>7.5630000000000003E-2</v>
      </c>
      <c r="G470" s="987">
        <v>0</v>
      </c>
      <c r="H470" s="986">
        <v>3.3E-3</v>
      </c>
      <c r="I470" s="986">
        <f t="shared" si="0"/>
        <v>7.2330000000000005E-2</v>
      </c>
      <c r="J470" s="988">
        <v>23743</v>
      </c>
    </row>
    <row r="471" spans="1:10">
      <c r="A471" s="987">
        <v>39</v>
      </c>
      <c r="B471" s="988">
        <v>23774</v>
      </c>
      <c r="C471" s="987" t="s">
        <v>4641</v>
      </c>
      <c r="D471" s="987" t="s">
        <v>4642</v>
      </c>
      <c r="E471" s="987">
        <v>64.25</v>
      </c>
      <c r="F471" s="987">
        <v>1.0156E-2</v>
      </c>
      <c r="G471" s="987">
        <v>0.4</v>
      </c>
      <c r="H471" s="986">
        <v>3.2000000000000002E-3</v>
      </c>
      <c r="I471" s="986">
        <f t="shared" si="0"/>
        <v>6.9560000000000004E-3</v>
      </c>
      <c r="J471" s="988">
        <v>23774</v>
      </c>
    </row>
    <row r="472" spans="1:10">
      <c r="A472" s="987">
        <v>39</v>
      </c>
      <c r="B472" s="988">
        <v>23802</v>
      </c>
      <c r="C472" s="987" t="s">
        <v>4641</v>
      </c>
      <c r="D472" s="987" t="s">
        <v>4642</v>
      </c>
      <c r="E472" s="987">
        <v>63.625</v>
      </c>
      <c r="F472" s="987">
        <v>-9.7280000000000005E-3</v>
      </c>
      <c r="G472" s="987">
        <v>0</v>
      </c>
      <c r="H472" s="986">
        <v>3.8E-3</v>
      </c>
      <c r="I472" s="986">
        <f t="shared" si="0"/>
        <v>-1.3528E-2</v>
      </c>
      <c r="J472" s="988">
        <v>23802</v>
      </c>
    </row>
    <row r="473" spans="1:10">
      <c r="A473" s="987">
        <v>39</v>
      </c>
      <c r="B473" s="988">
        <v>23833</v>
      </c>
      <c r="C473" s="987" t="s">
        <v>4641</v>
      </c>
      <c r="D473" s="987" t="s">
        <v>4642</v>
      </c>
      <c r="E473" s="987">
        <v>62.5</v>
      </c>
      <c r="F473" s="987">
        <v>-1.7682E-2</v>
      </c>
      <c r="G473" s="987">
        <v>0</v>
      </c>
      <c r="H473" s="986">
        <v>3.3E-3</v>
      </c>
      <c r="I473" s="986">
        <f t="shared" si="0"/>
        <v>-2.0982000000000001E-2</v>
      </c>
      <c r="J473" s="988">
        <v>23833</v>
      </c>
    </row>
    <row r="474" spans="1:10">
      <c r="A474" s="987">
        <v>39</v>
      </c>
      <c r="B474" s="988">
        <v>23863</v>
      </c>
      <c r="C474" s="987" t="s">
        <v>4641</v>
      </c>
      <c r="D474" s="987" t="s">
        <v>4642</v>
      </c>
      <c r="E474" s="987">
        <v>63.25</v>
      </c>
      <c r="F474" s="987">
        <v>1.84E-2</v>
      </c>
      <c r="G474" s="987">
        <v>0.4</v>
      </c>
      <c r="H474" s="986">
        <v>3.3E-3</v>
      </c>
      <c r="I474" s="986">
        <f t="shared" si="0"/>
        <v>1.5099999999999999E-2</v>
      </c>
      <c r="J474" s="988">
        <v>23863</v>
      </c>
    </row>
    <row r="475" spans="1:10">
      <c r="A475" s="987">
        <v>39</v>
      </c>
      <c r="B475" s="988">
        <v>23894</v>
      </c>
      <c r="C475" s="987" t="s">
        <v>4641</v>
      </c>
      <c r="D475" s="987" t="s">
        <v>4642</v>
      </c>
      <c r="E475" s="987">
        <v>60.75</v>
      </c>
      <c r="F475" s="987">
        <v>-3.9525999999999999E-2</v>
      </c>
      <c r="G475" s="987">
        <v>0</v>
      </c>
      <c r="H475" s="986">
        <v>3.8E-3</v>
      </c>
      <c r="I475" s="986">
        <f t="shared" si="0"/>
        <v>-4.3325999999999996E-2</v>
      </c>
      <c r="J475" s="988">
        <v>23894</v>
      </c>
    </row>
    <row r="476" spans="1:10">
      <c r="A476" s="987">
        <v>39</v>
      </c>
      <c r="B476" s="988">
        <v>23924</v>
      </c>
      <c r="C476" s="987" t="s">
        <v>4641</v>
      </c>
      <c r="D476" s="987" t="s">
        <v>4642</v>
      </c>
      <c r="E476" s="987">
        <v>64.375</v>
      </c>
      <c r="F476" s="987">
        <v>5.9671000000000002E-2</v>
      </c>
      <c r="G476" s="987">
        <v>0</v>
      </c>
      <c r="H476" s="986">
        <v>3.3999999999999998E-3</v>
      </c>
      <c r="I476" s="986">
        <f t="shared" si="0"/>
        <v>5.6271000000000002E-2</v>
      </c>
      <c r="J476" s="988">
        <v>23924</v>
      </c>
    </row>
    <row r="477" spans="1:10">
      <c r="A477" s="987">
        <v>39</v>
      </c>
      <c r="B477" s="988">
        <v>23955</v>
      </c>
      <c r="C477" s="987" t="s">
        <v>4641</v>
      </c>
      <c r="D477" s="987" t="s">
        <v>4642</v>
      </c>
      <c r="E477" s="987">
        <v>62.625</v>
      </c>
      <c r="F477" s="987">
        <v>-2.0971E-2</v>
      </c>
      <c r="G477" s="987">
        <v>0.4</v>
      </c>
      <c r="H477" s="986">
        <v>3.7000000000000002E-3</v>
      </c>
      <c r="I477" s="986">
        <f t="shared" si="0"/>
        <v>-2.4670999999999998E-2</v>
      </c>
      <c r="J477" s="988">
        <v>23955</v>
      </c>
    </row>
    <row r="478" spans="1:10">
      <c r="A478" s="987">
        <v>39</v>
      </c>
      <c r="B478" s="988">
        <v>23986</v>
      </c>
      <c r="C478" s="987" t="s">
        <v>4641</v>
      </c>
      <c r="D478" s="987" t="s">
        <v>4642</v>
      </c>
      <c r="E478" s="987">
        <v>65.25</v>
      </c>
      <c r="F478" s="987">
        <v>4.1916000000000002E-2</v>
      </c>
      <c r="G478" s="987">
        <v>0</v>
      </c>
      <c r="H478" s="986">
        <v>3.5000000000000001E-3</v>
      </c>
      <c r="I478" s="986">
        <f t="shared" si="0"/>
        <v>3.8415999999999999E-2</v>
      </c>
      <c r="J478" s="988">
        <v>23986</v>
      </c>
    </row>
    <row r="479" spans="1:10">
      <c r="A479" s="987">
        <v>39</v>
      </c>
      <c r="B479" s="988">
        <v>24016</v>
      </c>
      <c r="C479" s="987" t="s">
        <v>4641</v>
      </c>
      <c r="D479" s="987" t="s">
        <v>4642</v>
      </c>
      <c r="E479" s="987">
        <v>67</v>
      </c>
      <c r="F479" s="987">
        <v>2.682E-2</v>
      </c>
      <c r="G479" s="987">
        <v>0</v>
      </c>
      <c r="H479" s="986">
        <v>3.3999999999999998E-3</v>
      </c>
      <c r="I479" s="986">
        <f t="shared" si="0"/>
        <v>2.342E-2</v>
      </c>
      <c r="J479" s="988">
        <v>24016</v>
      </c>
    </row>
    <row r="480" spans="1:10">
      <c r="A480" s="987">
        <v>39</v>
      </c>
      <c r="B480" s="988">
        <v>24047</v>
      </c>
      <c r="C480" s="987" t="s">
        <v>4641</v>
      </c>
      <c r="D480" s="987" t="s">
        <v>4642</v>
      </c>
      <c r="E480" s="987">
        <v>64.5</v>
      </c>
      <c r="F480" s="987">
        <v>-3.0745999999999999E-2</v>
      </c>
      <c r="G480" s="987">
        <v>0.44</v>
      </c>
      <c r="H480" s="986">
        <v>3.7000000000000002E-3</v>
      </c>
      <c r="I480" s="986">
        <f t="shared" si="0"/>
        <v>-3.4445999999999997E-2</v>
      </c>
      <c r="J480" s="988">
        <v>24047</v>
      </c>
    </row>
    <row r="481" spans="1:10">
      <c r="A481" s="987">
        <v>39</v>
      </c>
      <c r="B481" s="988">
        <v>24077</v>
      </c>
      <c r="C481" s="987" t="s">
        <v>4641</v>
      </c>
      <c r="D481" s="987" t="s">
        <v>4642</v>
      </c>
      <c r="E481" s="987">
        <v>62</v>
      </c>
      <c r="F481" s="987">
        <v>-3.8760000000000003E-2</v>
      </c>
      <c r="G481" s="987">
        <v>0</v>
      </c>
      <c r="H481" s="986">
        <v>3.7000000000000002E-3</v>
      </c>
      <c r="I481" s="986">
        <f t="shared" si="0"/>
        <v>-4.2460000000000005E-2</v>
      </c>
      <c r="J481" s="988">
        <v>24077</v>
      </c>
    </row>
    <row r="482" spans="1:10">
      <c r="A482" s="987">
        <v>39</v>
      </c>
      <c r="B482" s="988">
        <v>24108</v>
      </c>
      <c r="C482" s="987" t="s">
        <v>4641</v>
      </c>
      <c r="D482" s="987" t="s">
        <v>4642</v>
      </c>
      <c r="E482" s="987">
        <v>64.875</v>
      </c>
      <c r="F482" s="987">
        <v>4.6371000000000002E-2</v>
      </c>
      <c r="G482" s="987">
        <v>0</v>
      </c>
      <c r="H482" s="986">
        <v>3.8E-3</v>
      </c>
      <c r="I482" s="986">
        <f t="shared" si="0"/>
        <v>4.2571000000000005E-2</v>
      </c>
      <c r="J482" s="988">
        <v>24108</v>
      </c>
    </row>
    <row r="483" spans="1:10">
      <c r="A483" s="987">
        <v>39</v>
      </c>
      <c r="B483" s="988">
        <v>24139</v>
      </c>
      <c r="C483" s="987" t="s">
        <v>4641</v>
      </c>
      <c r="D483" s="987" t="s">
        <v>4642</v>
      </c>
      <c r="E483" s="987">
        <v>63.375</v>
      </c>
      <c r="F483" s="987">
        <v>-1.6338999999999999E-2</v>
      </c>
      <c r="G483" s="987">
        <v>0.44</v>
      </c>
      <c r="H483" s="986">
        <v>3.3999999999999998E-3</v>
      </c>
      <c r="I483" s="986">
        <f t="shared" si="0"/>
        <v>-1.9739E-2</v>
      </c>
      <c r="J483" s="988">
        <v>24139</v>
      </c>
    </row>
    <row r="484" spans="1:10">
      <c r="A484" s="987">
        <v>39</v>
      </c>
      <c r="B484" s="988">
        <v>24167</v>
      </c>
      <c r="C484" s="987" t="s">
        <v>4641</v>
      </c>
      <c r="D484" s="987" t="s">
        <v>4642</v>
      </c>
      <c r="E484" s="987">
        <v>62.5</v>
      </c>
      <c r="F484" s="987">
        <v>-1.3807E-2</v>
      </c>
      <c r="G484" s="987">
        <v>0</v>
      </c>
      <c r="H484" s="986">
        <v>4.0000000000000001E-3</v>
      </c>
      <c r="I484" s="986">
        <f t="shared" si="0"/>
        <v>-1.7807E-2</v>
      </c>
      <c r="J484" s="988">
        <v>24167</v>
      </c>
    </row>
    <row r="485" spans="1:10">
      <c r="A485" s="987">
        <v>39</v>
      </c>
      <c r="B485" s="988">
        <v>24198</v>
      </c>
      <c r="C485" s="987" t="s">
        <v>4641</v>
      </c>
      <c r="D485" s="987" t="s">
        <v>4642</v>
      </c>
      <c r="E485" s="987">
        <v>61.5</v>
      </c>
      <c r="F485" s="987">
        <v>-1.6E-2</v>
      </c>
      <c r="G485" s="987">
        <v>0</v>
      </c>
      <c r="H485" s="986">
        <v>3.5999999999999999E-3</v>
      </c>
      <c r="I485" s="986">
        <f t="shared" si="0"/>
        <v>-1.9599999999999999E-2</v>
      </c>
      <c r="J485" s="988">
        <v>24198</v>
      </c>
    </row>
    <row r="486" spans="1:10">
      <c r="A486" s="987">
        <v>39</v>
      </c>
      <c r="B486" s="988">
        <v>24228</v>
      </c>
      <c r="C486" s="987" t="s">
        <v>4641</v>
      </c>
      <c r="D486" s="987" t="s">
        <v>4642</v>
      </c>
      <c r="E486" s="987">
        <v>30</v>
      </c>
      <c r="F486" s="987">
        <v>-1.6910999999999999E-2</v>
      </c>
      <c r="G486" s="987">
        <v>0.46</v>
      </c>
      <c r="H486" s="986">
        <v>4.1000000000000003E-3</v>
      </c>
      <c r="I486" s="986">
        <f t="shared" si="0"/>
        <v>-2.1010999999999998E-2</v>
      </c>
      <c r="J486" s="988">
        <v>24228</v>
      </c>
    </row>
    <row r="487" spans="1:10">
      <c r="A487" s="987">
        <v>39</v>
      </c>
      <c r="B487" s="988">
        <v>24259</v>
      </c>
      <c r="C487" s="987" t="s">
        <v>4641</v>
      </c>
      <c r="D487" s="987" t="s">
        <v>4642</v>
      </c>
      <c r="E487" s="987">
        <v>28.75</v>
      </c>
      <c r="F487" s="987">
        <v>-4.1667000000000003E-2</v>
      </c>
      <c r="G487" s="987">
        <v>0</v>
      </c>
      <c r="H487" s="986">
        <v>3.8999999999999998E-3</v>
      </c>
      <c r="I487" s="986">
        <f t="shared" si="0"/>
        <v>-4.5567000000000003E-2</v>
      </c>
      <c r="J487" s="988">
        <v>24259</v>
      </c>
    </row>
    <row r="488" spans="1:10">
      <c r="A488" s="987">
        <v>39</v>
      </c>
      <c r="B488" s="988">
        <v>24289</v>
      </c>
      <c r="C488" s="987" t="s">
        <v>4641</v>
      </c>
      <c r="D488" s="987" t="s">
        <v>4642</v>
      </c>
      <c r="E488" s="987">
        <v>29.25</v>
      </c>
      <c r="F488" s="987">
        <v>1.7391E-2</v>
      </c>
      <c r="G488" s="987">
        <v>0</v>
      </c>
      <c r="H488" s="986">
        <v>3.8E-3</v>
      </c>
      <c r="I488" s="986">
        <f t="shared" si="0"/>
        <v>1.3591000000000001E-2</v>
      </c>
      <c r="J488" s="988">
        <v>24289</v>
      </c>
    </row>
    <row r="489" spans="1:10">
      <c r="A489" s="987">
        <v>39</v>
      </c>
      <c r="B489" s="988">
        <v>24320</v>
      </c>
      <c r="C489" s="987" t="s">
        <v>4641</v>
      </c>
      <c r="D489" s="987" t="s">
        <v>4642</v>
      </c>
      <c r="E489" s="987">
        <v>25.875</v>
      </c>
      <c r="F489" s="987">
        <v>-0.10752100000000001</v>
      </c>
      <c r="G489" s="987">
        <v>0.23</v>
      </c>
      <c r="H489" s="986">
        <v>4.3E-3</v>
      </c>
      <c r="I489" s="986">
        <f t="shared" si="0"/>
        <v>-0.111821</v>
      </c>
      <c r="J489" s="988">
        <v>24320</v>
      </c>
    </row>
    <row r="490" spans="1:10">
      <c r="A490" s="987">
        <v>39</v>
      </c>
      <c r="B490" s="988">
        <v>24351</v>
      </c>
      <c r="C490" s="987" t="s">
        <v>4641</v>
      </c>
      <c r="D490" s="987" t="s">
        <v>4642</v>
      </c>
      <c r="E490" s="987">
        <v>29.5</v>
      </c>
      <c r="F490" s="987">
        <v>0.140097</v>
      </c>
      <c r="G490" s="987">
        <v>0</v>
      </c>
      <c r="H490" s="986">
        <v>4.1000000000000003E-3</v>
      </c>
      <c r="I490" s="986">
        <f t="shared" si="0"/>
        <v>0.13599700000000001</v>
      </c>
      <c r="J490" s="988">
        <v>24351</v>
      </c>
    </row>
    <row r="491" spans="1:10">
      <c r="A491" s="987">
        <v>39</v>
      </c>
      <c r="B491" s="988">
        <v>24381</v>
      </c>
      <c r="C491" s="987" t="s">
        <v>4641</v>
      </c>
      <c r="D491" s="987" t="s">
        <v>4642</v>
      </c>
      <c r="E491" s="987">
        <v>32.25</v>
      </c>
      <c r="F491" s="987">
        <v>9.3219999999999997E-2</v>
      </c>
      <c r="G491" s="987">
        <v>0</v>
      </c>
      <c r="H491" s="986">
        <v>4.0000000000000001E-3</v>
      </c>
      <c r="I491" s="986">
        <f t="shared" si="0"/>
        <v>8.9219999999999994E-2</v>
      </c>
      <c r="J491" s="988">
        <v>24381</v>
      </c>
    </row>
    <row r="492" spans="1:10">
      <c r="A492" s="987">
        <v>39</v>
      </c>
      <c r="B492" s="988">
        <v>24412</v>
      </c>
      <c r="C492" s="987" t="s">
        <v>4641</v>
      </c>
      <c r="D492" s="987" t="s">
        <v>4642</v>
      </c>
      <c r="E492" s="987">
        <v>30</v>
      </c>
      <c r="F492" s="987">
        <v>-6.2016000000000002E-2</v>
      </c>
      <c r="G492" s="987">
        <v>0.25</v>
      </c>
      <c r="H492" s="986">
        <v>3.8E-3</v>
      </c>
      <c r="I492" s="986">
        <f t="shared" si="0"/>
        <v>-6.5816E-2</v>
      </c>
      <c r="J492" s="988">
        <v>24412</v>
      </c>
    </row>
    <row r="493" spans="1:10">
      <c r="A493" s="987">
        <v>39</v>
      </c>
      <c r="B493" s="988">
        <v>24442</v>
      </c>
      <c r="C493" s="987" t="s">
        <v>4641</v>
      </c>
      <c r="D493" s="987" t="s">
        <v>4642</v>
      </c>
      <c r="E493" s="987">
        <v>30.625</v>
      </c>
      <c r="F493" s="987">
        <v>2.0833000000000001E-2</v>
      </c>
      <c r="G493" s="987">
        <v>0</v>
      </c>
      <c r="H493" s="986">
        <v>3.8999999999999998E-3</v>
      </c>
      <c r="I493" s="986">
        <f t="shared" si="0"/>
        <v>1.6933E-2</v>
      </c>
      <c r="J493" s="988">
        <v>24442</v>
      </c>
    </row>
    <row r="494" spans="1:10">
      <c r="A494" s="987">
        <v>39</v>
      </c>
      <c r="B494" s="988">
        <v>24473</v>
      </c>
      <c r="C494" s="987" t="s">
        <v>4641</v>
      </c>
      <c r="D494" s="987" t="s">
        <v>4642</v>
      </c>
      <c r="E494" s="987">
        <v>30.25</v>
      </c>
      <c r="F494" s="987">
        <v>-9.4560000000000009E-3</v>
      </c>
      <c r="G494" s="987">
        <v>0</v>
      </c>
      <c r="H494" s="986">
        <v>4.0000000000000001E-3</v>
      </c>
      <c r="I494" s="986">
        <f t="shared" si="0"/>
        <v>-1.3456000000000001E-2</v>
      </c>
      <c r="J494" s="988">
        <v>24473</v>
      </c>
    </row>
    <row r="495" spans="1:10">
      <c r="A495" s="987">
        <v>39</v>
      </c>
      <c r="B495" s="988">
        <v>24504</v>
      </c>
      <c r="C495" s="987" t="s">
        <v>4641</v>
      </c>
      <c r="D495" s="987" t="s">
        <v>4642</v>
      </c>
      <c r="E495" s="987">
        <v>30.125</v>
      </c>
      <c r="F495" s="987">
        <v>4.1320000000000003E-3</v>
      </c>
      <c r="G495" s="987">
        <v>0.25</v>
      </c>
      <c r="H495" s="986">
        <v>3.3999999999999998E-3</v>
      </c>
      <c r="I495" s="986">
        <f t="shared" si="0"/>
        <v>7.3200000000000045E-4</v>
      </c>
      <c r="J495" s="988">
        <v>24504</v>
      </c>
    </row>
    <row r="496" spans="1:10">
      <c r="A496" s="987">
        <v>39</v>
      </c>
      <c r="B496" s="988">
        <v>24532</v>
      </c>
      <c r="C496" s="987" t="s">
        <v>4641</v>
      </c>
      <c r="D496" s="987" t="s">
        <v>4642</v>
      </c>
      <c r="E496" s="987">
        <v>31.125</v>
      </c>
      <c r="F496" s="987">
        <v>3.3195000000000002E-2</v>
      </c>
      <c r="G496" s="987">
        <v>0</v>
      </c>
      <c r="H496" s="986">
        <v>3.8999999999999998E-3</v>
      </c>
      <c r="I496" s="986">
        <f t="shared" si="0"/>
        <v>2.9295000000000002E-2</v>
      </c>
      <c r="J496" s="988">
        <v>24532</v>
      </c>
    </row>
    <row r="497" spans="1:10">
      <c r="A497" s="987">
        <v>39</v>
      </c>
      <c r="B497" s="988">
        <v>24563</v>
      </c>
      <c r="C497" s="987" t="s">
        <v>4641</v>
      </c>
      <c r="D497" s="987" t="s">
        <v>4642</v>
      </c>
      <c r="E497" s="987">
        <v>34</v>
      </c>
      <c r="F497" s="987">
        <v>9.2369000000000007E-2</v>
      </c>
      <c r="G497" s="987">
        <v>0</v>
      </c>
      <c r="H497" s="986">
        <v>3.5000000000000001E-3</v>
      </c>
      <c r="I497" s="986">
        <f t="shared" si="0"/>
        <v>8.8869000000000004E-2</v>
      </c>
      <c r="J497" s="988">
        <v>24563</v>
      </c>
    </row>
    <row r="498" spans="1:10">
      <c r="A498" s="987">
        <v>39</v>
      </c>
      <c r="B498" s="988">
        <v>24593</v>
      </c>
      <c r="C498" s="987" t="s">
        <v>4641</v>
      </c>
      <c r="D498" s="987" t="s">
        <v>4642</v>
      </c>
      <c r="E498" s="987">
        <v>32.375</v>
      </c>
      <c r="F498" s="987">
        <v>-4.0440999999999998E-2</v>
      </c>
      <c r="G498" s="987">
        <v>0.25</v>
      </c>
      <c r="H498" s="986">
        <v>4.3E-3</v>
      </c>
      <c r="I498" s="986">
        <f t="shared" si="0"/>
        <v>-4.4740999999999996E-2</v>
      </c>
      <c r="J498" s="988">
        <v>24593</v>
      </c>
    </row>
    <row r="499" spans="1:10">
      <c r="A499" s="987">
        <v>39</v>
      </c>
      <c r="B499" s="988">
        <v>24624</v>
      </c>
      <c r="C499" s="987" t="s">
        <v>4641</v>
      </c>
      <c r="D499" s="987" t="s">
        <v>4642</v>
      </c>
      <c r="E499" s="987">
        <v>29.75</v>
      </c>
      <c r="F499" s="987">
        <v>-8.1081E-2</v>
      </c>
      <c r="G499" s="987">
        <v>0</v>
      </c>
      <c r="H499" s="986">
        <v>3.8999999999999998E-3</v>
      </c>
      <c r="I499" s="986">
        <f t="shared" si="0"/>
        <v>-8.4981000000000001E-2</v>
      </c>
      <c r="J499" s="988">
        <v>24624</v>
      </c>
    </row>
    <row r="500" spans="1:10">
      <c r="A500" s="987">
        <v>39</v>
      </c>
      <c r="B500" s="988">
        <v>24654</v>
      </c>
      <c r="C500" s="987" t="s">
        <v>4641</v>
      </c>
      <c r="D500" s="987" t="s">
        <v>4642</v>
      </c>
      <c r="E500" s="987">
        <v>28.875</v>
      </c>
      <c r="F500" s="987">
        <v>-2.9412000000000001E-2</v>
      </c>
      <c r="G500" s="987">
        <v>0</v>
      </c>
      <c r="H500" s="986">
        <v>4.3E-3</v>
      </c>
      <c r="I500" s="986">
        <f t="shared" si="0"/>
        <v>-3.3711999999999999E-2</v>
      </c>
      <c r="J500" s="988">
        <v>24654</v>
      </c>
    </row>
    <row r="501" spans="1:10">
      <c r="A501" s="987">
        <v>39</v>
      </c>
      <c r="B501" s="988">
        <v>24685</v>
      </c>
      <c r="C501" s="987" t="s">
        <v>4641</v>
      </c>
      <c r="D501" s="987" t="s">
        <v>4642</v>
      </c>
      <c r="E501" s="987">
        <v>29.625</v>
      </c>
      <c r="F501" s="987">
        <v>3.4632000000000003E-2</v>
      </c>
      <c r="G501" s="987">
        <v>0.25</v>
      </c>
      <c r="H501" s="986">
        <v>4.1999999999999997E-3</v>
      </c>
      <c r="I501" s="986">
        <f t="shared" si="0"/>
        <v>3.0432000000000004E-2</v>
      </c>
      <c r="J501" s="988">
        <v>24685</v>
      </c>
    </row>
    <row r="502" spans="1:10">
      <c r="A502" s="987">
        <v>39</v>
      </c>
      <c r="B502" s="988">
        <v>24716</v>
      </c>
      <c r="C502" s="987" t="s">
        <v>4641</v>
      </c>
      <c r="D502" s="987" t="s">
        <v>4642</v>
      </c>
      <c r="E502" s="987">
        <v>28.5</v>
      </c>
      <c r="F502" s="987">
        <v>-3.7975000000000002E-2</v>
      </c>
      <c r="G502" s="987">
        <v>0</v>
      </c>
      <c r="H502" s="986">
        <v>4.0000000000000001E-3</v>
      </c>
      <c r="I502" s="986">
        <f t="shared" si="0"/>
        <v>-4.1974999999999998E-2</v>
      </c>
      <c r="J502" s="988">
        <v>24716</v>
      </c>
    </row>
    <row r="503" spans="1:10">
      <c r="A503" s="987">
        <v>39</v>
      </c>
      <c r="B503" s="988">
        <v>24746</v>
      </c>
      <c r="C503" s="987" t="s">
        <v>4641</v>
      </c>
      <c r="D503" s="987" t="s">
        <v>4642</v>
      </c>
      <c r="E503" s="987">
        <v>27.375</v>
      </c>
      <c r="F503" s="987">
        <v>-3.9474000000000002E-2</v>
      </c>
      <c r="G503" s="987">
        <v>0</v>
      </c>
      <c r="H503" s="986">
        <v>4.4999999999999997E-3</v>
      </c>
      <c r="I503" s="986">
        <f t="shared" si="0"/>
        <v>-4.3973999999999999E-2</v>
      </c>
      <c r="J503" s="988">
        <v>24746</v>
      </c>
    </row>
    <row r="504" spans="1:10">
      <c r="A504" s="987">
        <v>39</v>
      </c>
      <c r="B504" s="988">
        <v>24777</v>
      </c>
      <c r="C504" s="987" t="s">
        <v>4641</v>
      </c>
      <c r="D504" s="987" t="s">
        <v>4642</v>
      </c>
      <c r="E504" s="987">
        <v>28.375</v>
      </c>
      <c r="F504" s="987">
        <v>4.6392999999999997E-2</v>
      </c>
      <c r="G504" s="987">
        <v>0.27</v>
      </c>
      <c r="H504" s="986">
        <v>4.4999999999999997E-3</v>
      </c>
      <c r="I504" s="986">
        <f t="shared" si="0"/>
        <v>4.1893E-2</v>
      </c>
      <c r="J504" s="988">
        <v>24777</v>
      </c>
    </row>
    <row r="505" spans="1:10">
      <c r="A505" s="987">
        <v>39</v>
      </c>
      <c r="B505" s="988">
        <v>24807</v>
      </c>
      <c r="C505" s="987" t="s">
        <v>4641</v>
      </c>
      <c r="D505" s="987" t="s">
        <v>4642</v>
      </c>
      <c r="E505" s="987">
        <v>29.25</v>
      </c>
      <c r="F505" s="987">
        <v>3.0837E-2</v>
      </c>
      <c r="G505" s="987">
        <v>0</v>
      </c>
      <c r="H505" s="986">
        <v>4.4000000000000003E-3</v>
      </c>
      <c r="I505" s="986">
        <f t="shared" si="0"/>
        <v>2.6436999999999999E-2</v>
      </c>
      <c r="J505" s="988">
        <v>24807</v>
      </c>
    </row>
    <row r="506" spans="1:10">
      <c r="A506" s="987">
        <v>39</v>
      </c>
      <c r="B506" s="988">
        <v>24838</v>
      </c>
      <c r="C506" s="987" t="s">
        <v>4641</v>
      </c>
      <c r="D506" s="987" t="s">
        <v>4642</v>
      </c>
      <c r="E506" s="987">
        <v>30.5</v>
      </c>
      <c r="F506" s="987">
        <v>4.2735000000000002E-2</v>
      </c>
      <c r="G506" s="987">
        <v>0</v>
      </c>
      <c r="H506" s="986">
        <v>5.0000000000000001E-3</v>
      </c>
      <c r="I506" s="986">
        <f t="shared" si="0"/>
        <v>3.7735000000000005E-2</v>
      </c>
      <c r="J506" s="988">
        <v>24838</v>
      </c>
    </row>
    <row r="507" spans="1:10">
      <c r="A507" s="987">
        <v>39</v>
      </c>
      <c r="B507" s="988">
        <v>24869</v>
      </c>
      <c r="C507" s="987" t="s">
        <v>4641</v>
      </c>
      <c r="D507" s="987" t="s">
        <v>4642</v>
      </c>
      <c r="E507" s="987">
        <v>29.625</v>
      </c>
      <c r="F507" s="987">
        <v>-1.9835999999999999E-2</v>
      </c>
      <c r="G507" s="987">
        <v>0.27</v>
      </c>
      <c r="H507" s="986">
        <v>4.1999999999999997E-3</v>
      </c>
      <c r="I507" s="986">
        <f t="shared" si="0"/>
        <v>-2.4035999999999998E-2</v>
      </c>
      <c r="J507" s="988">
        <v>24869</v>
      </c>
    </row>
    <row r="508" spans="1:10">
      <c r="A508" s="987">
        <v>39</v>
      </c>
      <c r="B508" s="988">
        <v>24898</v>
      </c>
      <c r="C508" s="987" t="s">
        <v>4641</v>
      </c>
      <c r="D508" s="987" t="s">
        <v>4642</v>
      </c>
      <c r="E508" s="987">
        <v>28</v>
      </c>
      <c r="F508" s="987">
        <v>-5.4851999999999998E-2</v>
      </c>
      <c r="G508" s="987">
        <v>0</v>
      </c>
      <c r="H508" s="986">
        <v>4.3E-3</v>
      </c>
      <c r="I508" s="986">
        <f t="shared" si="0"/>
        <v>-5.9151999999999996E-2</v>
      </c>
      <c r="J508" s="988">
        <v>24898</v>
      </c>
    </row>
    <row r="509" spans="1:10">
      <c r="A509" s="987">
        <v>39</v>
      </c>
      <c r="B509" s="988">
        <v>24929</v>
      </c>
      <c r="C509" s="987" t="s">
        <v>4641</v>
      </c>
      <c r="D509" s="987" t="s">
        <v>4642</v>
      </c>
      <c r="E509" s="987">
        <v>27.5</v>
      </c>
      <c r="F509" s="987">
        <v>-1.7857000000000001E-2</v>
      </c>
      <c r="G509" s="987">
        <v>0</v>
      </c>
      <c r="H509" s="986">
        <v>4.8999999999999998E-3</v>
      </c>
      <c r="I509" s="986">
        <f t="shared" si="0"/>
        <v>-2.2756999999999999E-2</v>
      </c>
      <c r="J509" s="988">
        <v>24929</v>
      </c>
    </row>
    <row r="510" spans="1:10">
      <c r="A510" s="987">
        <v>39</v>
      </c>
      <c r="B510" s="988">
        <v>24959</v>
      </c>
      <c r="C510" s="987" t="s">
        <v>4641</v>
      </c>
      <c r="D510" s="987" t="s">
        <v>4642</v>
      </c>
      <c r="E510" s="987">
        <v>27.5</v>
      </c>
      <c r="F510" s="987">
        <v>9.8180000000000003E-3</v>
      </c>
      <c r="G510" s="987">
        <v>0.27</v>
      </c>
      <c r="H510" s="986">
        <v>4.5999999999999999E-3</v>
      </c>
      <c r="I510" s="986">
        <f t="shared" ref="I510:I573" si="1">F510-H510</f>
        <v>5.2180000000000004E-3</v>
      </c>
      <c r="J510" s="988">
        <v>24959</v>
      </c>
    </row>
    <row r="511" spans="1:10">
      <c r="A511" s="987">
        <v>39</v>
      </c>
      <c r="B511" s="988">
        <v>24990</v>
      </c>
      <c r="C511" s="987" t="s">
        <v>4641</v>
      </c>
      <c r="D511" s="987" t="s">
        <v>4642</v>
      </c>
      <c r="E511" s="987">
        <v>30.25</v>
      </c>
      <c r="F511" s="987">
        <v>0.1</v>
      </c>
      <c r="G511" s="987">
        <v>0</v>
      </c>
      <c r="H511" s="986">
        <v>4.1999999999999997E-3</v>
      </c>
      <c r="I511" s="986">
        <f t="shared" si="1"/>
        <v>9.580000000000001E-2</v>
      </c>
      <c r="J511" s="988">
        <v>24990</v>
      </c>
    </row>
    <row r="512" spans="1:10">
      <c r="A512" s="987">
        <v>39</v>
      </c>
      <c r="B512" s="988">
        <v>25020</v>
      </c>
      <c r="C512" s="987" t="s">
        <v>4641</v>
      </c>
      <c r="D512" s="987" t="s">
        <v>4642</v>
      </c>
      <c r="E512" s="987">
        <v>30.75</v>
      </c>
      <c r="F512" s="987">
        <v>1.6528999999999999E-2</v>
      </c>
      <c r="G512" s="987">
        <v>0</v>
      </c>
      <c r="H512" s="986">
        <v>4.7999999999999996E-3</v>
      </c>
      <c r="I512" s="986">
        <f t="shared" si="1"/>
        <v>1.1729E-2</v>
      </c>
      <c r="J512" s="988">
        <v>25020</v>
      </c>
    </row>
    <row r="513" spans="1:10">
      <c r="A513" s="987">
        <v>39</v>
      </c>
      <c r="B513" s="988">
        <v>25051</v>
      </c>
      <c r="C513" s="987" t="s">
        <v>4641</v>
      </c>
      <c r="D513" s="987" t="s">
        <v>4642</v>
      </c>
      <c r="E513" s="987">
        <v>30.25</v>
      </c>
      <c r="F513" s="987">
        <v>-7.4799999999999997E-3</v>
      </c>
      <c r="G513" s="987">
        <v>0.27</v>
      </c>
      <c r="H513" s="986">
        <v>4.1999999999999997E-3</v>
      </c>
      <c r="I513" s="986">
        <f t="shared" si="1"/>
        <v>-1.1679999999999999E-2</v>
      </c>
      <c r="J513" s="988">
        <v>25051</v>
      </c>
    </row>
    <row r="514" spans="1:10">
      <c r="A514" s="987">
        <v>39</v>
      </c>
      <c r="B514" s="988">
        <v>25082</v>
      </c>
      <c r="C514" s="987" t="s">
        <v>4641</v>
      </c>
      <c r="D514" s="987" t="s">
        <v>4642</v>
      </c>
      <c r="E514" s="987">
        <v>30</v>
      </c>
      <c r="F514" s="987">
        <v>-8.2640000000000005E-3</v>
      </c>
      <c r="G514" s="987">
        <v>0</v>
      </c>
      <c r="H514" s="986">
        <v>4.4000000000000003E-3</v>
      </c>
      <c r="I514" s="986">
        <f t="shared" si="1"/>
        <v>-1.2664000000000002E-2</v>
      </c>
      <c r="J514" s="988">
        <v>25082</v>
      </c>
    </row>
    <row r="515" spans="1:10">
      <c r="A515" s="987">
        <v>39</v>
      </c>
      <c r="B515" s="988">
        <v>25112</v>
      </c>
      <c r="C515" s="987" t="s">
        <v>4641</v>
      </c>
      <c r="D515" s="987" t="s">
        <v>4642</v>
      </c>
      <c r="E515" s="987">
        <v>29.5</v>
      </c>
      <c r="F515" s="987">
        <v>-1.6667000000000001E-2</v>
      </c>
      <c r="G515" s="987">
        <v>0</v>
      </c>
      <c r="H515" s="986">
        <v>4.4999999999999997E-3</v>
      </c>
      <c r="I515" s="986">
        <f t="shared" si="1"/>
        <v>-2.1167000000000002E-2</v>
      </c>
      <c r="J515" s="988">
        <v>25112</v>
      </c>
    </row>
    <row r="516" spans="1:10">
      <c r="A516" s="987">
        <v>39</v>
      </c>
      <c r="B516" s="988">
        <v>25143</v>
      </c>
      <c r="C516" s="987" t="s">
        <v>4641</v>
      </c>
      <c r="D516" s="987" t="s">
        <v>4642</v>
      </c>
      <c r="E516" s="987">
        <v>33.375</v>
      </c>
      <c r="F516" s="987">
        <v>0.141017</v>
      </c>
      <c r="G516" s="987">
        <v>0.28499999999999998</v>
      </c>
      <c r="H516" s="986">
        <v>4.3E-3</v>
      </c>
      <c r="I516" s="986">
        <f t="shared" si="1"/>
        <v>0.13671700000000001</v>
      </c>
      <c r="J516" s="988">
        <v>25143</v>
      </c>
    </row>
    <row r="517" spans="1:10">
      <c r="A517" s="987">
        <v>39</v>
      </c>
      <c r="B517" s="988">
        <v>25173</v>
      </c>
      <c r="C517" s="987" t="s">
        <v>4641</v>
      </c>
      <c r="D517" s="987" t="s">
        <v>4642</v>
      </c>
      <c r="E517" s="987">
        <v>30</v>
      </c>
      <c r="F517" s="987">
        <v>-0.10112400000000001</v>
      </c>
      <c r="G517" s="987">
        <v>0</v>
      </c>
      <c r="H517" s="986">
        <v>4.8999999999999998E-3</v>
      </c>
      <c r="I517" s="986">
        <f t="shared" si="1"/>
        <v>-0.10602400000000001</v>
      </c>
      <c r="J517" s="988">
        <v>25173</v>
      </c>
    </row>
    <row r="518" spans="1:10">
      <c r="A518" s="987">
        <v>39</v>
      </c>
      <c r="B518" s="988">
        <v>25204</v>
      </c>
      <c r="C518" s="987" t="s">
        <v>4641</v>
      </c>
      <c r="D518" s="987" t="s">
        <v>4642</v>
      </c>
      <c r="E518" s="987">
        <v>34.25</v>
      </c>
      <c r="F518" s="987">
        <v>0.14166699999999999</v>
      </c>
      <c r="G518" s="987">
        <v>0</v>
      </c>
      <c r="H518" s="986">
        <v>5.0000000000000001E-3</v>
      </c>
      <c r="I518" s="986">
        <f t="shared" si="1"/>
        <v>0.13666699999999998</v>
      </c>
      <c r="J518" s="988">
        <v>25204</v>
      </c>
    </row>
    <row r="519" spans="1:10">
      <c r="A519" s="987">
        <v>39</v>
      </c>
      <c r="B519" s="988">
        <v>25235</v>
      </c>
      <c r="C519" s="987" t="s">
        <v>4641</v>
      </c>
      <c r="D519" s="987" t="s">
        <v>4642</v>
      </c>
      <c r="E519" s="987">
        <v>31.75</v>
      </c>
      <c r="F519" s="987">
        <v>-6.4671999999999993E-2</v>
      </c>
      <c r="G519" s="987">
        <v>0.28499999999999998</v>
      </c>
      <c r="H519" s="986">
        <v>4.5999999999999999E-3</v>
      </c>
      <c r="I519" s="986">
        <f t="shared" si="1"/>
        <v>-6.9272E-2</v>
      </c>
      <c r="J519" s="988">
        <v>25235</v>
      </c>
    </row>
    <row r="520" spans="1:10">
      <c r="A520" s="987">
        <v>39</v>
      </c>
      <c r="B520" s="988">
        <v>25263</v>
      </c>
      <c r="C520" s="987" t="s">
        <v>4641</v>
      </c>
      <c r="D520" s="987" t="s">
        <v>4642</v>
      </c>
      <c r="E520" s="987">
        <v>31</v>
      </c>
      <c r="F520" s="987">
        <v>-2.3622000000000001E-2</v>
      </c>
      <c r="G520" s="987">
        <v>0</v>
      </c>
      <c r="H520" s="986">
        <v>4.7000000000000002E-3</v>
      </c>
      <c r="I520" s="986">
        <f t="shared" si="1"/>
        <v>-2.8322E-2</v>
      </c>
      <c r="J520" s="988">
        <v>25263</v>
      </c>
    </row>
    <row r="521" spans="1:10">
      <c r="A521" s="987">
        <v>39</v>
      </c>
      <c r="B521" s="988">
        <v>25294</v>
      </c>
      <c r="C521" s="987" t="s">
        <v>4641</v>
      </c>
      <c r="D521" s="987" t="s">
        <v>4642</v>
      </c>
      <c r="E521" s="987">
        <v>32.75</v>
      </c>
      <c r="F521" s="987">
        <v>5.6452000000000002E-2</v>
      </c>
      <c r="G521" s="987">
        <v>0</v>
      </c>
      <c r="H521" s="986">
        <v>5.4999999999999997E-3</v>
      </c>
      <c r="I521" s="986">
        <f t="shared" si="1"/>
        <v>5.0952000000000004E-2</v>
      </c>
      <c r="J521" s="988">
        <v>25294</v>
      </c>
    </row>
    <row r="522" spans="1:10">
      <c r="A522" s="987">
        <v>39</v>
      </c>
      <c r="B522" s="988">
        <v>25324</v>
      </c>
      <c r="C522" s="987" t="s">
        <v>4641</v>
      </c>
      <c r="D522" s="987" t="s">
        <v>4642</v>
      </c>
      <c r="E522" s="987">
        <v>30.5</v>
      </c>
      <c r="F522" s="987">
        <v>-0.06</v>
      </c>
      <c r="G522" s="987">
        <v>0.28499999999999998</v>
      </c>
      <c r="H522" s="986">
        <v>4.7000000000000002E-3</v>
      </c>
      <c r="I522" s="986">
        <f t="shared" si="1"/>
        <v>-6.4699999999999994E-2</v>
      </c>
      <c r="J522" s="988">
        <v>25324</v>
      </c>
    </row>
    <row r="523" spans="1:10">
      <c r="A523" s="987">
        <v>39</v>
      </c>
      <c r="B523" s="988">
        <v>25355</v>
      </c>
      <c r="C523" s="987" t="s">
        <v>4641</v>
      </c>
      <c r="D523" s="987" t="s">
        <v>4642</v>
      </c>
      <c r="E523" s="987">
        <v>29.625</v>
      </c>
      <c r="F523" s="987">
        <v>-2.8688999999999999E-2</v>
      </c>
      <c r="G523" s="987">
        <v>0</v>
      </c>
      <c r="H523" s="986">
        <v>5.4999999999999997E-3</v>
      </c>
      <c r="I523" s="986">
        <f t="shared" si="1"/>
        <v>-3.4188999999999997E-2</v>
      </c>
      <c r="J523" s="988">
        <v>25355</v>
      </c>
    </row>
    <row r="524" spans="1:10">
      <c r="A524" s="987">
        <v>39</v>
      </c>
      <c r="B524" s="988">
        <v>25385</v>
      </c>
      <c r="C524" s="987" t="s">
        <v>4641</v>
      </c>
      <c r="D524" s="987" t="s">
        <v>4642</v>
      </c>
      <c r="E524" s="987">
        <v>29</v>
      </c>
      <c r="F524" s="987">
        <v>-2.1097000000000001E-2</v>
      </c>
      <c r="G524" s="987">
        <v>0</v>
      </c>
      <c r="H524" s="986">
        <v>5.1999999999999998E-3</v>
      </c>
      <c r="I524" s="986">
        <f t="shared" si="1"/>
        <v>-2.6297000000000001E-2</v>
      </c>
      <c r="J524" s="988">
        <v>25385</v>
      </c>
    </row>
    <row r="525" spans="1:10">
      <c r="A525" s="987">
        <v>39</v>
      </c>
      <c r="B525" s="988">
        <v>25416</v>
      </c>
      <c r="C525" s="987" t="s">
        <v>4641</v>
      </c>
      <c r="D525" s="987" t="s">
        <v>4642</v>
      </c>
      <c r="E525" s="987">
        <v>27.625</v>
      </c>
      <c r="F525" s="987">
        <v>-3.7586000000000001E-2</v>
      </c>
      <c r="G525" s="987">
        <v>0.28499999999999998</v>
      </c>
      <c r="H525" s="986">
        <v>4.7999999999999996E-3</v>
      </c>
      <c r="I525" s="986">
        <f t="shared" si="1"/>
        <v>-4.2386E-2</v>
      </c>
      <c r="J525" s="988">
        <v>25416</v>
      </c>
    </row>
    <row r="526" spans="1:10">
      <c r="A526" s="987">
        <v>39</v>
      </c>
      <c r="B526" s="988">
        <v>25447</v>
      </c>
      <c r="C526" s="987" t="s">
        <v>4641</v>
      </c>
      <c r="D526" s="987" t="s">
        <v>4642</v>
      </c>
      <c r="E526" s="987">
        <v>25</v>
      </c>
      <c r="F526" s="987">
        <v>-9.5022999999999996E-2</v>
      </c>
      <c r="G526" s="987">
        <v>0</v>
      </c>
      <c r="H526" s="986">
        <v>5.4999999999999997E-3</v>
      </c>
      <c r="I526" s="986">
        <f t="shared" si="1"/>
        <v>-0.100523</v>
      </c>
      <c r="J526" s="988">
        <v>25447</v>
      </c>
    </row>
    <row r="527" spans="1:10">
      <c r="A527" s="987">
        <v>39</v>
      </c>
      <c r="B527" s="988">
        <v>25477</v>
      </c>
      <c r="C527" s="987" t="s">
        <v>4641</v>
      </c>
      <c r="D527" s="987" t="s">
        <v>4642</v>
      </c>
      <c r="E527" s="987">
        <v>30</v>
      </c>
      <c r="F527" s="987">
        <v>0.2</v>
      </c>
      <c r="G527" s="987">
        <v>0</v>
      </c>
      <c r="H527" s="986">
        <v>5.7000000000000002E-3</v>
      </c>
      <c r="I527" s="986">
        <f t="shared" si="1"/>
        <v>0.1943</v>
      </c>
      <c r="J527" s="988">
        <v>25477</v>
      </c>
    </row>
    <row r="528" spans="1:10">
      <c r="A528" s="987">
        <v>39</v>
      </c>
      <c r="B528" s="988">
        <v>25508</v>
      </c>
      <c r="C528" s="987" t="s">
        <v>4641</v>
      </c>
      <c r="D528" s="987" t="s">
        <v>4642</v>
      </c>
      <c r="E528" s="987">
        <v>25.375</v>
      </c>
      <c r="F528" s="987">
        <v>-0.14466699999999999</v>
      </c>
      <c r="G528" s="987">
        <v>0.28499999999999998</v>
      </c>
      <c r="H528" s="986">
        <v>4.8999999999999998E-3</v>
      </c>
      <c r="I528" s="986">
        <f t="shared" si="1"/>
        <v>-0.14956699999999998</v>
      </c>
      <c r="J528" s="988">
        <v>25508</v>
      </c>
    </row>
    <row r="529" spans="1:10">
      <c r="A529" s="987">
        <v>39</v>
      </c>
      <c r="B529" s="988">
        <v>25538</v>
      </c>
      <c r="C529" s="987" t="s">
        <v>4641</v>
      </c>
      <c r="D529" s="987" t="s">
        <v>4642</v>
      </c>
      <c r="E529" s="987">
        <v>27.5</v>
      </c>
      <c r="F529" s="987">
        <v>8.3743999999999999E-2</v>
      </c>
      <c r="G529" s="987">
        <v>0</v>
      </c>
      <c r="H529" s="986">
        <v>6.0000000000000001E-3</v>
      </c>
      <c r="I529" s="986">
        <f t="shared" si="1"/>
        <v>7.7743999999999994E-2</v>
      </c>
      <c r="J529" s="988">
        <v>25538</v>
      </c>
    </row>
    <row r="530" spans="1:10">
      <c r="A530" s="987">
        <v>39</v>
      </c>
      <c r="B530" s="988">
        <v>25569</v>
      </c>
      <c r="C530" s="987" t="s">
        <v>4641</v>
      </c>
      <c r="D530" s="987" t="s">
        <v>4642</v>
      </c>
      <c r="E530" s="987">
        <v>26.75</v>
      </c>
      <c r="F530" s="987">
        <v>-2.7272999999999999E-2</v>
      </c>
      <c r="G530" s="987">
        <v>0</v>
      </c>
      <c r="H530" s="986">
        <v>5.5999999999999999E-3</v>
      </c>
      <c r="I530" s="986">
        <f t="shared" si="1"/>
        <v>-3.2872999999999999E-2</v>
      </c>
      <c r="J530" s="988">
        <v>25569</v>
      </c>
    </row>
    <row r="531" spans="1:10">
      <c r="A531" s="987">
        <v>39</v>
      </c>
      <c r="B531" s="988">
        <v>25600</v>
      </c>
      <c r="C531" s="987" t="s">
        <v>4641</v>
      </c>
      <c r="D531" s="987" t="s">
        <v>4642</v>
      </c>
      <c r="E531" s="987">
        <v>27.25</v>
      </c>
      <c r="F531" s="987">
        <v>2.9346000000000001E-2</v>
      </c>
      <c r="G531" s="987">
        <v>0.28499999999999998</v>
      </c>
      <c r="H531" s="986">
        <v>5.1999999999999998E-3</v>
      </c>
      <c r="I531" s="986">
        <f t="shared" si="1"/>
        <v>2.4146000000000001E-2</v>
      </c>
      <c r="J531" s="988">
        <v>25600</v>
      </c>
    </row>
    <row r="532" spans="1:10">
      <c r="A532" s="987">
        <v>39</v>
      </c>
      <c r="B532" s="988">
        <v>25628</v>
      </c>
      <c r="C532" s="987" t="s">
        <v>4641</v>
      </c>
      <c r="D532" s="987" t="s">
        <v>4642</v>
      </c>
      <c r="E532" s="987">
        <v>30.125</v>
      </c>
      <c r="F532" s="987">
        <v>0.105505</v>
      </c>
      <c r="G532" s="987">
        <v>0</v>
      </c>
      <c r="H532" s="986">
        <v>5.5999999999999999E-3</v>
      </c>
      <c r="I532" s="986">
        <f t="shared" si="1"/>
        <v>9.9905000000000008E-2</v>
      </c>
      <c r="J532" s="988">
        <v>25628</v>
      </c>
    </row>
    <row r="533" spans="1:10">
      <c r="A533" s="987">
        <v>39</v>
      </c>
      <c r="B533" s="988">
        <v>25659</v>
      </c>
      <c r="C533" s="987" t="s">
        <v>4641</v>
      </c>
      <c r="D533" s="987" t="s">
        <v>4642</v>
      </c>
      <c r="E533" s="987">
        <v>27.375</v>
      </c>
      <c r="F533" s="987">
        <v>-9.1286000000000006E-2</v>
      </c>
      <c r="G533" s="987">
        <v>0</v>
      </c>
      <c r="H533" s="986">
        <v>5.4000000000000003E-3</v>
      </c>
      <c r="I533" s="986">
        <f t="shared" si="1"/>
        <v>-9.6686000000000008E-2</v>
      </c>
      <c r="J533" s="988">
        <v>25659</v>
      </c>
    </row>
    <row r="534" spans="1:10">
      <c r="A534" s="987">
        <v>39</v>
      </c>
      <c r="B534" s="988">
        <v>25689</v>
      </c>
      <c r="C534" s="987" t="s">
        <v>4641</v>
      </c>
      <c r="D534" s="987" t="s">
        <v>4642</v>
      </c>
      <c r="E534" s="987">
        <v>24.375</v>
      </c>
      <c r="F534" s="987">
        <v>-9.8629999999999995E-2</v>
      </c>
      <c r="G534" s="987">
        <v>0.3</v>
      </c>
      <c r="H534" s="986">
        <v>5.4999999999999997E-3</v>
      </c>
      <c r="I534" s="986">
        <f t="shared" si="1"/>
        <v>-0.10413</v>
      </c>
      <c r="J534" s="988">
        <v>25689</v>
      </c>
    </row>
    <row r="535" spans="1:10">
      <c r="A535" s="987">
        <v>39</v>
      </c>
      <c r="B535" s="988">
        <v>25720</v>
      </c>
      <c r="C535" s="987" t="s">
        <v>4641</v>
      </c>
      <c r="D535" s="987" t="s">
        <v>4642</v>
      </c>
      <c r="E535" s="987">
        <v>25</v>
      </c>
      <c r="F535" s="987">
        <v>2.5641000000000001E-2</v>
      </c>
      <c r="G535" s="987">
        <v>0</v>
      </c>
      <c r="H535" s="986">
        <v>6.4000000000000003E-3</v>
      </c>
      <c r="I535" s="986">
        <f t="shared" si="1"/>
        <v>1.9241000000000001E-2</v>
      </c>
      <c r="J535" s="988">
        <v>25720</v>
      </c>
    </row>
    <row r="536" spans="1:10">
      <c r="A536" s="987">
        <v>39</v>
      </c>
      <c r="B536" s="988">
        <v>25750</v>
      </c>
      <c r="C536" s="987" t="s">
        <v>4641</v>
      </c>
      <c r="D536" s="987" t="s">
        <v>4642</v>
      </c>
      <c r="E536" s="987">
        <v>26.875</v>
      </c>
      <c r="F536" s="987">
        <v>7.4999999999999997E-2</v>
      </c>
      <c r="G536" s="987">
        <v>0</v>
      </c>
      <c r="H536" s="986">
        <v>5.8999999999999999E-3</v>
      </c>
      <c r="I536" s="986">
        <f t="shared" si="1"/>
        <v>6.9099999999999995E-2</v>
      </c>
      <c r="J536" s="988">
        <v>25750</v>
      </c>
    </row>
    <row r="537" spans="1:10">
      <c r="A537" s="987">
        <v>39</v>
      </c>
      <c r="B537" s="988">
        <v>25781</v>
      </c>
      <c r="C537" s="987" t="s">
        <v>4641</v>
      </c>
      <c r="D537" s="987" t="s">
        <v>4642</v>
      </c>
      <c r="E537" s="987">
        <v>28</v>
      </c>
      <c r="F537" s="987">
        <v>5.3023000000000001E-2</v>
      </c>
      <c r="G537" s="987">
        <v>0.3</v>
      </c>
      <c r="H537" s="986">
        <v>5.7000000000000002E-3</v>
      </c>
      <c r="I537" s="986">
        <f t="shared" si="1"/>
        <v>4.7323000000000004E-2</v>
      </c>
      <c r="J537" s="988">
        <v>25781</v>
      </c>
    </row>
    <row r="538" spans="1:10">
      <c r="A538" s="987">
        <v>39</v>
      </c>
      <c r="B538" s="988">
        <v>25812</v>
      </c>
      <c r="C538" s="987" t="s">
        <v>4641</v>
      </c>
      <c r="D538" s="987" t="s">
        <v>4642</v>
      </c>
      <c r="E538" s="987">
        <v>27.375</v>
      </c>
      <c r="F538" s="987">
        <v>-2.2321000000000001E-2</v>
      </c>
      <c r="G538" s="987">
        <v>0</v>
      </c>
      <c r="H538" s="986">
        <v>5.5999999999999999E-3</v>
      </c>
      <c r="I538" s="986">
        <f t="shared" si="1"/>
        <v>-2.7921000000000001E-2</v>
      </c>
      <c r="J538" s="988">
        <v>25812</v>
      </c>
    </row>
    <row r="539" spans="1:10">
      <c r="A539" s="987">
        <v>39</v>
      </c>
      <c r="B539" s="988">
        <v>25842</v>
      </c>
      <c r="C539" s="987" t="s">
        <v>4641</v>
      </c>
      <c r="D539" s="987" t="s">
        <v>4642</v>
      </c>
      <c r="E539" s="987">
        <v>26.125</v>
      </c>
      <c r="F539" s="987">
        <v>-4.5662000000000001E-2</v>
      </c>
      <c r="G539" s="987">
        <v>0</v>
      </c>
      <c r="H539" s="986">
        <v>5.4999999999999997E-3</v>
      </c>
      <c r="I539" s="986">
        <f t="shared" si="1"/>
        <v>-5.1161999999999999E-2</v>
      </c>
      <c r="J539" s="988">
        <v>25842</v>
      </c>
    </row>
    <row r="540" spans="1:10">
      <c r="A540" s="987">
        <v>39</v>
      </c>
      <c r="B540" s="988">
        <v>25873</v>
      </c>
      <c r="C540" s="987" t="s">
        <v>4641</v>
      </c>
      <c r="D540" s="987" t="s">
        <v>4642</v>
      </c>
      <c r="E540" s="987">
        <v>28.625</v>
      </c>
      <c r="F540" s="987">
        <v>0.108325</v>
      </c>
      <c r="G540" s="987">
        <v>0.33</v>
      </c>
      <c r="H540" s="986">
        <v>5.7999999999999996E-3</v>
      </c>
      <c r="I540" s="986">
        <f t="shared" si="1"/>
        <v>0.10252500000000001</v>
      </c>
      <c r="J540" s="988">
        <v>25873</v>
      </c>
    </row>
    <row r="541" spans="1:10">
      <c r="A541" s="987">
        <v>39</v>
      </c>
      <c r="B541" s="988">
        <v>25903</v>
      </c>
      <c r="C541" s="987" t="s">
        <v>4641</v>
      </c>
      <c r="D541" s="987" t="s">
        <v>4642</v>
      </c>
      <c r="E541" s="987">
        <v>31.25</v>
      </c>
      <c r="F541" s="987">
        <v>9.1703000000000007E-2</v>
      </c>
      <c r="G541" s="987">
        <v>0</v>
      </c>
      <c r="H541" s="986">
        <v>5.3E-3</v>
      </c>
      <c r="I541" s="986">
        <f t="shared" si="1"/>
        <v>8.6403000000000008E-2</v>
      </c>
      <c r="J541" s="988">
        <v>25903</v>
      </c>
    </row>
    <row r="542" spans="1:10">
      <c r="A542" s="987">
        <v>39</v>
      </c>
      <c r="B542" s="988">
        <v>25934</v>
      </c>
      <c r="C542" s="987" t="s">
        <v>4641</v>
      </c>
      <c r="D542" s="987" t="s">
        <v>4642</v>
      </c>
      <c r="E542" s="987">
        <v>29.75</v>
      </c>
      <c r="F542" s="987">
        <v>-4.8000000000000001E-2</v>
      </c>
      <c r="G542" s="987">
        <v>0</v>
      </c>
      <c r="H542" s="986">
        <v>5.1000000000000004E-3</v>
      </c>
      <c r="I542" s="986">
        <f t="shared" si="1"/>
        <v>-5.3100000000000001E-2</v>
      </c>
      <c r="J542" s="988">
        <v>25934</v>
      </c>
    </row>
    <row r="543" spans="1:10">
      <c r="A543" s="987">
        <v>39</v>
      </c>
      <c r="B543" s="988">
        <v>25965</v>
      </c>
      <c r="C543" s="987" t="s">
        <v>4641</v>
      </c>
      <c r="D543" s="987" t="s">
        <v>4642</v>
      </c>
      <c r="E543" s="987">
        <v>28.125</v>
      </c>
      <c r="F543" s="987">
        <v>-4.3528999999999998E-2</v>
      </c>
      <c r="G543" s="987">
        <v>0.33</v>
      </c>
      <c r="H543" s="986">
        <v>4.5999999999999999E-3</v>
      </c>
      <c r="I543" s="986">
        <f t="shared" si="1"/>
        <v>-4.8128999999999998E-2</v>
      </c>
      <c r="J543" s="988">
        <v>25965</v>
      </c>
    </row>
    <row r="544" spans="1:10">
      <c r="A544" s="987">
        <v>39</v>
      </c>
      <c r="B544" s="988">
        <v>25993</v>
      </c>
      <c r="C544" s="987" t="s">
        <v>4641</v>
      </c>
      <c r="D544" s="987" t="s">
        <v>4642</v>
      </c>
      <c r="E544" s="987">
        <v>28.5</v>
      </c>
      <c r="F544" s="987">
        <v>1.3332999999999999E-2</v>
      </c>
      <c r="G544" s="987">
        <v>0</v>
      </c>
      <c r="H544" s="986">
        <v>5.5999999999999999E-3</v>
      </c>
      <c r="I544" s="986">
        <f t="shared" si="1"/>
        <v>7.7329999999999994E-3</v>
      </c>
      <c r="J544" s="988">
        <v>25993</v>
      </c>
    </row>
    <row r="545" spans="1:10">
      <c r="A545" s="987">
        <v>39</v>
      </c>
      <c r="B545" s="988">
        <v>26024</v>
      </c>
      <c r="C545" s="987" t="s">
        <v>4641</v>
      </c>
      <c r="D545" s="987" t="s">
        <v>4642</v>
      </c>
      <c r="E545" s="987">
        <v>27</v>
      </c>
      <c r="F545" s="987">
        <v>-5.2631999999999998E-2</v>
      </c>
      <c r="G545" s="987">
        <v>0</v>
      </c>
      <c r="H545" s="986">
        <v>4.7999999999999996E-3</v>
      </c>
      <c r="I545" s="986">
        <f t="shared" si="1"/>
        <v>-5.7431999999999997E-2</v>
      </c>
      <c r="J545" s="988">
        <v>26024</v>
      </c>
    </row>
    <row r="546" spans="1:10">
      <c r="A546" s="987">
        <v>39</v>
      </c>
      <c r="B546" s="988">
        <v>26054</v>
      </c>
      <c r="C546" s="987" t="s">
        <v>4641</v>
      </c>
      <c r="D546" s="987" t="s">
        <v>4642</v>
      </c>
      <c r="E546" s="987">
        <v>26.875</v>
      </c>
      <c r="F546" s="987">
        <v>7.5929999999999999E-3</v>
      </c>
      <c r="G546" s="987">
        <v>0.33</v>
      </c>
      <c r="H546" s="986">
        <v>4.7000000000000002E-3</v>
      </c>
      <c r="I546" s="986">
        <f t="shared" si="1"/>
        <v>2.8929999999999997E-3</v>
      </c>
      <c r="J546" s="988">
        <v>26054</v>
      </c>
    </row>
    <row r="547" spans="1:10">
      <c r="A547" s="987">
        <v>39</v>
      </c>
      <c r="B547" s="988">
        <v>26085</v>
      </c>
      <c r="C547" s="987" t="s">
        <v>4641</v>
      </c>
      <c r="D547" s="987" t="s">
        <v>4642</v>
      </c>
      <c r="E547" s="987">
        <v>28</v>
      </c>
      <c r="F547" s="987">
        <v>4.1860000000000001E-2</v>
      </c>
      <c r="G547" s="987">
        <v>0</v>
      </c>
      <c r="H547" s="986">
        <v>5.5999999999999999E-3</v>
      </c>
      <c r="I547" s="986">
        <f t="shared" si="1"/>
        <v>3.6260000000000001E-2</v>
      </c>
      <c r="J547" s="988">
        <v>26085</v>
      </c>
    </row>
    <row r="548" spans="1:10">
      <c r="A548" s="987">
        <v>39</v>
      </c>
      <c r="B548" s="988">
        <v>26115</v>
      </c>
      <c r="C548" s="987" t="s">
        <v>4641</v>
      </c>
      <c r="D548" s="987" t="s">
        <v>4642</v>
      </c>
      <c r="E548" s="987">
        <v>26.25</v>
      </c>
      <c r="F548" s="987">
        <v>-6.25E-2</v>
      </c>
      <c r="G548" s="987">
        <v>0</v>
      </c>
      <c r="H548" s="986">
        <v>5.1999999999999998E-3</v>
      </c>
      <c r="I548" s="986">
        <f t="shared" si="1"/>
        <v>-6.7699999999999996E-2</v>
      </c>
      <c r="J548" s="988">
        <v>26115</v>
      </c>
    </row>
    <row r="549" spans="1:10">
      <c r="A549" s="987">
        <v>39</v>
      </c>
      <c r="B549" s="988">
        <v>26146</v>
      </c>
      <c r="C549" s="987" t="s">
        <v>4641</v>
      </c>
      <c r="D549" s="987" t="s">
        <v>4642</v>
      </c>
      <c r="E549" s="987">
        <v>25.625</v>
      </c>
      <c r="F549" s="987">
        <v>-1.1238E-2</v>
      </c>
      <c r="G549" s="987">
        <v>0.33</v>
      </c>
      <c r="H549" s="986">
        <v>5.4999999999999997E-3</v>
      </c>
      <c r="I549" s="986">
        <f t="shared" si="1"/>
        <v>-1.6737999999999999E-2</v>
      </c>
      <c r="J549" s="988">
        <v>26146</v>
      </c>
    </row>
    <row r="550" spans="1:10">
      <c r="A550" s="987">
        <v>39</v>
      </c>
      <c r="B550" s="988">
        <v>26177</v>
      </c>
      <c r="C550" s="987" t="s">
        <v>4641</v>
      </c>
      <c r="D550" s="987" t="s">
        <v>4642</v>
      </c>
      <c r="E550" s="987">
        <v>26.125</v>
      </c>
      <c r="F550" s="987">
        <v>1.9512000000000002E-2</v>
      </c>
      <c r="G550" s="987">
        <v>0</v>
      </c>
      <c r="H550" s="986">
        <v>4.8999999999999998E-3</v>
      </c>
      <c r="I550" s="986">
        <f t="shared" si="1"/>
        <v>1.4612000000000002E-2</v>
      </c>
      <c r="J550" s="988">
        <v>26177</v>
      </c>
    </row>
    <row r="551" spans="1:10">
      <c r="A551" s="987">
        <v>39</v>
      </c>
      <c r="B551" s="988">
        <v>26207</v>
      </c>
      <c r="C551" s="987" t="s">
        <v>4641</v>
      </c>
      <c r="D551" s="987" t="s">
        <v>4642</v>
      </c>
      <c r="E551" s="987">
        <v>26.875</v>
      </c>
      <c r="F551" s="987">
        <v>2.8708000000000001E-2</v>
      </c>
      <c r="G551" s="987">
        <v>0</v>
      </c>
      <c r="H551" s="986">
        <v>4.7000000000000002E-3</v>
      </c>
      <c r="I551" s="986">
        <f t="shared" si="1"/>
        <v>2.4008000000000002E-2</v>
      </c>
      <c r="J551" s="988">
        <v>26207</v>
      </c>
    </row>
    <row r="552" spans="1:10">
      <c r="A552" s="987">
        <v>39</v>
      </c>
      <c r="B552" s="988">
        <v>26238</v>
      </c>
      <c r="C552" s="987" t="s">
        <v>4641</v>
      </c>
      <c r="D552" s="987" t="s">
        <v>4642</v>
      </c>
      <c r="E552" s="987">
        <v>25.75</v>
      </c>
      <c r="F552" s="987">
        <v>-2.9581E-2</v>
      </c>
      <c r="G552" s="987">
        <v>0.33</v>
      </c>
      <c r="H552" s="986">
        <v>5.1000000000000004E-3</v>
      </c>
      <c r="I552" s="986">
        <f t="shared" si="1"/>
        <v>-3.4681000000000003E-2</v>
      </c>
      <c r="J552" s="988">
        <v>26238</v>
      </c>
    </row>
    <row r="553" spans="1:10">
      <c r="A553" s="987">
        <v>39</v>
      </c>
      <c r="B553" s="988">
        <v>26268</v>
      </c>
      <c r="C553" s="987" t="s">
        <v>4641</v>
      </c>
      <c r="D553" s="987" t="s">
        <v>4642</v>
      </c>
      <c r="E553" s="987">
        <v>26.875</v>
      </c>
      <c r="F553" s="987">
        <v>4.3688999999999999E-2</v>
      </c>
      <c r="G553" s="987">
        <v>0</v>
      </c>
      <c r="H553" s="986">
        <v>5.0000000000000001E-3</v>
      </c>
      <c r="I553" s="986">
        <f t="shared" si="1"/>
        <v>3.8689000000000001E-2</v>
      </c>
      <c r="J553" s="988">
        <v>26268</v>
      </c>
    </row>
    <row r="554" spans="1:10">
      <c r="A554" s="987">
        <v>39</v>
      </c>
      <c r="B554" s="988">
        <v>26299</v>
      </c>
      <c r="C554" s="987" t="s">
        <v>4641</v>
      </c>
      <c r="D554" s="987" t="s">
        <v>4642</v>
      </c>
      <c r="E554" s="987">
        <v>26</v>
      </c>
      <c r="F554" s="987">
        <v>-3.2557999999999997E-2</v>
      </c>
      <c r="G554" s="987">
        <v>0</v>
      </c>
      <c r="H554" s="986">
        <v>5.0000000000000001E-3</v>
      </c>
      <c r="I554" s="986">
        <f t="shared" si="1"/>
        <v>-3.7557999999999994E-2</v>
      </c>
      <c r="J554" s="988">
        <v>26299</v>
      </c>
    </row>
    <row r="555" spans="1:10">
      <c r="A555" s="987">
        <v>39</v>
      </c>
      <c r="B555" s="988">
        <v>26330</v>
      </c>
      <c r="C555" s="987" t="s">
        <v>4641</v>
      </c>
      <c r="D555" s="987" t="s">
        <v>4642</v>
      </c>
      <c r="E555" s="987">
        <v>24.875</v>
      </c>
      <c r="F555" s="987">
        <v>-3.0577E-2</v>
      </c>
      <c r="G555" s="987">
        <v>0.33</v>
      </c>
      <c r="H555" s="986">
        <v>4.7000000000000002E-3</v>
      </c>
      <c r="I555" s="986">
        <f t="shared" si="1"/>
        <v>-3.5277000000000003E-2</v>
      </c>
      <c r="J555" s="988">
        <v>26330</v>
      </c>
    </row>
    <row r="556" spans="1:10">
      <c r="A556" s="987">
        <v>39</v>
      </c>
      <c r="B556" s="988">
        <v>26359</v>
      </c>
      <c r="C556" s="987" t="s">
        <v>4641</v>
      </c>
      <c r="D556" s="987" t="s">
        <v>4642</v>
      </c>
      <c r="E556" s="987">
        <v>25.875</v>
      </c>
      <c r="F556" s="987">
        <v>4.0201000000000001E-2</v>
      </c>
      <c r="G556" s="987">
        <v>0</v>
      </c>
      <c r="H556" s="986">
        <v>4.8999999999999998E-3</v>
      </c>
      <c r="I556" s="986">
        <f t="shared" si="1"/>
        <v>3.5300999999999999E-2</v>
      </c>
      <c r="J556" s="988">
        <v>26359</v>
      </c>
    </row>
    <row r="557" spans="1:10">
      <c r="A557" s="987">
        <v>39</v>
      </c>
      <c r="B557" s="988">
        <v>26390</v>
      </c>
      <c r="C557" s="987" t="s">
        <v>4641</v>
      </c>
      <c r="D557" s="987" t="s">
        <v>4642</v>
      </c>
      <c r="E557" s="987">
        <v>24.75</v>
      </c>
      <c r="F557" s="987">
        <v>-4.3478000000000003E-2</v>
      </c>
      <c r="G557" s="987">
        <v>0</v>
      </c>
      <c r="H557" s="986">
        <v>4.7999999999999996E-3</v>
      </c>
      <c r="I557" s="986">
        <f t="shared" si="1"/>
        <v>-4.8278000000000001E-2</v>
      </c>
      <c r="J557" s="988">
        <v>26390</v>
      </c>
    </row>
    <row r="558" spans="1:10">
      <c r="A558" s="987">
        <v>39</v>
      </c>
      <c r="B558" s="988">
        <v>26420</v>
      </c>
      <c r="C558" s="987" t="s">
        <v>4641</v>
      </c>
      <c r="D558" s="987" t="s">
        <v>4642</v>
      </c>
      <c r="E558" s="987">
        <v>24.5</v>
      </c>
      <c r="F558" s="987">
        <v>3.2320000000000001E-3</v>
      </c>
      <c r="G558" s="987">
        <v>0.33</v>
      </c>
      <c r="H558" s="986">
        <v>5.4999999999999997E-3</v>
      </c>
      <c r="I558" s="986">
        <f t="shared" si="1"/>
        <v>-2.2679999999999996E-3</v>
      </c>
      <c r="J558" s="988">
        <v>26420</v>
      </c>
    </row>
    <row r="559" spans="1:10">
      <c r="A559" s="987">
        <v>39</v>
      </c>
      <c r="B559" s="988">
        <v>26451</v>
      </c>
      <c r="C559" s="987" t="s">
        <v>4641</v>
      </c>
      <c r="D559" s="987" t="s">
        <v>4642</v>
      </c>
      <c r="E559" s="987">
        <v>23.25</v>
      </c>
      <c r="F559" s="987">
        <v>-5.1020000000000003E-2</v>
      </c>
      <c r="G559" s="987">
        <v>0</v>
      </c>
      <c r="H559" s="986">
        <v>4.8999999999999998E-3</v>
      </c>
      <c r="I559" s="986">
        <f t="shared" si="1"/>
        <v>-5.5920000000000004E-2</v>
      </c>
      <c r="J559" s="988">
        <v>26451</v>
      </c>
    </row>
    <row r="560" spans="1:10">
      <c r="A560" s="987">
        <v>39</v>
      </c>
      <c r="B560" s="988">
        <v>26481</v>
      </c>
      <c r="C560" s="987" t="s">
        <v>4641</v>
      </c>
      <c r="D560" s="987" t="s">
        <v>4642</v>
      </c>
      <c r="E560" s="987">
        <v>23.125</v>
      </c>
      <c r="F560" s="987">
        <v>-5.3759999999999997E-3</v>
      </c>
      <c r="G560" s="987">
        <v>0</v>
      </c>
      <c r="H560" s="986">
        <v>5.1000000000000004E-3</v>
      </c>
      <c r="I560" s="986">
        <f t="shared" si="1"/>
        <v>-1.0475999999999999E-2</v>
      </c>
      <c r="J560" s="988">
        <v>26481</v>
      </c>
    </row>
    <row r="561" spans="1:10">
      <c r="A561" s="987">
        <v>39</v>
      </c>
      <c r="B561" s="988">
        <v>26512</v>
      </c>
      <c r="C561" s="987" t="s">
        <v>4641</v>
      </c>
      <c r="D561" s="987" t="s">
        <v>4642</v>
      </c>
      <c r="E561" s="987">
        <v>24.5</v>
      </c>
      <c r="F561" s="987">
        <v>7.3730000000000004E-2</v>
      </c>
      <c r="G561" s="987">
        <v>0.33</v>
      </c>
      <c r="H561" s="986">
        <v>4.8999999999999998E-3</v>
      </c>
      <c r="I561" s="986">
        <f t="shared" si="1"/>
        <v>6.8830000000000002E-2</v>
      </c>
      <c r="J561" s="988">
        <v>26512</v>
      </c>
    </row>
    <row r="562" spans="1:10">
      <c r="A562" s="987">
        <v>39</v>
      </c>
      <c r="B562" s="988">
        <v>26543</v>
      </c>
      <c r="C562" s="987" t="s">
        <v>4641</v>
      </c>
      <c r="D562" s="987" t="s">
        <v>4642</v>
      </c>
      <c r="E562" s="987">
        <v>25</v>
      </c>
      <c r="F562" s="987">
        <v>2.0407999999999999E-2</v>
      </c>
      <c r="G562" s="987">
        <v>0</v>
      </c>
      <c r="H562" s="986">
        <v>4.7000000000000002E-3</v>
      </c>
      <c r="I562" s="986">
        <f t="shared" si="1"/>
        <v>1.5708E-2</v>
      </c>
      <c r="J562" s="988">
        <v>26543</v>
      </c>
    </row>
    <row r="563" spans="1:10">
      <c r="A563" s="987">
        <v>39</v>
      </c>
      <c r="B563" s="988">
        <v>26573</v>
      </c>
      <c r="C563" s="987" t="s">
        <v>4641</v>
      </c>
      <c r="D563" s="987" t="s">
        <v>4642</v>
      </c>
      <c r="E563" s="987">
        <v>28.375</v>
      </c>
      <c r="F563" s="987">
        <v>0.13500000000000001</v>
      </c>
      <c r="G563" s="987">
        <v>0</v>
      </c>
      <c r="H563" s="986">
        <v>5.1999999999999998E-3</v>
      </c>
      <c r="I563" s="986">
        <f t="shared" si="1"/>
        <v>0.1298</v>
      </c>
      <c r="J563" s="988">
        <v>26573</v>
      </c>
    </row>
    <row r="564" spans="1:10">
      <c r="A564" s="987">
        <v>39</v>
      </c>
      <c r="B564" s="988">
        <v>26604</v>
      </c>
      <c r="C564" s="987" t="s">
        <v>4641</v>
      </c>
      <c r="D564" s="987" t="s">
        <v>4642</v>
      </c>
      <c r="E564" s="987">
        <v>28.5</v>
      </c>
      <c r="F564" s="987">
        <v>1.6388E-2</v>
      </c>
      <c r="G564" s="987">
        <v>0.34</v>
      </c>
      <c r="H564" s="986">
        <v>4.7999999999999996E-3</v>
      </c>
      <c r="I564" s="986">
        <f t="shared" si="1"/>
        <v>1.1588000000000001E-2</v>
      </c>
      <c r="J564" s="988">
        <v>26604</v>
      </c>
    </row>
    <row r="565" spans="1:10">
      <c r="A565" s="987">
        <v>39</v>
      </c>
      <c r="B565" s="988">
        <v>26634</v>
      </c>
      <c r="C565" s="987" t="s">
        <v>4641</v>
      </c>
      <c r="D565" s="987" t="s">
        <v>4642</v>
      </c>
      <c r="E565" s="987">
        <v>25.875</v>
      </c>
      <c r="F565" s="987">
        <v>-9.2105000000000006E-2</v>
      </c>
      <c r="G565" s="987">
        <v>0</v>
      </c>
      <c r="H565" s="986">
        <v>4.4999999999999997E-3</v>
      </c>
      <c r="I565" s="986">
        <f t="shared" si="1"/>
        <v>-9.660500000000001E-2</v>
      </c>
      <c r="J565" s="988">
        <v>26634</v>
      </c>
    </row>
    <row r="566" spans="1:10">
      <c r="A566" s="987">
        <v>39</v>
      </c>
      <c r="B566" s="988">
        <v>26665</v>
      </c>
      <c r="C566" s="987" t="s">
        <v>4641</v>
      </c>
      <c r="D566" s="987" t="s">
        <v>4642</v>
      </c>
      <c r="E566" s="987">
        <v>25.125</v>
      </c>
      <c r="F566" s="987">
        <v>-2.8986000000000001E-2</v>
      </c>
      <c r="G566" s="987">
        <v>0</v>
      </c>
      <c r="H566" s="986">
        <v>5.4000000000000003E-3</v>
      </c>
      <c r="I566" s="986">
        <f t="shared" si="1"/>
        <v>-3.4386E-2</v>
      </c>
      <c r="J566" s="988">
        <v>26665</v>
      </c>
    </row>
    <row r="567" spans="1:10">
      <c r="A567" s="987">
        <v>39</v>
      </c>
      <c r="B567" s="988">
        <v>26696</v>
      </c>
      <c r="C567" s="987" t="s">
        <v>4641</v>
      </c>
      <c r="D567" s="987" t="s">
        <v>4642</v>
      </c>
      <c r="E567" s="987">
        <v>23.5</v>
      </c>
      <c r="F567" s="987">
        <v>-5.1144000000000002E-2</v>
      </c>
      <c r="G567" s="987">
        <v>0.34</v>
      </c>
      <c r="H567" s="986">
        <v>5.1000000000000004E-3</v>
      </c>
      <c r="I567" s="986">
        <f t="shared" si="1"/>
        <v>-5.6244000000000002E-2</v>
      </c>
      <c r="J567" s="988">
        <v>26696</v>
      </c>
    </row>
    <row r="568" spans="1:10">
      <c r="A568" s="987">
        <v>39</v>
      </c>
      <c r="B568" s="988">
        <v>26724</v>
      </c>
      <c r="C568" s="987" t="s">
        <v>4641</v>
      </c>
      <c r="D568" s="987" t="s">
        <v>4642</v>
      </c>
      <c r="E568" s="987">
        <v>22.5</v>
      </c>
      <c r="F568" s="987">
        <v>-4.2553000000000001E-2</v>
      </c>
      <c r="G568" s="987">
        <v>0</v>
      </c>
      <c r="H568" s="986">
        <v>5.5999999999999999E-3</v>
      </c>
      <c r="I568" s="986">
        <f t="shared" si="1"/>
        <v>-4.8153000000000001E-2</v>
      </c>
      <c r="J568" s="988">
        <v>26724</v>
      </c>
    </row>
    <row r="569" spans="1:10">
      <c r="A569" s="987">
        <v>39</v>
      </c>
      <c r="B569" s="988">
        <v>26755</v>
      </c>
      <c r="C569" s="987" t="s">
        <v>4641</v>
      </c>
      <c r="D569" s="987" t="s">
        <v>4642</v>
      </c>
      <c r="E569" s="987">
        <v>21.75</v>
      </c>
      <c r="F569" s="987">
        <v>-3.3333000000000002E-2</v>
      </c>
      <c r="G569" s="987">
        <v>0</v>
      </c>
      <c r="H569" s="986">
        <v>5.7000000000000002E-3</v>
      </c>
      <c r="I569" s="986">
        <f t="shared" si="1"/>
        <v>-3.9032999999999998E-2</v>
      </c>
      <c r="J569" s="988">
        <v>26755</v>
      </c>
    </row>
    <row r="570" spans="1:10">
      <c r="A570" s="987">
        <v>39</v>
      </c>
      <c r="B570" s="988">
        <v>26785</v>
      </c>
      <c r="C570" s="987" t="s">
        <v>4641</v>
      </c>
      <c r="D570" s="987" t="s">
        <v>4642</v>
      </c>
      <c r="E570" s="987">
        <v>23.75</v>
      </c>
      <c r="F570" s="987">
        <v>0.107586</v>
      </c>
      <c r="G570" s="987">
        <v>0.34</v>
      </c>
      <c r="H570" s="986">
        <v>5.7999999999999996E-3</v>
      </c>
      <c r="I570" s="986">
        <f t="shared" si="1"/>
        <v>0.101786</v>
      </c>
      <c r="J570" s="988">
        <v>26785</v>
      </c>
    </row>
    <row r="571" spans="1:10">
      <c r="A571" s="987">
        <v>39</v>
      </c>
      <c r="B571" s="988">
        <v>26816</v>
      </c>
      <c r="C571" s="987" t="s">
        <v>4641</v>
      </c>
      <c r="D571" s="987" t="s">
        <v>4642</v>
      </c>
      <c r="E571" s="987">
        <v>23.5</v>
      </c>
      <c r="F571" s="987">
        <v>-1.0526000000000001E-2</v>
      </c>
      <c r="G571" s="987">
        <v>0</v>
      </c>
      <c r="H571" s="986">
        <v>5.4999999999999997E-3</v>
      </c>
      <c r="I571" s="986">
        <f t="shared" si="1"/>
        <v>-1.6025999999999999E-2</v>
      </c>
      <c r="J571" s="988">
        <v>26816</v>
      </c>
    </row>
    <row r="572" spans="1:10">
      <c r="A572" s="987">
        <v>39</v>
      </c>
      <c r="B572" s="988">
        <v>26846</v>
      </c>
      <c r="C572" s="987" t="s">
        <v>4641</v>
      </c>
      <c r="D572" s="987" t="s">
        <v>4642</v>
      </c>
      <c r="E572" s="987">
        <v>19.75</v>
      </c>
      <c r="F572" s="987">
        <v>-0.15957399999999999</v>
      </c>
      <c r="G572" s="987">
        <v>0</v>
      </c>
      <c r="H572" s="986">
        <v>6.1000000000000004E-3</v>
      </c>
      <c r="I572" s="986">
        <f t="shared" si="1"/>
        <v>-0.16567399999999999</v>
      </c>
      <c r="J572" s="988">
        <v>26846</v>
      </c>
    </row>
    <row r="573" spans="1:10">
      <c r="A573" s="987">
        <v>39</v>
      </c>
      <c r="B573" s="988">
        <v>26877</v>
      </c>
      <c r="C573" s="987" t="s">
        <v>4641</v>
      </c>
      <c r="D573" s="987" t="s">
        <v>4642</v>
      </c>
      <c r="E573" s="987">
        <v>19</v>
      </c>
      <c r="F573" s="987">
        <v>-2.0759E-2</v>
      </c>
      <c r="G573" s="987">
        <v>0.34</v>
      </c>
      <c r="H573" s="986">
        <v>6.1999999999999998E-3</v>
      </c>
      <c r="I573" s="986">
        <f t="shared" si="1"/>
        <v>-2.6959E-2</v>
      </c>
      <c r="J573" s="988">
        <v>26877</v>
      </c>
    </row>
    <row r="574" spans="1:10">
      <c r="A574" s="987">
        <v>39</v>
      </c>
      <c r="B574" s="988">
        <v>26908</v>
      </c>
      <c r="C574" s="987" t="s">
        <v>4641</v>
      </c>
      <c r="D574" s="987" t="s">
        <v>4642</v>
      </c>
      <c r="E574" s="987">
        <v>22</v>
      </c>
      <c r="F574" s="987">
        <v>0.15789500000000001</v>
      </c>
      <c r="G574" s="987">
        <v>0</v>
      </c>
      <c r="H574" s="986">
        <v>5.4999999999999997E-3</v>
      </c>
      <c r="I574" s="986">
        <f t="shared" ref="I574:I637" si="2">F574-H574</f>
        <v>0.152395</v>
      </c>
      <c r="J574" s="988">
        <v>26908</v>
      </c>
    </row>
    <row r="575" spans="1:10">
      <c r="A575" s="987">
        <v>39</v>
      </c>
      <c r="B575" s="988">
        <v>26938</v>
      </c>
      <c r="C575" s="987" t="s">
        <v>4641</v>
      </c>
      <c r="D575" s="987" t="s">
        <v>4642</v>
      </c>
      <c r="E575" s="987">
        <v>19.5</v>
      </c>
      <c r="F575" s="987">
        <v>-0.113636</v>
      </c>
      <c r="G575" s="987">
        <v>0</v>
      </c>
      <c r="H575" s="986">
        <v>6.3E-3</v>
      </c>
      <c r="I575" s="986">
        <f t="shared" si="2"/>
        <v>-0.119936</v>
      </c>
      <c r="J575" s="988">
        <v>26938</v>
      </c>
    </row>
    <row r="576" spans="1:10">
      <c r="A576" s="987">
        <v>39</v>
      </c>
      <c r="B576" s="988">
        <v>26969</v>
      </c>
      <c r="C576" s="987" t="s">
        <v>4641</v>
      </c>
      <c r="D576" s="987" t="s">
        <v>4642</v>
      </c>
      <c r="E576" s="987">
        <v>16.625</v>
      </c>
      <c r="F576" s="987">
        <v>-0.13</v>
      </c>
      <c r="G576" s="987">
        <v>0.34</v>
      </c>
      <c r="H576" s="986">
        <v>5.5999999999999999E-3</v>
      </c>
      <c r="I576" s="986">
        <f t="shared" si="2"/>
        <v>-0.1356</v>
      </c>
      <c r="J576" s="988">
        <v>26969</v>
      </c>
    </row>
    <row r="577" spans="1:10">
      <c r="A577" s="987">
        <v>39</v>
      </c>
      <c r="B577" s="988">
        <v>26999</v>
      </c>
      <c r="C577" s="987" t="s">
        <v>4641</v>
      </c>
      <c r="D577" s="987" t="s">
        <v>4642</v>
      </c>
      <c r="E577" s="987">
        <v>18.125</v>
      </c>
      <c r="F577" s="987">
        <v>9.0226000000000001E-2</v>
      </c>
      <c r="G577" s="987">
        <v>0</v>
      </c>
      <c r="H577" s="986">
        <v>6.0000000000000001E-3</v>
      </c>
      <c r="I577" s="986">
        <f t="shared" si="2"/>
        <v>8.4225999999999995E-2</v>
      </c>
      <c r="J577" s="988">
        <v>26999</v>
      </c>
    </row>
    <row r="578" spans="1:10">
      <c r="A578" s="987">
        <v>39</v>
      </c>
      <c r="B578" s="988">
        <v>27030</v>
      </c>
      <c r="C578" s="987" t="s">
        <v>4641</v>
      </c>
      <c r="D578" s="987" t="s">
        <v>4642</v>
      </c>
      <c r="E578" s="987">
        <v>17.125</v>
      </c>
      <c r="F578" s="987">
        <v>-5.5171999999999999E-2</v>
      </c>
      <c r="G578" s="987">
        <v>0</v>
      </c>
      <c r="H578" s="986">
        <v>6.1000000000000004E-3</v>
      </c>
      <c r="I578" s="986">
        <f t="shared" si="2"/>
        <v>-6.1272E-2</v>
      </c>
      <c r="J578" s="988">
        <v>27030</v>
      </c>
    </row>
    <row r="579" spans="1:10">
      <c r="A579" s="987">
        <v>39</v>
      </c>
      <c r="B579" s="988">
        <v>27061</v>
      </c>
      <c r="C579" s="987" t="s">
        <v>4641</v>
      </c>
      <c r="D579" s="987" t="s">
        <v>4642</v>
      </c>
      <c r="E579" s="987">
        <v>18.625</v>
      </c>
      <c r="F579" s="987">
        <v>0.107445</v>
      </c>
      <c r="G579" s="987">
        <v>0.34</v>
      </c>
      <c r="H579" s="986">
        <v>5.4999999999999997E-3</v>
      </c>
      <c r="I579" s="986">
        <f t="shared" si="2"/>
        <v>0.10194499999999999</v>
      </c>
      <c r="J579" s="988">
        <v>27061</v>
      </c>
    </row>
    <row r="580" spans="1:10">
      <c r="A580" s="987">
        <v>39</v>
      </c>
      <c r="B580" s="988">
        <v>27089</v>
      </c>
      <c r="C580" s="987" t="s">
        <v>4641</v>
      </c>
      <c r="D580" s="987" t="s">
        <v>4642</v>
      </c>
      <c r="E580" s="987">
        <v>16.75</v>
      </c>
      <c r="F580" s="987">
        <v>-0.100671</v>
      </c>
      <c r="G580" s="987">
        <v>0</v>
      </c>
      <c r="H580" s="986">
        <v>5.7999999999999996E-3</v>
      </c>
      <c r="I580" s="986">
        <f t="shared" si="2"/>
        <v>-0.106471</v>
      </c>
      <c r="J580" s="988">
        <v>27089</v>
      </c>
    </row>
    <row r="581" spans="1:10">
      <c r="A581" s="987">
        <v>39</v>
      </c>
      <c r="B581" s="988">
        <v>27120</v>
      </c>
      <c r="C581" s="987" t="s">
        <v>4641</v>
      </c>
      <c r="D581" s="987" t="s">
        <v>4642</v>
      </c>
      <c r="E581" s="987">
        <v>15.375</v>
      </c>
      <c r="F581" s="987">
        <v>-8.2089999999999996E-2</v>
      </c>
      <c r="G581" s="987">
        <v>0</v>
      </c>
      <c r="H581" s="986">
        <v>6.7999999999999996E-3</v>
      </c>
      <c r="I581" s="986">
        <f t="shared" si="2"/>
        <v>-8.8889999999999997E-2</v>
      </c>
      <c r="J581" s="988">
        <v>27120</v>
      </c>
    </row>
    <row r="582" spans="1:10">
      <c r="A582" s="987">
        <v>39</v>
      </c>
      <c r="B582" s="988">
        <v>27150</v>
      </c>
      <c r="C582" s="987" t="s">
        <v>4641</v>
      </c>
      <c r="D582" s="987" t="s">
        <v>4642</v>
      </c>
      <c r="E582" s="987">
        <v>15.25</v>
      </c>
      <c r="F582" s="987">
        <v>1.3984E-2</v>
      </c>
      <c r="G582" s="987">
        <v>0.34</v>
      </c>
      <c r="H582" s="986">
        <v>6.7999999999999996E-3</v>
      </c>
      <c r="I582" s="986">
        <f t="shared" si="2"/>
        <v>7.1840000000000003E-3</v>
      </c>
      <c r="J582" s="988">
        <v>27150</v>
      </c>
    </row>
    <row r="583" spans="1:10">
      <c r="A583" s="987">
        <v>39</v>
      </c>
      <c r="B583" s="988">
        <v>27181</v>
      </c>
      <c r="C583" s="987" t="s">
        <v>4641</v>
      </c>
      <c r="D583" s="987" t="s">
        <v>4642</v>
      </c>
      <c r="E583" s="987">
        <v>14.25</v>
      </c>
      <c r="F583" s="987">
        <v>-6.5573999999999993E-2</v>
      </c>
      <c r="G583" s="987">
        <v>0</v>
      </c>
      <c r="H583" s="986">
        <v>6.1000000000000004E-3</v>
      </c>
      <c r="I583" s="986">
        <f t="shared" si="2"/>
        <v>-7.1673999999999988E-2</v>
      </c>
      <c r="J583" s="988">
        <v>27181</v>
      </c>
    </row>
    <row r="584" spans="1:10">
      <c r="A584" s="987">
        <v>39</v>
      </c>
      <c r="B584" s="988">
        <v>27211</v>
      </c>
      <c r="C584" s="987" t="s">
        <v>4641</v>
      </c>
      <c r="D584" s="987" t="s">
        <v>4642</v>
      </c>
      <c r="E584" s="987">
        <v>15</v>
      </c>
      <c r="F584" s="987">
        <v>5.2631999999999998E-2</v>
      </c>
      <c r="G584" s="987">
        <v>0</v>
      </c>
      <c r="H584" s="986">
        <v>7.1999999999999998E-3</v>
      </c>
      <c r="I584" s="986">
        <f t="shared" si="2"/>
        <v>4.5432E-2</v>
      </c>
      <c r="J584" s="988">
        <v>27211</v>
      </c>
    </row>
    <row r="585" spans="1:10">
      <c r="A585" s="987">
        <v>39</v>
      </c>
      <c r="B585" s="988">
        <v>27242</v>
      </c>
      <c r="C585" s="987" t="s">
        <v>4641</v>
      </c>
      <c r="D585" s="987" t="s">
        <v>4642</v>
      </c>
      <c r="E585" s="987">
        <v>13</v>
      </c>
      <c r="F585" s="987">
        <v>-0.110667</v>
      </c>
      <c r="G585" s="987">
        <v>0.34</v>
      </c>
      <c r="H585" s="986">
        <v>6.4999999999999997E-3</v>
      </c>
      <c r="I585" s="986">
        <f t="shared" si="2"/>
        <v>-0.11716700000000001</v>
      </c>
      <c r="J585" s="988">
        <v>27242</v>
      </c>
    </row>
    <row r="586" spans="1:10">
      <c r="A586" s="987">
        <v>39</v>
      </c>
      <c r="B586" s="988">
        <v>27273</v>
      </c>
      <c r="C586" s="987" t="s">
        <v>4641</v>
      </c>
      <c r="D586" s="987" t="s">
        <v>4642</v>
      </c>
      <c r="E586" s="987">
        <v>11.875</v>
      </c>
      <c r="F586" s="987">
        <v>-8.6538000000000004E-2</v>
      </c>
      <c r="G586" s="987">
        <v>0</v>
      </c>
      <c r="H586" s="986">
        <v>7.1000000000000004E-3</v>
      </c>
      <c r="I586" s="986">
        <f t="shared" si="2"/>
        <v>-9.3637999999999999E-2</v>
      </c>
      <c r="J586" s="988">
        <v>27273</v>
      </c>
    </row>
    <row r="587" spans="1:10">
      <c r="A587" s="987">
        <v>39</v>
      </c>
      <c r="B587" s="988">
        <v>27303</v>
      </c>
      <c r="C587" s="987" t="s">
        <v>4641</v>
      </c>
      <c r="D587" s="987" t="s">
        <v>4642</v>
      </c>
      <c r="E587" s="987">
        <v>14.875</v>
      </c>
      <c r="F587" s="987">
        <v>0.25263200000000002</v>
      </c>
      <c r="G587" s="987">
        <v>0</v>
      </c>
      <c r="H587" s="986">
        <v>7.0000000000000001E-3</v>
      </c>
      <c r="I587" s="986">
        <f t="shared" si="2"/>
        <v>0.24563200000000002</v>
      </c>
      <c r="J587" s="988">
        <v>27303</v>
      </c>
    </row>
    <row r="588" spans="1:10">
      <c r="A588" s="987">
        <v>39</v>
      </c>
      <c r="B588" s="988">
        <v>27334</v>
      </c>
      <c r="C588" s="987" t="s">
        <v>4641</v>
      </c>
      <c r="D588" s="987" t="s">
        <v>4642</v>
      </c>
      <c r="E588" s="987">
        <v>13.75</v>
      </c>
      <c r="F588" s="987">
        <v>-5.2773E-2</v>
      </c>
      <c r="G588" s="987">
        <v>0.34</v>
      </c>
      <c r="H588" s="986">
        <v>6.1999999999999998E-3</v>
      </c>
      <c r="I588" s="986">
        <f t="shared" si="2"/>
        <v>-5.8972999999999998E-2</v>
      </c>
      <c r="J588" s="988">
        <v>27334</v>
      </c>
    </row>
    <row r="589" spans="1:10">
      <c r="A589" s="987">
        <v>39</v>
      </c>
      <c r="B589" s="988">
        <v>27364</v>
      </c>
      <c r="C589" s="987" t="s">
        <v>4641</v>
      </c>
      <c r="D589" s="987" t="s">
        <v>4642</v>
      </c>
      <c r="E589" s="987">
        <v>14.125</v>
      </c>
      <c r="F589" s="987">
        <v>2.7272999999999999E-2</v>
      </c>
      <c r="G589" s="987">
        <v>0</v>
      </c>
      <c r="H589" s="986">
        <v>6.7000000000000002E-3</v>
      </c>
      <c r="I589" s="986">
        <f t="shared" si="2"/>
        <v>2.0572999999999998E-2</v>
      </c>
      <c r="J589" s="988">
        <v>27364</v>
      </c>
    </row>
    <row r="590" spans="1:10">
      <c r="A590" s="987">
        <v>39</v>
      </c>
      <c r="B590" s="988">
        <v>27395</v>
      </c>
      <c r="C590" s="987" t="s">
        <v>4641</v>
      </c>
      <c r="D590" s="987" t="s">
        <v>4642</v>
      </c>
      <c r="E590" s="987">
        <v>16.125</v>
      </c>
      <c r="F590" s="987">
        <v>0.141593</v>
      </c>
      <c r="G590" s="987">
        <v>0</v>
      </c>
      <c r="H590" s="986">
        <v>6.7999999999999996E-3</v>
      </c>
      <c r="I590" s="986">
        <f t="shared" si="2"/>
        <v>0.134793</v>
      </c>
      <c r="J590" s="988">
        <v>27395</v>
      </c>
    </row>
    <row r="591" spans="1:10">
      <c r="A591" s="987">
        <v>39</v>
      </c>
      <c r="B591" s="988">
        <v>27426</v>
      </c>
      <c r="C591" s="987" t="s">
        <v>4641</v>
      </c>
      <c r="D591" s="987" t="s">
        <v>4642</v>
      </c>
      <c r="E591" s="987">
        <v>15.375</v>
      </c>
      <c r="F591" s="987">
        <v>-2.5426000000000001E-2</v>
      </c>
      <c r="G591" s="987">
        <v>0.34</v>
      </c>
      <c r="H591" s="986">
        <v>6.0000000000000001E-3</v>
      </c>
      <c r="I591" s="986">
        <f t="shared" si="2"/>
        <v>-3.1426000000000003E-2</v>
      </c>
      <c r="J591" s="988">
        <v>27426</v>
      </c>
    </row>
    <row r="592" spans="1:10">
      <c r="A592" s="987">
        <v>39</v>
      </c>
      <c r="B592" s="988">
        <v>27454</v>
      </c>
      <c r="C592" s="987" t="s">
        <v>4641</v>
      </c>
      <c r="D592" s="987" t="s">
        <v>4642</v>
      </c>
      <c r="E592" s="987">
        <v>14.875</v>
      </c>
      <c r="F592" s="987">
        <v>-3.252E-2</v>
      </c>
      <c r="G592" s="987">
        <v>0</v>
      </c>
      <c r="H592" s="986">
        <v>6.6E-3</v>
      </c>
      <c r="I592" s="986">
        <f t="shared" si="2"/>
        <v>-3.9120000000000002E-2</v>
      </c>
      <c r="J592" s="988">
        <v>27454</v>
      </c>
    </row>
    <row r="593" spans="1:10">
      <c r="A593" s="987">
        <v>39</v>
      </c>
      <c r="B593" s="988">
        <v>27485</v>
      </c>
      <c r="C593" s="987" t="s">
        <v>4641</v>
      </c>
      <c r="D593" s="987" t="s">
        <v>4642</v>
      </c>
      <c r="E593" s="987">
        <v>14.75</v>
      </c>
      <c r="F593" s="987">
        <v>-8.4030000000000007E-3</v>
      </c>
      <c r="G593" s="987">
        <v>0</v>
      </c>
      <c r="H593" s="986">
        <v>6.7000000000000002E-3</v>
      </c>
      <c r="I593" s="986">
        <f t="shared" si="2"/>
        <v>-1.5103000000000002E-2</v>
      </c>
      <c r="J593" s="988">
        <v>27485</v>
      </c>
    </row>
    <row r="594" spans="1:10">
      <c r="A594" s="987">
        <v>39</v>
      </c>
      <c r="B594" s="988">
        <v>27515</v>
      </c>
      <c r="C594" s="987" t="s">
        <v>4641</v>
      </c>
      <c r="D594" s="987" t="s">
        <v>4642</v>
      </c>
      <c r="E594" s="987">
        <v>15.125</v>
      </c>
      <c r="F594" s="987">
        <v>4.8474999999999997E-2</v>
      </c>
      <c r="G594" s="987">
        <v>0.34</v>
      </c>
      <c r="H594" s="986">
        <v>6.7000000000000002E-3</v>
      </c>
      <c r="I594" s="986">
        <f t="shared" si="2"/>
        <v>4.1775E-2</v>
      </c>
      <c r="J594" s="988">
        <v>27515</v>
      </c>
    </row>
    <row r="595" spans="1:10">
      <c r="A595" s="987">
        <v>39</v>
      </c>
      <c r="B595" s="988">
        <v>27546</v>
      </c>
      <c r="C595" s="987" t="s">
        <v>4641</v>
      </c>
      <c r="D595" s="987" t="s">
        <v>4642</v>
      </c>
      <c r="E595" s="987">
        <v>17.75</v>
      </c>
      <c r="F595" s="987">
        <v>0.17355400000000001</v>
      </c>
      <c r="G595" s="987">
        <v>0</v>
      </c>
      <c r="H595" s="986">
        <v>7.0000000000000001E-3</v>
      </c>
      <c r="I595" s="986">
        <f t="shared" si="2"/>
        <v>0.16655400000000001</v>
      </c>
      <c r="J595" s="988">
        <v>27546</v>
      </c>
    </row>
    <row r="596" spans="1:10">
      <c r="A596" s="987">
        <v>39</v>
      </c>
      <c r="B596" s="988">
        <v>27576</v>
      </c>
      <c r="C596" s="987" t="s">
        <v>4641</v>
      </c>
      <c r="D596" s="987" t="s">
        <v>4642</v>
      </c>
      <c r="E596" s="987">
        <v>16.625</v>
      </c>
      <c r="F596" s="987">
        <v>-6.3380000000000006E-2</v>
      </c>
      <c r="G596" s="987">
        <v>0</v>
      </c>
      <c r="H596" s="986">
        <v>6.7999999999999996E-3</v>
      </c>
      <c r="I596" s="986">
        <f t="shared" si="2"/>
        <v>-7.0180000000000006E-2</v>
      </c>
      <c r="J596" s="988">
        <v>27576</v>
      </c>
    </row>
    <row r="597" spans="1:10">
      <c r="A597" s="987">
        <v>39</v>
      </c>
      <c r="B597" s="988">
        <v>27607</v>
      </c>
      <c r="C597" s="987" t="s">
        <v>4641</v>
      </c>
      <c r="D597" s="987" t="s">
        <v>4642</v>
      </c>
      <c r="E597" s="987">
        <v>15.25</v>
      </c>
      <c r="F597" s="987">
        <v>-6.2255999999999999E-2</v>
      </c>
      <c r="G597" s="987">
        <v>0.34</v>
      </c>
      <c r="H597" s="986">
        <v>6.4999999999999997E-3</v>
      </c>
      <c r="I597" s="986">
        <f t="shared" si="2"/>
        <v>-6.8755999999999998E-2</v>
      </c>
      <c r="J597" s="988">
        <v>27607</v>
      </c>
    </row>
    <row r="598" spans="1:10">
      <c r="A598" s="987">
        <v>39</v>
      </c>
      <c r="B598" s="988">
        <v>27638</v>
      </c>
      <c r="C598" s="987" t="s">
        <v>4641</v>
      </c>
      <c r="D598" s="987" t="s">
        <v>4642</v>
      </c>
      <c r="E598" s="987">
        <v>15</v>
      </c>
      <c r="F598" s="987">
        <v>-1.6393000000000001E-2</v>
      </c>
      <c r="G598" s="987">
        <v>0</v>
      </c>
      <c r="H598" s="986">
        <v>7.3000000000000001E-3</v>
      </c>
      <c r="I598" s="986">
        <f t="shared" si="2"/>
        <v>-2.3693000000000002E-2</v>
      </c>
      <c r="J598" s="988">
        <v>27638</v>
      </c>
    </row>
    <row r="599" spans="1:10">
      <c r="A599" s="987">
        <v>39</v>
      </c>
      <c r="B599" s="988">
        <v>27668</v>
      </c>
      <c r="C599" s="987" t="s">
        <v>4641</v>
      </c>
      <c r="D599" s="987" t="s">
        <v>4642</v>
      </c>
      <c r="E599" s="987">
        <v>16.125</v>
      </c>
      <c r="F599" s="987">
        <v>7.4999999999999997E-2</v>
      </c>
      <c r="G599" s="987">
        <v>0</v>
      </c>
      <c r="H599" s="986">
        <v>7.1999999999999998E-3</v>
      </c>
      <c r="I599" s="986">
        <f t="shared" si="2"/>
        <v>6.7799999999999999E-2</v>
      </c>
      <c r="J599" s="988">
        <v>27668</v>
      </c>
    </row>
    <row r="600" spans="1:10">
      <c r="A600" s="987">
        <v>39</v>
      </c>
      <c r="B600" s="988">
        <v>27699</v>
      </c>
      <c r="C600" s="987" t="s">
        <v>4641</v>
      </c>
      <c r="D600" s="987" t="s">
        <v>4642</v>
      </c>
      <c r="E600" s="987">
        <v>17.625</v>
      </c>
      <c r="F600" s="987">
        <v>0.114109</v>
      </c>
      <c r="G600" s="987">
        <v>0.34</v>
      </c>
      <c r="H600" s="986">
        <v>6.1000000000000004E-3</v>
      </c>
      <c r="I600" s="986">
        <f t="shared" si="2"/>
        <v>0.10800900000000001</v>
      </c>
      <c r="J600" s="988">
        <v>27699</v>
      </c>
    </row>
    <row r="601" spans="1:10">
      <c r="A601" s="987">
        <v>39</v>
      </c>
      <c r="B601" s="988">
        <v>27729</v>
      </c>
      <c r="C601" s="987" t="s">
        <v>4641</v>
      </c>
      <c r="D601" s="987" t="s">
        <v>4642</v>
      </c>
      <c r="E601" s="987">
        <v>17.875</v>
      </c>
      <c r="F601" s="987">
        <v>1.4184E-2</v>
      </c>
      <c r="G601" s="987">
        <v>0</v>
      </c>
      <c r="H601" s="986">
        <v>7.4000000000000003E-3</v>
      </c>
      <c r="I601" s="986">
        <f t="shared" si="2"/>
        <v>6.7840000000000001E-3</v>
      </c>
      <c r="J601" s="988">
        <v>27729</v>
      </c>
    </row>
    <row r="602" spans="1:10">
      <c r="A602" s="987">
        <v>39</v>
      </c>
      <c r="B602" s="988">
        <v>27760</v>
      </c>
      <c r="C602" s="987" t="s">
        <v>4641</v>
      </c>
      <c r="D602" s="987" t="s">
        <v>4642</v>
      </c>
      <c r="E602" s="987">
        <v>18.625</v>
      </c>
      <c r="F602" s="987">
        <v>4.1958000000000002E-2</v>
      </c>
      <c r="G602" s="987">
        <v>0</v>
      </c>
      <c r="H602" s="986">
        <v>6.4999999999999997E-3</v>
      </c>
      <c r="I602" s="986">
        <f t="shared" si="2"/>
        <v>3.5458000000000003E-2</v>
      </c>
      <c r="J602" s="988">
        <v>27760</v>
      </c>
    </row>
    <row r="603" spans="1:10">
      <c r="A603" s="987">
        <v>39</v>
      </c>
      <c r="B603" s="988">
        <v>27791</v>
      </c>
      <c r="C603" s="987" t="s">
        <v>4641</v>
      </c>
      <c r="D603" s="987" t="s">
        <v>4642</v>
      </c>
      <c r="E603" s="987">
        <v>17.375</v>
      </c>
      <c r="F603" s="987">
        <v>-4.8321999999999997E-2</v>
      </c>
      <c r="G603" s="987">
        <v>0.35</v>
      </c>
      <c r="H603" s="986">
        <v>6.0000000000000001E-3</v>
      </c>
      <c r="I603" s="986">
        <f t="shared" si="2"/>
        <v>-5.4321999999999995E-2</v>
      </c>
      <c r="J603" s="988">
        <v>27791</v>
      </c>
    </row>
    <row r="604" spans="1:10">
      <c r="A604" s="987">
        <v>39</v>
      </c>
      <c r="B604" s="988">
        <v>27820</v>
      </c>
      <c r="C604" s="987" t="s">
        <v>4641</v>
      </c>
      <c r="D604" s="987" t="s">
        <v>4642</v>
      </c>
      <c r="E604" s="987">
        <v>18.625</v>
      </c>
      <c r="F604" s="987">
        <v>7.1942000000000006E-2</v>
      </c>
      <c r="G604" s="987">
        <v>0</v>
      </c>
      <c r="H604" s="986">
        <v>7.1000000000000004E-3</v>
      </c>
      <c r="I604" s="986">
        <f t="shared" si="2"/>
        <v>6.4842000000000011E-2</v>
      </c>
      <c r="J604" s="988">
        <v>27820</v>
      </c>
    </row>
    <row r="605" spans="1:10">
      <c r="A605" s="987">
        <v>39</v>
      </c>
      <c r="B605" s="988">
        <v>27851</v>
      </c>
      <c r="C605" s="987" t="s">
        <v>4641</v>
      </c>
      <c r="D605" s="987" t="s">
        <v>4642</v>
      </c>
      <c r="E605" s="987">
        <v>17.5</v>
      </c>
      <c r="F605" s="987">
        <v>-4.1611000000000002E-2</v>
      </c>
      <c r="G605" s="987">
        <v>0.35</v>
      </c>
      <c r="H605" s="986">
        <v>6.4000000000000003E-3</v>
      </c>
      <c r="I605" s="986">
        <f t="shared" si="2"/>
        <v>-4.8011000000000005E-2</v>
      </c>
      <c r="J605" s="988">
        <v>27851</v>
      </c>
    </row>
    <row r="606" spans="1:10">
      <c r="A606" s="987">
        <v>39</v>
      </c>
      <c r="B606" s="988">
        <v>27881</v>
      </c>
      <c r="C606" s="987" t="s">
        <v>4641</v>
      </c>
      <c r="D606" s="987" t="s">
        <v>4642</v>
      </c>
      <c r="E606" s="987">
        <v>16.25</v>
      </c>
      <c r="F606" s="987">
        <v>-7.1429000000000006E-2</v>
      </c>
      <c r="G606" s="987">
        <v>0</v>
      </c>
      <c r="H606" s="986">
        <v>5.8999999999999999E-3</v>
      </c>
      <c r="I606" s="986">
        <f t="shared" si="2"/>
        <v>-7.7329000000000009E-2</v>
      </c>
      <c r="J606" s="988">
        <v>27881</v>
      </c>
    </row>
    <row r="607" spans="1:10">
      <c r="A607" s="987">
        <v>39</v>
      </c>
      <c r="B607" s="988">
        <v>27912</v>
      </c>
      <c r="C607" s="987" t="s">
        <v>4641</v>
      </c>
      <c r="D607" s="987" t="s">
        <v>4642</v>
      </c>
      <c r="E607" s="987">
        <v>17.625</v>
      </c>
      <c r="F607" s="987">
        <v>8.4614999999999996E-2</v>
      </c>
      <c r="G607" s="987">
        <v>0</v>
      </c>
      <c r="H607" s="986">
        <v>7.3000000000000001E-3</v>
      </c>
      <c r="I607" s="986">
        <f t="shared" si="2"/>
        <v>7.7314999999999995E-2</v>
      </c>
      <c r="J607" s="988">
        <v>27912</v>
      </c>
    </row>
    <row r="608" spans="1:10">
      <c r="A608" s="987">
        <v>39</v>
      </c>
      <c r="B608" s="988">
        <v>27942</v>
      </c>
      <c r="C608" s="987" t="s">
        <v>4641</v>
      </c>
      <c r="D608" s="987" t="s">
        <v>4642</v>
      </c>
      <c r="E608" s="987">
        <v>17.75</v>
      </c>
      <c r="F608" s="987">
        <v>2.6950000000000002E-2</v>
      </c>
      <c r="G608" s="987">
        <v>0.35</v>
      </c>
      <c r="H608" s="986">
        <v>6.4999999999999997E-3</v>
      </c>
      <c r="I608" s="986">
        <f t="shared" si="2"/>
        <v>2.0450000000000003E-2</v>
      </c>
      <c r="J608" s="988">
        <v>27942</v>
      </c>
    </row>
    <row r="609" spans="1:10">
      <c r="A609" s="987">
        <v>39</v>
      </c>
      <c r="B609" s="988">
        <v>27973</v>
      </c>
      <c r="C609" s="987" t="s">
        <v>4641</v>
      </c>
      <c r="D609" s="987" t="s">
        <v>4642</v>
      </c>
      <c r="E609" s="987">
        <v>17.625</v>
      </c>
      <c r="F609" s="987">
        <v>-7.0419999999999996E-3</v>
      </c>
      <c r="G609" s="987">
        <v>0</v>
      </c>
      <c r="H609" s="986">
        <v>6.8999999999999999E-3</v>
      </c>
      <c r="I609" s="986">
        <f t="shared" si="2"/>
        <v>-1.3942E-2</v>
      </c>
      <c r="J609" s="988">
        <v>27973</v>
      </c>
    </row>
    <row r="610" spans="1:10">
      <c r="A610" s="987">
        <v>39</v>
      </c>
      <c r="B610" s="988">
        <v>28004</v>
      </c>
      <c r="C610" s="987" t="s">
        <v>4641</v>
      </c>
      <c r="D610" s="987" t="s">
        <v>4642</v>
      </c>
      <c r="E610" s="987">
        <v>19.625</v>
      </c>
      <c r="F610" s="987">
        <v>0.11347500000000001</v>
      </c>
      <c r="G610" s="987">
        <v>0</v>
      </c>
      <c r="H610" s="986">
        <v>6.4000000000000003E-3</v>
      </c>
      <c r="I610" s="986">
        <f t="shared" si="2"/>
        <v>0.107075</v>
      </c>
      <c r="J610" s="988">
        <v>28004</v>
      </c>
    </row>
    <row r="611" spans="1:10">
      <c r="A611" s="987">
        <v>39</v>
      </c>
      <c r="B611" s="988">
        <v>28034</v>
      </c>
      <c r="C611" s="987" t="s">
        <v>4641</v>
      </c>
      <c r="D611" s="987" t="s">
        <v>4642</v>
      </c>
      <c r="E611" s="987">
        <v>18.375</v>
      </c>
      <c r="F611" s="987">
        <v>-4.5859999999999998E-2</v>
      </c>
      <c r="G611" s="987">
        <v>0.35</v>
      </c>
      <c r="H611" s="986">
        <v>6.1000000000000004E-3</v>
      </c>
      <c r="I611" s="986">
        <f t="shared" si="2"/>
        <v>-5.1959999999999999E-2</v>
      </c>
      <c r="J611" s="988">
        <v>28034</v>
      </c>
    </row>
    <row r="612" spans="1:10">
      <c r="A612" s="987">
        <v>39</v>
      </c>
      <c r="B612" s="988">
        <v>28065</v>
      </c>
      <c r="C612" s="987" t="s">
        <v>4641</v>
      </c>
      <c r="D612" s="987" t="s">
        <v>4642</v>
      </c>
      <c r="E612" s="987">
        <v>19.25</v>
      </c>
      <c r="F612" s="987">
        <v>4.7619000000000002E-2</v>
      </c>
      <c r="G612" s="987">
        <v>0</v>
      </c>
      <c r="H612" s="986">
        <v>6.6E-3</v>
      </c>
      <c r="I612" s="986">
        <f t="shared" si="2"/>
        <v>4.1019E-2</v>
      </c>
      <c r="J612" s="988">
        <v>28065</v>
      </c>
    </row>
    <row r="613" spans="1:10">
      <c r="A613" s="987">
        <v>39</v>
      </c>
      <c r="B613" s="988">
        <v>28095</v>
      </c>
      <c r="C613" s="987" t="s">
        <v>4641</v>
      </c>
      <c r="D613" s="987" t="s">
        <v>4642</v>
      </c>
      <c r="E613" s="987">
        <v>19.875</v>
      </c>
      <c r="F613" s="987">
        <v>3.2467999999999997E-2</v>
      </c>
      <c r="G613" s="987">
        <v>0</v>
      </c>
      <c r="H613" s="986">
        <v>6.3E-3</v>
      </c>
      <c r="I613" s="986">
        <f t="shared" si="2"/>
        <v>2.6167999999999997E-2</v>
      </c>
      <c r="J613" s="988">
        <v>28095</v>
      </c>
    </row>
    <row r="614" spans="1:10">
      <c r="A614" s="987">
        <v>39</v>
      </c>
      <c r="B614" s="988">
        <v>28126</v>
      </c>
      <c r="C614" s="987" t="s">
        <v>4641</v>
      </c>
      <c r="D614" s="987" t="s">
        <v>4642</v>
      </c>
      <c r="E614" s="987">
        <v>19.625</v>
      </c>
      <c r="F614" s="987">
        <v>5.535E-3</v>
      </c>
      <c r="G614" s="987">
        <v>0.36</v>
      </c>
      <c r="H614" s="986">
        <v>5.8999999999999999E-3</v>
      </c>
      <c r="I614" s="986">
        <f t="shared" si="2"/>
        <v>-3.6499999999999987E-4</v>
      </c>
      <c r="J614" s="988">
        <v>28126</v>
      </c>
    </row>
    <row r="615" spans="1:10">
      <c r="A615" s="987">
        <v>39</v>
      </c>
      <c r="B615" s="988">
        <v>28157</v>
      </c>
      <c r="C615" s="987" t="s">
        <v>4641</v>
      </c>
      <c r="D615" s="987" t="s">
        <v>4642</v>
      </c>
      <c r="E615" s="987">
        <v>18.5</v>
      </c>
      <c r="F615" s="987">
        <v>-5.7325000000000001E-2</v>
      </c>
      <c r="G615" s="987">
        <v>0</v>
      </c>
      <c r="H615" s="986">
        <v>5.7000000000000002E-3</v>
      </c>
      <c r="I615" s="986">
        <f t="shared" si="2"/>
        <v>-6.3024999999999998E-2</v>
      </c>
      <c r="J615" s="988">
        <v>28157</v>
      </c>
    </row>
    <row r="616" spans="1:10">
      <c r="A616" s="987">
        <v>39</v>
      </c>
      <c r="B616" s="988">
        <v>28185</v>
      </c>
      <c r="C616" s="987" t="s">
        <v>4641</v>
      </c>
      <c r="D616" s="987" t="s">
        <v>4642</v>
      </c>
      <c r="E616" s="987">
        <v>17.5</v>
      </c>
      <c r="F616" s="987">
        <v>-5.4053999999999998E-2</v>
      </c>
      <c r="G616" s="987">
        <v>0</v>
      </c>
      <c r="H616" s="986">
        <v>6.4999999999999997E-3</v>
      </c>
      <c r="I616" s="986">
        <f t="shared" si="2"/>
        <v>-6.0553999999999997E-2</v>
      </c>
      <c r="J616" s="988">
        <v>28185</v>
      </c>
    </row>
    <row r="617" spans="1:10">
      <c r="A617" s="987">
        <v>39</v>
      </c>
      <c r="B617" s="988">
        <v>28216</v>
      </c>
      <c r="C617" s="987" t="s">
        <v>4641</v>
      </c>
      <c r="D617" s="987" t="s">
        <v>4642</v>
      </c>
      <c r="E617" s="987">
        <v>19.125</v>
      </c>
      <c r="F617" s="987">
        <v>0.113429</v>
      </c>
      <c r="G617" s="987">
        <v>0.36</v>
      </c>
      <c r="H617" s="986">
        <v>6.1000000000000004E-3</v>
      </c>
      <c r="I617" s="986">
        <f t="shared" si="2"/>
        <v>0.10732900000000001</v>
      </c>
      <c r="J617" s="988">
        <v>28216</v>
      </c>
    </row>
    <row r="618" spans="1:10">
      <c r="A618" s="987">
        <v>39</v>
      </c>
      <c r="B618" s="988">
        <v>28246</v>
      </c>
      <c r="C618" s="987" t="s">
        <v>4641</v>
      </c>
      <c r="D618" s="987" t="s">
        <v>4642</v>
      </c>
      <c r="E618" s="987">
        <v>19.125</v>
      </c>
      <c r="F618" s="987">
        <v>0</v>
      </c>
      <c r="G618" s="987">
        <v>0</v>
      </c>
      <c r="H618" s="986">
        <v>6.7000000000000002E-3</v>
      </c>
      <c r="I618" s="986">
        <f t="shared" si="2"/>
        <v>-6.7000000000000002E-3</v>
      </c>
      <c r="J618" s="988">
        <v>28246</v>
      </c>
    </row>
    <row r="619" spans="1:10">
      <c r="A619" s="987">
        <v>39</v>
      </c>
      <c r="B619" s="988">
        <v>28277</v>
      </c>
      <c r="C619" s="987" t="s">
        <v>4641</v>
      </c>
      <c r="D619" s="987" t="s">
        <v>4642</v>
      </c>
      <c r="E619" s="987">
        <v>20</v>
      </c>
      <c r="F619" s="987">
        <v>4.5752000000000001E-2</v>
      </c>
      <c r="G619" s="987">
        <v>0</v>
      </c>
      <c r="H619" s="986">
        <v>6.1999999999999998E-3</v>
      </c>
      <c r="I619" s="986">
        <f t="shared" si="2"/>
        <v>3.9552000000000004E-2</v>
      </c>
      <c r="J619" s="988">
        <v>28277</v>
      </c>
    </row>
    <row r="620" spans="1:10">
      <c r="A620" s="987">
        <v>39</v>
      </c>
      <c r="B620" s="988">
        <v>28307</v>
      </c>
      <c r="C620" s="987" t="s">
        <v>4641</v>
      </c>
      <c r="D620" s="987" t="s">
        <v>4642</v>
      </c>
      <c r="E620" s="987">
        <v>19.625</v>
      </c>
      <c r="F620" s="987">
        <v>-7.5000000000000002E-4</v>
      </c>
      <c r="G620" s="987">
        <v>0.36</v>
      </c>
      <c r="H620" s="986">
        <v>5.8999999999999999E-3</v>
      </c>
      <c r="I620" s="986">
        <f t="shared" si="2"/>
        <v>-6.6499999999999997E-3</v>
      </c>
      <c r="J620" s="988">
        <v>28307</v>
      </c>
    </row>
    <row r="621" spans="1:10">
      <c r="A621" s="987">
        <v>39</v>
      </c>
      <c r="B621" s="988">
        <v>28338</v>
      </c>
      <c r="C621" s="987" t="s">
        <v>4641</v>
      </c>
      <c r="D621" s="987" t="s">
        <v>4642</v>
      </c>
      <c r="E621" s="987">
        <v>19.375</v>
      </c>
      <c r="F621" s="987">
        <v>-1.2739E-2</v>
      </c>
      <c r="G621" s="987">
        <v>0</v>
      </c>
      <c r="H621" s="986">
        <v>6.7000000000000002E-3</v>
      </c>
      <c r="I621" s="986">
        <f t="shared" si="2"/>
        <v>-1.9439000000000001E-2</v>
      </c>
      <c r="J621" s="988">
        <v>28338</v>
      </c>
    </row>
    <row r="622" spans="1:10">
      <c r="A622" s="987">
        <v>39</v>
      </c>
      <c r="B622" s="988">
        <v>28369</v>
      </c>
      <c r="C622" s="987" t="s">
        <v>4641</v>
      </c>
      <c r="D622" s="987" t="s">
        <v>4642</v>
      </c>
      <c r="E622" s="987">
        <v>19.125</v>
      </c>
      <c r="F622" s="987">
        <v>-1.2903E-2</v>
      </c>
      <c r="G622" s="987">
        <v>0</v>
      </c>
      <c r="H622" s="986">
        <v>6.1000000000000004E-3</v>
      </c>
      <c r="I622" s="986">
        <f t="shared" si="2"/>
        <v>-1.9002999999999999E-2</v>
      </c>
      <c r="J622" s="988">
        <v>28369</v>
      </c>
    </row>
    <row r="623" spans="1:10">
      <c r="A623" s="987">
        <v>39</v>
      </c>
      <c r="B623" s="988">
        <v>28399</v>
      </c>
      <c r="C623" s="987" t="s">
        <v>4641</v>
      </c>
      <c r="D623" s="987" t="s">
        <v>4642</v>
      </c>
      <c r="E623" s="987">
        <v>17.5</v>
      </c>
      <c r="F623" s="987">
        <v>-6.6143999999999994E-2</v>
      </c>
      <c r="G623" s="987">
        <v>0.36</v>
      </c>
      <c r="H623" s="986">
        <v>6.3E-3</v>
      </c>
      <c r="I623" s="986">
        <f t="shared" si="2"/>
        <v>-7.2443999999999995E-2</v>
      </c>
      <c r="J623" s="988">
        <v>28399</v>
      </c>
    </row>
    <row r="624" spans="1:10">
      <c r="A624" s="987">
        <v>39</v>
      </c>
      <c r="B624" s="988">
        <v>28430</v>
      </c>
      <c r="C624" s="987" t="s">
        <v>4641</v>
      </c>
      <c r="D624" s="987" t="s">
        <v>4642</v>
      </c>
      <c r="E624" s="987">
        <v>18.75</v>
      </c>
      <c r="F624" s="987">
        <v>7.1429000000000006E-2</v>
      </c>
      <c r="G624" s="987">
        <v>0</v>
      </c>
      <c r="H624" s="986">
        <v>6.3E-3</v>
      </c>
      <c r="I624" s="986">
        <f t="shared" si="2"/>
        <v>6.5129000000000006E-2</v>
      </c>
      <c r="J624" s="988">
        <v>28430</v>
      </c>
    </row>
    <row r="625" spans="1:10">
      <c r="A625" s="987">
        <v>39</v>
      </c>
      <c r="B625" s="988">
        <v>28460</v>
      </c>
      <c r="C625" s="987" t="s">
        <v>4641</v>
      </c>
      <c r="D625" s="987" t="s">
        <v>4642</v>
      </c>
      <c r="E625" s="987">
        <v>19.125</v>
      </c>
      <c r="F625" s="987">
        <v>0.02</v>
      </c>
      <c r="G625" s="987">
        <v>0</v>
      </c>
      <c r="H625" s="986">
        <v>6.1999999999999998E-3</v>
      </c>
      <c r="I625" s="986">
        <f t="shared" si="2"/>
        <v>1.38E-2</v>
      </c>
      <c r="J625" s="988">
        <v>28460</v>
      </c>
    </row>
    <row r="626" spans="1:10">
      <c r="A626" s="987">
        <v>39</v>
      </c>
      <c r="B626" s="988">
        <v>28491</v>
      </c>
      <c r="C626" s="987" t="s">
        <v>4641</v>
      </c>
      <c r="D626" s="987" t="s">
        <v>4642</v>
      </c>
      <c r="E626" s="987">
        <v>17.875</v>
      </c>
      <c r="F626" s="987">
        <v>-4.5752000000000001E-2</v>
      </c>
      <c r="G626" s="987">
        <v>0.375</v>
      </c>
      <c r="H626" s="986">
        <v>6.8999999999999999E-3</v>
      </c>
      <c r="I626" s="986">
        <f t="shared" si="2"/>
        <v>-5.2652000000000004E-2</v>
      </c>
      <c r="J626" s="988">
        <v>28491</v>
      </c>
    </row>
    <row r="627" spans="1:10">
      <c r="A627" s="987">
        <v>39</v>
      </c>
      <c r="B627" s="988">
        <v>28522</v>
      </c>
      <c r="C627" s="987" t="s">
        <v>4641</v>
      </c>
      <c r="D627" s="987" t="s">
        <v>4642</v>
      </c>
      <c r="E627" s="987">
        <v>17.875</v>
      </c>
      <c r="F627" s="987">
        <v>0</v>
      </c>
      <c r="G627" s="987">
        <v>0</v>
      </c>
      <c r="H627" s="986">
        <v>6.0000000000000001E-3</v>
      </c>
      <c r="I627" s="986">
        <f t="shared" si="2"/>
        <v>-6.0000000000000001E-3</v>
      </c>
      <c r="J627" s="988">
        <v>28522</v>
      </c>
    </row>
    <row r="628" spans="1:10">
      <c r="A628" s="987">
        <v>39</v>
      </c>
      <c r="B628" s="988">
        <v>28550</v>
      </c>
      <c r="C628" s="987" t="s">
        <v>4641</v>
      </c>
      <c r="D628" s="987" t="s">
        <v>4642</v>
      </c>
      <c r="E628" s="987">
        <v>17.75</v>
      </c>
      <c r="F628" s="987">
        <v>-6.9930000000000001E-3</v>
      </c>
      <c r="G628" s="987">
        <v>0</v>
      </c>
      <c r="H628" s="986">
        <v>6.8999999999999999E-3</v>
      </c>
      <c r="I628" s="986">
        <f t="shared" si="2"/>
        <v>-1.3892999999999999E-2</v>
      </c>
      <c r="J628" s="988">
        <v>28550</v>
      </c>
    </row>
    <row r="629" spans="1:10">
      <c r="A629" s="987">
        <v>39</v>
      </c>
      <c r="B629" s="988">
        <v>28581</v>
      </c>
      <c r="C629" s="987" t="s">
        <v>4641</v>
      </c>
      <c r="D629" s="987" t="s">
        <v>4642</v>
      </c>
      <c r="E629" s="987">
        <v>17.125</v>
      </c>
      <c r="F629" s="987">
        <v>-1.4085E-2</v>
      </c>
      <c r="G629" s="987">
        <v>0.375</v>
      </c>
      <c r="H629" s="986">
        <v>6.3E-3</v>
      </c>
      <c r="I629" s="986">
        <f t="shared" si="2"/>
        <v>-2.0385E-2</v>
      </c>
      <c r="J629" s="988">
        <v>28581</v>
      </c>
    </row>
    <row r="630" spans="1:10">
      <c r="A630" s="987">
        <v>39</v>
      </c>
      <c r="B630" s="988">
        <v>28611</v>
      </c>
      <c r="C630" s="987" t="s">
        <v>4641</v>
      </c>
      <c r="D630" s="987" t="s">
        <v>4642</v>
      </c>
      <c r="E630" s="987">
        <v>17.25</v>
      </c>
      <c r="F630" s="987">
        <v>7.2989999999999999E-3</v>
      </c>
      <c r="G630" s="987">
        <v>0</v>
      </c>
      <c r="H630" s="986">
        <v>7.4999999999999997E-3</v>
      </c>
      <c r="I630" s="986">
        <f t="shared" si="2"/>
        <v>-2.0099999999999979E-4</v>
      </c>
      <c r="J630" s="988">
        <v>28611</v>
      </c>
    </row>
    <row r="631" spans="1:10">
      <c r="A631" s="987">
        <v>39</v>
      </c>
      <c r="B631" s="988">
        <v>28642</v>
      </c>
      <c r="C631" s="987" t="s">
        <v>4641</v>
      </c>
      <c r="D631" s="987" t="s">
        <v>4642</v>
      </c>
      <c r="E631" s="987">
        <v>18.25</v>
      </c>
      <c r="F631" s="987">
        <v>5.7971000000000002E-2</v>
      </c>
      <c r="G631" s="987">
        <v>0</v>
      </c>
      <c r="H631" s="986">
        <v>6.8999999999999999E-3</v>
      </c>
      <c r="I631" s="986">
        <f t="shared" si="2"/>
        <v>5.1071000000000005E-2</v>
      </c>
      <c r="J631" s="988">
        <v>28642</v>
      </c>
    </row>
    <row r="632" spans="1:10">
      <c r="A632" s="987">
        <v>39</v>
      </c>
      <c r="B632" s="988">
        <v>28672</v>
      </c>
      <c r="C632" s="987" t="s">
        <v>4641</v>
      </c>
      <c r="D632" s="987" t="s">
        <v>4642</v>
      </c>
      <c r="E632" s="987">
        <v>17.625</v>
      </c>
      <c r="F632" s="987">
        <v>-1.3698999999999999E-2</v>
      </c>
      <c r="G632" s="987">
        <v>0.375</v>
      </c>
      <c r="H632" s="986">
        <v>7.3000000000000001E-3</v>
      </c>
      <c r="I632" s="986">
        <f t="shared" si="2"/>
        <v>-2.0999E-2</v>
      </c>
      <c r="J632" s="988">
        <v>28672</v>
      </c>
    </row>
    <row r="633" spans="1:10">
      <c r="A633" s="987">
        <v>39</v>
      </c>
      <c r="B633" s="988">
        <v>28703</v>
      </c>
      <c r="C633" s="987" t="s">
        <v>4641</v>
      </c>
      <c r="D633" s="987" t="s">
        <v>4642</v>
      </c>
      <c r="E633" s="987">
        <v>17.375</v>
      </c>
      <c r="F633" s="987">
        <v>-1.4184E-2</v>
      </c>
      <c r="G633" s="987">
        <v>0</v>
      </c>
      <c r="H633" s="986">
        <v>7.0000000000000001E-3</v>
      </c>
      <c r="I633" s="986">
        <f t="shared" si="2"/>
        <v>-2.1184000000000001E-2</v>
      </c>
      <c r="J633" s="988">
        <v>28703</v>
      </c>
    </row>
    <row r="634" spans="1:10">
      <c r="A634" s="987">
        <v>39</v>
      </c>
      <c r="B634" s="988">
        <v>28734</v>
      </c>
      <c r="C634" s="987" t="s">
        <v>4641</v>
      </c>
      <c r="D634" s="987" t="s">
        <v>4642</v>
      </c>
      <c r="E634" s="987">
        <v>17.125</v>
      </c>
      <c r="F634" s="987">
        <v>-1.4388E-2</v>
      </c>
      <c r="G634" s="987">
        <v>0</v>
      </c>
      <c r="H634" s="986">
        <v>6.4999999999999997E-3</v>
      </c>
      <c r="I634" s="986">
        <f t="shared" si="2"/>
        <v>-2.0888E-2</v>
      </c>
      <c r="J634" s="988">
        <v>28734</v>
      </c>
    </row>
    <row r="635" spans="1:10">
      <c r="A635" s="987">
        <v>39</v>
      </c>
      <c r="B635" s="988">
        <v>28764</v>
      </c>
      <c r="C635" s="987" t="s">
        <v>4641</v>
      </c>
      <c r="D635" s="987" t="s">
        <v>4642</v>
      </c>
      <c r="E635" s="987">
        <v>15.5</v>
      </c>
      <c r="F635" s="987">
        <v>-7.2993000000000002E-2</v>
      </c>
      <c r="G635" s="987">
        <v>0.375</v>
      </c>
      <c r="H635" s="986">
        <v>7.3000000000000001E-3</v>
      </c>
      <c r="I635" s="986">
        <f t="shared" si="2"/>
        <v>-8.0293000000000003E-2</v>
      </c>
      <c r="J635" s="988">
        <v>28764</v>
      </c>
    </row>
    <row r="636" spans="1:10">
      <c r="A636" s="987">
        <v>39</v>
      </c>
      <c r="B636" s="988">
        <v>28795</v>
      </c>
      <c r="C636" s="987" t="s">
        <v>4641</v>
      </c>
      <c r="D636" s="987" t="s">
        <v>4642</v>
      </c>
      <c r="E636" s="987">
        <v>15.5</v>
      </c>
      <c r="F636" s="987">
        <v>0</v>
      </c>
      <c r="G636" s="987">
        <v>0</v>
      </c>
      <c r="H636" s="986">
        <v>7.1000000000000004E-3</v>
      </c>
      <c r="I636" s="986">
        <f t="shared" si="2"/>
        <v>-7.1000000000000004E-3</v>
      </c>
      <c r="J636" s="988">
        <v>28795</v>
      </c>
    </row>
    <row r="637" spans="1:10">
      <c r="A637" s="987">
        <v>39</v>
      </c>
      <c r="B637" s="988">
        <v>28825</v>
      </c>
      <c r="C637" s="987" t="s">
        <v>4641</v>
      </c>
      <c r="D637" s="987" t="s">
        <v>4642</v>
      </c>
      <c r="E637" s="987">
        <v>15.75</v>
      </c>
      <c r="F637" s="987">
        <v>1.6129000000000001E-2</v>
      </c>
      <c r="G637" s="987">
        <v>0</v>
      </c>
      <c r="H637" s="986">
        <v>6.7999999999999996E-3</v>
      </c>
      <c r="I637" s="986">
        <f t="shared" si="2"/>
        <v>9.3290000000000005E-3</v>
      </c>
      <c r="J637" s="988">
        <v>28825</v>
      </c>
    </row>
    <row r="638" spans="1:10">
      <c r="A638" s="987">
        <v>39</v>
      </c>
      <c r="B638" s="988">
        <v>28856</v>
      </c>
      <c r="C638" s="987" t="s">
        <v>4641</v>
      </c>
      <c r="D638" s="987" t="s">
        <v>4642</v>
      </c>
      <c r="E638" s="987">
        <v>16.25</v>
      </c>
      <c r="F638" s="987">
        <v>5.5556000000000001E-2</v>
      </c>
      <c r="G638" s="987">
        <v>0.375</v>
      </c>
      <c r="H638" s="986">
        <v>7.9000000000000008E-3</v>
      </c>
      <c r="I638" s="986">
        <f t="shared" ref="I638:I701" si="3">F638-H638</f>
        <v>4.7656000000000004E-2</v>
      </c>
      <c r="J638" s="988">
        <v>28856</v>
      </c>
    </row>
    <row r="639" spans="1:10">
      <c r="A639" s="987">
        <v>39</v>
      </c>
      <c r="B639" s="988">
        <v>28887</v>
      </c>
      <c r="C639" s="987" t="s">
        <v>4641</v>
      </c>
      <c r="D639" s="987" t="s">
        <v>4642</v>
      </c>
      <c r="E639" s="987">
        <v>15.375</v>
      </c>
      <c r="F639" s="987">
        <v>-5.3845999999999998E-2</v>
      </c>
      <c r="G639" s="987">
        <v>0</v>
      </c>
      <c r="H639" s="986">
        <v>6.4999999999999997E-3</v>
      </c>
      <c r="I639" s="986">
        <f t="shared" si="3"/>
        <v>-6.0345999999999997E-2</v>
      </c>
      <c r="J639" s="988">
        <v>28887</v>
      </c>
    </row>
    <row r="640" spans="1:10">
      <c r="A640" s="987">
        <v>39</v>
      </c>
      <c r="B640" s="988">
        <v>28915</v>
      </c>
      <c r="C640" s="987" t="s">
        <v>4641</v>
      </c>
      <c r="D640" s="987" t="s">
        <v>4642</v>
      </c>
      <c r="E640" s="987">
        <v>16.125</v>
      </c>
      <c r="F640" s="987">
        <v>4.8779999999999997E-2</v>
      </c>
      <c r="G640" s="987">
        <v>0</v>
      </c>
      <c r="H640" s="986">
        <v>7.4000000000000003E-3</v>
      </c>
      <c r="I640" s="986">
        <f t="shared" si="3"/>
        <v>4.138E-2</v>
      </c>
      <c r="J640" s="988">
        <v>28915</v>
      </c>
    </row>
    <row r="641" spans="1:10">
      <c r="A641" s="987">
        <v>39</v>
      </c>
      <c r="B641" s="988">
        <v>28946</v>
      </c>
      <c r="C641" s="987" t="s">
        <v>4641</v>
      </c>
      <c r="D641" s="987" t="s">
        <v>4642</v>
      </c>
      <c r="E641" s="987">
        <v>15.25</v>
      </c>
      <c r="F641" s="987">
        <v>-3.1008000000000001E-2</v>
      </c>
      <c r="G641" s="987">
        <v>0.375</v>
      </c>
      <c r="H641" s="986">
        <v>7.6E-3</v>
      </c>
      <c r="I641" s="986">
        <f t="shared" si="3"/>
        <v>-3.8608000000000003E-2</v>
      </c>
      <c r="J641" s="988">
        <v>28946</v>
      </c>
    </row>
    <row r="642" spans="1:10">
      <c r="A642" s="987">
        <v>39</v>
      </c>
      <c r="B642" s="988">
        <v>28976</v>
      </c>
      <c r="C642" s="987" t="s">
        <v>4641</v>
      </c>
      <c r="D642" s="987" t="s">
        <v>4642</v>
      </c>
      <c r="E642" s="987">
        <v>15</v>
      </c>
      <c r="F642" s="987">
        <v>-1.6393000000000001E-2</v>
      </c>
      <c r="G642" s="987">
        <v>0</v>
      </c>
      <c r="H642" s="986">
        <v>7.7000000000000002E-3</v>
      </c>
      <c r="I642" s="986">
        <f t="shared" si="3"/>
        <v>-2.4093000000000003E-2</v>
      </c>
      <c r="J642" s="988">
        <v>28976</v>
      </c>
    </row>
    <row r="643" spans="1:10">
      <c r="A643" s="987">
        <v>39</v>
      </c>
      <c r="B643" s="988">
        <v>29007</v>
      </c>
      <c r="C643" s="987" t="s">
        <v>4641</v>
      </c>
      <c r="D643" s="987" t="s">
        <v>4642</v>
      </c>
      <c r="E643" s="987">
        <v>15.625</v>
      </c>
      <c r="F643" s="987">
        <v>4.1667000000000003E-2</v>
      </c>
      <c r="G643" s="987">
        <v>0</v>
      </c>
      <c r="H643" s="986">
        <v>7.1000000000000004E-3</v>
      </c>
      <c r="I643" s="986">
        <f t="shared" si="3"/>
        <v>3.4567000000000001E-2</v>
      </c>
      <c r="J643" s="988">
        <v>29007</v>
      </c>
    </row>
    <row r="644" spans="1:10">
      <c r="A644" s="987">
        <v>39</v>
      </c>
      <c r="B644" s="988">
        <v>29037</v>
      </c>
      <c r="C644" s="987" t="s">
        <v>4641</v>
      </c>
      <c r="D644" s="987" t="s">
        <v>4642</v>
      </c>
      <c r="E644" s="987">
        <v>15.625</v>
      </c>
      <c r="F644" s="987">
        <v>2.4E-2</v>
      </c>
      <c r="G644" s="987">
        <v>0.375</v>
      </c>
      <c r="H644" s="986">
        <v>7.6E-3</v>
      </c>
      <c r="I644" s="986">
        <f t="shared" si="3"/>
        <v>1.6400000000000001E-2</v>
      </c>
      <c r="J644" s="988">
        <v>29037</v>
      </c>
    </row>
    <row r="645" spans="1:10">
      <c r="A645" s="987">
        <v>39</v>
      </c>
      <c r="B645" s="988">
        <v>29068</v>
      </c>
      <c r="C645" s="987" t="s">
        <v>4641</v>
      </c>
      <c r="D645" s="987" t="s">
        <v>4642</v>
      </c>
      <c r="E645" s="987">
        <v>16.125</v>
      </c>
      <c r="F645" s="987">
        <v>3.2000000000000001E-2</v>
      </c>
      <c r="G645" s="987">
        <v>0</v>
      </c>
      <c r="H645" s="986">
        <v>7.3000000000000001E-3</v>
      </c>
      <c r="I645" s="986">
        <f t="shared" si="3"/>
        <v>2.47E-2</v>
      </c>
      <c r="J645" s="988">
        <v>29068</v>
      </c>
    </row>
    <row r="646" spans="1:10">
      <c r="A646" s="987">
        <v>39</v>
      </c>
      <c r="B646" s="988">
        <v>29099</v>
      </c>
      <c r="C646" s="987" t="s">
        <v>4641</v>
      </c>
      <c r="D646" s="987" t="s">
        <v>4642</v>
      </c>
      <c r="E646" s="987">
        <v>15.25</v>
      </c>
      <c r="F646" s="987">
        <v>-5.4264E-2</v>
      </c>
      <c r="G646" s="987">
        <v>0</v>
      </c>
      <c r="H646" s="986">
        <v>6.7999999999999996E-3</v>
      </c>
      <c r="I646" s="986">
        <f t="shared" si="3"/>
        <v>-6.1064E-2</v>
      </c>
      <c r="J646" s="988">
        <v>29099</v>
      </c>
    </row>
    <row r="647" spans="1:10">
      <c r="A647" s="987">
        <v>39</v>
      </c>
      <c r="B647" s="988">
        <v>29129</v>
      </c>
      <c r="C647" s="987" t="s">
        <v>4641</v>
      </c>
      <c r="D647" s="987" t="s">
        <v>4642</v>
      </c>
      <c r="E647" s="987">
        <v>13.25</v>
      </c>
      <c r="F647" s="987">
        <v>-0.106557</v>
      </c>
      <c r="G647" s="987">
        <v>0.375</v>
      </c>
      <c r="H647" s="986">
        <v>8.2000000000000007E-3</v>
      </c>
      <c r="I647" s="986">
        <f t="shared" si="3"/>
        <v>-0.114757</v>
      </c>
      <c r="J647" s="988">
        <v>29129</v>
      </c>
    </row>
    <row r="648" spans="1:10">
      <c r="A648" s="987">
        <v>39</v>
      </c>
      <c r="B648" s="988">
        <v>29160</v>
      </c>
      <c r="C648" s="987" t="s">
        <v>4641</v>
      </c>
      <c r="D648" s="987" t="s">
        <v>4642</v>
      </c>
      <c r="E648" s="987">
        <v>14.5</v>
      </c>
      <c r="F648" s="987">
        <v>9.4339999999999993E-2</v>
      </c>
      <c r="G648" s="987">
        <v>0</v>
      </c>
      <c r="H648" s="986">
        <v>8.3000000000000001E-3</v>
      </c>
      <c r="I648" s="986">
        <f t="shared" si="3"/>
        <v>8.6039999999999991E-2</v>
      </c>
      <c r="J648" s="988">
        <v>29160</v>
      </c>
    </row>
    <row r="649" spans="1:10">
      <c r="A649" s="987">
        <v>39</v>
      </c>
      <c r="B649" s="988">
        <v>29190</v>
      </c>
      <c r="C649" s="987" t="s">
        <v>4641</v>
      </c>
      <c r="D649" s="987" t="s">
        <v>4642</v>
      </c>
      <c r="E649" s="987">
        <v>13.75</v>
      </c>
      <c r="F649" s="987">
        <v>-5.1723999999999999E-2</v>
      </c>
      <c r="G649" s="987">
        <v>0</v>
      </c>
      <c r="H649" s="986">
        <v>8.3000000000000001E-3</v>
      </c>
      <c r="I649" s="986">
        <f t="shared" si="3"/>
        <v>-6.0024000000000001E-2</v>
      </c>
      <c r="J649" s="988">
        <v>29190</v>
      </c>
    </row>
    <row r="650" spans="1:10">
      <c r="A650" s="987">
        <v>39</v>
      </c>
      <c r="B650" s="988">
        <v>29221</v>
      </c>
      <c r="C650" s="987" t="s">
        <v>4641</v>
      </c>
      <c r="D650" s="987" t="s">
        <v>4642</v>
      </c>
      <c r="E650" s="987">
        <v>12.75</v>
      </c>
      <c r="F650" s="987">
        <v>-4.5455000000000002E-2</v>
      </c>
      <c r="G650" s="987">
        <v>0.375</v>
      </c>
      <c r="H650" s="986">
        <v>8.3000000000000001E-3</v>
      </c>
      <c r="I650" s="986">
        <f t="shared" si="3"/>
        <v>-5.3755000000000004E-2</v>
      </c>
      <c r="J650" s="988">
        <v>29221</v>
      </c>
    </row>
    <row r="651" spans="1:10">
      <c r="A651" s="987">
        <v>39</v>
      </c>
      <c r="B651" s="988">
        <v>29252</v>
      </c>
      <c r="C651" s="987" t="s">
        <v>4641</v>
      </c>
      <c r="D651" s="987" t="s">
        <v>4642</v>
      </c>
      <c r="E651" s="987">
        <v>11.625</v>
      </c>
      <c r="F651" s="987">
        <v>-8.8234999999999994E-2</v>
      </c>
      <c r="G651" s="987">
        <v>0</v>
      </c>
      <c r="H651" s="986">
        <v>8.3999999999999995E-3</v>
      </c>
      <c r="I651" s="986">
        <f t="shared" si="3"/>
        <v>-9.6634999999999999E-2</v>
      </c>
      <c r="J651" s="988">
        <v>29252</v>
      </c>
    </row>
    <row r="652" spans="1:10">
      <c r="A652" s="987">
        <v>39</v>
      </c>
      <c r="B652" s="988">
        <v>29281</v>
      </c>
      <c r="C652" s="987" t="s">
        <v>4641</v>
      </c>
      <c r="D652" s="987" t="s">
        <v>4642</v>
      </c>
      <c r="E652" s="987">
        <v>11.625</v>
      </c>
      <c r="F652" s="987">
        <v>0</v>
      </c>
      <c r="G652" s="987">
        <v>0</v>
      </c>
      <c r="H652" s="986">
        <v>9.9000000000000008E-3</v>
      </c>
      <c r="I652" s="986">
        <f t="shared" si="3"/>
        <v>-9.9000000000000008E-3</v>
      </c>
      <c r="J652" s="988">
        <v>29281</v>
      </c>
    </row>
    <row r="653" spans="1:10">
      <c r="A653" s="987">
        <v>39</v>
      </c>
      <c r="B653" s="988">
        <v>29312</v>
      </c>
      <c r="C653" s="987" t="s">
        <v>4641</v>
      </c>
      <c r="D653" s="987" t="s">
        <v>4642</v>
      </c>
      <c r="E653" s="987">
        <v>13.125</v>
      </c>
      <c r="F653" s="987">
        <v>0.16128999999999999</v>
      </c>
      <c r="G653" s="987">
        <v>0.375</v>
      </c>
      <c r="H653" s="986">
        <v>0.01</v>
      </c>
      <c r="I653" s="986">
        <f t="shared" si="3"/>
        <v>0.15128999999999998</v>
      </c>
      <c r="J653" s="988">
        <v>29312</v>
      </c>
    </row>
    <row r="654" spans="1:10">
      <c r="A654" s="987">
        <v>39</v>
      </c>
      <c r="B654" s="988">
        <v>29342</v>
      </c>
      <c r="C654" s="987" t="s">
        <v>4641</v>
      </c>
      <c r="D654" s="987" t="s">
        <v>4642</v>
      </c>
      <c r="E654" s="987">
        <v>12.875</v>
      </c>
      <c r="F654" s="987">
        <v>-1.9047999999999999E-2</v>
      </c>
      <c r="G654" s="987">
        <v>0</v>
      </c>
      <c r="H654" s="986">
        <v>8.6999999999999994E-3</v>
      </c>
      <c r="I654" s="986">
        <f t="shared" si="3"/>
        <v>-2.7747999999999998E-2</v>
      </c>
      <c r="J654" s="988">
        <v>29342</v>
      </c>
    </row>
    <row r="655" spans="1:10">
      <c r="A655" s="987">
        <v>39</v>
      </c>
      <c r="B655" s="988">
        <v>29373</v>
      </c>
      <c r="C655" s="987" t="s">
        <v>4641</v>
      </c>
      <c r="D655" s="987" t="s">
        <v>4642</v>
      </c>
      <c r="E655" s="987">
        <v>13.625</v>
      </c>
      <c r="F655" s="987">
        <v>5.8251999999999998E-2</v>
      </c>
      <c r="G655" s="987">
        <v>0</v>
      </c>
      <c r="H655" s="986">
        <v>8.6E-3</v>
      </c>
      <c r="I655" s="986">
        <f t="shared" si="3"/>
        <v>4.9652000000000002E-2</v>
      </c>
      <c r="J655" s="988">
        <v>29373</v>
      </c>
    </row>
    <row r="656" spans="1:10">
      <c r="A656" s="987">
        <v>39</v>
      </c>
      <c r="B656" s="988">
        <v>29403</v>
      </c>
      <c r="C656" s="987" t="s">
        <v>4641</v>
      </c>
      <c r="D656" s="987" t="s">
        <v>4642</v>
      </c>
      <c r="E656" s="987">
        <v>12.75</v>
      </c>
      <c r="F656" s="987">
        <v>-3.6697E-2</v>
      </c>
      <c r="G656" s="987">
        <v>0.375</v>
      </c>
      <c r="H656" s="986">
        <v>8.3999999999999995E-3</v>
      </c>
      <c r="I656" s="986">
        <f t="shared" si="3"/>
        <v>-4.5096999999999998E-2</v>
      </c>
      <c r="J656" s="988">
        <v>29403</v>
      </c>
    </row>
    <row r="657" spans="1:10">
      <c r="A657" s="987">
        <v>39</v>
      </c>
      <c r="B657" s="988">
        <v>29434</v>
      </c>
      <c r="C657" s="987" t="s">
        <v>4641</v>
      </c>
      <c r="D657" s="987" t="s">
        <v>4642</v>
      </c>
      <c r="E657" s="987">
        <v>12</v>
      </c>
      <c r="F657" s="987">
        <v>-5.8824000000000001E-2</v>
      </c>
      <c r="G657" s="987">
        <v>0</v>
      </c>
      <c r="H657" s="986">
        <v>8.0999999999999996E-3</v>
      </c>
      <c r="I657" s="986">
        <f t="shared" si="3"/>
        <v>-6.6923999999999997E-2</v>
      </c>
      <c r="J657" s="988">
        <v>29434</v>
      </c>
    </row>
    <row r="658" spans="1:10">
      <c r="A658" s="987">
        <v>39</v>
      </c>
      <c r="B658" s="988">
        <v>29465</v>
      </c>
      <c r="C658" s="987" t="s">
        <v>4641</v>
      </c>
      <c r="D658" s="987" t="s">
        <v>4642</v>
      </c>
      <c r="E658" s="987">
        <v>11.625</v>
      </c>
      <c r="F658" s="987">
        <v>-3.125E-2</v>
      </c>
      <c r="G658" s="987">
        <v>0</v>
      </c>
      <c r="H658" s="986">
        <v>9.7000000000000003E-3</v>
      </c>
      <c r="I658" s="986">
        <f t="shared" si="3"/>
        <v>-4.095E-2</v>
      </c>
      <c r="J658" s="988">
        <v>29465</v>
      </c>
    </row>
    <row r="659" spans="1:10">
      <c r="A659" s="987">
        <v>39</v>
      </c>
      <c r="B659" s="988">
        <v>29495</v>
      </c>
      <c r="C659" s="987" t="s">
        <v>4641</v>
      </c>
      <c r="D659" s="987" t="s">
        <v>4642</v>
      </c>
      <c r="E659" s="987">
        <v>11.375</v>
      </c>
      <c r="F659" s="987">
        <v>1.0753E-2</v>
      </c>
      <c r="G659" s="987">
        <v>0.375</v>
      </c>
      <c r="H659" s="986">
        <v>9.7000000000000003E-3</v>
      </c>
      <c r="I659" s="986">
        <f t="shared" si="3"/>
        <v>1.0530000000000001E-3</v>
      </c>
      <c r="J659" s="988">
        <v>29495</v>
      </c>
    </row>
    <row r="660" spans="1:10">
      <c r="A660" s="987">
        <v>39</v>
      </c>
      <c r="B660" s="988">
        <v>29526</v>
      </c>
      <c r="C660" s="987" t="s">
        <v>4641</v>
      </c>
      <c r="D660" s="987" t="s">
        <v>4642</v>
      </c>
      <c r="E660" s="987">
        <v>10.625</v>
      </c>
      <c r="F660" s="987">
        <v>-6.5934000000000006E-2</v>
      </c>
      <c r="G660" s="987">
        <v>0</v>
      </c>
      <c r="H660" s="986">
        <v>9.1000000000000004E-3</v>
      </c>
      <c r="I660" s="986">
        <f t="shared" si="3"/>
        <v>-7.5034000000000003E-2</v>
      </c>
      <c r="J660" s="988">
        <v>29526</v>
      </c>
    </row>
    <row r="661" spans="1:10">
      <c r="A661" s="987">
        <v>39</v>
      </c>
      <c r="B661" s="988">
        <v>29556</v>
      </c>
      <c r="C661" s="987" t="s">
        <v>4641</v>
      </c>
      <c r="D661" s="987" t="s">
        <v>4642</v>
      </c>
      <c r="E661" s="987">
        <v>11.5</v>
      </c>
      <c r="F661" s="987">
        <v>8.2352999999999996E-2</v>
      </c>
      <c r="G661" s="987">
        <v>0</v>
      </c>
      <c r="H661" s="986">
        <v>1.0800000000000001E-2</v>
      </c>
      <c r="I661" s="986">
        <f t="shared" si="3"/>
        <v>7.1552999999999992E-2</v>
      </c>
      <c r="J661" s="988">
        <v>29556</v>
      </c>
    </row>
    <row r="662" spans="1:10">
      <c r="A662" s="987">
        <v>39</v>
      </c>
      <c r="B662" s="988">
        <v>29587</v>
      </c>
      <c r="C662" s="987" t="s">
        <v>4641</v>
      </c>
      <c r="D662" s="987" t="s">
        <v>4642</v>
      </c>
      <c r="E662" s="987">
        <v>10.875</v>
      </c>
      <c r="F662" s="987">
        <v>-2.1739000000000001E-2</v>
      </c>
      <c r="G662" s="987">
        <v>0.375</v>
      </c>
      <c r="H662" s="986">
        <v>9.4000000000000004E-3</v>
      </c>
      <c r="I662" s="986">
        <f t="shared" si="3"/>
        <v>-3.1139E-2</v>
      </c>
      <c r="J662" s="988">
        <v>29587</v>
      </c>
    </row>
    <row r="663" spans="1:10">
      <c r="A663" s="987">
        <v>39</v>
      </c>
      <c r="B663" s="988">
        <v>29618</v>
      </c>
      <c r="C663" s="987" t="s">
        <v>4641</v>
      </c>
      <c r="D663" s="987" t="s">
        <v>4642</v>
      </c>
      <c r="E663" s="987">
        <v>11.125</v>
      </c>
      <c r="F663" s="987">
        <v>2.2988999999999999E-2</v>
      </c>
      <c r="G663" s="987">
        <v>0</v>
      </c>
      <c r="H663" s="986">
        <v>8.8000000000000005E-3</v>
      </c>
      <c r="I663" s="986">
        <f t="shared" si="3"/>
        <v>1.4188999999999998E-2</v>
      </c>
      <c r="J663" s="988">
        <v>29618</v>
      </c>
    </row>
    <row r="664" spans="1:10">
      <c r="A664" s="987">
        <v>39</v>
      </c>
      <c r="B664" s="988">
        <v>29646</v>
      </c>
      <c r="C664" s="987" t="s">
        <v>4641</v>
      </c>
      <c r="D664" s="987" t="s">
        <v>4642</v>
      </c>
      <c r="E664" s="987">
        <v>11.125</v>
      </c>
      <c r="F664" s="987">
        <v>0</v>
      </c>
      <c r="G664" s="987">
        <v>0</v>
      </c>
      <c r="H664" s="986">
        <v>1.11E-2</v>
      </c>
      <c r="I664" s="986">
        <f t="shared" si="3"/>
        <v>-1.11E-2</v>
      </c>
      <c r="J664" s="988">
        <v>29646</v>
      </c>
    </row>
    <row r="665" spans="1:10">
      <c r="A665" s="987">
        <v>39</v>
      </c>
      <c r="B665" s="988">
        <v>29677</v>
      </c>
      <c r="C665" s="987" t="s">
        <v>4641</v>
      </c>
      <c r="D665" s="987" t="s">
        <v>4642</v>
      </c>
      <c r="E665" s="987">
        <v>10.75</v>
      </c>
      <c r="F665" s="987">
        <v>0</v>
      </c>
      <c r="G665" s="987">
        <v>0.375</v>
      </c>
      <c r="H665" s="986">
        <v>1.01E-2</v>
      </c>
      <c r="I665" s="986">
        <f t="shared" si="3"/>
        <v>-1.01E-2</v>
      </c>
      <c r="J665" s="988">
        <v>29677</v>
      </c>
    </row>
    <row r="666" spans="1:10">
      <c r="A666" s="987">
        <v>39</v>
      </c>
      <c r="B666" s="988">
        <v>29707</v>
      </c>
      <c r="C666" s="987" t="s">
        <v>4641</v>
      </c>
      <c r="D666" s="987" t="s">
        <v>4642</v>
      </c>
      <c r="E666" s="987">
        <v>10.625</v>
      </c>
      <c r="F666" s="987">
        <v>-1.1627999999999999E-2</v>
      </c>
      <c r="G666" s="987">
        <v>0</v>
      </c>
      <c r="H666" s="986">
        <v>1.04E-2</v>
      </c>
      <c r="I666" s="986">
        <f t="shared" si="3"/>
        <v>-2.2027999999999999E-2</v>
      </c>
      <c r="J666" s="988">
        <v>29707</v>
      </c>
    </row>
    <row r="667" spans="1:10">
      <c r="A667" s="987">
        <v>39</v>
      </c>
      <c r="B667" s="988">
        <v>29738</v>
      </c>
      <c r="C667" s="987" t="s">
        <v>4641</v>
      </c>
      <c r="D667" s="987" t="s">
        <v>4642</v>
      </c>
      <c r="E667" s="987">
        <v>11.5</v>
      </c>
      <c r="F667" s="987">
        <v>8.2352999999999996E-2</v>
      </c>
      <c r="G667" s="987">
        <v>0</v>
      </c>
      <c r="H667" s="986">
        <v>1.09E-2</v>
      </c>
      <c r="I667" s="986">
        <f t="shared" si="3"/>
        <v>7.1452999999999989E-2</v>
      </c>
      <c r="J667" s="988">
        <v>29738</v>
      </c>
    </row>
    <row r="668" spans="1:10">
      <c r="A668" s="987">
        <v>39</v>
      </c>
      <c r="B668" s="988">
        <v>29768</v>
      </c>
      <c r="C668" s="987" t="s">
        <v>4641</v>
      </c>
      <c r="D668" s="987" t="s">
        <v>4642</v>
      </c>
      <c r="E668" s="987">
        <v>11</v>
      </c>
      <c r="F668" s="987">
        <v>-1.0869999999999999E-2</v>
      </c>
      <c r="G668" s="987">
        <v>0.375</v>
      </c>
      <c r="H668" s="986">
        <v>1.09E-2</v>
      </c>
      <c r="I668" s="986">
        <f t="shared" si="3"/>
        <v>-2.1769999999999998E-2</v>
      </c>
      <c r="J668" s="988">
        <v>29768</v>
      </c>
    </row>
    <row r="669" spans="1:10">
      <c r="A669" s="987">
        <v>39</v>
      </c>
      <c r="B669" s="988">
        <v>29799</v>
      </c>
      <c r="C669" s="987" t="s">
        <v>4641</v>
      </c>
      <c r="D669" s="987" t="s">
        <v>4642</v>
      </c>
      <c r="E669" s="987">
        <v>11.125</v>
      </c>
      <c r="F669" s="987">
        <v>1.1364000000000001E-2</v>
      </c>
      <c r="G669" s="987">
        <v>0</v>
      </c>
      <c r="H669" s="986">
        <v>1.0999999999999999E-2</v>
      </c>
      <c r="I669" s="986">
        <f t="shared" si="3"/>
        <v>3.6400000000000148E-4</v>
      </c>
      <c r="J669" s="988">
        <v>29799</v>
      </c>
    </row>
    <row r="670" spans="1:10">
      <c r="A670" s="987">
        <v>39</v>
      </c>
      <c r="B670" s="988">
        <v>29830</v>
      </c>
      <c r="C670" s="987" t="s">
        <v>4641</v>
      </c>
      <c r="D670" s="987" t="s">
        <v>4642</v>
      </c>
      <c r="E670" s="987">
        <v>10.75</v>
      </c>
      <c r="F670" s="987">
        <v>-3.3708000000000002E-2</v>
      </c>
      <c r="G670" s="987">
        <v>0</v>
      </c>
      <c r="H670" s="986">
        <v>1.14E-2</v>
      </c>
      <c r="I670" s="986">
        <f t="shared" si="3"/>
        <v>-4.5108000000000002E-2</v>
      </c>
      <c r="J670" s="988">
        <v>29830</v>
      </c>
    </row>
    <row r="671" spans="1:10">
      <c r="A671" s="987">
        <v>39</v>
      </c>
      <c r="B671" s="988">
        <v>29860</v>
      </c>
      <c r="C671" s="987" t="s">
        <v>4641</v>
      </c>
      <c r="D671" s="987" t="s">
        <v>4642</v>
      </c>
      <c r="E671" s="987">
        <v>11.125</v>
      </c>
      <c r="F671" s="987">
        <v>6.9766999999999996E-2</v>
      </c>
      <c r="G671" s="987">
        <v>0.375</v>
      </c>
      <c r="H671" s="986">
        <v>1.17E-2</v>
      </c>
      <c r="I671" s="986">
        <f t="shared" si="3"/>
        <v>5.8066999999999994E-2</v>
      </c>
      <c r="J671" s="988">
        <v>29860</v>
      </c>
    </row>
    <row r="672" spans="1:10">
      <c r="A672" s="987">
        <v>39</v>
      </c>
      <c r="B672" s="988">
        <v>29891</v>
      </c>
      <c r="C672" s="987" t="s">
        <v>4641</v>
      </c>
      <c r="D672" s="987" t="s">
        <v>4642</v>
      </c>
      <c r="E672" s="987">
        <v>11</v>
      </c>
      <c r="F672" s="987">
        <v>-1.1235999999999999E-2</v>
      </c>
      <c r="G672" s="987">
        <v>0</v>
      </c>
      <c r="H672" s="986">
        <v>1.1299999999999999E-2</v>
      </c>
      <c r="I672" s="986">
        <f t="shared" si="3"/>
        <v>-2.2536E-2</v>
      </c>
      <c r="J672" s="988">
        <v>29891</v>
      </c>
    </row>
    <row r="673" spans="1:10">
      <c r="A673" s="987">
        <v>39</v>
      </c>
      <c r="B673" s="988">
        <v>29921</v>
      </c>
      <c r="C673" s="987" t="s">
        <v>4641</v>
      </c>
      <c r="D673" s="987" t="s">
        <v>4642</v>
      </c>
      <c r="E673" s="987">
        <v>11</v>
      </c>
      <c r="F673" s="987">
        <v>0</v>
      </c>
      <c r="G673" s="987">
        <v>0</v>
      </c>
      <c r="H673" s="986">
        <v>0.01</v>
      </c>
      <c r="I673" s="986">
        <f t="shared" si="3"/>
        <v>-0.01</v>
      </c>
      <c r="J673" s="988">
        <v>29921</v>
      </c>
    </row>
    <row r="674" spans="1:10">
      <c r="A674" s="987">
        <v>39</v>
      </c>
      <c r="B674" s="988">
        <v>29952</v>
      </c>
      <c r="C674" s="987" t="s">
        <v>4641</v>
      </c>
      <c r="D674" s="987" t="s">
        <v>4642</v>
      </c>
      <c r="E674" s="987">
        <v>10.75</v>
      </c>
      <c r="F674" s="987">
        <v>1.1364000000000001E-2</v>
      </c>
      <c r="G674" s="987">
        <v>0.375</v>
      </c>
      <c r="H674" s="986">
        <v>1.0800000000000001E-2</v>
      </c>
      <c r="I674" s="986">
        <f t="shared" si="3"/>
        <v>5.6400000000000027E-4</v>
      </c>
      <c r="J674" s="988">
        <v>29952</v>
      </c>
    </row>
    <row r="675" spans="1:10">
      <c r="A675" s="987">
        <v>39</v>
      </c>
      <c r="B675" s="988">
        <v>29983</v>
      </c>
      <c r="C675" s="987" t="s">
        <v>4641</v>
      </c>
      <c r="D675" s="987" t="s">
        <v>4642</v>
      </c>
      <c r="E675" s="987">
        <v>11</v>
      </c>
      <c r="F675" s="987">
        <v>2.3255999999999999E-2</v>
      </c>
      <c r="G675" s="987">
        <v>0</v>
      </c>
      <c r="H675" s="986">
        <v>1.03E-2</v>
      </c>
      <c r="I675" s="986">
        <f t="shared" si="3"/>
        <v>1.2955999999999999E-2</v>
      </c>
      <c r="J675" s="988">
        <v>29983</v>
      </c>
    </row>
    <row r="676" spans="1:10">
      <c r="A676" s="987">
        <v>39</v>
      </c>
      <c r="B676" s="988">
        <v>30011</v>
      </c>
      <c r="C676" s="987" t="s">
        <v>4641</v>
      </c>
      <c r="D676" s="987" t="s">
        <v>4642</v>
      </c>
      <c r="E676" s="987">
        <v>11</v>
      </c>
      <c r="F676" s="987">
        <v>0</v>
      </c>
      <c r="G676" s="987">
        <v>0</v>
      </c>
      <c r="H676" s="986">
        <v>1.24E-2</v>
      </c>
      <c r="I676" s="986">
        <f t="shared" si="3"/>
        <v>-1.24E-2</v>
      </c>
      <c r="J676" s="988">
        <v>30011</v>
      </c>
    </row>
    <row r="677" spans="1:10">
      <c r="A677" s="987">
        <v>39</v>
      </c>
      <c r="B677" s="988">
        <v>30042</v>
      </c>
      <c r="C677" s="987" t="s">
        <v>4641</v>
      </c>
      <c r="D677" s="987" t="s">
        <v>4642</v>
      </c>
      <c r="E677" s="987">
        <v>11</v>
      </c>
      <c r="F677" s="987">
        <v>3.4091000000000003E-2</v>
      </c>
      <c r="G677" s="987">
        <v>0.375</v>
      </c>
      <c r="H677" s="986">
        <v>1.12E-2</v>
      </c>
      <c r="I677" s="986">
        <f t="shared" si="3"/>
        <v>2.2891000000000002E-2</v>
      </c>
      <c r="J677" s="988">
        <v>30042</v>
      </c>
    </row>
    <row r="678" spans="1:10">
      <c r="A678" s="987">
        <v>39</v>
      </c>
      <c r="B678" s="988">
        <v>30072</v>
      </c>
      <c r="C678" s="987" t="s">
        <v>4641</v>
      </c>
      <c r="D678" s="987" t="s">
        <v>4642</v>
      </c>
      <c r="E678" s="987">
        <v>10.875</v>
      </c>
      <c r="F678" s="987">
        <v>-1.1364000000000001E-2</v>
      </c>
      <c r="G678" s="987">
        <v>0</v>
      </c>
      <c r="H678" s="986">
        <v>1.01E-2</v>
      </c>
      <c r="I678" s="986">
        <f t="shared" si="3"/>
        <v>-2.1464E-2</v>
      </c>
      <c r="J678" s="988">
        <v>30072</v>
      </c>
    </row>
    <row r="679" spans="1:10">
      <c r="A679" s="987">
        <v>39</v>
      </c>
      <c r="B679" s="988">
        <v>30103</v>
      </c>
      <c r="C679" s="987" t="s">
        <v>4641</v>
      </c>
      <c r="D679" s="987" t="s">
        <v>4642</v>
      </c>
      <c r="E679" s="987">
        <v>11.125</v>
      </c>
      <c r="F679" s="987">
        <v>2.2988999999999999E-2</v>
      </c>
      <c r="G679" s="987">
        <v>0</v>
      </c>
      <c r="H679" s="986">
        <v>1.2E-2</v>
      </c>
      <c r="I679" s="986">
        <f t="shared" si="3"/>
        <v>1.0988999999999999E-2</v>
      </c>
      <c r="J679" s="988">
        <v>30103</v>
      </c>
    </row>
    <row r="680" spans="1:10">
      <c r="A680" s="987">
        <v>39</v>
      </c>
      <c r="B680" s="988">
        <v>30133</v>
      </c>
      <c r="C680" s="987" t="s">
        <v>4641</v>
      </c>
      <c r="D680" s="987" t="s">
        <v>4642</v>
      </c>
      <c r="E680" s="987">
        <v>10.75</v>
      </c>
      <c r="F680" s="987">
        <v>0</v>
      </c>
      <c r="G680" s="987">
        <v>0.375</v>
      </c>
      <c r="H680" s="986">
        <v>1.14E-2</v>
      </c>
      <c r="I680" s="986">
        <f t="shared" si="3"/>
        <v>-1.14E-2</v>
      </c>
      <c r="J680" s="988">
        <v>30133</v>
      </c>
    </row>
    <row r="681" spans="1:10">
      <c r="A681" s="987">
        <v>39</v>
      </c>
      <c r="B681" s="988">
        <v>30164</v>
      </c>
      <c r="C681" s="987" t="s">
        <v>4641</v>
      </c>
      <c r="D681" s="987" t="s">
        <v>4642</v>
      </c>
      <c r="E681" s="987">
        <v>12.375</v>
      </c>
      <c r="F681" s="987">
        <v>0.15116299999999999</v>
      </c>
      <c r="G681" s="987">
        <v>0</v>
      </c>
      <c r="H681" s="986">
        <v>1.12E-2</v>
      </c>
      <c r="I681" s="986">
        <f t="shared" si="3"/>
        <v>0.139963</v>
      </c>
      <c r="J681" s="988">
        <v>30164</v>
      </c>
    </row>
    <row r="682" spans="1:10">
      <c r="A682" s="987">
        <v>39</v>
      </c>
      <c r="B682" s="988">
        <v>30195</v>
      </c>
      <c r="C682" s="987" t="s">
        <v>4641</v>
      </c>
      <c r="D682" s="987" t="s">
        <v>4642</v>
      </c>
      <c r="E682" s="987">
        <v>12.125</v>
      </c>
      <c r="F682" s="987">
        <v>-2.0202000000000001E-2</v>
      </c>
      <c r="G682" s="987">
        <v>0</v>
      </c>
      <c r="H682" s="986">
        <v>0.01</v>
      </c>
      <c r="I682" s="986">
        <f t="shared" si="3"/>
        <v>-3.0202E-2</v>
      </c>
      <c r="J682" s="988">
        <v>30195</v>
      </c>
    </row>
    <row r="683" spans="1:10">
      <c r="A683" s="987">
        <v>39</v>
      </c>
      <c r="B683" s="988">
        <v>30225</v>
      </c>
      <c r="C683" s="987" t="s">
        <v>4641</v>
      </c>
      <c r="D683" s="987" t="s">
        <v>4642</v>
      </c>
      <c r="E683" s="987">
        <v>11.75</v>
      </c>
      <c r="F683" s="987">
        <v>0</v>
      </c>
      <c r="G683" s="987">
        <v>0.375</v>
      </c>
      <c r="H683" s="986">
        <v>9.1000000000000004E-3</v>
      </c>
      <c r="I683" s="986">
        <f t="shared" si="3"/>
        <v>-9.1000000000000004E-3</v>
      </c>
      <c r="J683" s="988">
        <v>30225</v>
      </c>
    </row>
    <row r="684" spans="1:10">
      <c r="A684" s="987">
        <v>39</v>
      </c>
      <c r="B684" s="988">
        <v>30256</v>
      </c>
      <c r="C684" s="987" t="s">
        <v>4641</v>
      </c>
      <c r="D684" s="987" t="s">
        <v>4642</v>
      </c>
      <c r="E684" s="987">
        <v>12.125</v>
      </c>
      <c r="F684" s="987">
        <v>3.1914999999999999E-2</v>
      </c>
      <c r="G684" s="987">
        <v>0</v>
      </c>
      <c r="H684" s="986">
        <v>9.4000000000000004E-3</v>
      </c>
      <c r="I684" s="986">
        <f t="shared" si="3"/>
        <v>2.2515E-2</v>
      </c>
      <c r="J684" s="988">
        <v>30256</v>
      </c>
    </row>
    <row r="685" spans="1:10">
      <c r="A685" s="987">
        <v>39</v>
      </c>
      <c r="B685" s="988">
        <v>30286</v>
      </c>
      <c r="C685" s="987" t="s">
        <v>4641</v>
      </c>
      <c r="D685" s="987" t="s">
        <v>4642</v>
      </c>
      <c r="E685" s="987">
        <v>12.625</v>
      </c>
      <c r="F685" s="987">
        <v>4.1237000000000003E-2</v>
      </c>
      <c r="G685" s="987">
        <v>0</v>
      </c>
      <c r="H685" s="986">
        <v>9.2999999999999992E-3</v>
      </c>
      <c r="I685" s="986">
        <f t="shared" si="3"/>
        <v>3.1937000000000007E-2</v>
      </c>
      <c r="J685" s="988">
        <v>30286</v>
      </c>
    </row>
    <row r="686" spans="1:10">
      <c r="A686" s="987">
        <v>39</v>
      </c>
      <c r="B686" s="988">
        <v>30317</v>
      </c>
      <c r="C686" s="987" t="s">
        <v>4641</v>
      </c>
      <c r="D686" s="987" t="s">
        <v>4642</v>
      </c>
      <c r="E686" s="987">
        <v>12.25</v>
      </c>
      <c r="F686" s="987">
        <v>0</v>
      </c>
      <c r="G686" s="987">
        <v>0.375</v>
      </c>
      <c r="H686" s="986">
        <v>8.6999999999999994E-3</v>
      </c>
      <c r="I686" s="986">
        <f t="shared" si="3"/>
        <v>-8.6999999999999994E-3</v>
      </c>
      <c r="J686" s="988">
        <v>30317</v>
      </c>
    </row>
    <row r="687" spans="1:10">
      <c r="A687" s="987">
        <v>39</v>
      </c>
      <c r="B687" s="988">
        <v>30348</v>
      </c>
      <c r="C687" s="987" t="s">
        <v>4641</v>
      </c>
      <c r="D687" s="987" t="s">
        <v>4642</v>
      </c>
      <c r="E687" s="987">
        <v>13</v>
      </c>
      <c r="F687" s="987">
        <v>6.1224000000000001E-2</v>
      </c>
      <c r="G687" s="987">
        <v>0</v>
      </c>
      <c r="H687" s="986">
        <v>8.0999999999999996E-3</v>
      </c>
      <c r="I687" s="986">
        <f t="shared" si="3"/>
        <v>5.3124000000000005E-2</v>
      </c>
      <c r="J687" s="988">
        <v>30348</v>
      </c>
    </row>
    <row r="688" spans="1:10">
      <c r="A688" s="987">
        <v>39</v>
      </c>
      <c r="B688" s="988">
        <v>30376</v>
      </c>
      <c r="C688" s="987" t="s">
        <v>4641</v>
      </c>
      <c r="D688" s="987" t="s">
        <v>4642</v>
      </c>
      <c r="E688" s="987">
        <v>13.375</v>
      </c>
      <c r="F688" s="987">
        <v>2.8846E-2</v>
      </c>
      <c r="G688" s="987">
        <v>0</v>
      </c>
      <c r="H688" s="986">
        <v>8.8999999999999999E-3</v>
      </c>
      <c r="I688" s="986">
        <f t="shared" si="3"/>
        <v>1.9945999999999998E-2</v>
      </c>
      <c r="J688" s="988">
        <v>30376</v>
      </c>
    </row>
    <row r="689" spans="1:10">
      <c r="A689" s="987">
        <v>39</v>
      </c>
      <c r="B689" s="988">
        <v>30407</v>
      </c>
      <c r="C689" s="987" t="s">
        <v>4641</v>
      </c>
      <c r="D689" s="987" t="s">
        <v>4642</v>
      </c>
      <c r="E689" s="987">
        <v>13.625</v>
      </c>
      <c r="F689" s="987">
        <v>4.6729E-2</v>
      </c>
      <c r="G689" s="987">
        <v>0.375</v>
      </c>
      <c r="H689" s="986">
        <v>8.5000000000000006E-3</v>
      </c>
      <c r="I689" s="986">
        <f t="shared" si="3"/>
        <v>3.8228999999999999E-2</v>
      </c>
      <c r="J689" s="988">
        <v>30407</v>
      </c>
    </row>
    <row r="690" spans="1:10">
      <c r="A690" s="987">
        <v>39</v>
      </c>
      <c r="B690" s="988">
        <v>30437</v>
      </c>
      <c r="C690" s="987" t="s">
        <v>4641</v>
      </c>
      <c r="D690" s="987" t="s">
        <v>4642</v>
      </c>
      <c r="E690" s="987">
        <v>13.5</v>
      </c>
      <c r="F690" s="987">
        <v>-9.1739999999999999E-3</v>
      </c>
      <c r="G690" s="987">
        <v>0</v>
      </c>
      <c r="H690" s="986">
        <v>9.1000000000000004E-3</v>
      </c>
      <c r="I690" s="986">
        <f t="shared" si="3"/>
        <v>-1.8273999999999999E-2</v>
      </c>
      <c r="J690" s="988">
        <v>30437</v>
      </c>
    </row>
    <row r="691" spans="1:10">
      <c r="A691" s="987">
        <v>39</v>
      </c>
      <c r="B691" s="988">
        <v>30468</v>
      </c>
      <c r="C691" s="987" t="s">
        <v>4641</v>
      </c>
      <c r="D691" s="987" t="s">
        <v>4642</v>
      </c>
      <c r="E691" s="987">
        <v>13.5</v>
      </c>
      <c r="F691" s="987">
        <v>0</v>
      </c>
      <c r="G691" s="987">
        <v>0</v>
      </c>
      <c r="H691" s="986">
        <v>8.9999999999999993E-3</v>
      </c>
      <c r="I691" s="986">
        <f t="shared" si="3"/>
        <v>-8.9999999999999993E-3</v>
      </c>
      <c r="J691" s="988">
        <v>30468</v>
      </c>
    </row>
    <row r="692" spans="1:10">
      <c r="A692" s="987">
        <v>39</v>
      </c>
      <c r="B692" s="988">
        <v>30498</v>
      </c>
      <c r="C692" s="987" t="s">
        <v>4641</v>
      </c>
      <c r="D692" s="987" t="s">
        <v>4642</v>
      </c>
      <c r="E692" s="987">
        <v>13.125</v>
      </c>
      <c r="F692" s="987">
        <v>0</v>
      </c>
      <c r="G692" s="987">
        <v>0.375</v>
      </c>
      <c r="H692" s="986">
        <v>8.8000000000000005E-3</v>
      </c>
      <c r="I692" s="986">
        <f t="shared" si="3"/>
        <v>-8.8000000000000005E-3</v>
      </c>
      <c r="J692" s="988">
        <v>30498</v>
      </c>
    </row>
    <row r="693" spans="1:10">
      <c r="A693" s="987">
        <v>39</v>
      </c>
      <c r="B693" s="988">
        <v>30529</v>
      </c>
      <c r="C693" s="987" t="s">
        <v>4641</v>
      </c>
      <c r="D693" s="987" t="s">
        <v>4642</v>
      </c>
      <c r="E693" s="987">
        <v>13.5</v>
      </c>
      <c r="F693" s="987">
        <v>2.8570999999999999E-2</v>
      </c>
      <c r="G693" s="987">
        <v>0</v>
      </c>
      <c r="H693" s="986">
        <v>1.03E-2</v>
      </c>
      <c r="I693" s="986">
        <f t="shared" si="3"/>
        <v>1.8270999999999999E-2</v>
      </c>
      <c r="J693" s="988">
        <v>30529</v>
      </c>
    </row>
    <row r="694" spans="1:10">
      <c r="A694" s="987">
        <v>39</v>
      </c>
      <c r="B694" s="988">
        <v>30560</v>
      </c>
      <c r="C694" s="987" t="s">
        <v>4641</v>
      </c>
      <c r="D694" s="987" t="s">
        <v>4642</v>
      </c>
      <c r="E694" s="987">
        <v>14.625</v>
      </c>
      <c r="F694" s="987">
        <v>8.3333000000000004E-2</v>
      </c>
      <c r="G694" s="987">
        <v>0</v>
      </c>
      <c r="H694" s="986">
        <v>9.5999999999999992E-3</v>
      </c>
      <c r="I694" s="986">
        <f t="shared" si="3"/>
        <v>7.3733000000000007E-2</v>
      </c>
      <c r="J694" s="988">
        <v>30560</v>
      </c>
    </row>
    <row r="695" spans="1:10">
      <c r="A695" s="987">
        <v>39</v>
      </c>
      <c r="B695" s="988">
        <v>30590</v>
      </c>
      <c r="C695" s="987" t="s">
        <v>4641</v>
      </c>
      <c r="D695" s="987" t="s">
        <v>4642</v>
      </c>
      <c r="E695" s="987">
        <v>15</v>
      </c>
      <c r="F695" s="987">
        <v>5.1282000000000001E-2</v>
      </c>
      <c r="G695" s="987">
        <v>0.375</v>
      </c>
      <c r="H695" s="986">
        <v>9.4999999999999998E-3</v>
      </c>
      <c r="I695" s="986">
        <f t="shared" si="3"/>
        <v>4.1782E-2</v>
      </c>
      <c r="J695" s="988">
        <v>30590</v>
      </c>
    </row>
    <row r="696" spans="1:10">
      <c r="A696" s="987">
        <v>39</v>
      </c>
      <c r="B696" s="988">
        <v>30621</v>
      </c>
      <c r="C696" s="987" t="s">
        <v>4641</v>
      </c>
      <c r="D696" s="987" t="s">
        <v>4642</v>
      </c>
      <c r="E696" s="987">
        <v>14.625</v>
      </c>
      <c r="F696" s="987">
        <v>-2.5000000000000001E-2</v>
      </c>
      <c r="G696" s="987">
        <v>0</v>
      </c>
      <c r="H696" s="986">
        <v>9.4000000000000004E-3</v>
      </c>
      <c r="I696" s="986">
        <f t="shared" si="3"/>
        <v>-3.44E-2</v>
      </c>
      <c r="J696" s="988">
        <v>30621</v>
      </c>
    </row>
    <row r="697" spans="1:10">
      <c r="A697" s="987">
        <v>39</v>
      </c>
      <c r="B697" s="988">
        <v>30651</v>
      </c>
      <c r="C697" s="987" t="s">
        <v>4641</v>
      </c>
      <c r="D697" s="987" t="s">
        <v>4642</v>
      </c>
      <c r="E697" s="987">
        <v>14.625</v>
      </c>
      <c r="F697" s="987">
        <v>0</v>
      </c>
      <c r="G697" s="987">
        <v>0</v>
      </c>
      <c r="H697" s="986">
        <v>9.4000000000000004E-3</v>
      </c>
      <c r="I697" s="986">
        <f t="shared" si="3"/>
        <v>-9.4000000000000004E-3</v>
      </c>
      <c r="J697" s="988">
        <v>30651</v>
      </c>
    </row>
    <row r="698" spans="1:10">
      <c r="A698" s="987">
        <v>39</v>
      </c>
      <c r="B698" s="988">
        <v>30682</v>
      </c>
      <c r="C698" s="987" t="s">
        <v>4641</v>
      </c>
      <c r="D698" s="987" t="s">
        <v>4642</v>
      </c>
      <c r="E698" s="987">
        <v>14.125</v>
      </c>
      <c r="F698" s="987">
        <v>-8.5470000000000008E-3</v>
      </c>
      <c r="G698" s="987">
        <v>0.375</v>
      </c>
      <c r="H698" s="986">
        <v>1.03E-2</v>
      </c>
      <c r="I698" s="986">
        <f t="shared" si="3"/>
        <v>-1.8847000000000003E-2</v>
      </c>
      <c r="J698" s="988">
        <v>30682</v>
      </c>
    </row>
    <row r="699" spans="1:10">
      <c r="A699" s="987">
        <v>39</v>
      </c>
      <c r="B699" s="988">
        <v>30713</v>
      </c>
      <c r="C699" s="987" t="s">
        <v>4641</v>
      </c>
      <c r="D699" s="987" t="s">
        <v>4642</v>
      </c>
      <c r="E699" s="987">
        <v>14</v>
      </c>
      <c r="F699" s="987">
        <v>-8.8500000000000002E-3</v>
      </c>
      <c r="G699" s="987">
        <v>0</v>
      </c>
      <c r="H699" s="986">
        <v>9.1999999999999998E-3</v>
      </c>
      <c r="I699" s="986">
        <f t="shared" si="3"/>
        <v>-1.805E-2</v>
      </c>
      <c r="J699" s="988">
        <v>30713</v>
      </c>
    </row>
    <row r="700" spans="1:10">
      <c r="A700" s="987">
        <v>39</v>
      </c>
      <c r="B700" s="988">
        <v>30742</v>
      </c>
      <c r="C700" s="987" t="s">
        <v>4641</v>
      </c>
      <c r="D700" s="987" t="s">
        <v>4642</v>
      </c>
      <c r="E700" s="987">
        <v>13.75</v>
      </c>
      <c r="F700" s="987">
        <v>-1.7857000000000001E-2</v>
      </c>
      <c r="G700" s="987">
        <v>0</v>
      </c>
      <c r="H700" s="986">
        <v>9.7999999999999997E-3</v>
      </c>
      <c r="I700" s="986">
        <f t="shared" si="3"/>
        <v>-2.7657000000000001E-2</v>
      </c>
      <c r="J700" s="988">
        <v>30742</v>
      </c>
    </row>
    <row r="701" spans="1:10">
      <c r="A701" s="987">
        <v>39</v>
      </c>
      <c r="B701" s="988">
        <v>30773</v>
      </c>
      <c r="C701" s="987" t="s">
        <v>4641</v>
      </c>
      <c r="D701" s="987" t="s">
        <v>4642</v>
      </c>
      <c r="E701" s="987">
        <v>13.75</v>
      </c>
      <c r="F701" s="987">
        <v>2.8364E-2</v>
      </c>
      <c r="G701" s="987">
        <v>0.39</v>
      </c>
      <c r="H701" s="986">
        <v>1.04E-2</v>
      </c>
      <c r="I701" s="986">
        <f t="shared" si="3"/>
        <v>1.7964000000000001E-2</v>
      </c>
      <c r="J701" s="988">
        <v>30773</v>
      </c>
    </row>
    <row r="702" spans="1:10">
      <c r="A702" s="987">
        <v>39</v>
      </c>
      <c r="B702" s="988">
        <v>30803</v>
      </c>
      <c r="C702" s="987" t="s">
        <v>4641</v>
      </c>
      <c r="D702" s="987" t="s">
        <v>4642</v>
      </c>
      <c r="E702" s="987">
        <v>12.875</v>
      </c>
      <c r="F702" s="987">
        <v>-6.3635999999999998E-2</v>
      </c>
      <c r="G702" s="987">
        <v>0</v>
      </c>
      <c r="H702" s="986">
        <v>1.03E-2</v>
      </c>
      <c r="I702" s="986">
        <f t="shared" ref="I702:I765" si="4">F702-H702</f>
        <v>-7.3936000000000002E-2</v>
      </c>
      <c r="J702" s="988">
        <v>30803</v>
      </c>
    </row>
    <row r="703" spans="1:10">
      <c r="A703" s="987">
        <v>39</v>
      </c>
      <c r="B703" s="988">
        <v>30834</v>
      </c>
      <c r="C703" s="987" t="s">
        <v>4641</v>
      </c>
      <c r="D703" s="987" t="s">
        <v>4642</v>
      </c>
      <c r="E703" s="987">
        <v>13.75</v>
      </c>
      <c r="F703" s="987">
        <v>6.7960999999999994E-2</v>
      </c>
      <c r="G703" s="987">
        <v>0</v>
      </c>
      <c r="H703" s="986">
        <v>1.06E-2</v>
      </c>
      <c r="I703" s="986">
        <f t="shared" si="4"/>
        <v>5.7360999999999995E-2</v>
      </c>
      <c r="J703" s="988">
        <v>30834</v>
      </c>
    </row>
    <row r="704" spans="1:10">
      <c r="A704" s="987">
        <v>39</v>
      </c>
      <c r="B704" s="988">
        <v>30864</v>
      </c>
      <c r="C704" s="987" t="s">
        <v>4641</v>
      </c>
      <c r="D704" s="987" t="s">
        <v>4642</v>
      </c>
      <c r="E704" s="987">
        <v>12.5</v>
      </c>
      <c r="F704" s="987">
        <v>-6.2545000000000003E-2</v>
      </c>
      <c r="G704" s="987">
        <v>0.39</v>
      </c>
      <c r="H704" s="986">
        <v>1.1599999999999999E-2</v>
      </c>
      <c r="I704" s="986">
        <f t="shared" si="4"/>
        <v>-7.4145000000000003E-2</v>
      </c>
      <c r="J704" s="988">
        <v>30864</v>
      </c>
    </row>
    <row r="705" spans="1:10">
      <c r="A705" s="987">
        <v>39</v>
      </c>
      <c r="B705" s="988">
        <v>30895</v>
      </c>
      <c r="C705" s="987" t="s">
        <v>4641</v>
      </c>
      <c r="D705" s="987" t="s">
        <v>4642</v>
      </c>
      <c r="E705" s="987">
        <v>13.375</v>
      </c>
      <c r="F705" s="987">
        <v>7.0000000000000007E-2</v>
      </c>
      <c r="G705" s="987">
        <v>0</v>
      </c>
      <c r="H705" s="986">
        <v>1.06E-2</v>
      </c>
      <c r="I705" s="986">
        <f t="shared" si="4"/>
        <v>5.9400000000000008E-2</v>
      </c>
      <c r="J705" s="988">
        <v>30895</v>
      </c>
    </row>
    <row r="706" spans="1:10">
      <c r="A706" s="987">
        <v>39</v>
      </c>
      <c r="B706" s="988">
        <v>30926</v>
      </c>
      <c r="C706" s="987" t="s">
        <v>4641</v>
      </c>
      <c r="D706" s="987" t="s">
        <v>4642</v>
      </c>
      <c r="E706" s="987">
        <v>13.875</v>
      </c>
      <c r="F706" s="987">
        <v>3.7383E-2</v>
      </c>
      <c r="G706" s="987">
        <v>0</v>
      </c>
      <c r="H706" s="986">
        <v>9.4000000000000004E-3</v>
      </c>
      <c r="I706" s="986">
        <f t="shared" si="4"/>
        <v>2.7983000000000001E-2</v>
      </c>
      <c r="J706" s="988">
        <v>30926</v>
      </c>
    </row>
    <row r="707" spans="1:10">
      <c r="A707" s="987">
        <v>39</v>
      </c>
      <c r="B707" s="988">
        <v>30956</v>
      </c>
      <c r="C707" s="987" t="s">
        <v>4641</v>
      </c>
      <c r="D707" s="987" t="s">
        <v>4642</v>
      </c>
      <c r="E707" s="987">
        <v>14</v>
      </c>
      <c r="F707" s="987">
        <v>3.7116999999999997E-2</v>
      </c>
      <c r="G707" s="987">
        <v>0.39</v>
      </c>
      <c r="H707" s="986">
        <v>1.0800000000000001E-2</v>
      </c>
      <c r="I707" s="986">
        <f t="shared" si="4"/>
        <v>2.6316999999999997E-2</v>
      </c>
      <c r="J707" s="988">
        <v>30956</v>
      </c>
    </row>
    <row r="708" spans="1:10">
      <c r="A708" s="987">
        <v>39</v>
      </c>
      <c r="B708" s="988">
        <v>30987</v>
      </c>
      <c r="C708" s="987" t="s">
        <v>4641</v>
      </c>
      <c r="D708" s="987" t="s">
        <v>4642</v>
      </c>
      <c r="E708" s="987">
        <v>14.125</v>
      </c>
      <c r="F708" s="987">
        <v>8.9289999999999994E-3</v>
      </c>
      <c r="G708" s="987">
        <v>0</v>
      </c>
      <c r="H708" s="986">
        <v>9.1000000000000004E-3</v>
      </c>
      <c r="I708" s="986">
        <f t="shared" si="4"/>
        <v>-1.7100000000000101E-4</v>
      </c>
      <c r="J708" s="988">
        <v>30987</v>
      </c>
    </row>
    <row r="709" spans="1:10">
      <c r="A709" s="987">
        <v>39</v>
      </c>
      <c r="B709" s="988">
        <v>31017</v>
      </c>
      <c r="C709" s="987" t="s">
        <v>4641</v>
      </c>
      <c r="D709" s="987" t="s">
        <v>4642</v>
      </c>
      <c r="E709" s="987">
        <v>11.75</v>
      </c>
      <c r="F709" s="987">
        <v>-0.16814200000000001</v>
      </c>
      <c r="G709" s="987">
        <v>0</v>
      </c>
      <c r="H709" s="986">
        <v>9.7999999999999997E-3</v>
      </c>
      <c r="I709" s="986">
        <f t="shared" si="4"/>
        <v>-0.17794200000000002</v>
      </c>
      <c r="J709" s="988">
        <v>31017</v>
      </c>
    </row>
    <row r="710" spans="1:10">
      <c r="A710" s="987">
        <v>39</v>
      </c>
      <c r="B710" s="988">
        <v>31048</v>
      </c>
      <c r="C710" s="987" t="s">
        <v>4641</v>
      </c>
      <c r="D710" s="987" t="s">
        <v>4642</v>
      </c>
      <c r="E710" s="987">
        <v>11.875</v>
      </c>
      <c r="F710" s="987">
        <v>4.3830000000000001E-2</v>
      </c>
      <c r="G710" s="987">
        <v>0.39</v>
      </c>
      <c r="H710" s="986">
        <v>9.5999999999999992E-3</v>
      </c>
      <c r="I710" s="986">
        <f t="shared" si="4"/>
        <v>3.4230000000000003E-2</v>
      </c>
      <c r="J710" s="988">
        <v>31048</v>
      </c>
    </row>
    <row r="711" spans="1:10">
      <c r="A711" s="987">
        <v>39</v>
      </c>
      <c r="B711" s="988">
        <v>31079</v>
      </c>
      <c r="C711" s="987" t="s">
        <v>4641</v>
      </c>
      <c r="D711" s="987" t="s">
        <v>4642</v>
      </c>
      <c r="E711" s="987">
        <v>12</v>
      </c>
      <c r="F711" s="987">
        <v>1.0526000000000001E-2</v>
      </c>
      <c r="G711" s="987">
        <v>0</v>
      </c>
      <c r="H711" s="986">
        <v>8.2000000000000007E-3</v>
      </c>
      <c r="I711" s="986">
        <f t="shared" si="4"/>
        <v>2.3259999999999999E-3</v>
      </c>
      <c r="J711" s="988">
        <v>31079</v>
      </c>
    </row>
    <row r="712" spans="1:10">
      <c r="A712" s="987">
        <v>39</v>
      </c>
      <c r="B712" s="988">
        <v>31107</v>
      </c>
      <c r="C712" s="987" t="s">
        <v>4641</v>
      </c>
      <c r="D712" s="987" t="s">
        <v>4642</v>
      </c>
      <c r="E712" s="987">
        <v>12.375</v>
      </c>
      <c r="F712" s="987">
        <v>3.125E-2</v>
      </c>
      <c r="G712" s="987">
        <v>0</v>
      </c>
      <c r="H712" s="986">
        <v>9.4000000000000004E-3</v>
      </c>
      <c r="I712" s="986">
        <f t="shared" si="4"/>
        <v>2.1850000000000001E-2</v>
      </c>
      <c r="J712" s="988">
        <v>31107</v>
      </c>
    </row>
    <row r="713" spans="1:10">
      <c r="A713" s="987">
        <v>39</v>
      </c>
      <c r="B713" s="988">
        <v>31138</v>
      </c>
      <c r="C713" s="987" t="s">
        <v>4641</v>
      </c>
      <c r="D713" s="987" t="s">
        <v>4642</v>
      </c>
      <c r="E713" s="987">
        <v>11.875</v>
      </c>
      <c r="F713" s="987">
        <v>-8.8889999999999993E-3</v>
      </c>
      <c r="G713" s="987">
        <v>0.39</v>
      </c>
      <c r="H713" s="986">
        <v>1.0200000000000001E-2</v>
      </c>
      <c r="I713" s="986">
        <f t="shared" si="4"/>
        <v>-1.9089000000000002E-2</v>
      </c>
      <c r="J713" s="988">
        <v>31138</v>
      </c>
    </row>
    <row r="714" spans="1:10">
      <c r="A714" s="987">
        <v>39</v>
      </c>
      <c r="B714" s="988">
        <v>31168</v>
      </c>
      <c r="C714" s="987" t="s">
        <v>4641</v>
      </c>
      <c r="D714" s="987" t="s">
        <v>4642</v>
      </c>
      <c r="E714" s="987">
        <v>11.125</v>
      </c>
      <c r="F714" s="987">
        <v>-6.3158000000000006E-2</v>
      </c>
      <c r="G714" s="987">
        <v>0</v>
      </c>
      <c r="H714" s="986">
        <v>9.7000000000000003E-3</v>
      </c>
      <c r="I714" s="986">
        <f t="shared" si="4"/>
        <v>-7.2858000000000006E-2</v>
      </c>
      <c r="J714" s="988">
        <v>31168</v>
      </c>
    </row>
    <row r="715" spans="1:10">
      <c r="A715" s="987">
        <v>39</v>
      </c>
      <c r="B715" s="988">
        <v>31199</v>
      </c>
      <c r="C715" s="987" t="s">
        <v>4641</v>
      </c>
      <c r="D715" s="987" t="s">
        <v>4642</v>
      </c>
      <c r="E715" s="987">
        <v>12.125</v>
      </c>
      <c r="F715" s="987">
        <v>8.9887999999999996E-2</v>
      </c>
      <c r="G715" s="987">
        <v>0</v>
      </c>
      <c r="H715" s="986">
        <v>8.0000000000000002E-3</v>
      </c>
      <c r="I715" s="986">
        <f t="shared" si="4"/>
        <v>8.1887999999999989E-2</v>
      </c>
      <c r="J715" s="988">
        <v>31199</v>
      </c>
    </row>
    <row r="716" spans="1:10">
      <c r="A716" s="987">
        <v>39</v>
      </c>
      <c r="B716" s="988">
        <v>31229</v>
      </c>
      <c r="C716" s="987" t="s">
        <v>4641</v>
      </c>
      <c r="D716" s="987" t="s">
        <v>4642</v>
      </c>
      <c r="E716" s="987">
        <v>11.5</v>
      </c>
      <c r="F716" s="987">
        <v>-1.9380999999999999E-2</v>
      </c>
      <c r="G716" s="987">
        <v>0.39</v>
      </c>
      <c r="H716" s="986">
        <v>9.4000000000000004E-3</v>
      </c>
      <c r="I716" s="986">
        <f t="shared" si="4"/>
        <v>-2.8781000000000001E-2</v>
      </c>
      <c r="J716" s="988">
        <v>31229</v>
      </c>
    </row>
    <row r="717" spans="1:10">
      <c r="A717" s="987">
        <v>39</v>
      </c>
      <c r="B717" s="988">
        <v>31260</v>
      </c>
      <c r="C717" s="987" t="s">
        <v>4641</v>
      </c>
      <c r="D717" s="987" t="s">
        <v>4642</v>
      </c>
      <c r="E717" s="987">
        <v>11.25</v>
      </c>
      <c r="F717" s="987">
        <v>-2.1739000000000001E-2</v>
      </c>
      <c r="G717" s="987">
        <v>0</v>
      </c>
      <c r="H717" s="986">
        <v>8.5000000000000006E-3</v>
      </c>
      <c r="I717" s="986">
        <f t="shared" si="4"/>
        <v>-3.0239000000000002E-2</v>
      </c>
      <c r="J717" s="988">
        <v>31260</v>
      </c>
    </row>
    <row r="718" spans="1:10">
      <c r="A718" s="987">
        <v>39</v>
      </c>
      <c r="B718" s="988">
        <v>31291</v>
      </c>
      <c r="C718" s="987" t="s">
        <v>4641</v>
      </c>
      <c r="D718" s="987" t="s">
        <v>4642</v>
      </c>
      <c r="E718" s="987">
        <v>11.125</v>
      </c>
      <c r="F718" s="987">
        <v>-1.1110999999999999E-2</v>
      </c>
      <c r="G718" s="987">
        <v>0</v>
      </c>
      <c r="H718" s="986">
        <v>8.8000000000000005E-3</v>
      </c>
      <c r="I718" s="986">
        <f t="shared" si="4"/>
        <v>-1.9910999999999998E-2</v>
      </c>
      <c r="J718" s="988">
        <v>31291</v>
      </c>
    </row>
    <row r="719" spans="1:10">
      <c r="A719" s="987">
        <v>39</v>
      </c>
      <c r="B719" s="988">
        <v>31321</v>
      </c>
      <c r="C719" s="987" t="s">
        <v>4641</v>
      </c>
      <c r="D719" s="987" t="s">
        <v>4642</v>
      </c>
      <c r="E719" s="987">
        <v>10.125</v>
      </c>
      <c r="F719" s="987">
        <v>-5.4830999999999998E-2</v>
      </c>
      <c r="G719" s="987">
        <v>0.39</v>
      </c>
      <c r="H719" s="986">
        <v>8.8999999999999999E-3</v>
      </c>
      <c r="I719" s="986">
        <f t="shared" si="4"/>
        <v>-6.3730999999999996E-2</v>
      </c>
      <c r="J719" s="988">
        <v>31321</v>
      </c>
    </row>
    <row r="720" spans="1:10">
      <c r="A720" s="987">
        <v>39</v>
      </c>
      <c r="B720" s="988">
        <v>31352</v>
      </c>
      <c r="C720" s="987" t="s">
        <v>4641</v>
      </c>
      <c r="D720" s="987" t="s">
        <v>4642</v>
      </c>
      <c r="E720" s="987">
        <v>9</v>
      </c>
      <c r="F720" s="987">
        <v>-0.111111</v>
      </c>
      <c r="G720" s="987">
        <v>0</v>
      </c>
      <c r="H720" s="986">
        <v>8.0999999999999996E-3</v>
      </c>
      <c r="I720" s="986">
        <f t="shared" si="4"/>
        <v>-0.119211</v>
      </c>
      <c r="J720" s="988">
        <v>31352</v>
      </c>
    </row>
    <row r="721" spans="1:10">
      <c r="A721" s="987">
        <v>39</v>
      </c>
      <c r="B721" s="988">
        <v>31382</v>
      </c>
      <c r="C721" s="987" t="s">
        <v>4641</v>
      </c>
      <c r="D721" s="987" t="s">
        <v>4642</v>
      </c>
      <c r="E721" s="987">
        <v>9.875</v>
      </c>
      <c r="F721" s="987">
        <v>9.7222000000000003E-2</v>
      </c>
      <c r="G721" s="987">
        <v>0</v>
      </c>
      <c r="H721" s="986">
        <v>8.6E-3</v>
      </c>
      <c r="I721" s="986">
        <f t="shared" si="4"/>
        <v>8.8622000000000006E-2</v>
      </c>
      <c r="J721" s="988">
        <v>31382</v>
      </c>
    </row>
    <row r="722" spans="1:10">
      <c r="A722" s="987">
        <v>39</v>
      </c>
      <c r="B722" s="988">
        <v>31413</v>
      </c>
      <c r="C722" s="987" t="s">
        <v>4641</v>
      </c>
      <c r="D722" s="987" t="s">
        <v>4642</v>
      </c>
      <c r="E722" s="987">
        <v>10.625</v>
      </c>
      <c r="F722" s="987">
        <v>7.5949000000000003E-2</v>
      </c>
      <c r="G722" s="987">
        <v>0</v>
      </c>
      <c r="H722" s="986">
        <v>7.9000000000000008E-3</v>
      </c>
      <c r="I722" s="986">
        <f t="shared" si="4"/>
        <v>6.8048999999999998E-2</v>
      </c>
      <c r="J722" s="988">
        <v>31413</v>
      </c>
    </row>
    <row r="723" spans="1:10">
      <c r="A723" s="987">
        <v>39</v>
      </c>
      <c r="B723" s="988">
        <v>31444</v>
      </c>
      <c r="C723" s="987" t="s">
        <v>4641</v>
      </c>
      <c r="D723" s="987" t="s">
        <v>4642</v>
      </c>
      <c r="E723" s="987">
        <v>11.125</v>
      </c>
      <c r="F723" s="987">
        <v>4.7058999999999997E-2</v>
      </c>
      <c r="G723" s="987">
        <v>0</v>
      </c>
      <c r="H723" s="986">
        <v>7.3000000000000001E-3</v>
      </c>
      <c r="I723" s="986">
        <f t="shared" si="4"/>
        <v>3.9758999999999996E-2</v>
      </c>
      <c r="J723" s="988">
        <v>31444</v>
      </c>
    </row>
    <row r="724" spans="1:10">
      <c r="A724" s="987">
        <v>39</v>
      </c>
      <c r="B724" s="988">
        <v>31472</v>
      </c>
      <c r="C724" s="987" t="s">
        <v>4641</v>
      </c>
      <c r="D724" s="987" t="s">
        <v>4642</v>
      </c>
      <c r="E724" s="987">
        <v>11.625</v>
      </c>
      <c r="F724" s="987">
        <v>4.4943999999999998E-2</v>
      </c>
      <c r="G724" s="987">
        <v>0</v>
      </c>
      <c r="H724" s="986">
        <v>7.1000000000000004E-3</v>
      </c>
      <c r="I724" s="986">
        <f t="shared" si="4"/>
        <v>3.7843999999999996E-2</v>
      </c>
      <c r="J724" s="988">
        <v>31472</v>
      </c>
    </row>
    <row r="725" spans="1:10">
      <c r="A725" s="987">
        <v>39</v>
      </c>
      <c r="B725" s="988">
        <v>31503</v>
      </c>
      <c r="C725" s="987" t="s">
        <v>4641</v>
      </c>
      <c r="D725" s="987" t="s">
        <v>4642</v>
      </c>
      <c r="E725" s="987">
        <v>10.875</v>
      </c>
      <c r="F725" s="987">
        <v>-6.4516000000000004E-2</v>
      </c>
      <c r="G725" s="987">
        <v>0</v>
      </c>
      <c r="H725" s="986">
        <v>6.3E-3</v>
      </c>
      <c r="I725" s="986">
        <f t="shared" si="4"/>
        <v>-7.0816000000000004E-2</v>
      </c>
      <c r="J725" s="988">
        <v>31503</v>
      </c>
    </row>
    <row r="726" spans="1:10">
      <c r="A726" s="987">
        <v>39</v>
      </c>
      <c r="B726" s="988">
        <v>31533</v>
      </c>
      <c r="C726" s="987" t="s">
        <v>4641</v>
      </c>
      <c r="D726" s="987" t="s">
        <v>4642</v>
      </c>
      <c r="E726" s="987">
        <v>11.75</v>
      </c>
      <c r="F726" s="987">
        <v>8.0460000000000004E-2</v>
      </c>
      <c r="G726" s="987">
        <v>0</v>
      </c>
      <c r="H726" s="986">
        <v>6.1999999999999998E-3</v>
      </c>
      <c r="I726" s="986">
        <f t="shared" si="4"/>
        <v>7.4260000000000007E-2</v>
      </c>
      <c r="J726" s="988">
        <v>31533</v>
      </c>
    </row>
    <row r="727" spans="1:10">
      <c r="A727" s="987">
        <v>39</v>
      </c>
      <c r="B727" s="988">
        <v>31564</v>
      </c>
      <c r="C727" s="987" t="s">
        <v>4641</v>
      </c>
      <c r="D727" s="987" t="s">
        <v>4642</v>
      </c>
      <c r="E727" s="987">
        <v>11.75</v>
      </c>
      <c r="F727" s="987">
        <v>0</v>
      </c>
      <c r="G727" s="987">
        <v>0</v>
      </c>
      <c r="H727" s="986">
        <v>7.0000000000000001E-3</v>
      </c>
      <c r="I727" s="986">
        <f t="shared" si="4"/>
        <v>-7.0000000000000001E-3</v>
      </c>
      <c r="J727" s="988">
        <v>31564</v>
      </c>
    </row>
    <row r="728" spans="1:10">
      <c r="A728" s="987">
        <v>39</v>
      </c>
      <c r="B728" s="988">
        <v>31594</v>
      </c>
      <c r="C728" s="987" t="s">
        <v>4641</v>
      </c>
      <c r="D728" s="987" t="s">
        <v>4642</v>
      </c>
      <c r="E728" s="987">
        <v>11</v>
      </c>
      <c r="F728" s="987">
        <v>-6.3829999999999998E-2</v>
      </c>
      <c r="G728" s="987">
        <v>0</v>
      </c>
      <c r="H728" s="986">
        <v>6.6E-3</v>
      </c>
      <c r="I728" s="986">
        <f t="shared" si="4"/>
        <v>-7.0429999999999993E-2</v>
      </c>
      <c r="J728" s="988">
        <v>31594</v>
      </c>
    </row>
    <row r="729" spans="1:10">
      <c r="A729" s="987">
        <v>39</v>
      </c>
      <c r="B729" s="988">
        <v>31625</v>
      </c>
      <c r="C729" s="987" t="s">
        <v>4641</v>
      </c>
      <c r="D729" s="987" t="s">
        <v>4642</v>
      </c>
      <c r="E729" s="987">
        <v>11.5</v>
      </c>
      <c r="F729" s="987">
        <v>4.5455000000000002E-2</v>
      </c>
      <c r="G729" s="987">
        <v>0</v>
      </c>
      <c r="H729" s="986">
        <v>6.3E-3</v>
      </c>
      <c r="I729" s="986">
        <f t="shared" si="4"/>
        <v>3.9155000000000002E-2</v>
      </c>
      <c r="J729" s="988">
        <v>31625</v>
      </c>
    </row>
    <row r="730" spans="1:10">
      <c r="A730" s="987">
        <v>39</v>
      </c>
      <c r="B730" s="988">
        <v>31656</v>
      </c>
      <c r="C730" s="987" t="s">
        <v>4641</v>
      </c>
      <c r="D730" s="987" t="s">
        <v>4642</v>
      </c>
      <c r="E730" s="987">
        <v>10.875</v>
      </c>
      <c r="F730" s="987">
        <v>-5.4348E-2</v>
      </c>
      <c r="G730" s="987">
        <v>0</v>
      </c>
      <c r="H730" s="986">
        <v>6.4999999999999997E-3</v>
      </c>
      <c r="I730" s="986">
        <f t="shared" si="4"/>
        <v>-6.0847999999999999E-2</v>
      </c>
      <c r="J730" s="988">
        <v>31656</v>
      </c>
    </row>
    <row r="731" spans="1:10">
      <c r="A731" s="987">
        <v>39</v>
      </c>
      <c r="B731" s="988">
        <v>31686</v>
      </c>
      <c r="C731" s="987" t="s">
        <v>4641</v>
      </c>
      <c r="D731" s="987" t="s">
        <v>4642</v>
      </c>
      <c r="E731" s="987">
        <v>13</v>
      </c>
      <c r="F731" s="987">
        <v>0.19540199999999999</v>
      </c>
      <c r="G731" s="987">
        <v>0</v>
      </c>
      <c r="H731" s="986">
        <v>6.8999999999999999E-3</v>
      </c>
      <c r="I731" s="986">
        <f t="shared" si="4"/>
        <v>0.188502</v>
      </c>
      <c r="J731" s="988">
        <v>31686</v>
      </c>
    </row>
    <row r="732" spans="1:10">
      <c r="A732" s="987">
        <v>39</v>
      </c>
      <c r="B732" s="988">
        <v>31717</v>
      </c>
      <c r="C732" s="987" t="s">
        <v>4641</v>
      </c>
      <c r="D732" s="987" t="s">
        <v>4642</v>
      </c>
      <c r="E732" s="987">
        <v>12.125</v>
      </c>
      <c r="F732" s="987">
        <v>-6.7308000000000007E-2</v>
      </c>
      <c r="G732" s="987">
        <v>0</v>
      </c>
      <c r="H732" s="986">
        <v>5.8999999999999999E-3</v>
      </c>
      <c r="I732" s="986">
        <f t="shared" si="4"/>
        <v>-7.3208000000000009E-2</v>
      </c>
      <c r="J732" s="988">
        <v>31717</v>
      </c>
    </row>
    <row r="733" spans="1:10">
      <c r="A733" s="987">
        <v>39</v>
      </c>
      <c r="B733" s="988">
        <v>31747</v>
      </c>
      <c r="C733" s="987" t="s">
        <v>4641</v>
      </c>
      <c r="D733" s="987" t="s">
        <v>4642</v>
      </c>
      <c r="E733" s="987">
        <v>11.75</v>
      </c>
      <c r="F733" s="987">
        <v>-3.0928000000000001E-2</v>
      </c>
      <c r="G733" s="987">
        <v>0</v>
      </c>
      <c r="H733" s="986">
        <v>7.0000000000000001E-3</v>
      </c>
      <c r="I733" s="986">
        <f t="shared" si="4"/>
        <v>-3.7928000000000003E-2</v>
      </c>
      <c r="J733" s="988">
        <v>31747</v>
      </c>
    </row>
    <row r="734" spans="1:10">
      <c r="A734" s="987">
        <v>39</v>
      </c>
      <c r="B734" s="988">
        <v>31778</v>
      </c>
      <c r="C734" s="987" t="s">
        <v>4641</v>
      </c>
      <c r="D734" s="987" t="s">
        <v>4642</v>
      </c>
      <c r="E734" s="987">
        <v>11.75</v>
      </c>
      <c r="F734" s="987">
        <v>0</v>
      </c>
      <c r="G734" s="987">
        <v>0</v>
      </c>
      <c r="H734" s="986">
        <v>6.4000000000000003E-3</v>
      </c>
      <c r="I734" s="986">
        <f t="shared" si="4"/>
        <v>-6.4000000000000003E-3</v>
      </c>
      <c r="J734" s="988">
        <v>31778</v>
      </c>
    </row>
    <row r="735" spans="1:10">
      <c r="A735" s="987">
        <v>39</v>
      </c>
      <c r="B735" s="988">
        <v>31809</v>
      </c>
      <c r="C735" s="987" t="s">
        <v>4641</v>
      </c>
      <c r="D735" s="987" t="s">
        <v>4642</v>
      </c>
      <c r="E735" s="987">
        <v>11.5</v>
      </c>
      <c r="F735" s="987">
        <v>-2.1277000000000001E-2</v>
      </c>
      <c r="G735" s="987">
        <v>0</v>
      </c>
      <c r="H735" s="986">
        <v>5.8999999999999999E-3</v>
      </c>
      <c r="I735" s="986">
        <f t="shared" si="4"/>
        <v>-2.7177E-2</v>
      </c>
      <c r="J735" s="988">
        <v>31809</v>
      </c>
    </row>
    <row r="736" spans="1:10">
      <c r="A736" s="987">
        <v>39</v>
      </c>
      <c r="B736" s="988">
        <v>31837</v>
      </c>
      <c r="C736" s="987" t="s">
        <v>4641</v>
      </c>
      <c r="D736" s="987" t="s">
        <v>4642</v>
      </c>
      <c r="E736" s="987">
        <v>11.5</v>
      </c>
      <c r="F736" s="987">
        <v>0</v>
      </c>
      <c r="G736" s="987">
        <v>0</v>
      </c>
      <c r="H736" s="986">
        <v>6.6E-3</v>
      </c>
      <c r="I736" s="986">
        <f t="shared" si="4"/>
        <v>-6.6E-3</v>
      </c>
      <c r="J736" s="988">
        <v>31837</v>
      </c>
    </row>
    <row r="737" spans="1:10">
      <c r="A737" s="987">
        <v>39</v>
      </c>
      <c r="B737" s="988">
        <v>31868</v>
      </c>
      <c r="C737" s="987" t="s">
        <v>4641</v>
      </c>
      <c r="D737" s="987" t="s">
        <v>4642</v>
      </c>
      <c r="E737" s="987">
        <v>11</v>
      </c>
      <c r="F737" s="987">
        <v>-4.3478000000000003E-2</v>
      </c>
      <c r="G737" s="987">
        <v>0</v>
      </c>
      <c r="H737" s="986">
        <v>6.4999999999999997E-3</v>
      </c>
      <c r="I737" s="986">
        <f t="shared" si="4"/>
        <v>-4.9978000000000002E-2</v>
      </c>
      <c r="J737" s="988">
        <v>31868</v>
      </c>
    </row>
    <row r="738" spans="1:10">
      <c r="A738" s="987">
        <v>39</v>
      </c>
      <c r="B738" s="988">
        <v>31898</v>
      </c>
      <c r="C738" s="987" t="s">
        <v>4641</v>
      </c>
      <c r="D738" s="987" t="s">
        <v>4642</v>
      </c>
      <c r="E738" s="987">
        <v>11.625</v>
      </c>
      <c r="F738" s="987">
        <v>5.6818E-2</v>
      </c>
      <c r="G738" s="987">
        <v>0</v>
      </c>
      <c r="H738" s="986">
        <v>6.6E-3</v>
      </c>
      <c r="I738" s="986">
        <f t="shared" si="4"/>
        <v>5.0217999999999999E-2</v>
      </c>
      <c r="J738" s="988">
        <v>31898</v>
      </c>
    </row>
    <row r="739" spans="1:10">
      <c r="A739" s="987">
        <v>39</v>
      </c>
      <c r="B739" s="988">
        <v>31929</v>
      </c>
      <c r="C739" s="987" t="s">
        <v>4641</v>
      </c>
      <c r="D739" s="987" t="s">
        <v>4642</v>
      </c>
      <c r="E739" s="987">
        <v>11.75</v>
      </c>
      <c r="F739" s="987">
        <v>1.0753E-2</v>
      </c>
      <c r="G739" s="987">
        <v>0</v>
      </c>
      <c r="H739" s="986">
        <v>7.4999999999999997E-3</v>
      </c>
      <c r="I739" s="986">
        <f t="shared" si="4"/>
        <v>3.2530000000000007E-3</v>
      </c>
      <c r="J739" s="988">
        <v>31929</v>
      </c>
    </row>
    <row r="740" spans="1:10">
      <c r="A740" s="987">
        <v>39</v>
      </c>
      <c r="B740" s="988">
        <v>31959</v>
      </c>
      <c r="C740" s="987" t="s">
        <v>4641</v>
      </c>
      <c r="D740" s="987" t="s">
        <v>4642</v>
      </c>
      <c r="E740" s="987">
        <v>10.75</v>
      </c>
      <c r="F740" s="987">
        <v>-8.5106000000000001E-2</v>
      </c>
      <c r="G740" s="987">
        <v>0</v>
      </c>
      <c r="H740" s="986">
        <v>7.3000000000000001E-3</v>
      </c>
      <c r="I740" s="986">
        <f t="shared" si="4"/>
        <v>-9.2406000000000002E-2</v>
      </c>
      <c r="J740" s="988">
        <v>31959</v>
      </c>
    </row>
    <row r="741" spans="1:10">
      <c r="A741" s="987">
        <v>39</v>
      </c>
      <c r="B741" s="988">
        <v>31990</v>
      </c>
      <c r="C741" s="987" t="s">
        <v>4641</v>
      </c>
      <c r="D741" s="987" t="s">
        <v>4642</v>
      </c>
      <c r="E741" s="987">
        <v>11.375</v>
      </c>
      <c r="F741" s="987">
        <v>5.8139999999999997E-2</v>
      </c>
      <c r="G741" s="987">
        <v>0</v>
      </c>
      <c r="H741" s="986">
        <v>7.4999999999999997E-3</v>
      </c>
      <c r="I741" s="986">
        <f t="shared" si="4"/>
        <v>5.0639999999999998E-2</v>
      </c>
      <c r="J741" s="988">
        <v>31990</v>
      </c>
    </row>
    <row r="742" spans="1:10">
      <c r="A742" s="987">
        <v>39</v>
      </c>
      <c r="B742" s="988">
        <v>32021</v>
      </c>
      <c r="C742" s="987" t="s">
        <v>4641</v>
      </c>
      <c r="D742" s="987" t="s">
        <v>4642</v>
      </c>
      <c r="E742" s="987">
        <v>10.625</v>
      </c>
      <c r="F742" s="987">
        <v>-6.5934000000000006E-2</v>
      </c>
      <c r="G742" s="987">
        <v>0</v>
      </c>
      <c r="H742" s="986">
        <v>7.4999999999999997E-3</v>
      </c>
      <c r="I742" s="986">
        <f t="shared" si="4"/>
        <v>-7.3433999999999999E-2</v>
      </c>
      <c r="J742" s="988">
        <v>32021</v>
      </c>
    </row>
    <row r="743" spans="1:10">
      <c r="A743" s="987">
        <v>39</v>
      </c>
      <c r="B743" s="988">
        <v>32051</v>
      </c>
      <c r="C743" s="987" t="s">
        <v>4641</v>
      </c>
      <c r="D743" s="987" t="s">
        <v>4642</v>
      </c>
      <c r="E743" s="987">
        <v>9.125</v>
      </c>
      <c r="F743" s="987">
        <v>-0.12705900000000001</v>
      </c>
      <c r="G743" s="987">
        <v>0.15</v>
      </c>
      <c r="H743" s="986">
        <v>7.9000000000000008E-3</v>
      </c>
      <c r="I743" s="986">
        <f t="shared" si="4"/>
        <v>-0.134959</v>
      </c>
      <c r="J743" s="988">
        <v>32051</v>
      </c>
    </row>
    <row r="744" spans="1:10">
      <c r="A744" s="987">
        <v>39</v>
      </c>
      <c r="B744" s="988">
        <v>32082</v>
      </c>
      <c r="C744" s="987" t="s">
        <v>4641</v>
      </c>
      <c r="D744" s="987" t="s">
        <v>4642</v>
      </c>
      <c r="E744" s="987">
        <v>8.5</v>
      </c>
      <c r="F744" s="987">
        <v>-6.8492999999999998E-2</v>
      </c>
      <c r="G744" s="987">
        <v>0</v>
      </c>
      <c r="H744" s="986">
        <v>7.4999999999999997E-3</v>
      </c>
      <c r="I744" s="986">
        <f t="shared" si="4"/>
        <v>-7.5993000000000005E-2</v>
      </c>
      <c r="J744" s="988">
        <v>32082</v>
      </c>
    </row>
    <row r="745" spans="1:10">
      <c r="A745" s="987">
        <v>39</v>
      </c>
      <c r="B745" s="988">
        <v>32112</v>
      </c>
      <c r="C745" s="987" t="s">
        <v>4641</v>
      </c>
      <c r="D745" s="987" t="s">
        <v>4642</v>
      </c>
      <c r="E745" s="987">
        <v>8.5</v>
      </c>
      <c r="F745" s="987">
        <v>0</v>
      </c>
      <c r="G745" s="987">
        <v>0</v>
      </c>
      <c r="H745" s="986">
        <v>7.7999999999999996E-3</v>
      </c>
      <c r="I745" s="986">
        <f t="shared" si="4"/>
        <v>-7.7999999999999996E-3</v>
      </c>
      <c r="J745" s="988">
        <v>32112</v>
      </c>
    </row>
    <row r="746" spans="1:10">
      <c r="A746" s="987">
        <v>39</v>
      </c>
      <c r="B746" s="988">
        <v>32143</v>
      </c>
      <c r="C746" s="987" t="s">
        <v>4641</v>
      </c>
      <c r="D746" s="987" t="s">
        <v>4642</v>
      </c>
      <c r="E746" s="987">
        <v>10.25</v>
      </c>
      <c r="F746" s="987">
        <v>0.22352900000000001</v>
      </c>
      <c r="G746" s="987">
        <v>0.15</v>
      </c>
      <c r="H746" s="986">
        <v>7.1999999999999998E-3</v>
      </c>
      <c r="I746" s="986">
        <f t="shared" si="4"/>
        <v>0.21632899999999999</v>
      </c>
      <c r="J746" s="988">
        <v>32143</v>
      </c>
    </row>
    <row r="747" spans="1:10">
      <c r="A747" s="987">
        <v>39</v>
      </c>
      <c r="B747" s="988">
        <v>32174</v>
      </c>
      <c r="C747" s="987" t="s">
        <v>4641</v>
      </c>
      <c r="D747" s="987" t="s">
        <v>4642</v>
      </c>
      <c r="E747" s="987">
        <v>10.5</v>
      </c>
      <c r="F747" s="987">
        <v>2.4389999999999998E-2</v>
      </c>
      <c r="G747" s="987">
        <v>0</v>
      </c>
      <c r="H747" s="986">
        <v>7.1000000000000004E-3</v>
      </c>
      <c r="I747" s="986">
        <f t="shared" si="4"/>
        <v>1.729E-2</v>
      </c>
      <c r="J747" s="988">
        <v>32174</v>
      </c>
    </row>
    <row r="748" spans="1:10">
      <c r="A748" s="987">
        <v>39</v>
      </c>
      <c r="B748" s="988">
        <v>32203</v>
      </c>
      <c r="C748" s="987" t="s">
        <v>4643</v>
      </c>
      <c r="D748" s="987" t="s">
        <v>4642</v>
      </c>
      <c r="E748" s="987">
        <v>10.75</v>
      </c>
      <c r="F748" s="987">
        <v>2.3810000000000001E-2</v>
      </c>
      <c r="G748" s="987">
        <v>0</v>
      </c>
      <c r="H748" s="986">
        <v>7.1999999999999998E-3</v>
      </c>
      <c r="I748" s="986">
        <f t="shared" si="4"/>
        <v>1.661E-2</v>
      </c>
      <c r="J748" s="988">
        <v>32203</v>
      </c>
    </row>
    <row r="749" spans="1:10">
      <c r="A749" s="987">
        <v>39</v>
      </c>
      <c r="B749" s="988">
        <v>32234</v>
      </c>
      <c r="C749" s="987" t="s">
        <v>4643</v>
      </c>
      <c r="D749" s="987" t="s">
        <v>4642</v>
      </c>
      <c r="E749" s="987">
        <v>10.375</v>
      </c>
      <c r="F749" s="987">
        <v>-2.0930000000000001E-2</v>
      </c>
      <c r="G749" s="987">
        <v>0.15</v>
      </c>
      <c r="H749" s="986">
        <v>7.0000000000000001E-3</v>
      </c>
      <c r="I749" s="986">
        <f t="shared" si="4"/>
        <v>-2.793E-2</v>
      </c>
      <c r="J749" s="988">
        <v>32234</v>
      </c>
    </row>
    <row r="750" spans="1:10">
      <c r="A750" s="987">
        <v>39</v>
      </c>
      <c r="B750" s="988">
        <v>32264</v>
      </c>
      <c r="C750" s="987" t="s">
        <v>4643</v>
      </c>
      <c r="D750" s="987" t="s">
        <v>4642</v>
      </c>
      <c r="E750" s="987">
        <v>11.25</v>
      </c>
      <c r="F750" s="987">
        <v>8.4336999999999995E-2</v>
      </c>
      <c r="G750" s="987">
        <v>0</v>
      </c>
      <c r="H750" s="986">
        <v>7.7999999999999996E-3</v>
      </c>
      <c r="I750" s="986">
        <f t="shared" si="4"/>
        <v>7.6536999999999994E-2</v>
      </c>
      <c r="J750" s="988">
        <v>32264</v>
      </c>
    </row>
    <row r="751" spans="1:10">
      <c r="A751" s="987">
        <v>39</v>
      </c>
      <c r="B751" s="988">
        <v>32295</v>
      </c>
      <c r="C751" s="987" t="s">
        <v>4643</v>
      </c>
      <c r="D751" s="987" t="s">
        <v>4642</v>
      </c>
      <c r="E751" s="987">
        <v>11.375</v>
      </c>
      <c r="F751" s="987">
        <v>1.1110999999999999E-2</v>
      </c>
      <c r="G751" s="987">
        <v>0</v>
      </c>
      <c r="H751" s="986">
        <v>7.6E-3</v>
      </c>
      <c r="I751" s="986">
        <f t="shared" si="4"/>
        <v>3.5109999999999994E-3</v>
      </c>
      <c r="J751" s="988">
        <v>32295</v>
      </c>
    </row>
    <row r="752" spans="1:10">
      <c r="A752" s="987">
        <v>39</v>
      </c>
      <c r="B752" s="988">
        <v>32325</v>
      </c>
      <c r="C752" s="987" t="s">
        <v>4643</v>
      </c>
      <c r="D752" s="987" t="s">
        <v>4642</v>
      </c>
      <c r="E752" s="987">
        <v>11.25</v>
      </c>
      <c r="F752" s="987">
        <v>2.1979999999999999E-3</v>
      </c>
      <c r="G752" s="987">
        <v>0.15</v>
      </c>
      <c r="H752" s="986">
        <v>7.1000000000000004E-3</v>
      </c>
      <c r="I752" s="986">
        <f t="shared" si="4"/>
        <v>-4.9020000000000001E-3</v>
      </c>
      <c r="J752" s="988">
        <v>32325</v>
      </c>
    </row>
    <row r="753" spans="1:10">
      <c r="A753" s="987">
        <v>39</v>
      </c>
      <c r="B753" s="988">
        <v>32356</v>
      </c>
      <c r="C753" s="987" t="s">
        <v>4643</v>
      </c>
      <c r="D753" s="987" t="s">
        <v>4642</v>
      </c>
      <c r="E753" s="987">
        <v>11.375</v>
      </c>
      <c r="F753" s="987">
        <v>1.1110999999999999E-2</v>
      </c>
      <c r="G753" s="987">
        <v>0</v>
      </c>
      <c r="H753" s="986">
        <v>8.3000000000000001E-3</v>
      </c>
      <c r="I753" s="986">
        <f t="shared" si="4"/>
        <v>2.8109999999999993E-3</v>
      </c>
      <c r="J753" s="988">
        <v>32356</v>
      </c>
    </row>
    <row r="754" spans="1:10">
      <c r="A754" s="987">
        <v>39</v>
      </c>
      <c r="B754" s="988">
        <v>32387</v>
      </c>
      <c r="C754" s="987" t="s">
        <v>4643</v>
      </c>
      <c r="D754" s="987" t="s">
        <v>4642</v>
      </c>
      <c r="E754" s="987">
        <v>12</v>
      </c>
      <c r="F754" s="987">
        <v>5.4945000000000001E-2</v>
      </c>
      <c r="G754" s="987">
        <v>0</v>
      </c>
      <c r="H754" s="986">
        <v>7.6E-3</v>
      </c>
      <c r="I754" s="986">
        <f t="shared" si="4"/>
        <v>4.7344999999999998E-2</v>
      </c>
      <c r="J754" s="988">
        <v>32387</v>
      </c>
    </row>
    <row r="755" spans="1:10">
      <c r="A755" s="987">
        <v>39</v>
      </c>
      <c r="B755" s="988">
        <v>32417</v>
      </c>
      <c r="C755" s="987" t="s">
        <v>4643</v>
      </c>
      <c r="D755" s="987" t="s">
        <v>4642</v>
      </c>
      <c r="E755" s="987">
        <v>13.75</v>
      </c>
      <c r="F755" s="987">
        <v>0.158333</v>
      </c>
      <c r="G755" s="987">
        <v>0.15</v>
      </c>
      <c r="H755" s="986">
        <v>7.6E-3</v>
      </c>
      <c r="I755" s="986">
        <f t="shared" si="4"/>
        <v>0.15073300000000001</v>
      </c>
      <c r="J755" s="988">
        <v>32417</v>
      </c>
    </row>
    <row r="756" spans="1:10">
      <c r="A756" s="987">
        <v>39</v>
      </c>
      <c r="B756" s="988">
        <v>32448</v>
      </c>
      <c r="C756" s="987" t="s">
        <v>4643</v>
      </c>
      <c r="D756" s="987" t="s">
        <v>4642</v>
      </c>
      <c r="E756" s="987">
        <v>13.5</v>
      </c>
      <c r="F756" s="987">
        <v>-1.8182E-2</v>
      </c>
      <c r="G756" s="987">
        <v>0</v>
      </c>
      <c r="H756" s="986">
        <v>7.0000000000000001E-3</v>
      </c>
      <c r="I756" s="986">
        <f t="shared" si="4"/>
        <v>-2.5182E-2</v>
      </c>
      <c r="J756" s="988">
        <v>32448</v>
      </c>
    </row>
    <row r="757" spans="1:10">
      <c r="A757" s="987">
        <v>39</v>
      </c>
      <c r="B757" s="988">
        <v>32478</v>
      </c>
      <c r="C757" s="987" t="s">
        <v>4643</v>
      </c>
      <c r="D757" s="987" t="s">
        <v>4642</v>
      </c>
      <c r="E757" s="987">
        <v>13.875</v>
      </c>
      <c r="F757" s="987">
        <v>2.7778000000000001E-2</v>
      </c>
      <c r="G757" s="987">
        <v>0</v>
      </c>
      <c r="H757" s="986">
        <v>7.4999999999999997E-3</v>
      </c>
      <c r="I757" s="986">
        <f t="shared" si="4"/>
        <v>2.0278000000000001E-2</v>
      </c>
      <c r="J757" s="988">
        <v>32478</v>
      </c>
    </row>
    <row r="758" spans="1:10">
      <c r="A758" s="987">
        <v>39</v>
      </c>
      <c r="B758" s="988">
        <v>32509</v>
      </c>
      <c r="C758" s="987" t="s">
        <v>4643</v>
      </c>
      <c r="D758" s="987" t="s">
        <v>4642</v>
      </c>
      <c r="E758" s="987">
        <v>14</v>
      </c>
      <c r="F758" s="987">
        <v>2.4143999999999999E-2</v>
      </c>
      <c r="G758" s="987">
        <v>0.21</v>
      </c>
      <c r="H758" s="986">
        <v>8.0000000000000002E-3</v>
      </c>
      <c r="I758" s="986">
        <f t="shared" si="4"/>
        <v>1.6143999999999999E-2</v>
      </c>
      <c r="J758" s="988">
        <v>32509</v>
      </c>
    </row>
    <row r="759" spans="1:10">
      <c r="A759" s="987">
        <v>39</v>
      </c>
      <c r="B759" s="988">
        <v>32540</v>
      </c>
      <c r="C759" s="987" t="s">
        <v>4643</v>
      </c>
      <c r="D759" s="987" t="s">
        <v>4642</v>
      </c>
      <c r="E759" s="987">
        <v>14</v>
      </c>
      <c r="F759" s="987">
        <v>0</v>
      </c>
      <c r="G759" s="987">
        <v>0</v>
      </c>
      <c r="H759" s="986">
        <v>6.8999999999999999E-3</v>
      </c>
      <c r="I759" s="986">
        <f t="shared" si="4"/>
        <v>-6.8999999999999999E-3</v>
      </c>
      <c r="J759" s="988">
        <v>32540</v>
      </c>
    </row>
    <row r="760" spans="1:10">
      <c r="A760" s="987">
        <v>39</v>
      </c>
      <c r="B760" s="988">
        <v>32568</v>
      </c>
      <c r="C760" s="987" t="s">
        <v>4643</v>
      </c>
      <c r="D760" s="987" t="s">
        <v>4642</v>
      </c>
      <c r="E760" s="987">
        <v>13.5</v>
      </c>
      <c r="F760" s="987">
        <v>-3.5714000000000003E-2</v>
      </c>
      <c r="G760" s="987">
        <v>0</v>
      </c>
      <c r="H760" s="986">
        <v>7.9000000000000008E-3</v>
      </c>
      <c r="I760" s="986">
        <f t="shared" si="4"/>
        <v>-4.3614E-2</v>
      </c>
      <c r="J760" s="988">
        <v>32568</v>
      </c>
    </row>
    <row r="761" spans="1:10">
      <c r="A761" s="987">
        <v>39</v>
      </c>
      <c r="B761" s="988">
        <v>32599</v>
      </c>
      <c r="C761" s="987" t="s">
        <v>4643</v>
      </c>
      <c r="D761" s="987" t="s">
        <v>4642</v>
      </c>
      <c r="E761" s="987">
        <v>15.375</v>
      </c>
      <c r="F761" s="987">
        <v>0.154444</v>
      </c>
      <c r="G761" s="987">
        <v>0.21</v>
      </c>
      <c r="H761" s="986">
        <v>7.0000000000000001E-3</v>
      </c>
      <c r="I761" s="986">
        <f t="shared" si="4"/>
        <v>0.14744399999999999</v>
      </c>
      <c r="J761" s="988">
        <v>32599</v>
      </c>
    </row>
    <row r="762" spans="1:10">
      <c r="A762" s="987">
        <v>39</v>
      </c>
      <c r="B762" s="988">
        <v>32629</v>
      </c>
      <c r="C762" s="987" t="s">
        <v>4643</v>
      </c>
      <c r="D762" s="987" t="s">
        <v>4642</v>
      </c>
      <c r="E762" s="987">
        <v>16.375</v>
      </c>
      <c r="F762" s="987">
        <v>6.5041000000000002E-2</v>
      </c>
      <c r="G762" s="987">
        <v>0</v>
      </c>
      <c r="H762" s="986">
        <v>8.0000000000000002E-3</v>
      </c>
      <c r="I762" s="986">
        <f t="shared" si="4"/>
        <v>5.7041000000000001E-2</v>
      </c>
      <c r="J762" s="988">
        <v>32629</v>
      </c>
    </row>
    <row r="763" spans="1:10">
      <c r="A763" s="987">
        <v>39</v>
      </c>
      <c r="B763" s="988">
        <v>32660</v>
      </c>
      <c r="C763" s="987" t="s">
        <v>4643</v>
      </c>
      <c r="D763" s="987" t="s">
        <v>4642</v>
      </c>
      <c r="E763" s="987">
        <v>17.25</v>
      </c>
      <c r="F763" s="987">
        <v>5.3435000000000003E-2</v>
      </c>
      <c r="G763" s="987">
        <v>0</v>
      </c>
      <c r="H763" s="986">
        <v>7.0000000000000001E-3</v>
      </c>
      <c r="I763" s="986">
        <f t="shared" si="4"/>
        <v>4.6435000000000004E-2</v>
      </c>
      <c r="J763" s="988">
        <v>32660</v>
      </c>
    </row>
    <row r="764" spans="1:10">
      <c r="A764" s="987">
        <v>39</v>
      </c>
      <c r="B764" s="988">
        <v>32690</v>
      </c>
      <c r="C764" s="987" t="s">
        <v>4643</v>
      </c>
      <c r="D764" s="987" t="s">
        <v>4642</v>
      </c>
      <c r="E764" s="987">
        <v>18.75</v>
      </c>
      <c r="F764" s="987">
        <v>9.9129999999999996E-2</v>
      </c>
      <c r="G764" s="987">
        <v>0.21</v>
      </c>
      <c r="H764" s="986">
        <v>6.7999999999999996E-3</v>
      </c>
      <c r="I764" s="986">
        <f t="shared" si="4"/>
        <v>9.2329999999999995E-2</v>
      </c>
      <c r="J764" s="988">
        <v>32690</v>
      </c>
    </row>
    <row r="765" spans="1:10">
      <c r="A765" s="987">
        <v>39</v>
      </c>
      <c r="B765" s="988">
        <v>32721</v>
      </c>
      <c r="C765" s="987" t="s">
        <v>4643</v>
      </c>
      <c r="D765" s="987" t="s">
        <v>4642</v>
      </c>
      <c r="E765" s="987">
        <v>18.625</v>
      </c>
      <c r="F765" s="987">
        <v>-6.6670000000000002E-3</v>
      </c>
      <c r="G765" s="987">
        <v>0</v>
      </c>
      <c r="H765" s="986">
        <v>6.6E-3</v>
      </c>
      <c r="I765" s="986">
        <f t="shared" si="4"/>
        <v>-1.3267000000000001E-2</v>
      </c>
      <c r="J765" s="988">
        <v>32721</v>
      </c>
    </row>
    <row r="766" spans="1:10">
      <c r="A766" s="987">
        <v>39</v>
      </c>
      <c r="B766" s="988">
        <v>32752</v>
      </c>
      <c r="C766" s="987" t="s">
        <v>4643</v>
      </c>
      <c r="D766" s="987" t="s">
        <v>4642</v>
      </c>
      <c r="E766" s="987">
        <v>18.625</v>
      </c>
      <c r="F766" s="987">
        <v>0</v>
      </c>
      <c r="G766" s="987">
        <v>0</v>
      </c>
      <c r="H766" s="986">
        <v>6.4999999999999997E-3</v>
      </c>
      <c r="I766" s="986">
        <f t="shared" ref="I766:I829" si="5">F766-H766</f>
        <v>-6.4999999999999997E-3</v>
      </c>
      <c r="J766" s="988">
        <v>32752</v>
      </c>
    </row>
    <row r="767" spans="1:10">
      <c r="A767" s="987">
        <v>39</v>
      </c>
      <c r="B767" s="988">
        <v>32782</v>
      </c>
      <c r="C767" s="987" t="s">
        <v>4643</v>
      </c>
      <c r="D767" s="987" t="s">
        <v>4642</v>
      </c>
      <c r="E767" s="987">
        <v>17.875</v>
      </c>
      <c r="F767" s="987">
        <v>-2.8993000000000001E-2</v>
      </c>
      <c r="G767" s="987">
        <v>0.21</v>
      </c>
      <c r="H767" s="986">
        <v>7.1999999999999998E-3</v>
      </c>
      <c r="I767" s="986">
        <f t="shared" si="5"/>
        <v>-3.6193000000000003E-2</v>
      </c>
      <c r="J767" s="988">
        <v>32782</v>
      </c>
    </row>
    <row r="768" spans="1:10">
      <c r="A768" s="987">
        <v>39</v>
      </c>
      <c r="B768" s="988">
        <v>32813</v>
      </c>
      <c r="C768" s="987" t="s">
        <v>4643</v>
      </c>
      <c r="D768" s="987" t="s">
        <v>4642</v>
      </c>
      <c r="E768" s="987">
        <v>18.5</v>
      </c>
      <c r="F768" s="987">
        <v>3.4965000000000003E-2</v>
      </c>
      <c r="G768" s="987">
        <v>0</v>
      </c>
      <c r="H768" s="986">
        <v>6.4000000000000003E-3</v>
      </c>
      <c r="I768" s="986">
        <f t="shared" si="5"/>
        <v>2.8565000000000004E-2</v>
      </c>
      <c r="J768" s="988">
        <v>32813</v>
      </c>
    </row>
    <row r="769" spans="1:10">
      <c r="A769" s="987">
        <v>39</v>
      </c>
      <c r="B769" s="988">
        <v>32843</v>
      </c>
      <c r="C769" s="987" t="s">
        <v>4643</v>
      </c>
      <c r="D769" s="987" t="s">
        <v>4642</v>
      </c>
      <c r="E769" s="987">
        <v>19.375</v>
      </c>
      <c r="F769" s="987">
        <v>4.7296999999999999E-2</v>
      </c>
      <c r="G769" s="987">
        <v>0</v>
      </c>
      <c r="H769" s="986">
        <v>6.4000000000000003E-3</v>
      </c>
      <c r="I769" s="986">
        <f t="shared" si="5"/>
        <v>4.0896999999999996E-2</v>
      </c>
      <c r="J769" s="988">
        <v>32843</v>
      </c>
    </row>
    <row r="770" spans="1:10">
      <c r="A770" s="987">
        <v>39</v>
      </c>
      <c r="B770" s="988">
        <v>32874</v>
      </c>
      <c r="C770" s="987" t="s">
        <v>4643</v>
      </c>
      <c r="D770" s="987" t="s">
        <v>4642</v>
      </c>
      <c r="E770" s="987">
        <v>17.75</v>
      </c>
      <c r="F770" s="987">
        <v>-7.0452000000000001E-2</v>
      </c>
      <c r="G770" s="987">
        <v>0.26</v>
      </c>
      <c r="H770" s="986">
        <v>7.3000000000000001E-3</v>
      </c>
      <c r="I770" s="986">
        <f t="shared" si="5"/>
        <v>-7.7752000000000002E-2</v>
      </c>
      <c r="J770" s="988">
        <v>32874</v>
      </c>
    </row>
    <row r="771" spans="1:10">
      <c r="A771" s="987">
        <v>39</v>
      </c>
      <c r="B771" s="988">
        <v>32905</v>
      </c>
      <c r="C771" s="987" t="s">
        <v>4643</v>
      </c>
      <c r="D771" s="987" t="s">
        <v>4642</v>
      </c>
      <c r="E771" s="987">
        <v>18.125</v>
      </c>
      <c r="F771" s="987">
        <v>2.1127E-2</v>
      </c>
      <c r="G771" s="987">
        <v>0</v>
      </c>
      <c r="H771" s="986">
        <v>6.6E-3</v>
      </c>
      <c r="I771" s="986">
        <f t="shared" si="5"/>
        <v>1.4527E-2</v>
      </c>
      <c r="J771" s="988">
        <v>32905</v>
      </c>
    </row>
    <row r="772" spans="1:10">
      <c r="A772" s="987">
        <v>39</v>
      </c>
      <c r="B772" s="988">
        <v>32933</v>
      </c>
      <c r="C772" s="987" t="s">
        <v>4643</v>
      </c>
      <c r="D772" s="987" t="s">
        <v>4642</v>
      </c>
      <c r="E772" s="987">
        <v>17.875</v>
      </c>
      <c r="F772" s="987">
        <v>-1.3793E-2</v>
      </c>
      <c r="G772" s="987">
        <v>0</v>
      </c>
      <c r="H772" s="986">
        <v>7.1000000000000004E-3</v>
      </c>
      <c r="I772" s="986">
        <f t="shared" si="5"/>
        <v>-2.0893000000000002E-2</v>
      </c>
      <c r="J772" s="988">
        <v>32933</v>
      </c>
    </row>
    <row r="773" spans="1:10">
      <c r="A773" s="987">
        <v>39</v>
      </c>
      <c r="B773" s="988">
        <v>32964</v>
      </c>
      <c r="C773" s="987" t="s">
        <v>4643</v>
      </c>
      <c r="D773" s="987" t="s">
        <v>4642</v>
      </c>
      <c r="E773" s="987">
        <v>16.625</v>
      </c>
      <c r="F773" s="987">
        <v>-5.5384999999999997E-2</v>
      </c>
      <c r="G773" s="987">
        <v>0.26</v>
      </c>
      <c r="H773" s="986">
        <v>7.4999999999999997E-3</v>
      </c>
      <c r="I773" s="986">
        <f t="shared" si="5"/>
        <v>-6.2884999999999996E-2</v>
      </c>
      <c r="J773" s="988">
        <v>32964</v>
      </c>
    </row>
    <row r="774" spans="1:10">
      <c r="A774" s="987">
        <v>39</v>
      </c>
      <c r="B774" s="988">
        <v>32994</v>
      </c>
      <c r="C774" s="987" t="s">
        <v>4643</v>
      </c>
      <c r="D774" s="987" t="s">
        <v>4642</v>
      </c>
      <c r="E774" s="987">
        <v>16.75</v>
      </c>
      <c r="F774" s="987">
        <v>7.5189999999999996E-3</v>
      </c>
      <c r="G774" s="987">
        <v>0</v>
      </c>
      <c r="H774" s="986">
        <v>7.4999999999999997E-3</v>
      </c>
      <c r="I774" s="986">
        <f t="shared" si="5"/>
        <v>1.899999999999992E-5</v>
      </c>
      <c r="J774" s="988">
        <v>32994</v>
      </c>
    </row>
    <row r="775" spans="1:10">
      <c r="A775" s="987">
        <v>39</v>
      </c>
      <c r="B775" s="988">
        <v>33025</v>
      </c>
      <c r="C775" s="987" t="s">
        <v>4643</v>
      </c>
      <c r="D775" s="987" t="s">
        <v>4642</v>
      </c>
      <c r="E775" s="987">
        <v>17.625</v>
      </c>
      <c r="F775" s="987">
        <v>5.2239000000000001E-2</v>
      </c>
      <c r="G775" s="987">
        <v>0</v>
      </c>
      <c r="H775" s="986">
        <v>6.7999999999999996E-3</v>
      </c>
      <c r="I775" s="986">
        <f t="shared" si="5"/>
        <v>4.5439E-2</v>
      </c>
      <c r="J775" s="988">
        <v>33025</v>
      </c>
    </row>
    <row r="776" spans="1:10">
      <c r="A776" s="987">
        <v>39</v>
      </c>
      <c r="B776" s="988">
        <v>33055</v>
      </c>
      <c r="C776" s="987" t="s">
        <v>4643</v>
      </c>
      <c r="D776" s="987" t="s">
        <v>4642</v>
      </c>
      <c r="E776" s="987">
        <v>18.125</v>
      </c>
      <c r="F776" s="987">
        <v>4.3121E-2</v>
      </c>
      <c r="G776" s="987">
        <v>0.26</v>
      </c>
      <c r="H776" s="986">
        <v>7.4000000000000003E-3</v>
      </c>
      <c r="I776" s="986">
        <f t="shared" si="5"/>
        <v>3.5721000000000003E-2</v>
      </c>
      <c r="J776" s="988">
        <v>33055</v>
      </c>
    </row>
    <row r="777" spans="1:10">
      <c r="A777" s="987">
        <v>39</v>
      </c>
      <c r="B777" s="988">
        <v>33086</v>
      </c>
      <c r="C777" s="987" t="s">
        <v>4643</v>
      </c>
      <c r="D777" s="987" t="s">
        <v>4642</v>
      </c>
      <c r="E777" s="987">
        <v>16.375</v>
      </c>
      <c r="F777" s="987">
        <v>-9.6551999999999999E-2</v>
      </c>
      <c r="G777" s="987">
        <v>0</v>
      </c>
      <c r="H777" s="986">
        <v>7.1000000000000004E-3</v>
      </c>
      <c r="I777" s="986">
        <f t="shared" si="5"/>
        <v>-0.10365199999999999</v>
      </c>
      <c r="J777" s="988">
        <v>33086</v>
      </c>
    </row>
    <row r="778" spans="1:10">
      <c r="A778" s="987">
        <v>39</v>
      </c>
      <c r="B778" s="988">
        <v>33117</v>
      </c>
      <c r="C778" s="987" t="s">
        <v>4643</v>
      </c>
      <c r="D778" s="987" t="s">
        <v>4642</v>
      </c>
      <c r="E778" s="987">
        <v>16.375</v>
      </c>
      <c r="F778" s="987">
        <v>0</v>
      </c>
      <c r="G778" s="987">
        <v>0</v>
      </c>
      <c r="H778" s="986">
        <v>6.8999999999999999E-3</v>
      </c>
      <c r="I778" s="986">
        <f t="shared" si="5"/>
        <v>-6.8999999999999999E-3</v>
      </c>
      <c r="J778" s="988">
        <v>33117</v>
      </c>
    </row>
    <row r="779" spans="1:10">
      <c r="A779" s="987">
        <v>39</v>
      </c>
      <c r="B779" s="988">
        <v>33147</v>
      </c>
      <c r="C779" s="987" t="s">
        <v>4643</v>
      </c>
      <c r="D779" s="987" t="s">
        <v>4642</v>
      </c>
      <c r="E779" s="987">
        <v>17.5</v>
      </c>
      <c r="F779" s="987">
        <v>8.4580000000000002E-2</v>
      </c>
      <c r="G779" s="987">
        <v>0.26</v>
      </c>
      <c r="H779" s="986">
        <v>8.0999999999999996E-3</v>
      </c>
      <c r="I779" s="986">
        <f t="shared" si="5"/>
        <v>7.6480000000000006E-2</v>
      </c>
      <c r="J779" s="988">
        <v>33147</v>
      </c>
    </row>
    <row r="780" spans="1:10">
      <c r="A780" s="987">
        <v>39</v>
      </c>
      <c r="B780" s="988">
        <v>33178</v>
      </c>
      <c r="C780" s="987" t="s">
        <v>4643</v>
      </c>
      <c r="D780" s="987" t="s">
        <v>4642</v>
      </c>
      <c r="E780" s="987">
        <v>18.875</v>
      </c>
      <c r="F780" s="987">
        <v>7.8571000000000002E-2</v>
      </c>
      <c r="G780" s="987">
        <v>0</v>
      </c>
      <c r="H780" s="986">
        <v>7.1000000000000004E-3</v>
      </c>
      <c r="I780" s="986">
        <f t="shared" si="5"/>
        <v>7.1471000000000007E-2</v>
      </c>
      <c r="J780" s="988">
        <v>33178</v>
      </c>
    </row>
    <row r="781" spans="1:10">
      <c r="A781" s="987">
        <v>39</v>
      </c>
      <c r="B781" s="988">
        <v>33208</v>
      </c>
      <c r="C781" s="987" t="s">
        <v>4643</v>
      </c>
      <c r="D781" s="987" t="s">
        <v>4642</v>
      </c>
      <c r="E781" s="987">
        <v>18.875</v>
      </c>
      <c r="F781" s="987">
        <v>0</v>
      </c>
      <c r="G781" s="987">
        <v>0</v>
      </c>
      <c r="H781" s="986">
        <v>7.1999999999999998E-3</v>
      </c>
      <c r="I781" s="986">
        <f t="shared" si="5"/>
        <v>-7.1999999999999998E-3</v>
      </c>
      <c r="J781" s="988">
        <v>33208</v>
      </c>
    </row>
    <row r="782" spans="1:10">
      <c r="A782" s="987">
        <v>39</v>
      </c>
      <c r="B782" s="988">
        <v>33239</v>
      </c>
      <c r="C782" s="987" t="s">
        <v>4643</v>
      </c>
      <c r="D782" s="987" t="s">
        <v>4642</v>
      </c>
      <c r="E782" s="987">
        <v>18.75</v>
      </c>
      <c r="F782" s="987">
        <v>8.7419999999999998E-3</v>
      </c>
      <c r="G782" s="987">
        <v>0.28999999999999998</v>
      </c>
      <c r="H782" s="986">
        <v>7.1000000000000004E-3</v>
      </c>
      <c r="I782" s="986">
        <f t="shared" si="5"/>
        <v>1.6419999999999994E-3</v>
      </c>
      <c r="J782" s="988">
        <v>33239</v>
      </c>
    </row>
    <row r="783" spans="1:10">
      <c r="A783" s="987">
        <v>39</v>
      </c>
      <c r="B783" s="988">
        <v>33270</v>
      </c>
      <c r="C783" s="987" t="s">
        <v>4643</v>
      </c>
      <c r="D783" s="987" t="s">
        <v>4642</v>
      </c>
      <c r="E783" s="987">
        <v>19.75</v>
      </c>
      <c r="F783" s="987">
        <v>5.3332999999999998E-2</v>
      </c>
      <c r="G783" s="987">
        <v>0</v>
      </c>
      <c r="H783" s="986">
        <v>6.4000000000000003E-3</v>
      </c>
      <c r="I783" s="986">
        <f t="shared" si="5"/>
        <v>4.6932999999999996E-2</v>
      </c>
      <c r="J783" s="988">
        <v>33270</v>
      </c>
    </row>
    <row r="784" spans="1:10">
      <c r="A784" s="987">
        <v>39</v>
      </c>
      <c r="B784" s="988">
        <v>33298</v>
      </c>
      <c r="C784" s="987" t="s">
        <v>4643</v>
      </c>
      <c r="D784" s="987" t="s">
        <v>4642</v>
      </c>
      <c r="E784" s="987">
        <v>19.875</v>
      </c>
      <c r="F784" s="987">
        <v>6.3290000000000004E-3</v>
      </c>
      <c r="G784" s="987">
        <v>0</v>
      </c>
      <c r="H784" s="986">
        <v>6.4000000000000003E-3</v>
      </c>
      <c r="I784" s="986">
        <f t="shared" si="5"/>
        <v>-7.0999999999999883E-5</v>
      </c>
      <c r="J784" s="988">
        <v>33298</v>
      </c>
    </row>
    <row r="785" spans="1:10">
      <c r="A785" s="987">
        <v>39</v>
      </c>
      <c r="B785" s="988">
        <v>33329</v>
      </c>
      <c r="C785" s="987" t="s">
        <v>4643</v>
      </c>
      <c r="D785" s="987" t="s">
        <v>4642</v>
      </c>
      <c r="E785" s="987">
        <v>20.875</v>
      </c>
      <c r="F785" s="987">
        <v>6.4906000000000005E-2</v>
      </c>
      <c r="G785" s="987">
        <v>0.28999999999999998</v>
      </c>
      <c r="H785" s="986">
        <v>7.6E-3</v>
      </c>
      <c r="I785" s="986">
        <f t="shared" si="5"/>
        <v>5.7306000000000003E-2</v>
      </c>
      <c r="J785" s="988">
        <v>33329</v>
      </c>
    </row>
    <row r="786" spans="1:10">
      <c r="A786" s="987">
        <v>39</v>
      </c>
      <c r="B786" s="988">
        <v>33359</v>
      </c>
      <c r="C786" s="987" t="s">
        <v>4643</v>
      </c>
      <c r="D786" s="987" t="s">
        <v>4642</v>
      </c>
      <c r="E786" s="987">
        <v>21.375</v>
      </c>
      <c r="F786" s="987">
        <v>2.3952000000000001E-2</v>
      </c>
      <c r="G786" s="987">
        <v>0</v>
      </c>
      <c r="H786" s="986">
        <v>6.7999999999999996E-3</v>
      </c>
      <c r="I786" s="986">
        <f t="shared" si="5"/>
        <v>1.7152000000000001E-2</v>
      </c>
      <c r="J786" s="988">
        <v>33359</v>
      </c>
    </row>
    <row r="787" spans="1:10">
      <c r="A787" s="987">
        <v>39</v>
      </c>
      <c r="B787" s="988">
        <v>33390</v>
      </c>
      <c r="C787" s="987" t="s">
        <v>4643</v>
      </c>
      <c r="D787" s="987" t="s">
        <v>4642</v>
      </c>
      <c r="E787" s="987">
        <v>20.5</v>
      </c>
      <c r="F787" s="987">
        <v>-4.0936E-2</v>
      </c>
      <c r="G787" s="987">
        <v>0</v>
      </c>
      <c r="H787" s="986">
        <v>6.3E-3</v>
      </c>
      <c r="I787" s="986">
        <f t="shared" si="5"/>
        <v>-4.7236E-2</v>
      </c>
      <c r="J787" s="988">
        <v>33390</v>
      </c>
    </row>
    <row r="788" spans="1:10">
      <c r="A788" s="987">
        <v>39</v>
      </c>
      <c r="B788" s="988">
        <v>33420</v>
      </c>
      <c r="C788" s="987" t="s">
        <v>4643</v>
      </c>
      <c r="D788" s="987" t="s">
        <v>4642</v>
      </c>
      <c r="E788" s="987">
        <v>21.75</v>
      </c>
      <c r="F788" s="987">
        <v>7.5121999999999994E-2</v>
      </c>
      <c r="G788" s="987">
        <v>0.28999999999999998</v>
      </c>
      <c r="H788" s="986">
        <v>7.6E-3</v>
      </c>
      <c r="I788" s="986">
        <f t="shared" si="5"/>
        <v>6.7521999999999999E-2</v>
      </c>
      <c r="J788" s="988">
        <v>33420</v>
      </c>
    </row>
    <row r="789" spans="1:10">
      <c r="A789" s="987">
        <v>39</v>
      </c>
      <c r="B789" s="988">
        <v>33451</v>
      </c>
      <c r="C789" s="987" t="s">
        <v>4643</v>
      </c>
      <c r="D789" s="987" t="s">
        <v>4642</v>
      </c>
      <c r="E789" s="987">
        <v>22.875</v>
      </c>
      <c r="F789" s="987">
        <v>5.1723999999999999E-2</v>
      </c>
      <c r="G789" s="987">
        <v>0</v>
      </c>
      <c r="H789" s="986">
        <v>6.7999999999999996E-3</v>
      </c>
      <c r="I789" s="986">
        <f t="shared" si="5"/>
        <v>4.4923999999999999E-2</v>
      </c>
      <c r="J789" s="988">
        <v>33451</v>
      </c>
    </row>
    <row r="790" spans="1:10">
      <c r="A790" s="987">
        <v>39</v>
      </c>
      <c r="B790" s="988">
        <v>33482</v>
      </c>
      <c r="C790" s="987" t="s">
        <v>4643</v>
      </c>
      <c r="D790" s="987" t="s">
        <v>4642</v>
      </c>
      <c r="E790" s="987">
        <v>24.5</v>
      </c>
      <c r="F790" s="987">
        <v>7.1038000000000004E-2</v>
      </c>
      <c r="G790" s="987">
        <v>0</v>
      </c>
      <c r="H790" s="986">
        <v>6.7999999999999996E-3</v>
      </c>
      <c r="I790" s="986">
        <f t="shared" si="5"/>
        <v>6.4238000000000003E-2</v>
      </c>
      <c r="J790" s="988">
        <v>33482</v>
      </c>
    </row>
    <row r="791" spans="1:10">
      <c r="A791" s="987">
        <v>39</v>
      </c>
      <c r="B791" s="988">
        <v>33512</v>
      </c>
      <c r="C791" s="987" t="s">
        <v>4643</v>
      </c>
      <c r="D791" s="987" t="s">
        <v>4642</v>
      </c>
      <c r="E791" s="987">
        <v>25.625</v>
      </c>
      <c r="F791" s="987">
        <v>5.7755000000000001E-2</v>
      </c>
      <c r="G791" s="987">
        <v>0.28999999999999998</v>
      </c>
      <c r="H791" s="986">
        <v>6.4999999999999997E-3</v>
      </c>
      <c r="I791" s="986">
        <f t="shared" si="5"/>
        <v>5.1255000000000002E-2</v>
      </c>
      <c r="J791" s="988">
        <v>33512</v>
      </c>
    </row>
    <row r="792" spans="1:10">
      <c r="A792" s="987">
        <v>39</v>
      </c>
      <c r="B792" s="988">
        <v>33543</v>
      </c>
      <c r="C792" s="987" t="s">
        <v>4643</v>
      </c>
      <c r="D792" s="987" t="s">
        <v>4642</v>
      </c>
      <c r="E792" s="987">
        <v>25.75</v>
      </c>
      <c r="F792" s="987">
        <v>4.8780000000000004E-3</v>
      </c>
      <c r="G792" s="987">
        <v>0</v>
      </c>
      <c r="H792" s="986">
        <v>6.0000000000000001E-3</v>
      </c>
      <c r="I792" s="986">
        <f t="shared" si="5"/>
        <v>-1.1219999999999997E-3</v>
      </c>
      <c r="J792" s="988">
        <v>33543</v>
      </c>
    </row>
    <row r="793" spans="1:10">
      <c r="A793" s="987">
        <v>39</v>
      </c>
      <c r="B793" s="988">
        <v>33573</v>
      </c>
      <c r="C793" s="987" t="s">
        <v>4643</v>
      </c>
      <c r="D793" s="987" t="s">
        <v>4642</v>
      </c>
      <c r="E793" s="987">
        <v>25.75</v>
      </c>
      <c r="F793" s="987">
        <v>0</v>
      </c>
      <c r="G793" s="987">
        <v>0</v>
      </c>
      <c r="H793" s="986">
        <v>6.7999999999999996E-3</v>
      </c>
      <c r="I793" s="986">
        <f t="shared" si="5"/>
        <v>-6.7999999999999996E-3</v>
      </c>
      <c r="J793" s="988">
        <v>33573</v>
      </c>
    </row>
    <row r="794" spans="1:10">
      <c r="A794" s="987">
        <v>39</v>
      </c>
      <c r="B794" s="988">
        <v>33604</v>
      </c>
      <c r="C794" s="987" t="s">
        <v>4643</v>
      </c>
      <c r="D794" s="987" t="s">
        <v>4642</v>
      </c>
      <c r="E794" s="987">
        <v>23.75</v>
      </c>
      <c r="F794" s="987">
        <v>-6.5630999999999995E-2</v>
      </c>
      <c r="G794" s="987">
        <v>0.31</v>
      </c>
      <c r="H794" s="986">
        <v>6.1000000000000004E-3</v>
      </c>
      <c r="I794" s="986">
        <f t="shared" si="5"/>
        <v>-7.1730999999999989E-2</v>
      </c>
      <c r="J794" s="988">
        <v>33604</v>
      </c>
    </row>
    <row r="795" spans="1:10">
      <c r="A795" s="987">
        <v>39</v>
      </c>
      <c r="B795" s="988">
        <v>33635</v>
      </c>
      <c r="C795" s="987" t="s">
        <v>4643</v>
      </c>
      <c r="D795" s="987" t="s">
        <v>4642</v>
      </c>
      <c r="E795" s="987">
        <v>23.125</v>
      </c>
      <c r="F795" s="987">
        <v>-2.6315999999999999E-2</v>
      </c>
      <c r="G795" s="987">
        <v>0</v>
      </c>
      <c r="H795" s="986">
        <v>5.8999999999999999E-3</v>
      </c>
      <c r="I795" s="986">
        <f t="shared" si="5"/>
        <v>-3.2216000000000002E-2</v>
      </c>
      <c r="J795" s="988">
        <v>33635</v>
      </c>
    </row>
    <row r="796" spans="1:10">
      <c r="A796" s="987">
        <v>39</v>
      </c>
      <c r="B796" s="988">
        <v>33664</v>
      </c>
      <c r="C796" s="987" t="s">
        <v>4643</v>
      </c>
      <c r="D796" s="987" t="s">
        <v>4642</v>
      </c>
      <c r="E796" s="987">
        <v>22.75</v>
      </c>
      <c r="F796" s="987">
        <v>-1.6216000000000001E-2</v>
      </c>
      <c r="G796" s="987">
        <v>0</v>
      </c>
      <c r="H796" s="986">
        <v>6.7000000000000002E-3</v>
      </c>
      <c r="I796" s="986">
        <f t="shared" si="5"/>
        <v>-2.2916000000000002E-2</v>
      </c>
      <c r="J796" s="988">
        <v>33664</v>
      </c>
    </row>
    <row r="797" spans="1:10">
      <c r="A797" s="987">
        <v>39</v>
      </c>
      <c r="B797" s="988">
        <v>33695</v>
      </c>
      <c r="C797" s="987" t="s">
        <v>4643</v>
      </c>
      <c r="D797" s="987" t="s">
        <v>4642</v>
      </c>
      <c r="E797" s="987">
        <v>23.75</v>
      </c>
      <c r="F797" s="987">
        <v>5.7582000000000001E-2</v>
      </c>
      <c r="G797" s="987">
        <v>0.31</v>
      </c>
      <c r="H797" s="986">
        <v>6.4999999999999997E-3</v>
      </c>
      <c r="I797" s="986">
        <f t="shared" si="5"/>
        <v>5.1082000000000002E-2</v>
      </c>
      <c r="J797" s="988">
        <v>33695</v>
      </c>
    </row>
    <row r="798" spans="1:10">
      <c r="A798" s="987">
        <v>39</v>
      </c>
      <c r="B798" s="988">
        <v>33725</v>
      </c>
      <c r="C798" s="987" t="s">
        <v>4643</v>
      </c>
      <c r="D798" s="987" t="s">
        <v>4642</v>
      </c>
      <c r="E798" s="987">
        <v>24.375</v>
      </c>
      <c r="F798" s="987">
        <v>2.6315999999999999E-2</v>
      </c>
      <c r="G798" s="987">
        <v>0</v>
      </c>
      <c r="H798" s="986">
        <v>6.1000000000000004E-3</v>
      </c>
      <c r="I798" s="986">
        <f t="shared" si="5"/>
        <v>2.0215999999999998E-2</v>
      </c>
      <c r="J798" s="988">
        <v>33725</v>
      </c>
    </row>
    <row r="799" spans="1:10">
      <c r="A799" s="987">
        <v>39</v>
      </c>
      <c r="B799" s="988">
        <v>33756</v>
      </c>
      <c r="C799" s="987" t="s">
        <v>4643</v>
      </c>
      <c r="D799" s="987" t="s">
        <v>4642</v>
      </c>
      <c r="E799" s="987">
        <v>25.125</v>
      </c>
      <c r="F799" s="987">
        <v>3.0769000000000001E-2</v>
      </c>
      <c r="G799" s="987">
        <v>0</v>
      </c>
      <c r="H799" s="986">
        <v>6.7000000000000002E-3</v>
      </c>
      <c r="I799" s="986">
        <f t="shared" si="5"/>
        <v>2.4069E-2</v>
      </c>
      <c r="J799" s="988">
        <v>33756</v>
      </c>
    </row>
    <row r="800" spans="1:10">
      <c r="A800" s="987">
        <v>39</v>
      </c>
      <c r="B800" s="988">
        <v>33786</v>
      </c>
      <c r="C800" s="987" t="s">
        <v>4643</v>
      </c>
      <c r="D800" s="987" t="s">
        <v>4642</v>
      </c>
      <c r="E800" s="987">
        <v>26.25</v>
      </c>
      <c r="F800" s="987">
        <v>5.7113999999999998E-2</v>
      </c>
      <c r="G800" s="987">
        <v>0.31</v>
      </c>
      <c r="H800" s="986">
        <v>6.3E-3</v>
      </c>
      <c r="I800" s="986">
        <f t="shared" si="5"/>
        <v>5.0813999999999998E-2</v>
      </c>
      <c r="J800" s="988">
        <v>33786</v>
      </c>
    </row>
    <row r="801" spans="1:10">
      <c r="A801" s="987">
        <v>39</v>
      </c>
      <c r="B801" s="988">
        <v>33817</v>
      </c>
      <c r="C801" s="987" t="s">
        <v>4643</v>
      </c>
      <c r="D801" s="987" t="s">
        <v>4642</v>
      </c>
      <c r="E801" s="987">
        <v>26.25</v>
      </c>
      <c r="F801" s="987">
        <v>0</v>
      </c>
      <c r="G801" s="987">
        <v>0</v>
      </c>
      <c r="H801" s="986">
        <v>6.0000000000000001E-3</v>
      </c>
      <c r="I801" s="986">
        <f t="shared" si="5"/>
        <v>-6.0000000000000001E-3</v>
      </c>
      <c r="J801" s="988">
        <v>33817</v>
      </c>
    </row>
    <row r="802" spans="1:10">
      <c r="A802" s="987">
        <v>39</v>
      </c>
      <c r="B802" s="988">
        <v>33848</v>
      </c>
      <c r="C802" s="987" t="s">
        <v>4643</v>
      </c>
      <c r="D802" s="987" t="s">
        <v>4642</v>
      </c>
      <c r="E802" s="987">
        <v>26.25</v>
      </c>
      <c r="F802" s="987">
        <v>0</v>
      </c>
      <c r="G802" s="987">
        <v>0</v>
      </c>
      <c r="H802" s="986">
        <v>5.7999999999999996E-3</v>
      </c>
      <c r="I802" s="986">
        <f t="shared" si="5"/>
        <v>-5.7999999999999996E-3</v>
      </c>
      <c r="J802" s="988">
        <v>33848</v>
      </c>
    </row>
    <row r="803" spans="1:10">
      <c r="A803" s="987">
        <v>39</v>
      </c>
      <c r="B803" s="988">
        <v>33878</v>
      </c>
      <c r="C803" s="987" t="s">
        <v>4643</v>
      </c>
      <c r="D803" s="987" t="s">
        <v>4642</v>
      </c>
      <c r="E803" s="987">
        <v>25.875</v>
      </c>
      <c r="F803" s="987">
        <v>-2.4759999999999999E-3</v>
      </c>
      <c r="G803" s="987">
        <v>0.31</v>
      </c>
      <c r="H803" s="986">
        <v>5.7000000000000002E-3</v>
      </c>
      <c r="I803" s="986">
        <f t="shared" si="5"/>
        <v>-8.1759999999999992E-3</v>
      </c>
      <c r="J803" s="988">
        <v>33878</v>
      </c>
    </row>
    <row r="804" spans="1:10">
      <c r="A804" s="987">
        <v>39</v>
      </c>
      <c r="B804" s="988">
        <v>33909</v>
      </c>
      <c r="C804" s="987" t="s">
        <v>4643</v>
      </c>
      <c r="D804" s="987" t="s">
        <v>4642</v>
      </c>
      <c r="E804" s="987">
        <v>25.375</v>
      </c>
      <c r="F804" s="987">
        <v>-1.9324000000000001E-2</v>
      </c>
      <c r="G804" s="987">
        <v>0</v>
      </c>
      <c r="H804" s="986">
        <v>6.1000000000000004E-3</v>
      </c>
      <c r="I804" s="986">
        <f t="shared" si="5"/>
        <v>-2.5424000000000002E-2</v>
      </c>
      <c r="J804" s="988">
        <v>33909</v>
      </c>
    </row>
    <row r="805" spans="1:10">
      <c r="A805" s="987">
        <v>39</v>
      </c>
      <c r="B805" s="988">
        <v>33939</v>
      </c>
      <c r="C805" s="987" t="s">
        <v>4643</v>
      </c>
      <c r="D805" s="987" t="s">
        <v>4642</v>
      </c>
      <c r="E805" s="987">
        <v>26.5</v>
      </c>
      <c r="F805" s="987">
        <v>4.4334999999999999E-2</v>
      </c>
      <c r="G805" s="987">
        <v>0</v>
      </c>
      <c r="H805" s="986">
        <v>6.3E-3</v>
      </c>
      <c r="I805" s="986">
        <f t="shared" si="5"/>
        <v>3.8034999999999999E-2</v>
      </c>
      <c r="J805" s="988">
        <v>33939</v>
      </c>
    </row>
    <row r="806" spans="1:10">
      <c r="A806" s="987">
        <v>39</v>
      </c>
      <c r="B806" s="988">
        <v>33970</v>
      </c>
      <c r="C806" s="987" t="s">
        <v>4643</v>
      </c>
      <c r="D806" s="987" t="s">
        <v>4642</v>
      </c>
      <c r="E806" s="987">
        <v>27.625</v>
      </c>
      <c r="F806" s="987">
        <v>5.4906000000000003E-2</v>
      </c>
      <c r="G806" s="987">
        <v>0.33</v>
      </c>
      <c r="H806" s="986">
        <v>5.8999999999999999E-3</v>
      </c>
      <c r="I806" s="986">
        <f t="shared" si="5"/>
        <v>4.9006000000000001E-2</v>
      </c>
      <c r="J806" s="988">
        <v>33970</v>
      </c>
    </row>
    <row r="807" spans="1:10">
      <c r="A807" s="987">
        <v>39</v>
      </c>
      <c r="B807" s="988">
        <v>34001</v>
      </c>
      <c r="C807" s="987" t="s">
        <v>4643</v>
      </c>
      <c r="D807" s="987" t="s">
        <v>4642</v>
      </c>
      <c r="E807" s="987">
        <v>29.375</v>
      </c>
      <c r="F807" s="987">
        <v>6.3348000000000002E-2</v>
      </c>
      <c r="G807" s="987">
        <v>0</v>
      </c>
      <c r="H807" s="986">
        <v>5.4999999999999997E-3</v>
      </c>
      <c r="I807" s="986">
        <f t="shared" si="5"/>
        <v>5.7848000000000004E-2</v>
      </c>
      <c r="J807" s="988">
        <v>34001</v>
      </c>
    </row>
    <row r="808" spans="1:10">
      <c r="A808" s="987">
        <v>39</v>
      </c>
      <c r="B808" s="988">
        <v>34029</v>
      </c>
      <c r="C808" s="987" t="s">
        <v>4643</v>
      </c>
      <c r="D808" s="987" t="s">
        <v>4642</v>
      </c>
      <c r="E808" s="987">
        <v>30.25</v>
      </c>
      <c r="F808" s="987">
        <v>2.9787000000000001E-2</v>
      </c>
      <c r="G808" s="987">
        <v>0</v>
      </c>
      <c r="H808" s="986">
        <v>6.3E-3</v>
      </c>
      <c r="I808" s="986">
        <f t="shared" si="5"/>
        <v>2.3487000000000001E-2</v>
      </c>
      <c r="J808" s="988">
        <v>34029</v>
      </c>
    </row>
    <row r="809" spans="1:10">
      <c r="A809" s="987">
        <v>39</v>
      </c>
      <c r="B809" s="988">
        <v>34060</v>
      </c>
      <c r="C809" s="987" t="s">
        <v>4643</v>
      </c>
      <c r="D809" s="987" t="s">
        <v>4642</v>
      </c>
      <c r="E809" s="987">
        <v>30.625</v>
      </c>
      <c r="F809" s="987">
        <v>2.3306E-2</v>
      </c>
      <c r="G809" s="987">
        <v>0.33</v>
      </c>
      <c r="H809" s="986">
        <v>5.7000000000000002E-3</v>
      </c>
      <c r="I809" s="986">
        <f t="shared" si="5"/>
        <v>1.7606E-2</v>
      </c>
      <c r="J809" s="988">
        <v>34060</v>
      </c>
    </row>
    <row r="810" spans="1:10">
      <c r="A810" s="987">
        <v>39</v>
      </c>
      <c r="B810" s="988">
        <v>34090</v>
      </c>
      <c r="C810" s="987" t="s">
        <v>4643</v>
      </c>
      <c r="D810" s="987" t="s">
        <v>4642</v>
      </c>
      <c r="E810" s="987">
        <v>31</v>
      </c>
      <c r="F810" s="987">
        <v>1.2245000000000001E-2</v>
      </c>
      <c r="G810" s="987">
        <v>0</v>
      </c>
      <c r="H810" s="986">
        <v>5.1999999999999998E-3</v>
      </c>
      <c r="I810" s="986">
        <f t="shared" si="5"/>
        <v>7.0450000000000009E-3</v>
      </c>
      <c r="J810" s="988">
        <v>34090</v>
      </c>
    </row>
    <row r="811" spans="1:10">
      <c r="A811" s="987">
        <v>39</v>
      </c>
      <c r="B811" s="988">
        <v>34121</v>
      </c>
      <c r="C811" s="987" t="s">
        <v>4643</v>
      </c>
      <c r="D811" s="987" t="s">
        <v>4642</v>
      </c>
      <c r="E811" s="987">
        <v>32.625</v>
      </c>
      <c r="F811" s="987">
        <v>5.2419E-2</v>
      </c>
      <c r="G811" s="987">
        <v>0</v>
      </c>
      <c r="H811" s="986">
        <v>6.1999999999999998E-3</v>
      </c>
      <c r="I811" s="986">
        <f t="shared" si="5"/>
        <v>4.6219000000000003E-2</v>
      </c>
      <c r="J811" s="988">
        <v>34121</v>
      </c>
    </row>
    <row r="812" spans="1:10">
      <c r="A812" s="987">
        <v>39</v>
      </c>
      <c r="B812" s="988">
        <v>34151</v>
      </c>
      <c r="C812" s="987" t="s">
        <v>4643</v>
      </c>
      <c r="D812" s="987" t="s">
        <v>4642</v>
      </c>
      <c r="E812" s="987">
        <v>32.125</v>
      </c>
      <c r="F812" s="987">
        <v>-5.2110000000000004E-3</v>
      </c>
      <c r="G812" s="987">
        <v>0.33</v>
      </c>
      <c r="H812" s="986">
        <v>5.4000000000000003E-3</v>
      </c>
      <c r="I812" s="986">
        <f t="shared" si="5"/>
        <v>-1.0611000000000001E-2</v>
      </c>
      <c r="J812" s="988">
        <v>34151</v>
      </c>
    </row>
    <row r="813" spans="1:10">
      <c r="A813" s="987">
        <v>39</v>
      </c>
      <c r="B813" s="988">
        <v>34182</v>
      </c>
      <c r="C813" s="987" t="s">
        <v>4643</v>
      </c>
      <c r="D813" s="987" t="s">
        <v>4642</v>
      </c>
      <c r="E813" s="987">
        <v>34.125</v>
      </c>
      <c r="F813" s="987">
        <v>6.2257E-2</v>
      </c>
      <c r="G813" s="987">
        <v>0</v>
      </c>
      <c r="H813" s="986">
        <v>5.5999999999999999E-3</v>
      </c>
      <c r="I813" s="986">
        <f t="shared" si="5"/>
        <v>5.6656999999999999E-2</v>
      </c>
      <c r="J813" s="988">
        <v>34182</v>
      </c>
    </row>
    <row r="814" spans="1:10">
      <c r="A814" s="987">
        <v>39</v>
      </c>
      <c r="B814" s="988">
        <v>34213</v>
      </c>
      <c r="C814" s="987" t="s">
        <v>4643</v>
      </c>
      <c r="D814" s="987" t="s">
        <v>4642</v>
      </c>
      <c r="E814" s="987">
        <v>34</v>
      </c>
      <c r="F814" s="987">
        <v>-3.663E-3</v>
      </c>
      <c r="G814" s="987">
        <v>0</v>
      </c>
      <c r="H814" s="986">
        <v>5.0000000000000001E-3</v>
      </c>
      <c r="I814" s="986">
        <f t="shared" si="5"/>
        <v>-8.6630000000000006E-3</v>
      </c>
      <c r="J814" s="988">
        <v>34213</v>
      </c>
    </row>
    <row r="815" spans="1:10">
      <c r="A815" s="987">
        <v>39</v>
      </c>
      <c r="B815" s="988">
        <v>34243</v>
      </c>
      <c r="C815" s="987" t="s">
        <v>4643</v>
      </c>
      <c r="D815" s="987" t="s">
        <v>4642</v>
      </c>
      <c r="E815" s="987">
        <v>34</v>
      </c>
      <c r="F815" s="987">
        <v>9.7059999999999994E-3</v>
      </c>
      <c r="G815" s="987">
        <v>0.33</v>
      </c>
      <c r="H815" s="986">
        <v>4.8999999999999998E-3</v>
      </c>
      <c r="I815" s="986">
        <f t="shared" si="5"/>
        <v>4.8059999999999995E-3</v>
      </c>
      <c r="J815" s="988">
        <v>34243</v>
      </c>
    </row>
    <row r="816" spans="1:10">
      <c r="A816" s="987">
        <v>39</v>
      </c>
      <c r="B816" s="988">
        <v>34274</v>
      </c>
      <c r="C816" s="987" t="s">
        <v>4643</v>
      </c>
      <c r="D816" s="987" t="s">
        <v>4642</v>
      </c>
      <c r="E816" s="987">
        <v>31.75</v>
      </c>
      <c r="F816" s="987">
        <v>-6.6175999999999999E-2</v>
      </c>
      <c r="G816" s="987">
        <v>0</v>
      </c>
      <c r="H816" s="986">
        <v>5.3E-3</v>
      </c>
      <c r="I816" s="986">
        <f t="shared" si="5"/>
        <v>-7.1475999999999998E-2</v>
      </c>
      <c r="J816" s="988">
        <v>34274</v>
      </c>
    </row>
    <row r="817" spans="1:10">
      <c r="A817" s="987">
        <v>39</v>
      </c>
      <c r="B817" s="988">
        <v>34304</v>
      </c>
      <c r="C817" s="987" t="s">
        <v>4643</v>
      </c>
      <c r="D817" s="987" t="s">
        <v>4642</v>
      </c>
      <c r="E817" s="987">
        <v>32.875</v>
      </c>
      <c r="F817" s="987">
        <v>3.5432999999999999E-2</v>
      </c>
      <c r="G817" s="987">
        <v>0</v>
      </c>
      <c r="H817" s="986">
        <v>5.4999999999999997E-3</v>
      </c>
      <c r="I817" s="986">
        <f t="shared" si="5"/>
        <v>2.9933000000000001E-2</v>
      </c>
      <c r="J817" s="988">
        <v>34304</v>
      </c>
    </row>
    <row r="818" spans="1:10">
      <c r="A818" s="987">
        <v>39</v>
      </c>
      <c r="B818" s="988">
        <v>34335</v>
      </c>
      <c r="C818" s="987" t="s">
        <v>4643</v>
      </c>
      <c r="D818" s="987" t="s">
        <v>4642</v>
      </c>
      <c r="E818" s="987">
        <v>32</v>
      </c>
      <c r="F818" s="987">
        <v>-1.5664999999999998E-2</v>
      </c>
      <c r="G818" s="987">
        <v>0.36</v>
      </c>
      <c r="H818" s="986">
        <v>5.4999999999999997E-3</v>
      </c>
      <c r="I818" s="986">
        <f t="shared" si="5"/>
        <v>-2.1164999999999996E-2</v>
      </c>
      <c r="J818" s="988">
        <v>34335</v>
      </c>
    </row>
    <row r="819" spans="1:10">
      <c r="A819" s="987">
        <v>39</v>
      </c>
      <c r="B819" s="988">
        <v>34366</v>
      </c>
      <c r="C819" s="987" t="s">
        <v>4643</v>
      </c>
      <c r="D819" s="987" t="s">
        <v>4642</v>
      </c>
      <c r="E819" s="987">
        <v>30.25</v>
      </c>
      <c r="F819" s="987">
        <v>-5.4688000000000001E-2</v>
      </c>
      <c r="G819" s="987">
        <v>0</v>
      </c>
      <c r="H819" s="986">
        <v>4.8999999999999998E-3</v>
      </c>
      <c r="I819" s="986">
        <f t="shared" si="5"/>
        <v>-5.9588000000000002E-2</v>
      </c>
      <c r="J819" s="988">
        <v>34366</v>
      </c>
    </row>
    <row r="820" spans="1:10">
      <c r="A820" s="987">
        <v>39</v>
      </c>
      <c r="B820" s="988">
        <v>34394</v>
      </c>
      <c r="C820" s="987" t="s">
        <v>4643</v>
      </c>
      <c r="D820" s="987" t="s">
        <v>4642</v>
      </c>
      <c r="E820" s="987">
        <v>30.25</v>
      </c>
      <c r="F820" s="987">
        <v>0</v>
      </c>
      <c r="G820" s="987">
        <v>0</v>
      </c>
      <c r="H820" s="986">
        <v>5.7999999999999996E-3</v>
      </c>
      <c r="I820" s="986">
        <f t="shared" si="5"/>
        <v>-5.7999999999999996E-3</v>
      </c>
      <c r="J820" s="988">
        <v>34394</v>
      </c>
    </row>
    <row r="821" spans="1:10">
      <c r="A821" s="987">
        <v>39</v>
      </c>
      <c r="B821" s="988">
        <v>34425</v>
      </c>
      <c r="C821" s="987" t="s">
        <v>4643</v>
      </c>
      <c r="D821" s="987" t="s">
        <v>4642</v>
      </c>
      <c r="E821" s="987">
        <v>31.625</v>
      </c>
      <c r="F821" s="987">
        <v>5.7355000000000003E-2</v>
      </c>
      <c r="G821" s="987">
        <v>0.36</v>
      </c>
      <c r="H821" s="986">
        <v>5.7000000000000002E-3</v>
      </c>
      <c r="I821" s="986">
        <f t="shared" si="5"/>
        <v>5.1655000000000006E-2</v>
      </c>
      <c r="J821" s="988">
        <v>34425</v>
      </c>
    </row>
    <row r="822" spans="1:10">
      <c r="A822" s="987">
        <v>39</v>
      </c>
      <c r="B822" s="988">
        <v>34455</v>
      </c>
      <c r="C822" s="987" t="s">
        <v>4643</v>
      </c>
      <c r="D822" s="987" t="s">
        <v>4642</v>
      </c>
      <c r="E822" s="987">
        <v>30.75</v>
      </c>
      <c r="F822" s="987">
        <v>-2.7668000000000002E-2</v>
      </c>
      <c r="G822" s="987">
        <v>0</v>
      </c>
      <c r="H822" s="986">
        <v>6.3E-3</v>
      </c>
      <c r="I822" s="986">
        <f t="shared" si="5"/>
        <v>-3.3967999999999998E-2</v>
      </c>
      <c r="J822" s="988">
        <v>34455</v>
      </c>
    </row>
    <row r="823" spans="1:10">
      <c r="A823" s="987">
        <v>39</v>
      </c>
      <c r="B823" s="988">
        <v>34486</v>
      </c>
      <c r="C823" s="987" t="s">
        <v>4643</v>
      </c>
      <c r="D823" s="987" t="s">
        <v>4642</v>
      </c>
      <c r="E823" s="987">
        <v>29.5</v>
      </c>
      <c r="F823" s="987">
        <v>-4.0649999999999999E-2</v>
      </c>
      <c r="G823" s="987">
        <v>0</v>
      </c>
      <c r="H823" s="986">
        <v>6.1000000000000004E-3</v>
      </c>
      <c r="I823" s="986">
        <f t="shared" si="5"/>
        <v>-4.675E-2</v>
      </c>
      <c r="J823" s="988">
        <v>34486</v>
      </c>
    </row>
    <row r="824" spans="1:10">
      <c r="A824" s="987">
        <v>39</v>
      </c>
      <c r="B824" s="988">
        <v>34516</v>
      </c>
      <c r="C824" s="987" t="s">
        <v>4643</v>
      </c>
      <c r="D824" s="987" t="s">
        <v>4642</v>
      </c>
      <c r="E824" s="987">
        <v>29.25</v>
      </c>
      <c r="F824" s="987">
        <v>3.7290000000000001E-3</v>
      </c>
      <c r="G824" s="987">
        <v>0.36</v>
      </c>
      <c r="H824" s="986">
        <v>6.0000000000000001E-3</v>
      </c>
      <c r="I824" s="986">
        <f t="shared" si="5"/>
        <v>-2.271E-3</v>
      </c>
      <c r="J824" s="988">
        <v>34516</v>
      </c>
    </row>
    <row r="825" spans="1:10">
      <c r="A825" s="987">
        <v>39</v>
      </c>
      <c r="B825" s="988">
        <v>34547</v>
      </c>
      <c r="C825" s="987" t="s">
        <v>4643</v>
      </c>
      <c r="D825" s="987" t="s">
        <v>4642</v>
      </c>
      <c r="E825" s="987">
        <v>28.875</v>
      </c>
      <c r="F825" s="987">
        <v>-1.2821000000000001E-2</v>
      </c>
      <c r="G825" s="987">
        <v>0</v>
      </c>
      <c r="H825" s="986">
        <v>6.6E-3</v>
      </c>
      <c r="I825" s="986">
        <f t="shared" si="5"/>
        <v>-1.9421000000000001E-2</v>
      </c>
      <c r="J825" s="988">
        <v>34547</v>
      </c>
    </row>
    <row r="826" spans="1:10">
      <c r="A826" s="987">
        <v>39</v>
      </c>
      <c r="B826" s="988">
        <v>34578</v>
      </c>
      <c r="C826" s="987" t="s">
        <v>4643</v>
      </c>
      <c r="D826" s="987" t="s">
        <v>4642</v>
      </c>
      <c r="E826" s="987">
        <v>27.375</v>
      </c>
      <c r="F826" s="987">
        <v>-5.1948000000000001E-2</v>
      </c>
      <c r="G826" s="987">
        <v>0</v>
      </c>
      <c r="H826" s="986">
        <v>6.1000000000000004E-3</v>
      </c>
      <c r="I826" s="986">
        <f t="shared" si="5"/>
        <v>-5.8048000000000002E-2</v>
      </c>
      <c r="J826" s="988">
        <v>34578</v>
      </c>
    </row>
    <row r="827" spans="1:10">
      <c r="A827" s="987">
        <v>39</v>
      </c>
      <c r="B827" s="988">
        <v>34608</v>
      </c>
      <c r="C827" s="987" t="s">
        <v>4643</v>
      </c>
      <c r="D827" s="987" t="s">
        <v>4642</v>
      </c>
      <c r="E827" s="987">
        <v>27.875</v>
      </c>
      <c r="F827" s="987">
        <v>3.1415999999999999E-2</v>
      </c>
      <c r="G827" s="987">
        <v>0.36</v>
      </c>
      <c r="H827" s="986">
        <v>6.6E-3</v>
      </c>
      <c r="I827" s="986">
        <f t="shared" si="5"/>
        <v>2.4815999999999998E-2</v>
      </c>
      <c r="J827" s="988">
        <v>34608</v>
      </c>
    </row>
    <row r="828" spans="1:10">
      <c r="A828" s="987">
        <v>39</v>
      </c>
      <c r="B828" s="988">
        <v>34639</v>
      </c>
      <c r="C828" s="987" t="s">
        <v>4643</v>
      </c>
      <c r="D828" s="987" t="s">
        <v>4642</v>
      </c>
      <c r="E828" s="987">
        <v>29.25</v>
      </c>
      <c r="F828" s="987">
        <v>4.9327000000000003E-2</v>
      </c>
      <c r="G828" s="987">
        <v>0</v>
      </c>
      <c r="H828" s="986">
        <v>6.4000000000000003E-3</v>
      </c>
      <c r="I828" s="986">
        <f t="shared" si="5"/>
        <v>4.2927E-2</v>
      </c>
      <c r="J828" s="988">
        <v>34639</v>
      </c>
    </row>
    <row r="829" spans="1:10">
      <c r="A829" s="987">
        <v>39</v>
      </c>
      <c r="B829" s="988">
        <v>34669</v>
      </c>
      <c r="C829" s="987" t="s">
        <v>4643</v>
      </c>
      <c r="D829" s="987" t="s">
        <v>4642</v>
      </c>
      <c r="E829" s="987">
        <v>29.75</v>
      </c>
      <c r="F829" s="987">
        <v>1.7094000000000002E-2</v>
      </c>
      <c r="G829" s="987">
        <v>0</v>
      </c>
      <c r="H829" s="986">
        <v>6.6E-3</v>
      </c>
      <c r="I829" s="986">
        <f t="shared" si="5"/>
        <v>1.0494000000000002E-2</v>
      </c>
      <c r="J829" s="988">
        <v>34669</v>
      </c>
    </row>
    <row r="830" spans="1:10">
      <c r="A830" s="987">
        <v>39</v>
      </c>
      <c r="B830" s="988">
        <v>34700</v>
      </c>
      <c r="C830" s="987" t="s">
        <v>4643</v>
      </c>
      <c r="D830" s="987" t="s">
        <v>4642</v>
      </c>
      <c r="E830" s="987">
        <v>30.5</v>
      </c>
      <c r="F830" s="987">
        <v>3.8318999999999999E-2</v>
      </c>
      <c r="G830" s="987">
        <v>0.39</v>
      </c>
      <c r="H830" s="986">
        <v>7.0000000000000001E-3</v>
      </c>
      <c r="I830" s="986">
        <f t="shared" ref="I830:I893" si="6">F830-H830</f>
        <v>3.1319E-2</v>
      </c>
      <c r="J830" s="988">
        <v>34700</v>
      </c>
    </row>
    <row r="831" spans="1:10">
      <c r="A831" s="987">
        <v>39</v>
      </c>
      <c r="B831" s="988">
        <v>34731</v>
      </c>
      <c r="C831" s="987" t="s">
        <v>4643</v>
      </c>
      <c r="D831" s="987" t="s">
        <v>4642</v>
      </c>
      <c r="E831" s="987">
        <v>31.625</v>
      </c>
      <c r="F831" s="987">
        <v>3.6885000000000001E-2</v>
      </c>
      <c r="G831" s="987">
        <v>0</v>
      </c>
      <c r="H831" s="986">
        <v>5.8999999999999999E-3</v>
      </c>
      <c r="I831" s="986">
        <f t="shared" si="6"/>
        <v>3.0985000000000002E-2</v>
      </c>
      <c r="J831" s="988">
        <v>34731</v>
      </c>
    </row>
    <row r="832" spans="1:10">
      <c r="A832" s="987">
        <v>39</v>
      </c>
      <c r="B832" s="988">
        <v>34759</v>
      </c>
      <c r="C832" s="987" t="s">
        <v>4643</v>
      </c>
      <c r="D832" s="987" t="s">
        <v>4642</v>
      </c>
      <c r="E832" s="987">
        <v>31.125</v>
      </c>
      <c r="F832" s="987">
        <v>-1.5810000000000001E-2</v>
      </c>
      <c r="G832" s="987">
        <v>0</v>
      </c>
      <c r="H832" s="986">
        <v>6.4000000000000003E-3</v>
      </c>
      <c r="I832" s="986">
        <f t="shared" si="6"/>
        <v>-2.2210000000000001E-2</v>
      </c>
      <c r="J832" s="988">
        <v>34759</v>
      </c>
    </row>
    <row r="833" spans="1:10">
      <c r="A833" s="987">
        <v>39</v>
      </c>
      <c r="B833" s="988">
        <v>34790</v>
      </c>
      <c r="C833" s="987" t="s">
        <v>4643</v>
      </c>
      <c r="D833" s="987" t="s">
        <v>4642</v>
      </c>
      <c r="E833" s="987">
        <v>32.25</v>
      </c>
      <c r="F833" s="987">
        <v>4.8675000000000003E-2</v>
      </c>
      <c r="G833" s="987">
        <v>0.39</v>
      </c>
      <c r="H833" s="986">
        <v>5.7999999999999996E-3</v>
      </c>
      <c r="I833" s="986">
        <f t="shared" si="6"/>
        <v>4.2875000000000003E-2</v>
      </c>
      <c r="J833" s="988">
        <v>34790</v>
      </c>
    </row>
    <row r="834" spans="1:10">
      <c r="A834" s="987">
        <v>39</v>
      </c>
      <c r="B834" s="988">
        <v>34820</v>
      </c>
      <c r="C834" s="987" t="s">
        <v>4643</v>
      </c>
      <c r="D834" s="987" t="s">
        <v>4642</v>
      </c>
      <c r="E834" s="987">
        <v>34.5</v>
      </c>
      <c r="F834" s="987">
        <v>6.9766999999999996E-2</v>
      </c>
      <c r="G834" s="987">
        <v>0</v>
      </c>
      <c r="H834" s="986">
        <v>6.4999999999999997E-3</v>
      </c>
      <c r="I834" s="986">
        <f t="shared" si="6"/>
        <v>6.326699999999999E-2</v>
      </c>
      <c r="J834" s="988">
        <v>34820</v>
      </c>
    </row>
    <row r="835" spans="1:10">
      <c r="A835" s="987">
        <v>39</v>
      </c>
      <c r="B835" s="988">
        <v>34851</v>
      </c>
      <c r="C835" s="987" t="s">
        <v>4643</v>
      </c>
      <c r="D835" s="987" t="s">
        <v>4642</v>
      </c>
      <c r="E835" s="987">
        <v>34</v>
      </c>
      <c r="F835" s="987">
        <v>-1.4493000000000001E-2</v>
      </c>
      <c r="G835" s="987">
        <v>0</v>
      </c>
      <c r="H835" s="986">
        <v>5.4000000000000003E-3</v>
      </c>
      <c r="I835" s="986">
        <f t="shared" si="6"/>
        <v>-1.9893000000000001E-2</v>
      </c>
      <c r="J835" s="988">
        <v>34851</v>
      </c>
    </row>
    <row r="836" spans="1:10">
      <c r="A836" s="987">
        <v>39</v>
      </c>
      <c r="B836" s="988">
        <v>34881</v>
      </c>
      <c r="C836" s="987" t="s">
        <v>4643</v>
      </c>
      <c r="D836" s="987" t="s">
        <v>4642</v>
      </c>
      <c r="E836" s="987">
        <v>32.75</v>
      </c>
      <c r="F836" s="987">
        <v>-2.5294000000000001E-2</v>
      </c>
      <c r="G836" s="987">
        <v>0.39</v>
      </c>
      <c r="H836" s="986">
        <v>5.5999999999999999E-3</v>
      </c>
      <c r="I836" s="986">
        <f t="shared" si="6"/>
        <v>-3.0894000000000001E-2</v>
      </c>
      <c r="J836" s="988">
        <v>34881</v>
      </c>
    </row>
    <row r="837" spans="1:10">
      <c r="A837" s="987">
        <v>39</v>
      </c>
      <c r="B837" s="988">
        <v>34912</v>
      </c>
      <c r="C837" s="987" t="s">
        <v>4643</v>
      </c>
      <c r="D837" s="987" t="s">
        <v>4642</v>
      </c>
      <c r="E837" s="987">
        <v>32.75</v>
      </c>
      <c r="F837" s="987">
        <v>0</v>
      </c>
      <c r="G837" s="987">
        <v>0</v>
      </c>
      <c r="H837" s="986">
        <v>5.7000000000000002E-3</v>
      </c>
      <c r="I837" s="986">
        <f t="shared" si="6"/>
        <v>-5.7000000000000002E-3</v>
      </c>
      <c r="J837" s="988">
        <v>34912</v>
      </c>
    </row>
    <row r="838" spans="1:10">
      <c r="A838" s="987">
        <v>39</v>
      </c>
      <c r="B838" s="988">
        <v>34943</v>
      </c>
      <c r="C838" s="987" t="s">
        <v>4643</v>
      </c>
      <c r="D838" s="987" t="s">
        <v>4642</v>
      </c>
      <c r="E838" s="987">
        <v>34.875</v>
      </c>
      <c r="F838" s="987">
        <v>6.4884999999999998E-2</v>
      </c>
      <c r="G838" s="987">
        <v>0</v>
      </c>
      <c r="H838" s="986">
        <v>5.1999999999999998E-3</v>
      </c>
      <c r="I838" s="986">
        <f t="shared" si="6"/>
        <v>5.9685000000000002E-2</v>
      </c>
      <c r="J838" s="988">
        <v>34943</v>
      </c>
    </row>
    <row r="839" spans="1:10">
      <c r="A839" s="987">
        <v>39</v>
      </c>
      <c r="B839" s="988">
        <v>34973</v>
      </c>
      <c r="C839" s="987" t="s">
        <v>4643</v>
      </c>
      <c r="D839" s="987" t="s">
        <v>4642</v>
      </c>
      <c r="E839" s="987">
        <v>36.5</v>
      </c>
      <c r="F839" s="987">
        <v>5.7778000000000003E-2</v>
      </c>
      <c r="G839" s="987">
        <v>0.39</v>
      </c>
      <c r="H839" s="986">
        <v>5.7000000000000002E-3</v>
      </c>
      <c r="I839" s="986">
        <f t="shared" si="6"/>
        <v>5.2077999999999999E-2</v>
      </c>
      <c r="J839" s="988">
        <v>34973</v>
      </c>
    </row>
    <row r="840" spans="1:10">
      <c r="A840" s="987">
        <v>39</v>
      </c>
      <c r="B840" s="988">
        <v>35004</v>
      </c>
      <c r="C840" s="987" t="s">
        <v>4643</v>
      </c>
      <c r="D840" s="987" t="s">
        <v>4642</v>
      </c>
      <c r="E840" s="987">
        <v>37</v>
      </c>
      <c r="F840" s="987">
        <v>1.3698999999999999E-2</v>
      </c>
      <c r="G840" s="987">
        <v>0</v>
      </c>
      <c r="H840" s="986">
        <v>5.1000000000000004E-3</v>
      </c>
      <c r="I840" s="986">
        <f t="shared" si="6"/>
        <v>8.598999999999999E-3</v>
      </c>
      <c r="J840" s="988">
        <v>35004</v>
      </c>
    </row>
    <row r="841" spans="1:10">
      <c r="A841" s="987">
        <v>39</v>
      </c>
      <c r="B841" s="988">
        <v>35034</v>
      </c>
      <c r="C841" s="987" t="s">
        <v>4643</v>
      </c>
      <c r="D841" s="987" t="s">
        <v>4642</v>
      </c>
      <c r="E841" s="987">
        <v>38.25</v>
      </c>
      <c r="F841" s="987">
        <v>3.3784000000000002E-2</v>
      </c>
      <c r="G841" s="987">
        <v>0</v>
      </c>
      <c r="H841" s="986">
        <v>4.8999999999999998E-3</v>
      </c>
      <c r="I841" s="986">
        <f t="shared" si="6"/>
        <v>2.8884E-2</v>
      </c>
      <c r="J841" s="988">
        <v>35034</v>
      </c>
    </row>
    <row r="842" spans="1:10">
      <c r="A842" s="987">
        <v>39</v>
      </c>
      <c r="B842" s="988">
        <v>35065</v>
      </c>
      <c r="C842" s="987" t="s">
        <v>4643</v>
      </c>
      <c r="D842" s="987" t="s">
        <v>4642</v>
      </c>
      <c r="E842" s="987">
        <v>38.125</v>
      </c>
      <c r="F842" s="987">
        <v>7.7120000000000001E-3</v>
      </c>
      <c r="G842" s="987">
        <v>0.42</v>
      </c>
      <c r="H842" s="986">
        <v>5.4000000000000003E-3</v>
      </c>
      <c r="I842" s="986">
        <f t="shared" si="6"/>
        <v>2.3119999999999998E-3</v>
      </c>
      <c r="J842" s="988">
        <v>35065</v>
      </c>
    </row>
    <row r="843" spans="1:10">
      <c r="A843" s="987">
        <v>39</v>
      </c>
      <c r="B843" s="988">
        <v>35096</v>
      </c>
      <c r="C843" s="987" t="s">
        <v>4643</v>
      </c>
      <c r="D843" s="987" t="s">
        <v>4642</v>
      </c>
      <c r="E843" s="987">
        <v>37.75</v>
      </c>
      <c r="F843" s="987">
        <v>-9.8359999999999993E-3</v>
      </c>
      <c r="G843" s="987">
        <v>0</v>
      </c>
      <c r="H843" s="986">
        <v>4.7999999999999996E-3</v>
      </c>
      <c r="I843" s="986">
        <f t="shared" si="6"/>
        <v>-1.4636E-2</v>
      </c>
      <c r="J843" s="988">
        <v>35096</v>
      </c>
    </row>
    <row r="844" spans="1:10">
      <c r="A844" s="987">
        <v>39</v>
      </c>
      <c r="B844" s="988">
        <v>35125</v>
      </c>
      <c r="C844" s="987" t="s">
        <v>4643</v>
      </c>
      <c r="D844" s="987" t="s">
        <v>4642</v>
      </c>
      <c r="E844" s="987">
        <v>37.25</v>
      </c>
      <c r="F844" s="987">
        <v>-1.3245E-2</v>
      </c>
      <c r="G844" s="987">
        <v>0</v>
      </c>
      <c r="H844" s="986">
        <v>5.1999999999999998E-3</v>
      </c>
      <c r="I844" s="986">
        <f t="shared" si="6"/>
        <v>-1.8445E-2</v>
      </c>
      <c r="J844" s="988">
        <v>35125</v>
      </c>
    </row>
    <row r="845" spans="1:10">
      <c r="A845" s="987">
        <v>39</v>
      </c>
      <c r="B845" s="988">
        <v>35156</v>
      </c>
      <c r="C845" s="987" t="s">
        <v>4643</v>
      </c>
      <c r="D845" s="987" t="s">
        <v>4642</v>
      </c>
      <c r="E845" s="987">
        <v>35.875</v>
      </c>
      <c r="F845" s="987">
        <v>-2.5638000000000001E-2</v>
      </c>
      <c r="G845" s="987">
        <v>0.42</v>
      </c>
      <c r="H845" s="986">
        <v>5.8999999999999999E-3</v>
      </c>
      <c r="I845" s="986">
        <f t="shared" si="6"/>
        <v>-3.1538000000000004E-2</v>
      </c>
      <c r="J845" s="988">
        <v>35156</v>
      </c>
    </row>
    <row r="846" spans="1:10">
      <c r="A846" s="987">
        <v>39</v>
      </c>
      <c r="B846" s="988">
        <v>35186</v>
      </c>
      <c r="C846" s="987" t="s">
        <v>4643</v>
      </c>
      <c r="D846" s="987" t="s">
        <v>4642</v>
      </c>
      <c r="E846" s="987">
        <v>37.25</v>
      </c>
      <c r="F846" s="987">
        <v>3.8328000000000001E-2</v>
      </c>
      <c r="G846" s="987">
        <v>0</v>
      </c>
      <c r="H846" s="986">
        <v>5.7999999999999996E-3</v>
      </c>
      <c r="I846" s="986">
        <f t="shared" si="6"/>
        <v>3.2528000000000001E-2</v>
      </c>
      <c r="J846" s="988">
        <v>35186</v>
      </c>
    </row>
    <row r="847" spans="1:10">
      <c r="A847" s="987">
        <v>39</v>
      </c>
      <c r="B847" s="988">
        <v>35217</v>
      </c>
      <c r="C847" s="987" t="s">
        <v>4643</v>
      </c>
      <c r="D847" s="987" t="s">
        <v>4642</v>
      </c>
      <c r="E847" s="987">
        <v>40.25</v>
      </c>
      <c r="F847" s="987">
        <v>8.0536999999999997E-2</v>
      </c>
      <c r="G847" s="987">
        <v>0</v>
      </c>
      <c r="H847" s="986">
        <v>5.4000000000000003E-3</v>
      </c>
      <c r="I847" s="986">
        <f t="shared" si="6"/>
        <v>7.5136999999999995E-2</v>
      </c>
      <c r="J847" s="988">
        <v>35217</v>
      </c>
    </row>
    <row r="848" spans="1:10">
      <c r="A848" s="987">
        <v>39</v>
      </c>
      <c r="B848" s="988">
        <v>35247</v>
      </c>
      <c r="C848" s="987" t="s">
        <v>4643</v>
      </c>
      <c r="D848" s="987" t="s">
        <v>4642</v>
      </c>
      <c r="E848" s="987">
        <v>37.375</v>
      </c>
      <c r="F848" s="987">
        <v>-6.0994E-2</v>
      </c>
      <c r="G848" s="987">
        <v>0.42</v>
      </c>
      <c r="H848" s="986">
        <v>6.1999999999999998E-3</v>
      </c>
      <c r="I848" s="986">
        <f t="shared" si="6"/>
        <v>-6.7194000000000004E-2</v>
      </c>
      <c r="J848" s="988">
        <v>35247</v>
      </c>
    </row>
    <row r="849" spans="1:10">
      <c r="A849" s="987">
        <v>39</v>
      </c>
      <c r="B849" s="988">
        <v>35278</v>
      </c>
      <c r="C849" s="987" t="s">
        <v>4643</v>
      </c>
      <c r="D849" s="987" t="s">
        <v>4642</v>
      </c>
      <c r="E849" s="987">
        <v>37</v>
      </c>
      <c r="F849" s="987">
        <v>-1.0033E-2</v>
      </c>
      <c r="G849" s="987">
        <v>0</v>
      </c>
      <c r="H849" s="986">
        <v>5.7000000000000002E-3</v>
      </c>
      <c r="I849" s="986">
        <f t="shared" si="6"/>
        <v>-1.5733E-2</v>
      </c>
      <c r="J849" s="988">
        <v>35278</v>
      </c>
    </row>
    <row r="850" spans="1:10">
      <c r="A850" s="987">
        <v>39</v>
      </c>
      <c r="B850" s="988">
        <v>35309</v>
      </c>
      <c r="C850" s="987" t="s">
        <v>4643</v>
      </c>
      <c r="D850" s="987" t="s">
        <v>4642</v>
      </c>
      <c r="E850" s="987">
        <v>35.75</v>
      </c>
      <c r="F850" s="987">
        <v>-3.3784000000000002E-2</v>
      </c>
      <c r="G850" s="987">
        <v>0</v>
      </c>
      <c r="H850" s="986">
        <v>6.0000000000000001E-3</v>
      </c>
      <c r="I850" s="986">
        <f t="shared" si="6"/>
        <v>-3.9784E-2</v>
      </c>
      <c r="J850" s="988">
        <v>35309</v>
      </c>
    </row>
    <row r="851" spans="1:10">
      <c r="A851" s="987">
        <v>39</v>
      </c>
      <c r="B851" s="988">
        <v>35339</v>
      </c>
      <c r="C851" s="987" t="s">
        <v>4643</v>
      </c>
      <c r="D851" s="987" t="s">
        <v>4642</v>
      </c>
      <c r="E851" s="987">
        <v>37.875</v>
      </c>
      <c r="F851" s="987">
        <v>7.1189000000000002E-2</v>
      </c>
      <c r="G851" s="987">
        <v>0.42</v>
      </c>
      <c r="H851" s="986">
        <v>5.7999999999999996E-3</v>
      </c>
      <c r="I851" s="986">
        <f t="shared" si="6"/>
        <v>6.5389000000000003E-2</v>
      </c>
      <c r="J851" s="988">
        <v>35339</v>
      </c>
    </row>
    <row r="852" spans="1:10">
      <c r="A852" s="987">
        <v>39</v>
      </c>
      <c r="B852" s="988">
        <v>35370</v>
      </c>
      <c r="C852" s="987" t="s">
        <v>4643</v>
      </c>
      <c r="D852" s="987" t="s">
        <v>4642</v>
      </c>
      <c r="E852" s="987">
        <v>38.75</v>
      </c>
      <c r="F852" s="987">
        <v>2.3102000000000001E-2</v>
      </c>
      <c r="G852" s="987">
        <v>0</v>
      </c>
      <c r="H852" s="986">
        <v>5.1999999999999998E-3</v>
      </c>
      <c r="I852" s="986">
        <f t="shared" si="6"/>
        <v>1.7902000000000001E-2</v>
      </c>
      <c r="J852" s="988">
        <v>35370</v>
      </c>
    </row>
    <row r="853" spans="1:10">
      <c r="A853" s="987">
        <v>39</v>
      </c>
      <c r="B853" s="988">
        <v>35400</v>
      </c>
      <c r="C853" s="987" t="s">
        <v>4643</v>
      </c>
      <c r="D853" s="987" t="s">
        <v>4642</v>
      </c>
      <c r="E853" s="987">
        <v>39.625</v>
      </c>
      <c r="F853" s="987">
        <v>2.2581E-2</v>
      </c>
      <c r="G853" s="987">
        <v>0</v>
      </c>
      <c r="H853" s="986">
        <v>5.5999999999999999E-3</v>
      </c>
      <c r="I853" s="986">
        <f t="shared" si="6"/>
        <v>1.6981E-2</v>
      </c>
      <c r="J853" s="988">
        <v>35400</v>
      </c>
    </row>
    <row r="854" spans="1:10">
      <c r="A854" s="987">
        <v>39</v>
      </c>
      <c r="B854" s="988">
        <v>35431</v>
      </c>
      <c r="C854" s="987" t="s">
        <v>4643</v>
      </c>
      <c r="D854" s="987" t="s">
        <v>4642</v>
      </c>
      <c r="E854" s="987">
        <v>39</v>
      </c>
      <c r="F854" s="987">
        <v>-4.4159999999999998E-3</v>
      </c>
      <c r="G854" s="987">
        <v>0.45</v>
      </c>
      <c r="H854" s="986">
        <v>5.5999999999999999E-3</v>
      </c>
      <c r="I854" s="986">
        <f t="shared" si="6"/>
        <v>-1.0016000000000001E-2</v>
      </c>
      <c r="J854" s="988">
        <v>35431</v>
      </c>
    </row>
    <row r="855" spans="1:10">
      <c r="A855" s="987">
        <v>39</v>
      </c>
      <c r="B855" s="988">
        <v>35462</v>
      </c>
      <c r="C855" s="987" t="s">
        <v>4643</v>
      </c>
      <c r="D855" s="987" t="s">
        <v>4642</v>
      </c>
      <c r="E855" s="987">
        <v>39.875</v>
      </c>
      <c r="F855" s="987">
        <v>2.2436000000000001E-2</v>
      </c>
      <c r="G855" s="987">
        <v>0</v>
      </c>
      <c r="H855" s="986">
        <v>5.1000000000000004E-3</v>
      </c>
      <c r="I855" s="986">
        <f t="shared" si="6"/>
        <v>1.7336000000000001E-2</v>
      </c>
      <c r="J855" s="988">
        <v>35462</v>
      </c>
    </row>
    <row r="856" spans="1:10">
      <c r="A856" s="987">
        <v>39</v>
      </c>
      <c r="B856" s="988">
        <v>35490</v>
      </c>
      <c r="C856" s="987" t="s">
        <v>4643</v>
      </c>
      <c r="D856" s="987" t="s">
        <v>4642</v>
      </c>
      <c r="E856" s="987">
        <v>39.25</v>
      </c>
      <c r="F856" s="987">
        <v>-1.5674E-2</v>
      </c>
      <c r="G856" s="987">
        <v>0</v>
      </c>
      <c r="H856" s="986">
        <v>5.8999999999999999E-3</v>
      </c>
      <c r="I856" s="986">
        <f t="shared" si="6"/>
        <v>-2.1573999999999999E-2</v>
      </c>
      <c r="J856" s="988">
        <v>35490</v>
      </c>
    </row>
    <row r="857" spans="1:10">
      <c r="A857" s="987">
        <v>39</v>
      </c>
      <c r="B857" s="988">
        <v>35521</v>
      </c>
      <c r="C857" s="987" t="s">
        <v>4643</v>
      </c>
      <c r="D857" s="987" t="s">
        <v>4642</v>
      </c>
      <c r="E857" s="987">
        <v>39.5</v>
      </c>
      <c r="F857" s="987">
        <v>1.7833999999999999E-2</v>
      </c>
      <c r="G857" s="987">
        <v>0.45</v>
      </c>
      <c r="H857" s="986">
        <v>5.8999999999999999E-3</v>
      </c>
      <c r="I857" s="986">
        <f t="shared" si="6"/>
        <v>1.1934E-2</v>
      </c>
      <c r="J857" s="988">
        <v>35521</v>
      </c>
    </row>
    <row r="858" spans="1:10">
      <c r="A858" s="987">
        <v>39</v>
      </c>
      <c r="B858" s="988">
        <v>35551</v>
      </c>
      <c r="C858" s="987" t="s">
        <v>4643</v>
      </c>
      <c r="D858" s="987" t="s">
        <v>4642</v>
      </c>
      <c r="E858" s="987">
        <v>40.5</v>
      </c>
      <c r="F858" s="987">
        <v>2.5316000000000002E-2</v>
      </c>
      <c r="G858" s="987">
        <v>0</v>
      </c>
      <c r="H858" s="986">
        <v>5.7999999999999996E-3</v>
      </c>
      <c r="I858" s="986">
        <f t="shared" si="6"/>
        <v>1.9516000000000002E-2</v>
      </c>
      <c r="J858" s="988">
        <v>35551</v>
      </c>
    </row>
    <row r="859" spans="1:10">
      <c r="A859" s="987">
        <v>39</v>
      </c>
      <c r="B859" s="988">
        <v>35582</v>
      </c>
      <c r="C859" s="987" t="s">
        <v>4643</v>
      </c>
      <c r="D859" s="987" t="s">
        <v>4642</v>
      </c>
      <c r="E859" s="987">
        <v>41.3125</v>
      </c>
      <c r="F859" s="987">
        <v>2.0062E-2</v>
      </c>
      <c r="G859" s="987">
        <v>0</v>
      </c>
      <c r="H859" s="986">
        <v>5.8999999999999999E-3</v>
      </c>
      <c r="I859" s="986">
        <f t="shared" si="6"/>
        <v>1.4162000000000001E-2</v>
      </c>
      <c r="J859" s="988">
        <v>35582</v>
      </c>
    </row>
    <row r="860" spans="1:10">
      <c r="A860" s="987">
        <v>39</v>
      </c>
      <c r="B860" s="988">
        <v>35612</v>
      </c>
      <c r="C860" s="987" t="s">
        <v>4643</v>
      </c>
      <c r="D860" s="987" t="s">
        <v>4642</v>
      </c>
      <c r="E860" s="987">
        <v>42.125</v>
      </c>
      <c r="F860" s="987">
        <v>3.056E-2</v>
      </c>
      <c r="G860" s="987">
        <v>0.45</v>
      </c>
      <c r="H860" s="986">
        <v>5.7999999999999996E-3</v>
      </c>
      <c r="I860" s="986">
        <f t="shared" si="6"/>
        <v>2.4760000000000001E-2</v>
      </c>
      <c r="J860" s="988">
        <v>35612</v>
      </c>
    </row>
    <row r="861" spans="1:10">
      <c r="A861" s="987">
        <v>39</v>
      </c>
      <c r="B861" s="988">
        <v>35643</v>
      </c>
      <c r="C861" s="987" t="s">
        <v>4643</v>
      </c>
      <c r="D861" s="987" t="s">
        <v>4642</v>
      </c>
      <c r="E861" s="987">
        <v>40.8125</v>
      </c>
      <c r="F861" s="987">
        <v>-3.1157000000000001E-2</v>
      </c>
      <c r="G861" s="987">
        <v>0</v>
      </c>
      <c r="H861" s="986">
        <v>4.8999999999999998E-3</v>
      </c>
      <c r="I861" s="986">
        <f t="shared" si="6"/>
        <v>-3.6056999999999999E-2</v>
      </c>
      <c r="J861" s="988">
        <v>35643</v>
      </c>
    </row>
    <row r="862" spans="1:10">
      <c r="A862" s="987">
        <v>39</v>
      </c>
      <c r="B862" s="988">
        <v>35674</v>
      </c>
      <c r="C862" s="987" t="s">
        <v>4643</v>
      </c>
      <c r="D862" s="987" t="s">
        <v>4642</v>
      </c>
      <c r="E862" s="987">
        <v>42.125</v>
      </c>
      <c r="F862" s="987">
        <v>3.2159E-2</v>
      </c>
      <c r="G862" s="987">
        <v>0</v>
      </c>
      <c r="H862" s="986">
        <v>5.7999999999999996E-3</v>
      </c>
      <c r="I862" s="986">
        <f t="shared" si="6"/>
        <v>2.6359E-2</v>
      </c>
      <c r="J862" s="988">
        <v>35674</v>
      </c>
    </row>
    <row r="863" spans="1:10">
      <c r="A863" s="987">
        <v>39</v>
      </c>
      <c r="B863" s="988">
        <v>35704</v>
      </c>
      <c r="C863" s="987" t="s">
        <v>4643</v>
      </c>
      <c r="D863" s="987" t="s">
        <v>4642</v>
      </c>
      <c r="E863" s="987">
        <v>43.9375</v>
      </c>
      <c r="F863" s="987">
        <v>5.3709E-2</v>
      </c>
      <c r="G863" s="987">
        <v>0.45</v>
      </c>
      <c r="H863" s="986">
        <v>5.4000000000000003E-3</v>
      </c>
      <c r="I863" s="986">
        <f t="shared" si="6"/>
        <v>4.8308999999999998E-2</v>
      </c>
      <c r="J863" s="988">
        <v>35704</v>
      </c>
    </row>
    <row r="864" spans="1:10">
      <c r="A864" s="987">
        <v>39</v>
      </c>
      <c r="B864" s="988">
        <v>35735</v>
      </c>
      <c r="C864" s="987" t="s">
        <v>4643</v>
      </c>
      <c r="D864" s="987" t="s">
        <v>4642</v>
      </c>
      <c r="E864" s="987">
        <v>46.8125</v>
      </c>
      <c r="F864" s="987">
        <v>6.5434000000000006E-2</v>
      </c>
      <c r="G864" s="987">
        <v>0</v>
      </c>
      <c r="H864" s="986">
        <v>4.7000000000000002E-3</v>
      </c>
      <c r="I864" s="986">
        <f t="shared" si="6"/>
        <v>6.0734000000000003E-2</v>
      </c>
      <c r="J864" s="988">
        <v>35735</v>
      </c>
    </row>
    <row r="865" spans="1:10">
      <c r="A865" s="987">
        <v>39</v>
      </c>
      <c r="B865" s="988">
        <v>35765</v>
      </c>
      <c r="C865" s="987" t="s">
        <v>4643</v>
      </c>
      <c r="D865" s="987" t="s">
        <v>4642</v>
      </c>
      <c r="E865" s="987">
        <v>49.4375</v>
      </c>
      <c r="F865" s="987">
        <v>5.6075E-2</v>
      </c>
      <c r="G865" s="987">
        <v>0</v>
      </c>
      <c r="H865" s="986">
        <v>5.4000000000000003E-3</v>
      </c>
      <c r="I865" s="986">
        <f t="shared" si="6"/>
        <v>5.0674999999999998E-2</v>
      </c>
      <c r="J865" s="988">
        <v>35765</v>
      </c>
    </row>
    <row r="866" spans="1:10">
      <c r="A866" s="987">
        <v>39</v>
      </c>
      <c r="B866" s="988">
        <v>35796</v>
      </c>
      <c r="C866" s="987" t="s">
        <v>4643</v>
      </c>
      <c r="D866" s="987" t="s">
        <v>4642</v>
      </c>
      <c r="E866" s="987">
        <v>51.0625</v>
      </c>
      <c r="F866" s="987">
        <v>4.2578999999999999E-2</v>
      </c>
      <c r="G866" s="987">
        <v>0.48</v>
      </c>
      <c r="H866" s="986">
        <v>4.7999999999999996E-3</v>
      </c>
      <c r="I866" s="986">
        <f t="shared" si="6"/>
        <v>3.7779E-2</v>
      </c>
      <c r="J866" s="988">
        <v>35796</v>
      </c>
    </row>
    <row r="867" spans="1:10">
      <c r="A867" s="987">
        <v>39</v>
      </c>
      <c r="B867" s="988">
        <v>35827</v>
      </c>
      <c r="C867" s="987" t="s">
        <v>4643</v>
      </c>
      <c r="D867" s="987" t="s">
        <v>4642</v>
      </c>
      <c r="E867" s="987">
        <v>25.6875</v>
      </c>
      <c r="F867" s="987">
        <v>6.1199999999999996E-3</v>
      </c>
      <c r="G867" s="987">
        <v>0</v>
      </c>
      <c r="H867" s="986">
        <v>4.4000000000000003E-3</v>
      </c>
      <c r="I867" s="986">
        <f t="shared" si="6"/>
        <v>1.7199999999999993E-3</v>
      </c>
      <c r="J867" s="988">
        <v>35827</v>
      </c>
    </row>
    <row r="868" spans="1:10">
      <c r="A868" s="987">
        <v>39</v>
      </c>
      <c r="B868" s="988">
        <v>35855</v>
      </c>
      <c r="C868" s="987" t="s">
        <v>4643</v>
      </c>
      <c r="D868" s="987" t="s">
        <v>4642</v>
      </c>
      <c r="E868" s="987">
        <v>28</v>
      </c>
      <c r="F868" s="987">
        <v>9.0024000000000007E-2</v>
      </c>
      <c r="G868" s="987">
        <v>0</v>
      </c>
      <c r="H868" s="986">
        <v>5.1999999999999998E-3</v>
      </c>
      <c r="I868" s="986">
        <f t="shared" si="6"/>
        <v>8.4824000000000011E-2</v>
      </c>
      <c r="J868" s="988">
        <v>35855</v>
      </c>
    </row>
    <row r="869" spans="1:10">
      <c r="A869" s="987">
        <v>39</v>
      </c>
      <c r="B869" s="988">
        <v>35886</v>
      </c>
      <c r="C869" s="987" t="s">
        <v>4643</v>
      </c>
      <c r="D869" s="987" t="s">
        <v>4642</v>
      </c>
      <c r="E869" s="987">
        <v>26.8125</v>
      </c>
      <c r="F869" s="987">
        <v>-3.3839000000000001E-2</v>
      </c>
      <c r="G869" s="987">
        <v>0.24</v>
      </c>
      <c r="H869" s="986">
        <v>4.8999999999999998E-3</v>
      </c>
      <c r="I869" s="986">
        <f t="shared" si="6"/>
        <v>-3.8739000000000003E-2</v>
      </c>
      <c r="J869" s="988">
        <v>35886</v>
      </c>
    </row>
    <row r="870" spans="1:10">
      <c r="A870" s="987">
        <v>39</v>
      </c>
      <c r="B870" s="988">
        <v>35916</v>
      </c>
      <c r="C870" s="987" t="s">
        <v>4643</v>
      </c>
      <c r="D870" s="987" t="s">
        <v>4642</v>
      </c>
      <c r="E870" s="987">
        <v>26.875</v>
      </c>
      <c r="F870" s="987">
        <v>2.3310000000000002E-3</v>
      </c>
      <c r="G870" s="987">
        <v>0</v>
      </c>
      <c r="H870" s="986">
        <v>4.7999999999999996E-3</v>
      </c>
      <c r="I870" s="986">
        <f t="shared" si="6"/>
        <v>-2.4689999999999994E-3</v>
      </c>
      <c r="J870" s="988">
        <v>35916</v>
      </c>
    </row>
    <row r="871" spans="1:10">
      <c r="A871" s="987">
        <v>39</v>
      </c>
      <c r="B871" s="988">
        <v>35947</v>
      </c>
      <c r="C871" s="987" t="s">
        <v>4643</v>
      </c>
      <c r="D871" s="987" t="s">
        <v>4642</v>
      </c>
      <c r="E871" s="987">
        <v>28</v>
      </c>
      <c r="F871" s="987">
        <v>4.1860000000000001E-2</v>
      </c>
      <c r="G871" s="987">
        <v>0</v>
      </c>
      <c r="H871" s="986">
        <v>5.1999999999999998E-3</v>
      </c>
      <c r="I871" s="986">
        <f t="shared" si="6"/>
        <v>3.6659999999999998E-2</v>
      </c>
      <c r="J871" s="988">
        <v>35947</v>
      </c>
    </row>
    <row r="872" spans="1:10">
      <c r="A872" s="987">
        <v>39</v>
      </c>
      <c r="B872" s="988">
        <v>35977</v>
      </c>
      <c r="C872" s="987" t="s">
        <v>4643</v>
      </c>
      <c r="D872" s="987" t="s">
        <v>4642</v>
      </c>
      <c r="E872" s="987">
        <v>26.625</v>
      </c>
      <c r="F872" s="987">
        <v>-4.0536000000000003E-2</v>
      </c>
      <c r="G872" s="987">
        <v>0.24</v>
      </c>
      <c r="H872" s="986">
        <v>4.8999999999999998E-3</v>
      </c>
      <c r="I872" s="986">
        <f t="shared" si="6"/>
        <v>-4.5436000000000004E-2</v>
      </c>
      <c r="J872" s="988">
        <v>35977</v>
      </c>
    </row>
    <row r="873" spans="1:10">
      <c r="A873" s="987">
        <v>39</v>
      </c>
      <c r="B873" s="988">
        <v>36008</v>
      </c>
      <c r="C873" s="987" t="s">
        <v>4643</v>
      </c>
      <c r="D873" s="987" t="s">
        <v>4642</v>
      </c>
      <c r="E873" s="987">
        <v>29.25</v>
      </c>
      <c r="F873" s="987">
        <v>9.8591999999999999E-2</v>
      </c>
      <c r="G873" s="987">
        <v>0</v>
      </c>
      <c r="H873" s="986">
        <v>4.7999999999999996E-3</v>
      </c>
      <c r="I873" s="986">
        <f t="shared" si="6"/>
        <v>9.3792E-2</v>
      </c>
      <c r="J873" s="988">
        <v>36008</v>
      </c>
    </row>
    <row r="874" spans="1:10">
      <c r="A874" s="987">
        <v>39</v>
      </c>
      <c r="B874" s="988">
        <v>36039</v>
      </c>
      <c r="C874" s="987" t="s">
        <v>4643</v>
      </c>
      <c r="D874" s="987" t="s">
        <v>4642</v>
      </c>
      <c r="E874" s="987">
        <v>32.875</v>
      </c>
      <c r="F874" s="987">
        <v>0.123932</v>
      </c>
      <c r="G874" s="987">
        <v>0</v>
      </c>
      <c r="H874" s="986">
        <v>4.4000000000000003E-3</v>
      </c>
      <c r="I874" s="986">
        <f t="shared" si="6"/>
        <v>0.119532</v>
      </c>
      <c r="J874" s="988">
        <v>36039</v>
      </c>
    </row>
    <row r="875" spans="1:10">
      <c r="A875" s="987">
        <v>39</v>
      </c>
      <c r="B875" s="988">
        <v>36069</v>
      </c>
      <c r="C875" s="987" t="s">
        <v>4643</v>
      </c>
      <c r="D875" s="987" t="s">
        <v>4642</v>
      </c>
      <c r="E875" s="987">
        <v>29.9375</v>
      </c>
      <c r="F875" s="987">
        <v>-8.2053000000000001E-2</v>
      </c>
      <c r="G875" s="987">
        <v>0.24</v>
      </c>
      <c r="H875" s="986">
        <v>4.1999999999999997E-3</v>
      </c>
      <c r="I875" s="986">
        <f t="shared" si="6"/>
        <v>-8.6252999999999996E-2</v>
      </c>
      <c r="J875" s="988">
        <v>36069</v>
      </c>
    </row>
    <row r="876" spans="1:10">
      <c r="A876" s="987">
        <v>39</v>
      </c>
      <c r="B876" s="988">
        <v>36100</v>
      </c>
      <c r="C876" s="987" t="s">
        <v>4643</v>
      </c>
      <c r="D876" s="987" t="s">
        <v>4642</v>
      </c>
      <c r="E876" s="987">
        <v>29.3125</v>
      </c>
      <c r="F876" s="987">
        <v>-2.0877E-2</v>
      </c>
      <c r="G876" s="987">
        <v>0</v>
      </c>
      <c r="H876" s="986">
        <v>4.4999999999999997E-3</v>
      </c>
      <c r="I876" s="986">
        <f t="shared" si="6"/>
        <v>-2.5377E-2</v>
      </c>
      <c r="J876" s="988">
        <v>36100</v>
      </c>
    </row>
    <row r="877" spans="1:10">
      <c r="A877" s="987">
        <v>39</v>
      </c>
      <c r="B877" s="988">
        <v>36130</v>
      </c>
      <c r="C877" s="987" t="s">
        <v>4643</v>
      </c>
      <c r="D877" s="987" t="s">
        <v>4642</v>
      </c>
      <c r="E877" s="987">
        <v>30.4375</v>
      </c>
      <c r="F877" s="987">
        <v>3.8379999999999997E-2</v>
      </c>
      <c r="G877" s="987">
        <v>0</v>
      </c>
      <c r="H877" s="986">
        <v>4.4999999999999997E-3</v>
      </c>
      <c r="I877" s="986">
        <f t="shared" si="6"/>
        <v>3.388E-2</v>
      </c>
      <c r="J877" s="988">
        <v>36130</v>
      </c>
    </row>
    <row r="878" spans="1:10">
      <c r="A878" s="987">
        <v>39</v>
      </c>
      <c r="B878" s="988">
        <v>36161</v>
      </c>
      <c r="C878" s="987" t="s">
        <v>4643</v>
      </c>
      <c r="D878" s="987" t="s">
        <v>4642</v>
      </c>
      <c r="E878" s="987">
        <v>27.125</v>
      </c>
      <c r="F878" s="987">
        <v>-0.100452</v>
      </c>
      <c r="G878" s="987">
        <v>0.255</v>
      </c>
      <c r="H878" s="986">
        <v>4.1999999999999997E-3</v>
      </c>
      <c r="I878" s="986">
        <f t="shared" si="6"/>
        <v>-0.104652</v>
      </c>
      <c r="J878" s="988">
        <v>36161</v>
      </c>
    </row>
    <row r="879" spans="1:10">
      <c r="A879" s="987">
        <v>39</v>
      </c>
      <c r="B879" s="988">
        <v>36192</v>
      </c>
      <c r="C879" s="987" t="s">
        <v>4643</v>
      </c>
      <c r="D879" s="987" t="s">
        <v>4642</v>
      </c>
      <c r="E879" s="987">
        <v>25.9375</v>
      </c>
      <c r="F879" s="987">
        <v>-4.3778999999999998E-2</v>
      </c>
      <c r="G879" s="987">
        <v>0</v>
      </c>
      <c r="H879" s="986">
        <v>4.0000000000000001E-3</v>
      </c>
      <c r="I879" s="986">
        <f t="shared" si="6"/>
        <v>-4.7779000000000002E-2</v>
      </c>
      <c r="J879" s="988">
        <v>36192</v>
      </c>
    </row>
    <row r="880" spans="1:10">
      <c r="A880" s="987">
        <v>39</v>
      </c>
      <c r="B880" s="988">
        <v>36220</v>
      </c>
      <c r="C880" s="987" t="s">
        <v>4643</v>
      </c>
      <c r="D880" s="987" t="s">
        <v>4642</v>
      </c>
      <c r="E880" s="987">
        <v>27</v>
      </c>
      <c r="F880" s="987">
        <v>4.0964E-2</v>
      </c>
      <c r="G880" s="987">
        <v>0</v>
      </c>
      <c r="H880" s="986">
        <v>5.3E-3</v>
      </c>
      <c r="I880" s="986">
        <f t="shared" si="6"/>
        <v>3.5664000000000001E-2</v>
      </c>
      <c r="J880" s="988">
        <v>36220</v>
      </c>
    </row>
    <row r="881" spans="1:10">
      <c r="A881" s="987">
        <v>39</v>
      </c>
      <c r="B881" s="988">
        <v>36251</v>
      </c>
      <c r="C881" s="987" t="s">
        <v>4644</v>
      </c>
      <c r="D881" s="987" t="s">
        <v>4642</v>
      </c>
      <c r="E881" s="987">
        <v>27.75</v>
      </c>
      <c r="F881" s="987">
        <v>3.7221999999999998E-2</v>
      </c>
      <c r="G881" s="987">
        <v>0.255</v>
      </c>
      <c r="H881" s="986">
        <v>4.7999999999999996E-3</v>
      </c>
      <c r="I881" s="986">
        <f t="shared" si="6"/>
        <v>3.2421999999999999E-2</v>
      </c>
      <c r="J881" s="988">
        <v>36251</v>
      </c>
    </row>
    <row r="882" spans="1:10">
      <c r="A882" s="987">
        <v>39</v>
      </c>
      <c r="B882" s="988">
        <v>36281</v>
      </c>
      <c r="C882" s="987" t="s">
        <v>4644</v>
      </c>
      <c r="D882" s="987" t="s">
        <v>4642</v>
      </c>
      <c r="E882" s="987">
        <v>27.9375</v>
      </c>
      <c r="F882" s="987">
        <v>6.757E-3</v>
      </c>
      <c r="G882" s="987">
        <v>0</v>
      </c>
      <c r="H882" s="986">
        <v>4.4999999999999997E-3</v>
      </c>
      <c r="I882" s="986">
        <f t="shared" si="6"/>
        <v>2.2570000000000003E-3</v>
      </c>
      <c r="J882" s="988">
        <v>36281</v>
      </c>
    </row>
    <row r="883" spans="1:10">
      <c r="A883" s="987">
        <v>39</v>
      </c>
      <c r="B883" s="988">
        <v>36312</v>
      </c>
      <c r="C883" s="987" t="s">
        <v>4644</v>
      </c>
      <c r="D883" s="987" t="s">
        <v>4642</v>
      </c>
      <c r="E883" s="987">
        <v>25.8125</v>
      </c>
      <c r="F883" s="987">
        <v>-7.6063000000000006E-2</v>
      </c>
      <c r="G883" s="987">
        <v>0</v>
      </c>
      <c r="H883" s="986">
        <v>5.4999999999999997E-3</v>
      </c>
      <c r="I883" s="986">
        <f t="shared" si="6"/>
        <v>-8.156300000000001E-2</v>
      </c>
      <c r="J883" s="988">
        <v>36312</v>
      </c>
    </row>
    <row r="884" spans="1:10">
      <c r="A884" s="987">
        <v>39</v>
      </c>
      <c r="B884" s="988">
        <v>36342</v>
      </c>
      <c r="C884" s="987" t="s">
        <v>4644</v>
      </c>
      <c r="D884" s="987" t="s">
        <v>4642</v>
      </c>
      <c r="E884" s="987">
        <v>25.9375</v>
      </c>
      <c r="F884" s="987">
        <v>1.4722000000000001E-2</v>
      </c>
      <c r="G884" s="987">
        <v>0.255</v>
      </c>
      <c r="H884" s="986">
        <v>5.1000000000000004E-3</v>
      </c>
      <c r="I884" s="986">
        <f t="shared" si="6"/>
        <v>9.6220000000000003E-3</v>
      </c>
      <c r="J884" s="988">
        <v>36342</v>
      </c>
    </row>
    <row r="885" spans="1:10">
      <c r="A885" s="987">
        <v>39</v>
      </c>
      <c r="B885" s="988">
        <v>36373</v>
      </c>
      <c r="C885" s="987" t="s">
        <v>4644</v>
      </c>
      <c r="D885" s="987" t="s">
        <v>4642</v>
      </c>
      <c r="E885" s="987">
        <v>23.75</v>
      </c>
      <c r="F885" s="987">
        <v>-8.4336999999999995E-2</v>
      </c>
      <c r="G885" s="987">
        <v>0</v>
      </c>
      <c r="H885" s="986">
        <v>5.4000000000000003E-3</v>
      </c>
      <c r="I885" s="986">
        <f t="shared" si="6"/>
        <v>-8.9736999999999997E-2</v>
      </c>
      <c r="J885" s="988">
        <v>36373</v>
      </c>
    </row>
    <row r="886" spans="1:10">
      <c r="A886" s="987">
        <v>39</v>
      </c>
      <c r="B886" s="988">
        <v>36404</v>
      </c>
      <c r="C886" s="987" t="s">
        <v>4644</v>
      </c>
      <c r="D886" s="987" t="s">
        <v>4642</v>
      </c>
      <c r="E886" s="987">
        <v>22.125</v>
      </c>
      <c r="F886" s="987">
        <v>-6.8420999999999996E-2</v>
      </c>
      <c r="G886" s="987">
        <v>0</v>
      </c>
      <c r="H886" s="986">
        <v>5.1999999999999998E-3</v>
      </c>
      <c r="I886" s="986">
        <f t="shared" si="6"/>
        <v>-7.3620999999999992E-2</v>
      </c>
      <c r="J886" s="988">
        <v>36404</v>
      </c>
    </row>
    <row r="887" spans="1:10">
      <c r="A887" s="987">
        <v>39</v>
      </c>
      <c r="B887" s="988">
        <v>36434</v>
      </c>
      <c r="C887" s="987" t="s">
        <v>4644</v>
      </c>
      <c r="D887" s="987" t="s">
        <v>4642</v>
      </c>
      <c r="E887" s="987">
        <v>20.5</v>
      </c>
      <c r="F887" s="987">
        <v>-6.1920999999999997E-2</v>
      </c>
      <c r="G887" s="987">
        <v>0.255</v>
      </c>
      <c r="H887" s="986">
        <v>5.0000000000000001E-3</v>
      </c>
      <c r="I887" s="986">
        <f t="shared" si="6"/>
        <v>-6.6920999999999994E-2</v>
      </c>
      <c r="J887" s="988">
        <v>36434</v>
      </c>
    </row>
    <row r="888" spans="1:10">
      <c r="A888" s="987">
        <v>39</v>
      </c>
      <c r="B888" s="988">
        <v>36465</v>
      </c>
      <c r="C888" s="987" t="s">
        <v>4644</v>
      </c>
      <c r="D888" s="987" t="s">
        <v>4642</v>
      </c>
      <c r="E888" s="987">
        <v>18.8125</v>
      </c>
      <c r="F888" s="987">
        <v>-8.2317000000000001E-2</v>
      </c>
      <c r="G888" s="987">
        <v>0</v>
      </c>
      <c r="H888" s="986">
        <v>5.5999999999999999E-3</v>
      </c>
      <c r="I888" s="986">
        <f t="shared" si="6"/>
        <v>-8.7916999999999995E-2</v>
      </c>
      <c r="J888" s="988">
        <v>36465</v>
      </c>
    </row>
    <row r="889" spans="1:10">
      <c r="A889" s="987">
        <v>39</v>
      </c>
      <c r="B889" s="988">
        <v>36495</v>
      </c>
      <c r="C889" s="987" t="s">
        <v>4644</v>
      </c>
      <c r="D889" s="987" t="s">
        <v>4642</v>
      </c>
      <c r="E889" s="987">
        <v>17.875</v>
      </c>
      <c r="F889" s="987">
        <v>-4.9834000000000003E-2</v>
      </c>
      <c r="G889" s="987">
        <v>0</v>
      </c>
      <c r="H889" s="986">
        <v>5.4999999999999997E-3</v>
      </c>
      <c r="I889" s="986">
        <f t="shared" si="6"/>
        <v>-5.5334000000000001E-2</v>
      </c>
      <c r="J889" s="988">
        <v>36495</v>
      </c>
    </row>
    <row r="890" spans="1:10">
      <c r="A890" s="987">
        <v>39</v>
      </c>
      <c r="B890" s="988">
        <v>36526</v>
      </c>
      <c r="C890" s="987" t="s">
        <v>4644</v>
      </c>
      <c r="D890" s="987" t="s">
        <v>4642</v>
      </c>
      <c r="E890" s="987">
        <v>18.375</v>
      </c>
      <c r="F890" s="987">
        <v>4.3076999999999997E-2</v>
      </c>
      <c r="G890" s="987">
        <v>0.27</v>
      </c>
      <c r="H890" s="986">
        <v>5.7000000000000002E-3</v>
      </c>
      <c r="I890" s="986">
        <f t="shared" si="6"/>
        <v>3.7376999999999994E-2</v>
      </c>
      <c r="J890" s="988">
        <v>36526</v>
      </c>
    </row>
    <row r="891" spans="1:10">
      <c r="A891" s="987">
        <v>39</v>
      </c>
      <c r="B891" s="988">
        <v>36557</v>
      </c>
      <c r="C891" s="987" t="s">
        <v>4644</v>
      </c>
      <c r="D891" s="987" t="s">
        <v>4642</v>
      </c>
      <c r="E891" s="987">
        <v>12.9375</v>
      </c>
      <c r="F891" s="987">
        <v>-0.29591800000000001</v>
      </c>
      <c r="G891" s="987">
        <v>0</v>
      </c>
      <c r="H891" s="986">
        <v>5.1000000000000004E-3</v>
      </c>
      <c r="I891" s="986">
        <f t="shared" si="6"/>
        <v>-0.30101800000000001</v>
      </c>
      <c r="J891" s="988">
        <v>36557</v>
      </c>
    </row>
    <row r="892" spans="1:10">
      <c r="A892" s="987">
        <v>39</v>
      </c>
      <c r="B892" s="988">
        <v>36586</v>
      </c>
      <c r="C892" s="987" t="s">
        <v>4644</v>
      </c>
      <c r="D892" s="987" t="s">
        <v>4642</v>
      </c>
      <c r="E892" s="987">
        <v>16.875</v>
      </c>
      <c r="F892" s="987">
        <v>0.30434800000000001</v>
      </c>
      <c r="G892" s="987">
        <v>0</v>
      </c>
      <c r="H892" s="986">
        <v>5.4000000000000003E-3</v>
      </c>
      <c r="I892" s="986">
        <f t="shared" si="6"/>
        <v>0.29894799999999999</v>
      </c>
      <c r="J892" s="988">
        <v>36586</v>
      </c>
    </row>
    <row r="893" spans="1:10">
      <c r="A893" s="987">
        <v>39</v>
      </c>
      <c r="B893" s="988">
        <v>36617</v>
      </c>
      <c r="C893" s="987" t="s">
        <v>4644</v>
      </c>
      <c r="D893" s="987" t="s">
        <v>4642</v>
      </c>
      <c r="E893" s="987">
        <v>18.5</v>
      </c>
      <c r="F893" s="987">
        <v>0.11229600000000001</v>
      </c>
      <c r="G893" s="987">
        <v>0.27</v>
      </c>
      <c r="H893" s="986">
        <v>4.7000000000000002E-3</v>
      </c>
      <c r="I893" s="986">
        <f t="shared" si="6"/>
        <v>0.10759600000000001</v>
      </c>
      <c r="J893" s="988">
        <v>36617</v>
      </c>
    </row>
    <row r="894" spans="1:10">
      <c r="A894" s="987">
        <v>39</v>
      </c>
      <c r="B894" s="988">
        <v>36647</v>
      </c>
      <c r="C894" s="987" t="s">
        <v>4644</v>
      </c>
      <c r="D894" s="987" t="s">
        <v>4642</v>
      </c>
      <c r="E894" s="987">
        <v>18.0625</v>
      </c>
      <c r="F894" s="987">
        <v>-2.3649E-2</v>
      </c>
      <c r="G894" s="987">
        <v>0</v>
      </c>
      <c r="H894" s="986">
        <v>5.5999999999999999E-3</v>
      </c>
      <c r="I894" s="986">
        <f t="shared" ref="I894:I957" si="7">F894-H894</f>
        <v>-2.9249000000000001E-2</v>
      </c>
      <c r="J894" s="988">
        <v>36647</v>
      </c>
    </row>
    <row r="895" spans="1:10">
      <c r="A895" s="987">
        <v>39</v>
      </c>
      <c r="B895" s="988">
        <v>36678</v>
      </c>
      <c r="C895" s="987" t="s">
        <v>4644</v>
      </c>
      <c r="D895" s="987" t="s">
        <v>4642</v>
      </c>
      <c r="E895" s="987">
        <v>18.625</v>
      </c>
      <c r="F895" s="987">
        <v>3.1142E-2</v>
      </c>
      <c r="G895" s="987">
        <v>0</v>
      </c>
      <c r="H895" s="986">
        <v>5.1999999999999998E-3</v>
      </c>
      <c r="I895" s="986">
        <f t="shared" si="7"/>
        <v>2.5942E-2</v>
      </c>
      <c r="J895" s="988">
        <v>36678</v>
      </c>
    </row>
    <row r="896" spans="1:10">
      <c r="A896" s="987">
        <v>39</v>
      </c>
      <c r="B896" s="988">
        <v>36708</v>
      </c>
      <c r="C896" s="987" t="s">
        <v>4644</v>
      </c>
      <c r="D896" s="987" t="s">
        <v>4642</v>
      </c>
      <c r="E896" s="987">
        <v>19.4375</v>
      </c>
      <c r="F896" s="987">
        <v>5.8120999999999999E-2</v>
      </c>
      <c r="G896" s="987">
        <v>0.27</v>
      </c>
      <c r="H896" s="986">
        <v>5.1999999999999998E-3</v>
      </c>
      <c r="I896" s="986">
        <f t="shared" si="7"/>
        <v>5.2920999999999996E-2</v>
      </c>
      <c r="J896" s="988">
        <v>36708</v>
      </c>
    </row>
    <row r="897" spans="1:10">
      <c r="A897" s="987">
        <v>39</v>
      </c>
      <c r="B897" s="988">
        <v>36739</v>
      </c>
      <c r="C897" s="987" t="s">
        <v>4644</v>
      </c>
      <c r="D897" s="987" t="s">
        <v>4642</v>
      </c>
      <c r="E897" s="987">
        <v>23.9375</v>
      </c>
      <c r="F897" s="987">
        <v>0.23151099999999999</v>
      </c>
      <c r="G897" s="987">
        <v>0</v>
      </c>
      <c r="H897" s="986">
        <v>5.0000000000000001E-3</v>
      </c>
      <c r="I897" s="986">
        <f t="shared" si="7"/>
        <v>0.22651099999999999</v>
      </c>
      <c r="J897" s="988">
        <v>36739</v>
      </c>
    </row>
    <row r="898" spans="1:10">
      <c r="A898" s="987">
        <v>39</v>
      </c>
      <c r="B898" s="988">
        <v>36770</v>
      </c>
      <c r="C898" s="987" t="s">
        <v>4644</v>
      </c>
      <c r="D898" s="987" t="s">
        <v>4642</v>
      </c>
      <c r="E898" s="987">
        <v>24.375</v>
      </c>
      <c r="F898" s="987">
        <v>1.8277000000000002E-2</v>
      </c>
      <c r="G898" s="987">
        <v>0</v>
      </c>
      <c r="H898" s="986">
        <v>4.5999999999999999E-3</v>
      </c>
      <c r="I898" s="986">
        <f t="shared" si="7"/>
        <v>1.3677000000000002E-2</v>
      </c>
      <c r="J898" s="988">
        <v>36770</v>
      </c>
    </row>
    <row r="899" spans="1:10">
      <c r="A899" s="987">
        <v>39</v>
      </c>
      <c r="B899" s="988">
        <v>36800</v>
      </c>
      <c r="C899" s="987" t="s">
        <v>4644</v>
      </c>
      <c r="D899" s="987" t="s">
        <v>4642</v>
      </c>
      <c r="E899" s="987">
        <v>24.9375</v>
      </c>
      <c r="F899" s="987">
        <v>3.4153999999999997E-2</v>
      </c>
      <c r="G899" s="987">
        <v>0.27</v>
      </c>
      <c r="H899" s="986">
        <v>5.3E-3</v>
      </c>
      <c r="I899" s="986">
        <f t="shared" si="7"/>
        <v>2.8853999999999998E-2</v>
      </c>
      <c r="J899" s="988">
        <v>36800</v>
      </c>
    </row>
    <row r="900" spans="1:10">
      <c r="A900" s="987">
        <v>39</v>
      </c>
      <c r="B900" s="988">
        <v>36831</v>
      </c>
      <c r="C900" s="987" t="s">
        <v>4644</v>
      </c>
      <c r="D900" s="987" t="s">
        <v>4642</v>
      </c>
      <c r="E900" s="987">
        <v>25.6875</v>
      </c>
      <c r="F900" s="987">
        <v>3.0075000000000001E-2</v>
      </c>
      <c r="G900" s="987">
        <v>0</v>
      </c>
      <c r="H900" s="986">
        <v>4.7999999999999996E-3</v>
      </c>
      <c r="I900" s="986">
        <f t="shared" si="7"/>
        <v>2.5275000000000002E-2</v>
      </c>
      <c r="J900" s="988">
        <v>36831</v>
      </c>
    </row>
    <row r="901" spans="1:10">
      <c r="A901" s="987">
        <v>39</v>
      </c>
      <c r="B901" s="988">
        <v>36861</v>
      </c>
      <c r="C901" s="987" t="s">
        <v>4644</v>
      </c>
      <c r="D901" s="987" t="s">
        <v>4642</v>
      </c>
      <c r="E901" s="987">
        <v>30.75</v>
      </c>
      <c r="F901" s="987">
        <v>0.19708000000000001</v>
      </c>
      <c r="G901" s="987">
        <v>0</v>
      </c>
      <c r="H901" s="986">
        <v>4.4999999999999997E-3</v>
      </c>
      <c r="I901" s="986">
        <f t="shared" si="7"/>
        <v>0.19258</v>
      </c>
      <c r="J901" s="988">
        <v>36861</v>
      </c>
    </row>
    <row r="902" spans="1:10">
      <c r="A902" s="987">
        <v>39</v>
      </c>
      <c r="B902" s="988">
        <v>36892</v>
      </c>
      <c r="C902" s="987" t="s">
        <v>4644</v>
      </c>
      <c r="D902" s="987" t="s">
        <v>4642</v>
      </c>
      <c r="E902" s="987">
        <v>26.9</v>
      </c>
      <c r="F902" s="987">
        <v>-0.115772</v>
      </c>
      <c r="G902" s="987">
        <v>0.28999999999999998</v>
      </c>
      <c r="H902" s="986">
        <v>4.8999999999999998E-3</v>
      </c>
      <c r="I902" s="986">
        <f t="shared" si="7"/>
        <v>-0.120672</v>
      </c>
      <c r="J902" s="988">
        <v>36892</v>
      </c>
    </row>
    <row r="903" spans="1:10">
      <c r="A903" s="987">
        <v>39</v>
      </c>
      <c r="B903" s="988">
        <v>36923</v>
      </c>
      <c r="C903" s="987" t="s">
        <v>4644</v>
      </c>
      <c r="D903" s="987" t="s">
        <v>4642</v>
      </c>
      <c r="E903" s="987">
        <v>28.63</v>
      </c>
      <c r="F903" s="987">
        <v>6.4311999999999994E-2</v>
      </c>
      <c r="G903" s="987">
        <v>0</v>
      </c>
      <c r="H903" s="986">
        <v>4.1999999999999997E-3</v>
      </c>
      <c r="I903" s="986">
        <f t="shared" si="7"/>
        <v>6.0111999999999992E-2</v>
      </c>
      <c r="J903" s="988">
        <v>36923</v>
      </c>
    </row>
    <row r="904" spans="1:10">
      <c r="A904" s="987">
        <v>39</v>
      </c>
      <c r="B904" s="988">
        <v>36951</v>
      </c>
      <c r="C904" s="987" t="s">
        <v>4644</v>
      </c>
      <c r="D904" s="987" t="s">
        <v>4642</v>
      </c>
      <c r="E904" s="987">
        <v>31.12</v>
      </c>
      <c r="F904" s="987">
        <v>8.6971999999999994E-2</v>
      </c>
      <c r="G904" s="987">
        <v>0</v>
      </c>
      <c r="H904" s="986">
        <v>4.4999999999999997E-3</v>
      </c>
      <c r="I904" s="986">
        <f t="shared" si="7"/>
        <v>8.247199999999999E-2</v>
      </c>
      <c r="J904" s="988">
        <v>36951</v>
      </c>
    </row>
    <row r="905" spans="1:10">
      <c r="A905" s="987">
        <v>39</v>
      </c>
      <c r="B905" s="988">
        <v>36982</v>
      </c>
      <c r="C905" s="987" t="s">
        <v>4644</v>
      </c>
      <c r="D905" s="987" t="s">
        <v>4642</v>
      </c>
      <c r="E905" s="987">
        <v>29.7</v>
      </c>
      <c r="F905" s="987">
        <v>-3.6311000000000003E-2</v>
      </c>
      <c r="G905" s="987">
        <v>0.28999999999999998</v>
      </c>
      <c r="H905" s="986">
        <v>4.7000000000000002E-3</v>
      </c>
      <c r="I905" s="986">
        <f t="shared" si="7"/>
        <v>-4.1011000000000006E-2</v>
      </c>
      <c r="J905" s="988">
        <v>36982</v>
      </c>
    </row>
    <row r="906" spans="1:10">
      <c r="A906" s="987">
        <v>39</v>
      </c>
      <c r="B906" s="988">
        <v>37012</v>
      </c>
      <c r="C906" s="987" t="s">
        <v>4644</v>
      </c>
      <c r="D906" s="987" t="s">
        <v>4642</v>
      </c>
      <c r="E906" s="987">
        <v>31.3</v>
      </c>
      <c r="F906" s="987">
        <v>5.3872000000000003E-2</v>
      </c>
      <c r="G906" s="987">
        <v>0</v>
      </c>
      <c r="H906" s="986">
        <v>5.0000000000000001E-3</v>
      </c>
      <c r="I906" s="986">
        <f t="shared" si="7"/>
        <v>4.8872000000000006E-2</v>
      </c>
      <c r="J906" s="988">
        <v>37012</v>
      </c>
    </row>
    <row r="907" spans="1:10">
      <c r="A907" s="987">
        <v>39</v>
      </c>
      <c r="B907" s="988">
        <v>37043</v>
      </c>
      <c r="C907" s="987" t="s">
        <v>4644</v>
      </c>
      <c r="D907" s="987" t="s">
        <v>4642</v>
      </c>
      <c r="E907" s="987">
        <v>27.33</v>
      </c>
      <c r="F907" s="987">
        <v>-0.12683700000000001</v>
      </c>
      <c r="G907" s="987">
        <v>0</v>
      </c>
      <c r="H907" s="986">
        <v>4.7000000000000002E-3</v>
      </c>
      <c r="I907" s="986">
        <f t="shared" si="7"/>
        <v>-0.13153700000000002</v>
      </c>
      <c r="J907" s="988">
        <v>37043</v>
      </c>
    </row>
    <row r="908" spans="1:10">
      <c r="A908" s="987">
        <v>39</v>
      </c>
      <c r="B908" s="988">
        <v>37073</v>
      </c>
      <c r="C908" s="987" t="s">
        <v>4644</v>
      </c>
      <c r="D908" s="987" t="s">
        <v>4642</v>
      </c>
      <c r="E908" s="987">
        <v>26.36</v>
      </c>
      <c r="F908" s="987">
        <v>-2.4881E-2</v>
      </c>
      <c r="G908" s="987">
        <v>0.28999999999999998</v>
      </c>
      <c r="H908" s="986">
        <v>5.1999999999999998E-3</v>
      </c>
      <c r="I908" s="986">
        <f t="shared" si="7"/>
        <v>-3.0081E-2</v>
      </c>
      <c r="J908" s="988">
        <v>37073</v>
      </c>
    </row>
    <row r="909" spans="1:10">
      <c r="A909" s="987">
        <v>39</v>
      </c>
      <c r="B909" s="988">
        <v>37104</v>
      </c>
      <c r="C909" s="987" t="s">
        <v>4644</v>
      </c>
      <c r="D909" s="987" t="s">
        <v>4642</v>
      </c>
      <c r="E909" s="987">
        <v>25.21</v>
      </c>
      <c r="F909" s="987">
        <v>-4.3626999999999999E-2</v>
      </c>
      <c r="G909" s="987">
        <v>0</v>
      </c>
      <c r="H909" s="986">
        <v>4.5999999999999999E-3</v>
      </c>
      <c r="I909" s="986">
        <f t="shared" si="7"/>
        <v>-4.8226999999999999E-2</v>
      </c>
      <c r="J909" s="988">
        <v>37104</v>
      </c>
    </row>
    <row r="910" spans="1:10">
      <c r="A910" s="987">
        <v>39</v>
      </c>
      <c r="B910" s="988">
        <v>37135</v>
      </c>
      <c r="C910" s="987" t="s">
        <v>4644</v>
      </c>
      <c r="D910" s="987" t="s">
        <v>4642</v>
      </c>
      <c r="E910" s="987">
        <v>23.31</v>
      </c>
      <c r="F910" s="987">
        <v>-7.5367000000000003E-2</v>
      </c>
      <c r="G910" s="987">
        <v>0</v>
      </c>
      <c r="H910" s="986">
        <v>4.1000000000000003E-3</v>
      </c>
      <c r="I910" s="986">
        <f t="shared" si="7"/>
        <v>-7.946700000000001E-2</v>
      </c>
      <c r="J910" s="988">
        <v>37135</v>
      </c>
    </row>
    <row r="911" spans="1:10">
      <c r="A911" s="987">
        <v>39</v>
      </c>
      <c r="B911" s="988">
        <v>37165</v>
      </c>
      <c r="C911" s="987" t="s">
        <v>4644</v>
      </c>
      <c r="D911" s="987" t="s">
        <v>4642</v>
      </c>
      <c r="E911" s="987">
        <v>23.75</v>
      </c>
      <c r="F911" s="987">
        <v>3.1316999999999998E-2</v>
      </c>
      <c r="G911" s="987">
        <v>0.28999999999999998</v>
      </c>
      <c r="H911" s="986">
        <v>4.7999999999999996E-3</v>
      </c>
      <c r="I911" s="986">
        <f t="shared" si="7"/>
        <v>2.6516999999999999E-2</v>
      </c>
      <c r="J911" s="988">
        <v>37165</v>
      </c>
    </row>
    <row r="912" spans="1:10">
      <c r="A912" s="987">
        <v>39</v>
      </c>
      <c r="B912" s="988">
        <v>37196</v>
      </c>
      <c r="C912" s="987" t="s">
        <v>4644</v>
      </c>
      <c r="D912" s="987" t="s">
        <v>4642</v>
      </c>
      <c r="E912" s="987">
        <v>20.9</v>
      </c>
      <c r="F912" s="987">
        <v>-0.12</v>
      </c>
      <c r="G912" s="987">
        <v>0</v>
      </c>
      <c r="H912" s="986">
        <v>4.1000000000000003E-3</v>
      </c>
      <c r="I912" s="986">
        <f t="shared" si="7"/>
        <v>-0.1241</v>
      </c>
      <c r="J912" s="988">
        <v>37196</v>
      </c>
    </row>
    <row r="913" spans="1:10">
      <c r="A913" s="987">
        <v>39</v>
      </c>
      <c r="B913" s="988">
        <v>37226</v>
      </c>
      <c r="C913" s="987" t="s">
        <v>4644</v>
      </c>
      <c r="D913" s="987" t="s">
        <v>4642</v>
      </c>
      <c r="E913" s="987">
        <v>23.06</v>
      </c>
      <c r="F913" s="987">
        <v>0.103349</v>
      </c>
      <c r="G913" s="987">
        <v>0</v>
      </c>
      <c r="H913" s="986">
        <v>4.5999999999999999E-3</v>
      </c>
      <c r="I913" s="986">
        <f t="shared" si="7"/>
        <v>9.8749000000000003E-2</v>
      </c>
      <c r="J913" s="988">
        <v>37226</v>
      </c>
    </row>
    <row r="914" spans="1:10">
      <c r="A914" s="987">
        <v>39</v>
      </c>
      <c r="B914" s="988">
        <v>37257</v>
      </c>
      <c r="C914" s="987" t="s">
        <v>4644</v>
      </c>
      <c r="D914" s="987" t="s">
        <v>4642</v>
      </c>
      <c r="E914" s="987">
        <v>20.8</v>
      </c>
      <c r="F914" s="987">
        <v>-8.5429000000000005E-2</v>
      </c>
      <c r="G914" s="987">
        <v>0.28999999999999998</v>
      </c>
      <c r="H914" s="986">
        <v>4.7999999999999996E-3</v>
      </c>
      <c r="I914" s="986">
        <f t="shared" si="7"/>
        <v>-9.0229000000000004E-2</v>
      </c>
      <c r="J914" s="988">
        <v>37257</v>
      </c>
    </row>
    <row r="915" spans="1:10">
      <c r="A915" s="987">
        <v>39</v>
      </c>
      <c r="B915" s="988">
        <v>37288</v>
      </c>
      <c r="C915" s="987" t="s">
        <v>4644</v>
      </c>
      <c r="D915" s="987" t="s">
        <v>4642</v>
      </c>
      <c r="E915" s="987">
        <v>20.99</v>
      </c>
      <c r="F915" s="987">
        <v>9.1350000000000008E-3</v>
      </c>
      <c r="G915" s="987">
        <v>0</v>
      </c>
      <c r="H915" s="986">
        <v>4.3E-3</v>
      </c>
      <c r="I915" s="986">
        <f t="shared" si="7"/>
        <v>4.8350000000000008E-3</v>
      </c>
      <c r="J915" s="988">
        <v>37288</v>
      </c>
    </row>
    <row r="916" spans="1:10">
      <c r="A916" s="987">
        <v>39</v>
      </c>
      <c r="B916" s="988">
        <v>37316</v>
      </c>
      <c r="C916" s="987" t="s">
        <v>4644</v>
      </c>
      <c r="D916" s="987" t="s">
        <v>4642</v>
      </c>
      <c r="E916" s="987">
        <v>22.95</v>
      </c>
      <c r="F916" s="987">
        <v>9.3378000000000003E-2</v>
      </c>
      <c r="G916" s="987">
        <v>0</v>
      </c>
      <c r="H916" s="986">
        <v>4.3E-3</v>
      </c>
      <c r="I916" s="986">
        <f t="shared" si="7"/>
        <v>8.9078000000000004E-2</v>
      </c>
      <c r="J916" s="988">
        <v>37316</v>
      </c>
    </row>
    <row r="917" spans="1:10">
      <c r="A917" s="987">
        <v>39</v>
      </c>
      <c r="B917" s="988">
        <v>37347</v>
      </c>
      <c r="C917" s="987" t="s">
        <v>4644</v>
      </c>
      <c r="D917" s="987" t="s">
        <v>4642</v>
      </c>
      <c r="E917" s="987">
        <v>22.1</v>
      </c>
      <c r="F917" s="987">
        <v>-2.4400999999999999E-2</v>
      </c>
      <c r="G917" s="987">
        <v>0.28999999999999998</v>
      </c>
      <c r="H917" s="986">
        <v>5.4000000000000003E-3</v>
      </c>
      <c r="I917" s="986">
        <f t="shared" si="7"/>
        <v>-2.9801000000000001E-2</v>
      </c>
      <c r="J917" s="988">
        <v>37347</v>
      </c>
    </row>
    <row r="918" spans="1:10">
      <c r="A918" s="987">
        <v>39</v>
      </c>
      <c r="B918" s="988">
        <v>37377</v>
      </c>
      <c r="C918" s="987" t="s">
        <v>4644</v>
      </c>
      <c r="D918" s="987" t="s">
        <v>4642</v>
      </c>
      <c r="E918" s="987">
        <v>24.23</v>
      </c>
      <c r="F918" s="987">
        <v>9.6379999999999993E-2</v>
      </c>
      <c r="G918" s="987">
        <v>0</v>
      </c>
      <c r="H918" s="986">
        <v>4.8999999999999998E-3</v>
      </c>
      <c r="I918" s="986">
        <f t="shared" si="7"/>
        <v>9.1479999999999992E-2</v>
      </c>
      <c r="J918" s="988">
        <v>37377</v>
      </c>
    </row>
    <row r="919" spans="1:10">
      <c r="A919" s="987">
        <v>39</v>
      </c>
      <c r="B919" s="988">
        <v>37408</v>
      </c>
      <c r="C919" s="987" t="s">
        <v>4644</v>
      </c>
      <c r="D919" s="987" t="s">
        <v>4642</v>
      </c>
      <c r="E919" s="987">
        <v>21.83</v>
      </c>
      <c r="F919" s="987">
        <v>-9.9051E-2</v>
      </c>
      <c r="G919" s="987">
        <v>0</v>
      </c>
      <c r="H919" s="986">
        <v>4.4000000000000003E-3</v>
      </c>
      <c r="I919" s="986">
        <f t="shared" si="7"/>
        <v>-0.103451</v>
      </c>
      <c r="J919" s="988">
        <v>37408</v>
      </c>
    </row>
    <row r="920" spans="1:10">
      <c r="A920" s="987">
        <v>39</v>
      </c>
      <c r="B920" s="988">
        <v>37438</v>
      </c>
      <c r="C920" s="987" t="s">
        <v>4644</v>
      </c>
      <c r="D920" s="987" t="s">
        <v>4642</v>
      </c>
      <c r="E920" s="987">
        <v>19.8</v>
      </c>
      <c r="F920" s="987">
        <v>-7.9707E-2</v>
      </c>
      <c r="G920" s="987">
        <v>0.28999999999999998</v>
      </c>
      <c r="H920" s="986">
        <v>5.1000000000000004E-3</v>
      </c>
      <c r="I920" s="986">
        <f t="shared" si="7"/>
        <v>-8.4806999999999994E-2</v>
      </c>
      <c r="J920" s="988">
        <v>37438</v>
      </c>
    </row>
    <row r="921" spans="1:10">
      <c r="A921" s="987">
        <v>39</v>
      </c>
      <c r="B921" s="988">
        <v>37469</v>
      </c>
      <c r="C921" s="987" t="s">
        <v>4644</v>
      </c>
      <c r="D921" s="987" t="s">
        <v>4642</v>
      </c>
      <c r="E921" s="987">
        <v>19.89</v>
      </c>
      <c r="F921" s="987">
        <v>4.5450000000000004E-3</v>
      </c>
      <c r="G921" s="987">
        <v>0</v>
      </c>
      <c r="H921" s="986">
        <v>4.4000000000000003E-3</v>
      </c>
      <c r="I921" s="986">
        <f t="shared" si="7"/>
        <v>1.4500000000000016E-4</v>
      </c>
      <c r="J921" s="988">
        <v>37469</v>
      </c>
    </row>
    <row r="922" spans="1:10">
      <c r="A922" s="987">
        <v>39</v>
      </c>
      <c r="B922" s="988">
        <v>37500</v>
      </c>
      <c r="C922" s="987" t="s">
        <v>4644</v>
      </c>
      <c r="D922" s="987" t="s">
        <v>4642</v>
      </c>
      <c r="E922" s="987">
        <v>17.23</v>
      </c>
      <c r="F922" s="987">
        <v>-0.13373599999999999</v>
      </c>
      <c r="G922" s="987">
        <v>0</v>
      </c>
      <c r="H922" s="986">
        <v>4.1999999999999997E-3</v>
      </c>
      <c r="I922" s="986">
        <f t="shared" si="7"/>
        <v>-0.137936</v>
      </c>
      <c r="J922" s="988">
        <v>37500</v>
      </c>
    </row>
    <row r="923" spans="1:10">
      <c r="A923" s="987">
        <v>39</v>
      </c>
      <c r="B923" s="988">
        <v>37530</v>
      </c>
      <c r="C923" s="987" t="s">
        <v>4644</v>
      </c>
      <c r="D923" s="987" t="s">
        <v>4642</v>
      </c>
      <c r="E923" s="987">
        <v>16.52</v>
      </c>
      <c r="F923" s="987">
        <v>-2.4375999999999998E-2</v>
      </c>
      <c r="G923" s="987">
        <v>0.28999999999999998</v>
      </c>
      <c r="H923" s="986">
        <v>4.0000000000000001E-3</v>
      </c>
      <c r="I923" s="986">
        <f t="shared" si="7"/>
        <v>-2.8375999999999998E-2</v>
      </c>
      <c r="J923" s="988">
        <v>37530</v>
      </c>
    </row>
    <row r="924" spans="1:10">
      <c r="A924" s="987">
        <v>39</v>
      </c>
      <c r="B924" s="988">
        <v>37561</v>
      </c>
      <c r="C924" s="987" t="s">
        <v>4644</v>
      </c>
      <c r="D924" s="987" t="s">
        <v>4642</v>
      </c>
      <c r="E924" s="987">
        <v>19.489999999999998</v>
      </c>
      <c r="F924" s="987">
        <v>0.179782</v>
      </c>
      <c r="G924" s="987">
        <v>0</v>
      </c>
      <c r="H924" s="986">
        <v>4.0000000000000001E-3</v>
      </c>
      <c r="I924" s="986">
        <f t="shared" si="7"/>
        <v>0.17578199999999999</v>
      </c>
      <c r="J924" s="988">
        <v>37561</v>
      </c>
    </row>
    <row r="925" spans="1:10">
      <c r="A925" s="987">
        <v>39</v>
      </c>
      <c r="B925" s="988">
        <v>37591</v>
      </c>
      <c r="C925" s="987" t="s">
        <v>4644</v>
      </c>
      <c r="D925" s="987" t="s">
        <v>4642</v>
      </c>
      <c r="E925" s="987">
        <v>20</v>
      </c>
      <c r="F925" s="987">
        <v>2.6166999999999999E-2</v>
      </c>
      <c r="G925" s="987">
        <v>0</v>
      </c>
      <c r="H925" s="986">
        <v>4.4999999999999997E-3</v>
      </c>
      <c r="I925" s="986">
        <f t="shared" si="7"/>
        <v>2.1666999999999999E-2</v>
      </c>
      <c r="J925" s="988">
        <v>37591</v>
      </c>
    </row>
    <row r="926" spans="1:10">
      <c r="A926" s="987">
        <v>39</v>
      </c>
      <c r="B926" s="988">
        <v>37622</v>
      </c>
      <c r="C926" s="987" t="s">
        <v>4644</v>
      </c>
      <c r="D926" s="987" t="s">
        <v>4642</v>
      </c>
      <c r="E926" s="987">
        <v>17.77</v>
      </c>
      <c r="F926" s="987">
        <v>-9.7000000000000003E-2</v>
      </c>
      <c r="G926" s="987">
        <v>0.28999999999999998</v>
      </c>
      <c r="H926" s="986">
        <v>4.1000000000000003E-3</v>
      </c>
      <c r="I926" s="986">
        <f t="shared" si="7"/>
        <v>-0.10110000000000001</v>
      </c>
      <c r="J926" s="988">
        <v>37622</v>
      </c>
    </row>
    <row r="927" spans="1:10">
      <c r="A927" s="987">
        <v>39</v>
      </c>
      <c r="B927" s="988">
        <v>37653</v>
      </c>
      <c r="C927" s="987" t="s">
        <v>4644</v>
      </c>
      <c r="D927" s="987" t="s">
        <v>4642</v>
      </c>
      <c r="E927" s="987">
        <v>16.940000000000001</v>
      </c>
      <c r="F927" s="987">
        <v>-4.6708E-2</v>
      </c>
      <c r="G927" s="987">
        <v>0</v>
      </c>
      <c r="H927" s="986">
        <v>3.8E-3</v>
      </c>
      <c r="I927" s="986">
        <f t="shared" si="7"/>
        <v>-5.0507999999999997E-2</v>
      </c>
      <c r="J927" s="988">
        <v>37653</v>
      </c>
    </row>
    <row r="928" spans="1:10">
      <c r="A928" s="987">
        <v>39</v>
      </c>
      <c r="B928" s="988">
        <v>37681</v>
      </c>
      <c r="C928" s="987" t="s">
        <v>4644</v>
      </c>
      <c r="D928" s="987" t="s">
        <v>4642</v>
      </c>
      <c r="E928" s="987">
        <v>18.2</v>
      </c>
      <c r="F928" s="987">
        <v>7.4380000000000002E-2</v>
      </c>
      <c r="G928" s="987">
        <v>0</v>
      </c>
      <c r="H928" s="986">
        <v>4.0000000000000001E-3</v>
      </c>
      <c r="I928" s="986">
        <f t="shared" si="7"/>
        <v>7.0379999999999998E-2</v>
      </c>
      <c r="J928" s="988">
        <v>37681</v>
      </c>
    </row>
    <row r="929" spans="1:10">
      <c r="A929" s="987">
        <v>39</v>
      </c>
      <c r="B929" s="988">
        <v>37712</v>
      </c>
      <c r="C929" s="987" t="s">
        <v>4644</v>
      </c>
      <c r="D929" s="987" t="s">
        <v>4642</v>
      </c>
      <c r="E929" s="987">
        <v>18.899999999999999</v>
      </c>
      <c r="F929" s="987">
        <v>5.4396E-2</v>
      </c>
      <c r="G929" s="987">
        <v>0.28999999999999998</v>
      </c>
      <c r="H929" s="986">
        <v>4.0000000000000001E-3</v>
      </c>
      <c r="I929" s="986">
        <f t="shared" si="7"/>
        <v>5.0395999999999996E-2</v>
      </c>
      <c r="J929" s="988">
        <v>37712</v>
      </c>
    </row>
    <row r="930" spans="1:10">
      <c r="A930" s="987">
        <v>39</v>
      </c>
      <c r="B930" s="988">
        <v>37742</v>
      </c>
      <c r="C930" s="987" t="s">
        <v>4644</v>
      </c>
      <c r="D930" s="987" t="s">
        <v>4642</v>
      </c>
      <c r="E930" s="987">
        <v>19.61</v>
      </c>
      <c r="F930" s="987">
        <v>3.7566000000000002E-2</v>
      </c>
      <c r="G930" s="987">
        <v>0</v>
      </c>
      <c r="H930" s="986">
        <v>3.8999999999999998E-3</v>
      </c>
      <c r="I930" s="986">
        <f t="shared" si="7"/>
        <v>3.3666000000000001E-2</v>
      </c>
      <c r="J930" s="988">
        <v>37742</v>
      </c>
    </row>
    <row r="931" spans="1:10">
      <c r="A931" s="987">
        <v>39</v>
      </c>
      <c r="B931" s="988">
        <v>37773</v>
      </c>
      <c r="C931" s="987" t="s">
        <v>4644</v>
      </c>
      <c r="D931" s="987" t="s">
        <v>4642</v>
      </c>
      <c r="E931" s="987">
        <v>19</v>
      </c>
      <c r="F931" s="987">
        <v>-3.1106999999999999E-2</v>
      </c>
      <c r="G931" s="987">
        <v>0</v>
      </c>
      <c r="H931" s="986">
        <v>3.5999999999999999E-3</v>
      </c>
      <c r="I931" s="986">
        <f t="shared" si="7"/>
        <v>-3.4707000000000002E-2</v>
      </c>
      <c r="J931" s="988">
        <v>37773</v>
      </c>
    </row>
    <row r="932" spans="1:10">
      <c r="A932" s="987">
        <v>39</v>
      </c>
      <c r="B932" s="988">
        <v>37803</v>
      </c>
      <c r="C932" s="987" t="s">
        <v>4644</v>
      </c>
      <c r="D932" s="987" t="s">
        <v>4642</v>
      </c>
      <c r="E932" s="987">
        <v>19.3</v>
      </c>
      <c r="F932" s="987">
        <v>3.1053000000000001E-2</v>
      </c>
      <c r="G932" s="987">
        <v>0.28999999999999998</v>
      </c>
      <c r="H932" s="986">
        <v>3.8E-3</v>
      </c>
      <c r="I932" s="986">
        <f t="shared" si="7"/>
        <v>2.7252999999999999E-2</v>
      </c>
      <c r="J932" s="988">
        <v>37803</v>
      </c>
    </row>
    <row r="933" spans="1:10">
      <c r="A933" s="987">
        <v>39</v>
      </c>
      <c r="B933" s="988">
        <v>37834</v>
      </c>
      <c r="C933" s="987" t="s">
        <v>4644</v>
      </c>
      <c r="D933" s="987" t="s">
        <v>4642</v>
      </c>
      <c r="E933" s="987">
        <v>19.34</v>
      </c>
      <c r="F933" s="987">
        <v>2.0730000000000002E-3</v>
      </c>
      <c r="G933" s="987">
        <v>0</v>
      </c>
      <c r="H933" s="986">
        <v>4.1999999999999997E-3</v>
      </c>
      <c r="I933" s="986">
        <f t="shared" si="7"/>
        <v>-2.1269999999999996E-3</v>
      </c>
      <c r="J933" s="988">
        <v>37834</v>
      </c>
    </row>
    <row r="934" spans="1:10">
      <c r="A934" s="987">
        <v>39</v>
      </c>
      <c r="B934" s="988">
        <v>37865</v>
      </c>
      <c r="C934" s="987" t="s">
        <v>4644</v>
      </c>
      <c r="D934" s="987" t="s">
        <v>4642</v>
      </c>
      <c r="E934" s="987">
        <v>19.98</v>
      </c>
      <c r="F934" s="987">
        <v>3.3092000000000003E-2</v>
      </c>
      <c r="G934" s="987">
        <v>0</v>
      </c>
      <c r="H934" s="986">
        <v>4.5999999999999999E-3</v>
      </c>
      <c r="I934" s="986">
        <f t="shared" si="7"/>
        <v>2.8492000000000003E-2</v>
      </c>
      <c r="J934" s="988">
        <v>37865</v>
      </c>
    </row>
    <row r="935" spans="1:10">
      <c r="A935" s="987">
        <v>39</v>
      </c>
      <c r="B935" s="988">
        <v>37895</v>
      </c>
      <c r="C935" s="987" t="s">
        <v>4644</v>
      </c>
      <c r="D935" s="987" t="s">
        <v>4642</v>
      </c>
      <c r="E935" s="987">
        <v>20.71</v>
      </c>
      <c r="F935" s="987">
        <v>4.8048E-2</v>
      </c>
      <c r="G935" s="987">
        <v>0.23</v>
      </c>
      <c r="H935" s="986">
        <v>4.1000000000000003E-3</v>
      </c>
      <c r="I935" s="986">
        <f t="shared" si="7"/>
        <v>4.3948000000000001E-2</v>
      </c>
      <c r="J935" s="988">
        <v>37895</v>
      </c>
    </row>
    <row r="936" spans="1:10">
      <c r="A936" s="987">
        <v>39</v>
      </c>
      <c r="B936" s="988">
        <v>37926</v>
      </c>
      <c r="C936" s="987" t="s">
        <v>4644</v>
      </c>
      <c r="D936" s="987" t="s">
        <v>4642</v>
      </c>
      <c r="E936" s="987">
        <v>20.75</v>
      </c>
      <c r="F936" s="987">
        <v>1.931E-3</v>
      </c>
      <c r="G936" s="987">
        <v>0</v>
      </c>
      <c r="H936" s="986">
        <v>3.8999999999999998E-3</v>
      </c>
      <c r="I936" s="986">
        <f t="shared" si="7"/>
        <v>-1.9689999999999998E-3</v>
      </c>
      <c r="J936" s="988">
        <v>37926</v>
      </c>
    </row>
    <row r="937" spans="1:10">
      <c r="A937" s="987">
        <v>39</v>
      </c>
      <c r="B937" s="988">
        <v>37956</v>
      </c>
      <c r="C937" s="987" t="s">
        <v>4644</v>
      </c>
      <c r="D937" s="987" t="s">
        <v>4642</v>
      </c>
      <c r="E937" s="987">
        <v>21.94</v>
      </c>
      <c r="F937" s="987">
        <v>5.7348999999999997E-2</v>
      </c>
      <c r="G937" s="987">
        <v>0</v>
      </c>
      <c r="H937" s="986">
        <v>4.7000000000000002E-3</v>
      </c>
      <c r="I937" s="986">
        <f t="shared" si="7"/>
        <v>5.2648999999999994E-2</v>
      </c>
      <c r="J937" s="988">
        <v>37956</v>
      </c>
    </row>
    <row r="938" spans="1:10">
      <c r="A938" s="987">
        <v>39</v>
      </c>
      <c r="B938" s="988">
        <v>37987</v>
      </c>
      <c r="C938" s="987" t="s">
        <v>4644</v>
      </c>
      <c r="D938" s="987" t="s">
        <v>4642</v>
      </c>
      <c r="E938" s="987">
        <v>21</v>
      </c>
      <c r="F938" s="987">
        <v>-3.2361000000000001E-2</v>
      </c>
      <c r="G938" s="987">
        <v>0.23</v>
      </c>
      <c r="H938" s="986">
        <v>4.1999999999999997E-3</v>
      </c>
      <c r="I938" s="986">
        <f t="shared" si="7"/>
        <v>-3.6561000000000003E-2</v>
      </c>
      <c r="J938" s="988">
        <v>37987</v>
      </c>
    </row>
    <row r="939" spans="1:10">
      <c r="A939" s="987">
        <v>39</v>
      </c>
      <c r="B939" s="988">
        <v>38018</v>
      </c>
      <c r="C939" s="987" t="s">
        <v>4644</v>
      </c>
      <c r="D939" s="987" t="s">
        <v>4642</v>
      </c>
      <c r="E939" s="987">
        <v>21.71</v>
      </c>
      <c r="F939" s="987">
        <v>3.3808999999999999E-2</v>
      </c>
      <c r="G939" s="987">
        <v>0</v>
      </c>
      <c r="H939" s="986">
        <v>3.8E-3</v>
      </c>
      <c r="I939" s="986">
        <f t="shared" si="7"/>
        <v>3.0008999999999997E-2</v>
      </c>
      <c r="J939" s="988">
        <v>38018</v>
      </c>
    </row>
    <row r="940" spans="1:10">
      <c r="A940" s="987">
        <v>39</v>
      </c>
      <c r="B940" s="988">
        <v>38047</v>
      </c>
      <c r="C940" s="987" t="s">
        <v>4644</v>
      </c>
      <c r="D940" s="987" t="s">
        <v>4642</v>
      </c>
      <c r="E940" s="987">
        <v>21.25</v>
      </c>
      <c r="F940" s="987">
        <v>-2.1187999999999999E-2</v>
      </c>
      <c r="G940" s="987">
        <v>0</v>
      </c>
      <c r="H940" s="986">
        <v>4.3E-3</v>
      </c>
      <c r="I940" s="986">
        <f t="shared" si="7"/>
        <v>-2.5487999999999997E-2</v>
      </c>
      <c r="J940" s="988">
        <v>38047</v>
      </c>
    </row>
    <row r="941" spans="1:10">
      <c r="A941" s="987">
        <v>39</v>
      </c>
      <c r="B941" s="988">
        <v>38078</v>
      </c>
      <c r="C941" s="987" t="s">
        <v>4644</v>
      </c>
      <c r="D941" s="987" t="s">
        <v>4642</v>
      </c>
      <c r="E941" s="987">
        <v>20.16</v>
      </c>
      <c r="F941" s="987">
        <v>-4.0471E-2</v>
      </c>
      <c r="G941" s="987">
        <v>0.23</v>
      </c>
      <c r="H941" s="986">
        <v>3.8999999999999998E-3</v>
      </c>
      <c r="I941" s="986">
        <f t="shared" si="7"/>
        <v>-4.4371000000000001E-2</v>
      </c>
      <c r="J941" s="988">
        <v>38078</v>
      </c>
    </row>
    <row r="942" spans="1:10">
      <c r="A942" s="987">
        <v>39</v>
      </c>
      <c r="B942" s="988">
        <v>38108</v>
      </c>
      <c r="C942" s="987" t="s">
        <v>4644</v>
      </c>
      <c r="D942" s="987" t="s">
        <v>4642</v>
      </c>
      <c r="E942" s="987">
        <v>20.260000000000002</v>
      </c>
      <c r="F942" s="987">
        <v>4.96E-3</v>
      </c>
      <c r="G942" s="987">
        <v>0</v>
      </c>
      <c r="H942" s="986">
        <v>4.0000000000000001E-3</v>
      </c>
      <c r="I942" s="986">
        <f t="shared" si="7"/>
        <v>9.5999999999999992E-4</v>
      </c>
      <c r="J942" s="988">
        <v>38108</v>
      </c>
    </row>
    <row r="943" spans="1:10">
      <c r="A943" s="987">
        <v>39</v>
      </c>
      <c r="B943" s="988">
        <v>38139</v>
      </c>
      <c r="C943" s="987" t="s">
        <v>4644</v>
      </c>
      <c r="D943" s="987" t="s">
        <v>4642</v>
      </c>
      <c r="E943" s="987">
        <v>20.62</v>
      </c>
      <c r="F943" s="987">
        <v>1.7769E-2</v>
      </c>
      <c r="G943" s="987">
        <v>0</v>
      </c>
      <c r="H943" s="986">
        <v>4.7999999999999996E-3</v>
      </c>
      <c r="I943" s="986">
        <f t="shared" si="7"/>
        <v>1.2969000000000001E-2</v>
      </c>
      <c r="J943" s="988">
        <v>38139</v>
      </c>
    </row>
    <row r="944" spans="1:10">
      <c r="A944" s="987">
        <v>39</v>
      </c>
      <c r="B944" s="988">
        <v>38169</v>
      </c>
      <c r="C944" s="987" t="s">
        <v>4644</v>
      </c>
      <c r="D944" s="987" t="s">
        <v>4642</v>
      </c>
      <c r="E944" s="987">
        <v>20.7</v>
      </c>
      <c r="F944" s="987">
        <v>1.5034E-2</v>
      </c>
      <c r="G944" s="987">
        <v>0.23</v>
      </c>
      <c r="H944" s="986">
        <v>4.3E-3</v>
      </c>
      <c r="I944" s="986">
        <f t="shared" si="7"/>
        <v>1.0734E-2</v>
      </c>
      <c r="J944" s="988">
        <v>38169</v>
      </c>
    </row>
    <row r="945" spans="1:10">
      <c r="A945" s="987">
        <v>39</v>
      </c>
      <c r="B945" s="988">
        <v>38200</v>
      </c>
      <c r="C945" s="987" t="s">
        <v>4644</v>
      </c>
      <c r="D945" s="987" t="s">
        <v>4642</v>
      </c>
      <c r="E945" s="987">
        <v>20.8</v>
      </c>
      <c r="F945" s="987">
        <v>4.8310000000000002E-3</v>
      </c>
      <c r="G945" s="987">
        <v>0</v>
      </c>
      <c r="H945" s="986">
        <v>4.4999999999999997E-3</v>
      </c>
      <c r="I945" s="986">
        <f t="shared" si="7"/>
        <v>3.3100000000000056E-4</v>
      </c>
      <c r="J945" s="988">
        <v>38200</v>
      </c>
    </row>
    <row r="946" spans="1:10">
      <c r="A946" s="987">
        <v>39</v>
      </c>
      <c r="B946" s="988">
        <v>38231</v>
      </c>
      <c r="C946" s="987" t="s">
        <v>4644</v>
      </c>
      <c r="D946" s="987" t="s">
        <v>4642</v>
      </c>
      <c r="E946" s="987">
        <v>21.01</v>
      </c>
      <c r="F946" s="987">
        <v>1.0096000000000001E-2</v>
      </c>
      <c r="G946" s="987">
        <v>0</v>
      </c>
      <c r="H946" s="986">
        <v>4.0000000000000001E-3</v>
      </c>
      <c r="I946" s="986">
        <f t="shared" si="7"/>
        <v>6.0960000000000007E-3</v>
      </c>
      <c r="J946" s="988">
        <v>38231</v>
      </c>
    </row>
    <row r="947" spans="1:10">
      <c r="A947" s="987">
        <v>39</v>
      </c>
      <c r="B947" s="988">
        <v>38261</v>
      </c>
      <c r="C947" s="987" t="s">
        <v>4644</v>
      </c>
      <c r="D947" s="987" t="s">
        <v>4642</v>
      </c>
      <c r="E947" s="987">
        <v>21.45</v>
      </c>
      <c r="F947" s="987">
        <v>3.1890000000000002E-2</v>
      </c>
      <c r="G947" s="987">
        <v>0.23</v>
      </c>
      <c r="H947" s="986">
        <v>3.8E-3</v>
      </c>
      <c r="I947" s="986">
        <f t="shared" si="7"/>
        <v>2.809E-2</v>
      </c>
      <c r="J947" s="988">
        <v>38261</v>
      </c>
    </row>
    <row r="948" spans="1:10">
      <c r="A948" s="987">
        <v>39</v>
      </c>
      <c r="B948" s="988">
        <v>38292</v>
      </c>
      <c r="C948" s="987" t="s">
        <v>4644</v>
      </c>
      <c r="D948" s="987" t="s">
        <v>4642</v>
      </c>
      <c r="E948" s="987">
        <v>21.79</v>
      </c>
      <c r="F948" s="987">
        <v>1.5851000000000001E-2</v>
      </c>
      <c r="G948" s="987">
        <v>0</v>
      </c>
      <c r="H948" s="986">
        <v>4.1000000000000003E-3</v>
      </c>
      <c r="I948" s="986">
        <f t="shared" si="7"/>
        <v>1.1751000000000001E-2</v>
      </c>
      <c r="J948" s="988">
        <v>38292</v>
      </c>
    </row>
    <row r="949" spans="1:10">
      <c r="A949" s="987">
        <v>39</v>
      </c>
      <c r="B949" s="988">
        <v>38322</v>
      </c>
      <c r="C949" s="987" t="s">
        <v>4644</v>
      </c>
      <c r="D949" s="987" t="s">
        <v>4642</v>
      </c>
      <c r="E949" s="987">
        <v>22.78</v>
      </c>
      <c r="F949" s="987">
        <v>4.5434000000000002E-2</v>
      </c>
      <c r="G949" s="987">
        <v>0</v>
      </c>
      <c r="H949" s="986">
        <v>4.3E-3</v>
      </c>
      <c r="I949" s="986">
        <f t="shared" si="7"/>
        <v>4.1134000000000004E-2</v>
      </c>
      <c r="J949" s="988">
        <v>38322</v>
      </c>
    </row>
    <row r="950" spans="1:10">
      <c r="A950" s="987">
        <v>39</v>
      </c>
      <c r="B950" s="988">
        <v>38353</v>
      </c>
      <c r="C950" s="987" t="s">
        <v>4644</v>
      </c>
      <c r="D950" s="987" t="s">
        <v>4642</v>
      </c>
      <c r="E950" s="987">
        <v>22.9</v>
      </c>
      <c r="F950" s="987">
        <v>1.5363999999999999E-2</v>
      </c>
      <c r="G950" s="987">
        <v>0.23</v>
      </c>
      <c r="H950" s="986">
        <v>4.1000000000000003E-3</v>
      </c>
      <c r="I950" s="986">
        <f t="shared" si="7"/>
        <v>1.1264E-2</v>
      </c>
      <c r="J950" s="988">
        <v>38353</v>
      </c>
    </row>
    <row r="951" spans="1:10">
      <c r="A951" s="987">
        <v>39</v>
      </c>
      <c r="B951" s="988">
        <v>38384</v>
      </c>
      <c r="C951" s="987" t="s">
        <v>4644</v>
      </c>
      <c r="D951" s="987" t="s">
        <v>4642</v>
      </c>
      <c r="E951" s="987">
        <v>22.64</v>
      </c>
      <c r="F951" s="987">
        <v>-1.1354E-2</v>
      </c>
      <c r="G951" s="987">
        <v>0</v>
      </c>
      <c r="H951" s="986">
        <v>3.5000000000000001E-3</v>
      </c>
      <c r="I951" s="986">
        <f t="shared" si="7"/>
        <v>-1.4853999999999999E-2</v>
      </c>
      <c r="J951" s="988">
        <v>38384</v>
      </c>
    </row>
    <row r="952" spans="1:10">
      <c r="A952" s="987">
        <v>39</v>
      </c>
      <c r="B952" s="988">
        <v>38412</v>
      </c>
      <c r="C952" s="987" t="s">
        <v>4644</v>
      </c>
      <c r="D952" s="987" t="s">
        <v>4642</v>
      </c>
      <c r="E952" s="987">
        <v>22.79</v>
      </c>
      <c r="F952" s="987">
        <v>6.6259999999999999E-3</v>
      </c>
      <c r="G952" s="987">
        <v>0</v>
      </c>
      <c r="H952" s="986">
        <v>4.1000000000000003E-3</v>
      </c>
      <c r="I952" s="986">
        <f t="shared" si="7"/>
        <v>2.5259999999999996E-3</v>
      </c>
      <c r="J952" s="988">
        <v>38412</v>
      </c>
    </row>
    <row r="953" spans="1:10">
      <c r="A953" s="987">
        <v>39</v>
      </c>
      <c r="B953" s="988">
        <v>38443</v>
      </c>
      <c r="C953" s="987" t="s">
        <v>4644</v>
      </c>
      <c r="D953" s="987" t="s">
        <v>4642</v>
      </c>
      <c r="E953" s="987">
        <v>23.24</v>
      </c>
      <c r="F953" s="987">
        <v>2.9838E-2</v>
      </c>
      <c r="G953" s="987">
        <v>0.23</v>
      </c>
      <c r="H953" s="986">
        <v>3.8999999999999998E-3</v>
      </c>
      <c r="I953" s="986">
        <f t="shared" si="7"/>
        <v>2.5937999999999999E-2</v>
      </c>
      <c r="J953" s="988">
        <v>38443</v>
      </c>
    </row>
    <row r="954" spans="1:10">
      <c r="A954" s="987">
        <v>39</v>
      </c>
      <c r="B954" s="988">
        <v>38473</v>
      </c>
      <c r="C954" s="987" t="s">
        <v>4644</v>
      </c>
      <c r="D954" s="987" t="s">
        <v>4642</v>
      </c>
      <c r="E954" s="987">
        <v>24.1</v>
      </c>
      <c r="F954" s="987">
        <v>3.7005000000000003E-2</v>
      </c>
      <c r="G954" s="987">
        <v>0</v>
      </c>
      <c r="H954" s="986">
        <v>4.0000000000000001E-3</v>
      </c>
      <c r="I954" s="986">
        <f t="shared" si="7"/>
        <v>3.3005000000000007E-2</v>
      </c>
      <c r="J954" s="988">
        <v>38473</v>
      </c>
    </row>
    <row r="955" spans="1:10">
      <c r="A955" s="987">
        <v>39</v>
      </c>
      <c r="B955" s="988">
        <v>38504</v>
      </c>
      <c r="C955" s="987" t="s">
        <v>4644</v>
      </c>
      <c r="D955" s="987" t="s">
        <v>4642</v>
      </c>
      <c r="E955" s="987">
        <v>24.73</v>
      </c>
      <c r="F955" s="987">
        <v>2.6141000000000001E-2</v>
      </c>
      <c r="G955" s="987">
        <v>0</v>
      </c>
      <c r="H955" s="986">
        <v>3.5999999999999999E-3</v>
      </c>
      <c r="I955" s="986">
        <f t="shared" si="7"/>
        <v>2.2541000000000002E-2</v>
      </c>
      <c r="J955" s="988">
        <v>38504</v>
      </c>
    </row>
    <row r="956" spans="1:10">
      <c r="A956" s="987">
        <v>39</v>
      </c>
      <c r="B956" s="988">
        <v>38534</v>
      </c>
      <c r="C956" s="987" t="s">
        <v>4644</v>
      </c>
      <c r="D956" s="987" t="s">
        <v>4642</v>
      </c>
      <c r="E956" s="987">
        <v>24.29</v>
      </c>
      <c r="F956" s="987">
        <v>-8.4919999999999995E-3</v>
      </c>
      <c r="G956" s="987">
        <v>0.23</v>
      </c>
      <c r="H956" s="986">
        <v>3.3999999999999998E-3</v>
      </c>
      <c r="I956" s="986">
        <f t="shared" si="7"/>
        <v>-1.1892E-2</v>
      </c>
      <c r="J956" s="988">
        <v>38534</v>
      </c>
    </row>
    <row r="957" spans="1:10">
      <c r="A957" s="987">
        <v>39</v>
      </c>
      <c r="B957" s="988">
        <v>38565</v>
      </c>
      <c r="C957" s="987" t="s">
        <v>4644</v>
      </c>
      <c r="D957" s="987" t="s">
        <v>4642</v>
      </c>
      <c r="E957" s="987">
        <v>24.14</v>
      </c>
      <c r="F957" s="987">
        <v>-6.1749999999999999E-3</v>
      </c>
      <c r="G957" s="987">
        <v>0</v>
      </c>
      <c r="H957" s="986">
        <v>4.0000000000000001E-3</v>
      </c>
      <c r="I957" s="986">
        <f t="shared" si="7"/>
        <v>-1.0175E-2</v>
      </c>
      <c r="J957" s="988">
        <v>38565</v>
      </c>
    </row>
    <row r="958" spans="1:10">
      <c r="A958" s="987">
        <v>39</v>
      </c>
      <c r="B958" s="988">
        <v>38596</v>
      </c>
      <c r="C958" s="987" t="s">
        <v>4644</v>
      </c>
      <c r="D958" s="987" t="s">
        <v>4642</v>
      </c>
      <c r="E958" s="987">
        <v>24.25</v>
      </c>
      <c r="F958" s="987">
        <v>4.5570000000000003E-3</v>
      </c>
      <c r="G958" s="987">
        <v>0</v>
      </c>
      <c r="H958" s="986">
        <v>3.5000000000000001E-3</v>
      </c>
      <c r="I958" s="986">
        <f t="shared" ref="I958:I1021" si="8">F958-H958</f>
        <v>1.0570000000000002E-3</v>
      </c>
      <c r="J958" s="988">
        <v>38596</v>
      </c>
    </row>
    <row r="959" spans="1:10">
      <c r="A959" s="987">
        <v>39</v>
      </c>
      <c r="B959" s="988">
        <v>38626</v>
      </c>
      <c r="C959" s="987" t="s">
        <v>4644</v>
      </c>
      <c r="D959" s="987" t="s">
        <v>4642</v>
      </c>
      <c r="E959" s="987">
        <v>23.65</v>
      </c>
      <c r="F959" s="987">
        <v>-1.5258000000000001E-2</v>
      </c>
      <c r="G959" s="987">
        <v>0.23</v>
      </c>
      <c r="H959" s="986">
        <v>3.8999999999999998E-3</v>
      </c>
      <c r="I959" s="986">
        <f t="shared" si="8"/>
        <v>-1.9158000000000001E-2</v>
      </c>
      <c r="J959" s="988">
        <v>38626</v>
      </c>
    </row>
    <row r="960" spans="1:10">
      <c r="A960" s="987">
        <v>39</v>
      </c>
      <c r="B960" s="988">
        <v>38657</v>
      </c>
      <c r="C960" s="987" t="s">
        <v>4644</v>
      </c>
      <c r="D960" s="987" t="s">
        <v>4642</v>
      </c>
      <c r="E960" s="987">
        <v>21.53</v>
      </c>
      <c r="F960" s="987">
        <v>-8.9640999999999998E-2</v>
      </c>
      <c r="G960" s="987">
        <v>0</v>
      </c>
      <c r="H960" s="986">
        <v>3.8999999999999998E-3</v>
      </c>
      <c r="I960" s="986">
        <f t="shared" si="8"/>
        <v>-9.3540999999999999E-2</v>
      </c>
      <c r="J960" s="988">
        <v>38657</v>
      </c>
    </row>
    <row r="961" spans="1:10">
      <c r="A961" s="987">
        <v>39</v>
      </c>
      <c r="B961" s="988">
        <v>38687</v>
      </c>
      <c r="C961" s="987" t="s">
        <v>4644</v>
      </c>
      <c r="D961" s="987" t="s">
        <v>4642</v>
      </c>
      <c r="E961" s="987">
        <v>20.86</v>
      </c>
      <c r="F961" s="987">
        <v>-3.1119000000000001E-2</v>
      </c>
      <c r="G961" s="987">
        <v>0</v>
      </c>
      <c r="H961" s="986">
        <v>3.8999999999999998E-3</v>
      </c>
      <c r="I961" s="986">
        <f t="shared" si="8"/>
        <v>-3.5019000000000002E-2</v>
      </c>
      <c r="J961" s="988">
        <v>38687</v>
      </c>
    </row>
    <row r="962" spans="1:10">
      <c r="A962" s="987">
        <v>39</v>
      </c>
      <c r="B962" s="988">
        <v>38718</v>
      </c>
      <c r="C962" s="987" t="s">
        <v>4644</v>
      </c>
      <c r="D962" s="987" t="s">
        <v>4642</v>
      </c>
      <c r="E962" s="987">
        <v>20.53</v>
      </c>
      <c r="F962" s="987">
        <v>-4.7939999999999997E-3</v>
      </c>
      <c r="G962" s="987">
        <v>0.23</v>
      </c>
      <c r="H962" s="986">
        <v>4.0000000000000001E-3</v>
      </c>
      <c r="I962" s="986">
        <f t="shared" si="8"/>
        <v>-8.7939999999999997E-3</v>
      </c>
      <c r="J962" s="988">
        <v>38718</v>
      </c>
    </row>
    <row r="963" spans="1:10">
      <c r="A963" s="987">
        <v>39</v>
      </c>
      <c r="B963" s="988">
        <v>38749</v>
      </c>
      <c r="C963" s="987" t="s">
        <v>4644</v>
      </c>
      <c r="D963" s="987" t="s">
        <v>4642</v>
      </c>
      <c r="E963" s="987">
        <v>20.53</v>
      </c>
      <c r="F963" s="987">
        <v>0</v>
      </c>
      <c r="G963" s="987">
        <v>0</v>
      </c>
      <c r="H963" s="986">
        <v>3.5999999999999999E-3</v>
      </c>
      <c r="I963" s="986">
        <f t="shared" si="8"/>
        <v>-3.5999999999999999E-3</v>
      </c>
      <c r="J963" s="988">
        <v>38749</v>
      </c>
    </row>
    <row r="964" spans="1:10">
      <c r="A964" s="987">
        <v>39</v>
      </c>
      <c r="B964" s="988">
        <v>38777</v>
      </c>
      <c r="C964" s="987" t="s">
        <v>4644</v>
      </c>
      <c r="D964" s="987" t="s">
        <v>4642</v>
      </c>
      <c r="E964" s="987">
        <v>20.22</v>
      </c>
      <c r="F964" s="987">
        <v>-1.5100000000000001E-2</v>
      </c>
      <c r="G964" s="987">
        <v>0</v>
      </c>
      <c r="H964" s="986">
        <v>3.8999999999999998E-3</v>
      </c>
      <c r="I964" s="986">
        <f t="shared" si="8"/>
        <v>-1.9E-2</v>
      </c>
      <c r="J964" s="988">
        <v>38777</v>
      </c>
    </row>
    <row r="965" spans="1:10">
      <c r="A965" s="987">
        <v>39</v>
      </c>
      <c r="B965" s="988">
        <v>38808</v>
      </c>
      <c r="C965" s="987" t="s">
        <v>4644</v>
      </c>
      <c r="D965" s="987" t="s">
        <v>4642</v>
      </c>
      <c r="E965" s="987">
        <v>21.11</v>
      </c>
      <c r="F965" s="987">
        <v>5.5391000000000003E-2</v>
      </c>
      <c r="G965" s="987">
        <v>0.23</v>
      </c>
      <c r="H965" s="986">
        <v>3.8999999999999998E-3</v>
      </c>
      <c r="I965" s="986">
        <f t="shared" si="8"/>
        <v>5.1491000000000002E-2</v>
      </c>
      <c r="J965" s="988">
        <v>38808</v>
      </c>
    </row>
    <row r="966" spans="1:10">
      <c r="A966" s="987">
        <v>39</v>
      </c>
      <c r="B966" s="988">
        <v>38838</v>
      </c>
      <c r="C966" s="987" t="s">
        <v>4644</v>
      </c>
      <c r="D966" s="987" t="s">
        <v>4642</v>
      </c>
      <c r="E966" s="987">
        <v>21.77</v>
      </c>
      <c r="F966" s="987">
        <v>3.1265000000000001E-2</v>
      </c>
      <c r="G966" s="987">
        <v>0</v>
      </c>
      <c r="H966" s="986">
        <v>4.7999999999999996E-3</v>
      </c>
      <c r="I966" s="986">
        <f t="shared" si="8"/>
        <v>2.6465000000000002E-2</v>
      </c>
      <c r="J966" s="988">
        <v>38838</v>
      </c>
    </row>
    <row r="967" spans="1:10">
      <c r="A967" s="987">
        <v>39</v>
      </c>
      <c r="B967" s="988">
        <v>38869</v>
      </c>
      <c r="C967" s="987" t="s">
        <v>4644</v>
      </c>
      <c r="D967" s="987" t="s">
        <v>4642</v>
      </c>
      <c r="E967" s="987">
        <v>21.84</v>
      </c>
      <c r="F967" s="987">
        <v>3.215E-3</v>
      </c>
      <c r="G967" s="987">
        <v>0</v>
      </c>
      <c r="H967" s="986">
        <v>4.4000000000000003E-3</v>
      </c>
      <c r="I967" s="986">
        <f t="shared" si="8"/>
        <v>-1.1850000000000003E-3</v>
      </c>
      <c r="J967" s="988">
        <v>38869</v>
      </c>
    </row>
    <row r="968" spans="1:10">
      <c r="A968" s="987">
        <v>39</v>
      </c>
      <c r="B968" s="988">
        <v>38899</v>
      </c>
      <c r="C968" s="987" t="s">
        <v>4644</v>
      </c>
      <c r="D968" s="987" t="s">
        <v>4642</v>
      </c>
      <c r="E968" s="987">
        <v>22.75</v>
      </c>
      <c r="F968" s="987">
        <v>5.2198000000000001E-2</v>
      </c>
      <c r="G968" s="987">
        <v>0.23</v>
      </c>
      <c r="H968" s="986">
        <v>4.4999999999999997E-3</v>
      </c>
      <c r="I968" s="986">
        <f t="shared" si="8"/>
        <v>4.7698000000000004E-2</v>
      </c>
      <c r="J968" s="988">
        <v>38899</v>
      </c>
    </row>
    <row r="969" spans="1:10">
      <c r="A969" s="987">
        <v>39</v>
      </c>
      <c r="B969" s="988">
        <v>38930</v>
      </c>
      <c r="C969" s="987" t="s">
        <v>4644</v>
      </c>
      <c r="D969" s="987" t="s">
        <v>4642</v>
      </c>
      <c r="E969" s="987">
        <v>21.17</v>
      </c>
      <c r="F969" s="987">
        <v>-6.9450999999999999E-2</v>
      </c>
      <c r="G969" s="987">
        <v>0</v>
      </c>
      <c r="H969" s="986">
        <v>4.3E-3</v>
      </c>
      <c r="I969" s="986">
        <f t="shared" si="8"/>
        <v>-7.3750999999999997E-2</v>
      </c>
      <c r="J969" s="988">
        <v>38930</v>
      </c>
    </row>
    <row r="970" spans="1:10">
      <c r="A970" s="987">
        <v>39</v>
      </c>
      <c r="B970" s="988">
        <v>38961</v>
      </c>
      <c r="C970" s="987" t="s">
        <v>4644</v>
      </c>
      <c r="D970" s="987" t="s">
        <v>4642</v>
      </c>
      <c r="E970" s="987">
        <v>21.74</v>
      </c>
      <c r="F970" s="987">
        <v>2.6925000000000001E-2</v>
      </c>
      <c r="G970" s="987">
        <v>0</v>
      </c>
      <c r="H970" s="986">
        <v>3.8999999999999998E-3</v>
      </c>
      <c r="I970" s="986">
        <f t="shared" si="8"/>
        <v>2.3025E-2</v>
      </c>
      <c r="J970" s="988">
        <v>38961</v>
      </c>
    </row>
    <row r="971" spans="1:10">
      <c r="A971" s="987">
        <v>39</v>
      </c>
      <c r="B971" s="988">
        <v>38991</v>
      </c>
      <c r="C971" s="987" t="s">
        <v>4644</v>
      </c>
      <c r="D971" s="987" t="s">
        <v>4642</v>
      </c>
      <c r="E971" s="987">
        <v>23.27</v>
      </c>
      <c r="F971" s="987">
        <v>8.0957000000000001E-2</v>
      </c>
      <c r="G971" s="987">
        <v>0.23</v>
      </c>
      <c r="H971" s="986">
        <v>4.1999999999999997E-3</v>
      </c>
      <c r="I971" s="986">
        <f t="shared" si="8"/>
        <v>7.6757000000000006E-2</v>
      </c>
      <c r="J971" s="988">
        <v>38991</v>
      </c>
    </row>
    <row r="972" spans="1:10">
      <c r="A972" s="987">
        <v>39</v>
      </c>
      <c r="B972" s="988">
        <v>39022</v>
      </c>
      <c r="C972" s="987" t="s">
        <v>4644</v>
      </c>
      <c r="D972" s="987" t="s">
        <v>4642</v>
      </c>
      <c r="E972" s="987">
        <v>24.66</v>
      </c>
      <c r="F972" s="987">
        <v>5.9734000000000002E-2</v>
      </c>
      <c r="G972" s="987">
        <v>0</v>
      </c>
      <c r="H972" s="986">
        <v>3.8999999999999998E-3</v>
      </c>
      <c r="I972" s="986">
        <f t="shared" si="8"/>
        <v>5.5834000000000002E-2</v>
      </c>
      <c r="J972" s="988">
        <v>39022</v>
      </c>
    </row>
    <row r="973" spans="1:10">
      <c r="A973" s="987">
        <v>39</v>
      </c>
      <c r="B973" s="988">
        <v>39052</v>
      </c>
      <c r="C973" s="987" t="s">
        <v>4644</v>
      </c>
      <c r="D973" s="987" t="s">
        <v>4642</v>
      </c>
      <c r="E973" s="987">
        <v>24.1</v>
      </c>
      <c r="F973" s="987">
        <v>-2.2709E-2</v>
      </c>
      <c r="G973" s="987">
        <v>0</v>
      </c>
      <c r="H973" s="986">
        <v>3.5999999999999999E-3</v>
      </c>
      <c r="I973" s="986">
        <f t="shared" si="8"/>
        <v>-2.6308999999999999E-2</v>
      </c>
      <c r="J973" s="988">
        <v>39052</v>
      </c>
    </row>
    <row r="974" spans="1:10">
      <c r="A974" s="987">
        <v>39</v>
      </c>
      <c r="B974" s="988">
        <v>39083</v>
      </c>
      <c r="C974" s="987" t="s">
        <v>4644</v>
      </c>
      <c r="D974" s="987" t="s">
        <v>4642</v>
      </c>
      <c r="E974" s="987">
        <v>23.8</v>
      </c>
      <c r="F974" s="987">
        <v>-2.905E-3</v>
      </c>
      <c r="G974" s="987">
        <v>0.23</v>
      </c>
      <c r="H974" s="986">
        <v>4.3E-3</v>
      </c>
      <c r="I974" s="986">
        <f t="shared" si="8"/>
        <v>-7.2049999999999996E-3</v>
      </c>
      <c r="J974" s="988">
        <v>39083</v>
      </c>
    </row>
    <row r="975" spans="1:10">
      <c r="A975" s="987">
        <v>39</v>
      </c>
      <c r="B975" s="988">
        <v>39114</v>
      </c>
      <c r="C975" s="987" t="s">
        <v>4644</v>
      </c>
      <c r="D975" s="987" t="s">
        <v>4642</v>
      </c>
      <c r="E975" s="987">
        <v>23.79</v>
      </c>
      <c r="F975" s="987">
        <v>-4.2000000000000002E-4</v>
      </c>
      <c r="G975" s="987">
        <v>0</v>
      </c>
      <c r="H975" s="986">
        <v>3.8E-3</v>
      </c>
      <c r="I975" s="986">
        <f t="shared" si="8"/>
        <v>-4.2199999999999998E-3</v>
      </c>
      <c r="J975" s="988">
        <v>39114</v>
      </c>
    </row>
    <row r="976" spans="1:10">
      <c r="A976" s="987">
        <v>39</v>
      </c>
      <c r="B976" s="988">
        <v>39142</v>
      </c>
      <c r="C976" s="987" t="s">
        <v>4644</v>
      </c>
      <c r="D976" s="987" t="s">
        <v>4642</v>
      </c>
      <c r="E976" s="987">
        <v>24.44</v>
      </c>
      <c r="F976" s="987">
        <v>2.7321999999999999E-2</v>
      </c>
      <c r="G976" s="987">
        <v>0</v>
      </c>
      <c r="H976" s="986">
        <v>3.8999999999999998E-3</v>
      </c>
      <c r="I976" s="986">
        <f t="shared" si="8"/>
        <v>2.3421999999999998E-2</v>
      </c>
      <c r="J976" s="988">
        <v>39142</v>
      </c>
    </row>
    <row r="977" spans="1:10">
      <c r="A977" s="987">
        <v>39</v>
      </c>
      <c r="B977" s="988">
        <v>39173</v>
      </c>
      <c r="C977" s="987" t="s">
        <v>4644</v>
      </c>
      <c r="D977" s="987" t="s">
        <v>4642</v>
      </c>
      <c r="E977" s="987">
        <v>24.59</v>
      </c>
      <c r="F977" s="987">
        <v>1.5547999999999999E-2</v>
      </c>
      <c r="G977" s="987">
        <v>0.23</v>
      </c>
      <c r="H977" s="986">
        <v>4.1999999999999997E-3</v>
      </c>
      <c r="I977" s="986">
        <f t="shared" si="8"/>
        <v>1.1348E-2</v>
      </c>
      <c r="J977" s="988">
        <v>39173</v>
      </c>
    </row>
    <row r="978" spans="1:10">
      <c r="A978" s="987">
        <v>39</v>
      </c>
      <c r="B978" s="988">
        <v>39203</v>
      </c>
      <c r="C978" s="987" t="s">
        <v>4644</v>
      </c>
      <c r="D978" s="987" t="s">
        <v>4642</v>
      </c>
      <c r="E978" s="987">
        <v>22.21</v>
      </c>
      <c r="F978" s="987">
        <v>-9.6786999999999998E-2</v>
      </c>
      <c r="G978" s="987">
        <v>0</v>
      </c>
      <c r="H978" s="986">
        <v>4.1000000000000003E-3</v>
      </c>
      <c r="I978" s="986">
        <f t="shared" si="8"/>
        <v>-0.100887</v>
      </c>
      <c r="J978" s="988">
        <v>39203</v>
      </c>
    </row>
    <row r="979" spans="1:10">
      <c r="A979" s="987">
        <v>39</v>
      </c>
      <c r="B979" s="988">
        <v>39234</v>
      </c>
      <c r="C979" s="987" t="s">
        <v>4644</v>
      </c>
      <c r="D979" s="987" t="s">
        <v>4642</v>
      </c>
      <c r="E979" s="987">
        <v>20.71</v>
      </c>
      <c r="F979" s="987">
        <v>-6.7537E-2</v>
      </c>
      <c r="G979" s="987">
        <v>0</v>
      </c>
      <c r="H979" s="986">
        <v>4.0000000000000001E-3</v>
      </c>
      <c r="I979" s="986">
        <f t="shared" si="8"/>
        <v>-7.1537000000000003E-2</v>
      </c>
      <c r="J979" s="988">
        <v>39234</v>
      </c>
    </row>
    <row r="980" spans="1:10">
      <c r="A980" s="987">
        <v>39</v>
      </c>
      <c r="B980" s="988">
        <v>39264</v>
      </c>
      <c r="C980" s="987" t="s">
        <v>4644</v>
      </c>
      <c r="D980" s="987" t="s">
        <v>4642</v>
      </c>
      <c r="E980" s="987">
        <v>19.07</v>
      </c>
      <c r="F980" s="987">
        <v>-6.8083000000000005E-2</v>
      </c>
      <c r="G980" s="987">
        <v>0.23</v>
      </c>
      <c r="H980" s="986">
        <v>4.5999999999999999E-3</v>
      </c>
      <c r="I980" s="986">
        <f t="shared" si="8"/>
        <v>-7.2682999999999998E-2</v>
      </c>
      <c r="J980" s="988">
        <v>39264</v>
      </c>
    </row>
    <row r="981" spans="1:10">
      <c r="A981" s="987">
        <v>39</v>
      </c>
      <c r="B981" s="988">
        <v>39295</v>
      </c>
      <c r="C981" s="987" t="s">
        <v>4644</v>
      </c>
      <c r="D981" s="987" t="s">
        <v>4642</v>
      </c>
      <c r="E981" s="987">
        <v>18.84</v>
      </c>
      <c r="F981" s="987">
        <v>-1.2061000000000001E-2</v>
      </c>
      <c r="G981" s="987">
        <v>0</v>
      </c>
      <c r="H981" s="986">
        <v>4.1999999999999997E-3</v>
      </c>
      <c r="I981" s="986">
        <f t="shared" si="8"/>
        <v>-1.6261000000000001E-2</v>
      </c>
      <c r="J981" s="988">
        <v>39295</v>
      </c>
    </row>
    <row r="982" spans="1:10">
      <c r="A982" s="987">
        <v>39</v>
      </c>
      <c r="B982" s="988">
        <v>39326</v>
      </c>
      <c r="C982" s="987" t="s">
        <v>4644</v>
      </c>
      <c r="D982" s="987" t="s">
        <v>4642</v>
      </c>
      <c r="E982" s="987">
        <v>19.14</v>
      </c>
      <c r="F982" s="987">
        <v>1.5924000000000001E-2</v>
      </c>
      <c r="G982" s="987">
        <v>0</v>
      </c>
      <c r="H982" s="986">
        <v>3.7000000000000002E-3</v>
      </c>
      <c r="I982" s="986">
        <f t="shared" si="8"/>
        <v>1.2224E-2</v>
      </c>
      <c r="J982" s="988">
        <v>39326</v>
      </c>
    </row>
    <row r="983" spans="1:10">
      <c r="A983" s="987">
        <v>39</v>
      </c>
      <c r="B983" s="988">
        <v>39356</v>
      </c>
      <c r="C983" s="987" t="s">
        <v>4644</v>
      </c>
      <c r="D983" s="987" t="s">
        <v>4642</v>
      </c>
      <c r="E983" s="987">
        <v>20.45</v>
      </c>
      <c r="F983" s="987">
        <v>8.0460000000000004E-2</v>
      </c>
      <c r="G983" s="987">
        <v>0.23</v>
      </c>
      <c r="H983" s="986">
        <v>4.3E-3</v>
      </c>
      <c r="I983" s="986">
        <f t="shared" si="8"/>
        <v>7.6160000000000005E-2</v>
      </c>
      <c r="J983" s="988">
        <v>39356</v>
      </c>
    </row>
    <row r="984" spans="1:10">
      <c r="A984" s="987">
        <v>39</v>
      </c>
      <c r="B984" s="988">
        <v>39387</v>
      </c>
      <c r="C984" s="987" t="s">
        <v>4644</v>
      </c>
      <c r="D984" s="987" t="s">
        <v>4642</v>
      </c>
      <c r="E984" s="987">
        <v>18.510000000000002</v>
      </c>
      <c r="F984" s="987">
        <v>-9.4866000000000006E-2</v>
      </c>
      <c r="G984" s="987">
        <v>0</v>
      </c>
      <c r="H984" s="986">
        <v>3.8999999999999998E-3</v>
      </c>
      <c r="I984" s="986">
        <f t="shared" si="8"/>
        <v>-9.8766000000000007E-2</v>
      </c>
      <c r="J984" s="988">
        <v>39387</v>
      </c>
    </row>
    <row r="985" spans="1:10">
      <c r="A985" s="987">
        <v>39</v>
      </c>
      <c r="B985" s="988">
        <v>39417</v>
      </c>
      <c r="C985" s="987" t="s">
        <v>4644</v>
      </c>
      <c r="D985" s="987" t="s">
        <v>4642</v>
      </c>
      <c r="E985" s="987">
        <v>18.89</v>
      </c>
      <c r="F985" s="987">
        <v>2.0528999999999999E-2</v>
      </c>
      <c r="G985" s="987">
        <v>0</v>
      </c>
      <c r="H985" s="986">
        <v>3.7000000000000002E-3</v>
      </c>
      <c r="I985" s="986">
        <f t="shared" si="8"/>
        <v>1.6828999999999997E-2</v>
      </c>
      <c r="J985" s="988">
        <v>39417</v>
      </c>
    </row>
    <row r="986" spans="1:10">
      <c r="A986" s="987">
        <v>39</v>
      </c>
      <c r="B986" s="988">
        <v>39448</v>
      </c>
      <c r="C986" s="987" t="s">
        <v>4644</v>
      </c>
      <c r="D986" s="987" t="s">
        <v>4642</v>
      </c>
      <c r="E986" s="987">
        <v>18.95</v>
      </c>
      <c r="F986" s="987">
        <v>1.5351999999999999E-2</v>
      </c>
      <c r="G986" s="987">
        <v>0.23</v>
      </c>
      <c r="H986" s="986">
        <v>4.0000000000000001E-3</v>
      </c>
      <c r="I986" s="986">
        <f t="shared" si="8"/>
        <v>1.1351999999999999E-2</v>
      </c>
      <c r="J986" s="988">
        <v>39448</v>
      </c>
    </row>
    <row r="987" spans="1:10">
      <c r="A987" s="987">
        <v>39</v>
      </c>
      <c r="B987" s="988">
        <v>39479</v>
      </c>
      <c r="C987" s="987" t="s">
        <v>4644</v>
      </c>
      <c r="D987" s="987" t="s">
        <v>4642</v>
      </c>
      <c r="E987" s="987">
        <v>17.190000000000001</v>
      </c>
      <c r="F987" s="987">
        <v>-9.2876E-2</v>
      </c>
      <c r="G987" s="987">
        <v>0</v>
      </c>
      <c r="H987" s="986">
        <v>3.3999999999999998E-3</v>
      </c>
      <c r="I987" s="986">
        <f t="shared" si="8"/>
        <v>-9.6276E-2</v>
      </c>
      <c r="J987" s="988">
        <v>39479</v>
      </c>
    </row>
    <row r="988" spans="1:10">
      <c r="A988" s="987">
        <v>39</v>
      </c>
      <c r="B988" s="988">
        <v>39508</v>
      </c>
      <c r="C988" s="987" t="s">
        <v>4644</v>
      </c>
      <c r="D988" s="987" t="s">
        <v>4642</v>
      </c>
      <c r="E988" s="987">
        <v>17.239999999999998</v>
      </c>
      <c r="F988" s="987">
        <v>2.9090000000000001E-3</v>
      </c>
      <c r="G988" s="987">
        <v>0</v>
      </c>
      <c r="H988" s="986">
        <v>3.7000000000000002E-3</v>
      </c>
      <c r="I988" s="986">
        <f t="shared" si="8"/>
        <v>-7.9100000000000004E-4</v>
      </c>
      <c r="J988" s="988">
        <v>39508</v>
      </c>
    </row>
    <row r="989" spans="1:10">
      <c r="A989" s="987">
        <v>39</v>
      </c>
      <c r="B989" s="988">
        <v>39539</v>
      </c>
      <c r="C989" s="987" t="s">
        <v>4644</v>
      </c>
      <c r="D989" s="987" t="s">
        <v>4642</v>
      </c>
      <c r="E989" s="987">
        <v>17.899999999999999</v>
      </c>
      <c r="F989" s="987">
        <v>5.1624000000000003E-2</v>
      </c>
      <c r="G989" s="987">
        <v>0.23</v>
      </c>
      <c r="H989" s="986">
        <v>3.5000000000000001E-3</v>
      </c>
      <c r="I989" s="986">
        <f t="shared" si="8"/>
        <v>4.8124E-2</v>
      </c>
      <c r="J989" s="988">
        <v>39539</v>
      </c>
    </row>
    <row r="990" spans="1:10">
      <c r="A990" s="987">
        <v>39</v>
      </c>
      <c r="B990" s="988">
        <v>39569</v>
      </c>
      <c r="C990" s="987" t="s">
        <v>4644</v>
      </c>
      <c r="D990" s="987" t="s">
        <v>4642</v>
      </c>
      <c r="E990" s="987">
        <v>18.09</v>
      </c>
      <c r="F990" s="987">
        <v>1.0614999999999999E-2</v>
      </c>
      <c r="G990" s="987">
        <v>0</v>
      </c>
      <c r="H990" s="986">
        <v>3.7000000000000002E-3</v>
      </c>
      <c r="I990" s="986">
        <f t="shared" si="8"/>
        <v>6.9149999999999993E-3</v>
      </c>
      <c r="J990" s="988">
        <v>39569</v>
      </c>
    </row>
    <row r="991" spans="1:10">
      <c r="A991" s="987">
        <v>39</v>
      </c>
      <c r="B991" s="988">
        <v>39600</v>
      </c>
      <c r="C991" s="987" t="s">
        <v>4644</v>
      </c>
      <c r="D991" s="987" t="s">
        <v>4642</v>
      </c>
      <c r="E991" s="987">
        <v>17.920000000000002</v>
      </c>
      <c r="F991" s="987">
        <v>-9.3970000000000008E-3</v>
      </c>
      <c r="G991" s="987">
        <v>0</v>
      </c>
      <c r="H991" s="986">
        <v>4.0000000000000001E-3</v>
      </c>
      <c r="I991" s="986">
        <f t="shared" si="8"/>
        <v>-1.3397000000000001E-2</v>
      </c>
      <c r="J991" s="988">
        <v>39600</v>
      </c>
    </row>
    <row r="992" spans="1:10">
      <c r="A992" s="987">
        <v>39</v>
      </c>
      <c r="B992" s="988">
        <v>39630</v>
      </c>
      <c r="C992" s="987" t="s">
        <v>4644</v>
      </c>
      <c r="D992" s="987" t="s">
        <v>4642</v>
      </c>
      <c r="E992" s="987">
        <v>17.079999999999998</v>
      </c>
      <c r="F992" s="987">
        <v>-3.4040000000000001E-2</v>
      </c>
      <c r="G992" s="987">
        <v>0.23</v>
      </c>
      <c r="H992" s="986">
        <v>3.8999999999999998E-3</v>
      </c>
      <c r="I992" s="986">
        <f t="shared" si="8"/>
        <v>-3.7940000000000002E-2</v>
      </c>
      <c r="J992" s="988">
        <v>39630</v>
      </c>
    </row>
    <row r="993" spans="1:10">
      <c r="A993" s="987">
        <v>39</v>
      </c>
      <c r="B993" s="988">
        <v>39661</v>
      </c>
      <c r="C993" s="987" t="s">
        <v>4644</v>
      </c>
      <c r="D993" s="987" t="s">
        <v>4642</v>
      </c>
      <c r="E993" s="987">
        <v>16.48</v>
      </c>
      <c r="F993" s="987">
        <v>-3.5129000000000001E-2</v>
      </c>
      <c r="G993" s="987">
        <v>0</v>
      </c>
      <c r="H993" s="986">
        <v>3.5999999999999999E-3</v>
      </c>
      <c r="I993" s="986">
        <f t="shared" si="8"/>
        <v>-3.8729E-2</v>
      </c>
      <c r="J993" s="988">
        <v>39661</v>
      </c>
    </row>
    <row r="994" spans="1:10">
      <c r="A994" s="987">
        <v>39</v>
      </c>
      <c r="B994" s="988">
        <v>39692</v>
      </c>
      <c r="C994" s="987" t="s">
        <v>4644</v>
      </c>
      <c r="D994" s="987" t="s">
        <v>4642</v>
      </c>
      <c r="E994" s="987">
        <v>14.76</v>
      </c>
      <c r="F994" s="987">
        <v>-0.104369</v>
      </c>
      <c r="G994" s="987">
        <v>0</v>
      </c>
      <c r="H994" s="986">
        <v>3.8999999999999998E-3</v>
      </c>
      <c r="I994" s="986">
        <f t="shared" si="8"/>
        <v>-0.108269</v>
      </c>
      <c r="J994" s="988">
        <v>39692</v>
      </c>
    </row>
    <row r="995" spans="1:10">
      <c r="A995" s="987">
        <v>39</v>
      </c>
      <c r="B995" s="988">
        <v>39722</v>
      </c>
      <c r="C995" s="987" t="s">
        <v>4644</v>
      </c>
      <c r="D995" s="987" t="s">
        <v>4642</v>
      </c>
      <c r="E995" s="987">
        <v>12.96</v>
      </c>
      <c r="F995" s="987">
        <v>-0.10636900000000001</v>
      </c>
      <c r="G995" s="987">
        <v>0.23</v>
      </c>
      <c r="H995" s="986">
        <v>3.7000000000000002E-3</v>
      </c>
      <c r="I995" s="986">
        <f t="shared" si="8"/>
        <v>-0.110069</v>
      </c>
      <c r="J995" s="988">
        <v>39722</v>
      </c>
    </row>
    <row r="996" spans="1:10">
      <c r="A996" s="987">
        <v>39</v>
      </c>
      <c r="B996" s="988">
        <v>39753</v>
      </c>
      <c r="C996" s="987" t="s">
        <v>4644</v>
      </c>
      <c r="D996" s="987" t="s">
        <v>4642</v>
      </c>
      <c r="E996" s="987">
        <v>12.05</v>
      </c>
      <c r="F996" s="987">
        <v>-7.0216000000000001E-2</v>
      </c>
      <c r="G996" s="987">
        <v>0</v>
      </c>
      <c r="H996" s="986">
        <v>3.5999999999999999E-3</v>
      </c>
      <c r="I996" s="986">
        <f t="shared" si="8"/>
        <v>-7.3816000000000007E-2</v>
      </c>
      <c r="J996" s="988">
        <v>39753</v>
      </c>
    </row>
    <row r="997" spans="1:10">
      <c r="A997" s="987">
        <v>39</v>
      </c>
      <c r="B997" s="988">
        <v>39783</v>
      </c>
      <c r="C997" s="987" t="s">
        <v>4644</v>
      </c>
      <c r="D997" s="987" t="s">
        <v>4642</v>
      </c>
      <c r="E997" s="987">
        <v>10.97</v>
      </c>
      <c r="F997" s="987">
        <v>-8.9626999999999998E-2</v>
      </c>
      <c r="G997" s="987">
        <v>0</v>
      </c>
      <c r="H997" s="986">
        <v>3.3E-3</v>
      </c>
      <c r="I997" s="986">
        <f t="shared" si="8"/>
        <v>-9.2926999999999996E-2</v>
      </c>
      <c r="J997" s="988">
        <v>39783</v>
      </c>
    </row>
    <row r="998" spans="1:10">
      <c r="A998" s="987">
        <v>39</v>
      </c>
      <c r="B998" s="988">
        <v>39814</v>
      </c>
      <c r="C998" s="987" t="s">
        <v>4644</v>
      </c>
      <c r="D998" s="987" t="s">
        <v>4642</v>
      </c>
      <c r="E998" s="987">
        <v>9.68</v>
      </c>
      <c r="F998" s="987">
        <v>-9.6627000000000005E-2</v>
      </c>
      <c r="G998" s="987">
        <v>0.23</v>
      </c>
      <c r="H998" s="986">
        <v>2.3999999999999998E-3</v>
      </c>
      <c r="I998" s="986">
        <f t="shared" si="8"/>
        <v>-9.9027000000000004E-2</v>
      </c>
      <c r="J998" s="988">
        <v>39814</v>
      </c>
    </row>
    <row r="999" spans="1:10">
      <c r="A999" s="987">
        <v>39</v>
      </c>
      <c r="B999" s="988">
        <v>39845</v>
      </c>
      <c r="C999" s="987" t="s">
        <v>4644</v>
      </c>
      <c r="D999" s="987" t="s">
        <v>4642</v>
      </c>
      <c r="E999" s="987">
        <v>8.75</v>
      </c>
      <c r="F999" s="987">
        <v>-9.6074000000000007E-2</v>
      </c>
      <c r="G999" s="987">
        <v>0</v>
      </c>
      <c r="H999" s="986">
        <v>3.0000000000000001E-3</v>
      </c>
      <c r="I999" s="986">
        <f t="shared" si="8"/>
        <v>-9.9074000000000009E-2</v>
      </c>
      <c r="J999" s="988">
        <v>39845</v>
      </c>
    </row>
    <row r="1000" spans="1:10">
      <c r="A1000" s="987">
        <v>39</v>
      </c>
      <c r="B1000" s="988">
        <v>39873</v>
      </c>
      <c r="C1000" s="987" t="s">
        <v>4644</v>
      </c>
      <c r="D1000" s="987" t="s">
        <v>4642</v>
      </c>
      <c r="E1000" s="987">
        <v>9.8000000000000007</v>
      </c>
      <c r="F1000" s="987">
        <v>0.12</v>
      </c>
      <c r="G1000" s="987">
        <v>0</v>
      </c>
      <c r="H1000" s="986">
        <v>3.5000000000000001E-3</v>
      </c>
      <c r="I1000" s="986">
        <f t="shared" si="8"/>
        <v>0.11649999999999999</v>
      </c>
      <c r="J1000" s="988">
        <v>39873</v>
      </c>
    </row>
    <row r="1001" spans="1:10">
      <c r="A1001" s="987">
        <v>39</v>
      </c>
      <c r="B1001" s="988">
        <v>39904</v>
      </c>
      <c r="C1001" s="987" t="s">
        <v>4644</v>
      </c>
      <c r="D1001" s="987" t="s">
        <v>4642</v>
      </c>
      <c r="E1001" s="987">
        <v>10.99</v>
      </c>
      <c r="F1001" s="987">
        <v>0.144898</v>
      </c>
      <c r="G1001" s="987">
        <v>0.23</v>
      </c>
      <c r="H1001" s="986">
        <v>2.8999999999999998E-3</v>
      </c>
      <c r="I1001" s="986">
        <f t="shared" si="8"/>
        <v>0.14199800000000001</v>
      </c>
      <c r="J1001" s="988">
        <v>39904</v>
      </c>
    </row>
    <row r="1002" spans="1:10">
      <c r="A1002" s="987">
        <v>39</v>
      </c>
      <c r="B1002" s="988">
        <v>39934</v>
      </c>
      <c r="C1002" s="987" t="s">
        <v>4644</v>
      </c>
      <c r="D1002" s="987" t="s">
        <v>4642</v>
      </c>
      <c r="E1002" s="987">
        <v>10.69</v>
      </c>
      <c r="F1002" s="987">
        <v>-2.7297999999999999E-2</v>
      </c>
      <c r="G1002" s="987">
        <v>0</v>
      </c>
      <c r="H1002" s="986">
        <v>3.3E-3</v>
      </c>
      <c r="I1002" s="986">
        <f t="shared" si="8"/>
        <v>-3.0598E-2</v>
      </c>
      <c r="J1002" s="988">
        <v>39934</v>
      </c>
    </row>
    <row r="1003" spans="1:10">
      <c r="A1003" s="987">
        <v>39</v>
      </c>
      <c r="B1003" s="988">
        <v>39965</v>
      </c>
      <c r="C1003" s="987" t="s">
        <v>4644</v>
      </c>
      <c r="D1003" s="987" t="s">
        <v>4642</v>
      </c>
      <c r="E1003" s="987">
        <v>11.66</v>
      </c>
      <c r="F1003" s="987">
        <v>9.0739E-2</v>
      </c>
      <c r="G1003" s="987">
        <v>0</v>
      </c>
      <c r="H1003" s="986">
        <v>3.8E-3</v>
      </c>
      <c r="I1003" s="986">
        <f t="shared" si="8"/>
        <v>8.6939000000000002E-2</v>
      </c>
      <c r="J1003" s="988">
        <v>39965</v>
      </c>
    </row>
    <row r="1004" spans="1:10">
      <c r="A1004" s="987">
        <v>39</v>
      </c>
      <c r="B1004" s="988">
        <v>39995</v>
      </c>
      <c r="C1004" s="987" t="s">
        <v>4644</v>
      </c>
      <c r="D1004" s="987" t="s">
        <v>4642</v>
      </c>
      <c r="E1004" s="987">
        <v>12.89</v>
      </c>
      <c r="F1004" s="987">
        <v>0.12521399999999999</v>
      </c>
      <c r="G1004" s="987">
        <v>0.23</v>
      </c>
      <c r="H1004" s="986">
        <v>3.5999999999999999E-3</v>
      </c>
      <c r="I1004" s="986">
        <f t="shared" si="8"/>
        <v>0.12161399999999999</v>
      </c>
      <c r="J1004" s="988">
        <v>39995</v>
      </c>
    </row>
    <row r="1005" spans="1:10">
      <c r="A1005" s="987">
        <v>39</v>
      </c>
      <c r="B1005" s="988">
        <v>40026</v>
      </c>
      <c r="C1005" s="987" t="s">
        <v>4644</v>
      </c>
      <c r="D1005" s="987" t="s">
        <v>4642</v>
      </c>
      <c r="E1005" s="987">
        <v>13.21</v>
      </c>
      <c r="F1005" s="987">
        <v>2.4825E-2</v>
      </c>
      <c r="G1005" s="987">
        <v>0</v>
      </c>
      <c r="H1005" s="986">
        <v>3.5999999999999999E-3</v>
      </c>
      <c r="I1005" s="986">
        <f t="shared" si="8"/>
        <v>2.1225000000000001E-2</v>
      </c>
      <c r="J1005" s="988">
        <v>40026</v>
      </c>
    </row>
    <row r="1006" spans="1:10">
      <c r="A1006" s="987">
        <v>39</v>
      </c>
      <c r="B1006" s="988">
        <v>40057</v>
      </c>
      <c r="C1006" s="987" t="s">
        <v>4644</v>
      </c>
      <c r="D1006" s="987" t="s">
        <v>4642</v>
      </c>
      <c r="E1006" s="987">
        <v>13.89</v>
      </c>
      <c r="F1006" s="987">
        <v>5.1476000000000001E-2</v>
      </c>
      <c r="G1006" s="987">
        <v>0</v>
      </c>
      <c r="H1006" s="986">
        <v>3.3999999999999998E-3</v>
      </c>
      <c r="I1006" s="986">
        <f t="shared" si="8"/>
        <v>4.8076000000000001E-2</v>
      </c>
      <c r="J1006" s="988">
        <v>40057</v>
      </c>
    </row>
    <row r="1007" spans="1:10">
      <c r="A1007" s="987">
        <v>39</v>
      </c>
      <c r="B1007" s="988">
        <v>40087</v>
      </c>
      <c r="C1007" s="987" t="s">
        <v>4644</v>
      </c>
      <c r="D1007" s="987" t="s">
        <v>4642</v>
      </c>
      <c r="E1007" s="987">
        <v>12.92</v>
      </c>
      <c r="F1007" s="987">
        <v>-5.3275999999999997E-2</v>
      </c>
      <c r="G1007" s="987">
        <v>0.23</v>
      </c>
      <c r="H1007" s="986">
        <v>3.3E-3</v>
      </c>
      <c r="I1007" s="986">
        <f t="shared" si="8"/>
        <v>-5.6575999999999994E-2</v>
      </c>
      <c r="J1007" s="988">
        <v>40087</v>
      </c>
    </row>
    <row r="1008" spans="1:10">
      <c r="A1008" s="987">
        <v>39</v>
      </c>
      <c r="B1008" s="988">
        <v>40118</v>
      </c>
      <c r="C1008" s="987" t="s">
        <v>4644</v>
      </c>
      <c r="D1008" s="987" t="s">
        <v>4642</v>
      </c>
      <c r="E1008" s="987">
        <v>14.25</v>
      </c>
      <c r="F1008" s="987">
        <v>0.102941</v>
      </c>
      <c r="G1008" s="987">
        <v>0</v>
      </c>
      <c r="H1008" s="986">
        <v>3.5000000000000001E-3</v>
      </c>
      <c r="I1008" s="986">
        <f t="shared" si="8"/>
        <v>9.9441000000000002E-2</v>
      </c>
      <c r="J1008" s="988">
        <v>40118</v>
      </c>
    </row>
    <row r="1009" spans="1:10">
      <c r="A1009" s="987">
        <v>39</v>
      </c>
      <c r="B1009" s="988">
        <v>40148</v>
      </c>
      <c r="C1009" s="987" t="s">
        <v>4644</v>
      </c>
      <c r="D1009" s="987" t="s">
        <v>4642</v>
      </c>
      <c r="E1009" s="987">
        <v>15.38</v>
      </c>
      <c r="F1009" s="987">
        <v>7.9297999999999993E-2</v>
      </c>
      <c r="G1009" s="987">
        <v>0</v>
      </c>
      <c r="H1009" s="986">
        <v>3.3999999999999998E-3</v>
      </c>
      <c r="I1009" s="986">
        <f t="shared" si="8"/>
        <v>7.5897999999999993E-2</v>
      </c>
      <c r="J1009" s="988">
        <v>40148</v>
      </c>
    </row>
    <row r="1010" spans="1:10">
      <c r="A1010" s="987">
        <v>39</v>
      </c>
      <c r="B1010" s="988">
        <v>40179</v>
      </c>
      <c r="C1010" s="987" t="s">
        <v>4644</v>
      </c>
      <c r="D1010" s="987" t="s">
        <v>4642</v>
      </c>
      <c r="E1010" s="987">
        <v>14.25</v>
      </c>
      <c r="F1010" s="987">
        <v>-5.8518000000000001E-2</v>
      </c>
      <c r="G1010" s="987">
        <v>0.23</v>
      </c>
      <c r="H1010" s="986">
        <v>3.5999999999999999E-3</v>
      </c>
      <c r="I1010" s="986">
        <f t="shared" si="8"/>
        <v>-6.2118E-2</v>
      </c>
      <c r="J1010" s="988">
        <v>40179</v>
      </c>
    </row>
    <row r="1011" spans="1:10">
      <c r="A1011" s="987">
        <v>39</v>
      </c>
      <c r="B1011" s="988">
        <v>40210</v>
      </c>
      <c r="C1011" s="987" t="s">
        <v>4644</v>
      </c>
      <c r="D1011" s="987" t="s">
        <v>4642</v>
      </c>
      <c r="E1011" s="987">
        <v>15.02</v>
      </c>
      <c r="F1011" s="987">
        <v>5.4035E-2</v>
      </c>
      <c r="G1011" s="987">
        <v>0</v>
      </c>
      <c r="H1011" s="986">
        <v>3.3E-3</v>
      </c>
      <c r="I1011" s="986">
        <f t="shared" si="8"/>
        <v>5.0735000000000002E-2</v>
      </c>
      <c r="J1011" s="988">
        <v>40210</v>
      </c>
    </row>
    <row r="1012" spans="1:10">
      <c r="A1012" s="987">
        <v>39</v>
      </c>
      <c r="B1012" s="988">
        <v>40238</v>
      </c>
      <c r="C1012" s="987" t="s">
        <v>4644</v>
      </c>
      <c r="D1012" s="987" t="s">
        <v>4642</v>
      </c>
      <c r="E1012" s="987">
        <v>15.8</v>
      </c>
      <c r="F1012" s="987">
        <v>5.1930999999999998E-2</v>
      </c>
      <c r="G1012" s="987">
        <v>0</v>
      </c>
      <c r="H1012" s="986">
        <v>4.0000000000000001E-3</v>
      </c>
      <c r="I1012" s="986">
        <f t="shared" si="8"/>
        <v>4.7931000000000001E-2</v>
      </c>
      <c r="J1012" s="988">
        <v>40238</v>
      </c>
    </row>
    <row r="1013" spans="1:10">
      <c r="A1013" s="987">
        <v>39</v>
      </c>
      <c r="B1013" s="988">
        <v>40269</v>
      </c>
      <c r="C1013" s="987" t="s">
        <v>4644</v>
      </c>
      <c r="D1013" s="987" t="s">
        <v>4642</v>
      </c>
      <c r="E1013" s="987">
        <v>16.3</v>
      </c>
      <c r="F1013" s="987">
        <v>4.6202E-2</v>
      </c>
      <c r="G1013" s="987">
        <v>0.23</v>
      </c>
      <c r="H1013" s="986">
        <v>3.8E-3</v>
      </c>
      <c r="I1013" s="986">
        <f t="shared" si="8"/>
        <v>4.2402000000000002E-2</v>
      </c>
      <c r="J1013" s="988">
        <v>40269</v>
      </c>
    </row>
    <row r="1014" spans="1:10">
      <c r="A1014" s="987">
        <v>39</v>
      </c>
      <c r="B1014" s="988">
        <v>40299</v>
      </c>
      <c r="C1014" s="987" t="s">
        <v>4644</v>
      </c>
      <c r="D1014" s="987" t="s">
        <v>4642</v>
      </c>
      <c r="E1014" s="987">
        <v>14.96</v>
      </c>
      <c r="F1014" s="987">
        <v>-8.2209000000000004E-2</v>
      </c>
      <c r="G1014" s="987">
        <v>0</v>
      </c>
      <c r="H1014" s="986">
        <v>3.3999999999999998E-3</v>
      </c>
      <c r="I1014" s="986">
        <f t="shared" si="8"/>
        <v>-8.5609000000000005E-2</v>
      </c>
      <c r="J1014" s="988">
        <v>40299</v>
      </c>
    </row>
    <row r="1015" spans="1:10">
      <c r="A1015" s="987">
        <v>39</v>
      </c>
      <c r="B1015" s="988">
        <v>40330</v>
      </c>
      <c r="C1015" s="987" t="s">
        <v>4644</v>
      </c>
      <c r="D1015" s="987" t="s">
        <v>4642</v>
      </c>
      <c r="E1015" s="987">
        <v>14.5</v>
      </c>
      <c r="F1015" s="987">
        <v>-3.0748999999999999E-2</v>
      </c>
      <c r="G1015" s="987">
        <v>0</v>
      </c>
      <c r="H1015" s="986">
        <v>3.7000000000000002E-3</v>
      </c>
      <c r="I1015" s="986">
        <f t="shared" si="8"/>
        <v>-3.4449E-2</v>
      </c>
      <c r="J1015" s="988">
        <v>40330</v>
      </c>
    </row>
    <row r="1016" spans="1:10">
      <c r="A1016" s="987">
        <v>39</v>
      </c>
      <c r="B1016" s="988">
        <v>40360</v>
      </c>
      <c r="C1016" s="987" t="s">
        <v>4644</v>
      </c>
      <c r="D1016" s="987" t="s">
        <v>4642</v>
      </c>
      <c r="E1016" s="987">
        <v>16.5</v>
      </c>
      <c r="F1016" s="987">
        <v>0.15379300000000001</v>
      </c>
      <c r="G1016" s="987">
        <v>0.23</v>
      </c>
      <c r="H1016" s="986">
        <v>3.0999999999999999E-3</v>
      </c>
      <c r="I1016" s="986">
        <f t="shared" si="8"/>
        <v>0.15069300000000002</v>
      </c>
      <c r="J1016" s="988">
        <v>40360</v>
      </c>
    </row>
    <row r="1017" spans="1:10">
      <c r="A1017" s="987">
        <v>39</v>
      </c>
      <c r="B1017" s="988">
        <v>40391</v>
      </c>
      <c r="C1017" s="987" t="s">
        <v>4644</v>
      </c>
      <c r="D1017" s="987" t="s">
        <v>4642</v>
      </c>
      <c r="E1017" s="987">
        <v>17.36</v>
      </c>
      <c r="F1017" s="987">
        <v>5.2121000000000001E-2</v>
      </c>
      <c r="G1017" s="987">
        <v>0</v>
      </c>
      <c r="H1017" s="986">
        <v>3.2000000000000002E-3</v>
      </c>
      <c r="I1017" s="986">
        <f t="shared" si="8"/>
        <v>4.8920999999999999E-2</v>
      </c>
      <c r="J1017" s="988">
        <v>40391</v>
      </c>
    </row>
    <row r="1018" spans="1:10">
      <c r="A1018" s="987">
        <v>39</v>
      </c>
      <c r="B1018" s="988">
        <v>40422</v>
      </c>
      <c r="C1018" s="987" t="s">
        <v>4644</v>
      </c>
      <c r="D1018" s="987" t="s">
        <v>4642</v>
      </c>
      <c r="E1018" s="987">
        <v>17.399999999999999</v>
      </c>
      <c r="F1018" s="987">
        <v>2.3040000000000001E-3</v>
      </c>
      <c r="G1018" s="987">
        <v>0</v>
      </c>
      <c r="H1018" s="986">
        <v>2.5999999999999999E-3</v>
      </c>
      <c r="I1018" s="986">
        <f t="shared" si="8"/>
        <v>-2.9599999999999982E-4</v>
      </c>
      <c r="J1018" s="988">
        <v>40422</v>
      </c>
    </row>
    <row r="1019" spans="1:10">
      <c r="A1019" s="987">
        <v>39</v>
      </c>
      <c r="B1019" s="988">
        <v>40452</v>
      </c>
      <c r="C1019" s="987" t="s">
        <v>4644</v>
      </c>
      <c r="D1019" s="987" t="s">
        <v>4642</v>
      </c>
      <c r="E1019" s="987">
        <v>17.309999999999999</v>
      </c>
      <c r="F1019" s="987">
        <v>8.0459999999999993E-3</v>
      </c>
      <c r="G1019" s="987">
        <v>0.23</v>
      </c>
      <c r="H1019" s="986">
        <v>2.7000000000000001E-3</v>
      </c>
      <c r="I1019" s="986">
        <f t="shared" si="8"/>
        <v>5.3459999999999992E-3</v>
      </c>
      <c r="J1019" s="988">
        <v>40452</v>
      </c>
    </row>
    <row r="1020" spans="1:10">
      <c r="A1020" s="987">
        <v>39</v>
      </c>
      <c r="B1020" s="988">
        <v>40483</v>
      </c>
      <c r="C1020" s="987" t="s">
        <v>4644</v>
      </c>
      <c r="D1020" s="987" t="s">
        <v>4642</v>
      </c>
      <c r="E1020" s="987">
        <v>16.73</v>
      </c>
      <c r="F1020" s="987">
        <v>-3.3507000000000002E-2</v>
      </c>
      <c r="G1020" s="987">
        <v>0</v>
      </c>
      <c r="H1020" s="986">
        <v>3.2000000000000002E-3</v>
      </c>
      <c r="I1020" s="986">
        <f t="shared" si="8"/>
        <v>-3.6707000000000004E-2</v>
      </c>
      <c r="J1020" s="988">
        <v>40483</v>
      </c>
    </row>
    <row r="1021" spans="1:10">
      <c r="A1021" s="987">
        <v>39</v>
      </c>
      <c r="B1021" s="988">
        <v>40513</v>
      </c>
      <c r="C1021" s="987" t="s">
        <v>4644</v>
      </c>
      <c r="D1021" s="987" t="s">
        <v>4642</v>
      </c>
      <c r="E1021" s="987">
        <v>17.62</v>
      </c>
      <c r="F1021" s="987">
        <v>5.3198000000000002E-2</v>
      </c>
      <c r="G1021" s="987">
        <v>0</v>
      </c>
      <c r="H1021" s="986">
        <v>3.2000000000000002E-3</v>
      </c>
      <c r="I1021" s="986">
        <f t="shared" si="8"/>
        <v>4.9998000000000001E-2</v>
      </c>
      <c r="J1021" s="988">
        <v>40513</v>
      </c>
    </row>
    <row r="1022" spans="1:10" ht="13.8">
      <c r="A1022" s="983">
        <v>39</v>
      </c>
      <c r="B1022" s="988">
        <v>40544</v>
      </c>
      <c r="C1022" s="983" t="s">
        <v>4644</v>
      </c>
      <c r="D1022" s="983" t="s">
        <v>4642</v>
      </c>
      <c r="E1022" s="983">
        <v>18.62</v>
      </c>
      <c r="F1022" s="983">
        <v>6.9806999999999994E-2</v>
      </c>
      <c r="G1022" s="983">
        <v>0.23</v>
      </c>
      <c r="H1022" s="987">
        <v>3.5666666699999999E-3</v>
      </c>
      <c r="I1022" s="986">
        <f t="shared" ref="I1022:I1085" si="9">F1022-H1022</f>
        <v>6.6240333329999998E-2</v>
      </c>
      <c r="J1022" s="988">
        <v>40544</v>
      </c>
    </row>
    <row r="1023" spans="1:10" ht="13.8">
      <c r="A1023" s="983">
        <v>39</v>
      </c>
      <c r="B1023" s="988">
        <v>40575</v>
      </c>
      <c r="C1023" s="983" t="s">
        <v>4644</v>
      </c>
      <c r="D1023" s="983" t="s">
        <v>4642</v>
      </c>
      <c r="E1023" s="983">
        <v>19.16</v>
      </c>
      <c r="F1023" s="983">
        <v>2.9000999999999999E-2</v>
      </c>
      <c r="G1023" s="983">
        <v>0</v>
      </c>
      <c r="H1023" s="987">
        <v>3.68333333E-3</v>
      </c>
      <c r="I1023" s="986">
        <f t="shared" si="9"/>
        <v>2.5317666669999999E-2</v>
      </c>
      <c r="J1023" s="988">
        <v>40575</v>
      </c>
    </row>
    <row r="1024" spans="1:10" ht="13.8">
      <c r="A1024" s="983">
        <v>39</v>
      </c>
      <c r="B1024" s="988">
        <v>40603</v>
      </c>
      <c r="C1024" s="983" t="s">
        <v>4644</v>
      </c>
      <c r="D1024" s="983" t="s">
        <v>4642</v>
      </c>
      <c r="E1024" s="983">
        <v>19.18</v>
      </c>
      <c r="F1024" s="983">
        <v>1.044E-3</v>
      </c>
      <c r="G1024" s="983">
        <v>0</v>
      </c>
      <c r="H1024" s="987">
        <v>3.5583333299999999E-3</v>
      </c>
      <c r="I1024" s="986">
        <f t="shared" si="9"/>
        <v>-2.5143333300000001E-3</v>
      </c>
      <c r="J1024" s="988">
        <v>40603</v>
      </c>
    </row>
    <row r="1025" spans="1:10" ht="13.8">
      <c r="A1025" s="983">
        <v>39</v>
      </c>
      <c r="B1025" s="988">
        <v>40634</v>
      </c>
      <c r="C1025" s="983" t="s">
        <v>4644</v>
      </c>
      <c r="D1025" s="983" t="s">
        <v>4642</v>
      </c>
      <c r="E1025" s="983">
        <v>19.45</v>
      </c>
      <c r="F1025" s="983">
        <v>2.6068999999999998E-2</v>
      </c>
      <c r="G1025" s="983">
        <v>0.23</v>
      </c>
      <c r="H1025" s="987">
        <v>3.5666666699999999E-3</v>
      </c>
      <c r="I1025" s="986">
        <f t="shared" si="9"/>
        <v>2.2502333329999999E-2</v>
      </c>
      <c r="J1025" s="988">
        <v>40634</v>
      </c>
    </row>
    <row r="1026" spans="1:10" ht="13.8">
      <c r="A1026" s="983">
        <v>39</v>
      </c>
      <c r="B1026" s="988">
        <v>40664</v>
      </c>
      <c r="C1026" s="983" t="s">
        <v>4644</v>
      </c>
      <c r="D1026" s="983" t="s">
        <v>4642</v>
      </c>
      <c r="E1026" s="983">
        <v>20.3</v>
      </c>
      <c r="F1026" s="983">
        <v>4.3701999999999998E-2</v>
      </c>
      <c r="G1026" s="983">
        <v>0</v>
      </c>
      <c r="H1026" s="987">
        <v>3.3416666699999996E-3</v>
      </c>
      <c r="I1026" s="986">
        <f t="shared" si="9"/>
        <v>4.0360333329999998E-2</v>
      </c>
      <c r="J1026" s="988">
        <v>40664</v>
      </c>
    </row>
    <row r="1027" spans="1:10" ht="13.8">
      <c r="A1027" s="983">
        <v>39</v>
      </c>
      <c r="B1027" s="988">
        <v>40695</v>
      </c>
      <c r="C1027" s="983" t="s">
        <v>4644</v>
      </c>
      <c r="D1027" s="983" t="s">
        <v>4642</v>
      </c>
      <c r="E1027" s="983">
        <v>20.25</v>
      </c>
      <c r="F1027" s="983">
        <v>-2.4629999999999999E-3</v>
      </c>
      <c r="G1027" s="983">
        <v>0</v>
      </c>
      <c r="H1027" s="987">
        <v>3.25833333E-3</v>
      </c>
      <c r="I1027" s="986">
        <f t="shared" si="9"/>
        <v>-5.7213333299999999E-3</v>
      </c>
      <c r="J1027" s="988">
        <v>40695</v>
      </c>
    </row>
    <row r="1028" spans="1:10" ht="13.8">
      <c r="A1028" s="983">
        <v>39</v>
      </c>
      <c r="B1028" s="988">
        <v>40725</v>
      </c>
      <c r="C1028" s="983" t="s">
        <v>4644</v>
      </c>
      <c r="D1028" s="983" t="s">
        <v>4642</v>
      </c>
      <c r="E1028" s="983">
        <v>20.13</v>
      </c>
      <c r="F1028" s="983">
        <v>5.4320000000000002E-3</v>
      </c>
      <c r="G1028" s="983">
        <v>0.23</v>
      </c>
      <c r="H1028" s="987">
        <v>3.2916666700000003E-3</v>
      </c>
      <c r="I1028" s="986">
        <f t="shared" si="9"/>
        <v>2.1403333299999999E-3</v>
      </c>
      <c r="J1028" s="988">
        <v>40725</v>
      </c>
    </row>
    <row r="1029" spans="1:10" ht="13.8">
      <c r="A1029" s="983">
        <v>39</v>
      </c>
      <c r="B1029" s="988">
        <v>40756</v>
      </c>
      <c r="C1029" s="983" t="s">
        <v>4644</v>
      </c>
      <c r="D1029" s="983" t="s">
        <v>4642</v>
      </c>
      <c r="E1029" s="983">
        <v>21.36</v>
      </c>
      <c r="F1029" s="983">
        <v>6.1102999999999998E-2</v>
      </c>
      <c r="G1029" s="983">
        <v>0</v>
      </c>
      <c r="H1029" s="987">
        <v>3.0416666666666665E-3</v>
      </c>
      <c r="I1029" s="986">
        <f t="shared" si="9"/>
        <v>5.8061333333333333E-2</v>
      </c>
      <c r="J1029" s="988">
        <v>40756</v>
      </c>
    </row>
    <row r="1030" spans="1:10" ht="13.8">
      <c r="A1030" s="983">
        <v>39</v>
      </c>
      <c r="B1030" s="988">
        <v>40787</v>
      </c>
      <c r="C1030" s="983" t="s">
        <v>4644</v>
      </c>
      <c r="D1030" s="983" t="s">
        <v>4642</v>
      </c>
      <c r="E1030" s="983">
        <v>21.38</v>
      </c>
      <c r="F1030" s="983">
        <v>9.3599999999999998E-4</v>
      </c>
      <c r="G1030" s="983">
        <v>0</v>
      </c>
      <c r="H1030" s="987">
        <v>2.3583333300000002E-3</v>
      </c>
      <c r="I1030" s="986">
        <f t="shared" si="9"/>
        <v>-1.4223333300000002E-3</v>
      </c>
      <c r="J1030" s="988">
        <v>40787</v>
      </c>
    </row>
    <row r="1031" spans="1:10" ht="13.8">
      <c r="A1031" s="983">
        <v>39</v>
      </c>
      <c r="B1031" s="988">
        <v>40817</v>
      </c>
      <c r="C1031" s="983" t="s">
        <v>4644</v>
      </c>
      <c r="D1031" s="983" t="s">
        <v>4642</v>
      </c>
      <c r="E1031" s="983">
        <v>22.09</v>
      </c>
      <c r="F1031" s="983">
        <v>4.3965999999999998E-2</v>
      </c>
      <c r="G1031" s="983">
        <v>0.23</v>
      </c>
      <c r="H1031" s="987">
        <v>2.3916666700000001E-3</v>
      </c>
      <c r="I1031" s="986">
        <f t="shared" si="9"/>
        <v>4.1574333329999998E-2</v>
      </c>
      <c r="J1031" s="988">
        <v>40817</v>
      </c>
    </row>
    <row r="1032" spans="1:10" ht="13.8">
      <c r="A1032" s="983">
        <v>39</v>
      </c>
      <c r="B1032" s="988">
        <v>40848</v>
      </c>
      <c r="C1032" s="983" t="s">
        <v>4644</v>
      </c>
      <c r="D1032" s="983" t="s">
        <v>4642</v>
      </c>
      <c r="E1032" s="983">
        <v>22.91</v>
      </c>
      <c r="F1032" s="983">
        <v>3.7121000000000001E-2</v>
      </c>
      <c r="G1032" s="983">
        <v>0</v>
      </c>
      <c r="H1032" s="987">
        <v>2.26666667E-3</v>
      </c>
      <c r="I1032" s="986">
        <f t="shared" si="9"/>
        <v>3.4854333330000001E-2</v>
      </c>
      <c r="J1032" s="988">
        <v>40848</v>
      </c>
    </row>
    <row r="1033" spans="1:10" ht="13.8">
      <c r="A1033" s="983">
        <v>39</v>
      </c>
      <c r="B1033" s="988">
        <v>40878</v>
      </c>
      <c r="C1033" s="983" t="s">
        <v>4644</v>
      </c>
      <c r="D1033" s="983" t="s">
        <v>4642</v>
      </c>
      <c r="E1033" s="983">
        <v>23.81</v>
      </c>
      <c r="F1033" s="983">
        <v>3.9283999999999999E-2</v>
      </c>
      <c r="G1033" s="983">
        <v>0</v>
      </c>
      <c r="H1033" s="987">
        <v>2.4833333333333335E-3</v>
      </c>
      <c r="I1033" s="986">
        <f t="shared" si="9"/>
        <v>3.6800666666666669E-2</v>
      </c>
      <c r="J1033" s="988">
        <v>40878</v>
      </c>
    </row>
    <row r="1034" spans="1:10" ht="13.8">
      <c r="A1034" s="983">
        <v>39</v>
      </c>
      <c r="B1034" s="988">
        <v>40909</v>
      </c>
      <c r="C1034" s="983" t="s">
        <v>4644</v>
      </c>
      <c r="D1034" s="983" t="s">
        <v>4642</v>
      </c>
      <c r="E1034" s="983">
        <v>22.73</v>
      </c>
      <c r="F1034" s="983">
        <v>-4.5358999999999997E-2</v>
      </c>
      <c r="G1034" s="983">
        <v>0</v>
      </c>
      <c r="H1034" s="987">
        <v>2.0999999999999999E-3</v>
      </c>
      <c r="I1034" s="986">
        <f t="shared" si="9"/>
        <v>-4.7458999999999994E-2</v>
      </c>
      <c r="J1034" s="988">
        <v>40909</v>
      </c>
    </row>
    <row r="1035" spans="1:10" ht="13.8">
      <c r="A1035" s="983">
        <v>39</v>
      </c>
      <c r="B1035" s="988">
        <v>40940</v>
      </c>
      <c r="C1035" s="983" t="s">
        <v>4644</v>
      </c>
      <c r="D1035" s="983" t="s">
        <v>4642</v>
      </c>
      <c r="E1035" s="983">
        <v>24</v>
      </c>
      <c r="F1035" s="983">
        <v>6.5991999999999995E-2</v>
      </c>
      <c r="G1035" s="983">
        <v>0.23</v>
      </c>
      <c r="H1035" s="987">
        <v>2E-3</v>
      </c>
      <c r="I1035" s="986">
        <f t="shared" si="9"/>
        <v>6.3991999999999993E-2</v>
      </c>
      <c r="J1035" s="988">
        <v>40940</v>
      </c>
    </row>
    <row r="1036" spans="1:10" ht="13.8">
      <c r="A1036" s="983">
        <v>39</v>
      </c>
      <c r="B1036" s="988">
        <v>40969</v>
      </c>
      <c r="C1036" s="983" t="s">
        <v>4644</v>
      </c>
      <c r="D1036" s="983" t="s">
        <v>4642</v>
      </c>
      <c r="E1036" s="983">
        <v>24.35</v>
      </c>
      <c r="F1036" s="983">
        <v>1.4583E-2</v>
      </c>
      <c r="G1036" s="983">
        <v>0</v>
      </c>
      <c r="H1036" s="987">
        <v>2.2000000000000001E-3</v>
      </c>
      <c r="I1036" s="986">
        <f t="shared" si="9"/>
        <v>1.2383E-2</v>
      </c>
      <c r="J1036" s="988">
        <v>40969</v>
      </c>
    </row>
    <row r="1037" spans="1:10" ht="13.8">
      <c r="A1037" s="983">
        <v>39</v>
      </c>
      <c r="B1037" s="988">
        <v>41000</v>
      </c>
      <c r="C1037" s="983" t="s">
        <v>4644</v>
      </c>
      <c r="D1037" s="983" t="s">
        <v>4642</v>
      </c>
      <c r="E1037" s="983">
        <v>24.65</v>
      </c>
      <c r="F1037" s="983">
        <v>2.1766000000000001E-2</v>
      </c>
      <c r="G1037" s="983">
        <v>0.23</v>
      </c>
      <c r="H1037" s="987">
        <v>2.5000000000000001E-3</v>
      </c>
      <c r="I1037" s="986">
        <f t="shared" si="9"/>
        <v>1.9266000000000002E-2</v>
      </c>
      <c r="J1037" s="988">
        <v>41000</v>
      </c>
    </row>
    <row r="1038" spans="1:10" ht="13.8">
      <c r="A1038" s="983">
        <v>39</v>
      </c>
      <c r="B1038" s="988">
        <v>41030</v>
      </c>
      <c r="C1038" s="983" t="s">
        <v>4644</v>
      </c>
      <c r="D1038" s="983" t="s">
        <v>4642</v>
      </c>
      <c r="E1038" s="983">
        <v>25.09</v>
      </c>
      <c r="F1038" s="983">
        <v>1.7850000000000001E-2</v>
      </c>
      <c r="G1038" s="983">
        <v>0</v>
      </c>
      <c r="H1038" s="987">
        <v>2.3E-3</v>
      </c>
      <c r="I1038" s="986">
        <f t="shared" si="9"/>
        <v>1.5550000000000001E-2</v>
      </c>
      <c r="J1038" s="988">
        <v>41030</v>
      </c>
    </row>
    <row r="1039" spans="1:10" ht="13.8">
      <c r="A1039" s="983">
        <v>39</v>
      </c>
      <c r="B1039" s="988">
        <v>41061</v>
      </c>
      <c r="C1039" s="983" t="s">
        <v>4644</v>
      </c>
      <c r="D1039" s="983" t="s">
        <v>4642</v>
      </c>
      <c r="E1039" s="983">
        <v>24.75</v>
      </c>
      <c r="F1039" s="983">
        <v>-1.3551000000000001E-2</v>
      </c>
      <c r="G1039" s="983">
        <v>0</v>
      </c>
      <c r="H1039" s="987">
        <v>1.8E-3</v>
      </c>
      <c r="I1039" s="986">
        <f t="shared" si="9"/>
        <v>-1.5351E-2</v>
      </c>
      <c r="J1039" s="988">
        <v>41061</v>
      </c>
    </row>
    <row r="1040" spans="1:10" ht="13.8">
      <c r="B1040" s="988">
        <v>41091</v>
      </c>
      <c r="C1040" s="983" t="s">
        <v>4644</v>
      </c>
      <c r="D1040" s="983" t="s">
        <v>4642</v>
      </c>
      <c r="E1040" s="983">
        <v>25.59</v>
      </c>
      <c r="F1040" s="987">
        <f t="shared" ref="F1040:F1073" si="10">((E1040-E1039)/E1039)+(G1040/E1039)</f>
        <v>4.3636363636363633E-2</v>
      </c>
      <c r="G1040" s="987">
        <v>0.24</v>
      </c>
      <c r="H1040" s="987">
        <v>2E-3</v>
      </c>
      <c r="I1040" s="986">
        <f t="shared" si="9"/>
        <v>4.1636363636363631E-2</v>
      </c>
      <c r="J1040" s="988">
        <v>41091</v>
      </c>
    </row>
    <row r="1041" spans="2:10" ht="13.8">
      <c r="B1041" s="988">
        <v>41122</v>
      </c>
      <c r="C1041" s="983" t="s">
        <v>4644</v>
      </c>
      <c r="D1041" s="983" t="s">
        <v>4642</v>
      </c>
      <c r="E1041" s="983">
        <v>24.34</v>
      </c>
      <c r="F1041" s="987">
        <f t="shared" si="10"/>
        <v>-4.884720593982024E-2</v>
      </c>
      <c r="G1041" s="987">
        <v>0</v>
      </c>
      <c r="H1041" s="987">
        <v>1.8E-3</v>
      </c>
      <c r="I1041" s="986">
        <f t="shared" si="9"/>
        <v>-5.0647205939820243E-2</v>
      </c>
      <c r="J1041" s="988">
        <v>41122</v>
      </c>
    </row>
    <row r="1042" spans="2:10" ht="13.8">
      <c r="B1042" s="988">
        <v>41153</v>
      </c>
      <c r="C1042" s="983" t="s">
        <v>4644</v>
      </c>
      <c r="D1042" s="983" t="s">
        <v>4642</v>
      </c>
      <c r="E1042" s="987">
        <v>25.48</v>
      </c>
      <c r="F1042" s="987">
        <f t="shared" si="10"/>
        <v>4.6836483155299945E-2</v>
      </c>
      <c r="G1042" s="987">
        <v>0</v>
      </c>
      <c r="H1042" s="987">
        <v>1.6999999999999999E-3</v>
      </c>
      <c r="I1042" s="986">
        <f t="shared" si="9"/>
        <v>4.5136483155299945E-2</v>
      </c>
      <c r="J1042" s="988">
        <v>41153</v>
      </c>
    </row>
    <row r="1043" spans="2:10" ht="13.8">
      <c r="B1043" s="988">
        <v>41183</v>
      </c>
      <c r="C1043" s="983" t="s">
        <v>4644</v>
      </c>
      <c r="D1043" s="983" t="s">
        <v>4642</v>
      </c>
      <c r="E1043" s="987">
        <v>25.47</v>
      </c>
      <c r="F1043" s="987">
        <f t="shared" si="10"/>
        <v>9.0266875981161072E-3</v>
      </c>
      <c r="G1043" s="987">
        <v>0.24</v>
      </c>
      <c r="H1043" s="987">
        <v>2.0999999999999999E-3</v>
      </c>
      <c r="I1043" s="986">
        <f t="shared" si="9"/>
        <v>6.9266875981161078E-3</v>
      </c>
      <c r="J1043" s="988">
        <v>41183</v>
      </c>
    </row>
    <row r="1044" spans="2:10" ht="13.8">
      <c r="B1044" s="988">
        <v>41214</v>
      </c>
      <c r="C1044" s="983" t="s">
        <v>4644</v>
      </c>
      <c r="D1044" s="983" t="s">
        <v>4642</v>
      </c>
      <c r="E1044" s="987">
        <v>24.17</v>
      </c>
      <c r="F1044" s="987">
        <f t="shared" si="10"/>
        <v>-5.1040439733019131E-2</v>
      </c>
      <c r="G1044" s="987">
        <v>0</v>
      </c>
      <c r="H1044" s="987">
        <v>1.9E-3</v>
      </c>
      <c r="I1044" s="986">
        <f t="shared" si="9"/>
        <v>-5.294043973301913E-2</v>
      </c>
      <c r="J1044" s="988">
        <v>41214</v>
      </c>
    </row>
    <row r="1045" spans="2:10" ht="13.8">
      <c r="B1045" s="988">
        <v>41244</v>
      </c>
      <c r="C1045" s="983" t="s">
        <v>4644</v>
      </c>
      <c r="D1045" s="983" t="s">
        <v>4642</v>
      </c>
      <c r="E1045" s="987">
        <v>24.89</v>
      </c>
      <c r="F1045" s="987">
        <f t="shared" si="10"/>
        <v>2.9788994621431478E-2</v>
      </c>
      <c r="G1045" s="987">
        <v>0</v>
      </c>
      <c r="H1045" s="987">
        <v>1.9E-3</v>
      </c>
      <c r="I1045" s="986">
        <f t="shared" si="9"/>
        <v>2.7888994621431479E-2</v>
      </c>
      <c r="J1045" s="988">
        <v>41244</v>
      </c>
    </row>
    <row r="1046" spans="2:10" ht="13.8">
      <c r="B1046" s="988">
        <v>41275</v>
      </c>
      <c r="C1046" s="983" t="s">
        <v>4644</v>
      </c>
      <c r="D1046" s="983" t="s">
        <v>4642</v>
      </c>
      <c r="E1046" s="983">
        <v>27.03</v>
      </c>
      <c r="F1046" s="987">
        <f t="shared" si="10"/>
        <v>9.5620731217356397E-2</v>
      </c>
      <c r="G1046" s="987">
        <v>0.24</v>
      </c>
      <c r="H1046" s="987">
        <v>2.2000000000000001E-3</v>
      </c>
      <c r="I1046" s="986">
        <f t="shared" si="9"/>
        <v>9.3420731217356404E-2</v>
      </c>
      <c r="J1046" s="988">
        <v>41275</v>
      </c>
    </row>
    <row r="1047" spans="2:10" ht="13.8">
      <c r="B1047" s="988">
        <v>41306</v>
      </c>
      <c r="C1047" s="983" t="s">
        <v>4644</v>
      </c>
      <c r="D1047" s="983" t="s">
        <v>4642</v>
      </c>
      <c r="E1047" s="983">
        <v>27.7</v>
      </c>
      <c r="F1047" s="987">
        <f t="shared" si="10"/>
        <v>2.4787273399925938E-2</v>
      </c>
      <c r="G1047" s="987">
        <v>0</v>
      </c>
      <c r="H1047" s="987">
        <v>2.2000000000000001E-3</v>
      </c>
      <c r="I1047" s="986">
        <f t="shared" si="9"/>
        <v>2.2587273399925938E-2</v>
      </c>
      <c r="J1047" s="988">
        <v>41306</v>
      </c>
    </row>
    <row r="1048" spans="2:10" ht="13.8">
      <c r="B1048" s="988">
        <v>41334</v>
      </c>
      <c r="C1048" s="983" t="s">
        <v>4644</v>
      </c>
      <c r="D1048" s="983" t="s">
        <v>4642</v>
      </c>
      <c r="E1048" s="983">
        <v>29.34</v>
      </c>
      <c r="F1048" s="987">
        <f t="shared" si="10"/>
        <v>5.9205776173285221E-2</v>
      </c>
      <c r="G1048" s="987">
        <v>0</v>
      </c>
      <c r="H1048" s="987">
        <v>2.0999999999999999E-3</v>
      </c>
      <c r="I1048" s="986">
        <f t="shared" si="9"/>
        <v>5.7105776173285223E-2</v>
      </c>
      <c r="J1048" s="988">
        <v>41334</v>
      </c>
    </row>
    <row r="1049" spans="2:10" ht="13.8">
      <c r="B1049" s="988">
        <v>41365</v>
      </c>
      <c r="C1049" s="983" t="s">
        <v>4644</v>
      </c>
      <c r="D1049" s="983" t="s">
        <v>4642</v>
      </c>
      <c r="E1049" s="983">
        <v>30.73</v>
      </c>
      <c r="F1049" s="987">
        <f t="shared" si="10"/>
        <v>5.5555555555555573E-2</v>
      </c>
      <c r="G1049" s="987">
        <v>0.24</v>
      </c>
      <c r="H1049" s="987">
        <v>2.5999999999999999E-3</v>
      </c>
      <c r="I1049" s="986">
        <f t="shared" si="9"/>
        <v>5.2955555555555575E-2</v>
      </c>
      <c r="J1049" s="988">
        <v>41365</v>
      </c>
    </row>
    <row r="1050" spans="2:10" ht="13.8">
      <c r="B1050" s="988">
        <v>41395</v>
      </c>
      <c r="C1050" s="983" t="s">
        <v>4644</v>
      </c>
      <c r="D1050" s="983" t="s">
        <v>4642</v>
      </c>
      <c r="E1050" s="983">
        <v>28.73</v>
      </c>
      <c r="F1050" s="987">
        <f t="shared" si="10"/>
        <v>-6.5082980800520662E-2</v>
      </c>
      <c r="G1050" s="987">
        <v>0</v>
      </c>
      <c r="H1050" s="987">
        <v>2.3E-3</v>
      </c>
      <c r="I1050" s="986">
        <f t="shared" si="9"/>
        <v>-6.7382980800520659E-2</v>
      </c>
      <c r="J1050" s="988">
        <v>41395</v>
      </c>
    </row>
    <row r="1051" spans="2:10" ht="13.8">
      <c r="B1051" s="988">
        <v>41426</v>
      </c>
      <c r="C1051" s="983" t="s">
        <v>4644</v>
      </c>
      <c r="D1051" s="983" t="s">
        <v>4642</v>
      </c>
      <c r="E1051" s="987">
        <v>28.64</v>
      </c>
      <c r="F1051" s="987">
        <f t="shared" si="10"/>
        <v>-3.132613992342494E-3</v>
      </c>
      <c r="G1051" s="987">
        <v>0</v>
      </c>
      <c r="H1051" s="987">
        <v>2.3999999999999998E-3</v>
      </c>
      <c r="I1051" s="986">
        <f t="shared" si="9"/>
        <v>-5.5326139923424934E-3</v>
      </c>
      <c r="J1051" s="988">
        <v>41426</v>
      </c>
    </row>
    <row r="1052" spans="2:10" ht="13.8">
      <c r="B1052" s="988">
        <v>41456</v>
      </c>
      <c r="C1052" s="983" t="s">
        <v>4644</v>
      </c>
      <c r="D1052" s="983" t="s">
        <v>4642</v>
      </c>
      <c r="E1052" s="987">
        <v>30.72</v>
      </c>
      <c r="F1052" s="987">
        <f t="shared" si="10"/>
        <v>8.1354748603351887E-2</v>
      </c>
      <c r="G1052" s="987">
        <v>0.25</v>
      </c>
      <c r="H1052" s="987">
        <v>3.0000000000000001E-3</v>
      </c>
      <c r="I1052" s="986">
        <f t="shared" si="9"/>
        <v>7.8354748603351884E-2</v>
      </c>
      <c r="J1052" s="988">
        <v>41456</v>
      </c>
    </row>
    <row r="1053" spans="2:10" ht="13.8">
      <c r="B1053" s="988">
        <v>41487</v>
      </c>
      <c r="C1053" s="983" t="s">
        <v>4644</v>
      </c>
      <c r="D1053" s="983" t="s">
        <v>4642</v>
      </c>
      <c r="E1053" s="987">
        <v>29.26</v>
      </c>
      <c r="F1053" s="987">
        <f t="shared" si="10"/>
        <v>-4.7526041666666581E-2</v>
      </c>
      <c r="G1053" s="987">
        <v>0</v>
      </c>
      <c r="H1053" s="987">
        <v>2.8E-3</v>
      </c>
      <c r="I1053" s="986">
        <f t="shared" si="9"/>
        <v>-5.0326041666666578E-2</v>
      </c>
      <c r="J1053" s="988">
        <v>41487</v>
      </c>
    </row>
    <row r="1054" spans="2:10" ht="13.8">
      <c r="B1054" s="988">
        <v>41518</v>
      </c>
      <c r="C1054" s="983" t="s">
        <v>4644</v>
      </c>
      <c r="D1054" s="983" t="s">
        <v>4642</v>
      </c>
      <c r="E1054" s="987">
        <v>30.89</v>
      </c>
      <c r="F1054" s="987">
        <f t="shared" si="10"/>
        <v>5.5707450444292511E-2</v>
      </c>
      <c r="G1054" s="987">
        <v>0</v>
      </c>
      <c r="H1054" s="987">
        <v>2.8999999999999998E-3</v>
      </c>
      <c r="I1054" s="986">
        <f t="shared" si="9"/>
        <v>5.2807450444292511E-2</v>
      </c>
      <c r="J1054" s="988">
        <v>41518</v>
      </c>
    </row>
    <row r="1055" spans="2:10" ht="13.8">
      <c r="B1055" s="988">
        <v>41548</v>
      </c>
      <c r="C1055" s="983" t="s">
        <v>4644</v>
      </c>
      <c r="D1055" s="983" t="s">
        <v>4642</v>
      </c>
      <c r="E1055" s="987">
        <v>31.52</v>
      </c>
      <c r="F1055" s="987">
        <f t="shared" si="10"/>
        <v>2.8488183878277725E-2</v>
      </c>
      <c r="G1055" s="987">
        <v>0.25</v>
      </c>
      <c r="H1055" s="987">
        <v>2.8999999999999998E-3</v>
      </c>
      <c r="I1055" s="986">
        <f t="shared" si="9"/>
        <v>2.5588183878277725E-2</v>
      </c>
      <c r="J1055" s="988">
        <v>41548</v>
      </c>
    </row>
    <row r="1056" spans="2:10" ht="13.8">
      <c r="B1056" s="988">
        <v>41579</v>
      </c>
      <c r="C1056" s="983" t="s">
        <v>4644</v>
      </c>
      <c r="D1056" s="983" t="s">
        <v>4642</v>
      </c>
      <c r="E1056" s="987">
        <v>31.62</v>
      </c>
      <c r="F1056" s="987">
        <f t="shared" si="10"/>
        <v>3.1725888324873547E-3</v>
      </c>
      <c r="G1056" s="987">
        <v>0</v>
      </c>
      <c r="H1056" s="987">
        <v>2.7000000000000001E-3</v>
      </c>
      <c r="I1056" s="986">
        <f t="shared" si="9"/>
        <v>4.7258883248735457E-4</v>
      </c>
      <c r="J1056" s="988">
        <v>41579</v>
      </c>
    </row>
    <row r="1057" spans="2:10" ht="13.8">
      <c r="B1057" s="988">
        <v>41609</v>
      </c>
      <c r="C1057" s="983" t="s">
        <v>4644</v>
      </c>
      <c r="D1057" s="983" t="s">
        <v>4642</v>
      </c>
      <c r="E1057" s="987">
        <v>32.880000000000003</v>
      </c>
      <c r="F1057" s="987">
        <f t="shared" si="10"/>
        <v>3.9848197343453559E-2</v>
      </c>
      <c r="G1057" s="987">
        <v>0</v>
      </c>
      <c r="H1057" s="987">
        <v>3.0999999999999999E-3</v>
      </c>
      <c r="I1057" s="986">
        <f t="shared" si="9"/>
        <v>3.6748197343453561E-2</v>
      </c>
      <c r="J1057" s="988">
        <v>41609</v>
      </c>
    </row>
    <row r="1058" spans="2:10" ht="13.8">
      <c r="B1058" s="988">
        <v>41640</v>
      </c>
      <c r="C1058" s="983" t="s">
        <v>4644</v>
      </c>
      <c r="D1058" s="983" t="s">
        <v>4642</v>
      </c>
      <c r="E1058" s="983">
        <v>34.369999999999997</v>
      </c>
      <c r="F1058" s="987">
        <f t="shared" si="10"/>
        <v>4.5316301703162858E-2</v>
      </c>
      <c r="G1058" s="987">
        <v>0</v>
      </c>
      <c r="H1058" s="987">
        <v>3.2000000000000002E-3</v>
      </c>
      <c r="I1058" s="986">
        <f t="shared" si="9"/>
        <v>4.2116301703162856E-2</v>
      </c>
      <c r="J1058" s="988">
        <v>41640</v>
      </c>
    </row>
    <row r="1059" spans="2:10" ht="13.8">
      <c r="B1059" s="988">
        <v>41671</v>
      </c>
      <c r="C1059" s="983" t="s">
        <v>4644</v>
      </c>
      <c r="D1059" s="983" t="s">
        <v>4642</v>
      </c>
      <c r="E1059" s="983">
        <v>34.82</v>
      </c>
      <c r="F1059" s="987">
        <f t="shared" si="10"/>
        <v>2.0366598778004157E-2</v>
      </c>
      <c r="G1059" s="987">
        <v>0.25</v>
      </c>
      <c r="H1059" s="987">
        <v>2.5999999999999999E-3</v>
      </c>
      <c r="I1059" s="986">
        <f t="shared" si="9"/>
        <v>1.7766598778004156E-2</v>
      </c>
      <c r="J1059" s="988">
        <v>41671</v>
      </c>
    </row>
    <row r="1060" spans="2:10" ht="13.8">
      <c r="B1060" s="988">
        <v>41699</v>
      </c>
      <c r="C1060" s="983" t="s">
        <v>4644</v>
      </c>
      <c r="D1060" s="983" t="s">
        <v>4642</v>
      </c>
      <c r="E1060" s="983">
        <v>35.53</v>
      </c>
      <c r="F1060" s="987">
        <f t="shared" si="10"/>
        <v>2.0390580126364181E-2</v>
      </c>
      <c r="G1060" s="987">
        <v>0</v>
      </c>
      <c r="H1060" s="987">
        <v>2.8999999999999998E-3</v>
      </c>
      <c r="I1060" s="986">
        <f t="shared" si="9"/>
        <v>1.7490580126364182E-2</v>
      </c>
      <c r="J1060" s="988">
        <v>41699</v>
      </c>
    </row>
    <row r="1061" spans="2:10" ht="13.8">
      <c r="B1061" s="988">
        <v>41730</v>
      </c>
      <c r="C1061" s="983" t="s">
        <v>4644</v>
      </c>
      <c r="D1061" s="983" t="s">
        <v>4642</v>
      </c>
      <c r="E1061" s="983">
        <v>36.32</v>
      </c>
      <c r="F1061" s="987">
        <f t="shared" si="10"/>
        <v>2.9271038558964232E-2</v>
      </c>
      <c r="G1061" s="987">
        <v>0.25</v>
      </c>
      <c r="H1061" s="987">
        <v>2.8E-3</v>
      </c>
      <c r="I1061" s="986">
        <f t="shared" si="9"/>
        <v>2.6471038558964231E-2</v>
      </c>
      <c r="J1061" s="988">
        <v>41730</v>
      </c>
    </row>
    <row r="1062" spans="2:10" ht="13.8">
      <c r="B1062" s="988">
        <v>41760</v>
      </c>
      <c r="C1062" s="983" t="s">
        <v>4644</v>
      </c>
      <c r="D1062" s="983" t="s">
        <v>4642</v>
      </c>
      <c r="E1062" s="983">
        <v>37.369999999999997</v>
      </c>
      <c r="F1062" s="987">
        <f t="shared" si="10"/>
        <v>2.890969162995587E-2</v>
      </c>
      <c r="G1062" s="987">
        <v>0</v>
      </c>
      <c r="H1062" s="987">
        <v>2.8E-3</v>
      </c>
      <c r="I1062" s="986">
        <f t="shared" si="9"/>
        <v>2.610969162995587E-2</v>
      </c>
      <c r="J1062" s="988">
        <v>41760</v>
      </c>
    </row>
    <row r="1063" spans="2:10" ht="13.8">
      <c r="B1063" s="988">
        <v>41791</v>
      </c>
      <c r="C1063" s="983" t="s">
        <v>4644</v>
      </c>
      <c r="D1063" s="983" t="s">
        <v>4642</v>
      </c>
      <c r="E1063" s="983">
        <v>39.340000000000003</v>
      </c>
      <c r="F1063" s="987">
        <f t="shared" si="10"/>
        <v>5.271608241905288E-2</v>
      </c>
      <c r="G1063" s="987">
        <v>0</v>
      </c>
      <c r="H1063" s="987">
        <v>2.5000000000000001E-3</v>
      </c>
      <c r="I1063" s="986">
        <f t="shared" si="9"/>
        <v>5.0216082419052878E-2</v>
      </c>
      <c r="J1063" s="988">
        <v>41791</v>
      </c>
    </row>
    <row r="1064" spans="2:10" ht="14.4">
      <c r="B1064" s="988">
        <v>41821</v>
      </c>
      <c r="C1064" s="983" t="s">
        <v>4644</v>
      </c>
      <c r="D1064" s="983" t="s">
        <v>4642</v>
      </c>
      <c r="E1064" s="994">
        <v>37.68</v>
      </c>
      <c r="F1064" s="987">
        <f t="shared" si="10"/>
        <v>-3.5587188612099738E-2</v>
      </c>
      <c r="G1064" s="987">
        <v>0.26</v>
      </c>
      <c r="H1064" s="987">
        <v>2.7000000000000001E-3</v>
      </c>
      <c r="I1064" s="986">
        <f t="shared" si="9"/>
        <v>-3.8287188612099739E-2</v>
      </c>
      <c r="J1064" s="988">
        <v>41821</v>
      </c>
    </row>
    <row r="1065" spans="2:10" ht="14.4">
      <c r="B1065" s="988">
        <v>41852</v>
      </c>
      <c r="C1065" s="983" t="s">
        <v>4644</v>
      </c>
      <c r="D1065" s="983" t="s">
        <v>4642</v>
      </c>
      <c r="E1065" s="994">
        <v>39.67</v>
      </c>
      <c r="F1065" s="987">
        <f t="shared" si="10"/>
        <v>5.2813163481953342E-2</v>
      </c>
      <c r="G1065" s="987">
        <v>0</v>
      </c>
      <c r="H1065" s="987">
        <v>2.5999999999999999E-3</v>
      </c>
      <c r="I1065" s="986">
        <f t="shared" si="9"/>
        <v>5.0213163481953343E-2</v>
      </c>
      <c r="J1065" s="988">
        <v>41852</v>
      </c>
    </row>
    <row r="1066" spans="2:10" ht="14.4">
      <c r="B1066" s="988">
        <v>41883</v>
      </c>
      <c r="C1066" s="983" t="s">
        <v>4644</v>
      </c>
      <c r="D1066" s="983" t="s">
        <v>4642</v>
      </c>
      <c r="E1066" s="994">
        <v>40.98</v>
      </c>
      <c r="F1066" s="987">
        <f t="shared" si="10"/>
        <v>3.3022435089488156E-2</v>
      </c>
      <c r="G1066" s="987">
        <v>0</v>
      </c>
      <c r="H1066" s="987">
        <v>2.3E-3</v>
      </c>
      <c r="I1066" s="986">
        <f t="shared" si="9"/>
        <v>3.0722435089488156E-2</v>
      </c>
      <c r="J1066" s="988">
        <v>41883</v>
      </c>
    </row>
    <row r="1067" spans="2:10" ht="14.4">
      <c r="B1067" s="988">
        <v>41913</v>
      </c>
      <c r="C1067" s="983" t="s">
        <v>4644</v>
      </c>
      <c r="D1067" s="983" t="s">
        <v>4642</v>
      </c>
      <c r="E1067" s="994">
        <v>42.06</v>
      </c>
      <c r="F1067" s="987">
        <f t="shared" si="10"/>
        <v>3.269887750122024E-2</v>
      </c>
      <c r="G1067" s="987">
        <v>0.26</v>
      </c>
      <c r="H1067" s="987">
        <v>2.5000000000000001E-3</v>
      </c>
      <c r="I1067" s="986">
        <f t="shared" si="9"/>
        <v>3.0198877501220241E-2</v>
      </c>
      <c r="J1067" s="988">
        <v>41913</v>
      </c>
    </row>
    <row r="1068" spans="2:10" ht="14.4">
      <c r="B1068" s="988">
        <v>41944</v>
      </c>
      <c r="C1068" s="983" t="s">
        <v>4644</v>
      </c>
      <c r="D1068" s="983" t="s">
        <v>4642</v>
      </c>
      <c r="E1068" s="994">
        <v>41.84</v>
      </c>
      <c r="F1068" s="987">
        <f t="shared" si="10"/>
        <v>-5.2306229196385839E-3</v>
      </c>
      <c r="G1068" s="987">
        <v>0</v>
      </c>
      <c r="H1068" s="987">
        <v>2.3E-3</v>
      </c>
      <c r="I1068" s="986">
        <f t="shared" si="9"/>
        <v>-7.5306229196385839E-3</v>
      </c>
      <c r="J1068" s="988">
        <v>41944</v>
      </c>
    </row>
    <row r="1069" spans="2:10" ht="14.4">
      <c r="B1069" s="988">
        <v>41974</v>
      </c>
      <c r="C1069" s="983" t="s">
        <v>4644</v>
      </c>
      <c r="D1069" s="983" t="s">
        <v>4642</v>
      </c>
      <c r="E1069" s="994">
        <v>42.42</v>
      </c>
      <c r="F1069" s="987">
        <f t="shared" si="10"/>
        <v>1.3862332695984662E-2</v>
      </c>
      <c r="G1069" s="987">
        <v>0</v>
      </c>
      <c r="H1069" s="987">
        <v>2.2000000000000001E-3</v>
      </c>
      <c r="I1069" s="986">
        <f t="shared" si="9"/>
        <v>1.1662332695984661E-2</v>
      </c>
      <c r="J1069" s="988">
        <v>41974</v>
      </c>
    </row>
    <row r="1070" spans="2:10" ht="13.8">
      <c r="B1070" s="988">
        <v>42005</v>
      </c>
      <c r="C1070" s="983" t="s">
        <v>4644</v>
      </c>
      <c r="D1070" s="983" t="s">
        <v>4642</v>
      </c>
      <c r="E1070" s="983">
        <v>43.26</v>
      </c>
      <c r="F1070" s="987">
        <f t="shared" si="10"/>
        <v>1.9801980198019715E-2</v>
      </c>
      <c r="G1070" s="987">
        <v>0</v>
      </c>
      <c r="H1070" s="987">
        <v>2E-3</v>
      </c>
      <c r="I1070" s="986">
        <f t="shared" si="9"/>
        <v>1.7801980198019714E-2</v>
      </c>
      <c r="J1070" s="988">
        <v>42005</v>
      </c>
    </row>
    <row r="1071" spans="2:10" ht="13.8">
      <c r="B1071" s="988">
        <v>42036</v>
      </c>
      <c r="C1071" s="983" t="s">
        <v>4644</v>
      </c>
      <c r="D1071" s="983" t="s">
        <v>4642</v>
      </c>
      <c r="E1071" s="983">
        <v>42.91</v>
      </c>
      <c r="F1071" s="987">
        <f t="shared" si="10"/>
        <v>-2.0804438280166773E-3</v>
      </c>
      <c r="G1071" s="987">
        <v>0.26</v>
      </c>
      <c r="H1071" s="987">
        <v>1.5E-3</v>
      </c>
      <c r="I1071" s="986">
        <f t="shared" si="9"/>
        <v>-3.5804438280166774E-3</v>
      </c>
      <c r="J1071" s="988">
        <v>42036</v>
      </c>
    </row>
    <row r="1072" spans="2:10" ht="13.8">
      <c r="B1072" s="988">
        <v>42064</v>
      </c>
      <c r="C1072" s="983" t="s">
        <v>4644</v>
      </c>
      <c r="D1072" s="983" t="s">
        <v>4642</v>
      </c>
      <c r="E1072" s="983">
        <v>44.16</v>
      </c>
      <c r="F1072" s="987">
        <f t="shared" si="10"/>
        <v>2.9130738755534843E-2</v>
      </c>
      <c r="G1072" s="987">
        <v>0</v>
      </c>
      <c r="H1072" s="987">
        <v>2.0999999999999999E-3</v>
      </c>
      <c r="I1072" s="986">
        <f t="shared" si="9"/>
        <v>2.7030738755534842E-2</v>
      </c>
      <c r="J1072" s="988">
        <v>42064</v>
      </c>
    </row>
    <row r="1073" spans="2:10" ht="13.8">
      <c r="B1073" s="988">
        <v>42095</v>
      </c>
      <c r="C1073" s="983" t="s">
        <v>4644</v>
      </c>
      <c r="D1073" s="983" t="s">
        <v>4642</v>
      </c>
      <c r="E1073" s="987">
        <v>43.42</v>
      </c>
      <c r="F1073" s="987">
        <f t="shared" si="10"/>
        <v>-1.086956521739119E-2</v>
      </c>
      <c r="G1073" s="987">
        <v>0.26</v>
      </c>
      <c r="H1073" s="987">
        <v>1.9E-3</v>
      </c>
      <c r="I1073" s="986">
        <f t="shared" si="9"/>
        <v>-1.276956521739119E-2</v>
      </c>
      <c r="J1073" s="988">
        <v>42095</v>
      </c>
    </row>
    <row r="1074" spans="2:10" ht="13.8">
      <c r="B1074" s="988">
        <v>42125</v>
      </c>
      <c r="C1074" s="983" t="s">
        <v>4644</v>
      </c>
      <c r="D1074" s="983" t="s">
        <v>4642</v>
      </c>
      <c r="E1074" s="987">
        <v>47.18</v>
      </c>
      <c r="F1074" s="987">
        <f>((E1074-E1073)/E1073)+(G1073/E1073)</f>
        <v>9.2584062643942838E-2</v>
      </c>
      <c r="G1074" s="987">
        <v>0</v>
      </c>
      <c r="H1074" s="987">
        <v>2E-3</v>
      </c>
      <c r="I1074" s="986">
        <f t="shared" si="9"/>
        <v>9.0584062643942836E-2</v>
      </c>
      <c r="J1074" s="988">
        <v>42125</v>
      </c>
    </row>
    <row r="1075" spans="2:10">
      <c r="B1075" s="988">
        <v>42156</v>
      </c>
      <c r="C1075" s="987" t="s">
        <v>4644</v>
      </c>
      <c r="D1075" s="987" t="s">
        <v>4642</v>
      </c>
      <c r="E1075" s="987">
        <v>17.914999999999999</v>
      </c>
      <c r="F1075" s="987">
        <f t="shared" ref="F1075:F1138" si="11">((E1075-E1074)/E1074)+(G1075/E1074)</f>
        <v>-0.62028401865197114</v>
      </c>
      <c r="G1075" s="987">
        <v>0</v>
      </c>
      <c r="H1075" s="987">
        <v>2.3E-3</v>
      </c>
      <c r="I1075" s="987">
        <f t="shared" si="9"/>
        <v>-0.62258401865197111</v>
      </c>
      <c r="J1075" s="988">
        <f t="shared" ref="J1075:J1138" si="12">B1075</f>
        <v>42156</v>
      </c>
    </row>
    <row r="1076" spans="2:10">
      <c r="B1076" s="988">
        <v>42186</v>
      </c>
      <c r="C1076" s="987" t="s">
        <v>4644</v>
      </c>
      <c r="D1076" s="987" t="s">
        <v>4642</v>
      </c>
      <c r="E1076" s="987">
        <v>17.46</v>
      </c>
      <c r="F1076" s="987">
        <f t="shared" si="11"/>
        <v>-1.6745743790119914E-2</v>
      </c>
      <c r="G1076" s="987">
        <v>0.155</v>
      </c>
      <c r="H1076" s="987">
        <v>2.3999999999999998E-3</v>
      </c>
      <c r="I1076" s="987">
        <f t="shared" si="9"/>
        <v>-1.9145743790119914E-2</v>
      </c>
      <c r="J1076" s="988">
        <f t="shared" si="12"/>
        <v>42186</v>
      </c>
    </row>
    <row r="1077" spans="2:10">
      <c r="B1077" s="988">
        <v>42217</v>
      </c>
      <c r="C1077" s="987" t="s">
        <v>4644</v>
      </c>
      <c r="D1077" s="987" t="s">
        <v>4642</v>
      </c>
      <c r="E1077" s="987">
        <v>16.79</v>
      </c>
      <c r="F1077" s="987">
        <f t="shared" si="11"/>
        <v>-3.8373424971363208E-2</v>
      </c>
      <c r="G1077" s="987">
        <v>0</v>
      </c>
      <c r="H1077" s="987">
        <v>2.2000000000000001E-3</v>
      </c>
      <c r="I1077" s="987">
        <f t="shared" si="9"/>
        <v>-4.0573424971363209E-2</v>
      </c>
      <c r="J1077" s="988">
        <f t="shared" si="12"/>
        <v>42217</v>
      </c>
    </row>
    <row r="1078" spans="2:10">
      <c r="B1078" s="988">
        <v>42248</v>
      </c>
      <c r="C1078" s="987" t="s">
        <v>4644</v>
      </c>
      <c r="D1078" s="987" t="s">
        <v>4642</v>
      </c>
      <c r="E1078" s="987">
        <v>18.55</v>
      </c>
      <c r="F1078" s="987">
        <f t="shared" si="11"/>
        <v>0.10482430017867789</v>
      </c>
      <c r="G1078" s="987">
        <v>0</v>
      </c>
      <c r="H1078" s="987">
        <v>2.0999999999999999E-3</v>
      </c>
      <c r="I1078" s="987">
        <f t="shared" si="9"/>
        <v>0.10272430017867788</v>
      </c>
      <c r="J1078" s="988">
        <f t="shared" si="12"/>
        <v>42248</v>
      </c>
    </row>
    <row r="1079" spans="2:10">
      <c r="B1079" s="988">
        <v>42278</v>
      </c>
      <c r="C1079" s="987" t="s">
        <v>4644</v>
      </c>
      <c r="D1079" s="987" t="s">
        <v>4642</v>
      </c>
      <c r="E1079" s="987">
        <v>19.16</v>
      </c>
      <c r="F1079" s="987">
        <f t="shared" si="11"/>
        <v>4.1239892183288378E-2</v>
      </c>
      <c r="G1079" s="987">
        <v>0.155</v>
      </c>
      <c r="H1079" s="987">
        <v>2.0999999999999999E-3</v>
      </c>
      <c r="I1079" s="987">
        <f t="shared" si="9"/>
        <v>3.913989218328838E-2</v>
      </c>
      <c r="J1079" s="988">
        <f t="shared" si="12"/>
        <v>42278</v>
      </c>
    </row>
    <row r="1080" spans="2:10">
      <c r="B1080" s="988">
        <v>42309</v>
      </c>
      <c r="C1080" s="987" t="s">
        <v>4644</v>
      </c>
      <c r="D1080" s="987" t="s">
        <v>4642</v>
      </c>
      <c r="E1080" s="987">
        <v>19.190000000000001</v>
      </c>
      <c r="F1080" s="987">
        <f t="shared" si="11"/>
        <v>1.5657620041754246E-3</v>
      </c>
      <c r="G1080" s="987">
        <v>0</v>
      </c>
      <c r="H1080" s="987">
        <v>2.2000000000000001E-3</v>
      </c>
      <c r="I1080" s="987">
        <f t="shared" si="9"/>
        <v>-6.3423799582457553E-4</v>
      </c>
      <c r="J1080" s="988">
        <f t="shared" si="12"/>
        <v>42309</v>
      </c>
    </row>
    <row r="1081" spans="2:10">
      <c r="B1081" s="988">
        <v>42339</v>
      </c>
      <c r="C1081" s="987" t="s">
        <v>4644</v>
      </c>
      <c r="D1081" s="987" t="s">
        <v>4642</v>
      </c>
      <c r="E1081" s="987">
        <v>19.510000000000002</v>
      </c>
      <c r="F1081" s="987">
        <f t="shared" si="11"/>
        <v>1.6675351745700898E-2</v>
      </c>
      <c r="G1081" s="987">
        <v>0</v>
      </c>
      <c r="H1081" s="987">
        <v>2.2000000000000001E-3</v>
      </c>
      <c r="I1081" s="987">
        <f t="shared" si="9"/>
        <v>1.4475351745700898E-2</v>
      </c>
      <c r="J1081" s="988">
        <f t="shared" si="12"/>
        <v>42339</v>
      </c>
    </row>
    <row r="1082" spans="2:10">
      <c r="B1082" s="988">
        <v>42370</v>
      </c>
      <c r="C1082" s="987" t="s">
        <v>4644</v>
      </c>
      <c r="D1082" s="987" t="s">
        <v>4642</v>
      </c>
      <c r="E1082" s="987">
        <v>21.01</v>
      </c>
      <c r="F1082" s="987">
        <f t="shared" si="11"/>
        <v>7.6883649410558683E-2</v>
      </c>
      <c r="G1082" s="987">
        <v>0</v>
      </c>
      <c r="H1082" s="987">
        <v>2.0999999999999999E-3</v>
      </c>
      <c r="I1082" s="987">
        <f t="shared" si="9"/>
        <v>7.4783649410558678E-2</v>
      </c>
      <c r="J1082" s="988">
        <f t="shared" si="12"/>
        <v>42370</v>
      </c>
    </row>
    <row r="1083" spans="2:10">
      <c r="B1083" s="988">
        <v>42401</v>
      </c>
      <c r="C1083" s="987" t="s">
        <v>4644</v>
      </c>
      <c r="D1083" s="987" t="s">
        <v>4642</v>
      </c>
      <c r="E1083" s="987">
        <v>21.48</v>
      </c>
      <c r="F1083" s="987">
        <f t="shared" si="11"/>
        <v>2.9747739171822885E-2</v>
      </c>
      <c r="G1083" s="987">
        <v>0.155</v>
      </c>
      <c r="H1083" s="987">
        <v>2E-3</v>
      </c>
      <c r="I1083" s="987">
        <f t="shared" si="9"/>
        <v>2.7747739171822883E-2</v>
      </c>
      <c r="J1083" s="988">
        <f t="shared" si="12"/>
        <v>42401</v>
      </c>
    </row>
    <row r="1084" spans="2:10">
      <c r="B1084" s="988">
        <v>42430</v>
      </c>
      <c r="C1084" s="987" t="s">
        <v>4644</v>
      </c>
      <c r="D1084" s="987" t="s">
        <v>4642</v>
      </c>
      <c r="E1084" s="987">
        <v>23.56</v>
      </c>
      <c r="F1084" s="987">
        <f t="shared" si="11"/>
        <v>9.6834264432029721E-2</v>
      </c>
      <c r="G1084" s="987">
        <v>0</v>
      </c>
      <c r="H1084" s="987">
        <v>1.8E-3</v>
      </c>
      <c r="I1084" s="987">
        <f t="shared" si="9"/>
        <v>9.5034264432029725E-2</v>
      </c>
      <c r="J1084" s="988">
        <f t="shared" si="12"/>
        <v>42430</v>
      </c>
    </row>
    <row r="1085" spans="2:10">
      <c r="B1085" s="988">
        <v>42461</v>
      </c>
      <c r="C1085" s="987" t="s">
        <v>4644</v>
      </c>
      <c r="D1085" s="987" t="s">
        <v>4642</v>
      </c>
      <c r="E1085" s="987">
        <v>22.71</v>
      </c>
      <c r="F1085" s="987">
        <f t="shared" si="11"/>
        <v>-2.9499151103565276E-2</v>
      </c>
      <c r="G1085" s="987">
        <v>0.155</v>
      </c>
      <c r="H1085" s="987">
        <v>1.6999999999999999E-3</v>
      </c>
      <c r="I1085" s="987">
        <f t="shared" si="9"/>
        <v>-3.1199151103565276E-2</v>
      </c>
      <c r="J1085" s="988">
        <f t="shared" si="12"/>
        <v>42461</v>
      </c>
    </row>
    <row r="1086" spans="2:10">
      <c r="B1086" s="988">
        <v>42491</v>
      </c>
      <c r="C1086" s="987" t="s">
        <v>4644</v>
      </c>
      <c r="D1086" s="987" t="s">
        <v>4642</v>
      </c>
      <c r="E1086" s="987">
        <v>23.86</v>
      </c>
      <c r="F1086" s="987">
        <f t="shared" si="11"/>
        <v>5.0638485248789014E-2</v>
      </c>
      <c r="G1086" s="987">
        <v>0</v>
      </c>
      <c r="H1086" s="987">
        <v>2E-3</v>
      </c>
      <c r="I1086" s="987">
        <f t="shared" ref="I1086:I1149" si="13">F1086-H1086</f>
        <v>4.8638485248789012E-2</v>
      </c>
      <c r="J1086" s="988">
        <f t="shared" si="12"/>
        <v>42491</v>
      </c>
    </row>
    <row r="1087" spans="2:10">
      <c r="B1087" s="988">
        <v>42522</v>
      </c>
      <c r="C1087" s="987" t="s">
        <v>4644</v>
      </c>
      <c r="D1087" s="987" t="s">
        <v>4642</v>
      </c>
      <c r="E1087" s="987">
        <v>26.52</v>
      </c>
      <c r="F1087" s="987">
        <f t="shared" si="11"/>
        <v>0.11148365465213747</v>
      </c>
      <c r="G1087" s="987">
        <v>0</v>
      </c>
      <c r="H1087" s="987">
        <v>1.8E-3</v>
      </c>
      <c r="I1087" s="987">
        <f t="shared" si="13"/>
        <v>0.10968365465213747</v>
      </c>
      <c r="J1087" s="988">
        <f t="shared" si="12"/>
        <v>42522</v>
      </c>
    </row>
    <row r="1088" spans="2:10">
      <c r="B1088" s="988">
        <v>42552</v>
      </c>
      <c r="C1088" s="987" t="s">
        <v>4644</v>
      </c>
      <c r="D1088" s="987" t="s">
        <v>4642</v>
      </c>
      <c r="E1088" s="987">
        <v>25.66</v>
      </c>
      <c r="F1088" s="987">
        <f t="shared" si="11"/>
        <v>-2.6206636500754131E-2</v>
      </c>
      <c r="G1088" s="987">
        <v>0.16500000000000001</v>
      </c>
      <c r="H1088" s="987">
        <v>1.4E-3</v>
      </c>
      <c r="I1088" s="987">
        <f t="shared" si="13"/>
        <v>-2.760663650075413E-2</v>
      </c>
      <c r="J1088" s="988">
        <f t="shared" si="12"/>
        <v>42552</v>
      </c>
    </row>
    <row r="1089" spans="2:10">
      <c r="B1089" s="988">
        <v>42583</v>
      </c>
      <c r="C1089" s="987" t="s">
        <v>4644</v>
      </c>
      <c r="D1089" s="987" t="s">
        <v>4642</v>
      </c>
      <c r="E1089" s="987">
        <v>23.94</v>
      </c>
      <c r="F1089" s="987">
        <f t="shared" si="11"/>
        <v>-6.7030397505845635E-2</v>
      </c>
      <c r="G1089" s="987">
        <v>0</v>
      </c>
      <c r="H1089" s="987">
        <v>1.6000000000000001E-3</v>
      </c>
      <c r="I1089" s="987">
        <f t="shared" si="13"/>
        <v>-6.8630397505845639E-2</v>
      </c>
      <c r="J1089" s="988">
        <f t="shared" si="12"/>
        <v>42583</v>
      </c>
    </row>
    <row r="1090" spans="2:10">
      <c r="B1090" s="988">
        <v>42614</v>
      </c>
      <c r="C1090" s="987" t="s">
        <v>4644</v>
      </c>
      <c r="D1090" s="987" t="s">
        <v>4642</v>
      </c>
      <c r="E1090" s="987">
        <v>24.11</v>
      </c>
      <c r="F1090" s="987">
        <f t="shared" si="11"/>
        <v>7.1010860484543919E-3</v>
      </c>
      <c r="G1090" s="987">
        <v>0</v>
      </c>
      <c r="H1090" s="987">
        <v>1.5E-3</v>
      </c>
      <c r="I1090" s="987">
        <f t="shared" si="13"/>
        <v>5.6010860484543915E-3</v>
      </c>
      <c r="J1090" s="988">
        <f t="shared" si="12"/>
        <v>42614</v>
      </c>
    </row>
    <row r="1091" spans="2:10">
      <c r="B1091" s="988">
        <v>42644</v>
      </c>
      <c r="C1091" s="987" t="s">
        <v>4644</v>
      </c>
      <c r="D1091" s="987" t="s">
        <v>4642</v>
      </c>
      <c r="E1091" s="987">
        <v>23.26</v>
      </c>
      <c r="F1091" s="987">
        <f t="shared" si="11"/>
        <v>-2.8411447532144248E-2</v>
      </c>
      <c r="G1091" s="987">
        <v>0.16500000000000001</v>
      </c>
      <c r="H1091" s="987">
        <v>1.6000000000000001E-3</v>
      </c>
      <c r="I1091" s="987">
        <f t="shared" si="13"/>
        <v>-3.0011447532144249E-2</v>
      </c>
      <c r="J1091" s="988">
        <f t="shared" si="12"/>
        <v>42644</v>
      </c>
    </row>
    <row r="1092" spans="2:10">
      <c r="B1092" s="988">
        <v>42675</v>
      </c>
      <c r="C1092" s="987" t="s">
        <v>4644</v>
      </c>
      <c r="D1092" s="987" t="s">
        <v>4642</v>
      </c>
      <c r="E1092" s="987">
        <v>21.94</v>
      </c>
      <c r="F1092" s="987">
        <f t="shared" si="11"/>
        <v>-5.6749785038693046E-2</v>
      </c>
      <c r="G1092" s="987">
        <v>0</v>
      </c>
      <c r="H1092" s="987">
        <v>1.8E-3</v>
      </c>
      <c r="I1092" s="987">
        <f t="shared" si="13"/>
        <v>-5.8549785038693049E-2</v>
      </c>
      <c r="J1092" s="988">
        <f t="shared" si="12"/>
        <v>42675</v>
      </c>
    </row>
    <row r="1093" spans="2:10">
      <c r="B1093" s="988">
        <v>42705</v>
      </c>
      <c r="C1093" s="987" t="s">
        <v>4644</v>
      </c>
      <c r="D1093" s="987" t="s">
        <v>4642</v>
      </c>
      <c r="E1093" s="987">
        <v>22.14</v>
      </c>
      <c r="F1093" s="987">
        <f t="shared" si="11"/>
        <v>9.1157702825888452E-3</v>
      </c>
      <c r="G1093" s="987">
        <v>0</v>
      </c>
      <c r="H1093" s="987">
        <v>2.2000000000000001E-3</v>
      </c>
      <c r="I1093" s="987">
        <f t="shared" si="13"/>
        <v>6.9157702825888446E-3</v>
      </c>
      <c r="J1093" s="988">
        <f t="shared" si="12"/>
        <v>42705</v>
      </c>
    </row>
    <row r="1094" spans="2:10">
      <c r="B1094" s="988">
        <v>42736</v>
      </c>
      <c r="C1094" s="987" t="s">
        <v>4644</v>
      </c>
      <c r="D1094" s="987" t="s">
        <v>4642</v>
      </c>
      <c r="E1094" s="987">
        <v>22.37</v>
      </c>
      <c r="F1094" s="987">
        <f t="shared" si="11"/>
        <v>1.0388437217705529E-2</v>
      </c>
      <c r="G1094" s="987">
        <v>0</v>
      </c>
      <c r="H1094" s="987">
        <v>2.3999999999999998E-3</v>
      </c>
      <c r="I1094" s="987">
        <f t="shared" si="13"/>
        <v>7.98843721770553E-3</v>
      </c>
      <c r="J1094" s="988">
        <f t="shared" si="12"/>
        <v>42736</v>
      </c>
    </row>
    <row r="1095" spans="2:10">
      <c r="B1095" s="988">
        <v>42767</v>
      </c>
      <c r="C1095" s="987" t="s">
        <v>4644</v>
      </c>
      <c r="D1095" s="987" t="s">
        <v>4642</v>
      </c>
      <c r="E1095" s="987">
        <v>23.91</v>
      </c>
      <c r="F1095" s="987">
        <f t="shared" si="11"/>
        <v>7.6665176575771071E-2</v>
      </c>
      <c r="G1095" s="987">
        <v>0.17499999999999999</v>
      </c>
      <c r="H1095" s="987">
        <v>2.0999999999999999E-3</v>
      </c>
      <c r="I1095" s="987">
        <f t="shared" si="13"/>
        <v>7.4565176575771067E-2</v>
      </c>
      <c r="J1095" s="988">
        <f t="shared" si="12"/>
        <v>42767</v>
      </c>
    </row>
    <row r="1096" spans="2:10">
      <c r="B1096" s="988">
        <v>42795</v>
      </c>
      <c r="C1096" s="987" t="s">
        <v>4644</v>
      </c>
      <c r="D1096" s="987" t="s">
        <v>4642</v>
      </c>
      <c r="E1096" s="987">
        <v>23.79</v>
      </c>
      <c r="F1096" s="987">
        <f t="shared" si="11"/>
        <v>-5.0188205771644076E-3</v>
      </c>
      <c r="G1096" s="987">
        <v>0</v>
      </c>
      <c r="H1096" s="987">
        <v>2.3E-3</v>
      </c>
      <c r="I1096" s="987">
        <f t="shared" si="13"/>
        <v>-7.3188205771644076E-3</v>
      </c>
      <c r="J1096" s="988">
        <f t="shared" si="12"/>
        <v>42795</v>
      </c>
    </row>
    <row r="1097" spans="2:10">
      <c r="B1097" s="988">
        <v>42826</v>
      </c>
      <c r="C1097" s="987" t="s">
        <v>4644</v>
      </c>
      <c r="D1097" s="987" t="s">
        <v>4642</v>
      </c>
      <c r="E1097" s="987">
        <v>24.25</v>
      </c>
      <c r="F1097" s="987">
        <f t="shared" si="11"/>
        <v>2.6691887347625089E-2</v>
      </c>
      <c r="G1097" s="987">
        <v>0.17499999999999999</v>
      </c>
      <c r="H1097" s="987">
        <v>2.0999999999999999E-3</v>
      </c>
      <c r="I1097" s="987">
        <f t="shared" si="13"/>
        <v>2.4591887347625088E-2</v>
      </c>
      <c r="J1097" s="988">
        <f t="shared" si="12"/>
        <v>42826</v>
      </c>
    </row>
    <row r="1098" spans="2:10">
      <c r="B1098" s="988">
        <v>42856</v>
      </c>
      <c r="C1098" s="987" t="s">
        <v>4644</v>
      </c>
      <c r="D1098" s="987" t="s">
        <v>4642</v>
      </c>
      <c r="E1098" s="987">
        <v>26.07</v>
      </c>
      <c r="F1098" s="987">
        <f t="shared" si="11"/>
        <v>7.5051546391752585E-2</v>
      </c>
      <c r="G1098" s="987">
        <v>0</v>
      </c>
      <c r="H1098" s="987">
        <v>2.3999999999999998E-3</v>
      </c>
      <c r="I1098" s="987">
        <f t="shared" si="13"/>
        <v>7.2651546391752586E-2</v>
      </c>
      <c r="J1098" s="988">
        <f t="shared" si="12"/>
        <v>42856</v>
      </c>
    </row>
    <row r="1099" spans="2:10">
      <c r="B1099" s="988">
        <v>42887</v>
      </c>
      <c r="C1099" s="987" t="s">
        <v>4644</v>
      </c>
      <c r="D1099" s="987" t="s">
        <v>4642</v>
      </c>
      <c r="E1099" s="987">
        <v>25.36</v>
      </c>
      <c r="F1099" s="987">
        <f t="shared" si="11"/>
        <v>-2.7234369006520938E-2</v>
      </c>
      <c r="G1099" s="987">
        <v>0</v>
      </c>
      <c r="H1099" s="987">
        <v>2.0999999999999999E-3</v>
      </c>
      <c r="I1099" s="987">
        <f t="shared" si="13"/>
        <v>-2.9334369006520939E-2</v>
      </c>
      <c r="J1099" s="988">
        <f t="shared" si="12"/>
        <v>42887</v>
      </c>
    </row>
    <row r="1100" spans="2:10">
      <c r="B1100" s="988">
        <v>42917</v>
      </c>
      <c r="C1100" s="987" t="s">
        <v>4644</v>
      </c>
      <c r="D1100" s="987" t="s">
        <v>4642</v>
      </c>
      <c r="E1100" s="987">
        <v>26.06</v>
      </c>
      <c r="F1100" s="987">
        <f t="shared" si="11"/>
        <v>3.4503154574132465E-2</v>
      </c>
      <c r="G1100" s="987">
        <v>0.17499999999999999</v>
      </c>
      <c r="H1100" s="987">
        <v>2.2000000000000001E-3</v>
      </c>
      <c r="I1100" s="987">
        <f t="shared" si="13"/>
        <v>3.2303154574132464E-2</v>
      </c>
      <c r="J1100" s="988">
        <f t="shared" si="12"/>
        <v>42917</v>
      </c>
    </row>
    <row r="1101" spans="2:10">
      <c r="B1101" s="988">
        <v>42948</v>
      </c>
      <c r="C1101" s="987" t="s">
        <v>4644</v>
      </c>
      <c r="D1101" s="987" t="s">
        <v>4642</v>
      </c>
      <c r="E1101" s="987">
        <v>26.87</v>
      </c>
      <c r="F1101" s="987">
        <f t="shared" si="11"/>
        <v>3.1082118188795176E-2</v>
      </c>
      <c r="G1101" s="987">
        <v>0</v>
      </c>
      <c r="H1101" s="987">
        <v>2.2000000000000001E-3</v>
      </c>
      <c r="I1101" s="987">
        <f t="shared" si="13"/>
        <v>2.8882118188795176E-2</v>
      </c>
      <c r="J1101" s="988">
        <f t="shared" si="12"/>
        <v>42948</v>
      </c>
    </row>
    <row r="1102" spans="2:10">
      <c r="B1102" s="988">
        <v>42979</v>
      </c>
      <c r="C1102" s="987" t="s">
        <v>4644</v>
      </c>
      <c r="D1102" s="987" t="s">
        <v>4642</v>
      </c>
      <c r="E1102" s="987">
        <v>25.59</v>
      </c>
      <c r="F1102" s="987">
        <f t="shared" si="11"/>
        <v>-4.7636769631559397E-2</v>
      </c>
      <c r="G1102" s="987">
        <v>0</v>
      </c>
      <c r="H1102" s="987">
        <v>1.9E-3</v>
      </c>
      <c r="I1102" s="987">
        <f t="shared" si="13"/>
        <v>-4.9536769631559396E-2</v>
      </c>
      <c r="J1102" s="988">
        <f t="shared" si="12"/>
        <v>42979</v>
      </c>
    </row>
    <row r="1103" spans="2:10">
      <c r="B1103" s="988">
        <v>43009</v>
      </c>
      <c r="C1103" s="987" t="s">
        <v>4644</v>
      </c>
      <c r="D1103" s="987" t="s">
        <v>4642</v>
      </c>
      <c r="E1103" s="987">
        <v>26.37</v>
      </c>
      <c r="F1103" s="987">
        <f t="shared" si="11"/>
        <v>3.7319265338022711E-2</v>
      </c>
      <c r="G1103" s="987">
        <v>0.17499999999999999</v>
      </c>
      <c r="H1103" s="987">
        <v>2.2000000000000001E-3</v>
      </c>
      <c r="I1103" s="987">
        <f t="shared" si="13"/>
        <v>3.5119265338022711E-2</v>
      </c>
      <c r="J1103" s="988">
        <f t="shared" si="12"/>
        <v>43009</v>
      </c>
    </row>
    <row r="1104" spans="2:10">
      <c r="B1104" s="988">
        <v>43040</v>
      </c>
      <c r="C1104" s="987" t="s">
        <v>4644</v>
      </c>
      <c r="D1104" s="987" t="s">
        <v>4642</v>
      </c>
      <c r="E1104" s="987">
        <v>27.53</v>
      </c>
      <c r="F1104" s="987">
        <f t="shared" si="11"/>
        <v>4.3989381873340921E-2</v>
      </c>
      <c r="G1104" s="987">
        <v>0</v>
      </c>
      <c r="H1104" s="987">
        <v>2.0999999999999999E-3</v>
      </c>
      <c r="I1104" s="987">
        <f t="shared" si="13"/>
        <v>4.1889381873340924E-2</v>
      </c>
      <c r="J1104" s="988">
        <f t="shared" si="12"/>
        <v>43040</v>
      </c>
    </row>
    <row r="1105" spans="2:10">
      <c r="B1105" s="988">
        <v>43070</v>
      </c>
      <c r="C1105" s="987" t="s">
        <v>4644</v>
      </c>
      <c r="D1105" s="987" t="s">
        <v>4642</v>
      </c>
      <c r="E1105" s="987">
        <v>25.67</v>
      </c>
      <c r="F1105" s="987">
        <f t="shared" si="11"/>
        <v>-6.7562658917544469E-2</v>
      </c>
      <c r="G1105" s="987">
        <v>0</v>
      </c>
      <c r="H1105" s="987">
        <v>2E-3</v>
      </c>
      <c r="I1105" s="987">
        <f t="shared" si="13"/>
        <v>-6.956265891754447E-2</v>
      </c>
      <c r="J1105" s="988">
        <f t="shared" si="12"/>
        <v>43070</v>
      </c>
    </row>
    <row r="1106" spans="2:10">
      <c r="B1106" s="988">
        <v>43101</v>
      </c>
      <c r="C1106" s="987" t="s">
        <v>4644</v>
      </c>
      <c r="D1106" s="987" t="s">
        <v>4642</v>
      </c>
      <c r="E1106" s="987">
        <v>24.68</v>
      </c>
      <c r="F1106" s="987">
        <f t="shared" si="11"/>
        <v>-3.8566419945461707E-2</v>
      </c>
      <c r="G1106" s="987">
        <v>0</v>
      </c>
      <c r="H1106" s="987">
        <v>2.3999999999999998E-3</v>
      </c>
      <c r="I1106" s="987">
        <f t="shared" si="13"/>
        <v>-4.0966419945461706E-2</v>
      </c>
      <c r="J1106" s="988">
        <f t="shared" si="12"/>
        <v>43101</v>
      </c>
    </row>
    <row r="1107" spans="2:10">
      <c r="B1107" s="988">
        <v>43132</v>
      </c>
      <c r="C1107" s="987" t="s">
        <v>4644</v>
      </c>
      <c r="D1107" s="987" t="s">
        <v>4642</v>
      </c>
      <c r="E1107" s="987">
        <v>23.13</v>
      </c>
      <c r="F1107" s="987">
        <f t="shared" si="11"/>
        <v>-5.4902755267423047E-2</v>
      </c>
      <c r="G1107" s="987">
        <v>0.19500000000000001</v>
      </c>
      <c r="H1107" s="987">
        <v>2.2000000000000001E-3</v>
      </c>
      <c r="I1107" s="987">
        <f t="shared" si="13"/>
        <v>-5.7102755267423047E-2</v>
      </c>
      <c r="J1107" s="988">
        <f t="shared" si="12"/>
        <v>43132</v>
      </c>
    </row>
    <row r="1108" spans="2:10">
      <c r="B1108" s="988">
        <v>43160</v>
      </c>
      <c r="C1108" s="987" t="s">
        <v>4644</v>
      </c>
      <c r="D1108" s="987" t="s">
        <v>4642</v>
      </c>
      <c r="E1108" s="987">
        <v>23.91</v>
      </c>
      <c r="F1108" s="987">
        <f t="shared" si="11"/>
        <v>3.3722438391699146E-2</v>
      </c>
      <c r="G1108" s="987">
        <v>0</v>
      </c>
      <c r="H1108" s="987">
        <v>2.3999999999999998E-3</v>
      </c>
      <c r="I1108" s="987">
        <f t="shared" si="13"/>
        <v>3.1322438391699146E-2</v>
      </c>
      <c r="J1108" s="988">
        <f t="shared" si="12"/>
        <v>43160</v>
      </c>
    </row>
    <row r="1109" spans="2:10">
      <c r="B1109" s="988">
        <v>43191</v>
      </c>
      <c r="C1109" s="987" t="s">
        <v>4644</v>
      </c>
      <c r="D1109" s="987" t="s">
        <v>4642</v>
      </c>
      <c r="E1109" s="987">
        <v>24.39</v>
      </c>
      <c r="F1109" s="987">
        <f t="shared" si="11"/>
        <v>2.823086574654958E-2</v>
      </c>
      <c r="G1109" s="987">
        <v>0.19500000000000001</v>
      </c>
      <c r="H1109" s="987">
        <v>2.5000000000000001E-3</v>
      </c>
      <c r="I1109" s="987">
        <f t="shared" si="13"/>
        <v>2.5730865746549581E-2</v>
      </c>
      <c r="J1109" s="988">
        <f t="shared" si="12"/>
        <v>43191</v>
      </c>
    </row>
    <row r="1110" spans="2:10">
      <c r="B1110" s="988">
        <v>43221</v>
      </c>
      <c r="C1110" s="987" t="s">
        <v>4644</v>
      </c>
      <c r="D1110" s="987" t="s">
        <v>4642</v>
      </c>
      <c r="E1110" s="987">
        <v>25.3</v>
      </c>
      <c r="F1110" s="987">
        <f t="shared" si="11"/>
        <v>3.7310373103731045E-2</v>
      </c>
      <c r="G1110" s="987">
        <v>0</v>
      </c>
      <c r="H1110" s="987">
        <v>2.5000000000000001E-3</v>
      </c>
      <c r="I1110" s="987">
        <f t="shared" si="13"/>
        <v>3.4810373103731043E-2</v>
      </c>
      <c r="J1110" s="988">
        <f t="shared" si="12"/>
        <v>43221</v>
      </c>
    </row>
    <row r="1111" spans="2:10">
      <c r="B1111" s="988">
        <v>43252</v>
      </c>
      <c r="C1111" s="987" t="s">
        <v>4644</v>
      </c>
      <c r="D1111" s="987" t="s">
        <v>4642</v>
      </c>
      <c r="E1111" s="987">
        <v>26.28</v>
      </c>
      <c r="F1111" s="987">
        <f t="shared" si="11"/>
        <v>3.8735177865612661E-2</v>
      </c>
      <c r="G1111" s="987">
        <v>0</v>
      </c>
      <c r="H1111" s="987">
        <v>2.3E-3</v>
      </c>
      <c r="I1111" s="987">
        <f t="shared" si="13"/>
        <v>3.6435177865612664E-2</v>
      </c>
      <c r="J1111" s="988">
        <f t="shared" si="12"/>
        <v>43252</v>
      </c>
    </row>
    <row r="1112" spans="2:10">
      <c r="B1112" s="988">
        <v>43282</v>
      </c>
      <c r="C1112" s="987" t="s">
        <v>4644</v>
      </c>
      <c r="D1112" s="987" t="s">
        <v>4642</v>
      </c>
      <c r="E1112" s="987">
        <v>26.18</v>
      </c>
      <c r="F1112" s="987">
        <f t="shared" si="11"/>
        <v>3.6149162861491085E-3</v>
      </c>
      <c r="G1112" s="987">
        <v>0.19500000000000001</v>
      </c>
      <c r="H1112" s="987">
        <v>2.5000000000000001E-3</v>
      </c>
      <c r="I1112" s="987">
        <f t="shared" si="13"/>
        <v>1.1149162861491084E-3</v>
      </c>
      <c r="J1112" s="988">
        <f t="shared" si="12"/>
        <v>43282</v>
      </c>
    </row>
    <row r="1113" spans="2:10">
      <c r="B1113" s="988">
        <v>43313</v>
      </c>
      <c r="C1113" s="987" t="s">
        <v>4644</v>
      </c>
      <c r="D1113" s="987" t="s">
        <v>4642</v>
      </c>
      <c r="E1113" s="987">
        <v>27.07</v>
      </c>
      <c r="F1113" s="987">
        <f t="shared" si="11"/>
        <v>3.3995416348357545E-2</v>
      </c>
      <c r="G1113" s="987">
        <v>0</v>
      </c>
      <c r="H1113" s="987">
        <v>2.5000000000000001E-3</v>
      </c>
      <c r="I1113" s="987">
        <f t="shared" si="13"/>
        <v>3.1495416348357543E-2</v>
      </c>
      <c r="J1113" s="988">
        <f t="shared" si="12"/>
        <v>43313</v>
      </c>
    </row>
    <row r="1114" spans="2:10">
      <c r="B1114" s="988">
        <v>43344</v>
      </c>
      <c r="C1114" s="987" t="s">
        <v>4644</v>
      </c>
      <c r="D1114" s="987" t="s">
        <v>4642</v>
      </c>
      <c r="E1114" s="987">
        <v>24.92</v>
      </c>
      <c r="F1114" s="987">
        <f t="shared" si="11"/>
        <v>-7.9423716291097096E-2</v>
      </c>
      <c r="G1114" s="987">
        <v>0</v>
      </c>
      <c r="H1114" s="987">
        <v>2.2000000000000001E-3</v>
      </c>
      <c r="I1114" s="987">
        <f t="shared" si="13"/>
        <v>-8.162371629109709E-2</v>
      </c>
      <c r="J1114" s="988">
        <f t="shared" si="12"/>
        <v>43344</v>
      </c>
    </row>
    <row r="1115" spans="2:10">
      <c r="B1115" s="988">
        <v>43374</v>
      </c>
      <c r="C1115" s="987" t="s">
        <v>4644</v>
      </c>
      <c r="D1115" s="987" t="s">
        <v>4642</v>
      </c>
      <c r="E1115" s="987">
        <v>25.36</v>
      </c>
      <c r="F1115" s="987">
        <f t="shared" si="11"/>
        <v>2.5481540930979041E-2</v>
      </c>
      <c r="G1115" s="987">
        <v>0.19500000000000001</v>
      </c>
      <c r="H1115" s="987">
        <v>3.0000000000000001E-3</v>
      </c>
      <c r="I1115" s="987">
        <f t="shared" si="13"/>
        <v>2.2481540930979042E-2</v>
      </c>
      <c r="J1115" s="988">
        <f t="shared" si="12"/>
        <v>43374</v>
      </c>
    </row>
    <row r="1116" spans="2:10">
      <c r="B1116" s="988">
        <v>43405</v>
      </c>
      <c r="C1116" s="987" t="s">
        <v>4644</v>
      </c>
      <c r="D1116" s="987" t="s">
        <v>4642</v>
      </c>
      <c r="E1116" s="987">
        <v>26.42</v>
      </c>
      <c r="F1116" s="987">
        <f t="shared" si="11"/>
        <v>4.1798107255520599E-2</v>
      </c>
      <c r="G1116" s="987">
        <v>0</v>
      </c>
      <c r="H1116" s="987">
        <v>2.8E-3</v>
      </c>
      <c r="I1116" s="987">
        <f t="shared" si="13"/>
        <v>3.8998107255520602E-2</v>
      </c>
      <c r="J1116" s="988">
        <f t="shared" si="12"/>
        <v>43405</v>
      </c>
    </row>
    <row r="1117" spans="2:10">
      <c r="B1117" s="988">
        <v>43435</v>
      </c>
      <c r="C1117" s="987" t="s">
        <v>4644</v>
      </c>
      <c r="D1117" s="987" t="s">
        <v>4642</v>
      </c>
      <c r="E1117" s="987">
        <v>25.35</v>
      </c>
      <c r="F1117" s="987">
        <f t="shared" si="11"/>
        <v>-4.0499621498864505E-2</v>
      </c>
      <c r="G1117" s="987">
        <v>0</v>
      </c>
      <c r="H1117" s="987">
        <v>2.7000000000000001E-3</v>
      </c>
      <c r="I1117" s="987">
        <f t="shared" si="13"/>
        <v>-4.3199621498864506E-2</v>
      </c>
      <c r="J1117" s="988">
        <f t="shared" si="12"/>
        <v>43435</v>
      </c>
    </row>
    <row r="1118" spans="2:10">
      <c r="B1118" s="988">
        <v>43466</v>
      </c>
      <c r="C1118" s="987" t="s">
        <v>4644</v>
      </c>
      <c r="D1118" s="987" t="s">
        <v>4642</v>
      </c>
      <c r="E1118" s="987">
        <v>27.28</v>
      </c>
      <c r="F1118" s="987">
        <f t="shared" si="11"/>
        <v>7.6134122287968425E-2</v>
      </c>
      <c r="G1118" s="987">
        <v>0</v>
      </c>
      <c r="H1118" s="987">
        <v>2.5000000000000001E-3</v>
      </c>
      <c r="I1118" s="987">
        <f t="shared" si="13"/>
        <v>7.3634122287968423E-2</v>
      </c>
      <c r="J1118" s="988">
        <f t="shared" si="12"/>
        <v>43466</v>
      </c>
    </row>
    <row r="1119" spans="2:10">
      <c r="B1119" s="988">
        <v>43497</v>
      </c>
      <c r="C1119" s="987" t="s">
        <v>4644</v>
      </c>
      <c r="D1119" s="987" t="s">
        <v>4642</v>
      </c>
      <c r="E1119" s="987">
        <v>26.98</v>
      </c>
      <c r="F1119" s="987">
        <f t="shared" si="11"/>
        <v>-3.6656891495601418E-3</v>
      </c>
      <c r="G1119" s="987">
        <v>0.2</v>
      </c>
      <c r="H1119" s="987">
        <v>2.2000000000000001E-3</v>
      </c>
      <c r="I1119" s="987">
        <f t="shared" si="13"/>
        <v>-5.8656891495601424E-3</v>
      </c>
      <c r="J1119" s="988">
        <f t="shared" si="12"/>
        <v>43497</v>
      </c>
    </row>
    <row r="1120" spans="2:10">
      <c r="B1120" s="988">
        <v>43525</v>
      </c>
      <c r="C1120" s="987" t="s">
        <v>4644</v>
      </c>
      <c r="D1120" s="987" t="s">
        <v>4642</v>
      </c>
      <c r="E1120" s="987">
        <v>28.66</v>
      </c>
      <c r="F1120" s="987">
        <f t="shared" si="11"/>
        <v>6.2268346923647133E-2</v>
      </c>
      <c r="G1120" s="987">
        <v>0</v>
      </c>
      <c r="H1120" s="987">
        <v>2.3E-3</v>
      </c>
      <c r="I1120" s="987">
        <f t="shared" si="13"/>
        <v>5.9968346923647137E-2</v>
      </c>
      <c r="J1120" s="988">
        <f t="shared" si="12"/>
        <v>43525</v>
      </c>
    </row>
    <row r="1121" spans="2:10">
      <c r="B1121" s="988">
        <v>43556</v>
      </c>
      <c r="C1121" s="987" t="s">
        <v>4644</v>
      </c>
      <c r="D1121" s="987" t="s">
        <v>4642</v>
      </c>
      <c r="E1121" s="987">
        <v>27.78</v>
      </c>
      <c r="F1121" s="987">
        <f t="shared" si="11"/>
        <v>-2.3726448011165351E-2</v>
      </c>
      <c r="G1121" s="987">
        <v>0.2</v>
      </c>
      <c r="H1121" s="987">
        <v>2.3E-3</v>
      </c>
      <c r="I1121" s="987">
        <f t="shared" si="13"/>
        <v>-2.6026448011165351E-2</v>
      </c>
      <c r="J1121" s="988">
        <f t="shared" si="12"/>
        <v>43556</v>
      </c>
    </row>
    <row r="1122" spans="2:10">
      <c r="B1122" s="988">
        <v>43586</v>
      </c>
      <c r="C1122" s="987" t="s">
        <v>4644</v>
      </c>
      <c r="D1122" s="987" t="s">
        <v>4642</v>
      </c>
      <c r="E1122" s="987">
        <v>27.85</v>
      </c>
      <c r="F1122" s="987">
        <f t="shared" si="11"/>
        <v>2.5197984161267201E-3</v>
      </c>
      <c r="G1122" s="987">
        <v>0</v>
      </c>
      <c r="H1122" s="987">
        <v>2.3E-3</v>
      </c>
      <c r="I1122" s="987">
        <f t="shared" si="13"/>
        <v>2.197984161267201E-4</v>
      </c>
      <c r="J1122" s="988">
        <f t="shared" si="12"/>
        <v>43586</v>
      </c>
    </row>
    <row r="1123" spans="2:10">
      <c r="B1123" s="988">
        <v>43617</v>
      </c>
      <c r="C1123" s="987" t="s">
        <v>4644</v>
      </c>
      <c r="D1123" s="987" t="s">
        <v>4642</v>
      </c>
      <c r="E1123" s="987">
        <v>28.8</v>
      </c>
      <c r="F1123" s="987">
        <f t="shared" si="11"/>
        <v>3.411131059245958E-2</v>
      </c>
      <c r="G1123" s="987">
        <v>0</v>
      </c>
      <c r="H1123" s="987">
        <v>1.8E-3</v>
      </c>
      <c r="I1123" s="987">
        <f t="shared" si="13"/>
        <v>3.2311310592459577E-2</v>
      </c>
      <c r="J1123" s="988">
        <f t="shared" si="12"/>
        <v>43617</v>
      </c>
    </row>
    <row r="1124" spans="2:10">
      <c r="B1124" s="988">
        <v>43647</v>
      </c>
      <c r="C1124" s="987" t="s">
        <v>4644</v>
      </c>
      <c r="D1124" s="987" t="s">
        <v>4642</v>
      </c>
      <c r="E1124" s="987">
        <v>29.69</v>
      </c>
      <c r="F1124" s="987">
        <f t="shared" si="11"/>
        <v>3.784722222222224E-2</v>
      </c>
      <c r="G1124" s="987">
        <v>0.2</v>
      </c>
      <c r="H1124" s="987">
        <v>2.0999999999999999E-3</v>
      </c>
      <c r="I1124" s="987">
        <f t="shared" si="13"/>
        <v>3.5747222222222243E-2</v>
      </c>
      <c r="J1124" s="988">
        <f t="shared" si="12"/>
        <v>43647</v>
      </c>
    </row>
    <row r="1125" spans="2:10">
      <c r="B1125" s="988">
        <v>43678</v>
      </c>
      <c r="C1125" s="987" t="s">
        <v>4644</v>
      </c>
      <c r="D1125" s="987" t="s">
        <v>4642</v>
      </c>
      <c r="E1125" s="987">
        <v>29.55</v>
      </c>
      <c r="F1125" s="987">
        <f t="shared" si="11"/>
        <v>-4.7153923880094498E-3</v>
      </c>
      <c r="G1125" s="987">
        <v>0</v>
      </c>
      <c r="H1125" s="987">
        <v>1.9E-3</v>
      </c>
      <c r="I1125" s="987">
        <f t="shared" si="13"/>
        <v>-6.6153923880094495E-3</v>
      </c>
      <c r="J1125" s="988">
        <f t="shared" si="12"/>
        <v>43678</v>
      </c>
    </row>
    <row r="1126" spans="2:10">
      <c r="B1126" s="988">
        <v>43709</v>
      </c>
      <c r="C1126" s="987" t="s">
        <v>4644</v>
      </c>
      <c r="D1126" s="987" t="s">
        <v>4642</v>
      </c>
      <c r="E1126" s="987">
        <v>29.92</v>
      </c>
      <c r="F1126" s="987">
        <f t="shared" si="11"/>
        <v>1.2521150592216616E-2</v>
      </c>
      <c r="G1126" s="987">
        <v>0</v>
      </c>
      <c r="H1126" s="987">
        <v>1.5E-3</v>
      </c>
      <c r="I1126" s="987">
        <f t="shared" si="13"/>
        <v>1.1021150592216616E-2</v>
      </c>
      <c r="J1126" s="988">
        <f t="shared" si="12"/>
        <v>43709</v>
      </c>
    </row>
    <row r="1127" spans="2:10">
      <c r="B1127" s="988">
        <v>43739</v>
      </c>
      <c r="C1127" s="987" t="s">
        <v>4644</v>
      </c>
      <c r="D1127" s="987" t="s">
        <v>4642</v>
      </c>
      <c r="E1127" s="987">
        <v>28.04</v>
      </c>
      <c r="F1127" s="987">
        <f t="shared" si="11"/>
        <v>-5.6149732620320941E-2</v>
      </c>
      <c r="G1127" s="987">
        <v>0.2</v>
      </c>
      <c r="H1127" s="987">
        <v>1.6000000000000001E-3</v>
      </c>
      <c r="I1127" s="987">
        <f t="shared" si="13"/>
        <v>-5.7749732620320939E-2</v>
      </c>
      <c r="J1127" s="988">
        <f t="shared" si="12"/>
        <v>43739</v>
      </c>
    </row>
    <row r="1128" spans="2:10">
      <c r="B1128" s="988">
        <v>43770</v>
      </c>
      <c r="C1128" s="987" t="s">
        <v>4644</v>
      </c>
      <c r="D1128" s="987" t="s">
        <v>4642</v>
      </c>
      <c r="E1128" s="987">
        <v>26.45</v>
      </c>
      <c r="F1128" s="987">
        <f t="shared" si="11"/>
        <v>-5.6704707560627669E-2</v>
      </c>
      <c r="G1128" s="987">
        <v>0</v>
      </c>
      <c r="H1128" s="987">
        <v>1.6000000000000001E-3</v>
      </c>
      <c r="I1128" s="987">
        <f t="shared" si="13"/>
        <v>-5.8304707560627667E-2</v>
      </c>
      <c r="J1128" s="988">
        <f t="shared" si="12"/>
        <v>43770</v>
      </c>
    </row>
    <row r="1129" spans="2:10">
      <c r="B1129" s="988">
        <v>43800</v>
      </c>
      <c r="C1129" s="987" t="s">
        <v>4644</v>
      </c>
      <c r="D1129" s="987" t="s">
        <v>4642</v>
      </c>
      <c r="E1129" s="987">
        <v>27.84</v>
      </c>
      <c r="F1129" s="987">
        <f t="shared" si="11"/>
        <v>5.255198487712668E-2</v>
      </c>
      <c r="G1129" s="987">
        <v>0</v>
      </c>
      <c r="H1129" s="987">
        <v>1.8E-3</v>
      </c>
      <c r="I1129" s="987">
        <f t="shared" si="13"/>
        <v>5.0751984877126677E-2</v>
      </c>
      <c r="J1129" s="988">
        <f t="shared" si="12"/>
        <v>43800</v>
      </c>
    </row>
    <row r="1130" spans="2:10">
      <c r="B1130" s="988">
        <v>43831</v>
      </c>
      <c r="C1130" s="987" t="s">
        <v>4644</v>
      </c>
      <c r="D1130" s="987" t="s">
        <v>4642</v>
      </c>
      <c r="E1130" s="987">
        <v>29.31</v>
      </c>
      <c r="F1130" s="987">
        <f t="shared" si="11"/>
        <v>5.2801724137930994E-2</v>
      </c>
      <c r="G1130" s="987">
        <v>0</v>
      </c>
      <c r="H1130" s="987">
        <v>2E-3</v>
      </c>
      <c r="I1130" s="987">
        <f t="shared" si="13"/>
        <v>5.0801724137930993E-2</v>
      </c>
      <c r="J1130" s="988">
        <f t="shared" si="12"/>
        <v>43831</v>
      </c>
    </row>
    <row r="1131" spans="2:10">
      <c r="B1131" s="988">
        <v>43862</v>
      </c>
      <c r="C1131" s="987" t="s">
        <v>4644</v>
      </c>
      <c r="D1131" s="987" t="s">
        <v>4642</v>
      </c>
      <c r="E1131" s="987">
        <v>27.02</v>
      </c>
      <c r="F1131" s="987">
        <f t="shared" si="11"/>
        <v>-7.096554077106787E-2</v>
      </c>
      <c r="G1131" s="987">
        <v>0.21</v>
      </c>
      <c r="H1131" s="987">
        <v>1.5E-3</v>
      </c>
      <c r="I1131" s="987">
        <f t="shared" si="13"/>
        <v>-7.2465540771067871E-2</v>
      </c>
      <c r="J1131" s="988">
        <f t="shared" si="12"/>
        <v>43862</v>
      </c>
    </row>
    <row r="1132" spans="2:10">
      <c r="B1132" s="988">
        <v>43891</v>
      </c>
      <c r="C1132" s="987" t="s">
        <v>4644</v>
      </c>
      <c r="D1132" s="987" t="s">
        <v>4642</v>
      </c>
      <c r="E1132" s="987">
        <v>24.97</v>
      </c>
      <c r="F1132" s="987">
        <f t="shared" si="11"/>
        <v>-7.5869726128793516E-2</v>
      </c>
      <c r="G1132" s="987">
        <v>0</v>
      </c>
      <c r="H1132" s="987">
        <v>1.23E-3</v>
      </c>
      <c r="I1132" s="987">
        <f t="shared" si="13"/>
        <v>-7.7099726128793511E-2</v>
      </c>
      <c r="J1132" s="988">
        <f t="shared" si="12"/>
        <v>43891</v>
      </c>
    </row>
    <row r="1133" spans="2:10">
      <c r="B1133" s="988">
        <v>43922</v>
      </c>
      <c r="C1133" s="987" t="s">
        <v>4644</v>
      </c>
      <c r="D1133" s="987" t="s">
        <v>4642</v>
      </c>
      <c r="E1133" s="987">
        <v>25.11</v>
      </c>
      <c r="F1133" s="987">
        <f t="shared" si="11"/>
        <v>1.4016820184221089E-2</v>
      </c>
      <c r="G1133" s="987">
        <v>0.21</v>
      </c>
      <c r="H1133" s="987">
        <v>8.9999999999999998E-4</v>
      </c>
      <c r="I1133" s="987">
        <f t="shared" si="13"/>
        <v>1.3116820184221089E-2</v>
      </c>
      <c r="J1133" s="988">
        <f t="shared" si="12"/>
        <v>43922</v>
      </c>
    </row>
    <row r="1134" spans="2:10">
      <c r="B1134" s="988">
        <v>43952</v>
      </c>
      <c r="C1134" s="987" t="s">
        <v>4644</v>
      </c>
      <c r="D1134" s="987" t="s">
        <v>4642</v>
      </c>
      <c r="E1134" s="987">
        <v>23.83</v>
      </c>
      <c r="F1134" s="987">
        <f t="shared" si="11"/>
        <v>-5.0975706889685432E-2</v>
      </c>
      <c r="G1134" s="987">
        <v>0</v>
      </c>
      <c r="H1134" s="987">
        <v>8.9999999999999998E-4</v>
      </c>
      <c r="I1134" s="987">
        <f t="shared" si="13"/>
        <v>-5.187570688968543E-2</v>
      </c>
      <c r="J1134" s="988">
        <f t="shared" si="12"/>
        <v>43952</v>
      </c>
    </row>
    <row r="1135" spans="2:10">
      <c r="B1135" s="988">
        <v>43983</v>
      </c>
      <c r="C1135" s="987" t="s">
        <v>4644</v>
      </c>
      <c r="D1135" s="987" t="s">
        <v>4642</v>
      </c>
      <c r="E1135" s="987">
        <v>22.74</v>
      </c>
      <c r="F1135" s="987">
        <f t="shared" si="11"/>
        <v>-4.5740663029794376E-2</v>
      </c>
      <c r="G1135" s="987">
        <v>0</v>
      </c>
      <c r="H1135" s="987">
        <v>8.9999999999999998E-4</v>
      </c>
      <c r="I1135" s="987">
        <f t="shared" si="13"/>
        <v>-4.6640663029794374E-2</v>
      </c>
      <c r="J1135" s="988">
        <f t="shared" si="12"/>
        <v>43983</v>
      </c>
    </row>
    <row r="1136" spans="2:10">
      <c r="B1136" s="988">
        <v>44013</v>
      </c>
      <c r="C1136" s="987" t="s">
        <v>4644</v>
      </c>
      <c r="D1136" s="987" t="s">
        <v>4642</v>
      </c>
      <c r="E1136" s="987">
        <v>24.45</v>
      </c>
      <c r="F1136" s="987">
        <f t="shared" si="11"/>
        <v>8.4432717678100316E-2</v>
      </c>
      <c r="G1136" s="987">
        <v>0.21</v>
      </c>
      <c r="H1136" s="987">
        <v>1E-3</v>
      </c>
      <c r="I1136" s="987">
        <f t="shared" si="13"/>
        <v>8.3432717678100315E-2</v>
      </c>
      <c r="J1136" s="988">
        <f t="shared" si="12"/>
        <v>44013</v>
      </c>
    </row>
    <row r="1137" spans="2:10">
      <c r="B1137" s="988">
        <v>44044</v>
      </c>
      <c r="C1137" s="987" t="s">
        <v>4644</v>
      </c>
      <c r="D1137" s="987" t="s">
        <v>4642</v>
      </c>
      <c r="E1137" s="987">
        <v>22.16</v>
      </c>
      <c r="F1137" s="987">
        <f t="shared" si="11"/>
        <v>-9.3660531697341481E-2</v>
      </c>
      <c r="G1137" s="987">
        <v>0</v>
      </c>
      <c r="H1137" s="987">
        <v>8.0000000000000004E-4</v>
      </c>
      <c r="I1137" s="987">
        <f t="shared" si="13"/>
        <v>-9.4460531697341477E-2</v>
      </c>
      <c r="J1137" s="988">
        <f t="shared" si="12"/>
        <v>44044</v>
      </c>
    </row>
    <row r="1138" spans="2:10">
      <c r="B1138" s="988">
        <v>44075</v>
      </c>
      <c r="C1138" s="987" t="s">
        <v>4644</v>
      </c>
      <c r="D1138" s="987" t="s">
        <v>4642</v>
      </c>
      <c r="E1138" s="987">
        <v>22</v>
      </c>
      <c r="F1138" s="987">
        <f t="shared" si="11"/>
        <v>-7.2202166064982013E-3</v>
      </c>
      <c r="G1138" s="987">
        <v>0</v>
      </c>
      <c r="H1138" s="987">
        <v>0</v>
      </c>
      <c r="I1138" s="987">
        <f t="shared" si="13"/>
        <v>-7.2202166064982013E-3</v>
      </c>
      <c r="J1138" s="988">
        <f t="shared" si="12"/>
        <v>44075</v>
      </c>
    </row>
    <row r="1139" spans="2:10">
      <c r="B1139" s="988">
        <v>44105</v>
      </c>
      <c r="C1139" s="987" t="s">
        <v>4644</v>
      </c>
      <c r="D1139" s="987" t="s">
        <v>4642</v>
      </c>
      <c r="E1139" s="987">
        <v>22.97</v>
      </c>
      <c r="F1139" s="987">
        <f t="shared" ref="F1139:F1165" si="14">((E1139-E1138)/E1138)+(G1139/E1138)</f>
        <v>5.3636363636363586E-2</v>
      </c>
      <c r="G1139" s="987">
        <v>0.21</v>
      </c>
      <c r="H1139" s="987">
        <v>8.9999999999999998E-4</v>
      </c>
      <c r="I1139" s="987">
        <f t="shared" si="13"/>
        <v>5.2736363636363588E-2</v>
      </c>
      <c r="J1139" s="988">
        <f t="shared" ref="J1139:J1165" si="15">B1139</f>
        <v>44105</v>
      </c>
    </row>
    <row r="1140" spans="2:10">
      <c r="B1140" s="988">
        <v>44136</v>
      </c>
      <c r="C1140" s="987" t="s">
        <v>4644</v>
      </c>
      <c r="D1140" s="987" t="s">
        <v>4642</v>
      </c>
      <c r="E1140" s="987">
        <v>24.2</v>
      </c>
      <c r="F1140" s="987">
        <f t="shared" si="14"/>
        <v>5.3548106225511559E-2</v>
      </c>
      <c r="G1140" s="987">
        <v>0</v>
      </c>
      <c r="H1140" s="987">
        <v>1.1000000000000001E-3</v>
      </c>
      <c r="I1140" s="987">
        <f t="shared" si="13"/>
        <v>5.2448106225511562E-2</v>
      </c>
      <c r="J1140" s="988">
        <f t="shared" si="15"/>
        <v>44136</v>
      </c>
    </row>
    <row r="1141" spans="2:10">
      <c r="B1141" s="988">
        <v>44166</v>
      </c>
      <c r="C1141" s="987" t="s">
        <v>4644</v>
      </c>
      <c r="D1141" s="987" t="s">
        <v>4642</v>
      </c>
      <c r="E1141" s="987">
        <v>22.94</v>
      </c>
      <c r="F1141" s="987">
        <f t="shared" si="14"/>
        <v>-5.2066115702479258E-2</v>
      </c>
      <c r="G1141" s="987">
        <v>0</v>
      </c>
      <c r="H1141" s="987">
        <v>1.1000000000000001E-3</v>
      </c>
      <c r="I1141" s="987">
        <f t="shared" si="13"/>
        <v>-5.3166115702479255E-2</v>
      </c>
      <c r="J1141" s="988">
        <f t="shared" si="15"/>
        <v>44166</v>
      </c>
    </row>
    <row r="1142" spans="2:10">
      <c r="B1142" s="988">
        <v>44197</v>
      </c>
      <c r="C1142" s="987" t="s">
        <v>4644</v>
      </c>
      <c r="D1142" s="987" t="s">
        <v>4642</v>
      </c>
      <c r="E1142" s="987">
        <v>22.15</v>
      </c>
      <c r="F1142" s="987">
        <f t="shared" si="14"/>
        <v>-3.4437663469921651E-2</v>
      </c>
      <c r="G1142" s="987">
        <v>0</v>
      </c>
      <c r="H1142" s="987">
        <v>1.1000000000000001E-3</v>
      </c>
      <c r="I1142" s="987">
        <f t="shared" si="13"/>
        <v>-3.5537663469921647E-2</v>
      </c>
      <c r="J1142" s="988">
        <f t="shared" si="15"/>
        <v>44197</v>
      </c>
    </row>
    <row r="1143" spans="2:10">
      <c r="B1143" s="988">
        <v>44228</v>
      </c>
      <c r="C1143" s="987" t="s">
        <v>4644</v>
      </c>
      <c r="D1143" s="987" t="s">
        <v>4642</v>
      </c>
      <c r="E1143" s="987">
        <v>21.6</v>
      </c>
      <c r="F1143" s="987">
        <f t="shared" si="14"/>
        <v>-1.4898419864559692E-2</v>
      </c>
      <c r="G1143" s="987">
        <v>0.22</v>
      </c>
      <c r="H1143" s="987">
        <v>1.1999999999999999E-3</v>
      </c>
      <c r="I1143" s="987">
        <f t="shared" si="13"/>
        <v>-1.6098419864559694E-2</v>
      </c>
      <c r="J1143" s="988">
        <f t="shared" si="15"/>
        <v>44228</v>
      </c>
    </row>
    <row r="1144" spans="2:10">
      <c r="B1144" s="988">
        <v>44256</v>
      </c>
      <c r="C1144" s="987" t="s">
        <v>4644</v>
      </c>
      <c r="D1144" s="987" t="s">
        <v>4642</v>
      </c>
      <c r="E1144" s="987">
        <v>24.11</v>
      </c>
      <c r="F1144" s="987">
        <f t="shared" si="14"/>
        <v>0.1162037037037036</v>
      </c>
      <c r="G1144" s="987">
        <v>0</v>
      </c>
      <c r="H1144" s="987">
        <v>1.8E-3</v>
      </c>
      <c r="I1144" s="987">
        <f t="shared" si="13"/>
        <v>0.1144037037037036</v>
      </c>
      <c r="J1144" s="988">
        <f t="shared" si="15"/>
        <v>44256</v>
      </c>
    </row>
    <row r="1145" spans="2:10">
      <c r="B1145" s="988">
        <v>44287</v>
      </c>
      <c r="C1145" s="987" t="s">
        <v>4644</v>
      </c>
      <c r="D1145" s="987" t="s">
        <v>4642</v>
      </c>
      <c r="E1145" s="987">
        <v>26.02</v>
      </c>
      <c r="F1145" s="987">
        <f t="shared" si="14"/>
        <v>8.8345085026959785E-2</v>
      </c>
      <c r="G1145" s="987">
        <v>0.22</v>
      </c>
      <c r="H1145" s="987">
        <v>1.9E-3</v>
      </c>
      <c r="I1145" s="987">
        <f t="shared" si="13"/>
        <v>8.6445085026959786E-2</v>
      </c>
      <c r="J1145" s="988">
        <f t="shared" si="15"/>
        <v>44287</v>
      </c>
    </row>
    <row r="1146" spans="2:10">
      <c r="B1146" s="988">
        <v>44317</v>
      </c>
      <c r="C1146" s="987" t="s">
        <v>4644</v>
      </c>
      <c r="D1146" s="987" t="s">
        <v>4642</v>
      </c>
      <c r="E1146" s="987">
        <v>25.5</v>
      </c>
      <c r="F1146" s="987">
        <f t="shared" si="14"/>
        <v>-1.9984627209838568E-2</v>
      </c>
      <c r="G1146" s="987">
        <v>0</v>
      </c>
      <c r="H1146" s="987">
        <v>1.8E-3</v>
      </c>
      <c r="I1146" s="987">
        <f t="shared" si="13"/>
        <v>-2.1784627209838568E-2</v>
      </c>
      <c r="J1146" s="988">
        <f t="shared" si="15"/>
        <v>44317</v>
      </c>
    </row>
    <row r="1147" spans="2:10">
      <c r="B1147" s="988">
        <v>44348</v>
      </c>
      <c r="C1147" s="987" t="s">
        <v>4644</v>
      </c>
      <c r="D1147" s="987" t="s">
        <v>4642</v>
      </c>
      <c r="E1147" s="987">
        <v>24.5</v>
      </c>
      <c r="F1147" s="987">
        <f t="shared" si="14"/>
        <v>-3.9215686274509803E-2</v>
      </c>
      <c r="G1147" s="987">
        <v>0</v>
      </c>
      <c r="H1147" s="987">
        <v>1.6999999999999999E-3</v>
      </c>
      <c r="I1147" s="987">
        <f t="shared" si="13"/>
        <v>-4.0915686274509803E-2</v>
      </c>
      <c r="J1147" s="988">
        <f t="shared" si="15"/>
        <v>44348</v>
      </c>
    </row>
    <row r="1148" spans="2:10">
      <c r="B1148" s="988">
        <v>44378</v>
      </c>
      <c r="C1148" s="987" t="s">
        <v>4644</v>
      </c>
      <c r="D1148" s="987" t="s">
        <v>4642</v>
      </c>
      <c r="E1148" s="987">
        <v>24.77</v>
      </c>
      <c r="F1148" s="987">
        <f t="shared" si="14"/>
        <v>1.9999999999999983E-2</v>
      </c>
      <c r="G1148" s="987">
        <v>0.22</v>
      </c>
      <c r="H1148" s="987">
        <v>1.6000000000000001E-3</v>
      </c>
      <c r="I1148" s="987">
        <f t="shared" si="13"/>
        <v>1.8399999999999982E-2</v>
      </c>
      <c r="J1148" s="988">
        <f t="shared" si="15"/>
        <v>44378</v>
      </c>
    </row>
    <row r="1149" spans="2:10">
      <c r="B1149" s="988">
        <v>44409</v>
      </c>
      <c r="C1149" s="987" t="s">
        <v>4644</v>
      </c>
      <c r="D1149" s="987" t="s">
        <v>4642</v>
      </c>
      <c r="E1149" s="987">
        <v>24.65</v>
      </c>
      <c r="F1149" s="987">
        <f t="shared" si="14"/>
        <v>-4.8445700444085986E-3</v>
      </c>
      <c r="G1149" s="987">
        <v>0</v>
      </c>
      <c r="H1149" s="987">
        <v>1.5E-3</v>
      </c>
      <c r="I1149" s="987">
        <f t="shared" si="13"/>
        <v>-6.3445700444085991E-3</v>
      </c>
      <c r="J1149" s="988">
        <f t="shared" si="15"/>
        <v>44409</v>
      </c>
    </row>
    <row r="1150" spans="2:10">
      <c r="B1150" s="988">
        <v>44440</v>
      </c>
      <c r="C1150" s="987" t="s">
        <v>4644</v>
      </c>
      <c r="D1150" s="987" t="s">
        <v>4642</v>
      </c>
      <c r="E1150" s="987">
        <v>24.23</v>
      </c>
      <c r="F1150" s="987">
        <f t="shared" si="14"/>
        <v>-1.7038539553752462E-2</v>
      </c>
      <c r="G1150" s="987">
        <v>0</v>
      </c>
      <c r="H1150" s="987">
        <v>1.4E-3</v>
      </c>
      <c r="I1150" s="987">
        <f t="shared" ref="I1150:I1165" si="16">F1150-H1150</f>
        <v>-1.8438539553752461E-2</v>
      </c>
      <c r="J1150" s="988">
        <f t="shared" si="15"/>
        <v>44440</v>
      </c>
    </row>
    <row r="1151" spans="2:10">
      <c r="B1151" s="988">
        <v>44470</v>
      </c>
      <c r="C1151" s="987" t="s">
        <v>4644</v>
      </c>
      <c r="D1151" s="987" t="s">
        <v>4642</v>
      </c>
      <c r="E1151" s="987">
        <v>24.67</v>
      </c>
      <c r="F1151" s="987">
        <f t="shared" si="14"/>
        <v>2.7238959966983129E-2</v>
      </c>
      <c r="G1151" s="987">
        <v>0.22</v>
      </c>
      <c r="H1151" s="987">
        <v>1.5E-3</v>
      </c>
      <c r="I1151" s="987">
        <f t="shared" si="16"/>
        <v>2.5738959966983128E-2</v>
      </c>
      <c r="J1151" s="988">
        <f t="shared" si="15"/>
        <v>44470</v>
      </c>
    </row>
    <row r="1152" spans="2:10">
      <c r="B1152" s="988">
        <v>44501</v>
      </c>
      <c r="C1152" s="987" t="s">
        <v>4644</v>
      </c>
      <c r="D1152" s="987" t="s">
        <v>4642</v>
      </c>
      <c r="E1152" s="987">
        <v>24.51</v>
      </c>
      <c r="F1152" s="987">
        <f t="shared" si="14"/>
        <v>-6.4856100526955868E-3</v>
      </c>
      <c r="G1152" s="987">
        <v>0</v>
      </c>
      <c r="H1152" s="987">
        <v>1.6999999999999999E-3</v>
      </c>
      <c r="I1152" s="987">
        <f t="shared" si="16"/>
        <v>-8.1856100526955869E-3</v>
      </c>
      <c r="J1152" s="988">
        <f t="shared" si="15"/>
        <v>44501</v>
      </c>
    </row>
    <row r="1153" spans="2:10">
      <c r="B1153" s="988">
        <v>44531</v>
      </c>
      <c r="C1153" s="987" t="s">
        <v>4644</v>
      </c>
      <c r="D1153" s="987" t="s">
        <v>4642</v>
      </c>
      <c r="E1153" s="987">
        <v>27.61</v>
      </c>
      <c r="F1153" s="987">
        <f t="shared" si="14"/>
        <v>0.12647898816809455</v>
      </c>
      <c r="G1153" s="987">
        <v>0</v>
      </c>
      <c r="H1153" s="987">
        <v>1.5E-3</v>
      </c>
      <c r="I1153" s="987">
        <f t="shared" si="16"/>
        <v>0.12497898816809455</v>
      </c>
      <c r="J1153" s="988">
        <f t="shared" si="15"/>
        <v>44531</v>
      </c>
    </row>
    <row r="1154" spans="2:10">
      <c r="B1154" s="988">
        <v>44562</v>
      </c>
      <c r="C1154" s="987" t="s">
        <v>4644</v>
      </c>
      <c r="D1154" s="987" t="s">
        <v>4642</v>
      </c>
      <c r="E1154" s="987">
        <v>29.18</v>
      </c>
      <c r="F1154" s="987">
        <f t="shared" si="14"/>
        <v>5.6863455269829784E-2</v>
      </c>
      <c r="G1154" s="987">
        <v>0</v>
      </c>
      <c r="H1154" s="987">
        <v>1.7500000000000003E-3</v>
      </c>
      <c r="I1154" s="987">
        <f t="shared" si="16"/>
        <v>5.5113455269829782E-2</v>
      </c>
      <c r="J1154" s="988">
        <f t="shared" si="15"/>
        <v>44562</v>
      </c>
    </row>
    <row r="1155" spans="2:10">
      <c r="B1155" s="988">
        <v>44593</v>
      </c>
      <c r="C1155" s="987" t="s">
        <v>4644</v>
      </c>
      <c r="D1155" s="987" t="s">
        <v>4642</v>
      </c>
      <c r="E1155" s="987">
        <v>28.93</v>
      </c>
      <c r="F1155" s="987">
        <f t="shared" si="14"/>
        <v>-5.1405071967100709E-4</v>
      </c>
      <c r="G1155" s="987">
        <v>0.23499999999999999</v>
      </c>
      <c r="H1155" s="987">
        <v>1.8749999999999999E-3</v>
      </c>
      <c r="I1155" s="987">
        <f t="shared" si="16"/>
        <v>-2.389050719671007E-3</v>
      </c>
      <c r="J1155" s="988">
        <f t="shared" si="15"/>
        <v>44593</v>
      </c>
    </row>
    <row r="1156" spans="2:10">
      <c r="B1156" s="988">
        <v>44621</v>
      </c>
      <c r="C1156" s="987" t="s">
        <v>4644</v>
      </c>
      <c r="D1156" s="987" t="s">
        <v>4642</v>
      </c>
      <c r="E1156" s="987">
        <v>31.8</v>
      </c>
      <c r="F1156" s="987">
        <f t="shared" si="14"/>
        <v>9.920497753197377E-2</v>
      </c>
      <c r="G1156" s="987">
        <v>0</v>
      </c>
      <c r="H1156" s="987">
        <v>2.0083333333333333E-3</v>
      </c>
      <c r="I1156" s="987">
        <f t="shared" si="16"/>
        <v>9.7196644198640436E-2</v>
      </c>
      <c r="J1156" s="988">
        <f t="shared" si="15"/>
        <v>44621</v>
      </c>
    </row>
    <row r="1157" spans="2:10">
      <c r="B1157" s="988">
        <v>44652</v>
      </c>
      <c r="C1157" s="987" t="s">
        <v>4644</v>
      </c>
      <c r="D1157" s="987" t="s">
        <v>4642</v>
      </c>
      <c r="E1157" s="987">
        <v>29.12</v>
      </c>
      <c r="F1157" s="987">
        <f t="shared" si="14"/>
        <v>-7.6886792452830185E-2</v>
      </c>
      <c r="G1157" s="987">
        <v>0.23499999999999999</v>
      </c>
      <c r="H1157" s="987">
        <v>2.3416666666666668E-3</v>
      </c>
      <c r="I1157" s="987">
        <f t="shared" si="16"/>
        <v>-7.9228459119496858E-2</v>
      </c>
      <c r="J1157" s="988">
        <f t="shared" si="15"/>
        <v>44652</v>
      </c>
    </row>
    <row r="1158" spans="2:10">
      <c r="B1158" s="988">
        <v>44682</v>
      </c>
      <c r="C1158" s="987" t="s">
        <v>4644</v>
      </c>
      <c r="D1158" s="987" t="s">
        <v>4642</v>
      </c>
      <c r="E1158" s="987">
        <v>31.45</v>
      </c>
      <c r="F1158" s="987">
        <f t="shared" si="14"/>
        <v>8.0013736263736202E-2</v>
      </c>
      <c r="G1158" s="987">
        <v>0</v>
      </c>
      <c r="H1158" s="987">
        <v>2.558333333333333E-3</v>
      </c>
      <c r="I1158" s="987">
        <f t="shared" si="16"/>
        <v>7.7455402930402872E-2</v>
      </c>
      <c r="J1158" s="988">
        <f t="shared" si="15"/>
        <v>44682</v>
      </c>
    </row>
    <row r="1159" spans="2:10">
      <c r="B1159" s="988">
        <v>44713</v>
      </c>
      <c r="C1159" s="987" t="s">
        <v>4644</v>
      </c>
      <c r="D1159" s="987" t="s">
        <v>4642</v>
      </c>
      <c r="E1159" s="987">
        <v>29.49</v>
      </c>
      <c r="F1159" s="987">
        <f t="shared" si="14"/>
        <v>-6.2321144674085879E-2</v>
      </c>
      <c r="G1159" s="987">
        <v>0</v>
      </c>
      <c r="H1159" s="987">
        <v>2.708333333333333E-3</v>
      </c>
      <c r="I1159" s="987">
        <f t="shared" si="16"/>
        <v>-6.5029478007419206E-2</v>
      </c>
      <c r="J1159" s="988">
        <f t="shared" si="15"/>
        <v>44713</v>
      </c>
    </row>
    <row r="1160" spans="2:10">
      <c r="B1160" s="988">
        <v>44743</v>
      </c>
      <c r="C1160" s="987" t="s">
        <v>4644</v>
      </c>
      <c r="D1160" s="987" t="s">
        <v>4642</v>
      </c>
      <c r="E1160" s="987">
        <v>30.4</v>
      </c>
      <c r="F1160" s="987">
        <f t="shared" si="14"/>
        <v>3.8826720922346569E-2</v>
      </c>
      <c r="G1160" s="987">
        <v>0.23499999999999999</v>
      </c>
      <c r="H1160" s="987">
        <v>2.5833333333333337E-3</v>
      </c>
      <c r="I1160" s="987">
        <f t="shared" si="16"/>
        <v>3.6243387589013236E-2</v>
      </c>
      <c r="J1160" s="988">
        <f t="shared" si="15"/>
        <v>44743</v>
      </c>
    </row>
    <row r="1161" spans="2:10">
      <c r="B1161" s="988">
        <v>44774</v>
      </c>
      <c r="C1161" s="987" t="s">
        <v>4644</v>
      </c>
      <c r="D1161" s="987" t="s">
        <v>4642</v>
      </c>
      <c r="E1161" s="987">
        <v>29.51</v>
      </c>
      <c r="F1161" s="987">
        <f t="shared" si="14"/>
        <v>-2.9276315789473588E-2</v>
      </c>
      <c r="G1161" s="987">
        <v>0</v>
      </c>
      <c r="H1161" s="987">
        <v>2.6083333333333332E-3</v>
      </c>
      <c r="I1161" s="987">
        <f t="shared" si="16"/>
        <v>-3.1884649122806918E-2</v>
      </c>
      <c r="J1161" s="988">
        <f t="shared" si="15"/>
        <v>44774</v>
      </c>
    </row>
    <row r="1162" spans="2:10">
      <c r="B1162" s="988">
        <v>44805</v>
      </c>
      <c r="C1162" s="987" t="s">
        <v>4644</v>
      </c>
      <c r="D1162" s="987" t="s">
        <v>4642</v>
      </c>
      <c r="E1162" s="987">
        <v>25.19</v>
      </c>
      <c r="F1162" s="987">
        <f t="shared" si="14"/>
        <v>-0.14639105388004067</v>
      </c>
      <c r="G1162" s="987">
        <v>0</v>
      </c>
      <c r="H1162" s="987">
        <v>2.9666666666666669E-3</v>
      </c>
      <c r="I1162" s="987">
        <f t="shared" si="16"/>
        <v>-0.14935772054670735</v>
      </c>
      <c r="J1162" s="988">
        <f t="shared" si="15"/>
        <v>44805</v>
      </c>
    </row>
    <row r="1163" spans="2:10">
      <c r="B1163" s="988">
        <v>44835</v>
      </c>
      <c r="C1163" s="987" t="s">
        <v>4644</v>
      </c>
      <c r="D1163" s="987" t="s">
        <v>4642</v>
      </c>
      <c r="E1163" s="987">
        <v>25.69</v>
      </c>
      <c r="F1163" s="987">
        <f t="shared" si="14"/>
        <v>2.9178245335450572E-2</v>
      </c>
      <c r="G1163" s="987">
        <v>0.23499999999999999</v>
      </c>
      <c r="H1163" s="987">
        <v>3.3666666666666667E-3</v>
      </c>
      <c r="I1163" s="987">
        <f t="shared" si="16"/>
        <v>2.5811578668783905E-2</v>
      </c>
      <c r="J1163" s="988">
        <f t="shared" si="15"/>
        <v>44835</v>
      </c>
    </row>
    <row r="1164" spans="2:10">
      <c r="B1164" s="988">
        <v>44866</v>
      </c>
      <c r="C1164" s="987" t="s">
        <v>4644</v>
      </c>
      <c r="D1164" s="987" t="s">
        <v>4642</v>
      </c>
      <c r="E1164" s="987">
        <v>27.94</v>
      </c>
      <c r="F1164" s="987">
        <f t="shared" si="14"/>
        <v>8.7582717010509917E-2</v>
      </c>
      <c r="G1164" s="987">
        <v>0</v>
      </c>
      <c r="H1164" s="987">
        <v>3.3333333333333331E-3</v>
      </c>
      <c r="I1164" s="987">
        <f t="shared" si="16"/>
        <v>8.424938367717659E-2</v>
      </c>
      <c r="J1164" s="988">
        <f t="shared" si="15"/>
        <v>44866</v>
      </c>
    </row>
    <row r="1165" spans="2:10">
      <c r="B1165" s="988">
        <v>44896</v>
      </c>
      <c r="C1165" s="987" t="s">
        <v>4644</v>
      </c>
      <c r="D1165" s="987" t="s">
        <v>4642</v>
      </c>
      <c r="E1165" s="987">
        <v>27.42</v>
      </c>
      <c r="F1165" s="987">
        <f t="shared" si="14"/>
        <v>-1.8611309949892612E-2</v>
      </c>
      <c r="G1165" s="987">
        <v>0</v>
      </c>
      <c r="H1165" s="987">
        <v>3.0499999999999998E-3</v>
      </c>
      <c r="I1165" s="987">
        <f t="shared" si="16"/>
        <v>-2.1661309949892613E-2</v>
      </c>
      <c r="J1165" s="988">
        <f t="shared" si="15"/>
        <v>44896</v>
      </c>
    </row>
  </sheetData>
  <conditionalFormatting sqref="E445:E1026">
    <cfRule type="cellIs" dxfId="7" priority="1" stopIfTrue="1" operator="lessThan">
      <formula>0</formula>
    </cfRule>
  </conditionalFormatting>
  <conditionalFormatting sqref="F445:F1026">
    <cfRule type="cellIs" dxfId="6" priority="2" stopIfTrue="1" operator="lessThan">
      <formula>-1</formula>
    </cfRule>
  </conditionalFormatting>
  <pageMargins left="0.70000000000000007" right="0.70000000000000007" top="0.75" bottom="0.75" header="0.30000000000000004" footer="0.30000000000000004"/>
  <pageSetup paperSize="0" scale="73" fitToWidth="0" fitToHeight="0" orientation="portrait" horizontalDpi="0" verticalDpi="0" copie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5"/>
  <sheetViews>
    <sheetView workbookViewId="0"/>
  </sheetViews>
  <sheetFormatPr defaultColWidth="9" defaultRowHeight="13.2"/>
  <cols>
    <col min="1" max="1" width="7.88671875" style="987" bestFit="1" customWidth="1"/>
    <col min="2" max="2" width="10.5546875" style="988" bestFit="1" customWidth="1"/>
    <col min="3" max="3" width="29.88671875" style="987" bestFit="1" customWidth="1"/>
    <col min="4" max="4" width="7.33203125" style="987" customWidth="1"/>
    <col min="5" max="5" width="8.5546875" style="987" bestFit="1" customWidth="1"/>
    <col min="6" max="6" width="9.109375" style="987" bestFit="1" customWidth="1"/>
    <col min="7" max="7" width="8.5546875" style="987" bestFit="1" customWidth="1"/>
    <col min="8" max="9" width="9.6640625" style="987" bestFit="1" customWidth="1"/>
    <col min="10" max="10" width="10.109375" style="988" bestFit="1" customWidth="1"/>
    <col min="11" max="11" width="9.5546875" style="987" customWidth="1"/>
    <col min="12" max="16384" width="9" style="987"/>
  </cols>
  <sheetData>
    <row r="1" spans="1:10" ht="39.6">
      <c r="A1" s="984" t="s">
        <v>4619</v>
      </c>
      <c r="B1" s="985" t="s">
        <v>4620</v>
      </c>
      <c r="C1" s="984" t="s">
        <v>4621</v>
      </c>
      <c r="D1" s="984" t="s">
        <v>181</v>
      </c>
      <c r="E1" s="984" t="s">
        <v>4622</v>
      </c>
      <c r="F1" s="984" t="s">
        <v>4623</v>
      </c>
      <c r="G1" s="984" t="s">
        <v>4624</v>
      </c>
      <c r="H1" s="986" t="s">
        <v>4625</v>
      </c>
      <c r="I1" s="987" t="s">
        <v>1482</v>
      </c>
      <c r="J1" s="985" t="s">
        <v>4620</v>
      </c>
    </row>
    <row r="2" spans="1:10">
      <c r="B2" s="988">
        <v>9498</v>
      </c>
      <c r="H2" s="986">
        <v>3.0999999999999999E-3</v>
      </c>
      <c r="I2" s="986"/>
      <c r="J2" s="988">
        <v>9498</v>
      </c>
    </row>
    <row r="3" spans="1:10">
      <c r="B3" s="988">
        <v>9529</v>
      </c>
      <c r="H3" s="986">
        <v>2.8E-3</v>
      </c>
      <c r="I3" s="986"/>
      <c r="J3" s="988">
        <v>9529</v>
      </c>
    </row>
    <row r="4" spans="1:10">
      <c r="B4" s="988">
        <v>9557</v>
      </c>
      <c r="H4" s="986">
        <v>3.2000000000000002E-3</v>
      </c>
      <c r="I4" s="986"/>
      <c r="J4" s="988">
        <v>9557</v>
      </c>
    </row>
    <row r="5" spans="1:10">
      <c r="B5" s="988">
        <v>9588</v>
      </c>
      <c r="H5" s="986">
        <v>3.0000000000000001E-3</v>
      </c>
      <c r="I5" s="986"/>
      <c r="J5" s="988">
        <v>9588</v>
      </c>
    </row>
    <row r="6" spans="1:10">
      <c r="B6" s="988">
        <v>9618</v>
      </c>
      <c r="H6" s="986">
        <v>2.8E-3</v>
      </c>
      <c r="I6" s="986"/>
      <c r="J6" s="988">
        <v>9618</v>
      </c>
    </row>
    <row r="7" spans="1:10">
      <c r="B7" s="988">
        <v>9649</v>
      </c>
      <c r="H7" s="986">
        <v>3.3E-3</v>
      </c>
      <c r="I7" s="986"/>
      <c r="J7" s="988">
        <v>9649</v>
      </c>
    </row>
    <row r="8" spans="1:10">
      <c r="B8" s="988">
        <v>9679</v>
      </c>
      <c r="H8" s="986">
        <v>3.0999999999999999E-3</v>
      </c>
      <c r="I8" s="986"/>
      <c r="J8" s="988">
        <v>9679</v>
      </c>
    </row>
    <row r="9" spans="1:10">
      <c r="B9" s="988">
        <v>9710</v>
      </c>
      <c r="H9" s="986">
        <v>3.0999999999999999E-3</v>
      </c>
      <c r="I9" s="986"/>
      <c r="J9" s="988">
        <v>9710</v>
      </c>
    </row>
    <row r="10" spans="1:10">
      <c r="B10" s="988">
        <v>9741</v>
      </c>
      <c r="H10" s="986">
        <v>3.0000000000000001E-3</v>
      </c>
      <c r="I10" s="986"/>
      <c r="J10" s="988">
        <v>9741</v>
      </c>
    </row>
    <row r="11" spans="1:10">
      <c r="B11" s="988">
        <v>9771</v>
      </c>
      <c r="H11" s="986">
        <v>3.0000000000000001E-3</v>
      </c>
      <c r="I11" s="986"/>
      <c r="J11" s="988">
        <v>9771</v>
      </c>
    </row>
    <row r="12" spans="1:10">
      <c r="B12" s="988">
        <v>9802</v>
      </c>
      <c r="H12" s="986">
        <v>3.0999999999999999E-3</v>
      </c>
      <c r="I12" s="986"/>
      <c r="J12" s="988">
        <v>9802</v>
      </c>
    </row>
    <row r="13" spans="1:10">
      <c r="B13" s="988">
        <v>9832</v>
      </c>
      <c r="H13" s="986">
        <v>3.0000000000000001E-3</v>
      </c>
      <c r="I13" s="986"/>
      <c r="J13" s="988">
        <v>9832</v>
      </c>
    </row>
    <row r="14" spans="1:10">
      <c r="B14" s="988">
        <v>9863</v>
      </c>
      <c r="H14" s="986">
        <v>3.0000000000000001E-3</v>
      </c>
      <c r="I14" s="986"/>
      <c r="J14" s="988">
        <v>9863</v>
      </c>
    </row>
    <row r="15" spans="1:10">
      <c r="B15" s="988">
        <v>9894</v>
      </c>
      <c r="H15" s="986">
        <v>2.7000000000000001E-3</v>
      </c>
      <c r="I15" s="986"/>
      <c r="J15" s="988">
        <v>9894</v>
      </c>
    </row>
    <row r="16" spans="1:10">
      <c r="B16" s="988">
        <v>9922</v>
      </c>
      <c r="H16" s="986">
        <v>2.8999999999999998E-3</v>
      </c>
      <c r="I16" s="986"/>
      <c r="J16" s="988">
        <v>9922</v>
      </c>
    </row>
    <row r="17" spans="2:10">
      <c r="B17" s="988">
        <v>9953</v>
      </c>
      <c r="H17" s="986">
        <v>2.7000000000000001E-3</v>
      </c>
      <c r="I17" s="986"/>
      <c r="J17" s="988">
        <v>9953</v>
      </c>
    </row>
    <row r="18" spans="2:10">
      <c r="B18" s="988">
        <v>9983</v>
      </c>
      <c r="H18" s="986">
        <v>2.8E-3</v>
      </c>
      <c r="I18" s="986"/>
      <c r="J18" s="988">
        <v>9983</v>
      </c>
    </row>
    <row r="19" spans="2:10">
      <c r="B19" s="988">
        <v>10014</v>
      </c>
      <c r="H19" s="986">
        <v>2.7000000000000001E-3</v>
      </c>
      <c r="I19" s="986"/>
      <c r="J19" s="988">
        <v>10014</v>
      </c>
    </row>
    <row r="20" spans="2:10">
      <c r="B20" s="988">
        <v>10044</v>
      </c>
      <c r="H20" s="986">
        <v>2.7000000000000001E-3</v>
      </c>
      <c r="I20" s="986"/>
      <c r="J20" s="988">
        <v>10044</v>
      </c>
    </row>
    <row r="21" spans="2:10">
      <c r="B21" s="988">
        <v>10075</v>
      </c>
      <c r="H21" s="986">
        <v>2.8999999999999998E-3</v>
      </c>
      <c r="I21" s="986"/>
      <c r="J21" s="988">
        <v>10075</v>
      </c>
    </row>
    <row r="22" spans="2:10">
      <c r="B22" s="988">
        <v>10106</v>
      </c>
      <c r="H22" s="986">
        <v>2.7000000000000001E-3</v>
      </c>
      <c r="I22" s="986"/>
      <c r="J22" s="988">
        <v>10106</v>
      </c>
    </row>
    <row r="23" spans="2:10">
      <c r="B23" s="988">
        <v>10136</v>
      </c>
      <c r="H23" s="986">
        <v>2.8E-3</v>
      </c>
      <c r="I23" s="986"/>
      <c r="J23" s="988">
        <v>10136</v>
      </c>
    </row>
    <row r="24" spans="2:10">
      <c r="B24" s="988">
        <v>10167</v>
      </c>
      <c r="H24" s="986">
        <v>2.7000000000000001E-3</v>
      </c>
      <c r="I24" s="986"/>
      <c r="J24" s="988">
        <v>10167</v>
      </c>
    </row>
    <row r="25" spans="2:10">
      <c r="B25" s="988">
        <v>10197</v>
      </c>
      <c r="H25" s="986">
        <v>2.7000000000000001E-3</v>
      </c>
      <c r="I25" s="986"/>
      <c r="J25" s="988">
        <v>10197</v>
      </c>
    </row>
    <row r="26" spans="2:10">
      <c r="B26" s="988">
        <v>10228</v>
      </c>
      <c r="H26" s="986">
        <v>2.7000000000000001E-3</v>
      </c>
      <c r="I26" s="986"/>
      <c r="J26" s="988">
        <v>10228</v>
      </c>
    </row>
    <row r="27" spans="2:10">
      <c r="B27" s="988">
        <v>10259</v>
      </c>
      <c r="H27" s="986">
        <v>2.5000000000000001E-3</v>
      </c>
      <c r="I27" s="986"/>
      <c r="J27" s="988">
        <v>10259</v>
      </c>
    </row>
    <row r="28" spans="2:10">
      <c r="B28" s="988">
        <v>10288</v>
      </c>
      <c r="H28" s="986">
        <v>2.7000000000000001E-3</v>
      </c>
      <c r="I28" s="986"/>
      <c r="J28" s="988">
        <v>10288</v>
      </c>
    </row>
    <row r="29" spans="2:10">
      <c r="B29" s="988">
        <v>10319</v>
      </c>
      <c r="H29" s="986">
        <v>2.5999999999999999E-3</v>
      </c>
      <c r="I29" s="986"/>
      <c r="J29" s="988">
        <v>10319</v>
      </c>
    </row>
    <row r="30" spans="2:10">
      <c r="B30" s="988">
        <v>10349</v>
      </c>
      <c r="H30" s="986">
        <v>2.7000000000000001E-3</v>
      </c>
      <c r="I30" s="986"/>
      <c r="J30" s="988">
        <v>10349</v>
      </c>
    </row>
    <row r="31" spans="2:10">
      <c r="B31" s="988">
        <v>10380</v>
      </c>
      <c r="H31" s="986">
        <v>2.7000000000000001E-3</v>
      </c>
      <c r="I31" s="986"/>
      <c r="J31" s="988">
        <v>10380</v>
      </c>
    </row>
    <row r="32" spans="2:10">
      <c r="B32" s="988">
        <v>10410</v>
      </c>
      <c r="H32" s="986">
        <v>2.7000000000000001E-3</v>
      </c>
      <c r="I32" s="986"/>
      <c r="J32" s="988">
        <v>10410</v>
      </c>
    </row>
    <row r="33" spans="2:10">
      <c r="B33" s="988">
        <v>10441</v>
      </c>
      <c r="H33" s="986">
        <v>2.8999999999999998E-3</v>
      </c>
      <c r="I33" s="986"/>
      <c r="J33" s="988">
        <v>10441</v>
      </c>
    </row>
    <row r="34" spans="2:10">
      <c r="B34" s="988">
        <v>10472</v>
      </c>
      <c r="H34" s="986">
        <v>2.7000000000000001E-3</v>
      </c>
      <c r="I34" s="986"/>
      <c r="J34" s="988">
        <v>10472</v>
      </c>
    </row>
    <row r="35" spans="2:10">
      <c r="B35" s="988">
        <v>10502</v>
      </c>
      <c r="H35" s="986">
        <v>3.0000000000000001E-3</v>
      </c>
      <c r="I35" s="986"/>
      <c r="J35" s="988">
        <v>10502</v>
      </c>
    </row>
    <row r="36" spans="2:10">
      <c r="B36" s="988">
        <v>10533</v>
      </c>
      <c r="H36" s="986">
        <v>2.7000000000000001E-3</v>
      </c>
      <c r="I36" s="986"/>
      <c r="J36" s="988">
        <v>10533</v>
      </c>
    </row>
    <row r="37" spans="2:10">
      <c r="B37" s="988">
        <v>10563</v>
      </c>
      <c r="H37" s="986">
        <v>2.8999999999999998E-3</v>
      </c>
      <c r="I37" s="986"/>
      <c r="J37" s="988">
        <v>10563</v>
      </c>
    </row>
    <row r="38" spans="2:10">
      <c r="B38" s="988">
        <v>10594</v>
      </c>
      <c r="H38" s="986">
        <v>2.8999999999999998E-3</v>
      </c>
      <c r="I38" s="986"/>
      <c r="J38" s="988">
        <v>10594</v>
      </c>
    </row>
    <row r="39" spans="2:10">
      <c r="B39" s="988">
        <v>10625</v>
      </c>
      <c r="H39" s="986">
        <v>2.7000000000000001E-3</v>
      </c>
      <c r="I39" s="986"/>
      <c r="J39" s="988">
        <v>10625</v>
      </c>
    </row>
    <row r="40" spans="2:10">
      <c r="B40" s="988">
        <v>10653</v>
      </c>
      <c r="H40" s="986">
        <v>2.8E-3</v>
      </c>
      <c r="I40" s="986"/>
      <c r="J40" s="988">
        <v>10653</v>
      </c>
    </row>
    <row r="41" spans="2:10">
      <c r="B41" s="988">
        <v>10684</v>
      </c>
      <c r="H41" s="986">
        <v>3.3999999999999998E-3</v>
      </c>
      <c r="I41" s="986"/>
      <c r="J41" s="988">
        <v>10684</v>
      </c>
    </row>
    <row r="42" spans="2:10">
      <c r="B42" s="988">
        <v>10714</v>
      </c>
      <c r="H42" s="986">
        <v>3.0000000000000001E-3</v>
      </c>
      <c r="I42" s="986"/>
      <c r="J42" s="988">
        <v>10714</v>
      </c>
    </row>
    <row r="43" spans="2:10">
      <c r="B43" s="988">
        <v>10745</v>
      </c>
      <c r="H43" s="986">
        <v>2.8999999999999998E-3</v>
      </c>
      <c r="I43" s="986"/>
      <c r="J43" s="988">
        <v>10745</v>
      </c>
    </row>
    <row r="44" spans="2:10">
      <c r="B44" s="988">
        <v>10775</v>
      </c>
      <c r="H44" s="986">
        <v>3.2000000000000002E-3</v>
      </c>
      <c r="I44" s="986"/>
      <c r="J44" s="988">
        <v>10775</v>
      </c>
    </row>
    <row r="45" spans="2:10">
      <c r="B45" s="988">
        <v>10806</v>
      </c>
      <c r="H45" s="986">
        <v>3.0000000000000001E-3</v>
      </c>
      <c r="I45" s="986"/>
      <c r="J45" s="988">
        <v>10806</v>
      </c>
    </row>
    <row r="46" spans="2:10">
      <c r="B46" s="988">
        <v>10837</v>
      </c>
      <c r="H46" s="986">
        <v>3.2000000000000002E-3</v>
      </c>
      <c r="I46" s="986"/>
      <c r="J46" s="988">
        <v>10837</v>
      </c>
    </row>
    <row r="47" spans="2:10">
      <c r="B47" s="988">
        <v>10867</v>
      </c>
      <c r="H47" s="986">
        <v>3.0999999999999999E-3</v>
      </c>
      <c r="I47" s="986"/>
      <c r="J47" s="988">
        <v>10867</v>
      </c>
    </row>
    <row r="48" spans="2:10">
      <c r="B48" s="988">
        <v>10898</v>
      </c>
      <c r="H48" s="986">
        <v>2.5999999999999999E-3</v>
      </c>
      <c r="I48" s="986"/>
      <c r="J48" s="988">
        <v>10898</v>
      </c>
    </row>
    <row r="49" spans="2:10">
      <c r="B49" s="988">
        <v>10928</v>
      </c>
      <c r="H49" s="986">
        <v>3.0999999999999999E-3</v>
      </c>
      <c r="I49" s="986"/>
      <c r="J49" s="988">
        <v>10928</v>
      </c>
    </row>
    <row r="50" spans="2:10">
      <c r="B50" s="988">
        <v>10959</v>
      </c>
      <c r="H50" s="986">
        <v>2.8999999999999998E-3</v>
      </c>
      <c r="I50" s="986"/>
      <c r="J50" s="988">
        <v>10959</v>
      </c>
    </row>
    <row r="51" spans="2:10">
      <c r="B51" s="988">
        <v>10990</v>
      </c>
      <c r="H51" s="986">
        <v>2.5999999999999999E-3</v>
      </c>
      <c r="I51" s="986"/>
      <c r="J51" s="988">
        <v>10990</v>
      </c>
    </row>
    <row r="52" spans="2:10">
      <c r="B52" s="988">
        <v>11018</v>
      </c>
      <c r="H52" s="986">
        <v>2.8999999999999998E-3</v>
      </c>
      <c r="I52" s="986"/>
      <c r="J52" s="988">
        <v>11018</v>
      </c>
    </row>
    <row r="53" spans="2:10">
      <c r="B53" s="988">
        <v>11049</v>
      </c>
      <c r="H53" s="986">
        <v>2.7000000000000001E-3</v>
      </c>
      <c r="I53" s="986"/>
      <c r="J53" s="988">
        <v>11049</v>
      </c>
    </row>
    <row r="54" spans="2:10">
      <c r="B54" s="988">
        <v>11079</v>
      </c>
      <c r="H54" s="986">
        <v>2.7000000000000001E-3</v>
      </c>
      <c r="I54" s="986"/>
      <c r="J54" s="988">
        <v>11079</v>
      </c>
    </row>
    <row r="55" spans="2:10">
      <c r="B55" s="988">
        <v>11110</v>
      </c>
      <c r="H55" s="986">
        <v>2.8999999999999998E-3</v>
      </c>
      <c r="I55" s="986"/>
      <c r="J55" s="988">
        <v>11110</v>
      </c>
    </row>
    <row r="56" spans="2:10">
      <c r="B56" s="988">
        <v>11140</v>
      </c>
      <c r="H56" s="986">
        <v>2.8E-3</v>
      </c>
      <c r="I56" s="986"/>
      <c r="J56" s="988">
        <v>11140</v>
      </c>
    </row>
    <row r="57" spans="2:10">
      <c r="B57" s="988">
        <v>11171</v>
      </c>
      <c r="H57" s="986">
        <v>2.5999999999999999E-3</v>
      </c>
      <c r="I57" s="986"/>
      <c r="J57" s="988">
        <v>11171</v>
      </c>
    </row>
    <row r="58" spans="2:10">
      <c r="B58" s="988">
        <v>11202</v>
      </c>
      <c r="H58" s="986">
        <v>2.8999999999999998E-3</v>
      </c>
      <c r="I58" s="986"/>
      <c r="J58" s="988">
        <v>11202</v>
      </c>
    </row>
    <row r="59" spans="2:10">
      <c r="B59" s="988">
        <v>11232</v>
      </c>
      <c r="H59" s="986">
        <v>2.7000000000000001E-3</v>
      </c>
      <c r="I59" s="986"/>
      <c r="J59" s="988">
        <v>11232</v>
      </c>
    </row>
    <row r="60" spans="2:10">
      <c r="B60" s="988">
        <v>11263</v>
      </c>
      <c r="H60" s="986">
        <v>2.5999999999999999E-3</v>
      </c>
      <c r="I60" s="986"/>
      <c r="J60" s="988">
        <v>11263</v>
      </c>
    </row>
    <row r="61" spans="2:10">
      <c r="B61" s="988">
        <v>11293</v>
      </c>
      <c r="H61" s="986">
        <v>2.8E-3</v>
      </c>
      <c r="I61" s="986"/>
      <c r="J61" s="988">
        <v>11293</v>
      </c>
    </row>
    <row r="62" spans="2:10">
      <c r="B62" s="988">
        <v>11324</v>
      </c>
      <c r="H62" s="986">
        <v>2.8E-3</v>
      </c>
      <c r="I62" s="986"/>
      <c r="J62" s="988">
        <v>11324</v>
      </c>
    </row>
    <row r="63" spans="2:10">
      <c r="B63" s="988">
        <v>11355</v>
      </c>
      <c r="H63" s="986">
        <v>2.5999999999999999E-3</v>
      </c>
      <c r="I63" s="986"/>
      <c r="J63" s="988">
        <v>11355</v>
      </c>
    </row>
    <row r="64" spans="2:10">
      <c r="B64" s="988">
        <v>11383</v>
      </c>
      <c r="H64" s="986">
        <v>2.8999999999999998E-3</v>
      </c>
      <c r="I64" s="986"/>
      <c r="J64" s="988">
        <v>11383</v>
      </c>
    </row>
    <row r="65" spans="2:10">
      <c r="B65" s="988">
        <v>11414</v>
      </c>
      <c r="H65" s="986">
        <v>2.7000000000000001E-3</v>
      </c>
      <c r="I65" s="986"/>
      <c r="J65" s="988">
        <v>11414</v>
      </c>
    </row>
    <row r="66" spans="2:10">
      <c r="B66" s="988">
        <v>11444</v>
      </c>
      <c r="H66" s="986">
        <v>2.5999999999999999E-3</v>
      </c>
      <c r="I66" s="986"/>
      <c r="J66" s="988">
        <v>11444</v>
      </c>
    </row>
    <row r="67" spans="2:10">
      <c r="B67" s="988">
        <v>11475</v>
      </c>
      <c r="H67" s="986">
        <v>2.8E-3</v>
      </c>
      <c r="I67" s="986"/>
      <c r="J67" s="988">
        <v>11475</v>
      </c>
    </row>
    <row r="68" spans="2:10">
      <c r="B68" s="988">
        <v>11505</v>
      </c>
      <c r="H68" s="986">
        <v>2.7000000000000001E-3</v>
      </c>
      <c r="I68" s="986"/>
      <c r="J68" s="988">
        <v>11505</v>
      </c>
    </row>
    <row r="69" spans="2:10">
      <c r="B69" s="988">
        <v>11536</v>
      </c>
      <c r="H69" s="986">
        <v>2.7000000000000001E-3</v>
      </c>
      <c r="I69" s="986"/>
      <c r="J69" s="988">
        <v>11536</v>
      </c>
    </row>
    <row r="70" spans="2:10">
      <c r="B70" s="988">
        <v>11567</v>
      </c>
      <c r="H70" s="986">
        <v>2.7000000000000001E-3</v>
      </c>
      <c r="I70" s="986"/>
      <c r="J70" s="988">
        <v>11567</v>
      </c>
    </row>
    <row r="71" spans="2:10">
      <c r="B71" s="988">
        <v>11597</v>
      </c>
      <c r="H71" s="986">
        <v>2.8999999999999998E-3</v>
      </c>
      <c r="I71" s="986"/>
      <c r="J71" s="988">
        <v>11597</v>
      </c>
    </row>
    <row r="72" spans="2:10">
      <c r="B72" s="988">
        <v>11628</v>
      </c>
      <c r="H72" s="986">
        <v>3.0999999999999999E-3</v>
      </c>
      <c r="I72" s="986"/>
      <c r="J72" s="988">
        <v>11628</v>
      </c>
    </row>
    <row r="73" spans="2:10">
      <c r="B73" s="988">
        <v>11658</v>
      </c>
      <c r="H73" s="986">
        <v>3.2000000000000002E-3</v>
      </c>
      <c r="I73" s="986"/>
      <c r="J73" s="988">
        <v>11658</v>
      </c>
    </row>
    <row r="74" spans="2:10">
      <c r="B74" s="988">
        <v>11689</v>
      </c>
      <c r="H74" s="986">
        <v>3.2000000000000002E-3</v>
      </c>
      <c r="I74" s="986"/>
      <c r="J74" s="988">
        <v>11689</v>
      </c>
    </row>
    <row r="75" spans="2:10">
      <c r="B75" s="988">
        <v>11720</v>
      </c>
      <c r="H75" s="986">
        <v>3.2000000000000002E-3</v>
      </c>
      <c r="I75" s="986"/>
      <c r="J75" s="988">
        <v>11720</v>
      </c>
    </row>
    <row r="76" spans="2:10">
      <c r="B76" s="988">
        <v>11749</v>
      </c>
      <c r="H76" s="986">
        <v>3.0999999999999999E-3</v>
      </c>
      <c r="I76" s="986"/>
      <c r="J76" s="988">
        <v>11749</v>
      </c>
    </row>
    <row r="77" spans="2:10">
      <c r="B77" s="988">
        <v>11780</v>
      </c>
      <c r="H77" s="986">
        <v>3.0000000000000001E-3</v>
      </c>
      <c r="I77" s="986"/>
      <c r="J77" s="988">
        <v>11780</v>
      </c>
    </row>
    <row r="78" spans="2:10">
      <c r="B78" s="988">
        <v>11810</v>
      </c>
      <c r="H78" s="986">
        <v>2.8E-3</v>
      </c>
      <c r="I78" s="986"/>
      <c r="J78" s="988">
        <v>11810</v>
      </c>
    </row>
    <row r="79" spans="2:10">
      <c r="B79" s="988">
        <v>11841</v>
      </c>
      <c r="H79" s="986">
        <v>2.8E-3</v>
      </c>
      <c r="I79" s="986"/>
      <c r="J79" s="988">
        <v>11841</v>
      </c>
    </row>
    <row r="80" spans="2:10">
      <c r="B80" s="988">
        <v>11871</v>
      </c>
      <c r="H80" s="986">
        <v>2.8E-3</v>
      </c>
      <c r="I80" s="986"/>
      <c r="J80" s="988">
        <v>11871</v>
      </c>
    </row>
    <row r="81" spans="2:10">
      <c r="B81" s="988">
        <v>11902</v>
      </c>
      <c r="H81" s="986">
        <v>2.8E-3</v>
      </c>
      <c r="I81" s="986"/>
      <c r="J81" s="988">
        <v>11902</v>
      </c>
    </row>
    <row r="82" spans="2:10">
      <c r="B82" s="988">
        <v>11933</v>
      </c>
      <c r="H82" s="986">
        <v>2.5999999999999999E-3</v>
      </c>
      <c r="I82" s="986"/>
      <c r="J82" s="988">
        <v>11933</v>
      </c>
    </row>
    <row r="83" spans="2:10">
      <c r="B83" s="988">
        <v>11963</v>
      </c>
      <c r="H83" s="986">
        <v>2.7000000000000001E-3</v>
      </c>
      <c r="I83" s="986"/>
      <c r="J83" s="988">
        <v>11963</v>
      </c>
    </row>
    <row r="84" spans="2:10">
      <c r="B84" s="988">
        <v>11994</v>
      </c>
      <c r="H84" s="986">
        <v>2.5999999999999999E-3</v>
      </c>
      <c r="I84" s="986"/>
      <c r="J84" s="988">
        <v>11994</v>
      </c>
    </row>
    <row r="85" spans="2:10">
      <c r="B85" s="988">
        <v>12024</v>
      </c>
      <c r="H85" s="986">
        <v>2.7000000000000001E-3</v>
      </c>
      <c r="I85" s="986"/>
      <c r="J85" s="988">
        <v>12024</v>
      </c>
    </row>
    <row r="86" spans="2:10">
      <c r="B86" s="988">
        <v>12055</v>
      </c>
      <c r="H86" s="986">
        <v>2.7000000000000001E-3</v>
      </c>
      <c r="I86" s="986"/>
      <c r="J86" s="988">
        <v>12055</v>
      </c>
    </row>
    <row r="87" spans="2:10">
      <c r="B87" s="988">
        <v>12086</v>
      </c>
      <c r="H87" s="986">
        <v>2.3E-3</v>
      </c>
      <c r="I87" s="986"/>
      <c r="J87" s="988">
        <v>12086</v>
      </c>
    </row>
    <row r="88" spans="2:10">
      <c r="B88" s="988">
        <v>12114</v>
      </c>
      <c r="H88" s="986">
        <v>2.7000000000000001E-3</v>
      </c>
      <c r="I88" s="986"/>
      <c r="J88" s="988">
        <v>12114</v>
      </c>
    </row>
    <row r="89" spans="2:10">
      <c r="B89" s="988">
        <v>12145</v>
      </c>
      <c r="H89" s="986">
        <v>2.5000000000000001E-3</v>
      </c>
      <c r="I89" s="986"/>
      <c r="J89" s="988">
        <v>12145</v>
      </c>
    </row>
    <row r="90" spans="2:10">
      <c r="B90" s="988">
        <v>12175</v>
      </c>
      <c r="H90" s="986">
        <v>2.8E-3</v>
      </c>
      <c r="I90" s="986"/>
      <c r="J90" s="988">
        <v>12175</v>
      </c>
    </row>
    <row r="91" spans="2:10">
      <c r="B91" s="988">
        <v>12206</v>
      </c>
      <c r="H91" s="986">
        <v>2.5000000000000001E-3</v>
      </c>
      <c r="I91" s="986"/>
      <c r="J91" s="988">
        <v>12206</v>
      </c>
    </row>
    <row r="92" spans="2:10">
      <c r="B92" s="988">
        <v>12236</v>
      </c>
      <c r="H92" s="986">
        <v>2.5999999999999999E-3</v>
      </c>
      <c r="I92" s="986"/>
      <c r="J92" s="988">
        <v>12236</v>
      </c>
    </row>
    <row r="93" spans="2:10">
      <c r="B93" s="988">
        <v>12267</v>
      </c>
      <c r="H93" s="986">
        <v>2.5999999999999999E-3</v>
      </c>
      <c r="I93" s="986"/>
      <c r="J93" s="988">
        <v>12267</v>
      </c>
    </row>
    <row r="94" spans="2:10">
      <c r="B94" s="988">
        <v>12298</v>
      </c>
      <c r="H94" s="986">
        <v>2.5000000000000001E-3</v>
      </c>
      <c r="I94" s="986"/>
      <c r="J94" s="988">
        <v>12298</v>
      </c>
    </row>
    <row r="95" spans="2:10">
      <c r="B95" s="988">
        <v>12328</v>
      </c>
      <c r="H95" s="986">
        <v>2.5999999999999999E-3</v>
      </c>
      <c r="I95" s="986"/>
      <c r="J95" s="988">
        <v>12328</v>
      </c>
    </row>
    <row r="96" spans="2:10">
      <c r="B96" s="988">
        <v>12359</v>
      </c>
      <c r="H96" s="986">
        <v>2.5000000000000001E-3</v>
      </c>
      <c r="I96" s="986"/>
      <c r="J96" s="988">
        <v>12359</v>
      </c>
    </row>
    <row r="97" spans="2:10">
      <c r="B97" s="988">
        <v>12389</v>
      </c>
      <c r="H97" s="986">
        <v>2.8E-3</v>
      </c>
      <c r="I97" s="986"/>
      <c r="J97" s="988">
        <v>12389</v>
      </c>
    </row>
    <row r="98" spans="2:10">
      <c r="B98" s="988">
        <v>12420</v>
      </c>
      <c r="H98" s="986">
        <v>2.8999999999999998E-3</v>
      </c>
      <c r="I98" s="986"/>
      <c r="J98" s="988">
        <v>12420</v>
      </c>
    </row>
    <row r="99" spans="2:10">
      <c r="B99" s="988">
        <v>12451</v>
      </c>
      <c r="H99" s="986">
        <v>2.3999999999999998E-3</v>
      </c>
      <c r="I99" s="986"/>
      <c r="J99" s="988">
        <v>12451</v>
      </c>
    </row>
    <row r="100" spans="2:10">
      <c r="B100" s="988">
        <v>12479</v>
      </c>
      <c r="H100" s="986">
        <v>2.7000000000000001E-3</v>
      </c>
      <c r="I100" s="986"/>
      <c r="J100" s="988">
        <v>12479</v>
      </c>
    </row>
    <row r="101" spans="2:10">
      <c r="B101" s="988">
        <v>12510</v>
      </c>
      <c r="H101" s="986">
        <v>2.5000000000000001E-3</v>
      </c>
      <c r="I101" s="986"/>
      <c r="J101" s="988">
        <v>12510</v>
      </c>
    </row>
    <row r="102" spans="2:10">
      <c r="B102" s="988">
        <v>12540</v>
      </c>
      <c r="H102" s="986">
        <v>2.5000000000000001E-3</v>
      </c>
      <c r="I102" s="986"/>
      <c r="J102" s="988">
        <v>12540</v>
      </c>
    </row>
    <row r="103" spans="2:10">
      <c r="B103" s="988">
        <v>12571</v>
      </c>
      <c r="H103" s="986">
        <v>2.3999999999999998E-3</v>
      </c>
      <c r="I103" s="986"/>
      <c r="J103" s="988">
        <v>12571</v>
      </c>
    </row>
    <row r="104" spans="2:10">
      <c r="B104" s="988">
        <v>12601</v>
      </c>
      <c r="H104" s="986">
        <v>2.3999999999999998E-3</v>
      </c>
      <c r="I104" s="986"/>
      <c r="J104" s="988">
        <v>12601</v>
      </c>
    </row>
    <row r="105" spans="2:10">
      <c r="B105" s="988">
        <v>12632</v>
      </c>
      <c r="H105" s="986">
        <v>2.3999999999999998E-3</v>
      </c>
      <c r="I105" s="986"/>
      <c r="J105" s="988">
        <v>12632</v>
      </c>
    </row>
    <row r="106" spans="2:10">
      <c r="B106" s="988">
        <v>12663</v>
      </c>
      <c r="H106" s="986">
        <v>2.3E-3</v>
      </c>
      <c r="I106" s="986"/>
      <c r="J106" s="988">
        <v>12663</v>
      </c>
    </row>
    <row r="107" spans="2:10">
      <c r="B107" s="988">
        <v>12693</v>
      </c>
      <c r="H107" s="986">
        <v>2.7000000000000001E-3</v>
      </c>
      <c r="I107" s="986"/>
      <c r="J107" s="988">
        <v>12693</v>
      </c>
    </row>
    <row r="108" spans="2:10">
      <c r="B108" s="988">
        <v>12724</v>
      </c>
      <c r="H108" s="986">
        <v>2.5000000000000001E-3</v>
      </c>
      <c r="I108" s="986"/>
      <c r="J108" s="988">
        <v>12724</v>
      </c>
    </row>
    <row r="109" spans="2:10">
      <c r="B109" s="988">
        <v>12754</v>
      </c>
      <c r="H109" s="986">
        <v>2.5000000000000001E-3</v>
      </c>
      <c r="I109" s="986"/>
      <c r="J109" s="988">
        <v>12754</v>
      </c>
    </row>
    <row r="110" spans="2:10">
      <c r="B110" s="988">
        <v>12785</v>
      </c>
      <c r="H110" s="986">
        <v>2.5000000000000001E-3</v>
      </c>
      <c r="I110" s="986"/>
      <c r="J110" s="988">
        <v>12785</v>
      </c>
    </row>
    <row r="111" spans="2:10">
      <c r="B111" s="988">
        <v>12816</v>
      </c>
      <c r="H111" s="986">
        <v>2.0999999999999999E-3</v>
      </c>
      <c r="I111" s="986"/>
      <c r="J111" s="988">
        <v>12816</v>
      </c>
    </row>
    <row r="112" spans="2:10">
      <c r="B112" s="988">
        <v>12844</v>
      </c>
      <c r="H112" s="986">
        <v>2.2000000000000001E-3</v>
      </c>
      <c r="I112" s="986"/>
      <c r="J112" s="988">
        <v>12844</v>
      </c>
    </row>
    <row r="113" spans="2:10">
      <c r="B113" s="988">
        <v>12875</v>
      </c>
      <c r="H113" s="986">
        <v>2.3E-3</v>
      </c>
      <c r="I113" s="986"/>
      <c r="J113" s="988">
        <v>12875</v>
      </c>
    </row>
    <row r="114" spans="2:10">
      <c r="B114" s="988">
        <v>12905</v>
      </c>
      <c r="H114" s="986">
        <v>2.3E-3</v>
      </c>
      <c r="I114" s="986"/>
      <c r="J114" s="988">
        <v>12905</v>
      </c>
    </row>
    <row r="115" spans="2:10">
      <c r="B115" s="988">
        <v>12936</v>
      </c>
      <c r="H115" s="986">
        <v>2.2000000000000001E-3</v>
      </c>
      <c r="I115" s="986"/>
      <c r="J115" s="988">
        <v>12936</v>
      </c>
    </row>
    <row r="116" spans="2:10">
      <c r="B116" s="988">
        <v>12966</v>
      </c>
      <c r="H116" s="986">
        <v>2.3999999999999998E-3</v>
      </c>
      <c r="I116" s="986"/>
      <c r="J116" s="988">
        <v>12966</v>
      </c>
    </row>
    <row r="117" spans="2:10">
      <c r="B117" s="988">
        <v>12997</v>
      </c>
      <c r="H117" s="986">
        <v>2.3E-3</v>
      </c>
      <c r="I117" s="986"/>
      <c r="J117" s="988">
        <v>12997</v>
      </c>
    </row>
    <row r="118" spans="2:10">
      <c r="B118" s="988">
        <v>13028</v>
      </c>
      <c r="H118" s="986">
        <v>2.3E-3</v>
      </c>
      <c r="I118" s="986"/>
      <c r="J118" s="988">
        <v>13028</v>
      </c>
    </row>
    <row r="119" spans="2:10">
      <c r="B119" s="988">
        <v>13058</v>
      </c>
      <c r="H119" s="986">
        <v>2.3E-3</v>
      </c>
      <c r="I119" s="986"/>
      <c r="J119" s="988">
        <v>13058</v>
      </c>
    </row>
    <row r="120" spans="2:10">
      <c r="B120" s="988">
        <v>13089</v>
      </c>
      <c r="H120" s="986">
        <v>2.3999999999999998E-3</v>
      </c>
      <c r="I120" s="986"/>
      <c r="J120" s="988">
        <v>13089</v>
      </c>
    </row>
    <row r="121" spans="2:10">
      <c r="B121" s="988">
        <v>13119</v>
      </c>
      <c r="H121" s="986">
        <v>2.3999999999999998E-3</v>
      </c>
      <c r="I121" s="986"/>
      <c r="J121" s="988">
        <v>13119</v>
      </c>
    </row>
    <row r="122" spans="2:10">
      <c r="B122" s="988">
        <v>13150</v>
      </c>
      <c r="H122" s="986">
        <v>2.3999999999999998E-3</v>
      </c>
      <c r="I122" s="986"/>
      <c r="J122" s="988">
        <v>13150</v>
      </c>
    </row>
    <row r="123" spans="2:10">
      <c r="B123" s="988">
        <v>13181</v>
      </c>
      <c r="H123" s="986">
        <v>2.3E-3</v>
      </c>
      <c r="I123" s="986"/>
      <c r="J123" s="988">
        <v>13181</v>
      </c>
    </row>
    <row r="124" spans="2:10">
      <c r="B124" s="988">
        <v>13210</v>
      </c>
      <c r="H124" s="986">
        <v>2.3999999999999998E-3</v>
      </c>
      <c r="I124" s="986"/>
      <c r="J124" s="988">
        <v>13210</v>
      </c>
    </row>
    <row r="125" spans="2:10">
      <c r="B125" s="988">
        <v>13241</v>
      </c>
      <c r="H125" s="986">
        <v>2.2000000000000001E-3</v>
      </c>
      <c r="I125" s="986"/>
      <c r="J125" s="988">
        <v>13241</v>
      </c>
    </row>
    <row r="126" spans="2:10">
      <c r="B126" s="988">
        <v>13271</v>
      </c>
      <c r="H126" s="986">
        <v>2.2000000000000001E-3</v>
      </c>
      <c r="I126" s="986"/>
      <c r="J126" s="988">
        <v>13271</v>
      </c>
    </row>
    <row r="127" spans="2:10">
      <c r="B127" s="988">
        <v>13302</v>
      </c>
      <c r="H127" s="986">
        <v>2.3999999999999998E-3</v>
      </c>
      <c r="I127" s="986"/>
      <c r="J127" s="988">
        <v>13302</v>
      </c>
    </row>
    <row r="128" spans="2:10">
      <c r="B128" s="988">
        <v>13332</v>
      </c>
      <c r="H128" s="986">
        <v>2.3E-3</v>
      </c>
      <c r="I128" s="986"/>
      <c r="J128" s="988">
        <v>13332</v>
      </c>
    </row>
    <row r="129" spans="2:10">
      <c r="B129" s="988">
        <v>13363</v>
      </c>
      <c r="H129" s="986">
        <v>2.3E-3</v>
      </c>
      <c r="I129" s="986"/>
      <c r="J129" s="988">
        <v>13363</v>
      </c>
    </row>
    <row r="130" spans="2:10">
      <c r="B130" s="988">
        <v>13394</v>
      </c>
      <c r="H130" s="986">
        <v>2.0999999999999999E-3</v>
      </c>
      <c r="I130" s="986"/>
      <c r="J130" s="988">
        <v>13394</v>
      </c>
    </row>
    <row r="131" spans="2:10">
      <c r="B131" s="988">
        <v>13424</v>
      </c>
      <c r="H131" s="986">
        <v>2.3E-3</v>
      </c>
      <c r="I131" s="986"/>
      <c r="J131" s="988">
        <v>13424</v>
      </c>
    </row>
    <row r="132" spans="2:10">
      <c r="B132" s="988">
        <v>13455</v>
      </c>
      <c r="H132" s="986">
        <v>2.2000000000000001E-3</v>
      </c>
      <c r="I132" s="986"/>
      <c r="J132" s="988">
        <v>13455</v>
      </c>
    </row>
    <row r="133" spans="2:10">
      <c r="B133" s="988">
        <v>13485</v>
      </c>
      <c r="H133" s="986">
        <v>2.2000000000000001E-3</v>
      </c>
      <c r="I133" s="986"/>
      <c r="J133" s="988">
        <v>13485</v>
      </c>
    </row>
    <row r="134" spans="2:10">
      <c r="B134" s="988">
        <v>13516</v>
      </c>
      <c r="H134" s="986">
        <v>2.0999999999999999E-3</v>
      </c>
      <c r="I134" s="986"/>
      <c r="J134" s="988">
        <v>13516</v>
      </c>
    </row>
    <row r="135" spans="2:10">
      <c r="B135" s="988">
        <v>13547</v>
      </c>
      <c r="H135" s="986">
        <v>2E-3</v>
      </c>
      <c r="I135" s="986"/>
      <c r="J135" s="988">
        <v>13547</v>
      </c>
    </row>
    <row r="136" spans="2:10">
      <c r="B136" s="988">
        <v>13575</v>
      </c>
      <c r="H136" s="986">
        <v>2.2000000000000001E-3</v>
      </c>
      <c r="I136" s="986"/>
      <c r="J136" s="988">
        <v>13575</v>
      </c>
    </row>
    <row r="137" spans="2:10">
      <c r="B137" s="988">
        <v>13606</v>
      </c>
      <c r="H137" s="986">
        <v>2.3E-3</v>
      </c>
      <c r="I137" s="986"/>
      <c r="J137" s="988">
        <v>13606</v>
      </c>
    </row>
    <row r="138" spans="2:10">
      <c r="B138" s="988">
        <v>13636</v>
      </c>
      <c r="H138" s="986">
        <v>2.2000000000000001E-3</v>
      </c>
      <c r="I138" s="986"/>
      <c r="J138" s="988">
        <v>13636</v>
      </c>
    </row>
    <row r="139" spans="2:10">
      <c r="B139" s="988">
        <v>13667</v>
      </c>
      <c r="H139" s="986">
        <v>2.5000000000000001E-3</v>
      </c>
      <c r="I139" s="986"/>
      <c r="J139" s="988">
        <v>13667</v>
      </c>
    </row>
    <row r="140" spans="2:10">
      <c r="B140" s="988">
        <v>13697</v>
      </c>
      <c r="H140" s="986">
        <v>2.3999999999999998E-3</v>
      </c>
      <c r="I140" s="986"/>
      <c r="J140" s="988">
        <v>13697</v>
      </c>
    </row>
    <row r="141" spans="2:10">
      <c r="B141" s="988">
        <v>13728</v>
      </c>
      <c r="H141" s="986">
        <v>2.3E-3</v>
      </c>
      <c r="I141" s="986"/>
      <c r="J141" s="988">
        <v>13728</v>
      </c>
    </row>
    <row r="142" spans="2:10">
      <c r="B142" s="988">
        <v>13759</v>
      </c>
      <c r="H142" s="986">
        <v>2.3E-3</v>
      </c>
      <c r="I142" s="986"/>
      <c r="J142" s="988">
        <v>13759</v>
      </c>
    </row>
    <row r="143" spans="2:10">
      <c r="B143" s="988">
        <v>13789</v>
      </c>
      <c r="H143" s="986">
        <v>2.3E-3</v>
      </c>
      <c r="I143" s="986"/>
      <c r="J143" s="988">
        <v>13789</v>
      </c>
    </row>
    <row r="144" spans="2:10">
      <c r="B144" s="988">
        <v>13820</v>
      </c>
      <c r="H144" s="986">
        <v>2.3999999999999998E-3</v>
      </c>
      <c r="I144" s="986"/>
      <c r="J144" s="988">
        <v>13820</v>
      </c>
    </row>
    <row r="145" spans="2:10">
      <c r="B145" s="988">
        <v>13850</v>
      </c>
      <c r="H145" s="986">
        <v>2.3E-3</v>
      </c>
      <c r="I145" s="986"/>
      <c r="J145" s="988">
        <v>13850</v>
      </c>
    </row>
    <row r="146" spans="2:10">
      <c r="B146" s="988">
        <v>13881</v>
      </c>
      <c r="H146" s="986">
        <v>2.3E-3</v>
      </c>
      <c r="I146" s="986"/>
      <c r="J146" s="988">
        <v>13881</v>
      </c>
    </row>
    <row r="147" spans="2:10">
      <c r="B147" s="988">
        <v>13912</v>
      </c>
      <c r="H147" s="986">
        <v>2.0999999999999999E-3</v>
      </c>
      <c r="I147" s="986"/>
      <c r="J147" s="988">
        <v>13912</v>
      </c>
    </row>
    <row r="148" spans="2:10">
      <c r="B148" s="988">
        <v>13940</v>
      </c>
      <c r="H148" s="986">
        <v>2.3E-3</v>
      </c>
      <c r="I148" s="986"/>
      <c r="J148" s="988">
        <v>13940</v>
      </c>
    </row>
    <row r="149" spans="2:10">
      <c r="B149" s="988">
        <v>13971</v>
      </c>
      <c r="H149" s="986">
        <v>2.2000000000000001E-3</v>
      </c>
      <c r="I149" s="986"/>
      <c r="J149" s="988">
        <v>13971</v>
      </c>
    </row>
    <row r="150" spans="2:10">
      <c r="B150" s="988">
        <v>14001</v>
      </c>
      <c r="H150" s="986">
        <v>2.2000000000000001E-3</v>
      </c>
      <c r="I150" s="986"/>
      <c r="J150" s="988">
        <v>14001</v>
      </c>
    </row>
    <row r="151" spans="2:10">
      <c r="B151" s="988">
        <v>14032</v>
      </c>
      <c r="H151" s="986">
        <v>2.0999999999999999E-3</v>
      </c>
      <c r="I151" s="986"/>
      <c r="J151" s="988">
        <v>14032</v>
      </c>
    </row>
    <row r="152" spans="2:10">
      <c r="B152" s="988">
        <v>14062</v>
      </c>
      <c r="H152" s="986">
        <v>2.0999999999999999E-3</v>
      </c>
      <c r="I152" s="986"/>
      <c r="J152" s="988">
        <v>14062</v>
      </c>
    </row>
    <row r="153" spans="2:10">
      <c r="B153" s="988">
        <v>14093</v>
      </c>
      <c r="H153" s="986">
        <v>2.2000000000000001E-3</v>
      </c>
      <c r="I153" s="986"/>
      <c r="J153" s="988">
        <v>14093</v>
      </c>
    </row>
    <row r="154" spans="2:10">
      <c r="B154" s="988">
        <v>14124</v>
      </c>
      <c r="H154" s="986">
        <v>2.0999999999999999E-3</v>
      </c>
      <c r="I154" s="986"/>
      <c r="J154" s="988">
        <v>14124</v>
      </c>
    </row>
    <row r="155" spans="2:10">
      <c r="B155" s="988">
        <v>14154</v>
      </c>
      <c r="H155" s="986">
        <v>2.2000000000000001E-3</v>
      </c>
      <c r="I155" s="986"/>
      <c r="J155" s="988">
        <v>14154</v>
      </c>
    </row>
    <row r="156" spans="2:10">
      <c r="B156" s="988">
        <v>14185</v>
      </c>
      <c r="H156" s="986">
        <v>2.0999999999999999E-3</v>
      </c>
      <c r="I156" s="986"/>
      <c r="J156" s="988">
        <v>14185</v>
      </c>
    </row>
    <row r="157" spans="2:10">
      <c r="B157" s="988">
        <v>14215</v>
      </c>
      <c r="H157" s="986">
        <v>2.2000000000000001E-3</v>
      </c>
      <c r="I157" s="986"/>
      <c r="J157" s="988">
        <v>14215</v>
      </c>
    </row>
    <row r="158" spans="2:10">
      <c r="B158" s="988">
        <v>14246</v>
      </c>
      <c r="H158" s="986">
        <v>2.0999999999999999E-3</v>
      </c>
      <c r="I158" s="986"/>
      <c r="J158" s="988">
        <v>14246</v>
      </c>
    </row>
    <row r="159" spans="2:10">
      <c r="B159" s="988">
        <v>14277</v>
      </c>
      <c r="H159" s="986">
        <v>1.9E-3</v>
      </c>
      <c r="I159" s="986"/>
      <c r="J159" s="988">
        <v>14277</v>
      </c>
    </row>
    <row r="160" spans="2:10">
      <c r="B160" s="988">
        <v>14305</v>
      </c>
      <c r="H160" s="986">
        <v>2.0999999999999999E-3</v>
      </c>
      <c r="I160" s="986"/>
      <c r="J160" s="988">
        <v>14305</v>
      </c>
    </row>
    <row r="161" spans="2:10">
      <c r="B161" s="988">
        <v>14336</v>
      </c>
      <c r="H161" s="986">
        <v>1.9E-3</v>
      </c>
      <c r="I161" s="986"/>
      <c r="J161" s="988">
        <v>14336</v>
      </c>
    </row>
    <row r="162" spans="2:10">
      <c r="B162" s="988">
        <v>14366</v>
      </c>
      <c r="H162" s="986">
        <v>2E-3</v>
      </c>
      <c r="I162" s="986"/>
      <c r="J162" s="988">
        <v>14366</v>
      </c>
    </row>
    <row r="163" spans="2:10">
      <c r="B163" s="988">
        <v>14397</v>
      </c>
      <c r="H163" s="986">
        <v>1.8E-3</v>
      </c>
      <c r="I163" s="986"/>
      <c r="J163" s="988">
        <v>14397</v>
      </c>
    </row>
    <row r="164" spans="2:10">
      <c r="B164" s="988">
        <v>14427</v>
      </c>
      <c r="H164" s="986">
        <v>1.9E-3</v>
      </c>
      <c r="I164" s="986"/>
      <c r="J164" s="988">
        <v>14427</v>
      </c>
    </row>
    <row r="165" spans="2:10">
      <c r="B165" s="988">
        <v>14458</v>
      </c>
      <c r="H165" s="986">
        <v>1.8E-3</v>
      </c>
      <c r="I165" s="986"/>
      <c r="J165" s="988">
        <v>14458</v>
      </c>
    </row>
    <row r="166" spans="2:10">
      <c r="B166" s="988">
        <v>14489</v>
      </c>
      <c r="H166" s="986">
        <v>1.9E-3</v>
      </c>
      <c r="I166" s="986"/>
      <c r="J166" s="988">
        <v>14489</v>
      </c>
    </row>
    <row r="167" spans="2:10">
      <c r="B167" s="988">
        <v>14519</v>
      </c>
      <c r="H167" s="986">
        <v>2.3E-3</v>
      </c>
      <c r="I167" s="986"/>
      <c r="J167" s="988">
        <v>14519</v>
      </c>
    </row>
    <row r="168" spans="2:10">
      <c r="B168" s="988">
        <v>14550</v>
      </c>
      <c r="H168" s="986">
        <v>2E-3</v>
      </c>
      <c r="I168" s="986"/>
      <c r="J168" s="988">
        <v>14550</v>
      </c>
    </row>
    <row r="169" spans="2:10">
      <c r="B169" s="988">
        <v>14580</v>
      </c>
      <c r="H169" s="986">
        <v>1.9E-3</v>
      </c>
      <c r="I169" s="986"/>
      <c r="J169" s="988">
        <v>14580</v>
      </c>
    </row>
    <row r="170" spans="2:10">
      <c r="B170" s="988">
        <v>14611</v>
      </c>
      <c r="H170" s="986">
        <v>2E-3</v>
      </c>
      <c r="I170" s="986"/>
      <c r="J170" s="988">
        <v>14611</v>
      </c>
    </row>
    <row r="171" spans="2:10">
      <c r="B171" s="988">
        <v>14642</v>
      </c>
      <c r="H171" s="986">
        <v>1.8E-3</v>
      </c>
      <c r="I171" s="986"/>
      <c r="J171" s="988">
        <v>14642</v>
      </c>
    </row>
    <row r="172" spans="2:10">
      <c r="B172" s="988">
        <v>14671</v>
      </c>
      <c r="H172" s="986">
        <v>1.9E-3</v>
      </c>
      <c r="I172" s="986"/>
      <c r="J172" s="988">
        <v>14671</v>
      </c>
    </row>
    <row r="173" spans="2:10">
      <c r="B173" s="988">
        <v>14702</v>
      </c>
      <c r="H173" s="986">
        <v>1.8E-3</v>
      </c>
      <c r="I173" s="986"/>
      <c r="J173" s="988">
        <v>14702</v>
      </c>
    </row>
    <row r="174" spans="2:10">
      <c r="B174" s="988">
        <v>14732</v>
      </c>
      <c r="H174" s="986">
        <v>1.9E-3</v>
      </c>
      <c r="I174" s="986"/>
      <c r="J174" s="988">
        <v>14732</v>
      </c>
    </row>
    <row r="175" spans="2:10">
      <c r="B175" s="988">
        <v>14763</v>
      </c>
      <c r="H175" s="986">
        <v>1.9E-3</v>
      </c>
      <c r="I175" s="986"/>
      <c r="J175" s="988">
        <v>14763</v>
      </c>
    </row>
    <row r="176" spans="2:10">
      <c r="B176" s="988">
        <v>14793</v>
      </c>
      <c r="H176" s="986">
        <v>2E-3</v>
      </c>
      <c r="I176" s="986"/>
      <c r="J176" s="988">
        <v>14793</v>
      </c>
    </row>
    <row r="177" spans="2:10">
      <c r="B177" s="988">
        <v>14824</v>
      </c>
      <c r="H177" s="986">
        <v>1.9E-3</v>
      </c>
      <c r="I177" s="986"/>
      <c r="J177" s="988">
        <v>14824</v>
      </c>
    </row>
    <row r="178" spans="2:10">
      <c r="B178" s="988">
        <v>14855</v>
      </c>
      <c r="H178" s="986">
        <v>1.8E-3</v>
      </c>
      <c r="I178" s="986"/>
      <c r="J178" s="988">
        <v>14855</v>
      </c>
    </row>
    <row r="179" spans="2:10">
      <c r="B179" s="988">
        <v>14885</v>
      </c>
      <c r="H179" s="986">
        <v>1.8E-3</v>
      </c>
      <c r="I179" s="986"/>
      <c r="J179" s="988">
        <v>14885</v>
      </c>
    </row>
    <row r="180" spans="2:10">
      <c r="B180" s="988">
        <v>14916</v>
      </c>
      <c r="H180" s="986">
        <v>1.8E-3</v>
      </c>
      <c r="I180" s="986"/>
      <c r="J180" s="988">
        <v>14916</v>
      </c>
    </row>
    <row r="181" spans="2:10">
      <c r="B181" s="988">
        <v>14946</v>
      </c>
      <c r="H181" s="986">
        <v>1.6999999999999999E-3</v>
      </c>
      <c r="I181" s="986"/>
      <c r="J181" s="988">
        <v>14946</v>
      </c>
    </row>
    <row r="182" spans="2:10">
      <c r="B182" s="988">
        <v>14977</v>
      </c>
      <c r="H182" s="986">
        <v>1.6000000000000001E-3</v>
      </c>
      <c r="I182" s="986"/>
      <c r="J182" s="988">
        <v>14977</v>
      </c>
    </row>
    <row r="183" spans="2:10">
      <c r="B183" s="988">
        <v>15008</v>
      </c>
      <c r="H183" s="986">
        <v>1.6000000000000001E-3</v>
      </c>
      <c r="I183" s="986"/>
      <c r="J183" s="988">
        <v>15008</v>
      </c>
    </row>
    <row r="184" spans="2:10">
      <c r="B184" s="988">
        <v>15036</v>
      </c>
      <c r="H184" s="986">
        <v>1.8E-3</v>
      </c>
      <c r="I184" s="986"/>
      <c r="J184" s="988">
        <v>15036</v>
      </c>
    </row>
    <row r="185" spans="2:10">
      <c r="B185" s="988">
        <v>15067</v>
      </c>
      <c r="H185" s="986">
        <v>1.6999999999999999E-3</v>
      </c>
      <c r="I185" s="986"/>
      <c r="J185" s="988">
        <v>15067</v>
      </c>
    </row>
    <row r="186" spans="2:10">
      <c r="B186" s="988">
        <v>15097</v>
      </c>
      <c r="H186" s="986">
        <v>1.6999999999999999E-3</v>
      </c>
      <c r="I186" s="986"/>
      <c r="J186" s="988">
        <v>15097</v>
      </c>
    </row>
    <row r="187" spans="2:10">
      <c r="B187" s="988">
        <v>15128</v>
      </c>
      <c r="H187" s="986">
        <v>1.6000000000000001E-3</v>
      </c>
      <c r="I187" s="986"/>
      <c r="J187" s="988">
        <v>15128</v>
      </c>
    </row>
    <row r="188" spans="2:10">
      <c r="B188" s="988">
        <v>15158</v>
      </c>
      <c r="H188" s="986">
        <v>1.6000000000000001E-3</v>
      </c>
      <c r="I188" s="986"/>
      <c r="J188" s="988">
        <v>15158</v>
      </c>
    </row>
    <row r="189" spans="2:10">
      <c r="B189" s="988">
        <v>15189</v>
      </c>
      <c r="H189" s="986">
        <v>1.6000000000000001E-3</v>
      </c>
      <c r="I189" s="986"/>
      <c r="J189" s="988">
        <v>15189</v>
      </c>
    </row>
    <row r="190" spans="2:10">
      <c r="B190" s="988">
        <v>15220</v>
      </c>
      <c r="H190" s="986">
        <v>1.6000000000000001E-3</v>
      </c>
      <c r="I190" s="986"/>
      <c r="J190" s="988">
        <v>15220</v>
      </c>
    </row>
    <row r="191" spans="2:10">
      <c r="B191" s="988">
        <v>15250</v>
      </c>
      <c r="H191" s="986">
        <v>1.6000000000000001E-3</v>
      </c>
      <c r="I191" s="986"/>
      <c r="J191" s="988">
        <v>15250</v>
      </c>
    </row>
    <row r="192" spans="2:10">
      <c r="B192" s="988">
        <v>15281</v>
      </c>
      <c r="H192" s="986">
        <v>1.4E-3</v>
      </c>
      <c r="I192" s="986"/>
      <c r="J192" s="988">
        <v>15281</v>
      </c>
    </row>
    <row r="193" spans="2:10">
      <c r="B193" s="988">
        <v>15311</v>
      </c>
      <c r="H193" s="986">
        <v>1.6000000000000001E-3</v>
      </c>
      <c r="I193" s="986"/>
      <c r="J193" s="988">
        <v>15311</v>
      </c>
    </row>
    <row r="194" spans="2:10">
      <c r="B194" s="988">
        <v>15342</v>
      </c>
      <c r="H194" s="986">
        <v>2.0999999999999999E-3</v>
      </c>
      <c r="I194" s="986"/>
      <c r="J194" s="988">
        <v>15342</v>
      </c>
    </row>
    <row r="195" spans="2:10">
      <c r="B195" s="988">
        <v>15373</v>
      </c>
      <c r="H195" s="986">
        <v>1.9E-3</v>
      </c>
      <c r="I195" s="986"/>
      <c r="J195" s="988">
        <v>15373</v>
      </c>
    </row>
    <row r="196" spans="2:10">
      <c r="B196" s="988">
        <v>15401</v>
      </c>
      <c r="H196" s="986">
        <v>2.0999999999999999E-3</v>
      </c>
      <c r="I196" s="986"/>
      <c r="J196" s="988">
        <v>15401</v>
      </c>
    </row>
    <row r="197" spans="2:10">
      <c r="B197" s="988">
        <v>15432</v>
      </c>
      <c r="H197" s="986">
        <v>2E-3</v>
      </c>
      <c r="I197" s="986"/>
      <c r="J197" s="988">
        <v>15432</v>
      </c>
    </row>
    <row r="198" spans="2:10">
      <c r="B198" s="988">
        <v>15462</v>
      </c>
      <c r="H198" s="986">
        <v>1.9E-3</v>
      </c>
      <c r="I198" s="986"/>
      <c r="J198" s="988">
        <v>15462</v>
      </c>
    </row>
    <row r="199" spans="2:10">
      <c r="B199" s="988">
        <v>15493</v>
      </c>
      <c r="H199" s="986">
        <v>2.0999999999999999E-3</v>
      </c>
      <c r="I199" s="986"/>
      <c r="J199" s="988">
        <v>15493</v>
      </c>
    </row>
    <row r="200" spans="2:10">
      <c r="B200" s="988">
        <v>15523</v>
      </c>
      <c r="H200" s="986">
        <v>2.0999999999999999E-3</v>
      </c>
      <c r="I200" s="986"/>
      <c r="J200" s="988">
        <v>15523</v>
      </c>
    </row>
    <row r="201" spans="2:10">
      <c r="B201" s="988">
        <v>15554</v>
      </c>
      <c r="H201" s="986">
        <v>2.0999999999999999E-3</v>
      </c>
      <c r="I201" s="986"/>
      <c r="J201" s="988">
        <v>15554</v>
      </c>
    </row>
    <row r="202" spans="2:10">
      <c r="B202" s="988">
        <v>15585</v>
      </c>
      <c r="H202" s="986">
        <v>2E-3</v>
      </c>
      <c r="I202" s="986"/>
      <c r="J202" s="988">
        <v>15585</v>
      </c>
    </row>
    <row r="203" spans="2:10">
      <c r="B203" s="988">
        <v>15615</v>
      </c>
      <c r="H203" s="986">
        <v>2.0999999999999999E-3</v>
      </c>
      <c r="I203" s="986"/>
      <c r="J203" s="988">
        <v>15615</v>
      </c>
    </row>
    <row r="204" spans="2:10">
      <c r="B204" s="988">
        <v>15646</v>
      </c>
      <c r="H204" s="986">
        <v>2E-3</v>
      </c>
      <c r="I204" s="986"/>
      <c r="J204" s="988">
        <v>15646</v>
      </c>
    </row>
    <row r="205" spans="2:10">
      <c r="B205" s="988">
        <v>15676</v>
      </c>
      <c r="H205" s="986">
        <v>2.0999999999999999E-3</v>
      </c>
      <c r="I205" s="986"/>
      <c r="J205" s="988">
        <v>15676</v>
      </c>
    </row>
    <row r="206" spans="2:10">
      <c r="B206" s="988">
        <v>15707</v>
      </c>
      <c r="H206" s="986">
        <v>2E-3</v>
      </c>
      <c r="I206" s="986"/>
      <c r="J206" s="988">
        <v>15707</v>
      </c>
    </row>
    <row r="207" spans="2:10">
      <c r="B207" s="988">
        <v>15738</v>
      </c>
      <c r="H207" s="986">
        <v>1.9E-3</v>
      </c>
      <c r="I207" s="986"/>
      <c r="J207" s="988">
        <v>15738</v>
      </c>
    </row>
    <row r="208" spans="2:10">
      <c r="B208" s="988">
        <v>15766</v>
      </c>
      <c r="H208" s="986">
        <v>2.0999999999999999E-3</v>
      </c>
      <c r="I208" s="986"/>
      <c r="J208" s="988">
        <v>15766</v>
      </c>
    </row>
    <row r="209" spans="2:10">
      <c r="B209" s="988">
        <v>15797</v>
      </c>
      <c r="H209" s="986">
        <v>2E-3</v>
      </c>
      <c r="I209" s="986"/>
      <c r="J209" s="988">
        <v>15797</v>
      </c>
    </row>
    <row r="210" spans="2:10">
      <c r="B210" s="988">
        <v>15827</v>
      </c>
      <c r="H210" s="986">
        <v>1.9E-3</v>
      </c>
      <c r="I210" s="986"/>
      <c r="J210" s="988">
        <v>15827</v>
      </c>
    </row>
    <row r="211" spans="2:10">
      <c r="B211" s="988">
        <v>15858</v>
      </c>
      <c r="H211" s="986">
        <v>2.0999999999999999E-3</v>
      </c>
      <c r="I211" s="986"/>
      <c r="J211" s="988">
        <v>15858</v>
      </c>
    </row>
    <row r="212" spans="2:10">
      <c r="B212" s="988">
        <v>15888</v>
      </c>
      <c r="H212" s="986">
        <v>2.0999999999999999E-3</v>
      </c>
      <c r="I212" s="986"/>
      <c r="J212" s="988">
        <v>15888</v>
      </c>
    </row>
    <row r="213" spans="2:10">
      <c r="B213" s="988">
        <v>15919</v>
      </c>
      <c r="H213" s="986">
        <v>2.0999999999999999E-3</v>
      </c>
      <c r="I213" s="986"/>
      <c r="J213" s="988">
        <v>15919</v>
      </c>
    </row>
    <row r="214" spans="2:10">
      <c r="B214" s="988">
        <v>15950</v>
      </c>
      <c r="H214" s="986">
        <v>2E-3</v>
      </c>
      <c r="I214" s="986"/>
      <c r="J214" s="988">
        <v>15950</v>
      </c>
    </row>
    <row r="215" spans="2:10">
      <c r="B215" s="988">
        <v>15980</v>
      </c>
      <c r="H215" s="986">
        <v>2E-3</v>
      </c>
      <c r="I215" s="986"/>
      <c r="J215" s="988">
        <v>15980</v>
      </c>
    </row>
    <row r="216" spans="2:10">
      <c r="B216" s="988">
        <v>16011</v>
      </c>
      <c r="H216" s="986">
        <v>2.0999999999999999E-3</v>
      </c>
      <c r="I216" s="986"/>
      <c r="J216" s="988">
        <v>16011</v>
      </c>
    </row>
    <row r="217" spans="2:10">
      <c r="B217" s="988">
        <v>16041</v>
      </c>
      <c r="H217" s="986">
        <v>2.0999999999999999E-3</v>
      </c>
      <c r="I217" s="986"/>
      <c r="J217" s="988">
        <v>16041</v>
      </c>
    </row>
    <row r="218" spans="2:10">
      <c r="B218" s="988">
        <v>16072</v>
      </c>
      <c r="H218" s="986">
        <v>2.0999999999999999E-3</v>
      </c>
      <c r="I218" s="986"/>
      <c r="J218" s="988">
        <v>16072</v>
      </c>
    </row>
    <row r="219" spans="2:10">
      <c r="B219" s="988">
        <v>16103</v>
      </c>
      <c r="H219" s="986">
        <v>2E-3</v>
      </c>
      <c r="I219" s="986"/>
      <c r="J219" s="988">
        <v>16103</v>
      </c>
    </row>
    <row r="220" spans="2:10">
      <c r="B220" s="988">
        <v>16132</v>
      </c>
      <c r="H220" s="986">
        <v>2.0999999999999999E-3</v>
      </c>
      <c r="I220" s="986"/>
      <c r="J220" s="988">
        <v>16132</v>
      </c>
    </row>
    <row r="221" spans="2:10">
      <c r="B221" s="988">
        <v>16163</v>
      </c>
      <c r="H221" s="986">
        <v>2E-3</v>
      </c>
      <c r="I221" s="986"/>
      <c r="J221" s="988">
        <v>16163</v>
      </c>
    </row>
    <row r="222" spans="2:10">
      <c r="B222" s="988">
        <v>16193</v>
      </c>
      <c r="H222" s="986">
        <v>2.2000000000000001E-3</v>
      </c>
      <c r="I222" s="986"/>
      <c r="J222" s="988">
        <v>16193</v>
      </c>
    </row>
    <row r="223" spans="2:10">
      <c r="B223" s="988">
        <v>16224</v>
      </c>
      <c r="H223" s="986">
        <v>2E-3</v>
      </c>
      <c r="I223" s="986"/>
      <c r="J223" s="988">
        <v>16224</v>
      </c>
    </row>
    <row r="224" spans="2:10">
      <c r="B224" s="988">
        <v>16254</v>
      </c>
      <c r="H224" s="986">
        <v>2.0999999999999999E-3</v>
      </c>
      <c r="I224" s="986"/>
      <c r="J224" s="988">
        <v>16254</v>
      </c>
    </row>
    <row r="225" spans="2:10">
      <c r="B225" s="988">
        <v>16285</v>
      </c>
      <c r="H225" s="986">
        <v>2.0999999999999999E-3</v>
      </c>
      <c r="I225" s="986"/>
      <c r="J225" s="988">
        <v>16285</v>
      </c>
    </row>
    <row r="226" spans="2:10">
      <c r="B226" s="988">
        <v>16316</v>
      </c>
      <c r="H226" s="986">
        <v>2E-3</v>
      </c>
      <c r="I226" s="986"/>
      <c r="J226" s="988">
        <v>16316</v>
      </c>
    </row>
    <row r="227" spans="2:10">
      <c r="B227" s="988">
        <v>16346</v>
      </c>
      <c r="H227" s="986">
        <v>2.0999999999999999E-3</v>
      </c>
      <c r="I227" s="986"/>
      <c r="J227" s="988">
        <v>16346</v>
      </c>
    </row>
    <row r="228" spans="2:10">
      <c r="B228" s="988">
        <v>16377</v>
      </c>
      <c r="H228" s="986">
        <v>2E-3</v>
      </c>
      <c r="I228" s="986"/>
      <c r="J228" s="988">
        <v>16377</v>
      </c>
    </row>
    <row r="229" spans="2:10">
      <c r="B229" s="988">
        <v>16407</v>
      </c>
      <c r="H229" s="986">
        <v>2E-3</v>
      </c>
      <c r="I229" s="986"/>
      <c r="J229" s="988">
        <v>16407</v>
      </c>
    </row>
    <row r="230" spans="2:10">
      <c r="B230" s="988">
        <v>16438</v>
      </c>
      <c r="H230" s="986">
        <v>2.0999999999999999E-3</v>
      </c>
      <c r="I230" s="986"/>
      <c r="J230" s="988">
        <v>16438</v>
      </c>
    </row>
    <row r="231" spans="2:10">
      <c r="B231" s="988">
        <v>16469</v>
      </c>
      <c r="H231" s="986">
        <v>1.8E-3</v>
      </c>
      <c r="I231" s="986"/>
      <c r="J231" s="988">
        <v>16469</v>
      </c>
    </row>
    <row r="232" spans="2:10">
      <c r="B232" s="988">
        <v>16497</v>
      </c>
      <c r="H232" s="986">
        <v>2E-3</v>
      </c>
      <c r="I232" s="986"/>
      <c r="J232" s="988">
        <v>16497</v>
      </c>
    </row>
    <row r="233" spans="2:10">
      <c r="B233" s="988">
        <v>16528</v>
      </c>
      <c r="H233" s="986">
        <v>1.9E-3</v>
      </c>
      <c r="I233" s="986"/>
      <c r="J233" s="988">
        <v>16528</v>
      </c>
    </row>
    <row r="234" spans="2:10">
      <c r="B234" s="988">
        <v>16558</v>
      </c>
      <c r="H234" s="986">
        <v>1.9E-3</v>
      </c>
      <c r="I234" s="986"/>
      <c r="J234" s="988">
        <v>16558</v>
      </c>
    </row>
    <row r="235" spans="2:10">
      <c r="B235" s="988">
        <v>16589</v>
      </c>
      <c r="H235" s="986">
        <v>1.9E-3</v>
      </c>
      <c r="I235" s="986"/>
      <c r="J235" s="988">
        <v>16589</v>
      </c>
    </row>
    <row r="236" spans="2:10">
      <c r="B236" s="988">
        <v>16619</v>
      </c>
      <c r="H236" s="986">
        <v>1.8E-3</v>
      </c>
      <c r="I236" s="986"/>
      <c r="J236" s="988">
        <v>16619</v>
      </c>
    </row>
    <row r="237" spans="2:10">
      <c r="B237" s="988">
        <v>16650</v>
      </c>
      <c r="H237" s="986">
        <v>1.9E-3</v>
      </c>
      <c r="I237" s="986"/>
      <c r="J237" s="988">
        <v>16650</v>
      </c>
    </row>
    <row r="238" spans="2:10">
      <c r="B238" s="988">
        <v>16681</v>
      </c>
      <c r="H238" s="986">
        <v>1.8E-3</v>
      </c>
      <c r="I238" s="986"/>
      <c r="J238" s="988">
        <v>16681</v>
      </c>
    </row>
    <row r="239" spans="2:10">
      <c r="B239" s="988">
        <v>16711</v>
      </c>
      <c r="H239" s="986">
        <v>1.9E-3</v>
      </c>
      <c r="I239" s="986"/>
      <c r="J239" s="988">
        <v>16711</v>
      </c>
    </row>
    <row r="240" spans="2:10">
      <c r="B240" s="988">
        <v>16742</v>
      </c>
      <c r="H240" s="986">
        <v>1.8E-3</v>
      </c>
      <c r="I240" s="986"/>
      <c r="J240" s="988">
        <v>16742</v>
      </c>
    </row>
    <row r="241" spans="2:10">
      <c r="B241" s="988">
        <v>16772</v>
      </c>
      <c r="H241" s="986">
        <v>1.8E-3</v>
      </c>
      <c r="I241" s="986"/>
      <c r="J241" s="988">
        <v>16772</v>
      </c>
    </row>
    <row r="242" spans="2:10">
      <c r="B242" s="988">
        <v>16803</v>
      </c>
      <c r="H242" s="986">
        <v>1.6999999999999999E-3</v>
      </c>
      <c r="I242" s="986"/>
      <c r="J242" s="988">
        <v>16803</v>
      </c>
    </row>
    <row r="243" spans="2:10">
      <c r="B243" s="988">
        <v>16834</v>
      </c>
      <c r="H243" s="986">
        <v>1.5E-3</v>
      </c>
      <c r="I243" s="986"/>
      <c r="J243" s="988">
        <v>16834</v>
      </c>
    </row>
    <row r="244" spans="2:10">
      <c r="B244" s="988">
        <v>16862</v>
      </c>
      <c r="H244" s="986">
        <v>1.6000000000000001E-3</v>
      </c>
      <c r="I244" s="986"/>
      <c r="J244" s="988">
        <v>16862</v>
      </c>
    </row>
    <row r="245" spans="2:10">
      <c r="B245" s="988">
        <v>16893</v>
      </c>
      <c r="H245" s="986">
        <v>1.6999999999999999E-3</v>
      </c>
      <c r="I245" s="986"/>
      <c r="J245" s="988">
        <v>16893</v>
      </c>
    </row>
    <row r="246" spans="2:10">
      <c r="B246" s="988">
        <v>16923</v>
      </c>
      <c r="H246" s="986">
        <v>1.8E-3</v>
      </c>
      <c r="I246" s="986"/>
      <c r="J246" s="988">
        <v>16923</v>
      </c>
    </row>
    <row r="247" spans="2:10">
      <c r="B247" s="988">
        <v>16954</v>
      </c>
      <c r="H247" s="986">
        <v>1.6000000000000001E-3</v>
      </c>
      <c r="I247" s="986"/>
      <c r="J247" s="988">
        <v>16954</v>
      </c>
    </row>
    <row r="248" spans="2:10">
      <c r="B248" s="988">
        <v>16984</v>
      </c>
      <c r="H248" s="986">
        <v>1.9E-3</v>
      </c>
      <c r="I248" s="986"/>
      <c r="J248" s="988">
        <v>16984</v>
      </c>
    </row>
    <row r="249" spans="2:10">
      <c r="B249" s="988">
        <v>17015</v>
      </c>
      <c r="H249" s="986">
        <v>1.6999999999999999E-3</v>
      </c>
      <c r="I249" s="986"/>
      <c r="J249" s="988">
        <v>17015</v>
      </c>
    </row>
    <row r="250" spans="2:10">
      <c r="B250" s="988">
        <v>17046</v>
      </c>
      <c r="H250" s="986">
        <v>1.8E-3</v>
      </c>
      <c r="I250" s="986"/>
      <c r="J250" s="988">
        <v>17046</v>
      </c>
    </row>
    <row r="251" spans="2:10">
      <c r="B251" s="988">
        <v>17076</v>
      </c>
      <c r="H251" s="986">
        <v>1.9E-3</v>
      </c>
      <c r="I251" s="986"/>
      <c r="J251" s="988">
        <v>17076</v>
      </c>
    </row>
    <row r="252" spans="2:10">
      <c r="B252" s="988">
        <v>17107</v>
      </c>
      <c r="H252" s="986">
        <v>1.8E-3</v>
      </c>
      <c r="I252" s="986"/>
      <c r="J252" s="988">
        <v>17107</v>
      </c>
    </row>
    <row r="253" spans="2:10">
      <c r="B253" s="988">
        <v>17137</v>
      </c>
      <c r="H253" s="986">
        <v>1.9E-3</v>
      </c>
      <c r="I253" s="986"/>
      <c r="J253" s="988">
        <v>17137</v>
      </c>
    </row>
    <row r="254" spans="2:10">
      <c r="B254" s="988">
        <v>17168</v>
      </c>
      <c r="H254" s="986">
        <v>1.8E-3</v>
      </c>
      <c r="I254" s="986"/>
      <c r="J254" s="988">
        <v>17168</v>
      </c>
    </row>
    <row r="255" spans="2:10">
      <c r="B255" s="988">
        <v>17199</v>
      </c>
      <c r="H255" s="986">
        <v>1.6000000000000001E-3</v>
      </c>
      <c r="I255" s="986"/>
      <c r="J255" s="988">
        <v>17199</v>
      </c>
    </row>
    <row r="256" spans="2:10">
      <c r="B256" s="988">
        <v>17227</v>
      </c>
      <c r="H256" s="986">
        <v>1.8E-3</v>
      </c>
      <c r="I256" s="986"/>
      <c r="J256" s="988">
        <v>17227</v>
      </c>
    </row>
    <row r="257" spans="2:10">
      <c r="B257" s="988">
        <v>17258</v>
      </c>
      <c r="H257" s="986">
        <v>1.6999999999999999E-3</v>
      </c>
      <c r="I257" s="986"/>
      <c r="J257" s="988">
        <v>17258</v>
      </c>
    </row>
    <row r="258" spans="2:10">
      <c r="B258" s="988">
        <v>17288</v>
      </c>
      <c r="H258" s="986">
        <v>1.6999999999999999E-3</v>
      </c>
      <c r="I258" s="986"/>
      <c r="J258" s="988">
        <v>17288</v>
      </c>
    </row>
    <row r="259" spans="2:10">
      <c r="B259" s="988">
        <v>17319</v>
      </c>
      <c r="H259" s="986">
        <v>1.9E-3</v>
      </c>
      <c r="I259" s="986"/>
      <c r="J259" s="988">
        <v>17319</v>
      </c>
    </row>
    <row r="260" spans="2:10">
      <c r="B260" s="988">
        <v>17349</v>
      </c>
      <c r="H260" s="986">
        <v>1.8E-3</v>
      </c>
      <c r="I260" s="986"/>
      <c r="J260" s="988">
        <v>17349</v>
      </c>
    </row>
    <row r="261" spans="2:10">
      <c r="B261" s="988">
        <v>17380</v>
      </c>
      <c r="H261" s="986">
        <v>1.6999999999999999E-3</v>
      </c>
      <c r="I261" s="986"/>
      <c r="J261" s="988">
        <v>17380</v>
      </c>
    </row>
    <row r="262" spans="2:10">
      <c r="B262" s="988">
        <v>17411</v>
      </c>
      <c r="H262" s="986">
        <v>1.8E-3</v>
      </c>
      <c r="I262" s="986"/>
      <c r="J262" s="988">
        <v>17411</v>
      </c>
    </row>
    <row r="263" spans="2:10">
      <c r="B263" s="988">
        <v>17441</v>
      </c>
      <c r="H263" s="986">
        <v>1.8E-3</v>
      </c>
      <c r="I263" s="986"/>
      <c r="J263" s="988">
        <v>17441</v>
      </c>
    </row>
    <row r="264" spans="2:10">
      <c r="B264" s="988">
        <v>17472</v>
      </c>
      <c r="H264" s="986">
        <v>1.6999999999999999E-3</v>
      </c>
      <c r="I264" s="986"/>
      <c r="J264" s="988">
        <v>17472</v>
      </c>
    </row>
    <row r="265" spans="2:10">
      <c r="B265" s="988">
        <v>17502</v>
      </c>
      <c r="H265" s="986">
        <v>2.0999999999999999E-3</v>
      </c>
      <c r="I265" s="986"/>
      <c r="J265" s="988">
        <v>17502</v>
      </c>
    </row>
    <row r="266" spans="2:10">
      <c r="B266" s="988">
        <v>17533</v>
      </c>
      <c r="H266" s="986">
        <v>2E-3</v>
      </c>
      <c r="I266" s="986"/>
      <c r="J266" s="988">
        <v>17533</v>
      </c>
    </row>
    <row r="267" spans="2:10">
      <c r="B267" s="988">
        <v>17564</v>
      </c>
      <c r="H267" s="986">
        <v>1.9E-3</v>
      </c>
      <c r="I267" s="986"/>
      <c r="J267" s="988">
        <v>17564</v>
      </c>
    </row>
    <row r="268" spans="2:10">
      <c r="B268" s="988">
        <v>17593</v>
      </c>
      <c r="H268" s="986">
        <v>2.2000000000000001E-3</v>
      </c>
      <c r="I268" s="986"/>
      <c r="J268" s="988">
        <v>17593</v>
      </c>
    </row>
    <row r="269" spans="2:10">
      <c r="B269" s="988">
        <v>17624</v>
      </c>
      <c r="H269" s="986">
        <v>2E-3</v>
      </c>
      <c r="I269" s="986"/>
      <c r="J269" s="988">
        <v>17624</v>
      </c>
    </row>
    <row r="270" spans="2:10">
      <c r="B270" s="988">
        <v>17654</v>
      </c>
      <c r="H270" s="986">
        <v>1.8E-3</v>
      </c>
      <c r="I270" s="986"/>
      <c r="J270" s="988">
        <v>17654</v>
      </c>
    </row>
    <row r="271" spans="2:10">
      <c r="B271" s="988">
        <v>17685</v>
      </c>
      <c r="H271" s="986">
        <v>2.0999999999999999E-3</v>
      </c>
      <c r="I271" s="986"/>
      <c r="J271" s="988">
        <v>17685</v>
      </c>
    </row>
    <row r="272" spans="2:10">
      <c r="B272" s="988">
        <v>17715</v>
      </c>
      <c r="H272" s="986">
        <v>1.9E-3</v>
      </c>
      <c r="I272" s="986"/>
      <c r="J272" s="988">
        <v>17715</v>
      </c>
    </row>
    <row r="273" spans="2:10">
      <c r="B273" s="988">
        <v>17746</v>
      </c>
      <c r="H273" s="986">
        <v>2.0999999999999999E-3</v>
      </c>
      <c r="I273" s="986"/>
      <c r="J273" s="988">
        <v>17746</v>
      </c>
    </row>
    <row r="274" spans="2:10">
      <c r="B274" s="988">
        <v>17777</v>
      </c>
      <c r="H274" s="986">
        <v>2E-3</v>
      </c>
      <c r="I274" s="986"/>
      <c r="J274" s="988">
        <v>17777</v>
      </c>
    </row>
    <row r="275" spans="2:10">
      <c r="B275" s="988">
        <v>17807</v>
      </c>
      <c r="H275" s="986">
        <v>1.9E-3</v>
      </c>
      <c r="I275" s="986"/>
      <c r="J275" s="988">
        <v>17807</v>
      </c>
    </row>
    <row r="276" spans="2:10">
      <c r="B276" s="988">
        <v>17838</v>
      </c>
      <c r="H276" s="986">
        <v>2.0999999999999999E-3</v>
      </c>
      <c r="I276" s="986"/>
      <c r="J276" s="988">
        <v>17838</v>
      </c>
    </row>
    <row r="277" spans="2:10">
      <c r="B277" s="988">
        <v>17868</v>
      </c>
      <c r="H277" s="986">
        <v>2E-3</v>
      </c>
      <c r="I277" s="986"/>
      <c r="J277" s="988">
        <v>17868</v>
      </c>
    </row>
    <row r="278" spans="2:10">
      <c r="B278" s="988">
        <v>17899</v>
      </c>
      <c r="H278" s="986">
        <v>2E-3</v>
      </c>
      <c r="I278" s="986"/>
      <c r="J278" s="988">
        <v>17899</v>
      </c>
    </row>
    <row r="279" spans="2:10">
      <c r="B279" s="988">
        <v>17930</v>
      </c>
      <c r="H279" s="986">
        <v>1.8E-3</v>
      </c>
      <c r="I279" s="986"/>
      <c r="J279" s="988">
        <v>17930</v>
      </c>
    </row>
    <row r="280" spans="2:10">
      <c r="B280" s="988">
        <v>17958</v>
      </c>
      <c r="H280" s="986">
        <v>1.9E-3</v>
      </c>
      <c r="I280" s="986"/>
      <c r="J280" s="988">
        <v>17958</v>
      </c>
    </row>
    <row r="281" spans="2:10">
      <c r="B281" s="988">
        <v>17989</v>
      </c>
      <c r="H281" s="986">
        <v>1.8E-3</v>
      </c>
      <c r="I281" s="986"/>
      <c r="J281" s="988">
        <v>17989</v>
      </c>
    </row>
    <row r="282" spans="2:10">
      <c r="B282" s="988">
        <v>18019</v>
      </c>
      <c r="H282" s="986">
        <v>2E-3</v>
      </c>
      <c r="I282" s="986"/>
      <c r="J282" s="988">
        <v>18019</v>
      </c>
    </row>
    <row r="283" spans="2:10">
      <c r="B283" s="988">
        <v>18050</v>
      </c>
      <c r="H283" s="986">
        <v>1.9E-3</v>
      </c>
      <c r="I283" s="986"/>
      <c r="J283" s="988">
        <v>18050</v>
      </c>
    </row>
    <row r="284" spans="2:10">
      <c r="B284" s="988">
        <v>18080</v>
      </c>
      <c r="H284" s="986">
        <v>1.6999999999999999E-3</v>
      </c>
      <c r="I284" s="986"/>
      <c r="J284" s="988">
        <v>18080</v>
      </c>
    </row>
    <row r="285" spans="2:10">
      <c r="B285" s="988">
        <v>18111</v>
      </c>
      <c r="H285" s="986">
        <v>1.9E-3</v>
      </c>
      <c r="I285" s="986"/>
      <c r="J285" s="988">
        <v>18111</v>
      </c>
    </row>
    <row r="286" spans="2:10">
      <c r="B286" s="988">
        <v>18142</v>
      </c>
      <c r="H286" s="986">
        <v>1.6999999999999999E-3</v>
      </c>
      <c r="I286" s="986"/>
      <c r="J286" s="988">
        <v>18142</v>
      </c>
    </row>
    <row r="287" spans="2:10">
      <c r="B287" s="988">
        <v>18172</v>
      </c>
      <c r="H287" s="986">
        <v>1.8E-3</v>
      </c>
      <c r="I287" s="986"/>
      <c r="J287" s="988">
        <v>18172</v>
      </c>
    </row>
    <row r="288" spans="2:10">
      <c r="B288" s="988">
        <v>18203</v>
      </c>
      <c r="H288" s="986">
        <v>1.6999999999999999E-3</v>
      </c>
      <c r="I288" s="986"/>
      <c r="J288" s="988">
        <v>18203</v>
      </c>
    </row>
    <row r="289" spans="2:10">
      <c r="B289" s="988">
        <v>18233</v>
      </c>
      <c r="H289" s="986">
        <v>1.6999999999999999E-3</v>
      </c>
      <c r="I289" s="986"/>
      <c r="J289" s="988">
        <v>18233</v>
      </c>
    </row>
    <row r="290" spans="2:10">
      <c r="B290" s="988">
        <v>18264</v>
      </c>
      <c r="H290" s="986">
        <v>1.8E-3</v>
      </c>
      <c r="I290" s="986"/>
      <c r="J290" s="988">
        <v>18264</v>
      </c>
    </row>
    <row r="291" spans="2:10">
      <c r="B291" s="988">
        <v>18295</v>
      </c>
      <c r="H291" s="986">
        <v>1.6000000000000001E-3</v>
      </c>
      <c r="I291" s="986"/>
      <c r="J291" s="988">
        <v>18295</v>
      </c>
    </row>
    <row r="292" spans="2:10">
      <c r="B292" s="988">
        <v>18323</v>
      </c>
      <c r="H292" s="986">
        <v>1.8E-3</v>
      </c>
      <c r="I292" s="986"/>
      <c r="J292" s="988">
        <v>18323</v>
      </c>
    </row>
    <row r="293" spans="2:10">
      <c r="B293" s="988">
        <v>18354</v>
      </c>
      <c r="H293" s="986">
        <v>1.6000000000000001E-3</v>
      </c>
      <c r="I293" s="986"/>
      <c r="J293" s="988">
        <v>18354</v>
      </c>
    </row>
    <row r="294" spans="2:10">
      <c r="B294" s="988">
        <v>18384</v>
      </c>
      <c r="H294" s="986">
        <v>1.9E-3</v>
      </c>
      <c r="I294" s="986"/>
      <c r="J294" s="988">
        <v>18384</v>
      </c>
    </row>
    <row r="295" spans="2:10">
      <c r="B295" s="988">
        <v>18415</v>
      </c>
      <c r="H295" s="986">
        <v>1.6999999999999999E-3</v>
      </c>
      <c r="I295" s="986"/>
      <c r="J295" s="988">
        <v>18415</v>
      </c>
    </row>
    <row r="296" spans="2:10">
      <c r="B296" s="988">
        <v>18445</v>
      </c>
      <c r="H296" s="986">
        <v>1.8E-3</v>
      </c>
      <c r="I296" s="986"/>
      <c r="J296" s="988">
        <v>18445</v>
      </c>
    </row>
    <row r="297" spans="2:10">
      <c r="B297" s="988">
        <v>18476</v>
      </c>
      <c r="H297" s="986">
        <v>1.8E-3</v>
      </c>
      <c r="I297" s="986"/>
      <c r="J297" s="988">
        <v>18476</v>
      </c>
    </row>
    <row r="298" spans="2:10">
      <c r="B298" s="988">
        <v>18507</v>
      </c>
      <c r="H298" s="986">
        <v>1.6999999999999999E-3</v>
      </c>
      <c r="I298" s="986"/>
      <c r="J298" s="988">
        <v>18507</v>
      </c>
    </row>
    <row r="299" spans="2:10">
      <c r="B299" s="988">
        <v>18537</v>
      </c>
      <c r="H299" s="986">
        <v>1.9E-3</v>
      </c>
      <c r="I299" s="986"/>
      <c r="J299" s="988">
        <v>18537</v>
      </c>
    </row>
    <row r="300" spans="2:10">
      <c r="B300" s="988">
        <v>18568</v>
      </c>
      <c r="H300" s="986">
        <v>1.8E-3</v>
      </c>
      <c r="I300" s="986"/>
      <c r="J300" s="988">
        <v>18568</v>
      </c>
    </row>
    <row r="301" spans="2:10">
      <c r="B301" s="988">
        <v>18598</v>
      </c>
      <c r="H301" s="986">
        <v>1.8E-3</v>
      </c>
      <c r="I301" s="986"/>
      <c r="J301" s="988">
        <v>18598</v>
      </c>
    </row>
    <row r="302" spans="2:10">
      <c r="B302" s="988">
        <v>18629</v>
      </c>
      <c r="H302" s="986">
        <v>2E-3</v>
      </c>
      <c r="I302" s="986"/>
      <c r="J302" s="988">
        <v>18629</v>
      </c>
    </row>
    <row r="303" spans="2:10">
      <c r="B303" s="988">
        <v>18660</v>
      </c>
      <c r="H303" s="986">
        <v>1.6999999999999999E-3</v>
      </c>
      <c r="I303" s="986"/>
      <c r="J303" s="988">
        <v>18660</v>
      </c>
    </row>
    <row r="304" spans="2:10">
      <c r="B304" s="988">
        <v>18688</v>
      </c>
      <c r="H304" s="986">
        <v>1.9E-3</v>
      </c>
      <c r="I304" s="986"/>
      <c r="J304" s="988">
        <v>18688</v>
      </c>
    </row>
    <row r="305" spans="2:10">
      <c r="B305" s="988">
        <v>18719</v>
      </c>
      <c r="H305" s="986">
        <v>2E-3</v>
      </c>
      <c r="I305" s="986"/>
      <c r="J305" s="988">
        <v>18719</v>
      </c>
    </row>
    <row r="306" spans="2:10">
      <c r="B306" s="988">
        <v>18749</v>
      </c>
      <c r="H306" s="986">
        <v>2.0999999999999999E-3</v>
      </c>
      <c r="I306" s="986"/>
      <c r="J306" s="988">
        <v>18749</v>
      </c>
    </row>
    <row r="307" spans="2:10">
      <c r="B307" s="988">
        <v>18780</v>
      </c>
      <c r="H307" s="986">
        <v>2E-3</v>
      </c>
      <c r="I307" s="986"/>
      <c r="J307" s="988">
        <v>18780</v>
      </c>
    </row>
    <row r="308" spans="2:10">
      <c r="B308" s="988">
        <v>18810</v>
      </c>
      <c r="H308" s="986">
        <v>2.3E-3</v>
      </c>
      <c r="I308" s="986"/>
      <c r="J308" s="988">
        <v>18810</v>
      </c>
    </row>
    <row r="309" spans="2:10">
      <c r="B309" s="988">
        <v>18841</v>
      </c>
      <c r="H309" s="986">
        <v>2.0999999999999999E-3</v>
      </c>
      <c r="I309" s="986"/>
      <c r="J309" s="988">
        <v>18841</v>
      </c>
    </row>
    <row r="310" spans="2:10">
      <c r="B310" s="988">
        <v>18872</v>
      </c>
      <c r="H310" s="986">
        <v>1.9E-3</v>
      </c>
      <c r="I310" s="986"/>
      <c r="J310" s="988">
        <v>18872</v>
      </c>
    </row>
    <row r="311" spans="2:10">
      <c r="B311" s="988">
        <v>18902</v>
      </c>
      <c r="H311" s="986">
        <v>2.3E-3</v>
      </c>
      <c r="I311" s="986"/>
      <c r="J311" s="988">
        <v>18902</v>
      </c>
    </row>
    <row r="312" spans="2:10">
      <c r="B312" s="988">
        <v>18933</v>
      </c>
      <c r="H312" s="986">
        <v>2.0999999999999999E-3</v>
      </c>
      <c r="I312" s="986"/>
      <c r="J312" s="988">
        <v>18933</v>
      </c>
    </row>
    <row r="313" spans="2:10">
      <c r="B313" s="988">
        <v>18963</v>
      </c>
      <c r="H313" s="986">
        <v>2.2000000000000001E-3</v>
      </c>
      <c r="I313" s="986"/>
      <c r="J313" s="988">
        <v>18963</v>
      </c>
    </row>
    <row r="314" spans="2:10">
      <c r="B314" s="988">
        <v>18994</v>
      </c>
      <c r="H314" s="986">
        <v>2.3E-3</v>
      </c>
      <c r="I314" s="986"/>
      <c r="J314" s="988">
        <v>18994</v>
      </c>
    </row>
    <row r="315" spans="2:10">
      <c r="B315" s="988">
        <v>19025</v>
      </c>
      <c r="H315" s="986">
        <v>2.0999999999999999E-3</v>
      </c>
      <c r="I315" s="986"/>
      <c r="J315" s="988">
        <v>19025</v>
      </c>
    </row>
    <row r="316" spans="2:10">
      <c r="B316" s="988">
        <v>19054</v>
      </c>
      <c r="H316" s="986">
        <v>2.3E-3</v>
      </c>
      <c r="I316" s="986"/>
      <c r="J316" s="988">
        <v>19054</v>
      </c>
    </row>
    <row r="317" spans="2:10">
      <c r="B317" s="988">
        <v>19085</v>
      </c>
      <c r="H317" s="986">
        <v>2.2000000000000001E-3</v>
      </c>
      <c r="I317" s="986"/>
      <c r="J317" s="988">
        <v>19085</v>
      </c>
    </row>
    <row r="318" spans="2:10">
      <c r="B318" s="988">
        <v>19115</v>
      </c>
      <c r="H318" s="986">
        <v>2E-3</v>
      </c>
      <c r="I318" s="986"/>
      <c r="J318" s="988">
        <v>19115</v>
      </c>
    </row>
    <row r="319" spans="2:10">
      <c r="B319" s="988">
        <v>19146</v>
      </c>
      <c r="H319" s="986">
        <v>2.2000000000000001E-3</v>
      </c>
      <c r="I319" s="986"/>
      <c r="J319" s="988">
        <v>19146</v>
      </c>
    </row>
    <row r="320" spans="2:10">
      <c r="B320" s="988">
        <v>19176</v>
      </c>
      <c r="H320" s="986">
        <v>2.2000000000000001E-3</v>
      </c>
      <c r="I320" s="986"/>
      <c r="J320" s="988">
        <v>19176</v>
      </c>
    </row>
    <row r="321" spans="2:10">
      <c r="B321" s="988">
        <v>19207</v>
      </c>
      <c r="H321" s="986">
        <v>2.0999999999999999E-3</v>
      </c>
      <c r="I321" s="986"/>
      <c r="J321" s="988">
        <v>19207</v>
      </c>
    </row>
    <row r="322" spans="2:10">
      <c r="B322" s="988">
        <v>19238</v>
      </c>
      <c r="H322" s="986">
        <v>2.3E-3</v>
      </c>
      <c r="I322" s="986"/>
      <c r="J322" s="988">
        <v>19238</v>
      </c>
    </row>
    <row r="323" spans="2:10">
      <c r="B323" s="988">
        <v>19268</v>
      </c>
      <c r="H323" s="986">
        <v>2.3E-3</v>
      </c>
      <c r="I323" s="986"/>
      <c r="J323" s="988">
        <v>19268</v>
      </c>
    </row>
    <row r="324" spans="2:10">
      <c r="B324" s="988">
        <v>19299</v>
      </c>
      <c r="H324" s="986">
        <v>2.0999999999999999E-3</v>
      </c>
      <c r="I324" s="986"/>
      <c r="J324" s="988">
        <v>19299</v>
      </c>
    </row>
    <row r="325" spans="2:10">
      <c r="B325" s="988">
        <v>19329</v>
      </c>
      <c r="H325" s="986">
        <v>2.3999999999999998E-3</v>
      </c>
      <c r="I325" s="986"/>
      <c r="J325" s="988">
        <v>19329</v>
      </c>
    </row>
    <row r="326" spans="2:10">
      <c r="B326" s="988">
        <v>19360</v>
      </c>
      <c r="H326" s="986">
        <v>2.3E-3</v>
      </c>
      <c r="I326" s="986"/>
      <c r="J326" s="988">
        <v>19360</v>
      </c>
    </row>
    <row r="327" spans="2:10">
      <c r="B327" s="988">
        <v>19391</v>
      </c>
      <c r="H327" s="986">
        <v>2.0999999999999999E-3</v>
      </c>
      <c r="I327" s="986"/>
      <c r="J327" s="988">
        <v>19391</v>
      </c>
    </row>
    <row r="328" spans="2:10">
      <c r="B328" s="988">
        <v>19419</v>
      </c>
      <c r="H328" s="986">
        <v>2.5000000000000001E-3</v>
      </c>
      <c r="I328" s="986"/>
      <c r="J328" s="988">
        <v>19419</v>
      </c>
    </row>
    <row r="329" spans="2:10">
      <c r="B329" s="988">
        <v>19450</v>
      </c>
      <c r="H329" s="986">
        <v>2.3999999999999998E-3</v>
      </c>
      <c r="I329" s="986"/>
      <c r="J329" s="988">
        <v>19450</v>
      </c>
    </row>
    <row r="330" spans="2:10">
      <c r="B330" s="988">
        <v>19480</v>
      </c>
      <c r="H330" s="986">
        <v>2.3999999999999998E-3</v>
      </c>
      <c r="I330" s="986"/>
      <c r="J330" s="988">
        <v>19480</v>
      </c>
    </row>
    <row r="331" spans="2:10">
      <c r="B331" s="988">
        <v>19511</v>
      </c>
      <c r="H331" s="986">
        <v>2.7000000000000001E-3</v>
      </c>
      <c r="I331" s="986"/>
      <c r="J331" s="988">
        <v>19511</v>
      </c>
    </row>
    <row r="332" spans="2:10">
      <c r="B332" s="988">
        <v>19541</v>
      </c>
      <c r="H332" s="986">
        <v>2.5000000000000001E-3</v>
      </c>
      <c r="I332" s="986"/>
      <c r="J332" s="988">
        <v>19541</v>
      </c>
    </row>
    <row r="333" spans="2:10">
      <c r="B333" s="988">
        <v>19572</v>
      </c>
      <c r="H333" s="986">
        <v>2.5000000000000001E-3</v>
      </c>
      <c r="I333" s="986"/>
      <c r="J333" s="988">
        <v>19572</v>
      </c>
    </row>
    <row r="334" spans="2:10">
      <c r="B334" s="988">
        <v>19603</v>
      </c>
      <c r="H334" s="986">
        <v>2.5000000000000001E-3</v>
      </c>
      <c r="I334" s="986"/>
      <c r="J334" s="988">
        <v>19603</v>
      </c>
    </row>
    <row r="335" spans="2:10">
      <c r="B335" s="988">
        <v>19633</v>
      </c>
      <c r="H335" s="986">
        <v>2.3E-3</v>
      </c>
      <c r="I335" s="986"/>
      <c r="J335" s="988">
        <v>19633</v>
      </c>
    </row>
    <row r="336" spans="2:10">
      <c r="B336" s="988">
        <v>19664</v>
      </c>
      <c r="H336" s="986">
        <v>2.3999999999999998E-3</v>
      </c>
      <c r="I336" s="986"/>
      <c r="J336" s="988">
        <v>19664</v>
      </c>
    </row>
    <row r="337" spans="2:10">
      <c r="B337" s="988">
        <v>19694</v>
      </c>
      <c r="H337" s="986">
        <v>2.3999999999999998E-3</v>
      </c>
      <c r="I337" s="986"/>
      <c r="J337" s="988">
        <v>19694</v>
      </c>
    </row>
    <row r="338" spans="2:10">
      <c r="B338" s="988">
        <v>19725</v>
      </c>
      <c r="H338" s="986">
        <v>2.3E-3</v>
      </c>
      <c r="I338" s="986"/>
      <c r="J338" s="988">
        <v>19725</v>
      </c>
    </row>
    <row r="339" spans="2:10">
      <c r="B339" s="988">
        <v>19756</v>
      </c>
      <c r="H339" s="986">
        <v>2.2000000000000001E-3</v>
      </c>
      <c r="I339" s="986"/>
      <c r="J339" s="988">
        <v>19756</v>
      </c>
    </row>
    <row r="340" spans="2:10">
      <c r="B340" s="988">
        <v>19784</v>
      </c>
      <c r="H340" s="986">
        <v>2.5000000000000001E-3</v>
      </c>
      <c r="I340" s="986"/>
      <c r="J340" s="988">
        <v>19784</v>
      </c>
    </row>
    <row r="341" spans="2:10">
      <c r="B341" s="988">
        <v>19815</v>
      </c>
      <c r="H341" s="986">
        <v>2.2000000000000001E-3</v>
      </c>
      <c r="I341" s="986"/>
      <c r="J341" s="988">
        <v>19815</v>
      </c>
    </row>
    <row r="342" spans="2:10">
      <c r="B342" s="988">
        <v>19845</v>
      </c>
      <c r="H342" s="986">
        <v>2E-3</v>
      </c>
      <c r="I342" s="986"/>
      <c r="J342" s="988">
        <v>19845</v>
      </c>
    </row>
    <row r="343" spans="2:10">
      <c r="B343" s="988">
        <v>19876</v>
      </c>
      <c r="H343" s="986">
        <v>2.5000000000000001E-3</v>
      </c>
      <c r="I343" s="986"/>
      <c r="J343" s="988">
        <v>19876</v>
      </c>
    </row>
    <row r="344" spans="2:10">
      <c r="B344" s="988">
        <v>19906</v>
      </c>
      <c r="H344" s="986">
        <v>2.2000000000000001E-3</v>
      </c>
      <c r="I344" s="986"/>
      <c r="J344" s="988">
        <v>19906</v>
      </c>
    </row>
    <row r="345" spans="2:10">
      <c r="B345" s="988">
        <v>19937</v>
      </c>
      <c r="H345" s="986">
        <v>2.3E-3</v>
      </c>
      <c r="I345" s="986"/>
      <c r="J345" s="988">
        <v>19937</v>
      </c>
    </row>
    <row r="346" spans="2:10">
      <c r="B346" s="988">
        <v>19968</v>
      </c>
      <c r="H346" s="986">
        <v>2.2000000000000001E-3</v>
      </c>
      <c r="I346" s="986"/>
      <c r="J346" s="988">
        <v>19968</v>
      </c>
    </row>
    <row r="347" spans="2:10">
      <c r="B347" s="988">
        <v>19998</v>
      </c>
      <c r="H347" s="986">
        <v>2.0999999999999999E-3</v>
      </c>
      <c r="I347" s="986"/>
      <c r="J347" s="988">
        <v>19998</v>
      </c>
    </row>
    <row r="348" spans="2:10">
      <c r="B348" s="988">
        <v>20029</v>
      </c>
      <c r="H348" s="986">
        <v>2.3E-3</v>
      </c>
      <c r="I348" s="986"/>
      <c r="J348" s="988">
        <v>20029</v>
      </c>
    </row>
    <row r="349" spans="2:10">
      <c r="B349" s="988">
        <v>20059</v>
      </c>
      <c r="H349" s="986">
        <v>2.3E-3</v>
      </c>
      <c r="I349" s="986"/>
      <c r="J349" s="988">
        <v>20059</v>
      </c>
    </row>
    <row r="350" spans="2:10">
      <c r="B350" s="988">
        <v>20090</v>
      </c>
      <c r="H350" s="986">
        <v>2.2000000000000001E-3</v>
      </c>
      <c r="I350" s="986"/>
      <c r="J350" s="988">
        <v>20090</v>
      </c>
    </row>
    <row r="351" spans="2:10">
      <c r="B351" s="988">
        <v>20121</v>
      </c>
      <c r="H351" s="986">
        <v>2.2000000000000001E-3</v>
      </c>
      <c r="I351" s="986"/>
      <c r="J351" s="988">
        <v>20121</v>
      </c>
    </row>
    <row r="352" spans="2:10">
      <c r="B352" s="988">
        <v>20149</v>
      </c>
      <c r="H352" s="986">
        <v>2.3999999999999998E-3</v>
      </c>
      <c r="I352" s="986"/>
      <c r="J352" s="988">
        <v>20149</v>
      </c>
    </row>
    <row r="353" spans="2:10">
      <c r="B353" s="988">
        <v>20180</v>
      </c>
      <c r="H353" s="986">
        <v>2.2000000000000001E-3</v>
      </c>
      <c r="I353" s="986"/>
      <c r="J353" s="988">
        <v>20180</v>
      </c>
    </row>
    <row r="354" spans="2:10">
      <c r="B354" s="988">
        <v>20210</v>
      </c>
      <c r="H354" s="986">
        <v>2.5000000000000001E-3</v>
      </c>
      <c r="I354" s="986"/>
      <c r="J354" s="988">
        <v>20210</v>
      </c>
    </row>
    <row r="355" spans="2:10">
      <c r="B355" s="988">
        <v>20241</v>
      </c>
      <c r="H355" s="986">
        <v>2.3E-3</v>
      </c>
      <c r="I355" s="986"/>
      <c r="J355" s="988">
        <v>20241</v>
      </c>
    </row>
    <row r="356" spans="2:10">
      <c r="B356" s="988">
        <v>20271</v>
      </c>
      <c r="H356" s="986">
        <v>2.3E-3</v>
      </c>
      <c r="I356" s="986"/>
      <c r="J356" s="988">
        <v>20271</v>
      </c>
    </row>
    <row r="357" spans="2:10">
      <c r="B357" s="988">
        <v>20302</v>
      </c>
      <c r="H357" s="986">
        <v>2.7000000000000001E-3</v>
      </c>
      <c r="I357" s="986"/>
      <c r="J357" s="988">
        <v>20302</v>
      </c>
    </row>
    <row r="358" spans="2:10">
      <c r="B358" s="988">
        <v>20333</v>
      </c>
      <c r="H358" s="986">
        <v>2.3999999999999998E-3</v>
      </c>
      <c r="I358" s="986"/>
      <c r="J358" s="988">
        <v>20333</v>
      </c>
    </row>
    <row r="359" spans="2:10">
      <c r="B359" s="988">
        <v>20363</v>
      </c>
      <c r="H359" s="986">
        <v>2.5000000000000001E-3</v>
      </c>
      <c r="I359" s="986"/>
      <c r="J359" s="988">
        <v>20363</v>
      </c>
    </row>
    <row r="360" spans="2:10">
      <c r="B360" s="988">
        <v>20394</v>
      </c>
      <c r="H360" s="986">
        <v>2.3999999999999998E-3</v>
      </c>
      <c r="I360" s="986"/>
      <c r="J360" s="988">
        <v>20394</v>
      </c>
    </row>
    <row r="361" spans="2:10">
      <c r="B361" s="988">
        <v>20424</v>
      </c>
      <c r="H361" s="986">
        <v>2.3999999999999998E-3</v>
      </c>
      <c r="I361" s="986"/>
      <c r="J361" s="988">
        <v>20424</v>
      </c>
    </row>
    <row r="362" spans="2:10">
      <c r="B362" s="988">
        <v>20455</v>
      </c>
      <c r="H362" s="986">
        <v>2.5000000000000001E-3</v>
      </c>
      <c r="I362" s="986"/>
      <c r="J362" s="988">
        <v>20455</v>
      </c>
    </row>
    <row r="363" spans="2:10">
      <c r="B363" s="988">
        <v>20486</v>
      </c>
      <c r="H363" s="986">
        <v>2.3E-3</v>
      </c>
      <c r="I363" s="986"/>
      <c r="J363" s="988">
        <v>20486</v>
      </c>
    </row>
    <row r="364" spans="2:10">
      <c r="B364" s="988">
        <v>20515</v>
      </c>
      <c r="H364" s="986">
        <v>2.3E-3</v>
      </c>
      <c r="I364" s="986"/>
      <c r="J364" s="988">
        <v>20515</v>
      </c>
    </row>
    <row r="365" spans="2:10">
      <c r="B365" s="988">
        <v>20546</v>
      </c>
      <c r="H365" s="986">
        <v>2.5999999999999999E-3</v>
      </c>
      <c r="I365" s="986"/>
      <c r="J365" s="988">
        <v>20546</v>
      </c>
    </row>
    <row r="366" spans="2:10">
      <c r="B366" s="988">
        <v>20576</v>
      </c>
      <c r="H366" s="986">
        <v>2.5999999999999999E-3</v>
      </c>
      <c r="I366" s="986"/>
      <c r="J366" s="988">
        <v>20576</v>
      </c>
    </row>
    <row r="367" spans="2:10">
      <c r="B367" s="988">
        <v>20607</v>
      </c>
      <c r="H367" s="986">
        <v>2.3E-3</v>
      </c>
      <c r="I367" s="986"/>
      <c r="J367" s="988">
        <v>20607</v>
      </c>
    </row>
    <row r="368" spans="2:10">
      <c r="B368" s="988">
        <v>20637</v>
      </c>
      <c r="H368" s="986">
        <v>2.5999999999999999E-3</v>
      </c>
      <c r="I368" s="986"/>
      <c r="J368" s="988">
        <v>20637</v>
      </c>
    </row>
    <row r="369" spans="2:10">
      <c r="B369" s="988">
        <v>20668</v>
      </c>
      <c r="H369" s="986">
        <v>2.5999999999999999E-3</v>
      </c>
      <c r="I369" s="986"/>
      <c r="J369" s="988">
        <v>20668</v>
      </c>
    </row>
    <row r="370" spans="2:10">
      <c r="B370" s="988">
        <v>20699</v>
      </c>
      <c r="H370" s="986">
        <v>2.5000000000000001E-3</v>
      </c>
      <c r="I370" s="986"/>
      <c r="J370" s="988">
        <v>20699</v>
      </c>
    </row>
    <row r="371" spans="2:10">
      <c r="B371" s="988">
        <v>20729</v>
      </c>
      <c r="H371" s="986">
        <v>2.8999999999999998E-3</v>
      </c>
      <c r="I371" s="986"/>
      <c r="J371" s="988">
        <v>20729</v>
      </c>
    </row>
    <row r="372" spans="2:10">
      <c r="B372" s="988">
        <v>20760</v>
      </c>
      <c r="H372" s="986">
        <v>2.7000000000000001E-3</v>
      </c>
      <c r="I372" s="986"/>
      <c r="J372" s="988">
        <v>20760</v>
      </c>
    </row>
    <row r="373" spans="2:10">
      <c r="B373" s="988">
        <v>20790</v>
      </c>
      <c r="H373" s="986">
        <v>2.8E-3</v>
      </c>
      <c r="I373" s="986"/>
      <c r="J373" s="988">
        <v>20790</v>
      </c>
    </row>
    <row r="374" spans="2:10">
      <c r="B374" s="988">
        <v>20821</v>
      </c>
      <c r="H374" s="986">
        <v>2.8999999999999998E-3</v>
      </c>
      <c r="I374" s="986"/>
      <c r="J374" s="988">
        <v>20821</v>
      </c>
    </row>
    <row r="375" spans="2:10">
      <c r="B375" s="988">
        <v>20852</v>
      </c>
      <c r="H375" s="986">
        <v>2.5000000000000001E-3</v>
      </c>
      <c r="I375" s="986"/>
      <c r="J375" s="988">
        <v>20852</v>
      </c>
    </row>
    <row r="376" spans="2:10">
      <c r="B376" s="988">
        <v>20880</v>
      </c>
      <c r="H376" s="986">
        <v>2.5999999999999999E-3</v>
      </c>
      <c r="I376" s="986"/>
      <c r="J376" s="988">
        <v>20880</v>
      </c>
    </row>
    <row r="377" spans="2:10">
      <c r="B377" s="988">
        <v>20911</v>
      </c>
      <c r="H377" s="986">
        <v>2.8999999999999998E-3</v>
      </c>
      <c r="I377" s="986"/>
      <c r="J377" s="988">
        <v>20911</v>
      </c>
    </row>
    <row r="378" spans="2:10">
      <c r="B378" s="988">
        <v>20941</v>
      </c>
      <c r="H378" s="986">
        <v>2.8999999999999998E-3</v>
      </c>
      <c r="I378" s="986"/>
      <c r="J378" s="988">
        <v>20941</v>
      </c>
    </row>
    <row r="379" spans="2:10">
      <c r="B379" s="988">
        <v>20972</v>
      </c>
      <c r="H379" s="986">
        <v>2.5000000000000001E-3</v>
      </c>
      <c r="I379" s="986"/>
      <c r="J379" s="988">
        <v>20972</v>
      </c>
    </row>
    <row r="380" spans="2:10">
      <c r="B380" s="988">
        <v>21002</v>
      </c>
      <c r="H380" s="986">
        <v>3.3E-3</v>
      </c>
      <c r="I380" s="986"/>
      <c r="J380" s="988">
        <v>21002</v>
      </c>
    </row>
    <row r="381" spans="2:10">
      <c r="B381" s="988">
        <v>21033</v>
      </c>
      <c r="H381" s="986">
        <v>3.0000000000000001E-3</v>
      </c>
      <c r="I381" s="986"/>
      <c r="J381" s="988">
        <v>21033</v>
      </c>
    </row>
    <row r="382" spans="2:10">
      <c r="B382" s="988">
        <v>21064</v>
      </c>
      <c r="H382" s="986">
        <v>3.0999999999999999E-3</v>
      </c>
      <c r="I382" s="986"/>
      <c r="J382" s="988">
        <v>21064</v>
      </c>
    </row>
    <row r="383" spans="2:10">
      <c r="B383" s="988">
        <v>21094</v>
      </c>
      <c r="H383" s="986">
        <v>3.0999999999999999E-3</v>
      </c>
      <c r="I383" s="986"/>
      <c r="J383" s="988">
        <v>21094</v>
      </c>
    </row>
    <row r="384" spans="2:10">
      <c r="B384" s="988">
        <v>21125</v>
      </c>
      <c r="H384" s="986">
        <v>2.8999999999999998E-3</v>
      </c>
      <c r="I384" s="986"/>
      <c r="J384" s="988">
        <v>21125</v>
      </c>
    </row>
    <row r="385" spans="2:10">
      <c r="B385" s="988">
        <v>21155</v>
      </c>
      <c r="H385" s="986">
        <v>2.8999999999999998E-3</v>
      </c>
      <c r="I385" s="986"/>
      <c r="J385" s="988">
        <v>21155</v>
      </c>
    </row>
    <row r="386" spans="2:10">
      <c r="B386" s="988">
        <v>21186</v>
      </c>
      <c r="H386" s="986">
        <v>2.7000000000000001E-3</v>
      </c>
      <c r="I386" s="986"/>
      <c r="J386" s="988">
        <v>21186</v>
      </c>
    </row>
    <row r="387" spans="2:10">
      <c r="B387" s="988">
        <v>21217</v>
      </c>
      <c r="H387" s="986">
        <v>2.5000000000000001E-3</v>
      </c>
      <c r="I387" s="986"/>
      <c r="J387" s="988">
        <v>21217</v>
      </c>
    </row>
    <row r="388" spans="2:10">
      <c r="B388" s="988">
        <v>21245</v>
      </c>
      <c r="H388" s="986">
        <v>2.7000000000000001E-3</v>
      </c>
      <c r="I388" s="986"/>
      <c r="J388" s="988">
        <v>21245</v>
      </c>
    </row>
    <row r="389" spans="2:10">
      <c r="B389" s="988">
        <v>21276</v>
      </c>
      <c r="H389" s="986">
        <v>2.5999999999999999E-3</v>
      </c>
      <c r="I389" s="986"/>
      <c r="J389" s="988">
        <v>21276</v>
      </c>
    </row>
    <row r="390" spans="2:10">
      <c r="B390" s="988">
        <v>21306</v>
      </c>
      <c r="H390" s="986">
        <v>2.3999999999999998E-3</v>
      </c>
      <c r="I390" s="986"/>
      <c r="J390" s="988">
        <v>21306</v>
      </c>
    </row>
    <row r="391" spans="2:10">
      <c r="B391" s="988">
        <v>21337</v>
      </c>
      <c r="H391" s="986">
        <v>2.7000000000000001E-3</v>
      </c>
      <c r="I391" s="986"/>
      <c r="J391" s="988">
        <v>21337</v>
      </c>
    </row>
    <row r="392" spans="2:10">
      <c r="B392" s="988">
        <v>21367</v>
      </c>
      <c r="H392" s="986">
        <v>2.7000000000000001E-3</v>
      </c>
      <c r="I392" s="986"/>
      <c r="J392" s="988">
        <v>21367</v>
      </c>
    </row>
    <row r="393" spans="2:10">
      <c r="B393" s="988">
        <v>21398</v>
      </c>
      <c r="H393" s="986">
        <v>2.7000000000000001E-3</v>
      </c>
      <c r="I393" s="986"/>
      <c r="J393" s="988">
        <v>21398</v>
      </c>
    </row>
    <row r="394" spans="2:10">
      <c r="B394" s="988">
        <v>21429</v>
      </c>
      <c r="H394" s="986">
        <v>3.2000000000000002E-3</v>
      </c>
      <c r="I394" s="986"/>
      <c r="J394" s="988">
        <v>21429</v>
      </c>
    </row>
    <row r="395" spans="2:10">
      <c r="B395" s="988">
        <v>21459</v>
      </c>
      <c r="H395" s="986">
        <v>3.2000000000000002E-3</v>
      </c>
      <c r="I395" s="986"/>
      <c r="J395" s="988">
        <v>21459</v>
      </c>
    </row>
    <row r="396" spans="2:10">
      <c r="B396" s="988">
        <v>21490</v>
      </c>
      <c r="H396" s="986">
        <v>2.8E-3</v>
      </c>
      <c r="I396" s="986"/>
      <c r="J396" s="988">
        <v>21490</v>
      </c>
    </row>
    <row r="397" spans="2:10">
      <c r="B397" s="988">
        <v>21520</v>
      </c>
      <c r="H397" s="986">
        <v>3.3E-3</v>
      </c>
      <c r="I397" s="986"/>
      <c r="J397" s="988">
        <v>21520</v>
      </c>
    </row>
    <row r="398" spans="2:10">
      <c r="B398" s="988">
        <v>21551</v>
      </c>
      <c r="H398" s="986">
        <v>3.0999999999999999E-3</v>
      </c>
      <c r="I398" s="986"/>
      <c r="J398" s="988">
        <v>21551</v>
      </c>
    </row>
    <row r="399" spans="2:10">
      <c r="B399" s="988">
        <v>21582</v>
      </c>
      <c r="H399" s="986">
        <v>3.0999999999999999E-3</v>
      </c>
      <c r="I399" s="986"/>
      <c r="J399" s="988">
        <v>21582</v>
      </c>
    </row>
    <row r="400" spans="2:10">
      <c r="B400" s="988">
        <v>21610</v>
      </c>
      <c r="H400" s="986">
        <v>3.5000000000000001E-3</v>
      </c>
      <c r="I400" s="986"/>
      <c r="J400" s="988">
        <v>21610</v>
      </c>
    </row>
    <row r="401" spans="2:10">
      <c r="B401" s="988">
        <v>21641</v>
      </c>
      <c r="H401" s="986">
        <v>3.3E-3</v>
      </c>
      <c r="I401" s="986"/>
      <c r="J401" s="988">
        <v>21641</v>
      </c>
    </row>
    <row r="402" spans="2:10">
      <c r="B402" s="988">
        <v>21671</v>
      </c>
      <c r="H402" s="986">
        <v>3.3E-3</v>
      </c>
      <c r="I402" s="986"/>
      <c r="J402" s="988">
        <v>21671</v>
      </c>
    </row>
    <row r="403" spans="2:10">
      <c r="B403" s="988">
        <v>21702</v>
      </c>
      <c r="H403" s="986">
        <v>3.5999999999999999E-3</v>
      </c>
      <c r="I403" s="986"/>
      <c r="J403" s="988">
        <v>21702</v>
      </c>
    </row>
    <row r="404" spans="2:10">
      <c r="B404" s="988">
        <v>21732</v>
      </c>
      <c r="H404" s="986">
        <v>3.5000000000000001E-3</v>
      </c>
      <c r="I404" s="986"/>
      <c r="J404" s="988">
        <v>21732</v>
      </c>
    </row>
    <row r="405" spans="2:10">
      <c r="B405" s="988">
        <v>21763</v>
      </c>
      <c r="H405" s="986">
        <v>3.5000000000000001E-3</v>
      </c>
      <c r="I405" s="986"/>
      <c r="J405" s="988">
        <v>21763</v>
      </c>
    </row>
    <row r="406" spans="2:10">
      <c r="B406" s="988">
        <v>21794</v>
      </c>
      <c r="H406" s="986">
        <v>3.3999999999999998E-3</v>
      </c>
      <c r="I406" s="986"/>
      <c r="J406" s="988">
        <v>21794</v>
      </c>
    </row>
    <row r="407" spans="2:10">
      <c r="B407" s="988">
        <v>21824</v>
      </c>
      <c r="H407" s="986">
        <v>3.5000000000000001E-3</v>
      </c>
      <c r="I407" s="986"/>
      <c r="J407" s="988">
        <v>21824</v>
      </c>
    </row>
    <row r="408" spans="2:10">
      <c r="B408" s="988">
        <v>21855</v>
      </c>
      <c r="H408" s="986">
        <v>3.5000000000000001E-3</v>
      </c>
      <c r="I408" s="986"/>
      <c r="J408" s="988">
        <v>21855</v>
      </c>
    </row>
    <row r="409" spans="2:10">
      <c r="B409" s="988">
        <v>21885</v>
      </c>
      <c r="H409" s="986">
        <v>3.5999999999999999E-3</v>
      </c>
      <c r="I409" s="986"/>
      <c r="J409" s="988">
        <v>21885</v>
      </c>
    </row>
    <row r="410" spans="2:10">
      <c r="B410" s="988">
        <v>21916</v>
      </c>
      <c r="H410" s="986">
        <v>3.5000000000000001E-3</v>
      </c>
      <c r="I410" s="986"/>
      <c r="J410" s="988">
        <v>21916</v>
      </c>
    </row>
    <row r="411" spans="2:10">
      <c r="B411" s="988">
        <v>21947</v>
      </c>
      <c r="H411" s="986">
        <v>3.7000000000000002E-3</v>
      </c>
      <c r="I411" s="986"/>
      <c r="J411" s="988">
        <v>21947</v>
      </c>
    </row>
    <row r="412" spans="2:10">
      <c r="B412" s="988">
        <v>21976</v>
      </c>
      <c r="H412" s="986">
        <v>3.5999999999999999E-3</v>
      </c>
      <c r="I412" s="986"/>
      <c r="J412" s="988">
        <v>21976</v>
      </c>
    </row>
    <row r="413" spans="2:10">
      <c r="B413" s="988">
        <v>22007</v>
      </c>
      <c r="H413" s="986">
        <v>3.2000000000000002E-3</v>
      </c>
      <c r="I413" s="986"/>
      <c r="J413" s="988">
        <v>22007</v>
      </c>
    </row>
    <row r="414" spans="2:10">
      <c r="B414" s="988">
        <v>22037</v>
      </c>
      <c r="H414" s="986">
        <v>3.7000000000000002E-3</v>
      </c>
      <c r="I414" s="986"/>
      <c r="J414" s="988">
        <v>22037</v>
      </c>
    </row>
    <row r="415" spans="2:10">
      <c r="B415" s="988">
        <v>22068</v>
      </c>
      <c r="H415" s="986">
        <v>3.3999999999999998E-3</v>
      </c>
      <c r="I415" s="986"/>
      <c r="J415" s="988">
        <v>22068</v>
      </c>
    </row>
    <row r="416" spans="2:10">
      <c r="B416" s="988">
        <v>22098</v>
      </c>
      <c r="H416" s="986">
        <v>3.2000000000000002E-3</v>
      </c>
      <c r="I416" s="986"/>
      <c r="J416" s="988">
        <v>22098</v>
      </c>
    </row>
    <row r="417" spans="2:10">
      <c r="B417" s="988">
        <v>22129</v>
      </c>
      <c r="H417" s="986">
        <v>3.3999999999999998E-3</v>
      </c>
      <c r="I417" s="986"/>
      <c r="J417" s="988">
        <v>22129</v>
      </c>
    </row>
    <row r="418" spans="2:10">
      <c r="B418" s="988">
        <v>22160</v>
      </c>
      <c r="H418" s="986">
        <v>3.2000000000000002E-3</v>
      </c>
      <c r="I418" s="986"/>
      <c r="J418" s="988">
        <v>22160</v>
      </c>
    </row>
    <row r="419" spans="2:10">
      <c r="B419" s="988">
        <v>22190</v>
      </c>
      <c r="H419" s="986">
        <v>3.3E-3</v>
      </c>
      <c r="I419" s="986"/>
      <c r="J419" s="988">
        <v>22190</v>
      </c>
    </row>
    <row r="420" spans="2:10">
      <c r="B420" s="988">
        <v>22221</v>
      </c>
      <c r="H420" s="986">
        <v>3.2000000000000002E-3</v>
      </c>
      <c r="I420" s="986"/>
      <c r="J420" s="988">
        <v>22221</v>
      </c>
    </row>
    <row r="421" spans="2:10">
      <c r="B421" s="988">
        <v>22251</v>
      </c>
      <c r="H421" s="986">
        <v>3.3E-3</v>
      </c>
      <c r="I421" s="986"/>
      <c r="J421" s="988">
        <v>22251</v>
      </c>
    </row>
    <row r="422" spans="2:10">
      <c r="B422" s="988">
        <v>22282</v>
      </c>
      <c r="H422" s="986">
        <v>3.3E-3</v>
      </c>
      <c r="I422" s="986"/>
      <c r="J422" s="988">
        <v>22282</v>
      </c>
    </row>
    <row r="423" spans="2:10">
      <c r="B423" s="988">
        <v>22313</v>
      </c>
      <c r="H423" s="986">
        <v>3.0000000000000001E-3</v>
      </c>
      <c r="I423" s="986"/>
      <c r="J423" s="988">
        <v>22313</v>
      </c>
    </row>
    <row r="424" spans="2:10">
      <c r="B424" s="988">
        <v>22341</v>
      </c>
      <c r="H424" s="986">
        <v>3.0999999999999999E-3</v>
      </c>
      <c r="I424" s="986"/>
      <c r="J424" s="988">
        <v>22341</v>
      </c>
    </row>
    <row r="425" spans="2:10">
      <c r="B425" s="988">
        <v>22372</v>
      </c>
      <c r="H425" s="986">
        <v>3.0999999999999999E-3</v>
      </c>
      <c r="I425" s="986"/>
      <c r="J425" s="988">
        <v>22372</v>
      </c>
    </row>
    <row r="426" spans="2:10">
      <c r="B426" s="988">
        <v>22402</v>
      </c>
      <c r="H426" s="986">
        <v>3.3999999999999998E-3</v>
      </c>
      <c r="I426" s="986"/>
      <c r="J426" s="988">
        <v>22402</v>
      </c>
    </row>
    <row r="427" spans="2:10">
      <c r="B427" s="988">
        <v>22433</v>
      </c>
      <c r="H427" s="986">
        <v>3.2000000000000002E-3</v>
      </c>
      <c r="I427" s="986"/>
      <c r="J427" s="988">
        <v>22433</v>
      </c>
    </row>
    <row r="428" spans="2:10">
      <c r="B428" s="988">
        <v>22463</v>
      </c>
      <c r="H428" s="986">
        <v>3.3E-3</v>
      </c>
      <c r="I428" s="986"/>
      <c r="J428" s="988">
        <v>22463</v>
      </c>
    </row>
    <row r="429" spans="2:10">
      <c r="B429" s="988">
        <v>22494</v>
      </c>
      <c r="H429" s="986">
        <v>3.3E-3</v>
      </c>
      <c r="I429" s="986"/>
      <c r="J429" s="988">
        <v>22494</v>
      </c>
    </row>
    <row r="430" spans="2:10">
      <c r="B430" s="988">
        <v>22525</v>
      </c>
      <c r="H430" s="986">
        <v>3.2000000000000002E-3</v>
      </c>
      <c r="I430" s="986"/>
      <c r="J430" s="988">
        <v>22525</v>
      </c>
    </row>
    <row r="431" spans="2:10">
      <c r="B431" s="988">
        <v>22555</v>
      </c>
      <c r="H431" s="986">
        <v>3.3999999999999998E-3</v>
      </c>
      <c r="I431" s="986"/>
      <c r="J431" s="988">
        <v>22555</v>
      </c>
    </row>
    <row r="432" spans="2:10">
      <c r="B432" s="988">
        <v>22586</v>
      </c>
      <c r="H432" s="986">
        <v>3.2000000000000002E-3</v>
      </c>
      <c r="I432" s="986"/>
      <c r="J432" s="988">
        <v>22586</v>
      </c>
    </row>
    <row r="433" spans="2:10">
      <c r="B433" s="988">
        <v>22616</v>
      </c>
      <c r="H433" s="986">
        <v>3.0999999999999999E-3</v>
      </c>
      <c r="I433" s="986"/>
      <c r="J433" s="988">
        <v>22616</v>
      </c>
    </row>
    <row r="434" spans="2:10">
      <c r="B434" s="988">
        <v>22647</v>
      </c>
      <c r="H434" s="986">
        <v>3.7000000000000002E-3</v>
      </c>
      <c r="I434" s="986"/>
      <c r="J434" s="988">
        <v>22647</v>
      </c>
    </row>
    <row r="435" spans="2:10">
      <c r="B435" s="988">
        <v>22678</v>
      </c>
      <c r="H435" s="986">
        <v>3.2000000000000002E-3</v>
      </c>
      <c r="I435" s="986"/>
      <c r="J435" s="988">
        <v>22678</v>
      </c>
    </row>
    <row r="436" spans="2:10">
      <c r="B436" s="988">
        <v>22706</v>
      </c>
      <c r="H436" s="986">
        <v>3.3E-3</v>
      </c>
      <c r="I436" s="986"/>
      <c r="J436" s="988">
        <v>22706</v>
      </c>
    </row>
    <row r="437" spans="2:10">
      <c r="B437" s="988">
        <v>22737</v>
      </c>
      <c r="H437" s="986">
        <v>3.3E-3</v>
      </c>
      <c r="I437" s="986"/>
      <c r="J437" s="988">
        <v>22737</v>
      </c>
    </row>
    <row r="438" spans="2:10">
      <c r="B438" s="988">
        <v>22767</v>
      </c>
      <c r="H438" s="986">
        <v>3.2000000000000002E-3</v>
      </c>
      <c r="I438" s="986"/>
      <c r="J438" s="988">
        <v>22767</v>
      </c>
    </row>
    <row r="439" spans="2:10">
      <c r="B439" s="988">
        <v>22798</v>
      </c>
      <c r="H439" s="986">
        <v>3.0000000000000001E-3</v>
      </c>
      <c r="I439" s="986"/>
      <c r="J439" s="988">
        <v>22798</v>
      </c>
    </row>
    <row r="440" spans="2:10">
      <c r="B440" s="988">
        <v>22828</v>
      </c>
      <c r="H440" s="986">
        <v>3.3999999999999998E-3</v>
      </c>
      <c r="I440" s="986"/>
      <c r="J440" s="988">
        <v>22828</v>
      </c>
    </row>
    <row r="441" spans="2:10">
      <c r="B441" s="988">
        <v>22859</v>
      </c>
      <c r="H441" s="986">
        <v>3.3999999999999998E-3</v>
      </c>
      <c r="I441" s="986"/>
      <c r="J441" s="988">
        <v>22859</v>
      </c>
    </row>
    <row r="442" spans="2:10">
      <c r="B442" s="988">
        <v>22890</v>
      </c>
      <c r="H442" s="986">
        <v>3.0000000000000001E-3</v>
      </c>
      <c r="I442" s="986"/>
      <c r="J442" s="988">
        <v>22890</v>
      </c>
    </row>
    <row r="443" spans="2:10">
      <c r="B443" s="988">
        <v>22920</v>
      </c>
      <c r="H443" s="986">
        <v>3.5000000000000001E-3</v>
      </c>
      <c r="I443" s="986"/>
      <c r="J443" s="988">
        <v>22920</v>
      </c>
    </row>
    <row r="444" spans="2:10">
      <c r="B444" s="988">
        <v>22951</v>
      </c>
      <c r="H444" s="986">
        <v>3.0999999999999999E-3</v>
      </c>
      <c r="I444" s="986"/>
      <c r="J444" s="988">
        <v>22951</v>
      </c>
    </row>
    <row r="445" spans="2:10">
      <c r="B445" s="988">
        <v>22981</v>
      </c>
      <c r="H445" s="986">
        <v>3.2000000000000002E-3</v>
      </c>
      <c r="I445" s="986"/>
      <c r="J445" s="988">
        <v>22981</v>
      </c>
    </row>
    <row r="446" spans="2:10">
      <c r="B446" s="988">
        <v>23012</v>
      </c>
      <c r="H446" s="986">
        <v>3.2000000000000002E-3</v>
      </c>
      <c r="I446" s="986"/>
      <c r="J446" s="988">
        <v>23012</v>
      </c>
    </row>
    <row r="447" spans="2:10">
      <c r="B447" s="988">
        <v>23043</v>
      </c>
      <c r="H447" s="986">
        <v>2.8999999999999998E-3</v>
      </c>
      <c r="I447" s="986"/>
      <c r="J447" s="988">
        <v>23043</v>
      </c>
    </row>
    <row r="448" spans="2:10">
      <c r="B448" s="988">
        <v>23071</v>
      </c>
      <c r="H448" s="986">
        <v>3.0999999999999999E-3</v>
      </c>
      <c r="I448" s="986"/>
      <c r="J448" s="988">
        <v>23071</v>
      </c>
    </row>
    <row r="449" spans="2:10">
      <c r="B449" s="988">
        <v>23102</v>
      </c>
      <c r="H449" s="986">
        <v>3.3999999999999998E-3</v>
      </c>
      <c r="I449" s="986"/>
      <c r="J449" s="988">
        <v>23102</v>
      </c>
    </row>
    <row r="450" spans="2:10">
      <c r="B450" s="988">
        <v>23132</v>
      </c>
      <c r="H450" s="986">
        <v>3.3E-3</v>
      </c>
      <c r="I450" s="986"/>
      <c r="J450" s="988">
        <v>23132</v>
      </c>
    </row>
    <row r="451" spans="2:10">
      <c r="B451" s="988">
        <v>23163</v>
      </c>
      <c r="H451" s="986">
        <v>3.0000000000000001E-3</v>
      </c>
      <c r="I451" s="986"/>
      <c r="J451" s="988">
        <v>23163</v>
      </c>
    </row>
    <row r="452" spans="2:10">
      <c r="B452" s="988">
        <v>23193</v>
      </c>
      <c r="H452" s="986">
        <v>3.5999999999999999E-3</v>
      </c>
      <c r="I452" s="986"/>
      <c r="J452" s="988">
        <v>23193</v>
      </c>
    </row>
    <row r="453" spans="2:10">
      <c r="B453" s="988">
        <v>23224</v>
      </c>
      <c r="H453" s="986">
        <v>3.3E-3</v>
      </c>
      <c r="I453" s="986"/>
      <c r="J453" s="988">
        <v>23224</v>
      </c>
    </row>
    <row r="454" spans="2:10">
      <c r="B454" s="988">
        <v>23255</v>
      </c>
      <c r="H454" s="986">
        <v>3.3999999999999998E-3</v>
      </c>
      <c r="I454" s="986"/>
      <c r="J454" s="988">
        <v>23255</v>
      </c>
    </row>
    <row r="455" spans="2:10">
      <c r="B455" s="988">
        <v>23285</v>
      </c>
      <c r="H455" s="986">
        <v>3.3999999999999998E-3</v>
      </c>
      <c r="I455" s="986"/>
      <c r="J455" s="988">
        <v>23285</v>
      </c>
    </row>
    <row r="456" spans="2:10">
      <c r="B456" s="988">
        <v>23316</v>
      </c>
      <c r="H456" s="986">
        <v>3.2000000000000002E-3</v>
      </c>
      <c r="I456" s="986"/>
      <c r="J456" s="988">
        <v>23316</v>
      </c>
    </row>
    <row r="457" spans="2:10">
      <c r="B457" s="988">
        <v>23346</v>
      </c>
      <c r="H457" s="986">
        <v>3.5999999999999999E-3</v>
      </c>
      <c r="I457" s="986"/>
      <c r="J457" s="988">
        <v>23346</v>
      </c>
    </row>
    <row r="458" spans="2:10">
      <c r="B458" s="988">
        <v>23377</v>
      </c>
      <c r="H458" s="986">
        <v>3.5000000000000001E-3</v>
      </c>
      <c r="I458" s="986"/>
      <c r="J458" s="988">
        <v>23377</v>
      </c>
    </row>
    <row r="459" spans="2:10">
      <c r="B459" s="988">
        <v>23408</v>
      </c>
      <c r="H459" s="986">
        <v>3.2000000000000002E-3</v>
      </c>
      <c r="I459" s="986"/>
      <c r="J459" s="988">
        <v>23408</v>
      </c>
    </row>
    <row r="460" spans="2:10">
      <c r="B460" s="988">
        <v>23437</v>
      </c>
      <c r="H460" s="986">
        <v>3.7000000000000002E-3</v>
      </c>
      <c r="I460" s="986"/>
      <c r="J460" s="988">
        <v>23437</v>
      </c>
    </row>
    <row r="461" spans="2:10">
      <c r="B461" s="988">
        <v>23468</v>
      </c>
      <c r="H461" s="986">
        <v>3.5000000000000001E-3</v>
      </c>
      <c r="I461" s="986"/>
      <c r="J461" s="988">
        <v>23468</v>
      </c>
    </row>
    <row r="462" spans="2:10">
      <c r="B462" s="988">
        <v>23498</v>
      </c>
      <c r="H462" s="986">
        <v>3.2000000000000002E-3</v>
      </c>
      <c r="I462" s="986"/>
      <c r="J462" s="988">
        <v>23498</v>
      </c>
    </row>
    <row r="463" spans="2:10">
      <c r="B463" s="988">
        <v>23529</v>
      </c>
      <c r="H463" s="986">
        <v>3.8E-3</v>
      </c>
      <c r="I463" s="986"/>
      <c r="J463" s="988">
        <v>23529</v>
      </c>
    </row>
    <row r="464" spans="2:10">
      <c r="B464" s="988">
        <v>23559</v>
      </c>
      <c r="H464" s="986">
        <v>3.5000000000000001E-3</v>
      </c>
      <c r="I464" s="986"/>
      <c r="J464" s="988">
        <v>23559</v>
      </c>
    </row>
    <row r="465" spans="2:10">
      <c r="B465" s="988">
        <v>23590</v>
      </c>
      <c r="H465" s="986">
        <v>3.5000000000000001E-3</v>
      </c>
      <c r="I465" s="986"/>
      <c r="J465" s="988">
        <v>23590</v>
      </c>
    </row>
    <row r="466" spans="2:10">
      <c r="B466" s="988">
        <v>23621</v>
      </c>
      <c r="H466" s="986">
        <v>3.3999999999999998E-3</v>
      </c>
      <c r="I466" s="986"/>
      <c r="J466" s="988">
        <v>23621</v>
      </c>
    </row>
    <row r="467" spans="2:10">
      <c r="B467" s="988">
        <v>23651</v>
      </c>
      <c r="H467" s="986">
        <v>3.3999999999999998E-3</v>
      </c>
      <c r="I467" s="986"/>
      <c r="J467" s="988">
        <v>23651</v>
      </c>
    </row>
    <row r="468" spans="2:10">
      <c r="B468" s="988">
        <v>23682</v>
      </c>
      <c r="H468" s="986">
        <v>3.5000000000000001E-3</v>
      </c>
      <c r="I468" s="986"/>
      <c r="J468" s="988">
        <v>23682</v>
      </c>
    </row>
    <row r="469" spans="2:10">
      <c r="B469" s="988">
        <v>23712</v>
      </c>
      <c r="H469" s="986">
        <v>3.5000000000000001E-3</v>
      </c>
      <c r="I469" s="986"/>
      <c r="J469" s="988">
        <v>23712</v>
      </c>
    </row>
    <row r="470" spans="2:10">
      <c r="B470" s="988">
        <v>23743</v>
      </c>
      <c r="H470" s="986">
        <v>3.3E-3</v>
      </c>
      <c r="I470" s="986"/>
      <c r="J470" s="988">
        <v>23743</v>
      </c>
    </row>
    <row r="471" spans="2:10">
      <c r="B471" s="988">
        <v>23774</v>
      </c>
      <c r="H471" s="986">
        <v>3.2000000000000002E-3</v>
      </c>
      <c r="I471" s="986"/>
      <c r="J471" s="988">
        <v>23774</v>
      </c>
    </row>
    <row r="472" spans="2:10">
      <c r="B472" s="988">
        <v>23802</v>
      </c>
      <c r="H472" s="986">
        <v>3.8E-3</v>
      </c>
      <c r="I472" s="986"/>
      <c r="J472" s="988">
        <v>23802</v>
      </c>
    </row>
    <row r="473" spans="2:10">
      <c r="B473" s="988">
        <v>23833</v>
      </c>
      <c r="H473" s="986">
        <v>3.3E-3</v>
      </c>
      <c r="I473" s="986"/>
      <c r="J473" s="988">
        <v>23833</v>
      </c>
    </row>
    <row r="474" spans="2:10">
      <c r="B474" s="988">
        <v>23863</v>
      </c>
      <c r="H474" s="986">
        <v>3.3E-3</v>
      </c>
      <c r="I474" s="986"/>
      <c r="J474" s="988">
        <v>23863</v>
      </c>
    </row>
    <row r="475" spans="2:10">
      <c r="B475" s="988">
        <v>23894</v>
      </c>
      <c r="H475" s="986">
        <v>3.8E-3</v>
      </c>
      <c r="I475" s="986"/>
      <c r="J475" s="988">
        <v>23894</v>
      </c>
    </row>
    <row r="476" spans="2:10">
      <c r="B476" s="988">
        <v>23924</v>
      </c>
      <c r="H476" s="986">
        <v>3.3999999999999998E-3</v>
      </c>
      <c r="I476" s="986"/>
      <c r="J476" s="988">
        <v>23924</v>
      </c>
    </row>
    <row r="477" spans="2:10">
      <c r="B477" s="988">
        <v>23955</v>
      </c>
      <c r="H477" s="986">
        <v>3.7000000000000002E-3</v>
      </c>
      <c r="I477" s="986"/>
      <c r="J477" s="988">
        <v>23955</v>
      </c>
    </row>
    <row r="478" spans="2:10">
      <c r="B478" s="988">
        <v>23986</v>
      </c>
      <c r="H478" s="986">
        <v>3.5000000000000001E-3</v>
      </c>
      <c r="I478" s="986"/>
      <c r="J478" s="988">
        <v>23986</v>
      </c>
    </row>
    <row r="479" spans="2:10">
      <c r="B479" s="988">
        <v>24016</v>
      </c>
      <c r="H479" s="986">
        <v>3.3999999999999998E-3</v>
      </c>
      <c r="I479" s="986"/>
      <c r="J479" s="988">
        <v>24016</v>
      </c>
    </row>
    <row r="480" spans="2:10">
      <c r="B480" s="988">
        <v>24047</v>
      </c>
      <c r="H480" s="986">
        <v>3.7000000000000002E-3</v>
      </c>
      <c r="I480" s="986"/>
      <c r="J480" s="988">
        <v>24047</v>
      </c>
    </row>
    <row r="481" spans="2:10">
      <c r="B481" s="988">
        <v>24077</v>
      </c>
      <c r="H481" s="986">
        <v>3.7000000000000002E-3</v>
      </c>
      <c r="I481" s="986"/>
      <c r="J481" s="988">
        <v>24077</v>
      </c>
    </row>
    <row r="482" spans="2:10">
      <c r="B482" s="988">
        <v>24108</v>
      </c>
      <c r="H482" s="986">
        <v>3.8E-3</v>
      </c>
      <c r="I482" s="986"/>
      <c r="J482" s="988">
        <v>24108</v>
      </c>
    </row>
    <row r="483" spans="2:10">
      <c r="B483" s="988">
        <v>24139</v>
      </c>
      <c r="H483" s="986">
        <v>3.3999999999999998E-3</v>
      </c>
      <c r="I483" s="986"/>
      <c r="J483" s="988">
        <v>24139</v>
      </c>
    </row>
    <row r="484" spans="2:10">
      <c r="B484" s="988">
        <v>24167</v>
      </c>
      <c r="H484" s="986">
        <v>4.0000000000000001E-3</v>
      </c>
      <c r="I484" s="986"/>
      <c r="J484" s="988">
        <v>24167</v>
      </c>
    </row>
    <row r="485" spans="2:10">
      <c r="B485" s="988">
        <v>24198</v>
      </c>
      <c r="H485" s="986">
        <v>3.5999999999999999E-3</v>
      </c>
      <c r="I485" s="986"/>
      <c r="J485" s="988">
        <v>24198</v>
      </c>
    </row>
    <row r="486" spans="2:10">
      <c r="B486" s="988">
        <v>24228</v>
      </c>
      <c r="H486" s="986">
        <v>4.1000000000000003E-3</v>
      </c>
      <c r="I486" s="986"/>
      <c r="J486" s="988">
        <v>24228</v>
      </c>
    </row>
    <row r="487" spans="2:10">
      <c r="B487" s="988">
        <v>24259</v>
      </c>
      <c r="H487" s="986">
        <v>3.8999999999999998E-3</v>
      </c>
      <c r="I487" s="986"/>
      <c r="J487" s="988">
        <v>24259</v>
      </c>
    </row>
    <row r="488" spans="2:10">
      <c r="B488" s="988">
        <v>24289</v>
      </c>
      <c r="H488" s="986">
        <v>3.8E-3</v>
      </c>
      <c r="I488" s="986"/>
      <c r="J488" s="988">
        <v>24289</v>
      </c>
    </row>
    <row r="489" spans="2:10">
      <c r="B489" s="988">
        <v>24320</v>
      </c>
      <c r="H489" s="986">
        <v>4.3E-3</v>
      </c>
      <c r="I489" s="986"/>
      <c r="J489" s="988">
        <v>24320</v>
      </c>
    </row>
    <row r="490" spans="2:10">
      <c r="B490" s="988">
        <v>24351</v>
      </c>
      <c r="H490" s="986">
        <v>4.1000000000000003E-3</v>
      </c>
      <c r="I490" s="986"/>
      <c r="J490" s="988">
        <v>24351</v>
      </c>
    </row>
    <row r="491" spans="2:10">
      <c r="B491" s="988">
        <v>24381</v>
      </c>
      <c r="H491" s="986">
        <v>4.0000000000000001E-3</v>
      </c>
      <c r="I491" s="986"/>
      <c r="J491" s="988">
        <v>24381</v>
      </c>
    </row>
    <row r="492" spans="2:10">
      <c r="B492" s="988">
        <v>24412</v>
      </c>
      <c r="H492" s="986">
        <v>3.8E-3</v>
      </c>
      <c r="I492" s="986"/>
      <c r="J492" s="988">
        <v>24412</v>
      </c>
    </row>
    <row r="493" spans="2:10">
      <c r="B493" s="988">
        <v>24442</v>
      </c>
      <c r="H493" s="986">
        <v>3.8999999999999998E-3</v>
      </c>
      <c r="I493" s="986"/>
      <c r="J493" s="988">
        <v>24442</v>
      </c>
    </row>
    <row r="494" spans="2:10">
      <c r="B494" s="988">
        <v>24473</v>
      </c>
      <c r="H494" s="986">
        <v>4.0000000000000001E-3</v>
      </c>
      <c r="I494" s="986"/>
      <c r="J494" s="988">
        <v>24473</v>
      </c>
    </row>
    <row r="495" spans="2:10">
      <c r="B495" s="988">
        <v>24504</v>
      </c>
      <c r="H495" s="986">
        <v>3.3999999999999998E-3</v>
      </c>
      <c r="I495" s="986"/>
      <c r="J495" s="988">
        <v>24504</v>
      </c>
    </row>
    <row r="496" spans="2:10">
      <c r="B496" s="988">
        <v>24532</v>
      </c>
      <c r="H496" s="986">
        <v>3.8999999999999998E-3</v>
      </c>
      <c r="I496" s="986"/>
      <c r="J496" s="988">
        <v>24532</v>
      </c>
    </row>
    <row r="497" spans="2:10">
      <c r="B497" s="988">
        <v>24563</v>
      </c>
      <c r="H497" s="986">
        <v>3.5000000000000001E-3</v>
      </c>
      <c r="I497" s="986"/>
      <c r="J497" s="988">
        <v>24563</v>
      </c>
    </row>
    <row r="498" spans="2:10">
      <c r="B498" s="988">
        <v>24593</v>
      </c>
      <c r="H498" s="986">
        <v>4.3E-3</v>
      </c>
      <c r="I498" s="986"/>
      <c r="J498" s="988">
        <v>24593</v>
      </c>
    </row>
    <row r="499" spans="2:10">
      <c r="B499" s="988">
        <v>24624</v>
      </c>
      <c r="H499" s="986">
        <v>3.8999999999999998E-3</v>
      </c>
      <c r="I499" s="986"/>
      <c r="J499" s="988">
        <v>24624</v>
      </c>
    </row>
    <row r="500" spans="2:10">
      <c r="B500" s="988">
        <v>24654</v>
      </c>
      <c r="H500" s="986">
        <v>4.3E-3</v>
      </c>
      <c r="I500" s="986"/>
      <c r="J500" s="988">
        <v>24654</v>
      </c>
    </row>
    <row r="501" spans="2:10">
      <c r="B501" s="988">
        <v>24685</v>
      </c>
      <c r="H501" s="986">
        <v>4.1999999999999997E-3</v>
      </c>
      <c r="I501" s="986"/>
      <c r="J501" s="988">
        <v>24685</v>
      </c>
    </row>
    <row r="502" spans="2:10">
      <c r="B502" s="988">
        <v>24716</v>
      </c>
      <c r="H502" s="986">
        <v>4.0000000000000001E-3</v>
      </c>
      <c r="I502" s="986"/>
      <c r="J502" s="988">
        <v>24716</v>
      </c>
    </row>
    <row r="503" spans="2:10">
      <c r="B503" s="988">
        <v>24746</v>
      </c>
      <c r="H503" s="986">
        <v>4.4999999999999997E-3</v>
      </c>
      <c r="I503" s="986"/>
      <c r="J503" s="988">
        <v>24746</v>
      </c>
    </row>
    <row r="504" spans="2:10">
      <c r="B504" s="988">
        <v>24777</v>
      </c>
      <c r="H504" s="986">
        <v>4.4999999999999997E-3</v>
      </c>
      <c r="I504" s="986"/>
      <c r="J504" s="988">
        <v>24777</v>
      </c>
    </row>
    <row r="505" spans="2:10">
      <c r="B505" s="988">
        <v>24807</v>
      </c>
      <c r="H505" s="986">
        <v>4.4000000000000003E-3</v>
      </c>
      <c r="I505" s="986"/>
      <c r="J505" s="988">
        <v>24807</v>
      </c>
    </row>
    <row r="506" spans="2:10">
      <c r="B506" s="988">
        <v>24838</v>
      </c>
      <c r="H506" s="986">
        <v>5.0000000000000001E-3</v>
      </c>
      <c r="I506" s="986"/>
      <c r="J506" s="988">
        <v>24838</v>
      </c>
    </row>
    <row r="507" spans="2:10">
      <c r="B507" s="988">
        <v>24869</v>
      </c>
      <c r="H507" s="986">
        <v>4.1999999999999997E-3</v>
      </c>
      <c r="I507" s="986"/>
      <c r="J507" s="988">
        <v>24869</v>
      </c>
    </row>
    <row r="508" spans="2:10">
      <c r="B508" s="988">
        <v>24898</v>
      </c>
      <c r="H508" s="986">
        <v>4.3E-3</v>
      </c>
      <c r="I508" s="986"/>
      <c r="J508" s="988">
        <v>24898</v>
      </c>
    </row>
    <row r="509" spans="2:10">
      <c r="B509" s="988">
        <v>24929</v>
      </c>
      <c r="H509" s="986">
        <v>4.8999999999999998E-3</v>
      </c>
      <c r="I509" s="986"/>
      <c r="J509" s="988">
        <v>24929</v>
      </c>
    </row>
    <row r="510" spans="2:10">
      <c r="B510" s="988">
        <v>24959</v>
      </c>
      <c r="H510" s="986">
        <v>4.5999999999999999E-3</v>
      </c>
      <c r="I510" s="986"/>
      <c r="J510" s="988">
        <v>24959</v>
      </c>
    </row>
    <row r="511" spans="2:10">
      <c r="B511" s="988">
        <v>24990</v>
      </c>
      <c r="H511" s="986">
        <v>4.1999999999999997E-3</v>
      </c>
      <c r="I511" s="986"/>
      <c r="J511" s="988">
        <v>24990</v>
      </c>
    </row>
    <row r="512" spans="2:10">
      <c r="B512" s="988">
        <v>25020</v>
      </c>
      <c r="H512" s="986">
        <v>4.7999999999999996E-3</v>
      </c>
      <c r="I512" s="986"/>
      <c r="J512" s="988">
        <v>25020</v>
      </c>
    </row>
    <row r="513" spans="2:10">
      <c r="B513" s="988">
        <v>25051</v>
      </c>
      <c r="H513" s="986">
        <v>4.1999999999999997E-3</v>
      </c>
      <c r="I513" s="986"/>
      <c r="J513" s="988">
        <v>25051</v>
      </c>
    </row>
    <row r="514" spans="2:10">
      <c r="B514" s="988">
        <v>25082</v>
      </c>
      <c r="H514" s="986">
        <v>4.4000000000000003E-3</v>
      </c>
      <c r="I514" s="986"/>
      <c r="J514" s="988">
        <v>25082</v>
      </c>
    </row>
    <row r="515" spans="2:10">
      <c r="B515" s="988">
        <v>25112</v>
      </c>
      <c r="H515" s="986">
        <v>4.4999999999999997E-3</v>
      </c>
      <c r="I515" s="986"/>
      <c r="J515" s="988">
        <v>25112</v>
      </c>
    </row>
    <row r="516" spans="2:10">
      <c r="B516" s="988">
        <v>25143</v>
      </c>
      <c r="H516" s="986">
        <v>4.3E-3</v>
      </c>
      <c r="I516" s="986"/>
      <c r="J516" s="988">
        <v>25143</v>
      </c>
    </row>
    <row r="517" spans="2:10">
      <c r="B517" s="988">
        <v>25173</v>
      </c>
      <c r="H517" s="986">
        <v>4.8999999999999998E-3</v>
      </c>
      <c r="I517" s="986"/>
      <c r="J517" s="988">
        <v>25173</v>
      </c>
    </row>
    <row r="518" spans="2:10">
      <c r="B518" s="988">
        <v>25204</v>
      </c>
      <c r="H518" s="986">
        <v>5.0000000000000001E-3</v>
      </c>
      <c r="I518" s="986"/>
      <c r="J518" s="988">
        <v>25204</v>
      </c>
    </row>
    <row r="519" spans="2:10">
      <c r="B519" s="988">
        <v>25235</v>
      </c>
      <c r="H519" s="986">
        <v>4.5999999999999999E-3</v>
      </c>
      <c r="I519" s="986"/>
      <c r="J519" s="988">
        <v>25235</v>
      </c>
    </row>
    <row r="520" spans="2:10">
      <c r="B520" s="988">
        <v>25263</v>
      </c>
      <c r="H520" s="986">
        <v>4.7000000000000002E-3</v>
      </c>
      <c r="I520" s="986"/>
      <c r="J520" s="988">
        <v>25263</v>
      </c>
    </row>
    <row r="521" spans="2:10">
      <c r="B521" s="988">
        <v>25294</v>
      </c>
      <c r="H521" s="986">
        <v>5.4999999999999997E-3</v>
      </c>
      <c r="I521" s="986"/>
      <c r="J521" s="988">
        <v>25294</v>
      </c>
    </row>
    <row r="522" spans="2:10">
      <c r="B522" s="988">
        <v>25324</v>
      </c>
      <c r="H522" s="986">
        <v>4.7000000000000002E-3</v>
      </c>
      <c r="I522" s="986"/>
      <c r="J522" s="988">
        <v>25324</v>
      </c>
    </row>
    <row r="523" spans="2:10">
      <c r="B523" s="988">
        <v>25355</v>
      </c>
      <c r="H523" s="986">
        <v>5.4999999999999997E-3</v>
      </c>
      <c r="I523" s="986"/>
      <c r="J523" s="988">
        <v>25355</v>
      </c>
    </row>
    <row r="524" spans="2:10">
      <c r="B524" s="988">
        <v>25385</v>
      </c>
      <c r="H524" s="986">
        <v>5.1999999999999998E-3</v>
      </c>
      <c r="I524" s="986"/>
      <c r="J524" s="988">
        <v>25385</v>
      </c>
    </row>
    <row r="525" spans="2:10">
      <c r="B525" s="988">
        <v>25416</v>
      </c>
      <c r="H525" s="986">
        <v>4.7999999999999996E-3</v>
      </c>
      <c r="I525" s="986"/>
      <c r="J525" s="988">
        <v>25416</v>
      </c>
    </row>
    <row r="526" spans="2:10">
      <c r="B526" s="988">
        <v>25447</v>
      </c>
      <c r="H526" s="986">
        <v>5.4999999999999997E-3</v>
      </c>
      <c r="I526" s="986"/>
      <c r="J526" s="988">
        <v>25447</v>
      </c>
    </row>
    <row r="527" spans="2:10">
      <c r="B527" s="988">
        <v>25477</v>
      </c>
      <c r="H527" s="986">
        <v>5.7000000000000002E-3</v>
      </c>
      <c r="I527" s="986"/>
      <c r="J527" s="988">
        <v>25477</v>
      </c>
    </row>
    <row r="528" spans="2:10">
      <c r="B528" s="988">
        <v>25508</v>
      </c>
      <c r="H528" s="986">
        <v>4.8999999999999998E-3</v>
      </c>
      <c r="I528" s="986"/>
      <c r="J528" s="988">
        <v>25508</v>
      </c>
    </row>
    <row r="529" spans="2:10">
      <c r="B529" s="988">
        <v>25538</v>
      </c>
      <c r="H529" s="986">
        <v>6.0000000000000001E-3</v>
      </c>
      <c r="I529" s="986"/>
      <c r="J529" s="988">
        <v>25538</v>
      </c>
    </row>
    <row r="530" spans="2:10">
      <c r="B530" s="988">
        <v>25569</v>
      </c>
      <c r="H530" s="986">
        <v>5.5999999999999999E-3</v>
      </c>
      <c r="I530" s="986"/>
      <c r="J530" s="988">
        <v>25569</v>
      </c>
    </row>
    <row r="531" spans="2:10">
      <c r="B531" s="988">
        <v>25600</v>
      </c>
      <c r="H531" s="986">
        <v>5.1999999999999998E-3</v>
      </c>
      <c r="I531" s="986"/>
      <c r="J531" s="988">
        <v>25600</v>
      </c>
    </row>
    <row r="532" spans="2:10">
      <c r="B532" s="988">
        <v>25628</v>
      </c>
      <c r="H532" s="986">
        <v>5.5999999999999999E-3</v>
      </c>
      <c r="I532" s="986"/>
      <c r="J532" s="988">
        <v>25628</v>
      </c>
    </row>
    <row r="533" spans="2:10">
      <c r="B533" s="988">
        <v>25659</v>
      </c>
      <c r="H533" s="986">
        <v>5.4000000000000003E-3</v>
      </c>
      <c r="I533" s="986"/>
      <c r="J533" s="988">
        <v>25659</v>
      </c>
    </row>
    <row r="534" spans="2:10">
      <c r="B534" s="988">
        <v>25689</v>
      </c>
      <c r="H534" s="986">
        <v>5.4999999999999997E-3</v>
      </c>
      <c r="I534" s="986"/>
      <c r="J534" s="988">
        <v>25689</v>
      </c>
    </row>
    <row r="535" spans="2:10">
      <c r="B535" s="988">
        <v>25720</v>
      </c>
      <c r="H535" s="986">
        <v>6.4000000000000003E-3</v>
      </c>
      <c r="I535" s="986"/>
      <c r="J535" s="988">
        <v>25720</v>
      </c>
    </row>
    <row r="536" spans="2:10">
      <c r="B536" s="988">
        <v>25750</v>
      </c>
      <c r="H536" s="986">
        <v>5.8999999999999999E-3</v>
      </c>
      <c r="I536" s="986"/>
      <c r="J536" s="988">
        <v>25750</v>
      </c>
    </row>
    <row r="537" spans="2:10">
      <c r="B537" s="988">
        <v>25781</v>
      </c>
      <c r="H537" s="986">
        <v>5.7000000000000002E-3</v>
      </c>
      <c r="I537" s="986"/>
      <c r="J537" s="988">
        <v>25781</v>
      </c>
    </row>
    <row r="538" spans="2:10">
      <c r="B538" s="988">
        <v>25812</v>
      </c>
      <c r="H538" s="986">
        <v>5.5999999999999999E-3</v>
      </c>
      <c r="I538" s="986"/>
      <c r="J538" s="988">
        <v>25812</v>
      </c>
    </row>
    <row r="539" spans="2:10">
      <c r="B539" s="988">
        <v>25842</v>
      </c>
      <c r="H539" s="986">
        <v>5.4999999999999997E-3</v>
      </c>
      <c r="I539" s="986"/>
      <c r="J539" s="988">
        <v>25842</v>
      </c>
    </row>
    <row r="540" spans="2:10">
      <c r="B540" s="988">
        <v>25873</v>
      </c>
      <c r="H540" s="986">
        <v>5.7999999999999996E-3</v>
      </c>
      <c r="I540" s="986"/>
      <c r="J540" s="988">
        <v>25873</v>
      </c>
    </row>
    <row r="541" spans="2:10">
      <c r="B541" s="988">
        <v>25903</v>
      </c>
      <c r="H541" s="986">
        <v>5.3E-3</v>
      </c>
      <c r="I541" s="986"/>
      <c r="J541" s="988">
        <v>25903</v>
      </c>
    </row>
    <row r="542" spans="2:10">
      <c r="B542" s="988">
        <v>25934</v>
      </c>
      <c r="H542" s="986">
        <v>5.1000000000000004E-3</v>
      </c>
      <c r="I542" s="986"/>
      <c r="J542" s="988">
        <v>25934</v>
      </c>
    </row>
    <row r="543" spans="2:10">
      <c r="B543" s="988">
        <v>25965</v>
      </c>
      <c r="H543" s="986">
        <v>4.5999999999999999E-3</v>
      </c>
      <c r="I543" s="986"/>
      <c r="J543" s="988">
        <v>25965</v>
      </c>
    </row>
    <row r="544" spans="2:10">
      <c r="B544" s="988">
        <v>25993</v>
      </c>
      <c r="H544" s="986">
        <v>5.5999999999999999E-3</v>
      </c>
      <c r="I544" s="986"/>
      <c r="J544" s="988">
        <v>25993</v>
      </c>
    </row>
    <row r="545" spans="2:10">
      <c r="B545" s="988">
        <v>26024</v>
      </c>
      <c r="H545" s="986">
        <v>4.7999999999999996E-3</v>
      </c>
      <c r="I545" s="986"/>
      <c r="J545" s="988">
        <v>26024</v>
      </c>
    </row>
    <row r="546" spans="2:10">
      <c r="B546" s="988">
        <v>26054</v>
      </c>
      <c r="H546" s="986">
        <v>4.7000000000000002E-3</v>
      </c>
      <c r="I546" s="986"/>
      <c r="J546" s="988">
        <v>26054</v>
      </c>
    </row>
    <row r="547" spans="2:10">
      <c r="B547" s="988">
        <v>26085</v>
      </c>
      <c r="H547" s="986">
        <v>5.5999999999999999E-3</v>
      </c>
      <c r="I547" s="986"/>
      <c r="J547" s="988">
        <v>26085</v>
      </c>
    </row>
    <row r="548" spans="2:10">
      <c r="B548" s="988">
        <v>26115</v>
      </c>
      <c r="H548" s="986">
        <v>5.1999999999999998E-3</v>
      </c>
      <c r="I548" s="986"/>
      <c r="J548" s="988">
        <v>26115</v>
      </c>
    </row>
    <row r="549" spans="2:10">
      <c r="B549" s="988">
        <v>26146</v>
      </c>
      <c r="H549" s="986">
        <v>5.4999999999999997E-3</v>
      </c>
      <c r="I549" s="986"/>
      <c r="J549" s="988">
        <v>26146</v>
      </c>
    </row>
    <row r="550" spans="2:10">
      <c r="B550" s="988">
        <v>26177</v>
      </c>
      <c r="H550" s="986">
        <v>4.8999999999999998E-3</v>
      </c>
      <c r="I550" s="986"/>
      <c r="J550" s="988">
        <v>26177</v>
      </c>
    </row>
    <row r="551" spans="2:10">
      <c r="B551" s="988">
        <v>26207</v>
      </c>
      <c r="H551" s="986">
        <v>4.7000000000000002E-3</v>
      </c>
      <c r="I551" s="986"/>
      <c r="J551" s="988">
        <v>26207</v>
      </c>
    </row>
    <row r="552" spans="2:10">
      <c r="B552" s="988">
        <v>26238</v>
      </c>
      <c r="H552" s="986">
        <v>5.1000000000000004E-3</v>
      </c>
      <c r="I552" s="986"/>
      <c r="J552" s="988">
        <v>26238</v>
      </c>
    </row>
    <row r="553" spans="2:10">
      <c r="B553" s="988">
        <v>26268</v>
      </c>
      <c r="H553" s="986">
        <v>5.0000000000000001E-3</v>
      </c>
      <c r="I553" s="986"/>
      <c r="J553" s="988">
        <v>26268</v>
      </c>
    </row>
    <row r="554" spans="2:10">
      <c r="B554" s="988">
        <v>26299</v>
      </c>
      <c r="H554" s="986">
        <v>5.0000000000000001E-3</v>
      </c>
      <c r="I554" s="986"/>
      <c r="J554" s="988">
        <v>26299</v>
      </c>
    </row>
    <row r="555" spans="2:10">
      <c r="B555" s="988">
        <v>26330</v>
      </c>
      <c r="H555" s="986">
        <v>4.7000000000000002E-3</v>
      </c>
      <c r="I555" s="986"/>
      <c r="J555" s="988">
        <v>26330</v>
      </c>
    </row>
    <row r="556" spans="2:10">
      <c r="B556" s="988">
        <v>26359</v>
      </c>
      <c r="H556" s="986">
        <v>4.8999999999999998E-3</v>
      </c>
      <c r="I556" s="986"/>
      <c r="J556" s="988">
        <v>26359</v>
      </c>
    </row>
    <row r="557" spans="2:10">
      <c r="B557" s="988">
        <v>26390</v>
      </c>
      <c r="H557" s="986">
        <v>4.7999999999999996E-3</v>
      </c>
      <c r="I557" s="986"/>
      <c r="J557" s="988">
        <v>26390</v>
      </c>
    </row>
    <row r="558" spans="2:10">
      <c r="B558" s="988">
        <v>26420</v>
      </c>
      <c r="H558" s="986">
        <v>5.4999999999999997E-3</v>
      </c>
      <c r="I558" s="986"/>
      <c r="J558" s="988">
        <v>26420</v>
      </c>
    </row>
    <row r="559" spans="2:10">
      <c r="B559" s="988">
        <v>26451</v>
      </c>
      <c r="H559" s="986">
        <v>4.8999999999999998E-3</v>
      </c>
      <c r="I559" s="986"/>
      <c r="J559" s="988">
        <v>26451</v>
      </c>
    </row>
    <row r="560" spans="2:10">
      <c r="B560" s="988">
        <v>26481</v>
      </c>
      <c r="H560" s="986">
        <v>5.1000000000000004E-3</v>
      </c>
      <c r="I560" s="986"/>
      <c r="J560" s="988">
        <v>26481</v>
      </c>
    </row>
    <row r="561" spans="1:10">
      <c r="B561" s="988">
        <v>26512</v>
      </c>
      <c r="H561" s="986">
        <v>4.8999999999999998E-3</v>
      </c>
      <c r="I561" s="986"/>
      <c r="J561" s="988">
        <v>26512</v>
      </c>
    </row>
    <row r="562" spans="1:10">
      <c r="B562" s="988">
        <v>26543</v>
      </c>
      <c r="H562" s="986">
        <v>4.7000000000000002E-3</v>
      </c>
      <c r="I562" s="986"/>
      <c r="J562" s="988">
        <v>26543</v>
      </c>
    </row>
    <row r="563" spans="1:10">
      <c r="B563" s="988">
        <v>26573</v>
      </c>
      <c r="H563" s="986">
        <v>5.1999999999999998E-3</v>
      </c>
      <c r="I563" s="986"/>
      <c r="J563" s="988">
        <v>26573</v>
      </c>
    </row>
    <row r="564" spans="1:10">
      <c r="B564" s="988">
        <v>26604</v>
      </c>
      <c r="H564" s="986">
        <v>4.7999999999999996E-3</v>
      </c>
      <c r="I564" s="986"/>
      <c r="J564" s="988">
        <v>26604</v>
      </c>
    </row>
    <row r="565" spans="1:10">
      <c r="A565" s="987">
        <v>70</v>
      </c>
      <c r="B565" s="988">
        <v>26634</v>
      </c>
      <c r="C565" s="987" t="s">
        <v>4645</v>
      </c>
      <c r="D565" s="987" t="s">
        <v>4646</v>
      </c>
      <c r="E565" s="987">
        <v>-11.25</v>
      </c>
      <c r="F565" s="987">
        <v>-66</v>
      </c>
      <c r="G565" s="987">
        <v>0</v>
      </c>
      <c r="H565" s="986">
        <v>4.4999999999999997E-3</v>
      </c>
      <c r="I565" s="986"/>
      <c r="J565" s="988">
        <v>26634</v>
      </c>
    </row>
    <row r="566" spans="1:10">
      <c r="A566" s="987">
        <v>70</v>
      </c>
      <c r="B566" s="988">
        <v>26665</v>
      </c>
      <c r="C566" s="987" t="s">
        <v>4645</v>
      </c>
      <c r="D566" s="987" t="s">
        <v>4646</v>
      </c>
      <c r="E566" s="987">
        <v>-10.375</v>
      </c>
      <c r="F566" s="987">
        <v>-6.3111E-2</v>
      </c>
      <c r="G566" s="987">
        <v>0.16500000000000001</v>
      </c>
      <c r="H566" s="986">
        <v>5.4000000000000003E-3</v>
      </c>
      <c r="I566" s="986">
        <f t="shared" ref="I566:I629" si="0">F566-H566</f>
        <v>-6.8511000000000002E-2</v>
      </c>
      <c r="J566" s="988">
        <v>26665</v>
      </c>
    </row>
    <row r="567" spans="1:10">
      <c r="A567" s="987">
        <v>70</v>
      </c>
      <c r="B567" s="988">
        <v>26696</v>
      </c>
      <c r="C567" s="987" t="s">
        <v>4645</v>
      </c>
      <c r="D567" s="987" t="s">
        <v>4646</v>
      </c>
      <c r="E567" s="987">
        <v>-10</v>
      </c>
      <c r="F567" s="987">
        <v>-3.6144999999999997E-2</v>
      </c>
      <c r="G567" s="987">
        <v>0</v>
      </c>
      <c r="H567" s="986">
        <v>5.1000000000000004E-3</v>
      </c>
      <c r="I567" s="986">
        <f t="shared" si="0"/>
        <v>-4.1244999999999997E-2</v>
      </c>
      <c r="J567" s="988">
        <v>26696</v>
      </c>
    </row>
    <row r="568" spans="1:10">
      <c r="A568" s="987">
        <v>70</v>
      </c>
      <c r="B568" s="988">
        <v>26724</v>
      </c>
      <c r="C568" s="987" t="s">
        <v>4645</v>
      </c>
      <c r="D568" s="987" t="s">
        <v>4646</v>
      </c>
      <c r="E568" s="987">
        <v>-9.875</v>
      </c>
      <c r="F568" s="987">
        <v>-1.2500000000000001E-2</v>
      </c>
      <c r="G568" s="987">
        <v>0</v>
      </c>
      <c r="H568" s="986">
        <v>5.5999999999999999E-3</v>
      </c>
      <c r="I568" s="986">
        <f t="shared" si="0"/>
        <v>-1.8100000000000002E-2</v>
      </c>
      <c r="J568" s="988">
        <v>26724</v>
      </c>
    </row>
    <row r="569" spans="1:10">
      <c r="A569" s="987">
        <v>70</v>
      </c>
      <c r="B569" s="988">
        <v>26755</v>
      </c>
      <c r="C569" s="987" t="s">
        <v>4645</v>
      </c>
      <c r="D569" s="987" t="s">
        <v>4646</v>
      </c>
      <c r="E569" s="987">
        <v>-9.75</v>
      </c>
      <c r="F569" s="987">
        <v>4.0509999999999999E-3</v>
      </c>
      <c r="G569" s="987">
        <v>0.16500000000000001</v>
      </c>
      <c r="H569" s="986">
        <v>5.7000000000000002E-3</v>
      </c>
      <c r="I569" s="986">
        <f t="shared" si="0"/>
        <v>-1.6490000000000003E-3</v>
      </c>
      <c r="J569" s="988">
        <v>26755</v>
      </c>
    </row>
    <row r="570" spans="1:10">
      <c r="A570" s="987">
        <v>70</v>
      </c>
      <c r="B570" s="988">
        <v>26785</v>
      </c>
      <c r="C570" s="987" t="s">
        <v>4645</v>
      </c>
      <c r="D570" s="987" t="s">
        <v>4646</v>
      </c>
      <c r="E570" s="987">
        <v>-9.5</v>
      </c>
      <c r="F570" s="987">
        <v>-2.5641000000000001E-2</v>
      </c>
      <c r="G570" s="987">
        <v>0</v>
      </c>
      <c r="H570" s="986">
        <v>5.7999999999999996E-3</v>
      </c>
      <c r="I570" s="986">
        <f t="shared" si="0"/>
        <v>-3.1440999999999997E-2</v>
      </c>
      <c r="J570" s="988">
        <v>26785</v>
      </c>
    </row>
    <row r="571" spans="1:10">
      <c r="A571" s="987">
        <v>70</v>
      </c>
      <c r="B571" s="988">
        <v>26816</v>
      </c>
      <c r="C571" s="987" t="s">
        <v>4645</v>
      </c>
      <c r="D571" s="987" t="s">
        <v>4646</v>
      </c>
      <c r="E571" s="987">
        <v>-9.875</v>
      </c>
      <c r="F571" s="987">
        <v>3.9474000000000002E-2</v>
      </c>
      <c r="G571" s="987">
        <v>0</v>
      </c>
      <c r="H571" s="986">
        <v>5.4999999999999997E-3</v>
      </c>
      <c r="I571" s="986">
        <f t="shared" si="0"/>
        <v>3.3974000000000004E-2</v>
      </c>
      <c r="J571" s="988">
        <v>26816</v>
      </c>
    </row>
    <row r="572" spans="1:10">
      <c r="A572" s="987">
        <v>70</v>
      </c>
      <c r="B572" s="988">
        <v>26846</v>
      </c>
      <c r="C572" s="987" t="s">
        <v>4645</v>
      </c>
      <c r="D572" s="987" t="s">
        <v>4646</v>
      </c>
      <c r="E572" s="987">
        <v>-10</v>
      </c>
      <c r="F572" s="987">
        <v>3.1898999999999997E-2</v>
      </c>
      <c r="G572" s="987">
        <v>0.19</v>
      </c>
      <c r="H572" s="986">
        <v>6.1000000000000004E-3</v>
      </c>
      <c r="I572" s="986">
        <f t="shared" si="0"/>
        <v>2.5798999999999996E-2</v>
      </c>
      <c r="J572" s="988">
        <v>26846</v>
      </c>
    </row>
    <row r="573" spans="1:10">
      <c r="A573" s="987">
        <v>70</v>
      </c>
      <c r="B573" s="988">
        <v>26877</v>
      </c>
      <c r="C573" s="987" t="s">
        <v>4645</v>
      </c>
      <c r="D573" s="987" t="s">
        <v>4646</v>
      </c>
      <c r="E573" s="987">
        <v>-9.625</v>
      </c>
      <c r="F573" s="987">
        <v>-3.7499999999999999E-2</v>
      </c>
      <c r="G573" s="987">
        <v>0</v>
      </c>
      <c r="H573" s="986">
        <v>6.1999999999999998E-3</v>
      </c>
      <c r="I573" s="986">
        <f t="shared" si="0"/>
        <v>-4.3699999999999996E-2</v>
      </c>
      <c r="J573" s="988">
        <v>26877</v>
      </c>
    </row>
    <row r="574" spans="1:10">
      <c r="A574" s="987">
        <v>70</v>
      </c>
      <c r="B574" s="988">
        <v>26908</v>
      </c>
      <c r="C574" s="987" t="s">
        <v>4645</v>
      </c>
      <c r="D574" s="987" t="s">
        <v>4646</v>
      </c>
      <c r="E574" s="987">
        <v>-9.5</v>
      </c>
      <c r="F574" s="987">
        <v>-1.2987E-2</v>
      </c>
      <c r="G574" s="987">
        <v>0</v>
      </c>
      <c r="H574" s="986">
        <v>5.4999999999999997E-3</v>
      </c>
      <c r="I574" s="986">
        <f t="shared" si="0"/>
        <v>-1.8487E-2</v>
      </c>
      <c r="J574" s="988">
        <v>26908</v>
      </c>
    </row>
    <row r="575" spans="1:10">
      <c r="A575" s="987">
        <v>70</v>
      </c>
      <c r="B575" s="988">
        <v>26938</v>
      </c>
      <c r="C575" s="987" t="s">
        <v>4645</v>
      </c>
      <c r="D575" s="987" t="s">
        <v>4646</v>
      </c>
      <c r="E575" s="987">
        <v>-9.25</v>
      </c>
      <c r="F575" s="987">
        <v>-6.3160000000000004E-3</v>
      </c>
      <c r="G575" s="987">
        <v>0.19</v>
      </c>
      <c r="H575" s="986">
        <v>6.3E-3</v>
      </c>
      <c r="I575" s="986">
        <f t="shared" si="0"/>
        <v>-1.2616E-2</v>
      </c>
      <c r="J575" s="988">
        <v>26938</v>
      </c>
    </row>
    <row r="576" spans="1:10">
      <c r="A576" s="987">
        <v>70</v>
      </c>
      <c r="B576" s="988">
        <v>26969</v>
      </c>
      <c r="C576" s="987" t="s">
        <v>4645</v>
      </c>
      <c r="D576" s="987" t="s">
        <v>4646</v>
      </c>
      <c r="E576" s="987">
        <v>-8.5</v>
      </c>
      <c r="F576" s="987">
        <v>-8.1081E-2</v>
      </c>
      <c r="G576" s="987">
        <v>0</v>
      </c>
      <c r="H576" s="986">
        <v>5.5999999999999999E-3</v>
      </c>
      <c r="I576" s="986">
        <f t="shared" si="0"/>
        <v>-8.6680999999999994E-2</v>
      </c>
      <c r="J576" s="988">
        <v>26969</v>
      </c>
    </row>
    <row r="577" spans="1:10">
      <c r="A577" s="987">
        <v>70</v>
      </c>
      <c r="B577" s="988">
        <v>26999</v>
      </c>
      <c r="C577" s="987" t="s">
        <v>4645</v>
      </c>
      <c r="D577" s="987" t="s">
        <v>4646</v>
      </c>
      <c r="E577" s="987">
        <v>-8.125</v>
      </c>
      <c r="F577" s="987">
        <v>-4.4117999999999997E-2</v>
      </c>
      <c r="G577" s="987">
        <v>0</v>
      </c>
      <c r="H577" s="986">
        <v>6.0000000000000001E-3</v>
      </c>
      <c r="I577" s="986">
        <f t="shared" si="0"/>
        <v>-5.0117999999999996E-2</v>
      </c>
      <c r="J577" s="988">
        <v>26999</v>
      </c>
    </row>
    <row r="578" spans="1:10">
      <c r="A578" s="987">
        <v>70</v>
      </c>
      <c r="B578" s="988">
        <v>27030</v>
      </c>
      <c r="C578" s="987" t="s">
        <v>4645</v>
      </c>
      <c r="D578" s="987" t="s">
        <v>4646</v>
      </c>
      <c r="E578" s="987">
        <v>-9.25</v>
      </c>
      <c r="F578" s="987">
        <v>0.16184599999999999</v>
      </c>
      <c r="G578" s="987">
        <v>0.19</v>
      </c>
      <c r="H578" s="986">
        <v>6.1000000000000004E-3</v>
      </c>
      <c r="I578" s="986">
        <f t="shared" si="0"/>
        <v>0.155746</v>
      </c>
      <c r="J578" s="988">
        <v>27030</v>
      </c>
    </row>
    <row r="579" spans="1:10">
      <c r="A579" s="987">
        <v>70</v>
      </c>
      <c r="B579" s="988">
        <v>27061</v>
      </c>
      <c r="C579" s="987" t="s">
        <v>4645</v>
      </c>
      <c r="D579" s="987" t="s">
        <v>4646</v>
      </c>
      <c r="E579" s="987">
        <v>-9.25</v>
      </c>
      <c r="F579" s="987">
        <v>0</v>
      </c>
      <c r="G579" s="987">
        <v>0</v>
      </c>
      <c r="H579" s="986">
        <v>5.4999999999999997E-3</v>
      </c>
      <c r="I579" s="986">
        <f t="shared" si="0"/>
        <v>-5.4999999999999997E-3</v>
      </c>
      <c r="J579" s="988">
        <v>27061</v>
      </c>
    </row>
    <row r="580" spans="1:10">
      <c r="A580" s="987">
        <v>70</v>
      </c>
      <c r="B580" s="988">
        <v>27089</v>
      </c>
      <c r="C580" s="987" t="s">
        <v>4645</v>
      </c>
      <c r="D580" s="987" t="s">
        <v>4646</v>
      </c>
      <c r="E580" s="987">
        <v>-8.75</v>
      </c>
      <c r="F580" s="987">
        <v>-5.4053999999999998E-2</v>
      </c>
      <c r="G580" s="987">
        <v>0</v>
      </c>
      <c r="H580" s="986">
        <v>5.7999999999999996E-3</v>
      </c>
      <c r="I580" s="986">
        <f t="shared" si="0"/>
        <v>-5.9853999999999997E-2</v>
      </c>
      <c r="J580" s="988">
        <v>27089</v>
      </c>
    </row>
    <row r="581" spans="1:10">
      <c r="A581" s="987">
        <v>70</v>
      </c>
      <c r="B581" s="988">
        <v>27120</v>
      </c>
      <c r="C581" s="987" t="s">
        <v>4645</v>
      </c>
      <c r="D581" s="987" t="s">
        <v>4646</v>
      </c>
      <c r="E581" s="987">
        <v>-8.125</v>
      </c>
      <c r="F581" s="987">
        <v>-4.9714000000000001E-2</v>
      </c>
      <c r="G581" s="987">
        <v>0.19</v>
      </c>
      <c r="H581" s="986">
        <v>6.7999999999999996E-3</v>
      </c>
      <c r="I581" s="986">
        <f t="shared" si="0"/>
        <v>-5.6514000000000002E-2</v>
      </c>
      <c r="J581" s="988">
        <v>27120</v>
      </c>
    </row>
    <row r="582" spans="1:10">
      <c r="A582" s="987">
        <v>70</v>
      </c>
      <c r="B582" s="988">
        <v>27150</v>
      </c>
      <c r="C582" s="987" t="s">
        <v>4645</v>
      </c>
      <c r="D582" s="987" t="s">
        <v>4646</v>
      </c>
      <c r="E582" s="987">
        <v>-7.75</v>
      </c>
      <c r="F582" s="987">
        <v>-4.6154000000000001E-2</v>
      </c>
      <c r="G582" s="987">
        <v>0</v>
      </c>
      <c r="H582" s="986">
        <v>6.7999999999999996E-3</v>
      </c>
      <c r="I582" s="986">
        <f t="shared" si="0"/>
        <v>-5.2954000000000001E-2</v>
      </c>
      <c r="J582" s="988">
        <v>27150</v>
      </c>
    </row>
    <row r="583" spans="1:10">
      <c r="A583" s="987">
        <v>70</v>
      </c>
      <c r="B583" s="988">
        <v>27181</v>
      </c>
      <c r="C583" s="987" t="s">
        <v>4645</v>
      </c>
      <c r="D583" s="987" t="s">
        <v>4646</v>
      </c>
      <c r="E583" s="987">
        <v>-7.625</v>
      </c>
      <c r="F583" s="987">
        <v>-1.6129000000000001E-2</v>
      </c>
      <c r="G583" s="987">
        <v>0</v>
      </c>
      <c r="H583" s="986">
        <v>6.1000000000000004E-3</v>
      </c>
      <c r="I583" s="986">
        <f t="shared" si="0"/>
        <v>-2.2229000000000002E-2</v>
      </c>
      <c r="J583" s="988">
        <v>27181</v>
      </c>
    </row>
    <row r="584" spans="1:10">
      <c r="A584" s="987">
        <v>70</v>
      </c>
      <c r="B584" s="988">
        <v>27211</v>
      </c>
      <c r="C584" s="987" t="s">
        <v>4645</v>
      </c>
      <c r="D584" s="987" t="s">
        <v>4646</v>
      </c>
      <c r="E584" s="987">
        <v>-7.5</v>
      </c>
      <c r="F584" s="987">
        <v>8.5249999999999996E-3</v>
      </c>
      <c r="G584" s="987">
        <v>0.19</v>
      </c>
      <c r="H584" s="986">
        <v>7.1999999999999998E-3</v>
      </c>
      <c r="I584" s="986">
        <f t="shared" si="0"/>
        <v>1.3249999999999998E-3</v>
      </c>
      <c r="J584" s="988">
        <v>27211</v>
      </c>
    </row>
    <row r="585" spans="1:10">
      <c r="A585" s="987">
        <v>70</v>
      </c>
      <c r="B585" s="988">
        <v>27242</v>
      </c>
      <c r="C585" s="987" t="s">
        <v>4645</v>
      </c>
      <c r="D585" s="987" t="s">
        <v>4646</v>
      </c>
      <c r="E585" s="987">
        <v>-6.5</v>
      </c>
      <c r="F585" s="987">
        <v>-0.13333300000000001</v>
      </c>
      <c r="G585" s="987">
        <v>0</v>
      </c>
      <c r="H585" s="986">
        <v>6.4999999999999997E-3</v>
      </c>
      <c r="I585" s="986">
        <f t="shared" si="0"/>
        <v>-0.13983300000000001</v>
      </c>
      <c r="J585" s="988">
        <v>27242</v>
      </c>
    </row>
    <row r="586" spans="1:10">
      <c r="A586" s="987">
        <v>70</v>
      </c>
      <c r="B586" s="988">
        <v>27273</v>
      </c>
      <c r="C586" s="987" t="s">
        <v>4645</v>
      </c>
      <c r="D586" s="987" t="s">
        <v>4646</v>
      </c>
      <c r="E586" s="987">
        <v>-5.875</v>
      </c>
      <c r="F586" s="987">
        <v>-9.6154000000000003E-2</v>
      </c>
      <c r="G586" s="987">
        <v>0</v>
      </c>
      <c r="H586" s="986">
        <v>7.1000000000000004E-3</v>
      </c>
      <c r="I586" s="986">
        <f t="shared" si="0"/>
        <v>-0.103254</v>
      </c>
      <c r="J586" s="988">
        <v>27273</v>
      </c>
    </row>
    <row r="587" spans="1:10">
      <c r="A587" s="987">
        <v>70</v>
      </c>
      <c r="B587" s="988">
        <v>27303</v>
      </c>
      <c r="C587" s="987" t="s">
        <v>4645</v>
      </c>
      <c r="D587" s="987" t="s">
        <v>4646</v>
      </c>
      <c r="E587" s="987">
        <v>-6.5</v>
      </c>
      <c r="F587" s="987">
        <v>0.13872300000000001</v>
      </c>
      <c r="G587" s="987">
        <v>0.19</v>
      </c>
      <c r="H587" s="986">
        <v>7.0000000000000001E-3</v>
      </c>
      <c r="I587" s="986">
        <f t="shared" si="0"/>
        <v>0.13172300000000001</v>
      </c>
      <c r="J587" s="988">
        <v>27303</v>
      </c>
    </row>
    <row r="588" spans="1:10">
      <c r="A588" s="987">
        <v>70</v>
      </c>
      <c r="B588" s="988">
        <v>27334</v>
      </c>
      <c r="C588" s="987" t="s">
        <v>4645</v>
      </c>
      <c r="D588" s="987" t="s">
        <v>4646</v>
      </c>
      <c r="E588" s="987">
        <v>-6.875</v>
      </c>
      <c r="F588" s="987">
        <v>5.7692E-2</v>
      </c>
      <c r="G588" s="987">
        <v>0</v>
      </c>
      <c r="H588" s="986">
        <v>6.1999999999999998E-3</v>
      </c>
      <c r="I588" s="986">
        <f t="shared" si="0"/>
        <v>5.1492000000000003E-2</v>
      </c>
      <c r="J588" s="988">
        <v>27334</v>
      </c>
    </row>
    <row r="589" spans="1:10">
      <c r="A589" s="987">
        <v>70</v>
      </c>
      <c r="B589" s="988">
        <v>27364</v>
      </c>
      <c r="C589" s="987" t="s">
        <v>4645</v>
      </c>
      <c r="D589" s="987" t="s">
        <v>4646</v>
      </c>
      <c r="E589" s="987">
        <v>-6.25</v>
      </c>
      <c r="F589" s="987">
        <v>-9.0909000000000004E-2</v>
      </c>
      <c r="G589" s="987">
        <v>0</v>
      </c>
      <c r="H589" s="986">
        <v>6.7000000000000002E-3</v>
      </c>
      <c r="I589" s="986">
        <f t="shared" si="0"/>
        <v>-9.7609000000000001E-2</v>
      </c>
      <c r="J589" s="988">
        <v>27364</v>
      </c>
    </row>
    <row r="590" spans="1:10">
      <c r="A590" s="987">
        <v>70</v>
      </c>
      <c r="B590" s="988">
        <v>27395</v>
      </c>
      <c r="C590" s="987" t="s">
        <v>4645</v>
      </c>
      <c r="D590" s="987" t="s">
        <v>4646</v>
      </c>
      <c r="E590" s="987">
        <v>-7.8125</v>
      </c>
      <c r="F590" s="987">
        <v>0.28039999999999998</v>
      </c>
      <c r="G590" s="987">
        <v>0.19</v>
      </c>
      <c r="H590" s="986">
        <v>6.7999999999999996E-3</v>
      </c>
      <c r="I590" s="986">
        <f t="shared" si="0"/>
        <v>0.27360000000000001</v>
      </c>
      <c r="J590" s="988">
        <v>27395</v>
      </c>
    </row>
    <row r="591" spans="1:10">
      <c r="A591" s="987">
        <v>70</v>
      </c>
      <c r="B591" s="988">
        <v>27426</v>
      </c>
      <c r="C591" s="987" t="s">
        <v>4645</v>
      </c>
      <c r="D591" s="987" t="s">
        <v>4646</v>
      </c>
      <c r="E591" s="987">
        <v>-7.8125</v>
      </c>
      <c r="F591" s="987">
        <v>0</v>
      </c>
      <c r="G591" s="987">
        <v>0</v>
      </c>
      <c r="H591" s="986">
        <v>6.0000000000000001E-3</v>
      </c>
      <c r="I591" s="986">
        <f t="shared" si="0"/>
        <v>-6.0000000000000001E-3</v>
      </c>
      <c r="J591" s="988">
        <v>27426</v>
      </c>
    </row>
    <row r="592" spans="1:10">
      <c r="A592" s="987">
        <v>70</v>
      </c>
      <c r="B592" s="988">
        <v>27454</v>
      </c>
      <c r="C592" s="987" t="s">
        <v>4645</v>
      </c>
      <c r="D592" s="987" t="s">
        <v>4646</v>
      </c>
      <c r="E592" s="987">
        <v>-6.9375</v>
      </c>
      <c r="F592" s="987">
        <v>-0.112</v>
      </c>
      <c r="G592" s="987">
        <v>0</v>
      </c>
      <c r="H592" s="986">
        <v>6.6E-3</v>
      </c>
      <c r="I592" s="986">
        <f t="shared" si="0"/>
        <v>-0.1186</v>
      </c>
      <c r="J592" s="988">
        <v>27454</v>
      </c>
    </row>
    <row r="593" spans="1:10">
      <c r="A593" s="987">
        <v>70</v>
      </c>
      <c r="B593" s="988">
        <v>27485</v>
      </c>
      <c r="C593" s="987" t="s">
        <v>4645</v>
      </c>
      <c r="D593" s="987" t="s">
        <v>4646</v>
      </c>
      <c r="E593" s="987">
        <v>-7.1875</v>
      </c>
      <c r="F593" s="987">
        <v>6.3422999999999993E-2</v>
      </c>
      <c r="G593" s="987">
        <v>0.19</v>
      </c>
      <c r="H593" s="986">
        <v>6.7000000000000002E-3</v>
      </c>
      <c r="I593" s="986">
        <f t="shared" si="0"/>
        <v>5.6722999999999996E-2</v>
      </c>
      <c r="J593" s="988">
        <v>27485</v>
      </c>
    </row>
    <row r="594" spans="1:10">
      <c r="A594" s="987">
        <v>70</v>
      </c>
      <c r="B594" s="988">
        <v>27515</v>
      </c>
      <c r="C594" s="987" t="s">
        <v>4645</v>
      </c>
      <c r="D594" s="987" t="s">
        <v>4646</v>
      </c>
      <c r="E594" s="987">
        <v>-6.9375</v>
      </c>
      <c r="F594" s="987">
        <v>-3.4783000000000001E-2</v>
      </c>
      <c r="G594" s="987">
        <v>0</v>
      </c>
      <c r="H594" s="986">
        <v>6.7000000000000002E-3</v>
      </c>
      <c r="I594" s="986">
        <f t="shared" si="0"/>
        <v>-4.1482999999999999E-2</v>
      </c>
      <c r="J594" s="988">
        <v>27515</v>
      </c>
    </row>
    <row r="595" spans="1:10">
      <c r="A595" s="987">
        <v>70</v>
      </c>
      <c r="B595" s="988">
        <v>27546</v>
      </c>
      <c r="C595" s="987" t="s">
        <v>4645</v>
      </c>
      <c r="D595" s="987" t="s">
        <v>4646</v>
      </c>
      <c r="E595" s="987">
        <v>-8.5625</v>
      </c>
      <c r="F595" s="987">
        <v>0.234234</v>
      </c>
      <c r="G595" s="987">
        <v>0</v>
      </c>
      <c r="H595" s="986">
        <v>7.0000000000000001E-3</v>
      </c>
      <c r="I595" s="986">
        <f t="shared" si="0"/>
        <v>0.22723399999999999</v>
      </c>
      <c r="J595" s="988">
        <v>27546</v>
      </c>
    </row>
    <row r="596" spans="1:10">
      <c r="A596" s="987">
        <v>70</v>
      </c>
      <c r="B596" s="988">
        <v>27576</v>
      </c>
      <c r="C596" s="987" t="s">
        <v>4645</v>
      </c>
      <c r="D596" s="987" t="s">
        <v>4646</v>
      </c>
      <c r="E596" s="987">
        <v>-7.4375</v>
      </c>
      <c r="F596" s="987">
        <v>-0.109197</v>
      </c>
      <c r="G596" s="987">
        <v>0.19</v>
      </c>
      <c r="H596" s="986">
        <v>6.7999999999999996E-3</v>
      </c>
      <c r="I596" s="986">
        <f t="shared" si="0"/>
        <v>-0.115997</v>
      </c>
      <c r="J596" s="988">
        <v>27576</v>
      </c>
    </row>
    <row r="597" spans="1:10">
      <c r="A597" s="987">
        <v>70</v>
      </c>
      <c r="B597" s="988">
        <v>27607</v>
      </c>
      <c r="C597" s="987" t="s">
        <v>4645</v>
      </c>
      <c r="D597" s="987" t="s">
        <v>4646</v>
      </c>
      <c r="E597" s="987">
        <v>-7.5625</v>
      </c>
      <c r="F597" s="987">
        <v>1.6806999999999999E-2</v>
      </c>
      <c r="G597" s="987">
        <v>0</v>
      </c>
      <c r="H597" s="986">
        <v>6.4999999999999997E-3</v>
      </c>
      <c r="I597" s="986">
        <f t="shared" si="0"/>
        <v>1.0307E-2</v>
      </c>
      <c r="J597" s="988">
        <v>27607</v>
      </c>
    </row>
    <row r="598" spans="1:10">
      <c r="A598" s="987">
        <v>70</v>
      </c>
      <c r="B598" s="988">
        <v>27638</v>
      </c>
      <c r="C598" s="987" t="s">
        <v>4645</v>
      </c>
      <c r="D598" s="987" t="s">
        <v>4646</v>
      </c>
      <c r="E598" s="987">
        <v>-7.3125</v>
      </c>
      <c r="F598" s="987">
        <v>-3.3057999999999997E-2</v>
      </c>
      <c r="G598" s="987">
        <v>0</v>
      </c>
      <c r="H598" s="986">
        <v>7.3000000000000001E-3</v>
      </c>
      <c r="I598" s="986">
        <f t="shared" si="0"/>
        <v>-4.0357999999999998E-2</v>
      </c>
      <c r="J598" s="988">
        <v>27638</v>
      </c>
    </row>
    <row r="599" spans="1:10">
      <c r="A599" s="987">
        <v>70</v>
      </c>
      <c r="B599" s="988">
        <v>27668</v>
      </c>
      <c r="C599" s="987" t="s">
        <v>4645</v>
      </c>
      <c r="D599" s="987" t="s">
        <v>4646</v>
      </c>
      <c r="E599" s="987">
        <v>-7.9375</v>
      </c>
      <c r="F599" s="987">
        <v>0.112821</v>
      </c>
      <c r="G599" s="987">
        <v>0.2</v>
      </c>
      <c r="H599" s="986">
        <v>7.1999999999999998E-3</v>
      </c>
      <c r="I599" s="986">
        <f t="shared" si="0"/>
        <v>0.10562100000000001</v>
      </c>
      <c r="J599" s="988">
        <v>27668</v>
      </c>
    </row>
    <row r="600" spans="1:10">
      <c r="A600" s="987">
        <v>70</v>
      </c>
      <c r="B600" s="988">
        <v>27699</v>
      </c>
      <c r="C600" s="987" t="s">
        <v>4645</v>
      </c>
      <c r="D600" s="987" t="s">
        <v>4646</v>
      </c>
      <c r="E600" s="987">
        <v>-7.6875</v>
      </c>
      <c r="F600" s="987">
        <v>-3.1496000000000003E-2</v>
      </c>
      <c r="G600" s="987">
        <v>0</v>
      </c>
      <c r="H600" s="986">
        <v>6.1000000000000004E-3</v>
      </c>
      <c r="I600" s="986">
        <f t="shared" si="0"/>
        <v>-3.7596000000000004E-2</v>
      </c>
      <c r="J600" s="988">
        <v>27699</v>
      </c>
    </row>
    <row r="601" spans="1:10">
      <c r="A601" s="987">
        <v>70</v>
      </c>
      <c r="B601" s="988">
        <v>27729</v>
      </c>
      <c r="C601" s="987" t="s">
        <v>4645</v>
      </c>
      <c r="D601" s="987" t="s">
        <v>4646</v>
      </c>
      <c r="E601" s="987">
        <v>-7.8125</v>
      </c>
      <c r="F601" s="987">
        <v>1.626E-2</v>
      </c>
      <c r="G601" s="987">
        <v>0</v>
      </c>
      <c r="H601" s="986">
        <v>7.4000000000000003E-3</v>
      </c>
      <c r="I601" s="986">
        <f t="shared" si="0"/>
        <v>8.8599999999999998E-3</v>
      </c>
      <c r="J601" s="988">
        <v>27729</v>
      </c>
    </row>
    <row r="602" spans="1:10">
      <c r="A602" s="987">
        <v>70</v>
      </c>
      <c r="B602" s="988">
        <v>27760</v>
      </c>
      <c r="C602" s="987" t="s">
        <v>4645</v>
      </c>
      <c r="D602" s="987" t="s">
        <v>4646</v>
      </c>
      <c r="E602" s="987">
        <v>-8.9375</v>
      </c>
      <c r="F602" s="987">
        <v>0.1696</v>
      </c>
      <c r="G602" s="987">
        <v>0.2</v>
      </c>
      <c r="H602" s="986">
        <v>6.4999999999999997E-3</v>
      </c>
      <c r="I602" s="986">
        <f t="shared" si="0"/>
        <v>0.16309999999999999</v>
      </c>
      <c r="J602" s="988">
        <v>27760</v>
      </c>
    </row>
    <row r="603" spans="1:10">
      <c r="A603" s="987">
        <v>70</v>
      </c>
      <c r="B603" s="988">
        <v>27791</v>
      </c>
      <c r="C603" s="987" t="s">
        <v>4645</v>
      </c>
      <c r="D603" s="987" t="s">
        <v>4646</v>
      </c>
      <c r="E603" s="987">
        <v>-8.6875</v>
      </c>
      <c r="F603" s="987">
        <v>-2.7972E-2</v>
      </c>
      <c r="G603" s="987">
        <v>0</v>
      </c>
      <c r="H603" s="986">
        <v>6.0000000000000001E-3</v>
      </c>
      <c r="I603" s="986">
        <f t="shared" si="0"/>
        <v>-3.3972000000000002E-2</v>
      </c>
      <c r="J603" s="988">
        <v>27791</v>
      </c>
    </row>
    <row r="604" spans="1:10">
      <c r="A604" s="987">
        <v>70</v>
      </c>
      <c r="B604" s="988">
        <v>27820</v>
      </c>
      <c r="C604" s="987" t="s">
        <v>4645</v>
      </c>
      <c r="D604" s="987" t="s">
        <v>4646</v>
      </c>
      <c r="E604" s="987">
        <v>-8.5625</v>
      </c>
      <c r="F604" s="987">
        <v>-1.4388E-2</v>
      </c>
      <c r="G604" s="987">
        <v>0</v>
      </c>
      <c r="H604" s="986">
        <v>7.1000000000000004E-3</v>
      </c>
      <c r="I604" s="986">
        <f t="shared" si="0"/>
        <v>-2.1488E-2</v>
      </c>
      <c r="J604" s="988">
        <v>27820</v>
      </c>
    </row>
    <row r="605" spans="1:10">
      <c r="A605" s="987">
        <v>70</v>
      </c>
      <c r="B605" s="988">
        <v>27851</v>
      </c>
      <c r="C605" s="987" t="s">
        <v>4645</v>
      </c>
      <c r="D605" s="987" t="s">
        <v>4646</v>
      </c>
      <c r="E605" s="987">
        <v>-8.6875</v>
      </c>
      <c r="F605" s="987">
        <v>3.7955999999999997E-2</v>
      </c>
      <c r="G605" s="987">
        <v>0.2</v>
      </c>
      <c r="H605" s="986">
        <v>6.4000000000000003E-3</v>
      </c>
      <c r="I605" s="986">
        <f t="shared" si="0"/>
        <v>3.1555999999999994E-2</v>
      </c>
      <c r="J605" s="988">
        <v>27851</v>
      </c>
    </row>
    <row r="606" spans="1:10">
      <c r="A606" s="987">
        <v>70</v>
      </c>
      <c r="B606" s="988">
        <v>27881</v>
      </c>
      <c r="C606" s="987" t="s">
        <v>4645</v>
      </c>
      <c r="D606" s="987" t="s">
        <v>4646</v>
      </c>
      <c r="E606" s="987">
        <v>-8.3125</v>
      </c>
      <c r="F606" s="987">
        <v>-4.3165000000000002E-2</v>
      </c>
      <c r="G606" s="987">
        <v>0</v>
      </c>
      <c r="H606" s="986">
        <v>5.8999999999999999E-3</v>
      </c>
      <c r="I606" s="986">
        <f t="shared" si="0"/>
        <v>-4.9065000000000004E-2</v>
      </c>
      <c r="J606" s="988">
        <v>27881</v>
      </c>
    </row>
    <row r="607" spans="1:10">
      <c r="A607" s="987">
        <v>70</v>
      </c>
      <c r="B607" s="988">
        <v>27912</v>
      </c>
      <c r="C607" s="987" t="s">
        <v>4645</v>
      </c>
      <c r="D607" s="987" t="s">
        <v>4646</v>
      </c>
      <c r="E607" s="987">
        <v>-8.5625</v>
      </c>
      <c r="F607" s="987">
        <v>3.0075000000000001E-2</v>
      </c>
      <c r="G607" s="987">
        <v>0</v>
      </c>
      <c r="H607" s="986">
        <v>7.3000000000000001E-3</v>
      </c>
      <c r="I607" s="986">
        <f t="shared" si="0"/>
        <v>2.2775E-2</v>
      </c>
      <c r="J607" s="988">
        <v>27912</v>
      </c>
    </row>
    <row r="608" spans="1:10">
      <c r="A608" s="987">
        <v>70</v>
      </c>
      <c r="B608" s="988">
        <v>27942</v>
      </c>
      <c r="C608" s="987" t="s">
        <v>4645</v>
      </c>
      <c r="D608" s="987" t="s">
        <v>4646</v>
      </c>
      <c r="E608" s="987">
        <v>-9.0625</v>
      </c>
      <c r="F608" s="987">
        <v>8.1752000000000005E-2</v>
      </c>
      <c r="G608" s="987">
        <v>0.2</v>
      </c>
      <c r="H608" s="986">
        <v>6.4999999999999997E-3</v>
      </c>
      <c r="I608" s="986">
        <f t="shared" si="0"/>
        <v>7.5251999999999999E-2</v>
      </c>
      <c r="J608" s="988">
        <v>27942</v>
      </c>
    </row>
    <row r="609" spans="1:10">
      <c r="A609" s="987">
        <v>70</v>
      </c>
      <c r="B609" s="988">
        <v>27973</v>
      </c>
      <c r="C609" s="987" t="s">
        <v>4645</v>
      </c>
      <c r="D609" s="987" t="s">
        <v>4646</v>
      </c>
      <c r="E609" s="987">
        <v>-9.0625</v>
      </c>
      <c r="F609" s="987">
        <v>0</v>
      </c>
      <c r="G609" s="987">
        <v>0</v>
      </c>
      <c r="H609" s="986">
        <v>6.8999999999999999E-3</v>
      </c>
      <c r="I609" s="986">
        <f t="shared" si="0"/>
        <v>-6.8999999999999999E-3</v>
      </c>
      <c r="J609" s="988">
        <v>27973</v>
      </c>
    </row>
    <row r="610" spans="1:10">
      <c r="A610" s="987">
        <v>70</v>
      </c>
      <c r="B610" s="988">
        <v>28004</v>
      </c>
      <c r="C610" s="987" t="s">
        <v>4645</v>
      </c>
      <c r="D610" s="987" t="s">
        <v>4646</v>
      </c>
      <c r="E610" s="987">
        <v>-9.5625</v>
      </c>
      <c r="F610" s="987">
        <v>5.5171999999999999E-2</v>
      </c>
      <c r="G610" s="987">
        <v>0</v>
      </c>
      <c r="H610" s="986">
        <v>6.4000000000000003E-3</v>
      </c>
      <c r="I610" s="986">
        <f t="shared" si="0"/>
        <v>4.8771999999999996E-2</v>
      </c>
      <c r="J610" s="988">
        <v>28004</v>
      </c>
    </row>
    <row r="611" spans="1:10">
      <c r="A611" s="987">
        <v>70</v>
      </c>
      <c r="B611" s="988">
        <v>28034</v>
      </c>
      <c r="C611" s="987" t="s">
        <v>4645</v>
      </c>
      <c r="D611" s="987" t="s">
        <v>4646</v>
      </c>
      <c r="E611" s="987">
        <v>-9.3125</v>
      </c>
      <c r="F611" s="987">
        <v>-5.2290000000000001E-3</v>
      </c>
      <c r="G611" s="987">
        <v>0.2</v>
      </c>
      <c r="H611" s="986">
        <v>6.1000000000000004E-3</v>
      </c>
      <c r="I611" s="986">
        <f t="shared" si="0"/>
        <v>-1.1329000000000001E-2</v>
      </c>
      <c r="J611" s="988">
        <v>28034</v>
      </c>
    </row>
    <row r="612" spans="1:10">
      <c r="A612" s="987">
        <v>70</v>
      </c>
      <c r="B612" s="988">
        <v>28065</v>
      </c>
      <c r="C612" s="987" t="s">
        <v>4645</v>
      </c>
      <c r="D612" s="987" t="s">
        <v>4646</v>
      </c>
      <c r="E612" s="987">
        <v>-8.9375</v>
      </c>
      <c r="F612" s="987">
        <v>-4.0267999999999998E-2</v>
      </c>
      <c r="G612" s="987">
        <v>0</v>
      </c>
      <c r="H612" s="986">
        <v>6.6E-3</v>
      </c>
      <c r="I612" s="986">
        <f t="shared" si="0"/>
        <v>-4.6868E-2</v>
      </c>
      <c r="J612" s="988">
        <v>28065</v>
      </c>
    </row>
    <row r="613" spans="1:10">
      <c r="A613" s="987">
        <v>70</v>
      </c>
      <c r="B613" s="988">
        <v>28095</v>
      </c>
      <c r="C613" s="987" t="s">
        <v>4645</v>
      </c>
      <c r="D613" s="987" t="s">
        <v>4646</v>
      </c>
      <c r="E613" s="987">
        <v>-10.0625</v>
      </c>
      <c r="F613" s="987">
        <v>0.12587400000000001</v>
      </c>
      <c r="G613" s="987">
        <v>0</v>
      </c>
      <c r="H613" s="986">
        <v>6.3E-3</v>
      </c>
      <c r="I613" s="986">
        <f t="shared" si="0"/>
        <v>0.11957400000000001</v>
      </c>
      <c r="J613" s="988">
        <v>28095</v>
      </c>
    </row>
    <row r="614" spans="1:10">
      <c r="A614" s="987">
        <v>70</v>
      </c>
      <c r="B614" s="988">
        <v>28126</v>
      </c>
      <c r="C614" s="987" t="s">
        <v>4645</v>
      </c>
      <c r="D614" s="987" t="s">
        <v>4646</v>
      </c>
      <c r="E614" s="987">
        <v>-10.1875</v>
      </c>
      <c r="F614" s="987">
        <v>3.2298E-2</v>
      </c>
      <c r="G614" s="987">
        <v>0.2</v>
      </c>
      <c r="H614" s="986">
        <v>5.8999999999999999E-3</v>
      </c>
      <c r="I614" s="986">
        <f t="shared" si="0"/>
        <v>2.6398000000000001E-2</v>
      </c>
      <c r="J614" s="988">
        <v>28126</v>
      </c>
    </row>
    <row r="615" spans="1:10">
      <c r="A615" s="987">
        <v>70</v>
      </c>
      <c r="B615" s="988">
        <v>28157</v>
      </c>
      <c r="C615" s="987" t="s">
        <v>4645</v>
      </c>
      <c r="D615" s="987" t="s">
        <v>4646</v>
      </c>
      <c r="E615" s="987">
        <v>-9.8125</v>
      </c>
      <c r="F615" s="987">
        <v>-3.6810000000000002E-2</v>
      </c>
      <c r="G615" s="987">
        <v>0</v>
      </c>
      <c r="H615" s="986">
        <v>5.7000000000000002E-3</v>
      </c>
      <c r="I615" s="986">
        <f t="shared" si="0"/>
        <v>-4.2510000000000006E-2</v>
      </c>
      <c r="J615" s="988">
        <v>28157</v>
      </c>
    </row>
    <row r="616" spans="1:10">
      <c r="A616" s="987">
        <v>70</v>
      </c>
      <c r="B616" s="988">
        <v>28185</v>
      </c>
      <c r="C616" s="987" t="s">
        <v>4645</v>
      </c>
      <c r="D616" s="987" t="s">
        <v>4646</v>
      </c>
      <c r="E616" s="987">
        <v>-9.5625</v>
      </c>
      <c r="F616" s="987">
        <v>-2.5478000000000001E-2</v>
      </c>
      <c r="G616" s="987">
        <v>0</v>
      </c>
      <c r="H616" s="986">
        <v>6.4999999999999997E-3</v>
      </c>
      <c r="I616" s="986">
        <f t="shared" si="0"/>
        <v>-3.1977999999999999E-2</v>
      </c>
      <c r="J616" s="988">
        <v>28185</v>
      </c>
    </row>
    <row r="617" spans="1:10">
      <c r="A617" s="987">
        <v>70</v>
      </c>
      <c r="B617" s="988">
        <v>28216</v>
      </c>
      <c r="C617" s="987" t="s">
        <v>4645</v>
      </c>
      <c r="D617" s="987" t="s">
        <v>4646</v>
      </c>
      <c r="E617" s="987">
        <v>-9.4375</v>
      </c>
      <c r="F617" s="987">
        <v>7.8429999999999993E-3</v>
      </c>
      <c r="G617" s="987">
        <v>0.2</v>
      </c>
      <c r="H617" s="986">
        <v>6.1000000000000004E-3</v>
      </c>
      <c r="I617" s="986">
        <f t="shared" si="0"/>
        <v>1.7429999999999989E-3</v>
      </c>
      <c r="J617" s="988">
        <v>28216</v>
      </c>
    </row>
    <row r="618" spans="1:10">
      <c r="A618" s="987">
        <v>70</v>
      </c>
      <c r="B618" s="988">
        <v>28246</v>
      </c>
      <c r="C618" s="987" t="s">
        <v>4645</v>
      </c>
      <c r="D618" s="987" t="s">
        <v>4646</v>
      </c>
      <c r="E618" s="987">
        <v>-8.9375</v>
      </c>
      <c r="F618" s="987">
        <v>-5.2979999999999999E-2</v>
      </c>
      <c r="G618" s="987">
        <v>0</v>
      </c>
      <c r="H618" s="986">
        <v>6.7000000000000002E-3</v>
      </c>
      <c r="I618" s="986">
        <f t="shared" si="0"/>
        <v>-5.9679999999999997E-2</v>
      </c>
      <c r="J618" s="988">
        <v>28246</v>
      </c>
    </row>
    <row r="619" spans="1:10">
      <c r="A619" s="987">
        <v>70</v>
      </c>
      <c r="B619" s="988">
        <v>28277</v>
      </c>
      <c r="C619" s="987" t="s">
        <v>4645</v>
      </c>
      <c r="D619" s="987" t="s">
        <v>4646</v>
      </c>
      <c r="E619" s="987">
        <v>-10.0625</v>
      </c>
      <c r="F619" s="987">
        <v>0.12587400000000001</v>
      </c>
      <c r="G619" s="987">
        <v>0</v>
      </c>
      <c r="H619" s="986">
        <v>6.1999999999999998E-3</v>
      </c>
      <c r="I619" s="986">
        <f t="shared" si="0"/>
        <v>0.11967400000000002</v>
      </c>
      <c r="J619" s="988">
        <v>28277</v>
      </c>
    </row>
    <row r="620" spans="1:10">
      <c r="A620" s="987">
        <v>70</v>
      </c>
      <c r="B620" s="988">
        <v>28307</v>
      </c>
      <c r="C620" s="987" t="s">
        <v>4645</v>
      </c>
      <c r="D620" s="987" t="s">
        <v>4646</v>
      </c>
      <c r="E620" s="987">
        <v>-10.0625</v>
      </c>
      <c r="F620" s="987">
        <v>1.9876000000000001E-2</v>
      </c>
      <c r="G620" s="987">
        <v>0.2</v>
      </c>
      <c r="H620" s="986">
        <v>5.8999999999999999E-3</v>
      </c>
      <c r="I620" s="986">
        <f t="shared" si="0"/>
        <v>1.3976000000000002E-2</v>
      </c>
      <c r="J620" s="988">
        <v>28307</v>
      </c>
    </row>
    <row r="621" spans="1:10">
      <c r="A621" s="987">
        <v>70</v>
      </c>
      <c r="B621" s="988">
        <v>28338</v>
      </c>
      <c r="C621" s="987" t="s">
        <v>4645</v>
      </c>
      <c r="D621" s="987" t="s">
        <v>4646</v>
      </c>
      <c r="E621" s="987">
        <v>-9.5625</v>
      </c>
      <c r="F621" s="987">
        <v>-4.9688999999999997E-2</v>
      </c>
      <c r="G621" s="987">
        <v>0</v>
      </c>
      <c r="H621" s="986">
        <v>6.7000000000000002E-3</v>
      </c>
      <c r="I621" s="986">
        <f t="shared" si="0"/>
        <v>-5.6388999999999995E-2</v>
      </c>
      <c r="J621" s="988">
        <v>28338</v>
      </c>
    </row>
    <row r="622" spans="1:10">
      <c r="A622" s="987">
        <v>70</v>
      </c>
      <c r="B622" s="988">
        <v>28369</v>
      </c>
      <c r="C622" s="987" t="s">
        <v>4645</v>
      </c>
      <c r="D622" s="987" t="s">
        <v>4646</v>
      </c>
      <c r="E622" s="987">
        <v>-10.1875</v>
      </c>
      <c r="F622" s="987">
        <v>6.5359E-2</v>
      </c>
      <c r="G622" s="987">
        <v>0</v>
      </c>
      <c r="H622" s="986">
        <v>6.1000000000000004E-3</v>
      </c>
      <c r="I622" s="986">
        <f t="shared" si="0"/>
        <v>5.9258999999999999E-2</v>
      </c>
      <c r="J622" s="988">
        <v>28369</v>
      </c>
    </row>
    <row r="623" spans="1:10">
      <c r="A623" s="987">
        <v>70</v>
      </c>
      <c r="B623" s="988">
        <v>28399</v>
      </c>
      <c r="C623" s="987" t="s">
        <v>4645</v>
      </c>
      <c r="D623" s="987" t="s">
        <v>4646</v>
      </c>
      <c r="E623" s="987">
        <v>-10.0625</v>
      </c>
      <c r="F623" s="987">
        <v>9.325E-3</v>
      </c>
      <c r="G623" s="987">
        <v>0.22</v>
      </c>
      <c r="H623" s="986">
        <v>6.3E-3</v>
      </c>
      <c r="I623" s="986">
        <f t="shared" si="0"/>
        <v>3.0249999999999999E-3</v>
      </c>
      <c r="J623" s="988">
        <v>28399</v>
      </c>
    </row>
    <row r="624" spans="1:10">
      <c r="A624" s="987">
        <v>70</v>
      </c>
      <c r="B624" s="988">
        <v>28430</v>
      </c>
      <c r="C624" s="987" t="s">
        <v>4645</v>
      </c>
      <c r="D624" s="987" t="s">
        <v>4646</v>
      </c>
      <c r="E624" s="987">
        <v>-10.5625</v>
      </c>
      <c r="F624" s="987">
        <v>4.9688999999999997E-2</v>
      </c>
      <c r="G624" s="987">
        <v>0</v>
      </c>
      <c r="H624" s="986">
        <v>6.3E-3</v>
      </c>
      <c r="I624" s="986">
        <f t="shared" si="0"/>
        <v>4.3388999999999997E-2</v>
      </c>
      <c r="J624" s="988">
        <v>28430</v>
      </c>
    </row>
    <row r="625" spans="1:10">
      <c r="A625" s="987">
        <v>70</v>
      </c>
      <c r="B625" s="988">
        <v>28460</v>
      </c>
      <c r="C625" s="987" t="s">
        <v>4645</v>
      </c>
      <c r="D625" s="987" t="s">
        <v>4646</v>
      </c>
      <c r="E625" s="987">
        <v>-10.3125</v>
      </c>
      <c r="F625" s="987">
        <v>-2.3668999999999999E-2</v>
      </c>
      <c r="G625" s="987">
        <v>0</v>
      </c>
      <c r="H625" s="986">
        <v>6.1999999999999998E-3</v>
      </c>
      <c r="I625" s="986">
        <f t="shared" si="0"/>
        <v>-2.9869E-2</v>
      </c>
      <c r="J625" s="988">
        <v>28460</v>
      </c>
    </row>
    <row r="626" spans="1:10">
      <c r="A626" s="987">
        <v>70</v>
      </c>
      <c r="B626" s="988">
        <v>28491</v>
      </c>
      <c r="C626" s="987" t="s">
        <v>4645</v>
      </c>
      <c r="D626" s="987" t="s">
        <v>4646</v>
      </c>
      <c r="E626" s="987">
        <v>-10.5625</v>
      </c>
      <c r="F626" s="987">
        <v>4.5575999999999998E-2</v>
      </c>
      <c r="G626" s="987">
        <v>0.22</v>
      </c>
      <c r="H626" s="986">
        <v>6.8999999999999999E-3</v>
      </c>
      <c r="I626" s="986">
        <f t="shared" si="0"/>
        <v>3.8676000000000002E-2</v>
      </c>
      <c r="J626" s="988">
        <v>28491</v>
      </c>
    </row>
    <row r="627" spans="1:10">
      <c r="A627" s="987">
        <v>70</v>
      </c>
      <c r="B627" s="988">
        <v>28522</v>
      </c>
      <c r="C627" s="987" t="s">
        <v>4645</v>
      </c>
      <c r="D627" s="987" t="s">
        <v>4646</v>
      </c>
      <c r="E627" s="987">
        <v>-10.4375</v>
      </c>
      <c r="F627" s="987">
        <v>-1.1834000000000001E-2</v>
      </c>
      <c r="G627" s="987">
        <v>0</v>
      </c>
      <c r="H627" s="986">
        <v>6.0000000000000001E-3</v>
      </c>
      <c r="I627" s="986">
        <f t="shared" si="0"/>
        <v>-1.7834000000000003E-2</v>
      </c>
      <c r="J627" s="988">
        <v>28522</v>
      </c>
    </row>
    <row r="628" spans="1:10">
      <c r="A628" s="987">
        <v>70</v>
      </c>
      <c r="B628" s="988">
        <v>28550</v>
      </c>
      <c r="C628" s="987" t="s">
        <v>4645</v>
      </c>
      <c r="D628" s="987" t="s">
        <v>4646</v>
      </c>
      <c r="E628" s="987">
        <v>-10.0625</v>
      </c>
      <c r="F628" s="987">
        <v>-3.5928000000000002E-2</v>
      </c>
      <c r="G628" s="987">
        <v>0</v>
      </c>
      <c r="H628" s="986">
        <v>6.8999999999999999E-3</v>
      </c>
      <c r="I628" s="986">
        <f t="shared" si="0"/>
        <v>-4.2828000000000005E-2</v>
      </c>
      <c r="J628" s="988">
        <v>28550</v>
      </c>
    </row>
    <row r="629" spans="1:10">
      <c r="A629" s="987">
        <v>70</v>
      </c>
      <c r="B629" s="988">
        <v>28581</v>
      </c>
      <c r="C629" s="987" t="s">
        <v>4645</v>
      </c>
      <c r="D629" s="987" t="s">
        <v>4646</v>
      </c>
      <c r="E629" s="987">
        <v>-11.0625</v>
      </c>
      <c r="F629" s="987">
        <v>0.121242</v>
      </c>
      <c r="G629" s="987">
        <v>0.22</v>
      </c>
      <c r="H629" s="986">
        <v>6.3E-3</v>
      </c>
      <c r="I629" s="986">
        <f t="shared" si="0"/>
        <v>0.114942</v>
      </c>
      <c r="J629" s="988">
        <v>28581</v>
      </c>
    </row>
    <row r="630" spans="1:10">
      <c r="A630" s="987">
        <v>70</v>
      </c>
      <c r="B630" s="988">
        <v>28611</v>
      </c>
      <c r="C630" s="987" t="s">
        <v>4645</v>
      </c>
      <c r="D630" s="987" t="s">
        <v>4646</v>
      </c>
      <c r="E630" s="987">
        <v>-10.5625</v>
      </c>
      <c r="F630" s="987">
        <v>-4.5198000000000002E-2</v>
      </c>
      <c r="G630" s="987">
        <v>0</v>
      </c>
      <c r="H630" s="986">
        <v>7.4999999999999997E-3</v>
      </c>
      <c r="I630" s="986">
        <f t="shared" ref="I630:I693" si="1">F630-H630</f>
        <v>-5.2698000000000002E-2</v>
      </c>
      <c r="J630" s="988">
        <v>28611</v>
      </c>
    </row>
    <row r="631" spans="1:10">
      <c r="A631" s="987">
        <v>70</v>
      </c>
      <c r="B631" s="988">
        <v>28642</v>
      </c>
      <c r="C631" s="987" t="s">
        <v>4645</v>
      </c>
      <c r="D631" s="987" t="s">
        <v>4646</v>
      </c>
      <c r="E631" s="987">
        <v>-10.3125</v>
      </c>
      <c r="F631" s="987">
        <v>-2.3668999999999999E-2</v>
      </c>
      <c r="G631" s="987">
        <v>0</v>
      </c>
      <c r="H631" s="986">
        <v>6.8999999999999999E-3</v>
      </c>
      <c r="I631" s="986">
        <f t="shared" si="1"/>
        <v>-3.0568999999999999E-2</v>
      </c>
      <c r="J631" s="988">
        <v>28642</v>
      </c>
    </row>
    <row r="632" spans="1:10">
      <c r="A632" s="987">
        <v>70</v>
      </c>
      <c r="B632" s="988">
        <v>28672</v>
      </c>
      <c r="C632" s="987" t="s">
        <v>4645</v>
      </c>
      <c r="D632" s="987" t="s">
        <v>4646</v>
      </c>
      <c r="E632" s="987">
        <v>-10.6875</v>
      </c>
      <c r="F632" s="987">
        <v>5.9636000000000002E-2</v>
      </c>
      <c r="G632" s="987">
        <v>0.24</v>
      </c>
      <c r="H632" s="986">
        <v>7.3000000000000001E-3</v>
      </c>
      <c r="I632" s="986">
        <f t="shared" si="1"/>
        <v>5.2336000000000001E-2</v>
      </c>
      <c r="J632" s="988">
        <v>28672</v>
      </c>
    </row>
    <row r="633" spans="1:10">
      <c r="A633" s="987">
        <v>70</v>
      </c>
      <c r="B633" s="988">
        <v>28703</v>
      </c>
      <c r="C633" s="987" t="s">
        <v>4645</v>
      </c>
      <c r="D633" s="987" t="s">
        <v>4646</v>
      </c>
      <c r="E633" s="987">
        <v>-11.0625</v>
      </c>
      <c r="F633" s="987">
        <v>3.5088000000000001E-2</v>
      </c>
      <c r="G633" s="987">
        <v>0</v>
      </c>
      <c r="H633" s="986">
        <v>7.0000000000000001E-3</v>
      </c>
      <c r="I633" s="986">
        <f t="shared" si="1"/>
        <v>2.8088000000000002E-2</v>
      </c>
      <c r="J633" s="988">
        <v>28703</v>
      </c>
    </row>
    <row r="634" spans="1:10">
      <c r="A634" s="987">
        <v>70</v>
      </c>
      <c r="B634" s="988">
        <v>28734</v>
      </c>
      <c r="C634" s="987" t="s">
        <v>4645</v>
      </c>
      <c r="D634" s="987" t="s">
        <v>4646</v>
      </c>
      <c r="E634" s="987">
        <v>-10.3125</v>
      </c>
      <c r="F634" s="987">
        <v>-6.7796999999999996E-2</v>
      </c>
      <c r="G634" s="987">
        <v>0</v>
      </c>
      <c r="H634" s="986">
        <v>6.4999999999999997E-3</v>
      </c>
      <c r="I634" s="986">
        <f t="shared" si="1"/>
        <v>-7.4297000000000002E-2</v>
      </c>
      <c r="J634" s="988">
        <v>28734</v>
      </c>
    </row>
    <row r="635" spans="1:10">
      <c r="A635" s="987">
        <v>70</v>
      </c>
      <c r="B635" s="988">
        <v>28764</v>
      </c>
      <c r="C635" s="987" t="s">
        <v>4645</v>
      </c>
      <c r="D635" s="987" t="s">
        <v>4646</v>
      </c>
      <c r="E635" s="987">
        <v>-9.9375</v>
      </c>
      <c r="F635" s="987">
        <v>-1.3091E-2</v>
      </c>
      <c r="G635" s="987">
        <v>0.24</v>
      </c>
      <c r="H635" s="986">
        <v>7.3000000000000001E-3</v>
      </c>
      <c r="I635" s="986">
        <f t="shared" si="1"/>
        <v>-2.0390999999999999E-2</v>
      </c>
      <c r="J635" s="988">
        <v>28764</v>
      </c>
    </row>
    <row r="636" spans="1:10">
      <c r="A636" s="987">
        <v>70</v>
      </c>
      <c r="B636" s="988">
        <v>28795</v>
      </c>
      <c r="C636" s="987" t="s">
        <v>4645</v>
      </c>
      <c r="D636" s="987" t="s">
        <v>4646</v>
      </c>
      <c r="E636" s="987">
        <v>-10.5625</v>
      </c>
      <c r="F636" s="987">
        <v>6.2893000000000004E-2</v>
      </c>
      <c r="G636" s="987">
        <v>0</v>
      </c>
      <c r="H636" s="986">
        <v>7.1000000000000004E-3</v>
      </c>
      <c r="I636" s="986">
        <f t="shared" si="1"/>
        <v>5.5793000000000002E-2</v>
      </c>
      <c r="J636" s="988">
        <v>28795</v>
      </c>
    </row>
    <row r="637" spans="1:10">
      <c r="A637" s="987">
        <v>70</v>
      </c>
      <c r="B637" s="988">
        <v>28825</v>
      </c>
      <c r="C637" s="987" t="s">
        <v>4645</v>
      </c>
      <c r="D637" s="987" t="s">
        <v>4646</v>
      </c>
      <c r="E637" s="987">
        <v>-10.6875</v>
      </c>
      <c r="F637" s="987">
        <v>1.1834000000000001E-2</v>
      </c>
      <c r="G637" s="987">
        <v>0</v>
      </c>
      <c r="H637" s="986">
        <v>6.7999999999999996E-3</v>
      </c>
      <c r="I637" s="986">
        <f t="shared" si="1"/>
        <v>5.0340000000000011E-3</v>
      </c>
      <c r="J637" s="988">
        <v>28825</v>
      </c>
    </row>
    <row r="638" spans="1:10">
      <c r="A638" s="987">
        <v>70</v>
      </c>
      <c r="B638" s="988">
        <v>28856</v>
      </c>
      <c r="C638" s="987" t="s">
        <v>4645</v>
      </c>
      <c r="D638" s="987" t="s">
        <v>4646</v>
      </c>
      <c r="E638" s="987">
        <v>-10.4375</v>
      </c>
      <c r="F638" s="987">
        <v>-9.3599999999999998E-4</v>
      </c>
      <c r="G638" s="987">
        <v>0.24</v>
      </c>
      <c r="H638" s="986">
        <v>7.9000000000000008E-3</v>
      </c>
      <c r="I638" s="986">
        <f t="shared" si="1"/>
        <v>-8.8360000000000001E-3</v>
      </c>
      <c r="J638" s="988">
        <v>28856</v>
      </c>
    </row>
    <row r="639" spans="1:10">
      <c r="A639" s="987">
        <v>70</v>
      </c>
      <c r="B639" s="988">
        <v>28887</v>
      </c>
      <c r="C639" s="987" t="s">
        <v>4645</v>
      </c>
      <c r="D639" s="987" t="s">
        <v>4646</v>
      </c>
      <c r="E639" s="987">
        <v>-10.5625</v>
      </c>
      <c r="F639" s="987">
        <v>1.1976000000000001E-2</v>
      </c>
      <c r="G639" s="987">
        <v>0</v>
      </c>
      <c r="H639" s="986">
        <v>6.4999999999999997E-3</v>
      </c>
      <c r="I639" s="986">
        <f t="shared" si="1"/>
        <v>5.4760000000000008E-3</v>
      </c>
      <c r="J639" s="988">
        <v>28887</v>
      </c>
    </row>
    <row r="640" spans="1:10">
      <c r="A640" s="987">
        <v>70</v>
      </c>
      <c r="B640" s="988">
        <v>28915</v>
      </c>
      <c r="C640" s="987" t="s">
        <v>4645</v>
      </c>
      <c r="D640" s="987" t="s">
        <v>4646</v>
      </c>
      <c r="E640" s="987">
        <v>-10.8125</v>
      </c>
      <c r="F640" s="987">
        <v>2.3668999999999999E-2</v>
      </c>
      <c r="G640" s="987">
        <v>0</v>
      </c>
      <c r="H640" s="986">
        <v>7.4000000000000003E-3</v>
      </c>
      <c r="I640" s="986">
        <f t="shared" si="1"/>
        <v>1.6268999999999999E-2</v>
      </c>
      <c r="J640" s="988">
        <v>28915</v>
      </c>
    </row>
    <row r="641" spans="1:10">
      <c r="A641" s="987">
        <v>70</v>
      </c>
      <c r="B641" s="988">
        <v>28946</v>
      </c>
      <c r="C641" s="987" t="s">
        <v>4645</v>
      </c>
      <c r="D641" s="987" t="s">
        <v>4646</v>
      </c>
      <c r="E641" s="987">
        <v>-11.6875</v>
      </c>
      <c r="F641" s="987">
        <v>0.10497099999999999</v>
      </c>
      <c r="G641" s="987">
        <v>0.26</v>
      </c>
      <c r="H641" s="986">
        <v>7.6E-3</v>
      </c>
      <c r="I641" s="986">
        <f t="shared" si="1"/>
        <v>9.7370999999999999E-2</v>
      </c>
      <c r="J641" s="988">
        <v>28946</v>
      </c>
    </row>
    <row r="642" spans="1:10">
      <c r="A642" s="987">
        <v>70</v>
      </c>
      <c r="B642" s="988">
        <v>28976</v>
      </c>
      <c r="C642" s="987" t="s">
        <v>4645</v>
      </c>
      <c r="D642" s="987" t="s">
        <v>4646</v>
      </c>
      <c r="E642" s="987">
        <v>-12.1875</v>
      </c>
      <c r="F642" s="987">
        <v>4.2781E-2</v>
      </c>
      <c r="G642" s="987">
        <v>0</v>
      </c>
      <c r="H642" s="986">
        <v>7.7000000000000002E-3</v>
      </c>
      <c r="I642" s="986">
        <f t="shared" si="1"/>
        <v>3.5081000000000001E-2</v>
      </c>
      <c r="J642" s="988">
        <v>28976</v>
      </c>
    </row>
    <row r="643" spans="1:10">
      <c r="A643" s="987">
        <v>70</v>
      </c>
      <c r="B643" s="988">
        <v>29007</v>
      </c>
      <c r="C643" s="987" t="s">
        <v>4645</v>
      </c>
      <c r="D643" s="987" t="s">
        <v>4646</v>
      </c>
      <c r="E643" s="987">
        <v>-12.4375</v>
      </c>
      <c r="F643" s="987">
        <v>2.0513E-2</v>
      </c>
      <c r="G643" s="987">
        <v>0</v>
      </c>
      <c r="H643" s="986">
        <v>7.1000000000000004E-3</v>
      </c>
      <c r="I643" s="986">
        <f t="shared" si="1"/>
        <v>1.3413E-2</v>
      </c>
      <c r="J643" s="988">
        <v>29007</v>
      </c>
    </row>
    <row r="644" spans="1:10">
      <c r="A644" s="987">
        <v>70</v>
      </c>
      <c r="B644" s="988">
        <v>29037</v>
      </c>
      <c r="C644" s="987" t="s">
        <v>4645</v>
      </c>
      <c r="D644" s="987" t="s">
        <v>4646</v>
      </c>
      <c r="E644" s="987">
        <v>-13.8125</v>
      </c>
      <c r="F644" s="987">
        <v>0.13145699999999999</v>
      </c>
      <c r="G644" s="987">
        <v>0.26</v>
      </c>
      <c r="H644" s="986">
        <v>7.6E-3</v>
      </c>
      <c r="I644" s="986">
        <f t="shared" si="1"/>
        <v>0.12385699999999999</v>
      </c>
      <c r="J644" s="988">
        <v>29037</v>
      </c>
    </row>
    <row r="645" spans="1:10">
      <c r="A645" s="987">
        <v>70</v>
      </c>
      <c r="B645" s="988">
        <v>29068</v>
      </c>
      <c r="C645" s="987" t="s">
        <v>4645</v>
      </c>
      <c r="D645" s="987" t="s">
        <v>4646</v>
      </c>
      <c r="E645" s="987">
        <v>-16.5625</v>
      </c>
      <c r="F645" s="987">
        <v>0.19909499999999999</v>
      </c>
      <c r="G645" s="987">
        <v>0</v>
      </c>
      <c r="H645" s="986">
        <v>7.3000000000000001E-3</v>
      </c>
      <c r="I645" s="986">
        <f t="shared" si="1"/>
        <v>0.19179499999999999</v>
      </c>
      <c r="J645" s="988">
        <v>29068</v>
      </c>
    </row>
    <row r="646" spans="1:10">
      <c r="A646" s="987">
        <v>70</v>
      </c>
      <c r="B646" s="988">
        <v>29099</v>
      </c>
      <c r="C646" s="987" t="s">
        <v>4645</v>
      </c>
      <c r="D646" s="987" t="s">
        <v>4646</v>
      </c>
      <c r="E646" s="987">
        <v>-15.4375</v>
      </c>
      <c r="F646" s="987">
        <v>-6.7924999999999999E-2</v>
      </c>
      <c r="G646" s="987">
        <v>0</v>
      </c>
      <c r="H646" s="986">
        <v>6.7999999999999996E-3</v>
      </c>
      <c r="I646" s="986">
        <f t="shared" si="1"/>
        <v>-7.4725E-2</v>
      </c>
      <c r="J646" s="988">
        <v>29099</v>
      </c>
    </row>
    <row r="647" spans="1:10">
      <c r="A647" s="987">
        <v>70</v>
      </c>
      <c r="B647" s="988">
        <v>29129</v>
      </c>
      <c r="C647" s="987" t="s">
        <v>4645</v>
      </c>
      <c r="D647" s="987" t="s">
        <v>4646</v>
      </c>
      <c r="E647" s="987">
        <v>-13.6875</v>
      </c>
      <c r="F647" s="987">
        <v>-9.6518000000000007E-2</v>
      </c>
      <c r="G647" s="987">
        <v>0.26</v>
      </c>
      <c r="H647" s="986">
        <v>8.2000000000000007E-3</v>
      </c>
      <c r="I647" s="986">
        <f t="shared" si="1"/>
        <v>-0.10471800000000001</v>
      </c>
      <c r="J647" s="988">
        <v>29129</v>
      </c>
    </row>
    <row r="648" spans="1:10">
      <c r="A648" s="987">
        <v>70</v>
      </c>
      <c r="B648" s="988">
        <v>29160</v>
      </c>
      <c r="C648" s="987" t="s">
        <v>4645</v>
      </c>
      <c r="D648" s="987" t="s">
        <v>4646</v>
      </c>
      <c r="E648" s="987">
        <v>-16.0625</v>
      </c>
      <c r="F648" s="987">
        <v>0.173516</v>
      </c>
      <c r="G648" s="987">
        <v>0</v>
      </c>
      <c r="H648" s="986">
        <v>8.3000000000000001E-3</v>
      </c>
      <c r="I648" s="986">
        <f t="shared" si="1"/>
        <v>0.165216</v>
      </c>
      <c r="J648" s="988">
        <v>29160</v>
      </c>
    </row>
    <row r="649" spans="1:10">
      <c r="A649" s="987">
        <v>70</v>
      </c>
      <c r="B649" s="988">
        <v>29190</v>
      </c>
      <c r="C649" s="987" t="s">
        <v>4645</v>
      </c>
      <c r="D649" s="987" t="s">
        <v>4646</v>
      </c>
      <c r="E649" s="987">
        <v>-15.9375</v>
      </c>
      <c r="F649" s="987">
        <v>-7.7819999999999999E-3</v>
      </c>
      <c r="G649" s="987">
        <v>0</v>
      </c>
      <c r="H649" s="986">
        <v>8.3000000000000001E-3</v>
      </c>
      <c r="I649" s="986">
        <f t="shared" si="1"/>
        <v>-1.6081999999999999E-2</v>
      </c>
      <c r="J649" s="988">
        <v>29190</v>
      </c>
    </row>
    <row r="650" spans="1:10">
      <c r="A650" s="987">
        <v>70</v>
      </c>
      <c r="B650" s="988">
        <v>29221</v>
      </c>
      <c r="C650" s="987" t="s">
        <v>4645</v>
      </c>
      <c r="D650" s="987" t="s">
        <v>4646</v>
      </c>
      <c r="E650" s="987">
        <v>-16.0625</v>
      </c>
      <c r="F650" s="987">
        <v>2.4157000000000001E-2</v>
      </c>
      <c r="G650" s="987">
        <v>0.26</v>
      </c>
      <c r="H650" s="986">
        <v>8.3000000000000001E-3</v>
      </c>
      <c r="I650" s="986">
        <f t="shared" si="1"/>
        <v>1.5857000000000003E-2</v>
      </c>
      <c r="J650" s="988">
        <v>29221</v>
      </c>
    </row>
    <row r="651" spans="1:10">
      <c r="A651" s="987">
        <v>70</v>
      </c>
      <c r="B651" s="988">
        <v>29252</v>
      </c>
      <c r="C651" s="987" t="s">
        <v>4645</v>
      </c>
      <c r="D651" s="987" t="s">
        <v>4646</v>
      </c>
      <c r="E651" s="987">
        <v>-16.0625</v>
      </c>
      <c r="F651" s="987">
        <v>0</v>
      </c>
      <c r="G651" s="987">
        <v>0</v>
      </c>
      <c r="H651" s="986">
        <v>8.3999999999999995E-3</v>
      </c>
      <c r="I651" s="986">
        <f t="shared" si="1"/>
        <v>-8.3999999999999995E-3</v>
      </c>
      <c r="J651" s="988">
        <v>29252</v>
      </c>
    </row>
    <row r="652" spans="1:10">
      <c r="A652" s="987">
        <v>70</v>
      </c>
      <c r="B652" s="988">
        <v>29281</v>
      </c>
      <c r="C652" s="987" t="s">
        <v>4645</v>
      </c>
      <c r="D652" s="987" t="s">
        <v>4646</v>
      </c>
      <c r="E652" s="987">
        <v>-12.3125</v>
      </c>
      <c r="F652" s="987">
        <v>-0.233463</v>
      </c>
      <c r="G652" s="987">
        <v>0</v>
      </c>
      <c r="H652" s="986">
        <v>9.9000000000000008E-3</v>
      </c>
      <c r="I652" s="986">
        <f t="shared" si="1"/>
        <v>-0.243363</v>
      </c>
      <c r="J652" s="988">
        <v>29281</v>
      </c>
    </row>
    <row r="653" spans="1:10">
      <c r="A653" s="987">
        <v>70</v>
      </c>
      <c r="B653" s="988">
        <v>29312</v>
      </c>
      <c r="C653" s="987" t="s">
        <v>4645</v>
      </c>
      <c r="D653" s="987" t="s">
        <v>4646</v>
      </c>
      <c r="E653" s="987">
        <v>-13.6875</v>
      </c>
      <c r="F653" s="987">
        <v>0.13441600000000001</v>
      </c>
      <c r="G653" s="987">
        <v>0.28000000000000003</v>
      </c>
      <c r="H653" s="986">
        <v>0.01</v>
      </c>
      <c r="I653" s="986">
        <f t="shared" si="1"/>
        <v>0.12441600000000001</v>
      </c>
      <c r="J653" s="988">
        <v>29312</v>
      </c>
    </row>
    <row r="654" spans="1:10">
      <c r="A654" s="987">
        <v>70</v>
      </c>
      <c r="B654" s="988">
        <v>29342</v>
      </c>
      <c r="C654" s="987" t="s">
        <v>4645</v>
      </c>
      <c r="D654" s="987" t="s">
        <v>4646</v>
      </c>
      <c r="E654" s="987">
        <v>-13.5625</v>
      </c>
      <c r="F654" s="987">
        <v>-9.1319999999999995E-3</v>
      </c>
      <c r="G654" s="987">
        <v>0</v>
      </c>
      <c r="H654" s="986">
        <v>8.6999999999999994E-3</v>
      </c>
      <c r="I654" s="986">
        <f t="shared" si="1"/>
        <v>-1.7832000000000001E-2</v>
      </c>
      <c r="J654" s="988">
        <v>29342</v>
      </c>
    </row>
    <row r="655" spans="1:10">
      <c r="A655" s="987">
        <v>70</v>
      </c>
      <c r="B655" s="988">
        <v>29373</v>
      </c>
      <c r="C655" s="987" t="s">
        <v>4645</v>
      </c>
      <c r="D655" s="987" t="s">
        <v>4646</v>
      </c>
      <c r="E655" s="987">
        <v>0</v>
      </c>
      <c r="F655" s="987">
        <v>0</v>
      </c>
      <c r="G655" s="987">
        <v>0</v>
      </c>
      <c r="H655" s="986">
        <v>8.6E-3</v>
      </c>
      <c r="I655" s="986">
        <f t="shared" si="1"/>
        <v>-8.6E-3</v>
      </c>
      <c r="J655" s="988">
        <v>29373</v>
      </c>
    </row>
    <row r="656" spans="1:10">
      <c r="A656" s="987">
        <v>70</v>
      </c>
      <c r="B656" s="988">
        <v>29403</v>
      </c>
      <c r="C656" s="987" t="s">
        <v>4645</v>
      </c>
      <c r="D656" s="987" t="s">
        <v>4646</v>
      </c>
      <c r="E656" s="987">
        <v>-13.9375</v>
      </c>
      <c r="F656" s="987">
        <v>4.8294999999999998E-2</v>
      </c>
      <c r="G656" s="987">
        <v>0.28000000000000003</v>
      </c>
      <c r="H656" s="986">
        <v>8.3999999999999995E-3</v>
      </c>
      <c r="I656" s="986">
        <f t="shared" si="1"/>
        <v>3.9895E-2</v>
      </c>
      <c r="J656" s="988">
        <v>29403</v>
      </c>
    </row>
    <row r="657" spans="1:10">
      <c r="A657" s="987">
        <v>70</v>
      </c>
      <c r="B657" s="988">
        <v>29434</v>
      </c>
      <c r="C657" s="987" t="s">
        <v>4645</v>
      </c>
      <c r="D657" s="987" t="s">
        <v>4646</v>
      </c>
      <c r="E657" s="987">
        <v>-12.75</v>
      </c>
      <c r="F657" s="987">
        <v>-8.5202E-2</v>
      </c>
      <c r="G657" s="987">
        <v>0</v>
      </c>
      <c r="H657" s="986">
        <v>8.0999999999999996E-3</v>
      </c>
      <c r="I657" s="986">
        <f t="shared" si="1"/>
        <v>-9.3301999999999996E-2</v>
      </c>
      <c r="J657" s="988">
        <v>29434</v>
      </c>
    </row>
    <row r="658" spans="1:10">
      <c r="A658" s="987">
        <v>70</v>
      </c>
      <c r="B658" s="988">
        <v>29465</v>
      </c>
      <c r="C658" s="987" t="s">
        <v>4645</v>
      </c>
      <c r="D658" s="987" t="s">
        <v>4646</v>
      </c>
      <c r="E658" s="987">
        <v>-12.75</v>
      </c>
      <c r="F658" s="987">
        <v>0</v>
      </c>
      <c r="G658" s="987">
        <v>0</v>
      </c>
      <c r="H658" s="986">
        <v>9.7000000000000003E-3</v>
      </c>
      <c r="I658" s="986">
        <f t="shared" si="1"/>
        <v>-9.7000000000000003E-3</v>
      </c>
      <c r="J658" s="988">
        <v>29465</v>
      </c>
    </row>
    <row r="659" spans="1:10">
      <c r="A659" s="987">
        <v>70</v>
      </c>
      <c r="B659" s="988">
        <v>29495</v>
      </c>
      <c r="C659" s="987" t="s">
        <v>4645</v>
      </c>
      <c r="D659" s="987" t="s">
        <v>4646</v>
      </c>
      <c r="E659" s="987">
        <v>-12.1875</v>
      </c>
      <c r="F659" s="987">
        <v>-2.2157E-2</v>
      </c>
      <c r="G659" s="987">
        <v>0.28000000000000003</v>
      </c>
      <c r="H659" s="986">
        <v>9.7000000000000003E-3</v>
      </c>
      <c r="I659" s="986">
        <f t="shared" si="1"/>
        <v>-3.1856999999999996E-2</v>
      </c>
      <c r="J659" s="988">
        <v>29495</v>
      </c>
    </row>
    <row r="660" spans="1:10">
      <c r="A660" s="987">
        <v>70</v>
      </c>
      <c r="B660" s="988">
        <v>29526</v>
      </c>
      <c r="C660" s="987" t="s">
        <v>4645</v>
      </c>
      <c r="D660" s="987" t="s">
        <v>4646</v>
      </c>
      <c r="E660" s="987">
        <v>-14</v>
      </c>
      <c r="F660" s="987">
        <v>0.14871799999999999</v>
      </c>
      <c r="G660" s="987">
        <v>0</v>
      </c>
      <c r="H660" s="986">
        <v>9.1000000000000004E-3</v>
      </c>
      <c r="I660" s="986">
        <f t="shared" si="1"/>
        <v>0.13961799999999999</v>
      </c>
      <c r="J660" s="988">
        <v>29526</v>
      </c>
    </row>
    <row r="661" spans="1:10">
      <c r="A661" s="987">
        <v>70</v>
      </c>
      <c r="B661" s="988">
        <v>29556</v>
      </c>
      <c r="C661" s="987" t="s">
        <v>4645</v>
      </c>
      <c r="D661" s="987" t="s">
        <v>4646</v>
      </c>
      <c r="E661" s="987">
        <v>-12.25</v>
      </c>
      <c r="F661" s="987">
        <v>-0.125</v>
      </c>
      <c r="G661" s="987">
        <v>0</v>
      </c>
      <c r="H661" s="986">
        <v>1.0800000000000001E-2</v>
      </c>
      <c r="I661" s="986">
        <f t="shared" si="1"/>
        <v>-0.1358</v>
      </c>
      <c r="J661" s="988">
        <v>29556</v>
      </c>
    </row>
    <row r="662" spans="1:10">
      <c r="A662" s="987">
        <v>70</v>
      </c>
      <c r="B662" s="988">
        <v>29587</v>
      </c>
      <c r="C662" s="987" t="s">
        <v>4645</v>
      </c>
      <c r="D662" s="987" t="s">
        <v>4646</v>
      </c>
      <c r="E662" s="987">
        <v>-11.6875</v>
      </c>
      <c r="F662" s="987">
        <v>-2.3061000000000002E-2</v>
      </c>
      <c r="G662" s="987">
        <v>0.28000000000000003</v>
      </c>
      <c r="H662" s="986">
        <v>9.4000000000000004E-3</v>
      </c>
      <c r="I662" s="986">
        <f t="shared" si="1"/>
        <v>-3.2461000000000004E-2</v>
      </c>
      <c r="J662" s="988">
        <v>29587</v>
      </c>
    </row>
    <row r="663" spans="1:10">
      <c r="A663" s="987">
        <v>70</v>
      </c>
      <c r="B663" s="988">
        <v>29618</v>
      </c>
      <c r="C663" s="987" t="s">
        <v>4645</v>
      </c>
      <c r="D663" s="987" t="s">
        <v>4646</v>
      </c>
      <c r="E663" s="987">
        <v>-10.875</v>
      </c>
      <c r="F663" s="987">
        <v>-6.9518999999999997E-2</v>
      </c>
      <c r="G663" s="987">
        <v>0</v>
      </c>
      <c r="H663" s="986">
        <v>8.8000000000000005E-3</v>
      </c>
      <c r="I663" s="986">
        <f t="shared" si="1"/>
        <v>-7.8319E-2</v>
      </c>
      <c r="J663" s="988">
        <v>29618</v>
      </c>
    </row>
    <row r="664" spans="1:10">
      <c r="A664" s="987">
        <v>70</v>
      </c>
      <c r="B664" s="988">
        <v>29646</v>
      </c>
      <c r="C664" s="987" t="s">
        <v>4645</v>
      </c>
      <c r="D664" s="987" t="s">
        <v>4646</v>
      </c>
      <c r="E664" s="987">
        <v>-11.375</v>
      </c>
      <c r="F664" s="987">
        <v>4.5976999999999997E-2</v>
      </c>
      <c r="G664" s="987">
        <v>0</v>
      </c>
      <c r="H664" s="986">
        <v>1.11E-2</v>
      </c>
      <c r="I664" s="986">
        <f t="shared" si="1"/>
        <v>3.4876999999999998E-2</v>
      </c>
      <c r="J664" s="988">
        <v>29646</v>
      </c>
    </row>
    <row r="665" spans="1:10">
      <c r="A665" s="987">
        <v>70</v>
      </c>
      <c r="B665" s="988">
        <v>29677</v>
      </c>
      <c r="C665" s="987" t="s">
        <v>4645</v>
      </c>
      <c r="D665" s="987" t="s">
        <v>4646</v>
      </c>
      <c r="E665" s="987">
        <v>-10.625</v>
      </c>
      <c r="F665" s="987">
        <v>-3.7802000000000002E-2</v>
      </c>
      <c r="G665" s="987">
        <v>0.32</v>
      </c>
      <c r="H665" s="986">
        <v>1.01E-2</v>
      </c>
      <c r="I665" s="986">
        <f t="shared" si="1"/>
        <v>-4.7902E-2</v>
      </c>
      <c r="J665" s="988">
        <v>29677</v>
      </c>
    </row>
    <row r="666" spans="1:10">
      <c r="A666" s="987">
        <v>70</v>
      </c>
      <c r="B666" s="988">
        <v>29707</v>
      </c>
      <c r="C666" s="987" t="s">
        <v>4645</v>
      </c>
      <c r="D666" s="987" t="s">
        <v>4646</v>
      </c>
      <c r="E666" s="987">
        <v>-11</v>
      </c>
      <c r="F666" s="987">
        <v>3.5293999999999999E-2</v>
      </c>
      <c r="G666" s="987">
        <v>0</v>
      </c>
      <c r="H666" s="986">
        <v>1.04E-2</v>
      </c>
      <c r="I666" s="986">
        <f t="shared" si="1"/>
        <v>2.4893999999999999E-2</v>
      </c>
      <c r="J666" s="988">
        <v>29707</v>
      </c>
    </row>
    <row r="667" spans="1:10">
      <c r="A667" s="987">
        <v>70</v>
      </c>
      <c r="B667" s="988">
        <v>29738</v>
      </c>
      <c r="C667" s="987" t="s">
        <v>4645</v>
      </c>
      <c r="D667" s="987" t="s">
        <v>4646</v>
      </c>
      <c r="E667" s="987">
        <v>-11.25</v>
      </c>
      <c r="F667" s="987">
        <v>2.2727000000000001E-2</v>
      </c>
      <c r="G667" s="987">
        <v>0</v>
      </c>
      <c r="H667" s="986">
        <v>1.09E-2</v>
      </c>
      <c r="I667" s="986">
        <f t="shared" si="1"/>
        <v>1.1827000000000001E-2</v>
      </c>
      <c r="J667" s="988">
        <v>29738</v>
      </c>
    </row>
    <row r="668" spans="1:10">
      <c r="A668" s="987">
        <v>70</v>
      </c>
      <c r="B668" s="988">
        <v>29768</v>
      </c>
      <c r="C668" s="987" t="s">
        <v>4645</v>
      </c>
      <c r="D668" s="987" t="s">
        <v>4646</v>
      </c>
      <c r="E668" s="987">
        <v>-11.5</v>
      </c>
      <c r="F668" s="987">
        <v>5.0666999999999997E-2</v>
      </c>
      <c r="G668" s="987">
        <v>0.32</v>
      </c>
      <c r="H668" s="986">
        <v>1.09E-2</v>
      </c>
      <c r="I668" s="986">
        <f t="shared" si="1"/>
        <v>3.9766999999999997E-2</v>
      </c>
      <c r="J668" s="988">
        <v>29768</v>
      </c>
    </row>
    <row r="669" spans="1:10">
      <c r="A669" s="987">
        <v>70</v>
      </c>
      <c r="B669" s="988">
        <v>29799</v>
      </c>
      <c r="C669" s="987" t="s">
        <v>4645</v>
      </c>
      <c r="D669" s="987" t="s">
        <v>4646</v>
      </c>
      <c r="E669" s="987">
        <v>-11.3125</v>
      </c>
      <c r="F669" s="987">
        <v>-1.6303999999999999E-2</v>
      </c>
      <c r="G669" s="987">
        <v>0</v>
      </c>
      <c r="H669" s="986">
        <v>1.0999999999999999E-2</v>
      </c>
      <c r="I669" s="986">
        <f t="shared" si="1"/>
        <v>-2.7303999999999998E-2</v>
      </c>
      <c r="J669" s="988">
        <v>29799</v>
      </c>
    </row>
    <row r="670" spans="1:10">
      <c r="A670" s="987">
        <v>70</v>
      </c>
      <c r="B670" s="988">
        <v>29830</v>
      </c>
      <c r="C670" s="987" t="s">
        <v>4645</v>
      </c>
      <c r="D670" s="987" t="s">
        <v>4646</v>
      </c>
      <c r="E670" s="987">
        <v>-11.375</v>
      </c>
      <c r="F670" s="987">
        <v>5.5250000000000004E-3</v>
      </c>
      <c r="G670" s="987">
        <v>0</v>
      </c>
      <c r="H670" s="986">
        <v>1.14E-2</v>
      </c>
      <c r="I670" s="986">
        <f t="shared" si="1"/>
        <v>-5.875E-3</v>
      </c>
      <c r="J670" s="988">
        <v>29830</v>
      </c>
    </row>
    <row r="671" spans="1:10">
      <c r="A671" s="987">
        <v>70</v>
      </c>
      <c r="B671" s="988">
        <v>29860</v>
      </c>
      <c r="C671" s="987" t="s">
        <v>4645</v>
      </c>
      <c r="D671" s="987" t="s">
        <v>4646</v>
      </c>
      <c r="E671" s="987">
        <v>-11.25</v>
      </c>
      <c r="F671" s="987">
        <v>1.7142999999999999E-2</v>
      </c>
      <c r="G671" s="987">
        <v>0.32</v>
      </c>
      <c r="H671" s="986">
        <v>1.17E-2</v>
      </c>
      <c r="I671" s="986">
        <f t="shared" si="1"/>
        <v>5.4429999999999982E-3</v>
      </c>
      <c r="J671" s="988">
        <v>29860</v>
      </c>
    </row>
    <row r="672" spans="1:10">
      <c r="A672" s="987">
        <v>70</v>
      </c>
      <c r="B672" s="988">
        <v>29891</v>
      </c>
      <c r="C672" s="987" t="s">
        <v>4645</v>
      </c>
      <c r="D672" s="987" t="s">
        <v>4646</v>
      </c>
      <c r="E672" s="987">
        <v>-12.25</v>
      </c>
      <c r="F672" s="987">
        <v>8.8888999999999996E-2</v>
      </c>
      <c r="G672" s="987">
        <v>0</v>
      </c>
      <c r="H672" s="986">
        <v>1.1299999999999999E-2</v>
      </c>
      <c r="I672" s="986">
        <f t="shared" si="1"/>
        <v>7.7588999999999991E-2</v>
      </c>
      <c r="J672" s="988">
        <v>29891</v>
      </c>
    </row>
    <row r="673" spans="1:10">
      <c r="A673" s="987">
        <v>70</v>
      </c>
      <c r="B673" s="988">
        <v>29921</v>
      </c>
      <c r="C673" s="987" t="s">
        <v>4645</v>
      </c>
      <c r="D673" s="987" t="s">
        <v>4646</v>
      </c>
      <c r="E673" s="987">
        <v>-11.5625</v>
      </c>
      <c r="F673" s="987">
        <v>-5.6121999999999998E-2</v>
      </c>
      <c r="G673" s="987">
        <v>0</v>
      </c>
      <c r="H673" s="986">
        <v>0.01</v>
      </c>
      <c r="I673" s="986">
        <f t="shared" si="1"/>
        <v>-6.6122E-2</v>
      </c>
      <c r="J673" s="988">
        <v>29921</v>
      </c>
    </row>
    <row r="674" spans="1:10">
      <c r="A674" s="987">
        <v>70</v>
      </c>
      <c r="B674" s="988">
        <v>29952</v>
      </c>
      <c r="C674" s="987" t="s">
        <v>4645</v>
      </c>
      <c r="D674" s="987" t="s">
        <v>4646</v>
      </c>
      <c r="E674" s="987">
        <v>-11.625</v>
      </c>
      <c r="F674" s="987">
        <v>3.3080999999999999E-2</v>
      </c>
      <c r="G674" s="987">
        <v>0.32</v>
      </c>
      <c r="H674" s="986">
        <v>1.0800000000000001E-2</v>
      </c>
      <c r="I674" s="986">
        <f t="shared" si="1"/>
        <v>2.2280999999999999E-2</v>
      </c>
      <c r="J674" s="988">
        <v>29952</v>
      </c>
    </row>
    <row r="675" spans="1:10">
      <c r="A675" s="987">
        <v>70</v>
      </c>
      <c r="B675" s="988">
        <v>29983</v>
      </c>
      <c r="C675" s="987" t="s">
        <v>4645</v>
      </c>
      <c r="D675" s="987" t="s">
        <v>4646</v>
      </c>
      <c r="E675" s="987">
        <v>-11.0625</v>
      </c>
      <c r="F675" s="987">
        <v>-4.8386999999999999E-2</v>
      </c>
      <c r="G675" s="987">
        <v>0</v>
      </c>
      <c r="H675" s="986">
        <v>1.03E-2</v>
      </c>
      <c r="I675" s="986">
        <f t="shared" si="1"/>
        <v>-5.8687000000000003E-2</v>
      </c>
      <c r="J675" s="988">
        <v>29983</v>
      </c>
    </row>
    <row r="676" spans="1:10">
      <c r="A676" s="987">
        <v>70</v>
      </c>
      <c r="B676" s="988">
        <v>30011</v>
      </c>
      <c r="C676" s="987" t="s">
        <v>4645</v>
      </c>
      <c r="D676" s="987" t="s">
        <v>4646</v>
      </c>
      <c r="E676" s="987">
        <v>-11.4375</v>
      </c>
      <c r="F676" s="987">
        <v>3.3897999999999998E-2</v>
      </c>
      <c r="G676" s="987">
        <v>0</v>
      </c>
      <c r="H676" s="986">
        <v>1.24E-2</v>
      </c>
      <c r="I676" s="986">
        <f t="shared" si="1"/>
        <v>2.1497999999999996E-2</v>
      </c>
      <c r="J676" s="988">
        <v>30011</v>
      </c>
    </row>
    <row r="677" spans="1:10">
      <c r="A677" s="987">
        <v>70</v>
      </c>
      <c r="B677" s="988">
        <v>30042</v>
      </c>
      <c r="C677" s="987" t="s">
        <v>4645</v>
      </c>
      <c r="D677" s="987" t="s">
        <v>4646</v>
      </c>
      <c r="E677" s="987">
        <v>-11.125</v>
      </c>
      <c r="F677" s="987">
        <v>6.5600000000000001E-4</v>
      </c>
      <c r="G677" s="987">
        <v>0.32</v>
      </c>
      <c r="H677" s="986">
        <v>1.12E-2</v>
      </c>
      <c r="I677" s="986">
        <f t="shared" si="1"/>
        <v>-1.0544E-2</v>
      </c>
      <c r="J677" s="988">
        <v>30042</v>
      </c>
    </row>
    <row r="678" spans="1:10">
      <c r="A678" s="987">
        <v>70</v>
      </c>
      <c r="B678" s="988">
        <v>30072</v>
      </c>
      <c r="C678" s="987" t="s">
        <v>4645</v>
      </c>
      <c r="D678" s="987" t="s">
        <v>4646</v>
      </c>
      <c r="E678" s="987">
        <v>-11.5625</v>
      </c>
      <c r="F678" s="987">
        <v>3.9326E-2</v>
      </c>
      <c r="G678" s="987">
        <v>0</v>
      </c>
      <c r="H678" s="986">
        <v>1.01E-2</v>
      </c>
      <c r="I678" s="986">
        <f t="shared" si="1"/>
        <v>2.9226000000000002E-2</v>
      </c>
      <c r="J678" s="988">
        <v>30072</v>
      </c>
    </row>
    <row r="679" spans="1:10">
      <c r="A679" s="987">
        <v>70</v>
      </c>
      <c r="B679" s="988">
        <v>30103</v>
      </c>
      <c r="C679" s="987" t="s">
        <v>4645</v>
      </c>
      <c r="D679" s="987" t="s">
        <v>4646</v>
      </c>
      <c r="E679" s="987">
        <v>-10.8125</v>
      </c>
      <c r="F679" s="987">
        <v>-6.4865000000000006E-2</v>
      </c>
      <c r="G679" s="987">
        <v>0</v>
      </c>
      <c r="H679" s="986">
        <v>1.2E-2</v>
      </c>
      <c r="I679" s="986">
        <f t="shared" si="1"/>
        <v>-7.6865000000000003E-2</v>
      </c>
      <c r="J679" s="988">
        <v>30103</v>
      </c>
    </row>
    <row r="680" spans="1:10">
      <c r="A680" s="987">
        <v>70</v>
      </c>
      <c r="B680" s="988">
        <v>30133</v>
      </c>
      <c r="C680" s="987" t="s">
        <v>4645</v>
      </c>
      <c r="D680" s="987" t="s">
        <v>4646</v>
      </c>
      <c r="E680" s="987">
        <v>-10.875</v>
      </c>
      <c r="F680" s="987">
        <v>3.5375999999999998E-2</v>
      </c>
      <c r="G680" s="987">
        <v>0.32</v>
      </c>
      <c r="H680" s="986">
        <v>1.14E-2</v>
      </c>
      <c r="I680" s="986">
        <f t="shared" si="1"/>
        <v>2.3975999999999997E-2</v>
      </c>
      <c r="J680" s="988">
        <v>30133</v>
      </c>
    </row>
    <row r="681" spans="1:10">
      <c r="A681" s="987">
        <v>70</v>
      </c>
      <c r="B681" s="988">
        <v>30164</v>
      </c>
      <c r="C681" s="987" t="s">
        <v>4645</v>
      </c>
      <c r="D681" s="987" t="s">
        <v>4646</v>
      </c>
      <c r="E681" s="987">
        <v>-11.4375</v>
      </c>
      <c r="F681" s="987">
        <v>5.1723999999999999E-2</v>
      </c>
      <c r="G681" s="987">
        <v>0</v>
      </c>
      <c r="H681" s="986">
        <v>1.12E-2</v>
      </c>
      <c r="I681" s="986">
        <f t="shared" si="1"/>
        <v>4.0523999999999998E-2</v>
      </c>
      <c r="J681" s="988">
        <v>30164</v>
      </c>
    </row>
    <row r="682" spans="1:10">
      <c r="A682" s="987">
        <v>70</v>
      </c>
      <c r="B682" s="988">
        <v>30195</v>
      </c>
      <c r="C682" s="987" t="s">
        <v>4645</v>
      </c>
      <c r="D682" s="987" t="s">
        <v>4646</v>
      </c>
      <c r="E682" s="987">
        <v>-11.0625</v>
      </c>
      <c r="F682" s="987">
        <v>-3.2786999999999997E-2</v>
      </c>
      <c r="G682" s="987">
        <v>0</v>
      </c>
      <c r="H682" s="986">
        <v>0.01</v>
      </c>
      <c r="I682" s="986">
        <f t="shared" si="1"/>
        <v>-4.2786999999999999E-2</v>
      </c>
      <c r="J682" s="988">
        <v>30195</v>
      </c>
    </row>
    <row r="683" spans="1:10">
      <c r="A683" s="987">
        <v>70</v>
      </c>
      <c r="B683" s="988">
        <v>30225</v>
      </c>
      <c r="C683" s="987" t="s">
        <v>4645</v>
      </c>
      <c r="D683" s="987" t="s">
        <v>4646</v>
      </c>
      <c r="E683" s="987">
        <v>-11.75</v>
      </c>
      <c r="F683" s="987">
        <v>9.1073000000000001E-2</v>
      </c>
      <c r="G683" s="987">
        <v>0.32</v>
      </c>
      <c r="H683" s="986">
        <v>9.1000000000000004E-3</v>
      </c>
      <c r="I683" s="986">
        <f t="shared" si="1"/>
        <v>8.1973000000000004E-2</v>
      </c>
      <c r="J683" s="988">
        <v>30225</v>
      </c>
    </row>
    <row r="684" spans="1:10">
      <c r="A684" s="987">
        <v>70</v>
      </c>
      <c r="B684" s="988">
        <v>30256</v>
      </c>
      <c r="C684" s="987" t="s">
        <v>4645</v>
      </c>
      <c r="D684" s="987" t="s">
        <v>4646</v>
      </c>
      <c r="E684" s="987">
        <v>-11.6875</v>
      </c>
      <c r="F684" s="987">
        <v>-5.3189999999999999E-3</v>
      </c>
      <c r="G684" s="987">
        <v>0</v>
      </c>
      <c r="H684" s="986">
        <v>9.4000000000000004E-3</v>
      </c>
      <c r="I684" s="986">
        <f t="shared" si="1"/>
        <v>-1.4718999999999999E-2</v>
      </c>
      <c r="J684" s="988">
        <v>30256</v>
      </c>
    </row>
    <row r="685" spans="1:10">
      <c r="A685" s="987">
        <v>70</v>
      </c>
      <c r="B685" s="988">
        <v>30286</v>
      </c>
      <c r="C685" s="987" t="s">
        <v>4645</v>
      </c>
      <c r="D685" s="987" t="s">
        <v>4646</v>
      </c>
      <c r="E685" s="987">
        <v>-11.5625</v>
      </c>
      <c r="F685" s="987">
        <v>-1.0695E-2</v>
      </c>
      <c r="G685" s="987">
        <v>0</v>
      </c>
      <c r="H685" s="986">
        <v>9.2999999999999992E-3</v>
      </c>
      <c r="I685" s="986">
        <f t="shared" si="1"/>
        <v>-1.9994999999999999E-2</v>
      </c>
      <c r="J685" s="988">
        <v>30286</v>
      </c>
    </row>
    <row r="686" spans="1:10">
      <c r="A686" s="987">
        <v>70</v>
      </c>
      <c r="B686" s="988">
        <v>30317</v>
      </c>
      <c r="C686" s="987" t="s">
        <v>4645</v>
      </c>
      <c r="D686" s="987" t="s">
        <v>4646</v>
      </c>
      <c r="E686" s="987">
        <v>-12.125</v>
      </c>
      <c r="F686" s="987">
        <v>7.6324000000000003E-2</v>
      </c>
      <c r="G686" s="987">
        <v>0.32</v>
      </c>
      <c r="H686" s="986">
        <v>8.6999999999999994E-3</v>
      </c>
      <c r="I686" s="986">
        <f t="shared" si="1"/>
        <v>6.7624000000000004E-2</v>
      </c>
      <c r="J686" s="988">
        <v>30317</v>
      </c>
    </row>
    <row r="687" spans="1:10">
      <c r="A687" s="987">
        <v>70</v>
      </c>
      <c r="B687" s="988">
        <v>30348</v>
      </c>
      <c r="C687" s="987" t="s">
        <v>4645</v>
      </c>
      <c r="D687" s="987" t="s">
        <v>4646</v>
      </c>
      <c r="E687" s="987">
        <v>11.375</v>
      </c>
      <c r="F687" s="987">
        <v>-6.1856000000000001E-2</v>
      </c>
      <c r="G687" s="987">
        <v>0</v>
      </c>
      <c r="H687" s="986">
        <v>8.0999999999999996E-3</v>
      </c>
      <c r="I687" s="986">
        <f t="shared" si="1"/>
        <v>-6.9956000000000004E-2</v>
      </c>
      <c r="J687" s="988">
        <v>30348</v>
      </c>
    </row>
    <row r="688" spans="1:10">
      <c r="A688" s="987">
        <v>70</v>
      </c>
      <c r="B688" s="988">
        <v>30376</v>
      </c>
      <c r="C688" s="987" t="s">
        <v>4645</v>
      </c>
      <c r="D688" s="987" t="s">
        <v>4646</v>
      </c>
      <c r="E688" s="987">
        <v>12.25</v>
      </c>
      <c r="F688" s="987">
        <v>7.6923000000000005E-2</v>
      </c>
      <c r="G688" s="987">
        <v>0</v>
      </c>
      <c r="H688" s="986">
        <v>8.8999999999999999E-3</v>
      </c>
      <c r="I688" s="986">
        <f t="shared" si="1"/>
        <v>6.8023E-2</v>
      </c>
      <c r="J688" s="988">
        <v>30376</v>
      </c>
    </row>
    <row r="689" spans="1:10">
      <c r="A689" s="987">
        <v>70</v>
      </c>
      <c r="B689" s="988">
        <v>30407</v>
      </c>
      <c r="C689" s="987" t="s">
        <v>4645</v>
      </c>
      <c r="D689" s="987" t="s">
        <v>4646</v>
      </c>
      <c r="E689" s="987">
        <v>12.25</v>
      </c>
      <c r="F689" s="987">
        <v>2.6121999999999999E-2</v>
      </c>
      <c r="G689" s="987">
        <v>0.32</v>
      </c>
      <c r="H689" s="986">
        <v>8.5000000000000006E-3</v>
      </c>
      <c r="I689" s="986">
        <f t="shared" si="1"/>
        <v>1.7621999999999999E-2</v>
      </c>
      <c r="J689" s="988">
        <v>30407</v>
      </c>
    </row>
    <row r="690" spans="1:10">
      <c r="A690" s="987">
        <v>70</v>
      </c>
      <c r="B690" s="988">
        <v>30437</v>
      </c>
      <c r="C690" s="987" t="s">
        <v>4645</v>
      </c>
      <c r="D690" s="987" t="s">
        <v>4646</v>
      </c>
      <c r="E690" s="987">
        <v>13.125</v>
      </c>
      <c r="F690" s="987">
        <v>7.1429000000000006E-2</v>
      </c>
      <c r="G690" s="987">
        <v>0</v>
      </c>
      <c r="H690" s="986">
        <v>9.1000000000000004E-3</v>
      </c>
      <c r="I690" s="986">
        <f t="shared" si="1"/>
        <v>6.2329000000000009E-2</v>
      </c>
      <c r="J690" s="988">
        <v>30437</v>
      </c>
    </row>
    <row r="691" spans="1:10">
      <c r="A691" s="987">
        <v>70</v>
      </c>
      <c r="B691" s="988">
        <v>30468</v>
      </c>
      <c r="C691" s="987" t="s">
        <v>4645</v>
      </c>
      <c r="D691" s="987" t="s">
        <v>4646</v>
      </c>
      <c r="E691" s="987">
        <v>12.875</v>
      </c>
      <c r="F691" s="987">
        <v>-1.9047999999999999E-2</v>
      </c>
      <c r="G691" s="987">
        <v>0</v>
      </c>
      <c r="H691" s="986">
        <v>8.9999999999999993E-3</v>
      </c>
      <c r="I691" s="986">
        <f t="shared" si="1"/>
        <v>-2.8047999999999997E-2</v>
      </c>
      <c r="J691" s="988">
        <v>30468</v>
      </c>
    </row>
    <row r="692" spans="1:10">
      <c r="A692" s="987">
        <v>70</v>
      </c>
      <c r="B692" s="988">
        <v>30498</v>
      </c>
      <c r="C692" s="987" t="s">
        <v>4645</v>
      </c>
      <c r="D692" s="987" t="s">
        <v>4646</v>
      </c>
      <c r="E692" s="987">
        <v>12.25</v>
      </c>
      <c r="F692" s="987">
        <v>-2.3689000000000002E-2</v>
      </c>
      <c r="G692" s="987">
        <v>0.32</v>
      </c>
      <c r="H692" s="986">
        <v>8.8000000000000005E-3</v>
      </c>
      <c r="I692" s="986">
        <f t="shared" si="1"/>
        <v>-3.2489000000000004E-2</v>
      </c>
      <c r="J692" s="988">
        <v>30498</v>
      </c>
    </row>
    <row r="693" spans="1:10">
      <c r="A693" s="987">
        <v>70</v>
      </c>
      <c r="B693" s="988">
        <v>30529</v>
      </c>
      <c r="C693" s="987" t="s">
        <v>4645</v>
      </c>
      <c r="D693" s="987" t="s">
        <v>4646</v>
      </c>
      <c r="E693" s="987">
        <v>12</v>
      </c>
      <c r="F693" s="987">
        <v>-2.0407999999999999E-2</v>
      </c>
      <c r="G693" s="987">
        <v>0</v>
      </c>
      <c r="H693" s="986">
        <v>1.03E-2</v>
      </c>
      <c r="I693" s="986">
        <f t="shared" si="1"/>
        <v>-3.0707999999999999E-2</v>
      </c>
      <c r="J693" s="988">
        <v>30529</v>
      </c>
    </row>
    <row r="694" spans="1:10">
      <c r="A694" s="987">
        <v>70</v>
      </c>
      <c r="B694" s="988">
        <v>30560</v>
      </c>
      <c r="C694" s="987" t="s">
        <v>4645</v>
      </c>
      <c r="D694" s="987" t="s">
        <v>4646</v>
      </c>
      <c r="E694" s="987">
        <v>12.625</v>
      </c>
      <c r="F694" s="987">
        <v>5.2082999999999997E-2</v>
      </c>
      <c r="G694" s="987">
        <v>0</v>
      </c>
      <c r="H694" s="986">
        <v>9.5999999999999992E-3</v>
      </c>
      <c r="I694" s="986">
        <f t="shared" ref="I694:I757" si="2">F694-H694</f>
        <v>4.2483E-2</v>
      </c>
      <c r="J694" s="988">
        <v>30560</v>
      </c>
    </row>
    <row r="695" spans="1:10">
      <c r="A695" s="987">
        <v>70</v>
      </c>
      <c r="B695" s="988">
        <v>30590</v>
      </c>
      <c r="C695" s="987" t="s">
        <v>4645</v>
      </c>
      <c r="D695" s="987" t="s">
        <v>4646</v>
      </c>
      <c r="E695" s="987">
        <v>13.25</v>
      </c>
      <c r="F695" s="987">
        <v>7.6436000000000004E-2</v>
      </c>
      <c r="G695" s="987">
        <v>0.34</v>
      </c>
      <c r="H695" s="986">
        <v>9.4999999999999998E-3</v>
      </c>
      <c r="I695" s="986">
        <f t="shared" si="2"/>
        <v>6.6936000000000009E-2</v>
      </c>
      <c r="J695" s="988">
        <v>30590</v>
      </c>
    </row>
    <row r="696" spans="1:10">
      <c r="A696" s="987">
        <v>70</v>
      </c>
      <c r="B696" s="988">
        <v>30621</v>
      </c>
      <c r="C696" s="987" t="s">
        <v>4645</v>
      </c>
      <c r="D696" s="987" t="s">
        <v>4646</v>
      </c>
      <c r="E696" s="987">
        <v>13.75</v>
      </c>
      <c r="F696" s="987">
        <v>3.7735999999999999E-2</v>
      </c>
      <c r="G696" s="987">
        <v>0</v>
      </c>
      <c r="H696" s="986">
        <v>9.4000000000000004E-3</v>
      </c>
      <c r="I696" s="986">
        <f t="shared" si="2"/>
        <v>2.8336E-2</v>
      </c>
      <c r="J696" s="988">
        <v>30621</v>
      </c>
    </row>
    <row r="697" spans="1:10">
      <c r="A697" s="987">
        <v>70</v>
      </c>
      <c r="B697" s="988">
        <v>30651</v>
      </c>
      <c r="C697" s="987" t="s">
        <v>4645</v>
      </c>
      <c r="D697" s="987" t="s">
        <v>4646</v>
      </c>
      <c r="E697" s="987">
        <v>13.375</v>
      </c>
      <c r="F697" s="987">
        <v>-2.7272999999999999E-2</v>
      </c>
      <c r="G697" s="987">
        <v>0</v>
      </c>
      <c r="H697" s="986">
        <v>9.4000000000000004E-3</v>
      </c>
      <c r="I697" s="986">
        <f t="shared" si="2"/>
        <v>-3.6672999999999997E-2</v>
      </c>
      <c r="J697" s="988">
        <v>30651</v>
      </c>
    </row>
    <row r="698" spans="1:10">
      <c r="A698" s="987">
        <v>70</v>
      </c>
      <c r="B698" s="988">
        <v>30682</v>
      </c>
      <c r="C698" s="987" t="s">
        <v>4645</v>
      </c>
      <c r="D698" s="987" t="s">
        <v>4646</v>
      </c>
      <c r="E698" s="987">
        <v>13.875</v>
      </c>
      <c r="F698" s="987">
        <v>6.2803999999999999E-2</v>
      </c>
      <c r="G698" s="987">
        <v>0.34</v>
      </c>
      <c r="H698" s="986">
        <v>1.03E-2</v>
      </c>
      <c r="I698" s="986">
        <f t="shared" si="2"/>
        <v>5.2503999999999995E-2</v>
      </c>
      <c r="J698" s="988">
        <v>30682</v>
      </c>
    </row>
    <row r="699" spans="1:10">
      <c r="A699" s="987">
        <v>70</v>
      </c>
      <c r="B699" s="988">
        <v>30713</v>
      </c>
      <c r="C699" s="987" t="s">
        <v>4645</v>
      </c>
      <c r="D699" s="987" t="s">
        <v>4646</v>
      </c>
      <c r="E699" s="987">
        <v>13.125</v>
      </c>
      <c r="F699" s="987">
        <v>-5.4053999999999998E-2</v>
      </c>
      <c r="G699" s="987">
        <v>0</v>
      </c>
      <c r="H699" s="986">
        <v>9.1999999999999998E-3</v>
      </c>
      <c r="I699" s="986">
        <f t="shared" si="2"/>
        <v>-6.3254000000000005E-2</v>
      </c>
      <c r="J699" s="988">
        <v>30713</v>
      </c>
    </row>
    <row r="700" spans="1:10">
      <c r="A700" s="987">
        <v>70</v>
      </c>
      <c r="B700" s="988">
        <v>30742</v>
      </c>
      <c r="C700" s="987" t="s">
        <v>4645</v>
      </c>
      <c r="D700" s="987" t="s">
        <v>4646</v>
      </c>
      <c r="E700" s="987">
        <v>13.125</v>
      </c>
      <c r="F700" s="987">
        <v>0</v>
      </c>
      <c r="G700" s="987">
        <v>0</v>
      </c>
      <c r="H700" s="986">
        <v>9.7999999999999997E-3</v>
      </c>
      <c r="I700" s="986">
        <f t="shared" si="2"/>
        <v>-9.7999999999999997E-3</v>
      </c>
      <c r="J700" s="988">
        <v>30742</v>
      </c>
    </row>
    <row r="701" spans="1:10">
      <c r="A701" s="987">
        <v>70</v>
      </c>
      <c r="B701" s="988">
        <v>30773</v>
      </c>
      <c r="C701" s="987" t="s">
        <v>4645</v>
      </c>
      <c r="D701" s="987" t="s">
        <v>4646</v>
      </c>
      <c r="E701" s="987">
        <v>13.625</v>
      </c>
      <c r="F701" s="987">
        <v>6.4000000000000001E-2</v>
      </c>
      <c r="G701" s="987">
        <v>0.34</v>
      </c>
      <c r="H701" s="986">
        <v>1.04E-2</v>
      </c>
      <c r="I701" s="986">
        <f t="shared" si="2"/>
        <v>5.3600000000000002E-2</v>
      </c>
      <c r="J701" s="988">
        <v>30773</v>
      </c>
    </row>
    <row r="702" spans="1:10">
      <c r="A702" s="987">
        <v>70</v>
      </c>
      <c r="B702" s="988">
        <v>30803</v>
      </c>
      <c r="C702" s="987" t="s">
        <v>4645</v>
      </c>
      <c r="D702" s="987" t="s">
        <v>4646</v>
      </c>
      <c r="E702" s="987">
        <v>13.5</v>
      </c>
      <c r="F702" s="987">
        <v>-9.1739999999999999E-3</v>
      </c>
      <c r="G702" s="987">
        <v>0</v>
      </c>
      <c r="H702" s="986">
        <v>1.03E-2</v>
      </c>
      <c r="I702" s="986">
        <f t="shared" si="2"/>
        <v>-1.9473999999999998E-2</v>
      </c>
      <c r="J702" s="988">
        <v>30803</v>
      </c>
    </row>
    <row r="703" spans="1:10">
      <c r="A703" s="987">
        <v>70</v>
      </c>
      <c r="B703" s="988">
        <v>30834</v>
      </c>
      <c r="C703" s="987" t="s">
        <v>4645</v>
      </c>
      <c r="D703" s="987" t="s">
        <v>4646</v>
      </c>
      <c r="E703" s="987">
        <v>13</v>
      </c>
      <c r="F703" s="987">
        <v>-3.7037E-2</v>
      </c>
      <c r="G703" s="987">
        <v>0</v>
      </c>
      <c r="H703" s="986">
        <v>1.06E-2</v>
      </c>
      <c r="I703" s="986">
        <f t="shared" si="2"/>
        <v>-4.7636999999999999E-2</v>
      </c>
      <c r="J703" s="988">
        <v>30834</v>
      </c>
    </row>
    <row r="704" spans="1:10">
      <c r="A704" s="987">
        <v>70</v>
      </c>
      <c r="B704" s="988">
        <v>30864</v>
      </c>
      <c r="C704" s="987" t="s">
        <v>4645</v>
      </c>
      <c r="D704" s="987" t="s">
        <v>4646</v>
      </c>
      <c r="E704" s="987">
        <v>13.375</v>
      </c>
      <c r="F704" s="987">
        <v>5.5E-2</v>
      </c>
      <c r="G704" s="987">
        <v>0.34</v>
      </c>
      <c r="H704" s="986">
        <v>1.1599999999999999E-2</v>
      </c>
      <c r="I704" s="986">
        <f t="shared" si="2"/>
        <v>4.3400000000000001E-2</v>
      </c>
      <c r="J704" s="988">
        <v>30864</v>
      </c>
    </row>
    <row r="705" spans="1:10">
      <c r="A705" s="987">
        <v>70</v>
      </c>
      <c r="B705" s="988">
        <v>30895</v>
      </c>
      <c r="C705" s="987" t="s">
        <v>4645</v>
      </c>
      <c r="D705" s="987" t="s">
        <v>4646</v>
      </c>
      <c r="E705" s="987">
        <v>13.75</v>
      </c>
      <c r="F705" s="987">
        <v>2.8036999999999999E-2</v>
      </c>
      <c r="G705" s="987">
        <v>0</v>
      </c>
      <c r="H705" s="986">
        <v>1.06E-2</v>
      </c>
      <c r="I705" s="986">
        <f t="shared" si="2"/>
        <v>1.7437000000000001E-2</v>
      </c>
      <c r="J705" s="988">
        <v>30895</v>
      </c>
    </row>
    <row r="706" spans="1:10">
      <c r="A706" s="987">
        <v>70</v>
      </c>
      <c r="B706" s="988">
        <v>30926</v>
      </c>
      <c r="C706" s="987" t="s">
        <v>4645</v>
      </c>
      <c r="D706" s="987" t="s">
        <v>4646</v>
      </c>
      <c r="E706" s="987">
        <v>14.5</v>
      </c>
      <c r="F706" s="987">
        <v>5.4545000000000003E-2</v>
      </c>
      <c r="G706" s="987">
        <v>0</v>
      </c>
      <c r="H706" s="986">
        <v>9.4000000000000004E-3</v>
      </c>
      <c r="I706" s="986">
        <f t="shared" si="2"/>
        <v>4.5145000000000005E-2</v>
      </c>
      <c r="J706" s="988">
        <v>30926</v>
      </c>
    </row>
    <row r="707" spans="1:10">
      <c r="A707" s="987">
        <v>70</v>
      </c>
      <c r="B707" s="988">
        <v>30956</v>
      </c>
      <c r="C707" s="987" t="s">
        <v>4645</v>
      </c>
      <c r="D707" s="987" t="s">
        <v>4646</v>
      </c>
      <c r="E707" s="987">
        <v>15.375</v>
      </c>
      <c r="F707" s="987">
        <v>8.5171999999999998E-2</v>
      </c>
      <c r="G707" s="987">
        <v>0.36</v>
      </c>
      <c r="H707" s="986">
        <v>1.0800000000000001E-2</v>
      </c>
      <c r="I707" s="986">
        <f t="shared" si="2"/>
        <v>7.4371999999999994E-2</v>
      </c>
      <c r="J707" s="988">
        <v>30956</v>
      </c>
    </row>
    <row r="708" spans="1:10">
      <c r="A708" s="987">
        <v>70</v>
      </c>
      <c r="B708" s="988">
        <v>30987</v>
      </c>
      <c r="C708" s="987" t="s">
        <v>4645</v>
      </c>
      <c r="D708" s="987" t="s">
        <v>4646</v>
      </c>
      <c r="E708" s="987">
        <v>15.875</v>
      </c>
      <c r="F708" s="987">
        <v>3.252E-2</v>
      </c>
      <c r="G708" s="987">
        <v>0</v>
      </c>
      <c r="H708" s="986">
        <v>9.1000000000000004E-3</v>
      </c>
      <c r="I708" s="986">
        <f t="shared" si="2"/>
        <v>2.342E-2</v>
      </c>
      <c r="J708" s="988">
        <v>30987</v>
      </c>
    </row>
    <row r="709" spans="1:10">
      <c r="A709" s="987">
        <v>70</v>
      </c>
      <c r="B709" s="988">
        <v>31017</v>
      </c>
      <c r="C709" s="987" t="s">
        <v>4645</v>
      </c>
      <c r="D709" s="987" t="s">
        <v>4646</v>
      </c>
      <c r="E709" s="987">
        <v>16.375</v>
      </c>
      <c r="F709" s="987">
        <v>3.1496000000000003E-2</v>
      </c>
      <c r="G709" s="987">
        <v>0</v>
      </c>
      <c r="H709" s="986">
        <v>9.7999999999999997E-3</v>
      </c>
      <c r="I709" s="986">
        <f t="shared" si="2"/>
        <v>2.1696000000000003E-2</v>
      </c>
      <c r="J709" s="988">
        <v>31017</v>
      </c>
    </row>
    <row r="710" spans="1:10">
      <c r="A710" s="987">
        <v>70</v>
      </c>
      <c r="B710" s="988">
        <v>31048</v>
      </c>
      <c r="C710" s="987" t="s">
        <v>4645</v>
      </c>
      <c r="D710" s="987" t="s">
        <v>4646</v>
      </c>
      <c r="E710" s="987">
        <v>17.375</v>
      </c>
      <c r="F710" s="987">
        <v>8.3053000000000002E-2</v>
      </c>
      <c r="G710" s="987">
        <v>0.36</v>
      </c>
      <c r="H710" s="986">
        <v>9.5999999999999992E-3</v>
      </c>
      <c r="I710" s="986">
        <f t="shared" si="2"/>
        <v>7.3453000000000004E-2</v>
      </c>
      <c r="J710" s="988">
        <v>31048</v>
      </c>
    </row>
    <row r="711" spans="1:10">
      <c r="A711" s="987">
        <v>70</v>
      </c>
      <c r="B711" s="988">
        <v>31079</v>
      </c>
      <c r="C711" s="987" t="s">
        <v>4645</v>
      </c>
      <c r="D711" s="987" t="s">
        <v>4646</v>
      </c>
      <c r="E711" s="987">
        <v>17.5</v>
      </c>
      <c r="F711" s="987">
        <v>7.1939999999999999E-3</v>
      </c>
      <c r="G711" s="987">
        <v>0</v>
      </c>
      <c r="H711" s="986">
        <v>8.2000000000000007E-3</v>
      </c>
      <c r="I711" s="986">
        <f t="shared" si="2"/>
        <v>-1.0060000000000008E-3</v>
      </c>
      <c r="J711" s="988">
        <v>31079</v>
      </c>
    </row>
    <row r="712" spans="1:10">
      <c r="A712" s="987">
        <v>70</v>
      </c>
      <c r="B712" s="988">
        <v>31107</v>
      </c>
      <c r="C712" s="987" t="s">
        <v>4645</v>
      </c>
      <c r="D712" s="987" t="s">
        <v>4646</v>
      </c>
      <c r="E712" s="987">
        <v>18.25</v>
      </c>
      <c r="F712" s="987">
        <v>4.2856999999999999E-2</v>
      </c>
      <c r="G712" s="987">
        <v>0</v>
      </c>
      <c r="H712" s="986">
        <v>9.4000000000000004E-3</v>
      </c>
      <c r="I712" s="986">
        <f t="shared" si="2"/>
        <v>3.3457000000000001E-2</v>
      </c>
      <c r="J712" s="988">
        <v>31107</v>
      </c>
    </row>
    <row r="713" spans="1:10">
      <c r="A713" s="987">
        <v>70</v>
      </c>
      <c r="B713" s="988">
        <v>31138</v>
      </c>
      <c r="C713" s="987" t="s">
        <v>4645</v>
      </c>
      <c r="D713" s="987" t="s">
        <v>4646</v>
      </c>
      <c r="E713" s="987">
        <v>18</v>
      </c>
      <c r="F713" s="987">
        <v>6.0270000000000002E-3</v>
      </c>
      <c r="G713" s="987">
        <v>0.36</v>
      </c>
      <c r="H713" s="986">
        <v>1.0200000000000001E-2</v>
      </c>
      <c r="I713" s="986">
        <f t="shared" si="2"/>
        <v>-4.1730000000000005E-3</v>
      </c>
      <c r="J713" s="988">
        <v>31138</v>
      </c>
    </row>
    <row r="714" spans="1:10">
      <c r="A714" s="987">
        <v>70</v>
      </c>
      <c r="B714" s="988">
        <v>31168</v>
      </c>
      <c r="C714" s="987" t="s">
        <v>4645</v>
      </c>
      <c r="D714" s="987" t="s">
        <v>4646</v>
      </c>
      <c r="E714" s="987">
        <v>18.875</v>
      </c>
      <c r="F714" s="987">
        <v>4.8611000000000001E-2</v>
      </c>
      <c r="G714" s="987">
        <v>0</v>
      </c>
      <c r="H714" s="986">
        <v>9.7000000000000003E-3</v>
      </c>
      <c r="I714" s="986">
        <f t="shared" si="2"/>
        <v>3.8911000000000001E-2</v>
      </c>
      <c r="J714" s="988">
        <v>31168</v>
      </c>
    </row>
    <row r="715" spans="1:10">
      <c r="A715" s="987">
        <v>70</v>
      </c>
      <c r="B715" s="988">
        <v>31199</v>
      </c>
      <c r="C715" s="987" t="s">
        <v>4645</v>
      </c>
      <c r="D715" s="987" t="s">
        <v>4646</v>
      </c>
      <c r="E715" s="987">
        <v>19.75</v>
      </c>
      <c r="F715" s="987">
        <v>4.6358000000000003E-2</v>
      </c>
      <c r="G715" s="987">
        <v>0</v>
      </c>
      <c r="H715" s="986">
        <v>8.0000000000000002E-3</v>
      </c>
      <c r="I715" s="986">
        <f t="shared" si="2"/>
        <v>3.8358000000000003E-2</v>
      </c>
      <c r="J715" s="988">
        <v>31199</v>
      </c>
    </row>
    <row r="716" spans="1:10">
      <c r="A716" s="987">
        <v>70</v>
      </c>
      <c r="B716" s="988">
        <v>31229</v>
      </c>
      <c r="C716" s="987" t="s">
        <v>4645</v>
      </c>
      <c r="D716" s="987" t="s">
        <v>4646</v>
      </c>
      <c r="E716" s="987">
        <v>17.875</v>
      </c>
      <c r="F716" s="987">
        <v>-7.6708999999999999E-2</v>
      </c>
      <c r="G716" s="987">
        <v>0.36</v>
      </c>
      <c r="H716" s="986">
        <v>9.4000000000000004E-3</v>
      </c>
      <c r="I716" s="986">
        <f t="shared" si="2"/>
        <v>-8.6109000000000005E-2</v>
      </c>
      <c r="J716" s="988">
        <v>31229</v>
      </c>
    </row>
    <row r="717" spans="1:10">
      <c r="A717" s="987">
        <v>70</v>
      </c>
      <c r="B717" s="988">
        <v>31260</v>
      </c>
      <c r="C717" s="987" t="s">
        <v>4645</v>
      </c>
      <c r="D717" s="987" t="s">
        <v>4646</v>
      </c>
      <c r="E717" s="987">
        <v>17.875</v>
      </c>
      <c r="F717" s="987">
        <v>0</v>
      </c>
      <c r="G717" s="987">
        <v>0</v>
      </c>
      <c r="H717" s="986">
        <v>8.5000000000000006E-3</v>
      </c>
      <c r="I717" s="986">
        <f t="shared" si="2"/>
        <v>-8.5000000000000006E-3</v>
      </c>
      <c r="J717" s="988">
        <v>31260</v>
      </c>
    </row>
    <row r="718" spans="1:10">
      <c r="A718" s="987">
        <v>70</v>
      </c>
      <c r="B718" s="988">
        <v>31291</v>
      </c>
      <c r="C718" s="987" t="s">
        <v>4645</v>
      </c>
      <c r="D718" s="987" t="s">
        <v>4646</v>
      </c>
      <c r="E718" s="987">
        <v>17.625</v>
      </c>
      <c r="F718" s="987">
        <v>-1.3986E-2</v>
      </c>
      <c r="G718" s="987">
        <v>0</v>
      </c>
      <c r="H718" s="986">
        <v>8.8000000000000005E-3</v>
      </c>
      <c r="I718" s="986">
        <f t="shared" si="2"/>
        <v>-2.2786000000000001E-2</v>
      </c>
      <c r="J718" s="988">
        <v>31291</v>
      </c>
    </row>
    <row r="719" spans="1:10">
      <c r="A719" s="987">
        <v>70</v>
      </c>
      <c r="B719" s="988">
        <v>31321</v>
      </c>
      <c r="C719" s="987" t="s">
        <v>4645</v>
      </c>
      <c r="D719" s="987" t="s">
        <v>4646</v>
      </c>
      <c r="E719" s="987">
        <v>18.125</v>
      </c>
      <c r="F719" s="987">
        <v>4.9929000000000001E-2</v>
      </c>
      <c r="G719" s="987">
        <v>0.38</v>
      </c>
      <c r="H719" s="986">
        <v>8.8999999999999999E-3</v>
      </c>
      <c r="I719" s="986">
        <f t="shared" si="2"/>
        <v>4.1029000000000003E-2</v>
      </c>
      <c r="J719" s="988">
        <v>31321</v>
      </c>
    </row>
    <row r="720" spans="1:10">
      <c r="A720" s="987">
        <v>70</v>
      </c>
      <c r="B720" s="988">
        <v>31352</v>
      </c>
      <c r="C720" s="987" t="s">
        <v>4645</v>
      </c>
      <c r="D720" s="987" t="s">
        <v>4646</v>
      </c>
      <c r="E720" s="987">
        <v>19.125</v>
      </c>
      <c r="F720" s="987">
        <v>5.5171999999999999E-2</v>
      </c>
      <c r="G720" s="987">
        <v>0</v>
      </c>
      <c r="H720" s="986">
        <v>8.0999999999999996E-3</v>
      </c>
      <c r="I720" s="986">
        <f t="shared" si="2"/>
        <v>4.7072000000000003E-2</v>
      </c>
      <c r="J720" s="988">
        <v>31352</v>
      </c>
    </row>
    <row r="721" spans="1:10">
      <c r="A721" s="987">
        <v>70</v>
      </c>
      <c r="B721" s="988">
        <v>31382</v>
      </c>
      <c r="C721" s="987" t="s">
        <v>4645</v>
      </c>
      <c r="D721" s="987" t="s">
        <v>4646</v>
      </c>
      <c r="E721" s="987">
        <v>18.75</v>
      </c>
      <c r="F721" s="987">
        <v>-1.9608E-2</v>
      </c>
      <c r="G721" s="987">
        <v>0</v>
      </c>
      <c r="H721" s="986">
        <v>8.6E-3</v>
      </c>
      <c r="I721" s="986">
        <f t="shared" si="2"/>
        <v>-2.8208E-2</v>
      </c>
      <c r="J721" s="988">
        <v>31382</v>
      </c>
    </row>
    <row r="722" spans="1:10">
      <c r="A722" s="987">
        <v>70</v>
      </c>
      <c r="B722" s="988">
        <v>31413</v>
      </c>
      <c r="C722" s="987" t="s">
        <v>4645</v>
      </c>
      <c r="D722" s="987" t="s">
        <v>4646</v>
      </c>
      <c r="E722" s="987">
        <v>19.875</v>
      </c>
      <c r="F722" s="987">
        <v>8.0267000000000005E-2</v>
      </c>
      <c r="G722" s="987">
        <v>0.38</v>
      </c>
      <c r="H722" s="986">
        <v>7.9000000000000008E-3</v>
      </c>
      <c r="I722" s="986">
        <f t="shared" si="2"/>
        <v>7.2367000000000001E-2</v>
      </c>
      <c r="J722" s="988">
        <v>31413</v>
      </c>
    </row>
    <row r="723" spans="1:10">
      <c r="A723" s="987">
        <v>70</v>
      </c>
      <c r="B723" s="988">
        <v>31444</v>
      </c>
      <c r="C723" s="987" t="s">
        <v>4645</v>
      </c>
      <c r="D723" s="987" t="s">
        <v>4646</v>
      </c>
      <c r="E723" s="987">
        <v>19.75</v>
      </c>
      <c r="F723" s="987">
        <v>-6.2890000000000003E-3</v>
      </c>
      <c r="G723" s="987">
        <v>0</v>
      </c>
      <c r="H723" s="986">
        <v>7.3000000000000001E-3</v>
      </c>
      <c r="I723" s="986">
        <f t="shared" si="2"/>
        <v>-1.3589E-2</v>
      </c>
      <c r="J723" s="988">
        <v>31444</v>
      </c>
    </row>
    <row r="724" spans="1:10">
      <c r="A724" s="987">
        <v>70</v>
      </c>
      <c r="B724" s="988">
        <v>31472</v>
      </c>
      <c r="C724" s="987" t="s">
        <v>4645</v>
      </c>
      <c r="D724" s="987" t="s">
        <v>4646</v>
      </c>
      <c r="E724" s="987">
        <v>22.75</v>
      </c>
      <c r="F724" s="987">
        <v>0.15189900000000001</v>
      </c>
      <c r="G724" s="987">
        <v>0</v>
      </c>
      <c r="H724" s="986">
        <v>7.1000000000000004E-3</v>
      </c>
      <c r="I724" s="986">
        <f t="shared" si="2"/>
        <v>0.14479900000000001</v>
      </c>
      <c r="J724" s="988">
        <v>31472</v>
      </c>
    </row>
    <row r="725" spans="1:10">
      <c r="A725" s="987">
        <v>70</v>
      </c>
      <c r="B725" s="988">
        <v>31503</v>
      </c>
      <c r="C725" s="987" t="s">
        <v>4645</v>
      </c>
      <c r="D725" s="987" t="s">
        <v>4646</v>
      </c>
      <c r="E725" s="987">
        <v>20.375</v>
      </c>
      <c r="F725" s="987">
        <v>-8.7692000000000006E-2</v>
      </c>
      <c r="G725" s="987">
        <v>0.38</v>
      </c>
      <c r="H725" s="986">
        <v>6.3E-3</v>
      </c>
      <c r="I725" s="986">
        <f t="shared" si="2"/>
        <v>-9.3992000000000006E-2</v>
      </c>
      <c r="J725" s="988">
        <v>31503</v>
      </c>
    </row>
    <row r="726" spans="1:10">
      <c r="A726" s="987">
        <v>70</v>
      </c>
      <c r="B726" s="988">
        <v>31533</v>
      </c>
      <c r="C726" s="987" t="s">
        <v>4645</v>
      </c>
      <c r="D726" s="987" t="s">
        <v>4646</v>
      </c>
      <c r="E726" s="987">
        <v>19.5</v>
      </c>
      <c r="F726" s="987">
        <v>-4.2944999999999997E-2</v>
      </c>
      <c r="G726" s="987">
        <v>0</v>
      </c>
      <c r="H726" s="986">
        <v>6.1999999999999998E-3</v>
      </c>
      <c r="I726" s="986">
        <f t="shared" si="2"/>
        <v>-4.9144999999999994E-2</v>
      </c>
      <c r="J726" s="988">
        <v>31533</v>
      </c>
    </row>
    <row r="727" spans="1:10">
      <c r="A727" s="987">
        <v>70</v>
      </c>
      <c r="B727" s="988">
        <v>31564</v>
      </c>
      <c r="C727" s="987" t="s">
        <v>4645</v>
      </c>
      <c r="D727" s="987" t="s">
        <v>4646</v>
      </c>
      <c r="E727" s="987">
        <v>19.875</v>
      </c>
      <c r="F727" s="987">
        <v>1.9231000000000002E-2</v>
      </c>
      <c r="G727" s="987">
        <v>0</v>
      </c>
      <c r="H727" s="986">
        <v>7.0000000000000001E-3</v>
      </c>
      <c r="I727" s="986">
        <f t="shared" si="2"/>
        <v>1.2231000000000002E-2</v>
      </c>
      <c r="J727" s="988">
        <v>31564</v>
      </c>
    </row>
    <row r="728" spans="1:10">
      <c r="A728" s="987">
        <v>70</v>
      </c>
      <c r="B728" s="988">
        <v>31594</v>
      </c>
      <c r="C728" s="987" t="s">
        <v>4645</v>
      </c>
      <c r="D728" s="987" t="s">
        <v>4646</v>
      </c>
      <c r="E728" s="987">
        <v>21</v>
      </c>
      <c r="F728" s="987">
        <v>7.5722999999999999E-2</v>
      </c>
      <c r="G728" s="987">
        <v>0.38</v>
      </c>
      <c r="H728" s="986">
        <v>6.6E-3</v>
      </c>
      <c r="I728" s="986">
        <f t="shared" si="2"/>
        <v>6.9123000000000004E-2</v>
      </c>
      <c r="J728" s="988">
        <v>31594</v>
      </c>
    </row>
    <row r="729" spans="1:10">
      <c r="A729" s="987">
        <v>70</v>
      </c>
      <c r="B729" s="988">
        <v>31625</v>
      </c>
      <c r="C729" s="987" t="s">
        <v>4645</v>
      </c>
      <c r="D729" s="987" t="s">
        <v>4646</v>
      </c>
      <c r="E729" s="987">
        <v>24.625</v>
      </c>
      <c r="F729" s="987">
        <v>0.17261899999999999</v>
      </c>
      <c r="G729" s="987">
        <v>0</v>
      </c>
      <c r="H729" s="986">
        <v>6.3E-3</v>
      </c>
      <c r="I729" s="986">
        <f t="shared" si="2"/>
        <v>0.16631899999999999</v>
      </c>
      <c r="J729" s="988">
        <v>31625</v>
      </c>
    </row>
    <row r="730" spans="1:10">
      <c r="A730" s="987">
        <v>70</v>
      </c>
      <c r="B730" s="988">
        <v>31656</v>
      </c>
      <c r="C730" s="987" t="s">
        <v>4645</v>
      </c>
      <c r="D730" s="987" t="s">
        <v>4646</v>
      </c>
      <c r="E730" s="987">
        <v>22</v>
      </c>
      <c r="F730" s="987">
        <v>-0.106599</v>
      </c>
      <c r="G730" s="987">
        <v>0</v>
      </c>
      <c r="H730" s="986">
        <v>6.4999999999999997E-3</v>
      </c>
      <c r="I730" s="986">
        <f t="shared" si="2"/>
        <v>-0.11309900000000001</v>
      </c>
      <c r="J730" s="988">
        <v>31656</v>
      </c>
    </row>
    <row r="731" spans="1:10">
      <c r="A731" s="987">
        <v>70</v>
      </c>
      <c r="B731" s="988">
        <v>31686</v>
      </c>
      <c r="C731" s="987" t="s">
        <v>4645</v>
      </c>
      <c r="D731" s="987" t="s">
        <v>4646</v>
      </c>
      <c r="E731" s="987">
        <v>23.375</v>
      </c>
      <c r="F731" s="987">
        <v>8.0227000000000007E-2</v>
      </c>
      <c r="G731" s="987">
        <v>0.39</v>
      </c>
      <c r="H731" s="986">
        <v>6.8999999999999999E-3</v>
      </c>
      <c r="I731" s="986">
        <f t="shared" si="2"/>
        <v>7.3327000000000003E-2</v>
      </c>
      <c r="J731" s="988">
        <v>31686</v>
      </c>
    </row>
    <row r="732" spans="1:10">
      <c r="A732" s="987">
        <v>70</v>
      </c>
      <c r="B732" s="988">
        <v>31717</v>
      </c>
      <c r="C732" s="987" t="s">
        <v>4645</v>
      </c>
      <c r="D732" s="987" t="s">
        <v>4646</v>
      </c>
      <c r="E732" s="987">
        <v>24</v>
      </c>
      <c r="F732" s="987">
        <v>2.6738000000000001E-2</v>
      </c>
      <c r="G732" s="987">
        <v>0</v>
      </c>
      <c r="H732" s="986">
        <v>5.8999999999999999E-3</v>
      </c>
      <c r="I732" s="986">
        <f t="shared" si="2"/>
        <v>2.0838000000000002E-2</v>
      </c>
      <c r="J732" s="988">
        <v>31717</v>
      </c>
    </row>
    <row r="733" spans="1:10">
      <c r="A733" s="987">
        <v>70</v>
      </c>
      <c r="B733" s="988">
        <v>31747</v>
      </c>
      <c r="C733" s="987" t="s">
        <v>4645</v>
      </c>
      <c r="D733" s="987" t="s">
        <v>4646</v>
      </c>
      <c r="E733" s="987">
        <v>21.625</v>
      </c>
      <c r="F733" s="987">
        <v>-9.8958000000000004E-2</v>
      </c>
      <c r="G733" s="987">
        <v>0</v>
      </c>
      <c r="H733" s="986">
        <v>7.0000000000000001E-3</v>
      </c>
      <c r="I733" s="986">
        <f t="shared" si="2"/>
        <v>-0.10595800000000001</v>
      </c>
      <c r="J733" s="988">
        <v>31747</v>
      </c>
    </row>
    <row r="734" spans="1:10">
      <c r="A734" s="987">
        <v>70</v>
      </c>
      <c r="B734" s="988">
        <v>31778</v>
      </c>
      <c r="C734" s="987" t="s">
        <v>4645</v>
      </c>
      <c r="D734" s="987" t="s">
        <v>4646</v>
      </c>
      <c r="E734" s="987">
        <v>24.375</v>
      </c>
      <c r="F734" s="987">
        <v>0.145202</v>
      </c>
      <c r="G734" s="987">
        <v>0.39</v>
      </c>
      <c r="H734" s="986">
        <v>6.4000000000000003E-3</v>
      </c>
      <c r="I734" s="986">
        <f t="shared" si="2"/>
        <v>0.13880200000000001</v>
      </c>
      <c r="J734" s="988">
        <v>31778</v>
      </c>
    </row>
    <row r="735" spans="1:10">
      <c r="A735" s="987">
        <v>70</v>
      </c>
      <c r="B735" s="988">
        <v>31809</v>
      </c>
      <c r="C735" s="987" t="s">
        <v>4645</v>
      </c>
      <c r="D735" s="987" t="s">
        <v>4646</v>
      </c>
      <c r="E735" s="987">
        <v>23.875</v>
      </c>
      <c r="F735" s="987">
        <v>-2.0513E-2</v>
      </c>
      <c r="G735" s="987">
        <v>0</v>
      </c>
      <c r="H735" s="986">
        <v>5.8999999999999999E-3</v>
      </c>
      <c r="I735" s="986">
        <f t="shared" si="2"/>
        <v>-2.6412999999999999E-2</v>
      </c>
      <c r="J735" s="988">
        <v>31809</v>
      </c>
    </row>
    <row r="736" spans="1:10">
      <c r="A736" s="987">
        <v>70</v>
      </c>
      <c r="B736" s="988">
        <v>31837</v>
      </c>
      <c r="C736" s="987" t="s">
        <v>4645</v>
      </c>
      <c r="D736" s="987" t="s">
        <v>4646</v>
      </c>
      <c r="E736" s="987">
        <v>22.75</v>
      </c>
      <c r="F736" s="987">
        <v>-4.7120000000000002E-2</v>
      </c>
      <c r="G736" s="987">
        <v>0</v>
      </c>
      <c r="H736" s="986">
        <v>6.6E-3</v>
      </c>
      <c r="I736" s="986">
        <f t="shared" si="2"/>
        <v>-5.3720000000000004E-2</v>
      </c>
      <c r="J736" s="988">
        <v>31837</v>
      </c>
    </row>
    <row r="737" spans="1:10">
      <c r="A737" s="987">
        <v>70</v>
      </c>
      <c r="B737" s="988">
        <v>31868</v>
      </c>
      <c r="C737" s="987" t="s">
        <v>4645</v>
      </c>
      <c r="D737" s="987" t="s">
        <v>4646</v>
      </c>
      <c r="E737" s="987">
        <v>21.5</v>
      </c>
      <c r="F737" s="987">
        <v>-3.7802000000000002E-2</v>
      </c>
      <c r="G737" s="987">
        <v>0.39</v>
      </c>
      <c r="H737" s="986">
        <v>6.4999999999999997E-3</v>
      </c>
      <c r="I737" s="986">
        <f t="shared" si="2"/>
        <v>-4.4302000000000001E-2</v>
      </c>
      <c r="J737" s="988">
        <v>31868</v>
      </c>
    </row>
    <row r="738" spans="1:10">
      <c r="A738" s="987">
        <v>70</v>
      </c>
      <c r="B738" s="988">
        <v>31898</v>
      </c>
      <c r="C738" s="987" t="s">
        <v>4645</v>
      </c>
      <c r="D738" s="987" t="s">
        <v>4646</v>
      </c>
      <c r="E738" s="987">
        <v>21.125</v>
      </c>
      <c r="F738" s="987">
        <v>-1.7441999999999999E-2</v>
      </c>
      <c r="G738" s="987">
        <v>0</v>
      </c>
      <c r="H738" s="986">
        <v>6.6E-3</v>
      </c>
      <c r="I738" s="986">
        <f t="shared" si="2"/>
        <v>-2.4042000000000001E-2</v>
      </c>
      <c r="J738" s="988">
        <v>31898</v>
      </c>
    </row>
    <row r="739" spans="1:10">
      <c r="A739" s="987">
        <v>70</v>
      </c>
      <c r="B739" s="988">
        <v>31929</v>
      </c>
      <c r="C739" s="987" t="s">
        <v>4645</v>
      </c>
      <c r="D739" s="987" t="s">
        <v>4646</v>
      </c>
      <c r="E739" s="987">
        <v>22.5</v>
      </c>
      <c r="F739" s="987">
        <v>6.5088999999999994E-2</v>
      </c>
      <c r="G739" s="987">
        <v>0</v>
      </c>
      <c r="H739" s="986">
        <v>7.4999999999999997E-3</v>
      </c>
      <c r="I739" s="986">
        <f t="shared" si="2"/>
        <v>5.7588999999999994E-2</v>
      </c>
      <c r="J739" s="988">
        <v>31929</v>
      </c>
    </row>
    <row r="740" spans="1:10">
      <c r="A740" s="987">
        <v>70</v>
      </c>
      <c r="B740" s="988">
        <v>31959</v>
      </c>
      <c r="C740" s="987" t="s">
        <v>4645</v>
      </c>
      <c r="D740" s="987" t="s">
        <v>4646</v>
      </c>
      <c r="E740" s="987">
        <v>22.625</v>
      </c>
      <c r="F740" s="987">
        <v>2.2889E-2</v>
      </c>
      <c r="G740" s="987">
        <v>0.39</v>
      </c>
      <c r="H740" s="986">
        <v>7.3000000000000001E-3</v>
      </c>
      <c r="I740" s="986">
        <f t="shared" si="2"/>
        <v>1.5588999999999999E-2</v>
      </c>
      <c r="J740" s="988">
        <v>31959</v>
      </c>
    </row>
    <row r="741" spans="1:10">
      <c r="A741" s="987">
        <v>70</v>
      </c>
      <c r="B741" s="988">
        <v>31990</v>
      </c>
      <c r="C741" s="987" t="s">
        <v>4645</v>
      </c>
      <c r="D741" s="987" t="s">
        <v>4646</v>
      </c>
      <c r="E741" s="987">
        <v>21.125</v>
      </c>
      <c r="F741" s="987">
        <v>-6.6297999999999996E-2</v>
      </c>
      <c r="G741" s="987">
        <v>0</v>
      </c>
      <c r="H741" s="986">
        <v>7.4999999999999997E-3</v>
      </c>
      <c r="I741" s="986">
        <f t="shared" si="2"/>
        <v>-7.3798000000000002E-2</v>
      </c>
      <c r="J741" s="988">
        <v>31990</v>
      </c>
    </row>
    <row r="742" spans="1:10">
      <c r="A742" s="987">
        <v>70</v>
      </c>
      <c r="B742" s="988">
        <v>32021</v>
      </c>
      <c r="C742" s="987" t="s">
        <v>4645</v>
      </c>
      <c r="D742" s="987" t="s">
        <v>4646</v>
      </c>
      <c r="E742" s="987">
        <v>19.875</v>
      </c>
      <c r="F742" s="987">
        <v>-5.9172000000000002E-2</v>
      </c>
      <c r="G742" s="987">
        <v>0</v>
      </c>
      <c r="H742" s="986">
        <v>7.4999999999999997E-3</v>
      </c>
      <c r="I742" s="986">
        <f t="shared" si="2"/>
        <v>-6.6672000000000009E-2</v>
      </c>
      <c r="J742" s="988">
        <v>32021</v>
      </c>
    </row>
    <row r="743" spans="1:10">
      <c r="A743" s="987">
        <v>70</v>
      </c>
      <c r="B743" s="988">
        <v>32051</v>
      </c>
      <c r="C743" s="987" t="s">
        <v>4645</v>
      </c>
      <c r="D743" s="987" t="s">
        <v>4646</v>
      </c>
      <c r="E743" s="987">
        <v>18.375</v>
      </c>
      <c r="F743" s="987">
        <v>-5.5849000000000003E-2</v>
      </c>
      <c r="G743" s="987">
        <v>0.39</v>
      </c>
      <c r="H743" s="986">
        <v>7.9000000000000008E-3</v>
      </c>
      <c r="I743" s="986">
        <f t="shared" si="2"/>
        <v>-6.3749E-2</v>
      </c>
      <c r="J743" s="988">
        <v>32051</v>
      </c>
    </row>
    <row r="744" spans="1:10">
      <c r="A744" s="987">
        <v>70</v>
      </c>
      <c r="B744" s="988">
        <v>32082</v>
      </c>
      <c r="C744" s="987" t="s">
        <v>4645</v>
      </c>
      <c r="D744" s="987" t="s">
        <v>4646</v>
      </c>
      <c r="E744" s="987">
        <v>18.25</v>
      </c>
      <c r="F744" s="987">
        <v>-6.803E-3</v>
      </c>
      <c r="G744" s="987">
        <v>0</v>
      </c>
      <c r="H744" s="986">
        <v>7.4999999999999997E-3</v>
      </c>
      <c r="I744" s="986">
        <f t="shared" si="2"/>
        <v>-1.4303E-2</v>
      </c>
      <c r="J744" s="988">
        <v>32082</v>
      </c>
    </row>
    <row r="745" spans="1:10">
      <c r="A745" s="987">
        <v>70</v>
      </c>
      <c r="B745" s="988">
        <v>32112</v>
      </c>
      <c r="C745" s="987" t="s">
        <v>4645</v>
      </c>
      <c r="D745" s="987" t="s">
        <v>4646</v>
      </c>
      <c r="E745" s="987">
        <v>19.25</v>
      </c>
      <c r="F745" s="987">
        <v>5.4795000000000003E-2</v>
      </c>
      <c r="G745" s="987">
        <v>0</v>
      </c>
      <c r="H745" s="986">
        <v>7.7999999999999996E-3</v>
      </c>
      <c r="I745" s="986">
        <f t="shared" si="2"/>
        <v>4.6995000000000002E-2</v>
      </c>
      <c r="J745" s="988">
        <v>32112</v>
      </c>
    </row>
    <row r="746" spans="1:10">
      <c r="A746" s="987">
        <v>70</v>
      </c>
      <c r="B746" s="988">
        <v>32143</v>
      </c>
      <c r="C746" s="987" t="s">
        <v>4645</v>
      </c>
      <c r="D746" s="987" t="s">
        <v>4646</v>
      </c>
      <c r="E746" s="987">
        <v>19.25</v>
      </c>
      <c r="F746" s="987">
        <v>2.026E-2</v>
      </c>
      <c r="G746" s="987">
        <v>0.39</v>
      </c>
      <c r="H746" s="986">
        <v>7.1999999999999998E-3</v>
      </c>
      <c r="I746" s="986">
        <f t="shared" si="2"/>
        <v>1.306E-2</v>
      </c>
      <c r="J746" s="988">
        <v>32143</v>
      </c>
    </row>
    <row r="747" spans="1:10">
      <c r="A747" s="987">
        <v>70</v>
      </c>
      <c r="B747" s="988">
        <v>32174</v>
      </c>
      <c r="C747" s="987" t="s">
        <v>4645</v>
      </c>
      <c r="D747" s="987" t="s">
        <v>4646</v>
      </c>
      <c r="E747" s="987">
        <v>19.375</v>
      </c>
      <c r="F747" s="987">
        <v>6.4939999999999998E-3</v>
      </c>
      <c r="G747" s="987">
        <v>0</v>
      </c>
      <c r="H747" s="986">
        <v>7.1000000000000004E-3</v>
      </c>
      <c r="I747" s="986">
        <f t="shared" si="2"/>
        <v>-6.0600000000000064E-4</v>
      </c>
      <c r="J747" s="988">
        <v>32174</v>
      </c>
    </row>
    <row r="748" spans="1:10">
      <c r="A748" s="987">
        <v>70</v>
      </c>
      <c r="B748" s="988">
        <v>32203</v>
      </c>
      <c r="C748" s="987" t="s">
        <v>4645</v>
      </c>
      <c r="D748" s="987" t="s">
        <v>4646</v>
      </c>
      <c r="E748" s="987">
        <v>20.125</v>
      </c>
      <c r="F748" s="987">
        <v>3.8710000000000001E-2</v>
      </c>
      <c r="G748" s="987">
        <v>0</v>
      </c>
      <c r="H748" s="986">
        <v>7.1999999999999998E-3</v>
      </c>
      <c r="I748" s="986">
        <f t="shared" si="2"/>
        <v>3.1510000000000003E-2</v>
      </c>
      <c r="J748" s="988">
        <v>32203</v>
      </c>
    </row>
    <row r="749" spans="1:10">
      <c r="A749" s="987">
        <v>70</v>
      </c>
      <c r="B749" s="988">
        <v>32234</v>
      </c>
      <c r="C749" s="987" t="s">
        <v>4645</v>
      </c>
      <c r="D749" s="987" t="s">
        <v>4646</v>
      </c>
      <c r="E749" s="987">
        <v>19.75</v>
      </c>
      <c r="F749" s="987">
        <v>7.45E-4</v>
      </c>
      <c r="G749" s="987">
        <v>0.39</v>
      </c>
      <c r="H749" s="986">
        <v>7.0000000000000001E-3</v>
      </c>
      <c r="I749" s="986">
        <f t="shared" si="2"/>
        <v>-6.2550000000000001E-3</v>
      </c>
      <c r="J749" s="988">
        <v>32234</v>
      </c>
    </row>
    <row r="750" spans="1:10">
      <c r="A750" s="987">
        <v>70</v>
      </c>
      <c r="B750" s="988">
        <v>32264</v>
      </c>
      <c r="C750" s="987" t="s">
        <v>4645</v>
      </c>
      <c r="D750" s="987" t="s">
        <v>4646</v>
      </c>
      <c r="E750" s="987">
        <v>20</v>
      </c>
      <c r="F750" s="987">
        <v>1.2658000000000001E-2</v>
      </c>
      <c r="G750" s="987">
        <v>0</v>
      </c>
      <c r="H750" s="986">
        <v>7.7999999999999996E-3</v>
      </c>
      <c r="I750" s="986">
        <f t="shared" si="2"/>
        <v>4.8580000000000012E-3</v>
      </c>
      <c r="J750" s="988">
        <v>32264</v>
      </c>
    </row>
    <row r="751" spans="1:10">
      <c r="A751" s="987">
        <v>70</v>
      </c>
      <c r="B751" s="988">
        <v>32295</v>
      </c>
      <c r="C751" s="987" t="s">
        <v>4645</v>
      </c>
      <c r="D751" s="987" t="s">
        <v>4646</v>
      </c>
      <c r="E751" s="987">
        <v>21.125</v>
      </c>
      <c r="F751" s="987">
        <v>5.6250000000000001E-2</v>
      </c>
      <c r="G751" s="987">
        <v>0</v>
      </c>
      <c r="H751" s="986">
        <v>7.6E-3</v>
      </c>
      <c r="I751" s="986">
        <f t="shared" si="2"/>
        <v>4.8649999999999999E-2</v>
      </c>
      <c r="J751" s="988">
        <v>32295</v>
      </c>
    </row>
    <row r="752" spans="1:10">
      <c r="A752" s="987">
        <v>70</v>
      </c>
      <c r="B752" s="988">
        <v>32325</v>
      </c>
      <c r="C752" s="987" t="s">
        <v>4645</v>
      </c>
      <c r="D752" s="987" t="s">
        <v>4646</v>
      </c>
      <c r="E752" s="987">
        <v>20.875</v>
      </c>
      <c r="F752" s="987">
        <v>6.6270000000000001E-3</v>
      </c>
      <c r="G752" s="987">
        <v>0.39</v>
      </c>
      <c r="H752" s="986">
        <v>7.1000000000000004E-3</v>
      </c>
      <c r="I752" s="986">
        <f t="shared" si="2"/>
        <v>-4.7300000000000033E-4</v>
      </c>
      <c r="J752" s="988">
        <v>32325</v>
      </c>
    </row>
    <row r="753" spans="1:10">
      <c r="A753" s="987">
        <v>70</v>
      </c>
      <c r="B753" s="988">
        <v>32356</v>
      </c>
      <c r="C753" s="987" t="s">
        <v>4645</v>
      </c>
      <c r="D753" s="987" t="s">
        <v>4646</v>
      </c>
      <c r="E753" s="987">
        <v>20.875</v>
      </c>
      <c r="F753" s="987">
        <v>0</v>
      </c>
      <c r="G753" s="987">
        <v>0</v>
      </c>
      <c r="H753" s="986">
        <v>8.3000000000000001E-3</v>
      </c>
      <c r="I753" s="986">
        <f t="shared" si="2"/>
        <v>-8.3000000000000001E-3</v>
      </c>
      <c r="J753" s="988">
        <v>32356</v>
      </c>
    </row>
    <row r="754" spans="1:10">
      <c r="A754" s="987">
        <v>70</v>
      </c>
      <c r="B754" s="988">
        <v>32387</v>
      </c>
      <c r="C754" s="987" t="s">
        <v>4645</v>
      </c>
      <c r="D754" s="987" t="s">
        <v>4646</v>
      </c>
      <c r="E754" s="987">
        <v>20.75</v>
      </c>
      <c r="F754" s="987">
        <v>-5.9880000000000003E-3</v>
      </c>
      <c r="G754" s="987">
        <v>0</v>
      </c>
      <c r="H754" s="986">
        <v>7.6E-3</v>
      </c>
      <c r="I754" s="986">
        <f t="shared" si="2"/>
        <v>-1.3587999999999999E-2</v>
      </c>
      <c r="J754" s="988">
        <v>32387</v>
      </c>
    </row>
    <row r="755" spans="1:10">
      <c r="A755" s="987">
        <v>70</v>
      </c>
      <c r="B755" s="988">
        <v>32417</v>
      </c>
      <c r="C755" s="987" t="s">
        <v>4645</v>
      </c>
      <c r="D755" s="987" t="s">
        <v>4646</v>
      </c>
      <c r="E755" s="987">
        <v>20.75</v>
      </c>
      <c r="F755" s="987">
        <v>1.9276999999999999E-2</v>
      </c>
      <c r="G755" s="987">
        <v>0.4</v>
      </c>
      <c r="H755" s="986">
        <v>7.6E-3</v>
      </c>
      <c r="I755" s="986">
        <f t="shared" si="2"/>
        <v>1.1677E-2</v>
      </c>
      <c r="J755" s="988">
        <v>32417</v>
      </c>
    </row>
    <row r="756" spans="1:10">
      <c r="A756" s="987">
        <v>70</v>
      </c>
      <c r="B756" s="988">
        <v>32448</v>
      </c>
      <c r="C756" s="987" t="s">
        <v>4645</v>
      </c>
      <c r="D756" s="987" t="s">
        <v>4646</v>
      </c>
      <c r="E756" s="987">
        <v>21.375</v>
      </c>
      <c r="F756" s="987">
        <v>3.0120000000000001E-2</v>
      </c>
      <c r="G756" s="987">
        <v>0</v>
      </c>
      <c r="H756" s="986">
        <v>7.0000000000000001E-3</v>
      </c>
      <c r="I756" s="986">
        <f t="shared" si="2"/>
        <v>2.3120000000000002E-2</v>
      </c>
      <c r="J756" s="988">
        <v>32448</v>
      </c>
    </row>
    <row r="757" spans="1:10">
      <c r="A757" s="987">
        <v>70</v>
      </c>
      <c r="B757" s="988">
        <v>32478</v>
      </c>
      <c r="C757" s="987" t="s">
        <v>4645</v>
      </c>
      <c r="D757" s="987" t="s">
        <v>4646</v>
      </c>
      <c r="E757" s="987">
        <v>21.125</v>
      </c>
      <c r="F757" s="987">
        <v>-1.1696E-2</v>
      </c>
      <c r="G757" s="987">
        <v>0</v>
      </c>
      <c r="H757" s="986">
        <v>7.4999999999999997E-3</v>
      </c>
      <c r="I757" s="986">
        <f t="shared" si="2"/>
        <v>-1.9195999999999998E-2</v>
      </c>
      <c r="J757" s="988">
        <v>32478</v>
      </c>
    </row>
    <row r="758" spans="1:10">
      <c r="A758" s="987">
        <v>70</v>
      </c>
      <c r="B758" s="988">
        <v>32509</v>
      </c>
      <c r="C758" s="987" t="s">
        <v>4645</v>
      </c>
      <c r="D758" s="987" t="s">
        <v>4646</v>
      </c>
      <c r="E758" s="987">
        <v>21.25</v>
      </c>
      <c r="F758" s="987">
        <v>2.4851999999999999E-2</v>
      </c>
      <c r="G758" s="987">
        <v>0.4</v>
      </c>
      <c r="H758" s="986">
        <v>8.0000000000000002E-3</v>
      </c>
      <c r="I758" s="986">
        <f t="shared" ref="I758:I821" si="3">F758-H758</f>
        <v>1.6851999999999999E-2</v>
      </c>
      <c r="J758" s="988">
        <v>32509</v>
      </c>
    </row>
    <row r="759" spans="1:10">
      <c r="A759" s="987">
        <v>70</v>
      </c>
      <c r="B759" s="988">
        <v>32540</v>
      </c>
      <c r="C759" s="987" t="s">
        <v>4645</v>
      </c>
      <c r="D759" s="987" t="s">
        <v>4646</v>
      </c>
      <c r="E759" s="987">
        <v>19.75</v>
      </c>
      <c r="F759" s="987">
        <v>-7.0587999999999998E-2</v>
      </c>
      <c r="G759" s="987">
        <v>0</v>
      </c>
      <c r="H759" s="986">
        <v>6.8999999999999999E-3</v>
      </c>
      <c r="I759" s="986">
        <f t="shared" si="3"/>
        <v>-7.7488000000000001E-2</v>
      </c>
      <c r="J759" s="988">
        <v>32540</v>
      </c>
    </row>
    <row r="760" spans="1:10">
      <c r="A760" s="987">
        <v>70</v>
      </c>
      <c r="B760" s="988">
        <v>32568</v>
      </c>
      <c r="C760" s="987" t="s">
        <v>4645</v>
      </c>
      <c r="D760" s="987" t="s">
        <v>4646</v>
      </c>
      <c r="E760" s="987">
        <v>19.75</v>
      </c>
      <c r="F760" s="987">
        <v>0</v>
      </c>
      <c r="G760" s="987">
        <v>0</v>
      </c>
      <c r="H760" s="986">
        <v>7.9000000000000008E-3</v>
      </c>
      <c r="I760" s="986">
        <f t="shared" si="3"/>
        <v>-7.9000000000000008E-3</v>
      </c>
      <c r="J760" s="988">
        <v>32568</v>
      </c>
    </row>
    <row r="761" spans="1:10">
      <c r="A761" s="987">
        <v>70</v>
      </c>
      <c r="B761" s="988">
        <v>32599</v>
      </c>
      <c r="C761" s="987" t="s">
        <v>4645</v>
      </c>
      <c r="D761" s="987" t="s">
        <v>4646</v>
      </c>
      <c r="E761" s="987">
        <v>21.375</v>
      </c>
      <c r="F761" s="987">
        <v>0.102532</v>
      </c>
      <c r="G761" s="987">
        <v>0.4</v>
      </c>
      <c r="H761" s="986">
        <v>7.0000000000000001E-3</v>
      </c>
      <c r="I761" s="986">
        <f t="shared" si="3"/>
        <v>9.5531999999999992E-2</v>
      </c>
      <c r="J761" s="988">
        <v>32599</v>
      </c>
    </row>
    <row r="762" spans="1:10">
      <c r="A762" s="987">
        <v>70</v>
      </c>
      <c r="B762" s="988">
        <v>32629</v>
      </c>
      <c r="C762" s="987" t="s">
        <v>4645</v>
      </c>
      <c r="D762" s="987" t="s">
        <v>4646</v>
      </c>
      <c r="E762" s="987">
        <v>24</v>
      </c>
      <c r="F762" s="987">
        <v>0.122807</v>
      </c>
      <c r="G762" s="987">
        <v>0</v>
      </c>
      <c r="H762" s="986">
        <v>8.0000000000000002E-3</v>
      </c>
      <c r="I762" s="986">
        <f t="shared" si="3"/>
        <v>0.11480699999999999</v>
      </c>
      <c r="J762" s="988">
        <v>32629</v>
      </c>
    </row>
    <row r="763" spans="1:10">
      <c r="A763" s="987">
        <v>70</v>
      </c>
      <c r="B763" s="988">
        <v>32660</v>
      </c>
      <c r="C763" s="987" t="s">
        <v>4645</v>
      </c>
      <c r="D763" s="987" t="s">
        <v>4646</v>
      </c>
      <c r="E763" s="987">
        <v>23.5</v>
      </c>
      <c r="F763" s="987">
        <v>-2.0833000000000001E-2</v>
      </c>
      <c r="G763" s="987">
        <v>0</v>
      </c>
      <c r="H763" s="986">
        <v>7.0000000000000001E-3</v>
      </c>
      <c r="I763" s="986">
        <f t="shared" si="3"/>
        <v>-2.7833E-2</v>
      </c>
      <c r="J763" s="988">
        <v>32660</v>
      </c>
    </row>
    <row r="764" spans="1:10">
      <c r="A764" s="987">
        <v>70</v>
      </c>
      <c r="B764" s="988">
        <v>32690</v>
      </c>
      <c r="C764" s="987" t="s">
        <v>4645</v>
      </c>
      <c r="D764" s="987" t="s">
        <v>4646</v>
      </c>
      <c r="E764" s="987">
        <v>23.25</v>
      </c>
      <c r="F764" s="987">
        <v>6.3829999999999998E-3</v>
      </c>
      <c r="G764" s="987">
        <v>0.4</v>
      </c>
      <c r="H764" s="986">
        <v>6.7999999999999996E-3</v>
      </c>
      <c r="I764" s="986">
        <f t="shared" si="3"/>
        <v>-4.1699999999999984E-4</v>
      </c>
      <c r="J764" s="988">
        <v>32690</v>
      </c>
    </row>
    <row r="765" spans="1:10">
      <c r="A765" s="987">
        <v>70</v>
      </c>
      <c r="B765" s="988">
        <v>32721</v>
      </c>
      <c r="C765" s="987" t="s">
        <v>4645</v>
      </c>
      <c r="D765" s="987" t="s">
        <v>4646</v>
      </c>
      <c r="E765" s="987">
        <v>25</v>
      </c>
      <c r="F765" s="987">
        <v>7.5269000000000003E-2</v>
      </c>
      <c r="G765" s="987">
        <v>0</v>
      </c>
      <c r="H765" s="986">
        <v>6.6E-3</v>
      </c>
      <c r="I765" s="986">
        <f t="shared" si="3"/>
        <v>6.8669000000000008E-2</v>
      </c>
      <c r="J765" s="988">
        <v>32721</v>
      </c>
    </row>
    <row r="766" spans="1:10">
      <c r="A766" s="987">
        <v>70</v>
      </c>
      <c r="B766" s="988">
        <v>32752</v>
      </c>
      <c r="C766" s="987" t="s">
        <v>4645</v>
      </c>
      <c r="D766" s="987" t="s">
        <v>4646</v>
      </c>
      <c r="E766" s="987">
        <v>26.125</v>
      </c>
      <c r="F766" s="987">
        <v>4.4999999999999998E-2</v>
      </c>
      <c r="G766" s="987">
        <v>0</v>
      </c>
      <c r="H766" s="986">
        <v>6.4999999999999997E-3</v>
      </c>
      <c r="I766" s="986">
        <f t="shared" si="3"/>
        <v>3.85E-2</v>
      </c>
      <c r="J766" s="988">
        <v>32752</v>
      </c>
    </row>
    <row r="767" spans="1:10">
      <c r="A767" s="987">
        <v>70</v>
      </c>
      <c r="B767" s="988">
        <v>32782</v>
      </c>
      <c r="C767" s="987" t="s">
        <v>4645</v>
      </c>
      <c r="D767" s="987" t="s">
        <v>4646</v>
      </c>
      <c r="E767" s="987">
        <v>25.375</v>
      </c>
      <c r="F767" s="987">
        <v>-1.3014E-2</v>
      </c>
      <c r="G767" s="987">
        <v>0.41</v>
      </c>
      <c r="H767" s="986">
        <v>7.1999999999999998E-3</v>
      </c>
      <c r="I767" s="986">
        <f t="shared" si="3"/>
        <v>-2.0213999999999999E-2</v>
      </c>
      <c r="J767" s="988">
        <v>32782</v>
      </c>
    </row>
    <row r="768" spans="1:10">
      <c r="A768" s="987">
        <v>70</v>
      </c>
      <c r="B768" s="988">
        <v>32813</v>
      </c>
      <c r="C768" s="987" t="s">
        <v>4645</v>
      </c>
      <c r="D768" s="987" t="s">
        <v>4646</v>
      </c>
      <c r="E768" s="987">
        <v>25.875</v>
      </c>
      <c r="F768" s="987">
        <v>1.9703999999999999E-2</v>
      </c>
      <c r="G768" s="987">
        <v>0</v>
      </c>
      <c r="H768" s="986">
        <v>6.4000000000000003E-3</v>
      </c>
      <c r="I768" s="986">
        <f t="shared" si="3"/>
        <v>1.3304E-2</v>
      </c>
      <c r="J768" s="988">
        <v>32813</v>
      </c>
    </row>
    <row r="769" spans="1:10">
      <c r="A769" s="987">
        <v>70</v>
      </c>
      <c r="B769" s="988">
        <v>32843</v>
      </c>
      <c r="C769" s="987" t="s">
        <v>4645</v>
      </c>
      <c r="D769" s="987" t="s">
        <v>4646</v>
      </c>
      <c r="E769" s="987">
        <v>25</v>
      </c>
      <c r="F769" s="987">
        <v>-3.3815999999999999E-2</v>
      </c>
      <c r="G769" s="987">
        <v>0</v>
      </c>
      <c r="H769" s="986">
        <v>6.4000000000000003E-3</v>
      </c>
      <c r="I769" s="986">
        <f t="shared" si="3"/>
        <v>-4.0216000000000002E-2</v>
      </c>
      <c r="J769" s="988">
        <v>32843</v>
      </c>
    </row>
    <row r="770" spans="1:10">
      <c r="A770" s="987">
        <v>70</v>
      </c>
      <c r="B770" s="988">
        <v>32874</v>
      </c>
      <c r="C770" s="987" t="s">
        <v>4645</v>
      </c>
      <c r="D770" s="987" t="s">
        <v>4646</v>
      </c>
      <c r="E770" s="987">
        <v>24.75</v>
      </c>
      <c r="F770" s="987">
        <v>6.4000000000000003E-3</v>
      </c>
      <c r="G770" s="987">
        <v>0.41</v>
      </c>
      <c r="H770" s="986">
        <v>7.3000000000000001E-3</v>
      </c>
      <c r="I770" s="986">
        <f t="shared" si="3"/>
        <v>-8.9999999999999976E-4</v>
      </c>
      <c r="J770" s="988">
        <v>32874</v>
      </c>
    </row>
    <row r="771" spans="1:10">
      <c r="A771" s="987">
        <v>70</v>
      </c>
      <c r="B771" s="988">
        <v>32905</v>
      </c>
      <c r="C771" s="987" t="s">
        <v>4645</v>
      </c>
      <c r="D771" s="987" t="s">
        <v>4646</v>
      </c>
      <c r="E771" s="987">
        <v>25.125</v>
      </c>
      <c r="F771" s="987">
        <v>1.5152000000000001E-2</v>
      </c>
      <c r="G771" s="987">
        <v>0</v>
      </c>
      <c r="H771" s="986">
        <v>6.6E-3</v>
      </c>
      <c r="I771" s="986">
        <f t="shared" si="3"/>
        <v>8.5520000000000006E-3</v>
      </c>
      <c r="J771" s="988">
        <v>32905</v>
      </c>
    </row>
    <row r="772" spans="1:10">
      <c r="A772" s="987">
        <v>70</v>
      </c>
      <c r="B772" s="988">
        <v>32933</v>
      </c>
      <c r="C772" s="987" t="s">
        <v>4645</v>
      </c>
      <c r="D772" s="987" t="s">
        <v>4646</v>
      </c>
      <c r="E772" s="987">
        <v>24.625</v>
      </c>
      <c r="F772" s="987">
        <v>-1.9900000000000001E-2</v>
      </c>
      <c r="G772" s="987">
        <v>0</v>
      </c>
      <c r="H772" s="986">
        <v>7.1000000000000004E-3</v>
      </c>
      <c r="I772" s="986">
        <f t="shared" si="3"/>
        <v>-2.7000000000000003E-2</v>
      </c>
      <c r="J772" s="988">
        <v>32933</v>
      </c>
    </row>
    <row r="773" spans="1:10">
      <c r="A773" s="987">
        <v>70</v>
      </c>
      <c r="B773" s="988">
        <v>32964</v>
      </c>
      <c r="C773" s="987" t="s">
        <v>4645</v>
      </c>
      <c r="D773" s="987" t="s">
        <v>4646</v>
      </c>
      <c r="E773" s="987">
        <v>24.25</v>
      </c>
      <c r="F773" s="987">
        <v>1.421E-3</v>
      </c>
      <c r="G773" s="987">
        <v>0.41</v>
      </c>
      <c r="H773" s="986">
        <v>7.4999999999999997E-3</v>
      </c>
      <c r="I773" s="986">
        <f t="shared" si="3"/>
        <v>-6.0789999999999993E-3</v>
      </c>
      <c r="J773" s="988">
        <v>32964</v>
      </c>
    </row>
    <row r="774" spans="1:10">
      <c r="A774" s="987">
        <v>70</v>
      </c>
      <c r="B774" s="988">
        <v>32994</v>
      </c>
      <c r="C774" s="987" t="s">
        <v>4645</v>
      </c>
      <c r="D774" s="987" t="s">
        <v>4646</v>
      </c>
      <c r="E774" s="987">
        <v>24.375</v>
      </c>
      <c r="F774" s="987">
        <v>5.1549999999999999E-3</v>
      </c>
      <c r="G774" s="987">
        <v>0</v>
      </c>
      <c r="H774" s="986">
        <v>7.4999999999999997E-3</v>
      </c>
      <c r="I774" s="986">
        <f t="shared" si="3"/>
        <v>-2.3449999999999999E-3</v>
      </c>
      <c r="J774" s="988">
        <v>32994</v>
      </c>
    </row>
    <row r="775" spans="1:10">
      <c r="A775" s="987">
        <v>70</v>
      </c>
      <c r="B775" s="988">
        <v>33025</v>
      </c>
      <c r="C775" s="987" t="s">
        <v>4645</v>
      </c>
      <c r="D775" s="987" t="s">
        <v>4646</v>
      </c>
      <c r="E775" s="987">
        <v>26.5</v>
      </c>
      <c r="F775" s="987">
        <v>8.7179000000000006E-2</v>
      </c>
      <c r="G775" s="987">
        <v>0</v>
      </c>
      <c r="H775" s="986">
        <v>6.7999999999999996E-3</v>
      </c>
      <c r="I775" s="986">
        <f t="shared" si="3"/>
        <v>8.0379000000000006E-2</v>
      </c>
      <c r="J775" s="988">
        <v>33025</v>
      </c>
    </row>
    <row r="776" spans="1:10">
      <c r="A776" s="987">
        <v>70</v>
      </c>
      <c r="B776" s="988">
        <v>33055</v>
      </c>
      <c r="C776" s="987" t="s">
        <v>4645</v>
      </c>
      <c r="D776" s="987" t="s">
        <v>4646</v>
      </c>
      <c r="E776" s="987">
        <v>23.875</v>
      </c>
      <c r="F776" s="987">
        <v>-8.3585000000000007E-2</v>
      </c>
      <c r="G776" s="987">
        <v>0.41</v>
      </c>
      <c r="H776" s="986">
        <v>7.4000000000000003E-3</v>
      </c>
      <c r="I776" s="986">
        <f t="shared" si="3"/>
        <v>-9.098500000000001E-2</v>
      </c>
      <c r="J776" s="988">
        <v>33055</v>
      </c>
    </row>
    <row r="777" spans="1:10">
      <c r="A777" s="987">
        <v>70</v>
      </c>
      <c r="B777" s="988">
        <v>33086</v>
      </c>
      <c r="C777" s="987" t="s">
        <v>4645</v>
      </c>
      <c r="D777" s="987" t="s">
        <v>4646</v>
      </c>
      <c r="E777" s="987">
        <v>23.125</v>
      </c>
      <c r="F777" s="987">
        <v>-3.1413999999999997E-2</v>
      </c>
      <c r="G777" s="987">
        <v>0</v>
      </c>
      <c r="H777" s="986">
        <v>7.1000000000000004E-3</v>
      </c>
      <c r="I777" s="986">
        <f t="shared" si="3"/>
        <v>-3.8514E-2</v>
      </c>
      <c r="J777" s="988">
        <v>33086</v>
      </c>
    </row>
    <row r="778" spans="1:10">
      <c r="A778" s="987">
        <v>70</v>
      </c>
      <c r="B778" s="988">
        <v>33117</v>
      </c>
      <c r="C778" s="987" t="s">
        <v>4645</v>
      </c>
      <c r="D778" s="987" t="s">
        <v>4646</v>
      </c>
      <c r="E778" s="987">
        <v>24</v>
      </c>
      <c r="F778" s="987">
        <v>3.7837999999999997E-2</v>
      </c>
      <c r="G778" s="987">
        <v>0</v>
      </c>
      <c r="H778" s="986">
        <v>6.8999999999999999E-3</v>
      </c>
      <c r="I778" s="986">
        <f t="shared" si="3"/>
        <v>3.0937999999999997E-2</v>
      </c>
      <c r="J778" s="988">
        <v>33117</v>
      </c>
    </row>
    <row r="779" spans="1:10">
      <c r="A779" s="987">
        <v>70</v>
      </c>
      <c r="B779" s="988">
        <v>33147</v>
      </c>
      <c r="C779" s="987" t="s">
        <v>4645</v>
      </c>
      <c r="D779" s="987" t="s">
        <v>4646</v>
      </c>
      <c r="E779" s="987">
        <v>24.625</v>
      </c>
      <c r="F779" s="987">
        <v>4.3541999999999997E-2</v>
      </c>
      <c r="G779" s="987">
        <v>0.42</v>
      </c>
      <c r="H779" s="986">
        <v>8.0999999999999996E-3</v>
      </c>
      <c r="I779" s="986">
        <f t="shared" si="3"/>
        <v>3.5442000000000001E-2</v>
      </c>
      <c r="J779" s="988">
        <v>33147</v>
      </c>
    </row>
    <row r="780" spans="1:10">
      <c r="A780" s="987">
        <v>70</v>
      </c>
      <c r="B780" s="988">
        <v>33178</v>
      </c>
      <c r="C780" s="987" t="s">
        <v>4645</v>
      </c>
      <c r="D780" s="987" t="s">
        <v>4646</v>
      </c>
      <c r="E780" s="987">
        <v>26.25</v>
      </c>
      <c r="F780" s="987">
        <v>6.5989999999999993E-2</v>
      </c>
      <c r="G780" s="987">
        <v>0</v>
      </c>
      <c r="H780" s="986">
        <v>7.1000000000000004E-3</v>
      </c>
      <c r="I780" s="986">
        <f t="shared" si="3"/>
        <v>5.8889999999999991E-2</v>
      </c>
      <c r="J780" s="988">
        <v>33178</v>
      </c>
    </row>
    <row r="781" spans="1:10">
      <c r="A781" s="987">
        <v>70</v>
      </c>
      <c r="B781" s="988">
        <v>33208</v>
      </c>
      <c r="C781" s="987" t="s">
        <v>4645</v>
      </c>
      <c r="D781" s="987" t="s">
        <v>4646</v>
      </c>
      <c r="E781" s="987">
        <v>25.75</v>
      </c>
      <c r="F781" s="987">
        <v>-1.9047999999999999E-2</v>
      </c>
      <c r="G781" s="987">
        <v>0</v>
      </c>
      <c r="H781" s="986">
        <v>7.1999999999999998E-3</v>
      </c>
      <c r="I781" s="986">
        <f t="shared" si="3"/>
        <v>-2.6248E-2</v>
      </c>
      <c r="J781" s="988">
        <v>33208</v>
      </c>
    </row>
    <row r="782" spans="1:10">
      <c r="A782" s="987">
        <v>70</v>
      </c>
      <c r="B782" s="988">
        <v>33239</v>
      </c>
      <c r="C782" s="987" t="s">
        <v>4645</v>
      </c>
      <c r="D782" s="987" t="s">
        <v>4646</v>
      </c>
      <c r="E782" s="987">
        <v>25.875</v>
      </c>
      <c r="F782" s="987">
        <v>2.1165E-2</v>
      </c>
      <c r="G782" s="987">
        <v>0.42</v>
      </c>
      <c r="H782" s="986">
        <v>7.1000000000000004E-3</v>
      </c>
      <c r="I782" s="986">
        <f t="shared" si="3"/>
        <v>1.4064999999999999E-2</v>
      </c>
      <c r="J782" s="988">
        <v>33239</v>
      </c>
    </row>
    <row r="783" spans="1:10">
      <c r="A783" s="987">
        <v>70</v>
      </c>
      <c r="B783" s="988">
        <v>33270</v>
      </c>
      <c r="C783" s="987" t="s">
        <v>4645</v>
      </c>
      <c r="D783" s="987" t="s">
        <v>4646</v>
      </c>
      <c r="E783" s="987">
        <v>27</v>
      </c>
      <c r="F783" s="987">
        <v>4.3478000000000003E-2</v>
      </c>
      <c r="G783" s="987">
        <v>0</v>
      </c>
      <c r="H783" s="986">
        <v>6.4000000000000003E-3</v>
      </c>
      <c r="I783" s="986">
        <f t="shared" si="3"/>
        <v>3.7078E-2</v>
      </c>
      <c r="J783" s="988">
        <v>33270</v>
      </c>
    </row>
    <row r="784" spans="1:10">
      <c r="A784" s="987">
        <v>70</v>
      </c>
      <c r="B784" s="988">
        <v>33298</v>
      </c>
      <c r="C784" s="987" t="s">
        <v>4645</v>
      </c>
      <c r="D784" s="987" t="s">
        <v>4646</v>
      </c>
      <c r="E784" s="987">
        <v>27.25</v>
      </c>
      <c r="F784" s="987">
        <v>9.2589999999999999E-3</v>
      </c>
      <c r="G784" s="987">
        <v>0</v>
      </c>
      <c r="H784" s="986">
        <v>6.4000000000000003E-3</v>
      </c>
      <c r="I784" s="986">
        <f t="shared" si="3"/>
        <v>2.8589999999999996E-3</v>
      </c>
      <c r="J784" s="988">
        <v>33298</v>
      </c>
    </row>
    <row r="785" spans="1:10">
      <c r="A785" s="987">
        <v>70</v>
      </c>
      <c r="B785" s="988">
        <v>33329</v>
      </c>
      <c r="C785" s="987" t="s">
        <v>4645</v>
      </c>
      <c r="D785" s="987" t="s">
        <v>4646</v>
      </c>
      <c r="E785" s="987">
        <v>28.125</v>
      </c>
      <c r="F785" s="987">
        <v>4.7523000000000003E-2</v>
      </c>
      <c r="G785" s="987">
        <v>0.42</v>
      </c>
      <c r="H785" s="986">
        <v>7.6E-3</v>
      </c>
      <c r="I785" s="986">
        <f t="shared" si="3"/>
        <v>3.9923E-2</v>
      </c>
      <c r="J785" s="988">
        <v>33329</v>
      </c>
    </row>
    <row r="786" spans="1:10">
      <c r="A786" s="987">
        <v>70</v>
      </c>
      <c r="B786" s="988">
        <v>33359</v>
      </c>
      <c r="C786" s="987" t="s">
        <v>4645</v>
      </c>
      <c r="D786" s="987" t="s">
        <v>4646</v>
      </c>
      <c r="E786" s="987">
        <v>28.5</v>
      </c>
      <c r="F786" s="987">
        <v>1.3332999999999999E-2</v>
      </c>
      <c r="G786" s="987">
        <v>0</v>
      </c>
      <c r="H786" s="986">
        <v>6.7999999999999996E-3</v>
      </c>
      <c r="I786" s="986">
        <f t="shared" si="3"/>
        <v>6.5329999999999997E-3</v>
      </c>
      <c r="J786" s="988">
        <v>33359</v>
      </c>
    </row>
    <row r="787" spans="1:10">
      <c r="A787" s="987">
        <v>70</v>
      </c>
      <c r="B787" s="988">
        <v>33390</v>
      </c>
      <c r="C787" s="987" t="s">
        <v>4645</v>
      </c>
      <c r="D787" s="987" t="s">
        <v>4646</v>
      </c>
      <c r="E787" s="987">
        <v>26.25</v>
      </c>
      <c r="F787" s="987">
        <v>-7.8947000000000003E-2</v>
      </c>
      <c r="G787" s="987">
        <v>0</v>
      </c>
      <c r="H787" s="986">
        <v>6.3E-3</v>
      </c>
      <c r="I787" s="986">
        <f t="shared" si="3"/>
        <v>-8.5247000000000003E-2</v>
      </c>
      <c r="J787" s="988">
        <v>33390</v>
      </c>
    </row>
    <row r="788" spans="1:10">
      <c r="A788" s="987">
        <v>70</v>
      </c>
      <c r="B788" s="988">
        <v>33420</v>
      </c>
      <c r="C788" s="987" t="s">
        <v>4645</v>
      </c>
      <c r="D788" s="987" t="s">
        <v>4646</v>
      </c>
      <c r="E788" s="987">
        <v>28.25</v>
      </c>
      <c r="F788" s="987">
        <v>9.2189999999999994E-2</v>
      </c>
      <c r="G788" s="987">
        <v>0.42</v>
      </c>
      <c r="H788" s="986">
        <v>7.6E-3</v>
      </c>
      <c r="I788" s="986">
        <f t="shared" si="3"/>
        <v>8.4589999999999999E-2</v>
      </c>
      <c r="J788" s="988">
        <v>33420</v>
      </c>
    </row>
    <row r="789" spans="1:10">
      <c r="A789" s="987">
        <v>70</v>
      </c>
      <c r="B789" s="988">
        <v>33451</v>
      </c>
      <c r="C789" s="987" t="s">
        <v>4645</v>
      </c>
      <c r="D789" s="987" t="s">
        <v>4646</v>
      </c>
      <c r="E789" s="987">
        <v>29</v>
      </c>
      <c r="F789" s="987">
        <v>2.6549E-2</v>
      </c>
      <c r="G789" s="987">
        <v>0</v>
      </c>
      <c r="H789" s="986">
        <v>6.7999999999999996E-3</v>
      </c>
      <c r="I789" s="986">
        <f t="shared" si="3"/>
        <v>1.9748999999999999E-2</v>
      </c>
      <c r="J789" s="988">
        <v>33451</v>
      </c>
    </row>
    <row r="790" spans="1:10">
      <c r="A790" s="987">
        <v>70</v>
      </c>
      <c r="B790" s="988">
        <v>33482</v>
      </c>
      <c r="C790" s="987" t="s">
        <v>4645</v>
      </c>
      <c r="D790" s="987" t="s">
        <v>4646</v>
      </c>
      <c r="E790" s="987">
        <v>29.75</v>
      </c>
      <c r="F790" s="987">
        <v>2.5862E-2</v>
      </c>
      <c r="G790" s="987">
        <v>0</v>
      </c>
      <c r="H790" s="986">
        <v>6.7999999999999996E-3</v>
      </c>
      <c r="I790" s="986">
        <f t="shared" si="3"/>
        <v>1.9061999999999999E-2</v>
      </c>
      <c r="J790" s="988">
        <v>33482</v>
      </c>
    </row>
    <row r="791" spans="1:10">
      <c r="A791" s="987">
        <v>70</v>
      </c>
      <c r="B791" s="988">
        <v>33512</v>
      </c>
      <c r="C791" s="987" t="s">
        <v>4645</v>
      </c>
      <c r="D791" s="987" t="s">
        <v>4646</v>
      </c>
      <c r="E791" s="987">
        <v>32</v>
      </c>
      <c r="F791" s="987">
        <v>9.0083999999999997E-2</v>
      </c>
      <c r="G791" s="987">
        <v>0.43</v>
      </c>
      <c r="H791" s="986">
        <v>6.4999999999999997E-3</v>
      </c>
      <c r="I791" s="986">
        <f t="shared" si="3"/>
        <v>8.3583999999999992E-2</v>
      </c>
      <c r="J791" s="988">
        <v>33512</v>
      </c>
    </row>
    <row r="792" spans="1:10">
      <c r="A792" s="987">
        <v>70</v>
      </c>
      <c r="B792" s="988">
        <v>33543</v>
      </c>
      <c r="C792" s="987" t="s">
        <v>4645</v>
      </c>
      <c r="D792" s="987" t="s">
        <v>4646</v>
      </c>
      <c r="E792" s="987">
        <v>30.375</v>
      </c>
      <c r="F792" s="987">
        <v>-5.0781E-2</v>
      </c>
      <c r="G792" s="987">
        <v>0</v>
      </c>
      <c r="H792" s="986">
        <v>6.0000000000000001E-3</v>
      </c>
      <c r="I792" s="986">
        <f t="shared" si="3"/>
        <v>-5.6780999999999998E-2</v>
      </c>
      <c r="J792" s="988">
        <v>33543</v>
      </c>
    </row>
    <row r="793" spans="1:10">
      <c r="A793" s="987">
        <v>70</v>
      </c>
      <c r="B793" s="988">
        <v>33573</v>
      </c>
      <c r="C793" s="987" t="s">
        <v>4645</v>
      </c>
      <c r="D793" s="987" t="s">
        <v>4646</v>
      </c>
      <c r="E793" s="987">
        <v>28.75</v>
      </c>
      <c r="F793" s="987">
        <v>-5.3497999999999997E-2</v>
      </c>
      <c r="G793" s="987">
        <v>0</v>
      </c>
      <c r="H793" s="986">
        <v>6.7999999999999996E-3</v>
      </c>
      <c r="I793" s="986">
        <f t="shared" si="3"/>
        <v>-6.0297999999999997E-2</v>
      </c>
      <c r="J793" s="988">
        <v>33573</v>
      </c>
    </row>
    <row r="794" spans="1:10">
      <c r="A794" s="987">
        <v>70</v>
      </c>
      <c r="B794" s="988">
        <v>33604</v>
      </c>
      <c r="C794" s="987" t="s">
        <v>4645</v>
      </c>
      <c r="D794" s="987" t="s">
        <v>4646</v>
      </c>
      <c r="E794" s="987">
        <v>30.5</v>
      </c>
      <c r="F794" s="987">
        <v>7.5826000000000005E-2</v>
      </c>
      <c r="G794" s="987">
        <v>0.43</v>
      </c>
      <c r="H794" s="986">
        <v>6.1000000000000004E-3</v>
      </c>
      <c r="I794" s="986">
        <f t="shared" si="3"/>
        <v>6.972600000000001E-2</v>
      </c>
      <c r="J794" s="988">
        <v>33604</v>
      </c>
    </row>
    <row r="795" spans="1:10">
      <c r="A795" s="987">
        <v>70</v>
      </c>
      <c r="B795" s="988">
        <v>33635</v>
      </c>
      <c r="C795" s="987" t="s">
        <v>4645</v>
      </c>
      <c r="D795" s="987" t="s">
        <v>4646</v>
      </c>
      <c r="E795" s="987">
        <v>30.5</v>
      </c>
      <c r="F795" s="987">
        <v>0</v>
      </c>
      <c r="G795" s="987">
        <v>0</v>
      </c>
      <c r="H795" s="986">
        <v>5.8999999999999999E-3</v>
      </c>
      <c r="I795" s="986">
        <f t="shared" si="3"/>
        <v>-5.8999999999999999E-3</v>
      </c>
      <c r="J795" s="988">
        <v>33635</v>
      </c>
    </row>
    <row r="796" spans="1:10">
      <c r="A796" s="987">
        <v>70</v>
      </c>
      <c r="B796" s="988">
        <v>33664</v>
      </c>
      <c r="C796" s="987" t="s">
        <v>4645</v>
      </c>
      <c r="D796" s="987" t="s">
        <v>4646</v>
      </c>
      <c r="E796" s="987">
        <v>29.5</v>
      </c>
      <c r="F796" s="987">
        <v>-3.2786999999999997E-2</v>
      </c>
      <c r="G796" s="987">
        <v>0</v>
      </c>
      <c r="H796" s="986">
        <v>6.7000000000000002E-3</v>
      </c>
      <c r="I796" s="986">
        <f t="shared" si="3"/>
        <v>-3.9486999999999994E-2</v>
      </c>
      <c r="J796" s="988">
        <v>33664</v>
      </c>
    </row>
    <row r="797" spans="1:10">
      <c r="A797" s="987">
        <v>70</v>
      </c>
      <c r="B797" s="988">
        <v>33695</v>
      </c>
      <c r="C797" s="987" t="s">
        <v>4645</v>
      </c>
      <c r="D797" s="987" t="s">
        <v>4646</v>
      </c>
      <c r="E797" s="987">
        <v>27</v>
      </c>
      <c r="F797" s="987">
        <v>-7.0168999999999995E-2</v>
      </c>
      <c r="G797" s="987">
        <v>0.43</v>
      </c>
      <c r="H797" s="986">
        <v>6.4999999999999997E-3</v>
      </c>
      <c r="I797" s="986">
        <f t="shared" si="3"/>
        <v>-7.6669000000000001E-2</v>
      </c>
      <c r="J797" s="988">
        <v>33695</v>
      </c>
    </row>
    <row r="798" spans="1:10">
      <c r="A798" s="987">
        <v>70</v>
      </c>
      <c r="B798" s="988">
        <v>33725</v>
      </c>
      <c r="C798" s="987" t="s">
        <v>4645</v>
      </c>
      <c r="D798" s="987" t="s">
        <v>4646</v>
      </c>
      <c r="E798" s="987">
        <v>29.75</v>
      </c>
      <c r="F798" s="987">
        <v>0.101852</v>
      </c>
      <c r="G798" s="987">
        <v>0</v>
      </c>
      <c r="H798" s="986">
        <v>6.1000000000000004E-3</v>
      </c>
      <c r="I798" s="986">
        <f t="shared" si="3"/>
        <v>9.5752000000000004E-2</v>
      </c>
      <c r="J798" s="988">
        <v>33725</v>
      </c>
    </row>
    <row r="799" spans="1:10">
      <c r="A799" s="987">
        <v>70</v>
      </c>
      <c r="B799" s="988">
        <v>33756</v>
      </c>
      <c r="C799" s="987" t="s">
        <v>4645</v>
      </c>
      <c r="D799" s="987" t="s">
        <v>4646</v>
      </c>
      <c r="E799" s="987">
        <v>30.25</v>
      </c>
      <c r="F799" s="987">
        <v>1.6806999999999999E-2</v>
      </c>
      <c r="G799" s="987">
        <v>0</v>
      </c>
      <c r="H799" s="986">
        <v>6.7000000000000002E-3</v>
      </c>
      <c r="I799" s="986">
        <f t="shared" si="3"/>
        <v>1.0106999999999998E-2</v>
      </c>
      <c r="J799" s="988">
        <v>33756</v>
      </c>
    </row>
    <row r="800" spans="1:10">
      <c r="A800" s="987">
        <v>70</v>
      </c>
      <c r="B800" s="988">
        <v>33786</v>
      </c>
      <c r="C800" s="987" t="s">
        <v>4645</v>
      </c>
      <c r="D800" s="987" t="s">
        <v>4646</v>
      </c>
      <c r="E800" s="987">
        <v>31.25</v>
      </c>
      <c r="F800" s="987">
        <v>4.7273000000000003E-2</v>
      </c>
      <c r="G800" s="987">
        <v>0.43</v>
      </c>
      <c r="H800" s="986">
        <v>6.3E-3</v>
      </c>
      <c r="I800" s="986">
        <f t="shared" si="3"/>
        <v>4.0973000000000002E-2</v>
      </c>
      <c r="J800" s="988">
        <v>33786</v>
      </c>
    </row>
    <row r="801" spans="1:10">
      <c r="A801" s="987">
        <v>70</v>
      </c>
      <c r="B801" s="988">
        <v>33817</v>
      </c>
      <c r="C801" s="987" t="s">
        <v>4645</v>
      </c>
      <c r="D801" s="987" t="s">
        <v>4646</v>
      </c>
      <c r="E801" s="987">
        <v>31.75</v>
      </c>
      <c r="F801" s="987">
        <v>1.6E-2</v>
      </c>
      <c r="G801" s="987">
        <v>0</v>
      </c>
      <c r="H801" s="986">
        <v>6.0000000000000001E-3</v>
      </c>
      <c r="I801" s="986">
        <f t="shared" si="3"/>
        <v>0.01</v>
      </c>
      <c r="J801" s="988">
        <v>33817</v>
      </c>
    </row>
    <row r="802" spans="1:10">
      <c r="A802" s="987">
        <v>70</v>
      </c>
      <c r="B802" s="988">
        <v>33848</v>
      </c>
      <c r="C802" s="987" t="s">
        <v>4645</v>
      </c>
      <c r="D802" s="987" t="s">
        <v>4646</v>
      </c>
      <c r="E802" s="987">
        <v>32.25</v>
      </c>
      <c r="F802" s="987">
        <v>1.5748000000000002E-2</v>
      </c>
      <c r="G802" s="987">
        <v>0</v>
      </c>
      <c r="H802" s="986">
        <v>5.7999999999999996E-3</v>
      </c>
      <c r="I802" s="986">
        <f t="shared" si="3"/>
        <v>9.948000000000002E-3</v>
      </c>
      <c r="J802" s="988">
        <v>33848</v>
      </c>
    </row>
    <row r="803" spans="1:10">
      <c r="A803" s="987">
        <v>70</v>
      </c>
      <c r="B803" s="988">
        <v>33878</v>
      </c>
      <c r="C803" s="987" t="s">
        <v>4645</v>
      </c>
      <c r="D803" s="987" t="s">
        <v>4646</v>
      </c>
      <c r="E803" s="987">
        <v>30</v>
      </c>
      <c r="F803" s="987">
        <v>-5.6433999999999998E-2</v>
      </c>
      <c r="G803" s="987">
        <v>0.43</v>
      </c>
      <c r="H803" s="986">
        <v>5.7000000000000002E-3</v>
      </c>
      <c r="I803" s="986">
        <f t="shared" si="3"/>
        <v>-6.2133999999999995E-2</v>
      </c>
      <c r="J803" s="988">
        <v>33878</v>
      </c>
    </row>
    <row r="804" spans="1:10">
      <c r="A804" s="987">
        <v>70</v>
      </c>
      <c r="B804" s="988">
        <v>33909</v>
      </c>
      <c r="C804" s="987" t="s">
        <v>4645</v>
      </c>
      <c r="D804" s="987" t="s">
        <v>4646</v>
      </c>
      <c r="E804" s="987">
        <v>28.75</v>
      </c>
      <c r="F804" s="987">
        <v>-4.1667000000000003E-2</v>
      </c>
      <c r="G804" s="987">
        <v>0</v>
      </c>
      <c r="H804" s="986">
        <v>6.1000000000000004E-3</v>
      </c>
      <c r="I804" s="986">
        <f t="shared" si="3"/>
        <v>-4.7767000000000004E-2</v>
      </c>
      <c r="J804" s="988">
        <v>33909</v>
      </c>
    </row>
    <row r="805" spans="1:10">
      <c r="A805" s="987">
        <v>70</v>
      </c>
      <c r="B805" s="988">
        <v>33939</v>
      </c>
      <c r="C805" s="987" t="s">
        <v>4645</v>
      </c>
      <c r="D805" s="987" t="s">
        <v>4646</v>
      </c>
      <c r="E805" s="987">
        <v>28.5</v>
      </c>
      <c r="F805" s="987">
        <v>-8.6960000000000006E-3</v>
      </c>
      <c r="G805" s="987">
        <v>0</v>
      </c>
      <c r="H805" s="986">
        <v>6.3E-3</v>
      </c>
      <c r="I805" s="986">
        <f t="shared" si="3"/>
        <v>-1.4996000000000001E-2</v>
      </c>
      <c r="J805" s="988">
        <v>33939</v>
      </c>
    </row>
    <row r="806" spans="1:10">
      <c r="A806" s="987">
        <v>70</v>
      </c>
      <c r="B806" s="988">
        <v>33970</v>
      </c>
      <c r="C806" s="987" t="s">
        <v>4645</v>
      </c>
      <c r="D806" s="987" t="s">
        <v>4646</v>
      </c>
      <c r="E806" s="987">
        <v>29.75</v>
      </c>
      <c r="F806" s="987">
        <v>5.8946999999999999E-2</v>
      </c>
      <c r="G806" s="987">
        <v>0.43</v>
      </c>
      <c r="H806" s="986">
        <v>5.8999999999999999E-3</v>
      </c>
      <c r="I806" s="986">
        <f t="shared" si="3"/>
        <v>5.3046999999999997E-2</v>
      </c>
      <c r="J806" s="988">
        <v>33970</v>
      </c>
    </row>
    <row r="807" spans="1:10">
      <c r="A807" s="987">
        <v>70</v>
      </c>
      <c r="B807" s="988">
        <v>34001</v>
      </c>
      <c r="C807" s="987" t="s">
        <v>4645</v>
      </c>
      <c r="D807" s="987" t="s">
        <v>4646</v>
      </c>
      <c r="E807" s="987">
        <v>32</v>
      </c>
      <c r="F807" s="987">
        <v>7.5630000000000003E-2</v>
      </c>
      <c r="G807" s="987">
        <v>0</v>
      </c>
      <c r="H807" s="986">
        <v>5.4999999999999997E-3</v>
      </c>
      <c r="I807" s="986">
        <f t="shared" si="3"/>
        <v>7.0129999999999998E-2</v>
      </c>
      <c r="J807" s="988">
        <v>34001</v>
      </c>
    </row>
    <row r="808" spans="1:10">
      <c r="A808" s="987">
        <v>70</v>
      </c>
      <c r="B808" s="988">
        <v>34029</v>
      </c>
      <c r="C808" s="987" t="s">
        <v>4645</v>
      </c>
      <c r="D808" s="987" t="s">
        <v>4646</v>
      </c>
      <c r="E808" s="987">
        <v>30.875</v>
      </c>
      <c r="F808" s="987">
        <v>-3.5156E-2</v>
      </c>
      <c r="G808" s="987">
        <v>0</v>
      </c>
      <c r="H808" s="986">
        <v>6.3E-3</v>
      </c>
      <c r="I808" s="986">
        <f t="shared" si="3"/>
        <v>-4.1456E-2</v>
      </c>
      <c r="J808" s="988">
        <v>34029</v>
      </c>
    </row>
    <row r="809" spans="1:10">
      <c r="A809" s="987">
        <v>70</v>
      </c>
      <c r="B809" s="988">
        <v>34060</v>
      </c>
      <c r="C809" s="987" t="s">
        <v>4645</v>
      </c>
      <c r="D809" s="987" t="s">
        <v>4646</v>
      </c>
      <c r="E809" s="987">
        <v>31.375</v>
      </c>
      <c r="F809" s="987">
        <v>3.0445E-2</v>
      </c>
      <c r="G809" s="987">
        <v>0.44</v>
      </c>
      <c r="H809" s="986">
        <v>5.7000000000000002E-3</v>
      </c>
      <c r="I809" s="986">
        <f t="shared" si="3"/>
        <v>2.4745E-2</v>
      </c>
      <c r="J809" s="988">
        <v>34060</v>
      </c>
    </row>
    <row r="810" spans="1:10">
      <c r="A810" s="987">
        <v>70</v>
      </c>
      <c r="B810" s="988">
        <v>34090</v>
      </c>
      <c r="C810" s="987" t="s">
        <v>4645</v>
      </c>
      <c r="D810" s="987" t="s">
        <v>4646</v>
      </c>
      <c r="E810" s="987">
        <v>34</v>
      </c>
      <c r="F810" s="987">
        <v>8.3665000000000003E-2</v>
      </c>
      <c r="G810" s="987">
        <v>0</v>
      </c>
      <c r="H810" s="986">
        <v>5.1999999999999998E-3</v>
      </c>
      <c r="I810" s="986">
        <f t="shared" si="3"/>
        <v>7.8465000000000007E-2</v>
      </c>
      <c r="J810" s="988">
        <v>34090</v>
      </c>
    </row>
    <row r="811" spans="1:10">
      <c r="A811" s="987">
        <v>70</v>
      </c>
      <c r="B811" s="988">
        <v>34121</v>
      </c>
      <c r="C811" s="987" t="s">
        <v>4645</v>
      </c>
      <c r="D811" s="987" t="s">
        <v>4646</v>
      </c>
      <c r="E811" s="987">
        <v>34</v>
      </c>
      <c r="F811" s="987">
        <v>0</v>
      </c>
      <c r="G811" s="987">
        <v>0</v>
      </c>
      <c r="H811" s="986">
        <v>6.1999999999999998E-3</v>
      </c>
      <c r="I811" s="986">
        <f t="shared" si="3"/>
        <v>-6.1999999999999998E-3</v>
      </c>
      <c r="J811" s="988">
        <v>34121</v>
      </c>
    </row>
    <row r="812" spans="1:10">
      <c r="A812" s="987">
        <v>70</v>
      </c>
      <c r="B812" s="988">
        <v>34151</v>
      </c>
      <c r="C812" s="987" t="s">
        <v>4645</v>
      </c>
      <c r="D812" s="987" t="s">
        <v>4646</v>
      </c>
      <c r="E812" s="987">
        <v>36.25</v>
      </c>
      <c r="F812" s="987">
        <v>7.9117999999999994E-2</v>
      </c>
      <c r="G812" s="987">
        <v>0.44</v>
      </c>
      <c r="H812" s="986">
        <v>5.4000000000000003E-3</v>
      </c>
      <c r="I812" s="986">
        <f t="shared" si="3"/>
        <v>7.3717999999999992E-2</v>
      </c>
      <c r="J812" s="988">
        <v>34151</v>
      </c>
    </row>
    <row r="813" spans="1:10">
      <c r="A813" s="987">
        <v>70</v>
      </c>
      <c r="B813" s="988">
        <v>34182</v>
      </c>
      <c r="C813" s="987" t="s">
        <v>4645</v>
      </c>
      <c r="D813" s="987" t="s">
        <v>4646</v>
      </c>
      <c r="E813" s="987">
        <v>36.25</v>
      </c>
      <c r="F813" s="987">
        <v>0</v>
      </c>
      <c r="G813" s="987">
        <v>0</v>
      </c>
      <c r="H813" s="986">
        <v>5.5999999999999999E-3</v>
      </c>
      <c r="I813" s="986">
        <f t="shared" si="3"/>
        <v>-5.5999999999999999E-3</v>
      </c>
      <c r="J813" s="988">
        <v>34182</v>
      </c>
    </row>
    <row r="814" spans="1:10">
      <c r="A814" s="987">
        <v>70</v>
      </c>
      <c r="B814" s="988">
        <v>34213</v>
      </c>
      <c r="C814" s="987" t="s">
        <v>4645</v>
      </c>
      <c r="D814" s="987" t="s">
        <v>4646</v>
      </c>
      <c r="E814" s="987">
        <v>37.125</v>
      </c>
      <c r="F814" s="987">
        <v>2.4138E-2</v>
      </c>
      <c r="G814" s="987">
        <v>0</v>
      </c>
      <c r="H814" s="986">
        <v>5.0000000000000001E-3</v>
      </c>
      <c r="I814" s="986">
        <f t="shared" si="3"/>
        <v>1.9137999999999999E-2</v>
      </c>
      <c r="J814" s="988">
        <v>34213</v>
      </c>
    </row>
    <row r="815" spans="1:10">
      <c r="A815" s="987">
        <v>70</v>
      </c>
      <c r="B815" s="988">
        <v>34243</v>
      </c>
      <c r="C815" s="987" t="s">
        <v>4645</v>
      </c>
      <c r="D815" s="987" t="s">
        <v>4646</v>
      </c>
      <c r="E815" s="987">
        <v>36.25</v>
      </c>
      <c r="F815" s="987">
        <v>-1.1717E-2</v>
      </c>
      <c r="G815" s="987">
        <v>0.44</v>
      </c>
      <c r="H815" s="986">
        <v>4.8999999999999998E-3</v>
      </c>
      <c r="I815" s="986">
        <f t="shared" si="3"/>
        <v>-1.6617E-2</v>
      </c>
      <c r="J815" s="988">
        <v>34243</v>
      </c>
    </row>
    <row r="816" spans="1:10">
      <c r="A816" s="987">
        <v>70</v>
      </c>
      <c r="B816" s="988">
        <v>34274</v>
      </c>
      <c r="C816" s="987" t="s">
        <v>4645</v>
      </c>
      <c r="D816" s="987" t="s">
        <v>4646</v>
      </c>
      <c r="E816" s="987">
        <v>35</v>
      </c>
      <c r="F816" s="987">
        <v>-3.4483E-2</v>
      </c>
      <c r="G816" s="987">
        <v>0</v>
      </c>
      <c r="H816" s="986">
        <v>5.3E-3</v>
      </c>
      <c r="I816" s="986">
        <f t="shared" si="3"/>
        <v>-3.9782999999999999E-2</v>
      </c>
      <c r="J816" s="988">
        <v>34274</v>
      </c>
    </row>
    <row r="817" spans="1:10">
      <c r="A817" s="987">
        <v>70</v>
      </c>
      <c r="B817" s="988">
        <v>34304</v>
      </c>
      <c r="C817" s="987" t="s">
        <v>4645</v>
      </c>
      <c r="D817" s="987" t="s">
        <v>4646</v>
      </c>
      <c r="E817" s="987">
        <v>34.25</v>
      </c>
      <c r="F817" s="987">
        <v>-2.1429E-2</v>
      </c>
      <c r="G817" s="987">
        <v>0</v>
      </c>
      <c r="H817" s="986">
        <v>5.4999999999999997E-3</v>
      </c>
      <c r="I817" s="986">
        <f t="shared" si="3"/>
        <v>-2.6929000000000002E-2</v>
      </c>
      <c r="J817" s="988">
        <v>34304</v>
      </c>
    </row>
    <row r="818" spans="1:10">
      <c r="A818" s="987">
        <v>70</v>
      </c>
      <c r="B818" s="988">
        <v>34335</v>
      </c>
      <c r="C818" s="987" t="s">
        <v>4645</v>
      </c>
      <c r="D818" s="987" t="s">
        <v>4646</v>
      </c>
      <c r="E818" s="987">
        <v>36</v>
      </c>
      <c r="F818" s="987">
        <v>6.3941999999999999E-2</v>
      </c>
      <c r="G818" s="987">
        <v>0.44</v>
      </c>
      <c r="H818" s="986">
        <v>5.4999999999999997E-3</v>
      </c>
      <c r="I818" s="986">
        <f t="shared" si="3"/>
        <v>5.8442000000000001E-2</v>
      </c>
      <c r="J818" s="988">
        <v>34335</v>
      </c>
    </row>
    <row r="819" spans="1:10">
      <c r="A819" s="987">
        <v>70</v>
      </c>
      <c r="B819" s="988">
        <v>34366</v>
      </c>
      <c r="C819" s="987" t="s">
        <v>4645</v>
      </c>
      <c r="D819" s="987" t="s">
        <v>4646</v>
      </c>
      <c r="E819" s="987">
        <v>35.75</v>
      </c>
      <c r="F819" s="987">
        <v>-6.9439999999999997E-3</v>
      </c>
      <c r="G819" s="987">
        <v>0</v>
      </c>
      <c r="H819" s="986">
        <v>4.8999999999999998E-3</v>
      </c>
      <c r="I819" s="986">
        <f t="shared" si="3"/>
        <v>-1.1844E-2</v>
      </c>
      <c r="J819" s="988">
        <v>34366</v>
      </c>
    </row>
    <row r="820" spans="1:10">
      <c r="A820" s="987">
        <v>70</v>
      </c>
      <c r="B820" s="988">
        <v>34394</v>
      </c>
      <c r="C820" s="987" t="s">
        <v>4645</v>
      </c>
      <c r="D820" s="987" t="s">
        <v>4646</v>
      </c>
      <c r="E820" s="987">
        <v>33.75</v>
      </c>
      <c r="F820" s="987">
        <v>-5.5944000000000001E-2</v>
      </c>
      <c r="G820" s="987">
        <v>0</v>
      </c>
      <c r="H820" s="986">
        <v>5.7999999999999996E-3</v>
      </c>
      <c r="I820" s="986">
        <f t="shared" si="3"/>
        <v>-6.1744E-2</v>
      </c>
      <c r="J820" s="988">
        <v>34394</v>
      </c>
    </row>
    <row r="821" spans="1:10">
      <c r="A821" s="987">
        <v>70</v>
      </c>
      <c r="B821" s="988">
        <v>34425</v>
      </c>
      <c r="C821" s="987" t="s">
        <v>4645</v>
      </c>
      <c r="D821" s="987" t="s">
        <v>4646</v>
      </c>
      <c r="E821" s="987">
        <v>33.75</v>
      </c>
      <c r="F821" s="987">
        <v>1.3037E-2</v>
      </c>
      <c r="G821" s="987">
        <v>0.44</v>
      </c>
      <c r="H821" s="986">
        <v>5.7000000000000002E-3</v>
      </c>
      <c r="I821" s="986">
        <f t="shared" si="3"/>
        <v>7.3369999999999998E-3</v>
      </c>
      <c r="J821" s="988">
        <v>34425</v>
      </c>
    </row>
    <row r="822" spans="1:10">
      <c r="A822" s="987">
        <v>70</v>
      </c>
      <c r="B822" s="988">
        <v>34455</v>
      </c>
      <c r="C822" s="987" t="s">
        <v>4645</v>
      </c>
      <c r="D822" s="987" t="s">
        <v>4646</v>
      </c>
      <c r="E822" s="987">
        <v>31</v>
      </c>
      <c r="F822" s="987">
        <v>-8.1480999999999998E-2</v>
      </c>
      <c r="G822" s="987">
        <v>0</v>
      </c>
      <c r="H822" s="986">
        <v>6.3E-3</v>
      </c>
      <c r="I822" s="986">
        <f t="shared" ref="I822:I885" si="4">F822-H822</f>
        <v>-8.7780999999999998E-2</v>
      </c>
      <c r="J822" s="988">
        <v>34455</v>
      </c>
    </row>
    <row r="823" spans="1:10">
      <c r="A823" s="987">
        <v>70</v>
      </c>
      <c r="B823" s="988">
        <v>34486</v>
      </c>
      <c r="C823" s="987" t="s">
        <v>4645</v>
      </c>
      <c r="D823" s="987" t="s">
        <v>4646</v>
      </c>
      <c r="E823" s="987">
        <v>30</v>
      </c>
      <c r="F823" s="987">
        <v>-3.2258000000000002E-2</v>
      </c>
      <c r="G823" s="987">
        <v>0</v>
      </c>
      <c r="H823" s="986">
        <v>6.1000000000000004E-3</v>
      </c>
      <c r="I823" s="986">
        <f t="shared" si="4"/>
        <v>-3.8358000000000003E-2</v>
      </c>
      <c r="J823" s="988">
        <v>34486</v>
      </c>
    </row>
    <row r="824" spans="1:10">
      <c r="A824" s="987">
        <v>70</v>
      </c>
      <c r="B824" s="988">
        <v>34516</v>
      </c>
      <c r="C824" s="987" t="s">
        <v>4645</v>
      </c>
      <c r="D824" s="987" t="s">
        <v>4646</v>
      </c>
      <c r="E824" s="987">
        <v>29.75</v>
      </c>
      <c r="F824" s="987">
        <v>6.3330000000000001E-3</v>
      </c>
      <c r="G824" s="987">
        <v>0.44</v>
      </c>
      <c r="H824" s="986">
        <v>6.0000000000000001E-3</v>
      </c>
      <c r="I824" s="986">
        <f t="shared" si="4"/>
        <v>3.3299999999999996E-4</v>
      </c>
      <c r="J824" s="988">
        <v>34516</v>
      </c>
    </row>
    <row r="825" spans="1:10">
      <c r="A825" s="987">
        <v>70</v>
      </c>
      <c r="B825" s="988">
        <v>34547</v>
      </c>
      <c r="C825" s="987" t="s">
        <v>4645</v>
      </c>
      <c r="D825" s="987" t="s">
        <v>4646</v>
      </c>
      <c r="E825" s="987">
        <v>30.5</v>
      </c>
      <c r="F825" s="987">
        <v>2.521E-2</v>
      </c>
      <c r="G825" s="987">
        <v>0</v>
      </c>
      <c r="H825" s="986">
        <v>6.6E-3</v>
      </c>
      <c r="I825" s="986">
        <f t="shared" si="4"/>
        <v>1.8610000000000002E-2</v>
      </c>
      <c r="J825" s="988">
        <v>34547</v>
      </c>
    </row>
    <row r="826" spans="1:10">
      <c r="A826" s="987">
        <v>70</v>
      </c>
      <c r="B826" s="988">
        <v>34578</v>
      </c>
      <c r="C826" s="987" t="s">
        <v>4645</v>
      </c>
      <c r="D826" s="987" t="s">
        <v>4646</v>
      </c>
      <c r="E826" s="987">
        <v>32</v>
      </c>
      <c r="F826" s="987">
        <v>4.9180000000000001E-2</v>
      </c>
      <c r="G826" s="987">
        <v>0</v>
      </c>
      <c r="H826" s="986">
        <v>6.1000000000000004E-3</v>
      </c>
      <c r="I826" s="986">
        <f t="shared" si="4"/>
        <v>4.308E-2</v>
      </c>
      <c r="J826" s="988">
        <v>34578</v>
      </c>
    </row>
    <row r="827" spans="1:10">
      <c r="A827" s="987">
        <v>70</v>
      </c>
      <c r="B827" s="988">
        <v>34608</v>
      </c>
      <c r="C827" s="987" t="s">
        <v>4645</v>
      </c>
      <c r="D827" s="987" t="s">
        <v>4646</v>
      </c>
      <c r="E827" s="987">
        <v>30</v>
      </c>
      <c r="F827" s="987">
        <v>-4.8750000000000002E-2</v>
      </c>
      <c r="G827" s="987">
        <v>0.44</v>
      </c>
      <c r="H827" s="986">
        <v>6.6E-3</v>
      </c>
      <c r="I827" s="986">
        <f t="shared" si="4"/>
        <v>-5.5350000000000003E-2</v>
      </c>
      <c r="J827" s="988">
        <v>34608</v>
      </c>
    </row>
    <row r="828" spans="1:10">
      <c r="A828" s="987">
        <v>70</v>
      </c>
      <c r="B828" s="988">
        <v>34639</v>
      </c>
      <c r="C828" s="987" t="s">
        <v>4645</v>
      </c>
      <c r="D828" s="987" t="s">
        <v>4646</v>
      </c>
      <c r="E828" s="987">
        <v>28.75</v>
      </c>
      <c r="F828" s="987">
        <v>-4.1667000000000003E-2</v>
      </c>
      <c r="G828" s="987">
        <v>0</v>
      </c>
      <c r="H828" s="986">
        <v>6.4000000000000003E-3</v>
      </c>
      <c r="I828" s="986">
        <f t="shared" si="4"/>
        <v>-4.8067000000000006E-2</v>
      </c>
      <c r="J828" s="988">
        <v>34639</v>
      </c>
    </row>
    <row r="829" spans="1:10">
      <c r="A829" s="987">
        <v>70</v>
      </c>
      <c r="B829" s="988">
        <v>34669</v>
      </c>
      <c r="C829" s="987" t="s">
        <v>4645</v>
      </c>
      <c r="D829" s="987" t="s">
        <v>4646</v>
      </c>
      <c r="E829" s="987">
        <v>29.5</v>
      </c>
      <c r="F829" s="987">
        <v>2.6086999999999999E-2</v>
      </c>
      <c r="G829" s="987">
        <v>0</v>
      </c>
      <c r="H829" s="986">
        <v>6.6E-3</v>
      </c>
      <c r="I829" s="986">
        <f t="shared" si="4"/>
        <v>1.9486999999999997E-2</v>
      </c>
      <c r="J829" s="988">
        <v>34669</v>
      </c>
    </row>
    <row r="830" spans="1:10">
      <c r="A830" s="987">
        <v>70</v>
      </c>
      <c r="B830" s="988">
        <v>34700</v>
      </c>
      <c r="C830" s="987" t="s">
        <v>4645</v>
      </c>
      <c r="D830" s="987" t="s">
        <v>4646</v>
      </c>
      <c r="E830" s="987">
        <v>30.375</v>
      </c>
      <c r="F830" s="987">
        <v>4.4575999999999998E-2</v>
      </c>
      <c r="G830" s="987">
        <v>0.44</v>
      </c>
      <c r="H830" s="986">
        <v>7.0000000000000001E-3</v>
      </c>
      <c r="I830" s="986">
        <f t="shared" si="4"/>
        <v>3.7575999999999998E-2</v>
      </c>
      <c r="J830" s="988">
        <v>34700</v>
      </c>
    </row>
    <row r="831" spans="1:10">
      <c r="A831" s="987">
        <v>70</v>
      </c>
      <c r="B831" s="988">
        <v>34731</v>
      </c>
      <c r="C831" s="987" t="s">
        <v>4645</v>
      </c>
      <c r="D831" s="987" t="s">
        <v>4646</v>
      </c>
      <c r="E831" s="987">
        <v>30.25</v>
      </c>
      <c r="F831" s="987">
        <v>-4.1149999999999997E-3</v>
      </c>
      <c r="G831" s="987">
        <v>0</v>
      </c>
      <c r="H831" s="986">
        <v>5.8999999999999999E-3</v>
      </c>
      <c r="I831" s="986">
        <f t="shared" si="4"/>
        <v>-1.0015E-2</v>
      </c>
      <c r="J831" s="988">
        <v>34731</v>
      </c>
    </row>
    <row r="832" spans="1:10">
      <c r="A832" s="987">
        <v>70</v>
      </c>
      <c r="B832" s="988">
        <v>34759</v>
      </c>
      <c r="C832" s="987" t="s">
        <v>4645</v>
      </c>
      <c r="D832" s="987" t="s">
        <v>4646</v>
      </c>
      <c r="E832" s="987">
        <v>31.25</v>
      </c>
      <c r="F832" s="987">
        <v>3.3057999999999997E-2</v>
      </c>
      <c r="G832" s="987">
        <v>0</v>
      </c>
      <c r="H832" s="986">
        <v>6.4000000000000003E-3</v>
      </c>
      <c r="I832" s="986">
        <f t="shared" si="4"/>
        <v>2.6657999999999998E-2</v>
      </c>
      <c r="J832" s="988">
        <v>34759</v>
      </c>
    </row>
    <row r="833" spans="1:10">
      <c r="A833" s="987">
        <v>70</v>
      </c>
      <c r="B833" s="988">
        <v>34790</v>
      </c>
      <c r="C833" s="987" t="s">
        <v>4645</v>
      </c>
      <c r="D833" s="987" t="s">
        <v>4646</v>
      </c>
      <c r="E833" s="987">
        <v>30.9375</v>
      </c>
      <c r="F833" s="987">
        <v>4.0800000000000003E-3</v>
      </c>
      <c r="G833" s="987">
        <v>0.44</v>
      </c>
      <c r="H833" s="986">
        <v>5.7999999999999996E-3</v>
      </c>
      <c r="I833" s="986">
        <f t="shared" si="4"/>
        <v>-1.7199999999999993E-3</v>
      </c>
      <c r="J833" s="988">
        <v>34790</v>
      </c>
    </row>
    <row r="834" spans="1:10">
      <c r="A834" s="987">
        <v>70</v>
      </c>
      <c r="B834" s="988">
        <v>34820</v>
      </c>
      <c r="C834" s="987" t="s">
        <v>4645</v>
      </c>
      <c r="D834" s="987" t="s">
        <v>4646</v>
      </c>
      <c r="E834" s="987">
        <v>29.625</v>
      </c>
      <c r="F834" s="987">
        <v>-4.2424000000000003E-2</v>
      </c>
      <c r="G834" s="987">
        <v>0</v>
      </c>
      <c r="H834" s="986">
        <v>6.4999999999999997E-3</v>
      </c>
      <c r="I834" s="986">
        <f t="shared" si="4"/>
        <v>-4.8924000000000002E-2</v>
      </c>
      <c r="J834" s="988">
        <v>34820</v>
      </c>
    </row>
    <row r="835" spans="1:10">
      <c r="A835" s="987">
        <v>70</v>
      </c>
      <c r="B835" s="988">
        <v>34851</v>
      </c>
      <c r="C835" s="987" t="s">
        <v>4645</v>
      </c>
      <c r="D835" s="987" t="s">
        <v>4646</v>
      </c>
      <c r="E835" s="987">
        <v>31.25</v>
      </c>
      <c r="F835" s="987">
        <v>5.4851999999999998E-2</v>
      </c>
      <c r="G835" s="987">
        <v>0</v>
      </c>
      <c r="H835" s="986">
        <v>5.4000000000000003E-3</v>
      </c>
      <c r="I835" s="986">
        <f t="shared" si="4"/>
        <v>4.9451999999999996E-2</v>
      </c>
      <c r="J835" s="988">
        <v>34851</v>
      </c>
    </row>
    <row r="836" spans="1:10">
      <c r="A836" s="987">
        <v>70</v>
      </c>
      <c r="B836" s="988">
        <v>34881</v>
      </c>
      <c r="C836" s="987" t="s">
        <v>4645</v>
      </c>
      <c r="D836" s="987" t="s">
        <v>4646</v>
      </c>
      <c r="E836" s="987">
        <v>31.5</v>
      </c>
      <c r="F836" s="987">
        <v>2.2079999999999999E-2</v>
      </c>
      <c r="G836" s="987">
        <v>0.44</v>
      </c>
      <c r="H836" s="986">
        <v>5.5999999999999999E-3</v>
      </c>
      <c r="I836" s="986">
        <f t="shared" si="4"/>
        <v>1.6479999999999998E-2</v>
      </c>
      <c r="J836" s="988">
        <v>34881</v>
      </c>
    </row>
    <row r="837" spans="1:10">
      <c r="A837" s="987">
        <v>70</v>
      </c>
      <c r="B837" s="988">
        <v>34912</v>
      </c>
      <c r="C837" s="987" t="s">
        <v>4645</v>
      </c>
      <c r="D837" s="987" t="s">
        <v>4646</v>
      </c>
      <c r="E837" s="987">
        <v>31</v>
      </c>
      <c r="F837" s="987">
        <v>-1.5873000000000002E-2</v>
      </c>
      <c r="G837" s="987">
        <v>0</v>
      </c>
      <c r="H837" s="986">
        <v>5.7000000000000002E-3</v>
      </c>
      <c r="I837" s="986">
        <f t="shared" si="4"/>
        <v>-2.1573000000000002E-2</v>
      </c>
      <c r="J837" s="988">
        <v>34912</v>
      </c>
    </row>
    <row r="838" spans="1:10">
      <c r="A838" s="987">
        <v>70</v>
      </c>
      <c r="B838" s="988">
        <v>34943</v>
      </c>
      <c r="C838" s="987" t="s">
        <v>4645</v>
      </c>
      <c r="D838" s="987" t="s">
        <v>4646</v>
      </c>
      <c r="E838" s="987">
        <v>31</v>
      </c>
      <c r="F838" s="987">
        <v>0</v>
      </c>
      <c r="G838" s="987">
        <v>0</v>
      </c>
      <c r="H838" s="986">
        <v>5.1999999999999998E-3</v>
      </c>
      <c r="I838" s="986">
        <f t="shared" si="4"/>
        <v>-5.1999999999999998E-3</v>
      </c>
      <c r="J838" s="988">
        <v>34943</v>
      </c>
    </row>
    <row r="839" spans="1:10">
      <c r="A839" s="987">
        <v>70</v>
      </c>
      <c r="B839" s="988">
        <v>34973</v>
      </c>
      <c r="C839" s="987" t="s">
        <v>4645</v>
      </c>
      <c r="D839" s="987" t="s">
        <v>4646</v>
      </c>
      <c r="E839" s="987">
        <v>32</v>
      </c>
      <c r="F839" s="987">
        <v>4.6774000000000003E-2</v>
      </c>
      <c r="G839" s="987">
        <v>0.45</v>
      </c>
      <c r="H839" s="986">
        <v>5.7000000000000002E-3</v>
      </c>
      <c r="I839" s="986">
        <f t="shared" si="4"/>
        <v>4.1073999999999999E-2</v>
      </c>
      <c r="J839" s="988">
        <v>34973</v>
      </c>
    </row>
    <row r="840" spans="1:10">
      <c r="A840" s="987">
        <v>70</v>
      </c>
      <c r="B840" s="988">
        <v>35004</v>
      </c>
      <c r="C840" s="987" t="s">
        <v>4645</v>
      </c>
      <c r="D840" s="987" t="s">
        <v>4646</v>
      </c>
      <c r="E840" s="987">
        <v>33.5</v>
      </c>
      <c r="F840" s="987">
        <v>4.6875E-2</v>
      </c>
      <c r="G840" s="987">
        <v>0</v>
      </c>
      <c r="H840" s="986">
        <v>5.1000000000000004E-3</v>
      </c>
      <c r="I840" s="986">
        <f t="shared" si="4"/>
        <v>4.1775E-2</v>
      </c>
      <c r="J840" s="988">
        <v>35004</v>
      </c>
    </row>
    <row r="841" spans="1:10">
      <c r="A841" s="987">
        <v>70</v>
      </c>
      <c r="B841" s="988">
        <v>35034</v>
      </c>
      <c r="C841" s="987" t="s">
        <v>4645</v>
      </c>
      <c r="D841" s="987" t="s">
        <v>4646</v>
      </c>
      <c r="E841" s="987">
        <v>33</v>
      </c>
      <c r="F841" s="987">
        <v>-1.4925000000000001E-2</v>
      </c>
      <c r="G841" s="987">
        <v>0</v>
      </c>
      <c r="H841" s="986">
        <v>4.8999999999999998E-3</v>
      </c>
      <c r="I841" s="986">
        <f t="shared" si="4"/>
        <v>-1.9825000000000002E-2</v>
      </c>
      <c r="J841" s="988">
        <v>35034</v>
      </c>
    </row>
    <row r="842" spans="1:10">
      <c r="A842" s="987">
        <v>70</v>
      </c>
      <c r="B842" s="988">
        <v>35065</v>
      </c>
      <c r="C842" s="987" t="s">
        <v>4645</v>
      </c>
      <c r="D842" s="987" t="s">
        <v>4646</v>
      </c>
      <c r="E842" s="987">
        <v>33.25</v>
      </c>
      <c r="F842" s="987">
        <v>2.1212000000000002E-2</v>
      </c>
      <c r="G842" s="987">
        <v>0.45</v>
      </c>
      <c r="H842" s="986">
        <v>5.4000000000000003E-3</v>
      </c>
      <c r="I842" s="986">
        <f t="shared" si="4"/>
        <v>1.5812E-2</v>
      </c>
      <c r="J842" s="988">
        <v>35065</v>
      </c>
    </row>
    <row r="843" spans="1:10">
      <c r="A843" s="987">
        <v>70</v>
      </c>
      <c r="B843" s="988">
        <v>35096</v>
      </c>
      <c r="C843" s="987" t="s">
        <v>4645</v>
      </c>
      <c r="D843" s="987" t="s">
        <v>4646</v>
      </c>
      <c r="E843" s="987">
        <v>33</v>
      </c>
      <c r="F843" s="987">
        <v>-7.5189999999999996E-3</v>
      </c>
      <c r="G843" s="987">
        <v>0</v>
      </c>
      <c r="H843" s="986">
        <v>4.7999999999999996E-3</v>
      </c>
      <c r="I843" s="986">
        <f t="shared" si="4"/>
        <v>-1.2319E-2</v>
      </c>
      <c r="J843" s="988">
        <v>35096</v>
      </c>
    </row>
    <row r="844" spans="1:10">
      <c r="A844" s="987">
        <v>70</v>
      </c>
      <c r="B844" s="988">
        <v>35125</v>
      </c>
      <c r="C844" s="987" t="s">
        <v>4645</v>
      </c>
      <c r="D844" s="987" t="s">
        <v>4646</v>
      </c>
      <c r="E844" s="987">
        <v>31.75</v>
      </c>
      <c r="F844" s="987">
        <v>-3.7879000000000003E-2</v>
      </c>
      <c r="G844" s="987">
        <v>0</v>
      </c>
      <c r="H844" s="986">
        <v>5.1999999999999998E-3</v>
      </c>
      <c r="I844" s="986">
        <f t="shared" si="4"/>
        <v>-4.3079000000000006E-2</v>
      </c>
      <c r="J844" s="988">
        <v>35125</v>
      </c>
    </row>
    <row r="845" spans="1:10">
      <c r="A845" s="987">
        <v>70</v>
      </c>
      <c r="B845" s="988">
        <v>35156</v>
      </c>
      <c r="C845" s="987" t="s">
        <v>4645</v>
      </c>
      <c r="D845" s="987" t="s">
        <v>4646</v>
      </c>
      <c r="E845" s="987">
        <v>32.5</v>
      </c>
      <c r="F845" s="987">
        <v>3.7795000000000002E-2</v>
      </c>
      <c r="G845" s="987">
        <v>0.45</v>
      </c>
      <c r="H845" s="986">
        <v>5.8999999999999999E-3</v>
      </c>
      <c r="I845" s="986">
        <f t="shared" si="4"/>
        <v>3.1895E-2</v>
      </c>
      <c r="J845" s="988">
        <v>35156</v>
      </c>
    </row>
    <row r="846" spans="1:10">
      <c r="A846" s="987">
        <v>70</v>
      </c>
      <c r="B846" s="988">
        <v>35186</v>
      </c>
      <c r="C846" s="987" t="s">
        <v>4645</v>
      </c>
      <c r="D846" s="987" t="s">
        <v>4646</v>
      </c>
      <c r="E846" s="987">
        <v>34.25</v>
      </c>
      <c r="F846" s="987">
        <v>5.3845999999999998E-2</v>
      </c>
      <c r="G846" s="987">
        <v>0</v>
      </c>
      <c r="H846" s="986">
        <v>5.7999999999999996E-3</v>
      </c>
      <c r="I846" s="986">
        <f t="shared" si="4"/>
        <v>4.8045999999999998E-2</v>
      </c>
      <c r="J846" s="988">
        <v>35186</v>
      </c>
    </row>
    <row r="847" spans="1:10">
      <c r="A847" s="987">
        <v>70</v>
      </c>
      <c r="B847" s="988">
        <v>35217</v>
      </c>
      <c r="C847" s="987" t="s">
        <v>4645</v>
      </c>
      <c r="D847" s="987" t="s">
        <v>4646</v>
      </c>
      <c r="E847" s="987">
        <v>35</v>
      </c>
      <c r="F847" s="987">
        <v>2.1898000000000001E-2</v>
      </c>
      <c r="G847" s="987">
        <v>0</v>
      </c>
      <c r="H847" s="986">
        <v>5.4000000000000003E-3</v>
      </c>
      <c r="I847" s="986">
        <f t="shared" si="4"/>
        <v>1.6497999999999999E-2</v>
      </c>
      <c r="J847" s="988">
        <v>35217</v>
      </c>
    </row>
    <row r="848" spans="1:10">
      <c r="A848" s="987">
        <v>70</v>
      </c>
      <c r="B848" s="988">
        <v>35247</v>
      </c>
      <c r="C848" s="987" t="s">
        <v>4645</v>
      </c>
      <c r="D848" s="987" t="s">
        <v>4646</v>
      </c>
      <c r="E848" s="987">
        <v>34.625</v>
      </c>
      <c r="F848" s="987">
        <v>2.1429999999999999E-3</v>
      </c>
      <c r="G848" s="987">
        <v>0.45</v>
      </c>
      <c r="H848" s="986">
        <v>6.1999999999999998E-3</v>
      </c>
      <c r="I848" s="986">
        <f t="shared" si="4"/>
        <v>-4.0569999999999998E-3</v>
      </c>
      <c r="J848" s="988">
        <v>35247</v>
      </c>
    </row>
    <row r="849" spans="1:10">
      <c r="A849" s="987">
        <v>70</v>
      </c>
      <c r="B849" s="988">
        <v>35278</v>
      </c>
      <c r="C849" s="987" t="s">
        <v>4645</v>
      </c>
      <c r="D849" s="987" t="s">
        <v>4646</v>
      </c>
      <c r="E849" s="987">
        <v>35.5</v>
      </c>
      <c r="F849" s="987">
        <v>2.5270999999999998E-2</v>
      </c>
      <c r="G849" s="987">
        <v>0</v>
      </c>
      <c r="H849" s="986">
        <v>5.7000000000000002E-3</v>
      </c>
      <c r="I849" s="986">
        <f t="shared" si="4"/>
        <v>1.9570999999999998E-2</v>
      </c>
      <c r="J849" s="988">
        <v>35278</v>
      </c>
    </row>
    <row r="850" spans="1:10">
      <c r="A850" s="987">
        <v>70</v>
      </c>
      <c r="B850" s="988">
        <v>35309</v>
      </c>
      <c r="C850" s="987" t="s">
        <v>4645</v>
      </c>
      <c r="D850" s="987" t="s">
        <v>4646</v>
      </c>
      <c r="E850" s="987">
        <v>23</v>
      </c>
      <c r="F850" s="987">
        <v>-2.8169E-2</v>
      </c>
      <c r="G850" s="987">
        <v>0</v>
      </c>
      <c r="H850" s="986">
        <v>6.0000000000000001E-3</v>
      </c>
      <c r="I850" s="986">
        <f t="shared" si="4"/>
        <v>-3.4168999999999998E-2</v>
      </c>
      <c r="J850" s="988">
        <v>35309</v>
      </c>
    </row>
    <row r="851" spans="1:10">
      <c r="A851" s="987">
        <v>70</v>
      </c>
      <c r="B851" s="988">
        <v>35339</v>
      </c>
      <c r="C851" s="987" t="s">
        <v>4645</v>
      </c>
      <c r="D851" s="987" t="s">
        <v>4646</v>
      </c>
      <c r="E851" s="987">
        <v>25.375</v>
      </c>
      <c r="F851" s="987">
        <v>0.116304</v>
      </c>
      <c r="G851" s="987">
        <v>0.3</v>
      </c>
      <c r="H851" s="986">
        <v>5.7999999999999996E-3</v>
      </c>
      <c r="I851" s="986">
        <f t="shared" si="4"/>
        <v>0.110504</v>
      </c>
      <c r="J851" s="988">
        <v>35339</v>
      </c>
    </row>
    <row r="852" spans="1:10">
      <c r="A852" s="987">
        <v>70</v>
      </c>
      <c r="B852" s="988">
        <v>35370</v>
      </c>
      <c r="C852" s="987" t="s">
        <v>4645</v>
      </c>
      <c r="D852" s="987" t="s">
        <v>4646</v>
      </c>
      <c r="E852" s="987">
        <v>25</v>
      </c>
      <c r="F852" s="987">
        <v>-1.4777999999999999E-2</v>
      </c>
      <c r="G852" s="987">
        <v>0</v>
      </c>
      <c r="H852" s="986">
        <v>5.1999999999999998E-3</v>
      </c>
      <c r="I852" s="986">
        <f t="shared" si="4"/>
        <v>-1.9977999999999999E-2</v>
      </c>
      <c r="J852" s="988">
        <v>35370</v>
      </c>
    </row>
    <row r="853" spans="1:10">
      <c r="A853" s="987">
        <v>70</v>
      </c>
      <c r="B853" s="988">
        <v>35400</v>
      </c>
      <c r="C853" s="987" t="s">
        <v>4645</v>
      </c>
      <c r="D853" s="987" t="s">
        <v>4646</v>
      </c>
      <c r="E853" s="987">
        <v>24</v>
      </c>
      <c r="F853" s="987">
        <v>-0.04</v>
      </c>
      <c r="G853" s="987">
        <v>0</v>
      </c>
      <c r="H853" s="986">
        <v>5.5999999999999999E-3</v>
      </c>
      <c r="I853" s="986">
        <f t="shared" si="4"/>
        <v>-4.5600000000000002E-2</v>
      </c>
      <c r="J853" s="988">
        <v>35400</v>
      </c>
    </row>
    <row r="854" spans="1:10">
      <c r="A854" s="987">
        <v>70</v>
      </c>
      <c r="B854" s="988">
        <v>35431</v>
      </c>
      <c r="C854" s="987" t="s">
        <v>4645</v>
      </c>
      <c r="D854" s="987" t="s">
        <v>4646</v>
      </c>
      <c r="E854" s="987">
        <v>25</v>
      </c>
      <c r="F854" s="987">
        <v>5.4167E-2</v>
      </c>
      <c r="G854" s="987">
        <v>0.3</v>
      </c>
      <c r="H854" s="986">
        <v>5.5999999999999999E-3</v>
      </c>
      <c r="I854" s="986">
        <f t="shared" si="4"/>
        <v>4.8566999999999999E-2</v>
      </c>
      <c r="J854" s="988">
        <v>35431</v>
      </c>
    </row>
    <row r="855" spans="1:10">
      <c r="A855" s="987">
        <v>70</v>
      </c>
      <c r="B855" s="988">
        <v>35462</v>
      </c>
      <c r="C855" s="987" t="s">
        <v>4645</v>
      </c>
      <c r="D855" s="987" t="s">
        <v>4646</v>
      </c>
      <c r="E855" s="987">
        <v>24.25</v>
      </c>
      <c r="F855" s="987">
        <v>-0.03</v>
      </c>
      <c r="G855" s="987">
        <v>0</v>
      </c>
      <c r="H855" s="986">
        <v>5.1000000000000004E-3</v>
      </c>
      <c r="I855" s="986">
        <f t="shared" si="4"/>
        <v>-3.5099999999999999E-2</v>
      </c>
      <c r="J855" s="988">
        <v>35462</v>
      </c>
    </row>
    <row r="856" spans="1:10">
      <c r="A856" s="987">
        <v>70</v>
      </c>
      <c r="B856" s="988">
        <v>35490</v>
      </c>
      <c r="C856" s="987" t="s">
        <v>4645</v>
      </c>
      <c r="D856" s="987" t="s">
        <v>4646</v>
      </c>
      <c r="E856" s="987">
        <v>24.5</v>
      </c>
      <c r="F856" s="987">
        <v>1.0309E-2</v>
      </c>
      <c r="G856" s="987">
        <v>0</v>
      </c>
      <c r="H856" s="986">
        <v>5.8999999999999999E-3</v>
      </c>
      <c r="I856" s="986">
        <f t="shared" si="4"/>
        <v>4.4090000000000006E-3</v>
      </c>
      <c r="J856" s="988">
        <v>35490</v>
      </c>
    </row>
    <row r="857" spans="1:10">
      <c r="A857" s="987">
        <v>70</v>
      </c>
      <c r="B857" s="988">
        <v>35521</v>
      </c>
      <c r="C857" s="987" t="s">
        <v>4645</v>
      </c>
      <c r="D857" s="987" t="s">
        <v>4646</v>
      </c>
      <c r="E857" s="987">
        <v>24.25</v>
      </c>
      <c r="F857" s="987">
        <v>2.0409999999999998E-3</v>
      </c>
      <c r="G857" s="987">
        <v>0.3</v>
      </c>
      <c r="H857" s="986">
        <v>5.8999999999999999E-3</v>
      </c>
      <c r="I857" s="986">
        <f t="shared" si="4"/>
        <v>-3.859E-3</v>
      </c>
      <c r="J857" s="988">
        <v>35521</v>
      </c>
    </row>
    <row r="858" spans="1:10">
      <c r="A858" s="987">
        <v>70</v>
      </c>
      <c r="B858" s="988">
        <v>35551</v>
      </c>
      <c r="C858" s="987" t="s">
        <v>4645</v>
      </c>
      <c r="D858" s="987" t="s">
        <v>4646</v>
      </c>
      <c r="E858" s="987">
        <v>24.375</v>
      </c>
      <c r="F858" s="987">
        <v>5.1549999999999999E-3</v>
      </c>
      <c r="G858" s="987">
        <v>0</v>
      </c>
      <c r="H858" s="986">
        <v>5.7999999999999996E-3</v>
      </c>
      <c r="I858" s="986">
        <f t="shared" si="4"/>
        <v>-6.4499999999999974E-4</v>
      </c>
      <c r="J858" s="988">
        <v>35551</v>
      </c>
    </row>
    <row r="859" spans="1:10">
      <c r="A859" s="987">
        <v>70</v>
      </c>
      <c r="B859" s="988">
        <v>35582</v>
      </c>
      <c r="C859" s="987" t="s">
        <v>4645</v>
      </c>
      <c r="D859" s="987" t="s">
        <v>4646</v>
      </c>
      <c r="E859" s="987">
        <v>26.1875</v>
      </c>
      <c r="F859" s="987">
        <v>7.4358999999999995E-2</v>
      </c>
      <c r="G859" s="987">
        <v>0</v>
      </c>
      <c r="H859" s="986">
        <v>5.8999999999999999E-3</v>
      </c>
      <c r="I859" s="986">
        <f t="shared" si="4"/>
        <v>6.8458999999999992E-2</v>
      </c>
      <c r="J859" s="988">
        <v>35582</v>
      </c>
    </row>
    <row r="860" spans="1:10">
      <c r="A860" s="987">
        <v>70</v>
      </c>
      <c r="B860" s="988">
        <v>35612</v>
      </c>
      <c r="C860" s="987" t="s">
        <v>4645</v>
      </c>
      <c r="D860" s="987" t="s">
        <v>4646</v>
      </c>
      <c r="E860" s="987">
        <v>26</v>
      </c>
      <c r="F860" s="987">
        <v>4.2960000000000003E-3</v>
      </c>
      <c r="G860" s="987">
        <v>0.3</v>
      </c>
      <c r="H860" s="986">
        <v>5.7999999999999996E-3</v>
      </c>
      <c r="I860" s="986">
        <f t="shared" si="4"/>
        <v>-1.5039999999999993E-3</v>
      </c>
      <c r="J860" s="988">
        <v>35612</v>
      </c>
    </row>
    <row r="861" spans="1:10">
      <c r="A861" s="987">
        <v>70</v>
      </c>
      <c r="B861" s="988">
        <v>35643</v>
      </c>
      <c r="C861" s="987" t="s">
        <v>4645</v>
      </c>
      <c r="D861" s="987" t="s">
        <v>4646</v>
      </c>
      <c r="E861" s="987">
        <v>25</v>
      </c>
      <c r="F861" s="987">
        <v>-3.8462000000000003E-2</v>
      </c>
      <c r="G861" s="987">
        <v>0</v>
      </c>
      <c r="H861" s="986">
        <v>4.8999999999999998E-3</v>
      </c>
      <c r="I861" s="986">
        <f t="shared" si="4"/>
        <v>-4.3362000000000005E-2</v>
      </c>
      <c r="J861" s="988">
        <v>35643</v>
      </c>
    </row>
    <row r="862" spans="1:10">
      <c r="A862" s="987">
        <v>70</v>
      </c>
      <c r="B862" s="988">
        <v>35674</v>
      </c>
      <c r="C862" s="987" t="s">
        <v>4645</v>
      </c>
      <c r="D862" s="987" t="s">
        <v>4646</v>
      </c>
      <c r="E862" s="987">
        <v>25.75</v>
      </c>
      <c r="F862" s="987">
        <v>0.03</v>
      </c>
      <c r="G862" s="987">
        <v>0</v>
      </c>
      <c r="H862" s="986">
        <v>5.7999999999999996E-3</v>
      </c>
      <c r="I862" s="986">
        <f t="shared" si="4"/>
        <v>2.4199999999999999E-2</v>
      </c>
      <c r="J862" s="988">
        <v>35674</v>
      </c>
    </row>
    <row r="863" spans="1:10">
      <c r="A863" s="987">
        <v>70</v>
      </c>
      <c r="B863" s="988">
        <v>35704</v>
      </c>
      <c r="C863" s="987" t="s">
        <v>4645</v>
      </c>
      <c r="D863" s="987" t="s">
        <v>4646</v>
      </c>
      <c r="E863" s="987">
        <v>24.625</v>
      </c>
      <c r="F863" s="987">
        <v>-3.1844999999999998E-2</v>
      </c>
      <c r="G863" s="987">
        <v>0.30499999999999999</v>
      </c>
      <c r="H863" s="986">
        <v>5.4000000000000003E-3</v>
      </c>
      <c r="I863" s="986">
        <f t="shared" si="4"/>
        <v>-3.7245E-2</v>
      </c>
      <c r="J863" s="988">
        <v>35704</v>
      </c>
    </row>
    <row r="864" spans="1:10">
      <c r="A864" s="987">
        <v>70</v>
      </c>
      <c r="B864" s="988">
        <v>35735</v>
      </c>
      <c r="C864" s="987" t="s">
        <v>4645</v>
      </c>
      <c r="D864" s="987" t="s">
        <v>4646</v>
      </c>
      <c r="E864" s="987">
        <v>28</v>
      </c>
      <c r="F864" s="987">
        <v>0.13705600000000001</v>
      </c>
      <c r="G864" s="987">
        <v>0</v>
      </c>
      <c r="H864" s="986">
        <v>4.7000000000000002E-3</v>
      </c>
      <c r="I864" s="986">
        <f t="shared" si="4"/>
        <v>0.132356</v>
      </c>
      <c r="J864" s="988">
        <v>35735</v>
      </c>
    </row>
    <row r="865" spans="1:10">
      <c r="A865" s="987">
        <v>70</v>
      </c>
      <c r="B865" s="988">
        <v>35765</v>
      </c>
      <c r="C865" s="987" t="s">
        <v>4645</v>
      </c>
      <c r="D865" s="987" t="s">
        <v>4646</v>
      </c>
      <c r="E865" s="987">
        <v>31</v>
      </c>
      <c r="F865" s="987">
        <v>0.107143</v>
      </c>
      <c r="G865" s="987">
        <v>0</v>
      </c>
      <c r="H865" s="986">
        <v>5.4000000000000003E-3</v>
      </c>
      <c r="I865" s="986">
        <f t="shared" si="4"/>
        <v>0.101743</v>
      </c>
      <c r="J865" s="988">
        <v>35765</v>
      </c>
    </row>
    <row r="866" spans="1:10">
      <c r="A866" s="987">
        <v>70</v>
      </c>
      <c r="B866" s="988">
        <v>35796</v>
      </c>
      <c r="C866" s="987" t="s">
        <v>4645</v>
      </c>
      <c r="D866" s="987" t="s">
        <v>4646</v>
      </c>
      <c r="E866" s="987">
        <v>26.625</v>
      </c>
      <c r="F866" s="987">
        <v>-0.13128999999999999</v>
      </c>
      <c r="G866" s="987">
        <v>0.30499999999999999</v>
      </c>
      <c r="H866" s="986">
        <v>4.7999999999999996E-3</v>
      </c>
      <c r="I866" s="986">
        <f t="shared" si="4"/>
        <v>-0.13608999999999999</v>
      </c>
      <c r="J866" s="988">
        <v>35796</v>
      </c>
    </row>
    <row r="867" spans="1:10">
      <c r="A867" s="987">
        <v>70</v>
      </c>
      <c r="B867" s="988">
        <v>35827</v>
      </c>
      <c r="C867" s="987" t="s">
        <v>4645</v>
      </c>
      <c r="D867" s="987" t="s">
        <v>4646</v>
      </c>
      <c r="E867" s="987">
        <v>28.1875</v>
      </c>
      <c r="F867" s="987">
        <v>5.8685000000000001E-2</v>
      </c>
      <c r="G867" s="987">
        <v>0</v>
      </c>
      <c r="H867" s="986">
        <v>4.4000000000000003E-3</v>
      </c>
      <c r="I867" s="986">
        <f t="shared" si="4"/>
        <v>5.4285E-2</v>
      </c>
      <c r="J867" s="988">
        <v>35827</v>
      </c>
    </row>
    <row r="868" spans="1:10">
      <c r="A868" s="987">
        <v>70</v>
      </c>
      <c r="B868" s="988">
        <v>35855</v>
      </c>
      <c r="C868" s="987" t="s">
        <v>4645</v>
      </c>
      <c r="D868" s="987" t="s">
        <v>4646</v>
      </c>
      <c r="E868" s="987">
        <v>28.125</v>
      </c>
      <c r="F868" s="987">
        <v>-2.2169999999999998E-3</v>
      </c>
      <c r="G868" s="987">
        <v>0</v>
      </c>
      <c r="H868" s="986">
        <v>5.1999999999999998E-3</v>
      </c>
      <c r="I868" s="986">
        <f t="shared" si="4"/>
        <v>-7.417E-3</v>
      </c>
      <c r="J868" s="988">
        <v>35855</v>
      </c>
    </row>
    <row r="869" spans="1:10">
      <c r="A869" s="987">
        <v>70</v>
      </c>
      <c r="B869" s="988">
        <v>35886</v>
      </c>
      <c r="C869" s="987" t="s">
        <v>4645</v>
      </c>
      <c r="D869" s="987" t="s">
        <v>4646</v>
      </c>
      <c r="E869" s="987">
        <v>27</v>
      </c>
      <c r="F869" s="987">
        <v>-2.9156000000000001E-2</v>
      </c>
      <c r="G869" s="987">
        <v>0.30499999999999999</v>
      </c>
      <c r="H869" s="986">
        <v>4.8999999999999998E-3</v>
      </c>
      <c r="I869" s="986">
        <f t="shared" si="4"/>
        <v>-3.4056000000000003E-2</v>
      </c>
      <c r="J869" s="988">
        <v>35886</v>
      </c>
    </row>
    <row r="870" spans="1:10">
      <c r="A870" s="987">
        <v>70</v>
      </c>
      <c r="B870" s="988">
        <v>35916</v>
      </c>
      <c r="C870" s="987" t="s">
        <v>4645</v>
      </c>
      <c r="D870" s="987" t="s">
        <v>4646</v>
      </c>
      <c r="E870" s="987">
        <v>27.5</v>
      </c>
      <c r="F870" s="987">
        <v>1.8519000000000001E-2</v>
      </c>
      <c r="G870" s="987">
        <v>0</v>
      </c>
      <c r="H870" s="986">
        <v>4.7999999999999996E-3</v>
      </c>
      <c r="I870" s="986">
        <f t="shared" si="4"/>
        <v>1.3719000000000002E-2</v>
      </c>
      <c r="J870" s="988">
        <v>35916</v>
      </c>
    </row>
    <row r="871" spans="1:10">
      <c r="A871" s="987">
        <v>70</v>
      </c>
      <c r="B871" s="988">
        <v>35947</v>
      </c>
      <c r="C871" s="987" t="s">
        <v>4645</v>
      </c>
      <c r="D871" s="987" t="s">
        <v>4646</v>
      </c>
      <c r="E871" s="987">
        <v>27.96875</v>
      </c>
      <c r="F871" s="987">
        <v>1.7045000000000001E-2</v>
      </c>
      <c r="G871" s="987">
        <v>0</v>
      </c>
      <c r="H871" s="986">
        <v>5.1999999999999998E-3</v>
      </c>
      <c r="I871" s="986">
        <f t="shared" si="4"/>
        <v>1.1845000000000001E-2</v>
      </c>
      <c r="J871" s="988">
        <v>35947</v>
      </c>
    </row>
    <row r="872" spans="1:10">
      <c r="A872" s="987">
        <v>70</v>
      </c>
      <c r="B872" s="988">
        <v>35977</v>
      </c>
      <c r="C872" s="987" t="s">
        <v>4645</v>
      </c>
      <c r="D872" s="987" t="s">
        <v>4646</v>
      </c>
      <c r="E872" s="987">
        <v>26.25</v>
      </c>
      <c r="F872" s="987">
        <v>-5.0547000000000002E-2</v>
      </c>
      <c r="G872" s="987">
        <v>0.30499999999999999</v>
      </c>
      <c r="H872" s="986">
        <v>4.8999999999999998E-3</v>
      </c>
      <c r="I872" s="986">
        <f t="shared" si="4"/>
        <v>-5.5447000000000003E-2</v>
      </c>
      <c r="J872" s="988">
        <v>35977</v>
      </c>
    </row>
    <row r="873" spans="1:10">
      <c r="A873" s="987">
        <v>70</v>
      </c>
      <c r="B873" s="988">
        <v>36008</v>
      </c>
      <c r="C873" s="987" t="s">
        <v>4645</v>
      </c>
      <c r="D873" s="987" t="s">
        <v>4646</v>
      </c>
      <c r="E873" s="987">
        <v>24.375</v>
      </c>
      <c r="F873" s="987">
        <v>-7.1429000000000006E-2</v>
      </c>
      <c r="G873" s="987">
        <v>0</v>
      </c>
      <c r="H873" s="986">
        <v>4.7999999999999996E-3</v>
      </c>
      <c r="I873" s="986">
        <f t="shared" si="4"/>
        <v>-7.6229000000000005E-2</v>
      </c>
      <c r="J873" s="988">
        <v>36008</v>
      </c>
    </row>
    <row r="874" spans="1:10">
      <c r="A874" s="987">
        <v>70</v>
      </c>
      <c r="B874" s="988">
        <v>36039</v>
      </c>
      <c r="C874" s="987" t="s">
        <v>4645</v>
      </c>
      <c r="D874" s="987" t="s">
        <v>4646</v>
      </c>
      <c r="E874" s="987">
        <v>27.65625</v>
      </c>
      <c r="F874" s="987">
        <v>0.13461500000000001</v>
      </c>
      <c r="G874" s="987">
        <v>0</v>
      </c>
      <c r="H874" s="986">
        <v>4.4000000000000003E-3</v>
      </c>
      <c r="I874" s="986">
        <f t="shared" si="4"/>
        <v>0.13021500000000003</v>
      </c>
      <c r="J874" s="988">
        <v>36039</v>
      </c>
    </row>
    <row r="875" spans="1:10">
      <c r="A875" s="987">
        <v>70</v>
      </c>
      <c r="B875" s="988">
        <v>36069</v>
      </c>
      <c r="C875" s="987" t="s">
        <v>4645</v>
      </c>
      <c r="D875" s="987" t="s">
        <v>4646</v>
      </c>
      <c r="E875" s="987">
        <v>27.875</v>
      </c>
      <c r="F875" s="987">
        <v>1.8938E-2</v>
      </c>
      <c r="G875" s="987">
        <v>0.30499999999999999</v>
      </c>
      <c r="H875" s="986">
        <v>4.1999999999999997E-3</v>
      </c>
      <c r="I875" s="986">
        <f t="shared" si="4"/>
        <v>1.4738000000000001E-2</v>
      </c>
      <c r="J875" s="988">
        <v>36069</v>
      </c>
    </row>
    <row r="876" spans="1:10">
      <c r="A876" s="987">
        <v>70</v>
      </c>
      <c r="B876" s="988">
        <v>36100</v>
      </c>
      <c r="C876" s="987" t="s">
        <v>4645</v>
      </c>
      <c r="D876" s="987" t="s">
        <v>4646</v>
      </c>
      <c r="E876" s="987">
        <v>28.375</v>
      </c>
      <c r="F876" s="987">
        <v>1.7937000000000002E-2</v>
      </c>
      <c r="G876" s="987">
        <v>0</v>
      </c>
      <c r="H876" s="986">
        <v>4.4999999999999997E-3</v>
      </c>
      <c r="I876" s="986">
        <f t="shared" si="4"/>
        <v>1.3437000000000001E-2</v>
      </c>
      <c r="J876" s="988">
        <v>36100</v>
      </c>
    </row>
    <row r="877" spans="1:10">
      <c r="A877" s="987">
        <v>70</v>
      </c>
      <c r="B877" s="988">
        <v>36130</v>
      </c>
      <c r="C877" s="987" t="s">
        <v>4645</v>
      </c>
      <c r="D877" s="987" t="s">
        <v>4646</v>
      </c>
      <c r="E877" s="987">
        <v>25.875</v>
      </c>
      <c r="F877" s="987">
        <v>-8.8106000000000004E-2</v>
      </c>
      <c r="G877" s="987">
        <v>0</v>
      </c>
      <c r="H877" s="986">
        <v>4.4999999999999997E-3</v>
      </c>
      <c r="I877" s="986">
        <f t="shared" si="4"/>
        <v>-9.2606000000000008E-2</v>
      </c>
      <c r="J877" s="988">
        <v>36130</v>
      </c>
    </row>
    <row r="878" spans="1:10">
      <c r="A878" s="987">
        <v>70</v>
      </c>
      <c r="B878" s="988">
        <v>36161</v>
      </c>
      <c r="C878" s="987" t="s">
        <v>4645</v>
      </c>
      <c r="D878" s="987" t="s">
        <v>4646</v>
      </c>
      <c r="E878" s="987">
        <v>23.5</v>
      </c>
      <c r="F878" s="987">
        <v>-0.08</v>
      </c>
      <c r="G878" s="987">
        <v>0.30499999999999999</v>
      </c>
      <c r="H878" s="986">
        <v>4.1999999999999997E-3</v>
      </c>
      <c r="I878" s="986">
        <f t="shared" si="4"/>
        <v>-8.4199999999999997E-2</v>
      </c>
      <c r="J878" s="988">
        <v>36161</v>
      </c>
    </row>
    <row r="879" spans="1:10">
      <c r="A879" s="987">
        <v>70</v>
      </c>
      <c r="B879" s="988">
        <v>36192</v>
      </c>
      <c r="C879" s="987" t="s">
        <v>4645</v>
      </c>
      <c r="D879" s="987" t="s">
        <v>4646</v>
      </c>
      <c r="E879" s="987">
        <v>24.46875</v>
      </c>
      <c r="F879" s="987">
        <v>4.1223000000000003E-2</v>
      </c>
      <c r="G879" s="987">
        <v>0</v>
      </c>
      <c r="H879" s="986">
        <v>4.0000000000000001E-3</v>
      </c>
      <c r="I879" s="986">
        <f t="shared" si="4"/>
        <v>3.7223000000000006E-2</v>
      </c>
      <c r="J879" s="988">
        <v>36192</v>
      </c>
    </row>
    <row r="880" spans="1:10">
      <c r="A880" s="987">
        <v>70</v>
      </c>
      <c r="B880" s="988">
        <v>36220</v>
      </c>
      <c r="C880" s="987" t="s">
        <v>4645</v>
      </c>
      <c r="D880" s="987" t="s">
        <v>4646</v>
      </c>
      <c r="E880" s="987">
        <v>21.875</v>
      </c>
      <c r="F880" s="987">
        <v>-0.106003</v>
      </c>
      <c r="G880" s="987">
        <v>0</v>
      </c>
      <c r="H880" s="986">
        <v>5.3E-3</v>
      </c>
      <c r="I880" s="986">
        <f t="shared" si="4"/>
        <v>-0.111303</v>
      </c>
      <c r="J880" s="988">
        <v>36220</v>
      </c>
    </row>
    <row r="881" spans="1:10">
      <c r="A881" s="987">
        <v>70</v>
      </c>
      <c r="B881" s="988">
        <v>36251</v>
      </c>
      <c r="C881" s="987" t="s">
        <v>4645</v>
      </c>
      <c r="D881" s="987" t="s">
        <v>4646</v>
      </c>
      <c r="E881" s="987">
        <v>22.5625</v>
      </c>
      <c r="F881" s="987">
        <v>4.5371000000000002E-2</v>
      </c>
      <c r="G881" s="987">
        <v>0.30499999999999999</v>
      </c>
      <c r="H881" s="986">
        <v>4.7999999999999996E-3</v>
      </c>
      <c r="I881" s="986">
        <f t="shared" si="4"/>
        <v>4.0571000000000003E-2</v>
      </c>
      <c r="J881" s="988">
        <v>36251</v>
      </c>
    </row>
    <row r="882" spans="1:10">
      <c r="A882" s="987">
        <v>70</v>
      </c>
      <c r="B882" s="988">
        <v>36281</v>
      </c>
      <c r="C882" s="987" t="s">
        <v>4645</v>
      </c>
      <c r="D882" s="987" t="s">
        <v>4646</v>
      </c>
      <c r="E882" s="987">
        <v>24</v>
      </c>
      <c r="F882" s="987">
        <v>6.3712000000000005E-2</v>
      </c>
      <c r="G882" s="987">
        <v>0</v>
      </c>
      <c r="H882" s="986">
        <v>4.4999999999999997E-3</v>
      </c>
      <c r="I882" s="986">
        <f t="shared" si="4"/>
        <v>5.9212000000000008E-2</v>
      </c>
      <c r="J882" s="988">
        <v>36281</v>
      </c>
    </row>
    <row r="883" spans="1:10">
      <c r="A883" s="987">
        <v>70</v>
      </c>
      <c r="B883" s="988">
        <v>36312</v>
      </c>
      <c r="C883" s="987" t="s">
        <v>4645</v>
      </c>
      <c r="D883" s="987" t="s">
        <v>4646</v>
      </c>
      <c r="E883" s="987">
        <v>24.125</v>
      </c>
      <c r="F883" s="987">
        <v>5.208E-3</v>
      </c>
      <c r="G883" s="987">
        <v>0</v>
      </c>
      <c r="H883" s="986">
        <v>5.4999999999999997E-3</v>
      </c>
      <c r="I883" s="986">
        <f t="shared" si="4"/>
        <v>-2.9199999999999973E-4</v>
      </c>
      <c r="J883" s="988">
        <v>36312</v>
      </c>
    </row>
    <row r="884" spans="1:10">
      <c r="A884" s="987">
        <v>70</v>
      </c>
      <c r="B884" s="988">
        <v>36342</v>
      </c>
      <c r="C884" s="987" t="s">
        <v>4645</v>
      </c>
      <c r="D884" s="987" t="s">
        <v>4646</v>
      </c>
      <c r="E884" s="987">
        <v>26.375</v>
      </c>
      <c r="F884" s="987">
        <v>0.105907</v>
      </c>
      <c r="G884" s="987">
        <v>0.30499999999999999</v>
      </c>
      <c r="H884" s="986">
        <v>5.1000000000000004E-3</v>
      </c>
      <c r="I884" s="986">
        <f t="shared" si="4"/>
        <v>0.10080700000000001</v>
      </c>
      <c r="J884" s="988">
        <v>36342</v>
      </c>
    </row>
    <row r="885" spans="1:10">
      <c r="A885" s="987">
        <v>70</v>
      </c>
      <c r="B885" s="988">
        <v>36373</v>
      </c>
      <c r="C885" s="987" t="s">
        <v>4645</v>
      </c>
      <c r="D885" s="987" t="s">
        <v>4646</v>
      </c>
      <c r="E885" s="987">
        <v>25</v>
      </c>
      <c r="F885" s="987">
        <v>-5.2132999999999999E-2</v>
      </c>
      <c r="G885" s="987">
        <v>0</v>
      </c>
      <c r="H885" s="986">
        <v>5.4000000000000003E-3</v>
      </c>
      <c r="I885" s="986">
        <f t="shared" si="4"/>
        <v>-5.7533000000000001E-2</v>
      </c>
      <c r="J885" s="988">
        <v>36373</v>
      </c>
    </row>
    <row r="886" spans="1:10">
      <c r="A886" s="987">
        <v>70</v>
      </c>
      <c r="B886" s="988">
        <v>36404</v>
      </c>
      <c r="C886" s="987" t="s">
        <v>4645</v>
      </c>
      <c r="D886" s="987" t="s">
        <v>4646</v>
      </c>
      <c r="E886" s="987">
        <v>25.8125</v>
      </c>
      <c r="F886" s="987">
        <v>3.2500000000000001E-2</v>
      </c>
      <c r="G886" s="987">
        <v>0</v>
      </c>
      <c r="H886" s="986">
        <v>5.1999999999999998E-3</v>
      </c>
      <c r="I886" s="986">
        <f t="shared" ref="I886:I949" si="5">F886-H886</f>
        <v>2.7300000000000001E-2</v>
      </c>
      <c r="J886" s="988">
        <v>36404</v>
      </c>
    </row>
    <row r="887" spans="1:10">
      <c r="A887" s="987">
        <v>70</v>
      </c>
      <c r="B887" s="988">
        <v>36434</v>
      </c>
      <c r="C887" s="987" t="s">
        <v>4645</v>
      </c>
      <c r="D887" s="987" t="s">
        <v>4646</v>
      </c>
      <c r="E887" s="987">
        <v>25.875</v>
      </c>
      <c r="F887" s="987">
        <v>1.4237E-2</v>
      </c>
      <c r="G887" s="987">
        <v>0.30499999999999999</v>
      </c>
      <c r="H887" s="986">
        <v>5.0000000000000001E-3</v>
      </c>
      <c r="I887" s="986">
        <f t="shared" si="5"/>
        <v>9.2369999999999987E-3</v>
      </c>
      <c r="J887" s="988">
        <v>36434</v>
      </c>
    </row>
    <row r="888" spans="1:10">
      <c r="A888" s="987">
        <v>70</v>
      </c>
      <c r="B888" s="988">
        <v>36465</v>
      </c>
      <c r="C888" s="987" t="s">
        <v>4645</v>
      </c>
      <c r="D888" s="987" t="s">
        <v>4646</v>
      </c>
      <c r="E888" s="987">
        <v>25.125</v>
      </c>
      <c r="F888" s="987">
        <v>-2.8792000000000002E-2</v>
      </c>
      <c r="G888" s="987">
        <v>5.0000000000000001E-3</v>
      </c>
      <c r="H888" s="986">
        <v>5.5999999999999999E-3</v>
      </c>
      <c r="I888" s="986">
        <f t="shared" si="5"/>
        <v>-3.4391999999999999E-2</v>
      </c>
      <c r="J888" s="988">
        <v>36465</v>
      </c>
    </row>
    <row r="889" spans="1:10">
      <c r="A889" s="987">
        <v>70</v>
      </c>
      <c r="B889" s="988">
        <v>36495</v>
      </c>
      <c r="C889" s="987" t="s">
        <v>4645</v>
      </c>
      <c r="D889" s="987" t="s">
        <v>4646</v>
      </c>
      <c r="E889" s="987">
        <v>21.9375</v>
      </c>
      <c r="F889" s="987">
        <v>-0.12686600000000001</v>
      </c>
      <c r="G889" s="987">
        <v>0</v>
      </c>
      <c r="H889" s="986">
        <v>5.4999999999999997E-3</v>
      </c>
      <c r="I889" s="986">
        <f t="shared" si="5"/>
        <v>-0.13236600000000001</v>
      </c>
      <c r="J889" s="988">
        <v>36495</v>
      </c>
    </row>
    <row r="890" spans="1:10">
      <c r="A890" s="987">
        <v>70</v>
      </c>
      <c r="B890" s="988">
        <v>36526</v>
      </c>
      <c r="C890" s="987" t="s">
        <v>4645</v>
      </c>
      <c r="D890" s="987" t="s">
        <v>4646</v>
      </c>
      <c r="E890" s="987">
        <v>20.5</v>
      </c>
      <c r="F890" s="987">
        <v>-5.1395999999999997E-2</v>
      </c>
      <c r="G890" s="987">
        <v>0.31</v>
      </c>
      <c r="H890" s="986">
        <v>5.7000000000000002E-3</v>
      </c>
      <c r="I890" s="986">
        <f t="shared" si="5"/>
        <v>-5.7095999999999994E-2</v>
      </c>
      <c r="J890" s="988">
        <v>36526</v>
      </c>
    </row>
    <row r="891" spans="1:10">
      <c r="A891" s="987">
        <v>70</v>
      </c>
      <c r="B891" s="988">
        <v>36557</v>
      </c>
      <c r="C891" s="987" t="s">
        <v>4645</v>
      </c>
      <c r="D891" s="987" t="s">
        <v>4646</v>
      </c>
      <c r="E891" s="987">
        <v>19.5</v>
      </c>
      <c r="F891" s="987">
        <v>-4.8779999999999997E-2</v>
      </c>
      <c r="G891" s="987">
        <v>0</v>
      </c>
      <c r="H891" s="986">
        <v>5.1000000000000004E-3</v>
      </c>
      <c r="I891" s="986">
        <f t="shared" si="5"/>
        <v>-5.3879999999999997E-2</v>
      </c>
      <c r="J891" s="988">
        <v>36557</v>
      </c>
    </row>
    <row r="892" spans="1:10">
      <c r="A892" s="987">
        <v>70</v>
      </c>
      <c r="B892" s="988">
        <v>36586</v>
      </c>
      <c r="C892" s="987" t="s">
        <v>4645</v>
      </c>
      <c r="D892" s="987" t="s">
        <v>4646</v>
      </c>
      <c r="E892" s="987">
        <v>19.5</v>
      </c>
      <c r="F892" s="987">
        <v>0</v>
      </c>
      <c r="G892" s="987">
        <v>0</v>
      </c>
      <c r="H892" s="986">
        <v>5.4000000000000003E-3</v>
      </c>
      <c r="I892" s="986">
        <f t="shared" si="5"/>
        <v>-5.4000000000000003E-3</v>
      </c>
      <c r="J892" s="988">
        <v>36586</v>
      </c>
    </row>
    <row r="893" spans="1:10">
      <c r="A893" s="987">
        <v>70</v>
      </c>
      <c r="B893" s="988">
        <v>36617</v>
      </c>
      <c r="C893" s="987" t="s">
        <v>4645</v>
      </c>
      <c r="D893" s="987" t="s">
        <v>4646</v>
      </c>
      <c r="E893" s="987">
        <v>22</v>
      </c>
      <c r="F893" s="987">
        <v>0.14410300000000001</v>
      </c>
      <c r="G893" s="987">
        <v>0.31</v>
      </c>
      <c r="H893" s="986">
        <v>4.7000000000000002E-3</v>
      </c>
      <c r="I893" s="986">
        <f t="shared" si="5"/>
        <v>0.139403</v>
      </c>
      <c r="J893" s="988">
        <v>36617</v>
      </c>
    </row>
    <row r="894" spans="1:10">
      <c r="A894" s="987">
        <v>70</v>
      </c>
      <c r="B894" s="988">
        <v>36647</v>
      </c>
      <c r="C894" s="987" t="s">
        <v>4645</v>
      </c>
      <c r="D894" s="987" t="s">
        <v>4646</v>
      </c>
      <c r="E894" s="987">
        <v>21.75</v>
      </c>
      <c r="F894" s="987">
        <v>-1.1364000000000001E-2</v>
      </c>
      <c r="G894" s="987">
        <v>0</v>
      </c>
      <c r="H894" s="986">
        <v>5.5999999999999999E-3</v>
      </c>
      <c r="I894" s="986">
        <f t="shared" si="5"/>
        <v>-1.6964E-2</v>
      </c>
      <c r="J894" s="988">
        <v>36647</v>
      </c>
    </row>
    <row r="895" spans="1:10">
      <c r="A895" s="987">
        <v>70</v>
      </c>
      <c r="B895" s="988">
        <v>36678</v>
      </c>
      <c r="C895" s="987" t="s">
        <v>4645</v>
      </c>
      <c r="D895" s="987" t="s">
        <v>4646</v>
      </c>
      <c r="E895" s="987">
        <v>22.375</v>
      </c>
      <c r="F895" s="987">
        <v>2.8736000000000001E-2</v>
      </c>
      <c r="G895" s="987">
        <v>0</v>
      </c>
      <c r="H895" s="986">
        <v>5.1999999999999998E-3</v>
      </c>
      <c r="I895" s="986">
        <f t="shared" si="5"/>
        <v>2.3536000000000001E-2</v>
      </c>
      <c r="J895" s="988">
        <v>36678</v>
      </c>
    </row>
    <row r="896" spans="1:10">
      <c r="A896" s="987">
        <v>70</v>
      </c>
      <c r="B896" s="988">
        <v>36708</v>
      </c>
      <c r="C896" s="987" t="s">
        <v>4645</v>
      </c>
      <c r="D896" s="987" t="s">
        <v>4647</v>
      </c>
      <c r="E896" s="987">
        <v>23.125</v>
      </c>
      <c r="F896" s="987">
        <v>4.7373999999999999E-2</v>
      </c>
      <c r="G896" s="987">
        <v>0.31</v>
      </c>
      <c r="H896" s="986">
        <v>5.1999999999999998E-3</v>
      </c>
      <c r="I896" s="986">
        <f t="shared" si="5"/>
        <v>4.2174000000000003E-2</v>
      </c>
      <c r="J896" s="988">
        <v>36708</v>
      </c>
    </row>
    <row r="897" spans="1:10">
      <c r="A897" s="987">
        <v>70</v>
      </c>
      <c r="B897" s="988">
        <v>36739</v>
      </c>
      <c r="C897" s="987" t="s">
        <v>4645</v>
      </c>
      <c r="D897" s="987" t="s">
        <v>4647</v>
      </c>
      <c r="E897" s="987">
        <v>23</v>
      </c>
      <c r="F897" s="987">
        <v>-5.4050000000000001E-3</v>
      </c>
      <c r="G897" s="987">
        <v>0</v>
      </c>
      <c r="H897" s="986">
        <v>5.0000000000000001E-3</v>
      </c>
      <c r="I897" s="986">
        <f t="shared" si="5"/>
        <v>-1.0405000000000001E-2</v>
      </c>
      <c r="J897" s="988">
        <v>36739</v>
      </c>
    </row>
    <row r="898" spans="1:10">
      <c r="A898" s="987">
        <v>70</v>
      </c>
      <c r="B898" s="988">
        <v>36770</v>
      </c>
      <c r="C898" s="987" t="s">
        <v>4645</v>
      </c>
      <c r="D898" s="987" t="s">
        <v>4647</v>
      </c>
      <c r="E898" s="987">
        <v>22.75</v>
      </c>
      <c r="F898" s="987">
        <v>-1.0869999999999999E-2</v>
      </c>
      <c r="G898" s="987">
        <v>0</v>
      </c>
      <c r="H898" s="986">
        <v>4.5999999999999999E-3</v>
      </c>
      <c r="I898" s="986">
        <f t="shared" si="5"/>
        <v>-1.5469999999999999E-2</v>
      </c>
      <c r="J898" s="988">
        <v>36770</v>
      </c>
    </row>
    <row r="899" spans="1:10">
      <c r="A899" s="987">
        <v>70</v>
      </c>
      <c r="B899" s="988">
        <v>36800</v>
      </c>
      <c r="C899" s="987" t="s">
        <v>4645</v>
      </c>
      <c r="D899" s="987" t="s">
        <v>4647</v>
      </c>
      <c r="E899" s="987">
        <v>23.4375</v>
      </c>
      <c r="F899" s="987">
        <v>4.3846000000000003E-2</v>
      </c>
      <c r="G899" s="987">
        <v>0.31</v>
      </c>
      <c r="H899" s="986">
        <v>5.3E-3</v>
      </c>
      <c r="I899" s="986">
        <f t="shared" si="5"/>
        <v>3.8546000000000004E-2</v>
      </c>
      <c r="J899" s="988">
        <v>36800</v>
      </c>
    </row>
    <row r="900" spans="1:10">
      <c r="A900" s="987">
        <v>70</v>
      </c>
      <c r="B900" s="988">
        <v>36831</v>
      </c>
      <c r="C900" s="987" t="s">
        <v>4645</v>
      </c>
      <c r="D900" s="987" t="s">
        <v>4647</v>
      </c>
      <c r="E900" s="987">
        <v>24</v>
      </c>
      <c r="F900" s="987">
        <v>2.4E-2</v>
      </c>
      <c r="G900" s="987">
        <v>0</v>
      </c>
      <c r="H900" s="986">
        <v>4.7999999999999996E-3</v>
      </c>
      <c r="I900" s="986">
        <f t="shared" si="5"/>
        <v>1.9200000000000002E-2</v>
      </c>
      <c r="J900" s="988">
        <v>36831</v>
      </c>
    </row>
    <row r="901" spans="1:10">
      <c r="A901" s="987">
        <v>70</v>
      </c>
      <c r="B901" s="988">
        <v>36861</v>
      </c>
      <c r="C901" s="987" t="s">
        <v>4645</v>
      </c>
      <c r="D901" s="987" t="s">
        <v>4647</v>
      </c>
      <c r="E901" s="987">
        <v>26.5</v>
      </c>
      <c r="F901" s="987">
        <v>0.104167</v>
      </c>
      <c r="G901" s="987">
        <v>0</v>
      </c>
      <c r="H901" s="986">
        <v>4.4999999999999997E-3</v>
      </c>
      <c r="I901" s="986">
        <f t="shared" si="5"/>
        <v>9.9666999999999992E-2</v>
      </c>
      <c r="J901" s="988">
        <v>36861</v>
      </c>
    </row>
    <row r="902" spans="1:10">
      <c r="A902" s="987">
        <v>70</v>
      </c>
      <c r="B902" s="988">
        <v>36892</v>
      </c>
      <c r="C902" s="987" t="s">
        <v>4645</v>
      </c>
      <c r="D902" s="987" t="s">
        <v>4647</v>
      </c>
      <c r="E902" s="987">
        <v>24.01</v>
      </c>
      <c r="F902" s="987">
        <v>-8.2264000000000004E-2</v>
      </c>
      <c r="G902" s="987">
        <v>0.31</v>
      </c>
      <c r="H902" s="986">
        <v>4.8999999999999998E-3</v>
      </c>
      <c r="I902" s="986">
        <f t="shared" si="5"/>
        <v>-8.7164000000000005E-2</v>
      </c>
      <c r="J902" s="988">
        <v>36892</v>
      </c>
    </row>
    <row r="903" spans="1:10">
      <c r="A903" s="987">
        <v>70</v>
      </c>
      <c r="B903" s="988">
        <v>36923</v>
      </c>
      <c r="C903" s="987" t="s">
        <v>4645</v>
      </c>
      <c r="D903" s="987" t="s">
        <v>4647</v>
      </c>
      <c r="E903" s="987">
        <v>24.45</v>
      </c>
      <c r="F903" s="987">
        <v>1.8325999999999999E-2</v>
      </c>
      <c r="G903" s="987">
        <v>0</v>
      </c>
      <c r="H903" s="986">
        <v>4.1999999999999997E-3</v>
      </c>
      <c r="I903" s="986">
        <f t="shared" si="5"/>
        <v>1.4126E-2</v>
      </c>
      <c r="J903" s="988">
        <v>36923</v>
      </c>
    </row>
    <row r="904" spans="1:10">
      <c r="A904" s="987">
        <v>70</v>
      </c>
      <c r="B904" s="988">
        <v>36951</v>
      </c>
      <c r="C904" s="987" t="s">
        <v>4645</v>
      </c>
      <c r="D904" s="987" t="s">
        <v>4647</v>
      </c>
      <c r="E904" s="987">
        <v>24</v>
      </c>
      <c r="F904" s="987">
        <v>-1.8405000000000001E-2</v>
      </c>
      <c r="G904" s="987">
        <v>0</v>
      </c>
      <c r="H904" s="986">
        <v>4.4999999999999997E-3</v>
      </c>
      <c r="I904" s="986">
        <f t="shared" si="5"/>
        <v>-2.2905000000000002E-2</v>
      </c>
      <c r="J904" s="988">
        <v>36951</v>
      </c>
    </row>
    <row r="905" spans="1:10">
      <c r="A905" s="987">
        <v>70</v>
      </c>
      <c r="B905" s="988">
        <v>36982</v>
      </c>
      <c r="C905" s="987" t="s">
        <v>4645</v>
      </c>
      <c r="D905" s="987" t="s">
        <v>4647</v>
      </c>
      <c r="E905" s="987">
        <v>22.2</v>
      </c>
      <c r="F905" s="987">
        <v>-6.2082999999999999E-2</v>
      </c>
      <c r="G905" s="987">
        <v>0.31</v>
      </c>
      <c r="H905" s="986">
        <v>4.7000000000000002E-3</v>
      </c>
      <c r="I905" s="986">
        <f t="shared" si="5"/>
        <v>-6.6782999999999995E-2</v>
      </c>
      <c r="J905" s="988">
        <v>36982</v>
      </c>
    </row>
    <row r="906" spans="1:10">
      <c r="A906" s="987">
        <v>70</v>
      </c>
      <c r="B906" s="988">
        <v>37012</v>
      </c>
      <c r="C906" s="987" t="s">
        <v>4645</v>
      </c>
      <c r="D906" s="987" t="s">
        <v>4647</v>
      </c>
      <c r="E906" s="987">
        <v>23.9</v>
      </c>
      <c r="F906" s="987">
        <v>7.6577000000000006E-2</v>
      </c>
      <c r="G906" s="987">
        <v>0</v>
      </c>
      <c r="H906" s="986">
        <v>5.0000000000000001E-3</v>
      </c>
      <c r="I906" s="986">
        <f t="shared" si="5"/>
        <v>7.1577000000000002E-2</v>
      </c>
      <c r="J906" s="988">
        <v>37012</v>
      </c>
    </row>
    <row r="907" spans="1:10">
      <c r="A907" s="987">
        <v>70</v>
      </c>
      <c r="B907" s="988">
        <v>37043</v>
      </c>
      <c r="C907" s="987" t="s">
        <v>4645</v>
      </c>
      <c r="D907" s="987" t="s">
        <v>4647</v>
      </c>
      <c r="E907" s="987">
        <v>24.9</v>
      </c>
      <c r="F907" s="987">
        <v>4.1841000000000003E-2</v>
      </c>
      <c r="G907" s="987">
        <v>0</v>
      </c>
      <c r="H907" s="986">
        <v>4.7000000000000002E-3</v>
      </c>
      <c r="I907" s="986">
        <f t="shared" si="5"/>
        <v>3.7141E-2</v>
      </c>
      <c r="J907" s="988">
        <v>37043</v>
      </c>
    </row>
    <row r="908" spans="1:10">
      <c r="A908" s="987">
        <v>70</v>
      </c>
      <c r="B908" s="988">
        <v>37073</v>
      </c>
      <c r="C908" s="987" t="s">
        <v>4645</v>
      </c>
      <c r="D908" s="987" t="s">
        <v>4647</v>
      </c>
      <c r="E908" s="987">
        <v>24.08</v>
      </c>
      <c r="F908" s="987">
        <v>-2.0482E-2</v>
      </c>
      <c r="G908" s="987">
        <v>0.31</v>
      </c>
      <c r="H908" s="986">
        <v>5.1999999999999998E-3</v>
      </c>
      <c r="I908" s="986">
        <f t="shared" si="5"/>
        <v>-2.5682E-2</v>
      </c>
      <c r="J908" s="988">
        <v>37073</v>
      </c>
    </row>
    <row r="909" spans="1:10">
      <c r="A909" s="987">
        <v>70</v>
      </c>
      <c r="B909" s="988">
        <v>37104</v>
      </c>
      <c r="C909" s="987" t="s">
        <v>4645</v>
      </c>
      <c r="D909" s="987" t="s">
        <v>4647</v>
      </c>
      <c r="E909" s="987">
        <v>25</v>
      </c>
      <c r="F909" s="987">
        <v>3.8205999999999997E-2</v>
      </c>
      <c r="G909" s="987">
        <v>0</v>
      </c>
      <c r="H909" s="986">
        <v>4.5999999999999999E-3</v>
      </c>
      <c r="I909" s="986">
        <f t="shared" si="5"/>
        <v>3.3605999999999997E-2</v>
      </c>
      <c r="J909" s="988">
        <v>37104</v>
      </c>
    </row>
    <row r="910" spans="1:10">
      <c r="A910" s="987">
        <v>70</v>
      </c>
      <c r="B910" s="988">
        <v>37135</v>
      </c>
      <c r="C910" s="987" t="s">
        <v>4645</v>
      </c>
      <c r="D910" s="987" t="s">
        <v>4647</v>
      </c>
      <c r="E910" s="987">
        <v>23.39</v>
      </c>
      <c r="F910" s="987">
        <v>-6.4399999999999999E-2</v>
      </c>
      <c r="G910" s="987">
        <v>0</v>
      </c>
      <c r="H910" s="986">
        <v>4.1000000000000003E-3</v>
      </c>
      <c r="I910" s="986">
        <f t="shared" si="5"/>
        <v>-6.8500000000000005E-2</v>
      </c>
      <c r="J910" s="988">
        <v>37135</v>
      </c>
    </row>
    <row r="911" spans="1:10">
      <c r="A911" s="987">
        <v>70</v>
      </c>
      <c r="B911" s="988">
        <v>37165</v>
      </c>
      <c r="C911" s="987" t="s">
        <v>4645</v>
      </c>
      <c r="D911" s="987" t="s">
        <v>4647</v>
      </c>
      <c r="E911" s="987">
        <v>23.9</v>
      </c>
      <c r="F911" s="987">
        <v>3.5270999999999997E-2</v>
      </c>
      <c r="G911" s="987">
        <v>0.315</v>
      </c>
      <c r="H911" s="986">
        <v>4.7999999999999996E-3</v>
      </c>
      <c r="I911" s="986">
        <f t="shared" si="5"/>
        <v>3.0470999999999998E-2</v>
      </c>
      <c r="J911" s="988">
        <v>37165</v>
      </c>
    </row>
    <row r="912" spans="1:10">
      <c r="A912" s="987">
        <v>70</v>
      </c>
      <c r="B912" s="988">
        <v>37196</v>
      </c>
      <c r="C912" s="987" t="s">
        <v>4645</v>
      </c>
      <c r="D912" s="987" t="s">
        <v>4647</v>
      </c>
      <c r="E912" s="987">
        <v>24.45</v>
      </c>
      <c r="F912" s="987">
        <v>2.3012999999999999E-2</v>
      </c>
      <c r="G912" s="987">
        <v>0</v>
      </c>
      <c r="H912" s="986">
        <v>4.1000000000000003E-3</v>
      </c>
      <c r="I912" s="986">
        <f t="shared" si="5"/>
        <v>1.8912999999999999E-2</v>
      </c>
      <c r="J912" s="988">
        <v>37196</v>
      </c>
    </row>
    <row r="913" spans="1:10">
      <c r="A913" s="987">
        <v>70</v>
      </c>
      <c r="B913" s="988">
        <v>37226</v>
      </c>
      <c r="C913" s="987" t="s">
        <v>4645</v>
      </c>
      <c r="D913" s="987" t="s">
        <v>4647</v>
      </c>
      <c r="E913" s="987">
        <v>25.5</v>
      </c>
      <c r="F913" s="987">
        <v>4.2944999999999997E-2</v>
      </c>
      <c r="G913" s="987">
        <v>0</v>
      </c>
      <c r="H913" s="986">
        <v>4.5999999999999999E-3</v>
      </c>
      <c r="I913" s="986">
        <f t="shared" si="5"/>
        <v>3.8344999999999997E-2</v>
      </c>
      <c r="J913" s="988">
        <v>37226</v>
      </c>
    </row>
    <row r="914" spans="1:10">
      <c r="A914" s="987">
        <v>70</v>
      </c>
      <c r="B914" s="988">
        <v>37257</v>
      </c>
      <c r="C914" s="987" t="s">
        <v>4645</v>
      </c>
      <c r="D914" s="987" t="s">
        <v>4647</v>
      </c>
      <c r="E914" s="987">
        <v>26.15</v>
      </c>
      <c r="F914" s="987">
        <v>3.7843000000000002E-2</v>
      </c>
      <c r="G914" s="987">
        <v>0.315</v>
      </c>
      <c r="H914" s="986">
        <v>4.7999999999999996E-3</v>
      </c>
      <c r="I914" s="986">
        <f t="shared" si="5"/>
        <v>3.3043000000000003E-2</v>
      </c>
      <c r="J914" s="988">
        <v>37257</v>
      </c>
    </row>
    <row r="915" spans="1:10">
      <c r="A915" s="987">
        <v>70</v>
      </c>
      <c r="B915" s="988">
        <v>37288</v>
      </c>
      <c r="C915" s="987" t="s">
        <v>4645</v>
      </c>
      <c r="D915" s="987" t="s">
        <v>4647</v>
      </c>
      <c r="E915" s="987">
        <v>26.34</v>
      </c>
      <c r="F915" s="987">
        <v>7.2659999999999999E-3</v>
      </c>
      <c r="G915" s="987">
        <v>0</v>
      </c>
      <c r="H915" s="986">
        <v>4.3E-3</v>
      </c>
      <c r="I915" s="986">
        <f t="shared" si="5"/>
        <v>2.9659999999999999E-3</v>
      </c>
      <c r="J915" s="988">
        <v>37288</v>
      </c>
    </row>
    <row r="916" spans="1:10">
      <c r="A916" s="987">
        <v>70</v>
      </c>
      <c r="B916" s="988">
        <v>37316</v>
      </c>
      <c r="C916" s="987" t="s">
        <v>4645</v>
      </c>
      <c r="D916" s="987" t="s">
        <v>4647</v>
      </c>
      <c r="E916" s="987">
        <v>28.01</v>
      </c>
      <c r="F916" s="987">
        <v>6.3402E-2</v>
      </c>
      <c r="G916" s="987">
        <v>0</v>
      </c>
      <c r="H916" s="986">
        <v>4.3E-3</v>
      </c>
      <c r="I916" s="986">
        <f t="shared" si="5"/>
        <v>5.9102000000000002E-2</v>
      </c>
      <c r="J916" s="988">
        <v>37316</v>
      </c>
    </row>
    <row r="917" spans="1:10">
      <c r="A917" s="987">
        <v>70</v>
      </c>
      <c r="B917" s="988">
        <v>37347</v>
      </c>
      <c r="C917" s="987" t="s">
        <v>4645</v>
      </c>
      <c r="D917" s="987" t="s">
        <v>4647</v>
      </c>
      <c r="E917" s="987">
        <v>28.4</v>
      </c>
      <c r="F917" s="987">
        <v>2.5170000000000001E-2</v>
      </c>
      <c r="G917" s="987">
        <v>0.315</v>
      </c>
      <c r="H917" s="986">
        <v>5.4000000000000003E-3</v>
      </c>
      <c r="I917" s="986">
        <f t="shared" si="5"/>
        <v>1.9770000000000003E-2</v>
      </c>
      <c r="J917" s="988">
        <v>37347</v>
      </c>
    </row>
    <row r="918" spans="1:10">
      <c r="A918" s="987">
        <v>70</v>
      </c>
      <c r="B918" s="988">
        <v>37377</v>
      </c>
      <c r="C918" s="987" t="s">
        <v>4645</v>
      </c>
      <c r="D918" s="987" t="s">
        <v>4647</v>
      </c>
      <c r="E918" s="987">
        <v>29.25</v>
      </c>
      <c r="F918" s="987">
        <v>2.9929999999999998E-2</v>
      </c>
      <c r="G918" s="987">
        <v>0</v>
      </c>
      <c r="H918" s="986">
        <v>4.8999999999999998E-3</v>
      </c>
      <c r="I918" s="986">
        <f t="shared" si="5"/>
        <v>2.5029999999999997E-2</v>
      </c>
      <c r="J918" s="988">
        <v>37377</v>
      </c>
    </row>
    <row r="919" spans="1:10">
      <c r="A919" s="987">
        <v>70</v>
      </c>
      <c r="B919" s="988">
        <v>37408</v>
      </c>
      <c r="C919" s="987" t="s">
        <v>4645</v>
      </c>
      <c r="D919" s="987" t="s">
        <v>4647</v>
      </c>
      <c r="E919" s="987">
        <v>28.75</v>
      </c>
      <c r="F919" s="987">
        <v>-1.7094000000000002E-2</v>
      </c>
      <c r="G919" s="987">
        <v>0</v>
      </c>
      <c r="H919" s="986">
        <v>4.4000000000000003E-3</v>
      </c>
      <c r="I919" s="986">
        <f t="shared" si="5"/>
        <v>-2.1494000000000003E-2</v>
      </c>
      <c r="J919" s="988">
        <v>37408</v>
      </c>
    </row>
    <row r="920" spans="1:10">
      <c r="A920" s="987">
        <v>70</v>
      </c>
      <c r="B920" s="988">
        <v>37438</v>
      </c>
      <c r="C920" s="987" t="s">
        <v>4645</v>
      </c>
      <c r="D920" s="987" t="s">
        <v>4647</v>
      </c>
      <c r="E920" s="987">
        <v>28.1</v>
      </c>
      <c r="F920" s="987">
        <v>-1.1651999999999999E-2</v>
      </c>
      <c r="G920" s="987">
        <v>0.315</v>
      </c>
      <c r="H920" s="986">
        <v>5.1000000000000004E-3</v>
      </c>
      <c r="I920" s="986">
        <f t="shared" si="5"/>
        <v>-1.6752E-2</v>
      </c>
      <c r="J920" s="988">
        <v>37438</v>
      </c>
    </row>
    <row r="921" spans="1:10">
      <c r="A921" s="987">
        <v>70</v>
      </c>
      <c r="B921" s="988">
        <v>37469</v>
      </c>
      <c r="C921" s="987" t="s">
        <v>4645</v>
      </c>
      <c r="D921" s="987" t="s">
        <v>4647</v>
      </c>
      <c r="E921" s="987">
        <v>28.05</v>
      </c>
      <c r="F921" s="987">
        <v>-1.779E-3</v>
      </c>
      <c r="G921" s="987">
        <v>0</v>
      </c>
      <c r="H921" s="986">
        <v>4.4000000000000003E-3</v>
      </c>
      <c r="I921" s="986">
        <f t="shared" si="5"/>
        <v>-6.1790000000000005E-3</v>
      </c>
      <c r="J921" s="988">
        <v>37469</v>
      </c>
    </row>
    <row r="922" spans="1:10">
      <c r="A922" s="987">
        <v>70</v>
      </c>
      <c r="B922" s="988">
        <v>37500</v>
      </c>
      <c r="C922" s="987" t="s">
        <v>4645</v>
      </c>
      <c r="D922" s="987" t="s">
        <v>4647</v>
      </c>
      <c r="E922" s="987">
        <v>29.36</v>
      </c>
      <c r="F922" s="987">
        <v>4.6702E-2</v>
      </c>
      <c r="G922" s="987">
        <v>0</v>
      </c>
      <c r="H922" s="986">
        <v>4.1999999999999997E-3</v>
      </c>
      <c r="I922" s="986">
        <f t="shared" si="5"/>
        <v>4.2501999999999998E-2</v>
      </c>
      <c r="J922" s="988">
        <v>37500</v>
      </c>
    </row>
    <row r="923" spans="1:10">
      <c r="A923" s="987">
        <v>70</v>
      </c>
      <c r="B923" s="988">
        <v>37530</v>
      </c>
      <c r="C923" s="987" t="s">
        <v>4645</v>
      </c>
      <c r="D923" s="987" t="s">
        <v>4647</v>
      </c>
      <c r="E923" s="987">
        <v>29.98</v>
      </c>
      <c r="F923" s="987">
        <v>3.1845999999999999E-2</v>
      </c>
      <c r="G923" s="987">
        <v>0.315</v>
      </c>
      <c r="H923" s="986">
        <v>4.0000000000000001E-3</v>
      </c>
      <c r="I923" s="986">
        <f t="shared" si="5"/>
        <v>2.7845999999999999E-2</v>
      </c>
      <c r="J923" s="988">
        <v>37530</v>
      </c>
    </row>
    <row r="924" spans="1:10">
      <c r="A924" s="987">
        <v>70</v>
      </c>
      <c r="B924" s="988">
        <v>37561</v>
      </c>
      <c r="C924" s="987" t="s">
        <v>4645</v>
      </c>
      <c r="D924" s="987" t="s">
        <v>4647</v>
      </c>
      <c r="E924" s="987">
        <v>25.6</v>
      </c>
      <c r="F924" s="987">
        <v>-0.146097</v>
      </c>
      <c r="G924" s="987">
        <v>0</v>
      </c>
      <c r="H924" s="986">
        <v>4.0000000000000001E-3</v>
      </c>
      <c r="I924" s="986">
        <f t="shared" si="5"/>
        <v>-0.15009700000000001</v>
      </c>
      <c r="J924" s="988">
        <v>37561</v>
      </c>
    </row>
    <row r="925" spans="1:10">
      <c r="A925" s="987">
        <v>70</v>
      </c>
      <c r="B925" s="988">
        <v>37591</v>
      </c>
      <c r="C925" s="987" t="s">
        <v>4645</v>
      </c>
      <c r="D925" s="987" t="s">
        <v>4647</v>
      </c>
      <c r="E925" s="987">
        <v>27.06</v>
      </c>
      <c r="F925" s="987">
        <v>5.7030999999999998E-2</v>
      </c>
      <c r="G925" s="987">
        <v>0</v>
      </c>
      <c r="H925" s="986">
        <v>4.4999999999999997E-3</v>
      </c>
      <c r="I925" s="986">
        <f t="shared" si="5"/>
        <v>5.2531000000000001E-2</v>
      </c>
      <c r="J925" s="988">
        <v>37591</v>
      </c>
    </row>
    <row r="926" spans="1:10">
      <c r="A926" s="987">
        <v>70</v>
      </c>
      <c r="B926" s="988">
        <v>37622</v>
      </c>
      <c r="C926" s="987" t="s">
        <v>4645</v>
      </c>
      <c r="D926" s="987" t="s">
        <v>4647</v>
      </c>
      <c r="E926" s="987">
        <v>26.02</v>
      </c>
      <c r="F926" s="987">
        <v>-2.6792E-2</v>
      </c>
      <c r="G926" s="987">
        <v>0.315</v>
      </c>
      <c r="H926" s="986">
        <v>4.1000000000000003E-3</v>
      </c>
      <c r="I926" s="986">
        <f t="shared" si="5"/>
        <v>-3.0891999999999999E-2</v>
      </c>
      <c r="J926" s="988">
        <v>37622</v>
      </c>
    </row>
    <row r="927" spans="1:10">
      <c r="A927" s="987">
        <v>70</v>
      </c>
      <c r="B927" s="988">
        <v>37653</v>
      </c>
      <c r="C927" s="987" t="s">
        <v>4645</v>
      </c>
      <c r="D927" s="987" t="s">
        <v>4647</v>
      </c>
      <c r="E927" s="987">
        <v>24.5</v>
      </c>
      <c r="F927" s="987">
        <v>-5.8416999999999997E-2</v>
      </c>
      <c r="G927" s="987">
        <v>0</v>
      </c>
      <c r="H927" s="986">
        <v>3.8E-3</v>
      </c>
      <c r="I927" s="986">
        <f t="shared" si="5"/>
        <v>-6.2216999999999995E-2</v>
      </c>
      <c r="J927" s="988">
        <v>37653</v>
      </c>
    </row>
    <row r="928" spans="1:10">
      <c r="A928" s="987">
        <v>70</v>
      </c>
      <c r="B928" s="988">
        <v>37681</v>
      </c>
      <c r="C928" s="987" t="s">
        <v>4645</v>
      </c>
      <c r="D928" s="987" t="s">
        <v>4647</v>
      </c>
      <c r="E928" s="987">
        <v>25.1</v>
      </c>
      <c r="F928" s="987">
        <v>2.4490000000000001E-2</v>
      </c>
      <c r="G928" s="987">
        <v>0</v>
      </c>
      <c r="H928" s="986">
        <v>4.0000000000000001E-3</v>
      </c>
      <c r="I928" s="986">
        <f t="shared" si="5"/>
        <v>2.0490000000000001E-2</v>
      </c>
      <c r="J928" s="988">
        <v>37681</v>
      </c>
    </row>
    <row r="929" spans="1:10">
      <c r="A929" s="987">
        <v>70</v>
      </c>
      <c r="B929" s="988">
        <v>37712</v>
      </c>
      <c r="C929" s="987" t="s">
        <v>4645</v>
      </c>
      <c r="D929" s="987" t="s">
        <v>4647</v>
      </c>
      <c r="E929" s="987">
        <v>25.83</v>
      </c>
      <c r="F929" s="987">
        <v>4.1633000000000003E-2</v>
      </c>
      <c r="G929" s="987">
        <v>0.315</v>
      </c>
      <c r="H929" s="986">
        <v>4.0000000000000001E-3</v>
      </c>
      <c r="I929" s="986">
        <f t="shared" si="5"/>
        <v>3.7633E-2</v>
      </c>
      <c r="J929" s="988">
        <v>37712</v>
      </c>
    </row>
    <row r="930" spans="1:10">
      <c r="A930" s="987">
        <v>70</v>
      </c>
      <c r="B930" s="988">
        <v>37742</v>
      </c>
      <c r="C930" s="987" t="s">
        <v>4645</v>
      </c>
      <c r="D930" s="987" t="s">
        <v>4647</v>
      </c>
      <c r="E930" s="987">
        <v>27.85</v>
      </c>
      <c r="F930" s="987">
        <v>7.8203999999999996E-2</v>
      </c>
      <c r="G930" s="987">
        <v>0</v>
      </c>
      <c r="H930" s="986">
        <v>3.8999999999999998E-3</v>
      </c>
      <c r="I930" s="986">
        <f t="shared" si="5"/>
        <v>7.4303999999999995E-2</v>
      </c>
      <c r="J930" s="988">
        <v>37742</v>
      </c>
    </row>
    <row r="931" spans="1:10">
      <c r="A931" s="987">
        <v>70</v>
      </c>
      <c r="B931" s="988">
        <v>37773</v>
      </c>
      <c r="C931" s="987" t="s">
        <v>4645</v>
      </c>
      <c r="D931" s="987" t="s">
        <v>4647</v>
      </c>
      <c r="E931" s="987">
        <v>27.25</v>
      </c>
      <c r="F931" s="987">
        <v>-2.1544000000000001E-2</v>
      </c>
      <c r="G931" s="987">
        <v>0</v>
      </c>
      <c r="H931" s="986">
        <v>3.5999999999999999E-3</v>
      </c>
      <c r="I931" s="986">
        <f t="shared" si="5"/>
        <v>-2.5144E-2</v>
      </c>
      <c r="J931" s="988">
        <v>37773</v>
      </c>
    </row>
    <row r="932" spans="1:10">
      <c r="A932" s="987">
        <v>70</v>
      </c>
      <c r="B932" s="988">
        <v>37803</v>
      </c>
      <c r="C932" s="987" t="s">
        <v>4645</v>
      </c>
      <c r="D932" s="987" t="s">
        <v>4647</v>
      </c>
      <c r="E932" s="987">
        <v>28.47</v>
      </c>
      <c r="F932" s="987">
        <v>5.6329999999999998E-2</v>
      </c>
      <c r="G932" s="987">
        <v>0.315</v>
      </c>
      <c r="H932" s="986">
        <v>3.8E-3</v>
      </c>
      <c r="I932" s="986">
        <f t="shared" si="5"/>
        <v>5.253E-2</v>
      </c>
      <c r="J932" s="988">
        <v>37803</v>
      </c>
    </row>
    <row r="933" spans="1:10">
      <c r="A933" s="987">
        <v>70</v>
      </c>
      <c r="B933" s="988">
        <v>37834</v>
      </c>
      <c r="C933" s="987" t="s">
        <v>4645</v>
      </c>
      <c r="D933" s="987" t="s">
        <v>4647</v>
      </c>
      <c r="E933" s="987">
        <v>28.49</v>
      </c>
      <c r="F933" s="987">
        <v>7.0299999999999996E-4</v>
      </c>
      <c r="G933" s="987">
        <v>0</v>
      </c>
      <c r="H933" s="986">
        <v>4.1999999999999997E-3</v>
      </c>
      <c r="I933" s="986">
        <f t="shared" si="5"/>
        <v>-3.4969999999999997E-3</v>
      </c>
      <c r="J933" s="988">
        <v>37834</v>
      </c>
    </row>
    <row r="934" spans="1:10">
      <c r="A934" s="987">
        <v>70</v>
      </c>
      <c r="B934" s="988">
        <v>37865</v>
      </c>
      <c r="C934" s="987" t="s">
        <v>4645</v>
      </c>
      <c r="D934" s="987" t="s">
        <v>4647</v>
      </c>
      <c r="E934" s="987">
        <v>29</v>
      </c>
      <c r="F934" s="987">
        <v>1.7901E-2</v>
      </c>
      <c r="G934" s="987">
        <v>0</v>
      </c>
      <c r="H934" s="986">
        <v>4.5999999999999999E-3</v>
      </c>
      <c r="I934" s="986">
        <f t="shared" si="5"/>
        <v>1.3301E-2</v>
      </c>
      <c r="J934" s="988">
        <v>37865</v>
      </c>
    </row>
    <row r="935" spans="1:10">
      <c r="A935" s="987">
        <v>70</v>
      </c>
      <c r="B935" s="988">
        <v>37895</v>
      </c>
      <c r="C935" s="987" t="s">
        <v>4645</v>
      </c>
      <c r="D935" s="987" t="s">
        <v>4647</v>
      </c>
      <c r="E935" s="987">
        <v>29</v>
      </c>
      <c r="F935" s="987">
        <v>1.1207E-2</v>
      </c>
      <c r="G935" s="987">
        <v>0.32500000000000001</v>
      </c>
      <c r="H935" s="986">
        <v>4.1000000000000003E-3</v>
      </c>
      <c r="I935" s="986">
        <f t="shared" si="5"/>
        <v>7.1069999999999996E-3</v>
      </c>
      <c r="J935" s="988">
        <v>37895</v>
      </c>
    </row>
    <row r="936" spans="1:10">
      <c r="A936" s="987">
        <v>70</v>
      </c>
      <c r="B936" s="988">
        <v>37926</v>
      </c>
      <c r="C936" s="987" t="s">
        <v>4645</v>
      </c>
      <c r="D936" s="987" t="s">
        <v>4647</v>
      </c>
      <c r="E936" s="987">
        <v>30.5</v>
      </c>
      <c r="F936" s="987">
        <v>5.1723999999999999E-2</v>
      </c>
      <c r="G936" s="987">
        <v>0</v>
      </c>
      <c r="H936" s="986">
        <v>3.8999999999999998E-3</v>
      </c>
      <c r="I936" s="986">
        <f t="shared" si="5"/>
        <v>4.7823999999999998E-2</v>
      </c>
      <c r="J936" s="988">
        <v>37926</v>
      </c>
    </row>
    <row r="937" spans="1:10">
      <c r="A937" s="987">
        <v>70</v>
      </c>
      <c r="B937" s="988">
        <v>37956</v>
      </c>
      <c r="C937" s="987" t="s">
        <v>4645</v>
      </c>
      <c r="D937" s="987" t="s">
        <v>4647</v>
      </c>
      <c r="E937" s="987">
        <v>30.75</v>
      </c>
      <c r="F937" s="987">
        <v>8.1969999999999994E-3</v>
      </c>
      <c r="G937" s="987">
        <v>0</v>
      </c>
      <c r="H937" s="986">
        <v>4.7000000000000002E-3</v>
      </c>
      <c r="I937" s="986">
        <f t="shared" si="5"/>
        <v>3.4969999999999992E-3</v>
      </c>
      <c r="J937" s="988">
        <v>37956</v>
      </c>
    </row>
    <row r="938" spans="1:10">
      <c r="A938" s="987">
        <v>70</v>
      </c>
      <c r="B938" s="988">
        <v>37987</v>
      </c>
      <c r="C938" s="987" t="s">
        <v>4645</v>
      </c>
      <c r="D938" s="987" t="s">
        <v>4647</v>
      </c>
      <c r="E938" s="987">
        <v>30.8</v>
      </c>
      <c r="F938" s="987">
        <v>1.2194999999999999E-2</v>
      </c>
      <c r="G938" s="987">
        <v>0.32500000000000001</v>
      </c>
      <c r="H938" s="986">
        <v>4.1999999999999997E-3</v>
      </c>
      <c r="I938" s="986">
        <f t="shared" si="5"/>
        <v>7.9949999999999986E-3</v>
      </c>
      <c r="J938" s="988">
        <v>37987</v>
      </c>
    </row>
    <row r="939" spans="1:10">
      <c r="A939" s="987">
        <v>70</v>
      </c>
      <c r="B939" s="988">
        <v>38018</v>
      </c>
      <c r="C939" s="987" t="s">
        <v>4645</v>
      </c>
      <c r="D939" s="987" t="s">
        <v>4647</v>
      </c>
      <c r="E939" s="987">
        <v>31.97</v>
      </c>
      <c r="F939" s="987">
        <v>3.7987E-2</v>
      </c>
      <c r="G939" s="987">
        <v>0</v>
      </c>
      <c r="H939" s="986">
        <v>3.8E-3</v>
      </c>
      <c r="I939" s="986">
        <f t="shared" si="5"/>
        <v>3.4187000000000002E-2</v>
      </c>
      <c r="J939" s="988">
        <v>38018</v>
      </c>
    </row>
    <row r="940" spans="1:10">
      <c r="A940" s="987">
        <v>70</v>
      </c>
      <c r="B940" s="988">
        <v>38047</v>
      </c>
      <c r="C940" s="987" t="s">
        <v>4645</v>
      </c>
      <c r="D940" s="987" t="s">
        <v>4647</v>
      </c>
      <c r="E940" s="987">
        <v>31.25</v>
      </c>
      <c r="F940" s="987">
        <v>-2.2520999999999999E-2</v>
      </c>
      <c r="G940" s="987">
        <v>0</v>
      </c>
      <c r="H940" s="986">
        <v>4.3E-3</v>
      </c>
      <c r="I940" s="986">
        <f t="shared" si="5"/>
        <v>-2.6820999999999998E-2</v>
      </c>
      <c r="J940" s="988">
        <v>38047</v>
      </c>
    </row>
    <row r="941" spans="1:10">
      <c r="A941" s="987">
        <v>70</v>
      </c>
      <c r="B941" s="988">
        <v>38078</v>
      </c>
      <c r="C941" s="987" t="s">
        <v>4645</v>
      </c>
      <c r="D941" s="987" t="s">
        <v>4647</v>
      </c>
      <c r="E941" s="987">
        <v>29.4</v>
      </c>
      <c r="F941" s="987">
        <v>-4.8800000000000003E-2</v>
      </c>
      <c r="G941" s="987">
        <v>0.32500000000000001</v>
      </c>
      <c r="H941" s="986">
        <v>3.8999999999999998E-3</v>
      </c>
      <c r="I941" s="986">
        <f t="shared" si="5"/>
        <v>-5.2700000000000004E-2</v>
      </c>
      <c r="J941" s="988">
        <v>38078</v>
      </c>
    </row>
    <row r="942" spans="1:10">
      <c r="A942" s="987">
        <v>70</v>
      </c>
      <c r="B942" s="988">
        <v>38108</v>
      </c>
      <c r="C942" s="987" t="s">
        <v>4645</v>
      </c>
      <c r="D942" s="987" t="s">
        <v>4647</v>
      </c>
      <c r="E942" s="987">
        <v>29.11</v>
      </c>
      <c r="F942" s="987">
        <v>-9.8639999999999995E-3</v>
      </c>
      <c r="G942" s="987">
        <v>0</v>
      </c>
      <c r="H942" s="986">
        <v>4.0000000000000001E-3</v>
      </c>
      <c r="I942" s="986">
        <f t="shared" si="5"/>
        <v>-1.3864E-2</v>
      </c>
      <c r="J942" s="988">
        <v>38108</v>
      </c>
    </row>
    <row r="943" spans="1:10">
      <c r="A943" s="987">
        <v>70</v>
      </c>
      <c r="B943" s="988">
        <v>38139</v>
      </c>
      <c r="C943" s="987" t="s">
        <v>4645</v>
      </c>
      <c r="D943" s="987" t="s">
        <v>4647</v>
      </c>
      <c r="E943" s="987">
        <v>30.5</v>
      </c>
      <c r="F943" s="987">
        <v>4.7750000000000001E-2</v>
      </c>
      <c r="G943" s="987">
        <v>0</v>
      </c>
      <c r="H943" s="986">
        <v>4.7999999999999996E-3</v>
      </c>
      <c r="I943" s="986">
        <f t="shared" si="5"/>
        <v>4.2950000000000002E-2</v>
      </c>
      <c r="J943" s="988">
        <v>38139</v>
      </c>
    </row>
    <row r="944" spans="1:10">
      <c r="A944" s="987">
        <v>70</v>
      </c>
      <c r="B944" s="988">
        <v>38169</v>
      </c>
      <c r="C944" s="987" t="s">
        <v>4645</v>
      </c>
      <c r="D944" s="987" t="s">
        <v>4647</v>
      </c>
      <c r="E944" s="987">
        <v>29.38</v>
      </c>
      <c r="F944" s="987">
        <v>-2.6065999999999999E-2</v>
      </c>
      <c r="G944" s="987">
        <v>0.32500000000000001</v>
      </c>
      <c r="H944" s="986">
        <v>4.3E-3</v>
      </c>
      <c r="I944" s="986">
        <f t="shared" si="5"/>
        <v>-3.0365999999999997E-2</v>
      </c>
      <c r="J944" s="988">
        <v>38169</v>
      </c>
    </row>
    <row r="945" spans="1:10">
      <c r="A945" s="987">
        <v>70</v>
      </c>
      <c r="B945" s="988">
        <v>38200</v>
      </c>
      <c r="C945" s="987" t="s">
        <v>4645</v>
      </c>
      <c r="D945" s="987" t="s">
        <v>4647</v>
      </c>
      <c r="E945" s="987">
        <v>30.83</v>
      </c>
      <c r="F945" s="987">
        <v>4.9353000000000001E-2</v>
      </c>
      <c r="G945" s="987">
        <v>0</v>
      </c>
      <c r="H945" s="986">
        <v>4.4999999999999997E-3</v>
      </c>
      <c r="I945" s="986">
        <f t="shared" si="5"/>
        <v>4.4853000000000004E-2</v>
      </c>
      <c r="J945" s="988">
        <v>38200</v>
      </c>
    </row>
    <row r="946" spans="1:10">
      <c r="A946" s="987">
        <v>70</v>
      </c>
      <c r="B946" s="988">
        <v>38231</v>
      </c>
      <c r="C946" s="987" t="s">
        <v>4645</v>
      </c>
      <c r="D946" s="987" t="s">
        <v>4647</v>
      </c>
      <c r="E946" s="987">
        <v>31.73</v>
      </c>
      <c r="F946" s="987">
        <v>2.9191999999999999E-2</v>
      </c>
      <c r="G946" s="987">
        <v>0</v>
      </c>
      <c r="H946" s="986">
        <v>4.0000000000000001E-3</v>
      </c>
      <c r="I946" s="986">
        <f t="shared" si="5"/>
        <v>2.5191999999999999E-2</v>
      </c>
      <c r="J946" s="988">
        <v>38231</v>
      </c>
    </row>
    <row r="947" spans="1:10">
      <c r="A947" s="987">
        <v>70</v>
      </c>
      <c r="B947" s="988">
        <v>38261</v>
      </c>
      <c r="C947" s="987" t="s">
        <v>4645</v>
      </c>
      <c r="D947" s="987" t="s">
        <v>4647</v>
      </c>
      <c r="E947" s="987">
        <v>31.7</v>
      </c>
      <c r="F947" s="987">
        <v>9.2969999999999997E-3</v>
      </c>
      <c r="G947" s="987">
        <v>0.32500000000000001</v>
      </c>
      <c r="H947" s="986">
        <v>3.8E-3</v>
      </c>
      <c r="I947" s="986">
        <f t="shared" si="5"/>
        <v>5.4970000000000001E-3</v>
      </c>
      <c r="J947" s="988">
        <v>38261</v>
      </c>
    </row>
    <row r="948" spans="1:10">
      <c r="A948" s="987">
        <v>70</v>
      </c>
      <c r="B948" s="988">
        <v>38292</v>
      </c>
      <c r="C948" s="987" t="s">
        <v>4645</v>
      </c>
      <c r="D948" s="987" t="s">
        <v>4647</v>
      </c>
      <c r="E948" s="987">
        <v>33.86</v>
      </c>
      <c r="F948" s="987">
        <v>6.8139000000000005E-2</v>
      </c>
      <c r="G948" s="987">
        <v>0</v>
      </c>
      <c r="H948" s="986">
        <v>4.1000000000000003E-3</v>
      </c>
      <c r="I948" s="986">
        <f t="shared" si="5"/>
        <v>6.4038999999999999E-2</v>
      </c>
      <c r="J948" s="988">
        <v>38292</v>
      </c>
    </row>
    <row r="949" spans="1:10">
      <c r="A949" s="987">
        <v>70</v>
      </c>
      <c r="B949" s="988">
        <v>38322</v>
      </c>
      <c r="C949" s="987" t="s">
        <v>4645</v>
      </c>
      <c r="D949" s="987" t="s">
        <v>4647</v>
      </c>
      <c r="E949" s="987">
        <v>33.74</v>
      </c>
      <c r="F949" s="987">
        <v>-3.5439999999999998E-3</v>
      </c>
      <c r="G949" s="987">
        <v>0</v>
      </c>
      <c r="H949" s="986">
        <v>4.3E-3</v>
      </c>
      <c r="I949" s="986">
        <f t="shared" si="5"/>
        <v>-7.8440000000000003E-3</v>
      </c>
      <c r="J949" s="988">
        <v>38322</v>
      </c>
    </row>
    <row r="950" spans="1:10">
      <c r="A950" s="987">
        <v>70</v>
      </c>
      <c r="B950" s="988">
        <v>38353</v>
      </c>
      <c r="C950" s="987" t="s">
        <v>4645</v>
      </c>
      <c r="D950" s="987" t="s">
        <v>4647</v>
      </c>
      <c r="E950" s="987">
        <v>33.950000000000003</v>
      </c>
      <c r="F950" s="987">
        <v>1.5857E-2</v>
      </c>
      <c r="G950" s="987">
        <v>0.32500000000000001</v>
      </c>
      <c r="H950" s="986">
        <v>4.1000000000000003E-3</v>
      </c>
      <c r="I950" s="986">
        <f t="shared" ref="I950:I1013" si="6">F950-H950</f>
        <v>1.1757E-2</v>
      </c>
      <c r="J950" s="988">
        <v>38353</v>
      </c>
    </row>
    <row r="951" spans="1:10">
      <c r="A951" s="987">
        <v>70</v>
      </c>
      <c r="B951" s="988">
        <v>38384</v>
      </c>
      <c r="C951" s="987" t="s">
        <v>4645</v>
      </c>
      <c r="D951" s="987" t="s">
        <v>4647</v>
      </c>
      <c r="E951" s="987">
        <v>36.43</v>
      </c>
      <c r="F951" s="987">
        <v>7.3049000000000003E-2</v>
      </c>
      <c r="G951" s="987">
        <v>0</v>
      </c>
      <c r="H951" s="986">
        <v>3.5000000000000001E-3</v>
      </c>
      <c r="I951" s="986">
        <f t="shared" si="6"/>
        <v>6.9549E-2</v>
      </c>
      <c r="J951" s="988">
        <v>38384</v>
      </c>
    </row>
    <row r="952" spans="1:10">
      <c r="A952" s="987">
        <v>70</v>
      </c>
      <c r="B952" s="988">
        <v>38412</v>
      </c>
      <c r="C952" s="987" t="s">
        <v>4645</v>
      </c>
      <c r="D952" s="987" t="s">
        <v>4647</v>
      </c>
      <c r="E952" s="987">
        <v>36.17</v>
      </c>
      <c r="F952" s="987">
        <v>-7.1370000000000001E-3</v>
      </c>
      <c r="G952" s="987">
        <v>0</v>
      </c>
      <c r="H952" s="986">
        <v>4.1000000000000003E-3</v>
      </c>
      <c r="I952" s="986">
        <f t="shared" si="6"/>
        <v>-1.1237E-2</v>
      </c>
      <c r="J952" s="988">
        <v>38412</v>
      </c>
    </row>
    <row r="953" spans="1:10">
      <c r="A953" s="987">
        <v>70</v>
      </c>
      <c r="B953" s="988">
        <v>38443</v>
      </c>
      <c r="C953" s="987" t="s">
        <v>4645</v>
      </c>
      <c r="D953" s="987" t="s">
        <v>4647</v>
      </c>
      <c r="E953" s="987">
        <v>35.5</v>
      </c>
      <c r="F953" s="987">
        <v>-9.5379999999999996E-3</v>
      </c>
      <c r="G953" s="987">
        <v>0.32500000000000001</v>
      </c>
      <c r="H953" s="986">
        <v>3.8999999999999998E-3</v>
      </c>
      <c r="I953" s="986">
        <f t="shared" si="6"/>
        <v>-1.3437999999999999E-2</v>
      </c>
      <c r="J953" s="988">
        <v>38443</v>
      </c>
    </row>
    <row r="954" spans="1:10">
      <c r="A954" s="987">
        <v>70</v>
      </c>
      <c r="B954" s="988">
        <v>38473</v>
      </c>
      <c r="C954" s="987" t="s">
        <v>4645</v>
      </c>
      <c r="D954" s="987" t="s">
        <v>4647</v>
      </c>
      <c r="E954" s="987">
        <v>36.200000000000003</v>
      </c>
      <c r="F954" s="987">
        <v>1.9717999999999999E-2</v>
      </c>
      <c r="G954" s="987">
        <v>0</v>
      </c>
      <c r="H954" s="986">
        <v>4.0000000000000001E-3</v>
      </c>
      <c r="I954" s="986">
        <f t="shared" si="6"/>
        <v>1.5717999999999999E-2</v>
      </c>
      <c r="J954" s="988">
        <v>38473</v>
      </c>
    </row>
    <row r="955" spans="1:10">
      <c r="A955" s="987">
        <v>70</v>
      </c>
      <c r="B955" s="988">
        <v>38504</v>
      </c>
      <c r="C955" s="987" t="s">
        <v>4645</v>
      </c>
      <c r="D955" s="987" t="s">
        <v>4647</v>
      </c>
      <c r="E955" s="987">
        <v>38.24</v>
      </c>
      <c r="F955" s="987">
        <v>5.6354000000000001E-2</v>
      </c>
      <c r="G955" s="987">
        <v>0</v>
      </c>
      <c r="H955" s="986">
        <v>3.5999999999999999E-3</v>
      </c>
      <c r="I955" s="986">
        <f t="shared" si="6"/>
        <v>5.2754000000000002E-2</v>
      </c>
      <c r="J955" s="988">
        <v>38504</v>
      </c>
    </row>
    <row r="956" spans="1:10">
      <c r="A956" s="987">
        <v>70</v>
      </c>
      <c r="B956" s="988">
        <v>38534</v>
      </c>
      <c r="C956" s="987" t="s">
        <v>4645</v>
      </c>
      <c r="D956" s="987" t="s">
        <v>4647</v>
      </c>
      <c r="E956" s="987">
        <v>38.590000000000003</v>
      </c>
      <c r="F956" s="987">
        <v>1.7652000000000001E-2</v>
      </c>
      <c r="G956" s="987">
        <v>0.32500000000000001</v>
      </c>
      <c r="H956" s="986">
        <v>3.3999999999999998E-3</v>
      </c>
      <c r="I956" s="986">
        <f t="shared" si="6"/>
        <v>1.4252000000000001E-2</v>
      </c>
      <c r="J956" s="988">
        <v>38534</v>
      </c>
    </row>
    <row r="957" spans="1:10">
      <c r="A957" s="987">
        <v>70</v>
      </c>
      <c r="B957" s="988">
        <v>38565</v>
      </c>
      <c r="C957" s="987" t="s">
        <v>4645</v>
      </c>
      <c r="D957" s="987" t="s">
        <v>4647</v>
      </c>
      <c r="E957" s="987">
        <v>36.78</v>
      </c>
      <c r="F957" s="987">
        <v>-4.6903E-2</v>
      </c>
      <c r="G957" s="987">
        <v>0</v>
      </c>
      <c r="H957" s="986">
        <v>4.0000000000000001E-3</v>
      </c>
      <c r="I957" s="986">
        <f t="shared" si="6"/>
        <v>-5.0903000000000004E-2</v>
      </c>
      <c r="J957" s="988">
        <v>38565</v>
      </c>
    </row>
    <row r="958" spans="1:10">
      <c r="A958" s="987">
        <v>70</v>
      </c>
      <c r="B958" s="988">
        <v>38596</v>
      </c>
      <c r="C958" s="987" t="s">
        <v>4645</v>
      </c>
      <c r="D958" s="987" t="s">
        <v>4647</v>
      </c>
      <c r="E958" s="987">
        <v>37.22</v>
      </c>
      <c r="F958" s="987">
        <v>1.1963E-2</v>
      </c>
      <c r="G958" s="987">
        <v>0</v>
      </c>
      <c r="H958" s="986">
        <v>3.5000000000000001E-3</v>
      </c>
      <c r="I958" s="986">
        <f t="shared" si="6"/>
        <v>8.463E-3</v>
      </c>
      <c r="J958" s="988">
        <v>38596</v>
      </c>
    </row>
    <row r="959" spans="1:10">
      <c r="A959" s="987">
        <v>70</v>
      </c>
      <c r="B959" s="988">
        <v>38626</v>
      </c>
      <c r="C959" s="987" t="s">
        <v>4645</v>
      </c>
      <c r="D959" s="987" t="s">
        <v>4647</v>
      </c>
      <c r="E959" s="987">
        <v>34.6</v>
      </c>
      <c r="F959" s="987">
        <v>-6.1122999999999997E-2</v>
      </c>
      <c r="G959" s="987">
        <v>0.34499999999999997</v>
      </c>
      <c r="H959" s="986">
        <v>3.8999999999999998E-3</v>
      </c>
      <c r="I959" s="986">
        <f t="shared" si="6"/>
        <v>-6.5022999999999997E-2</v>
      </c>
      <c r="J959" s="988">
        <v>38626</v>
      </c>
    </row>
    <row r="960" spans="1:10">
      <c r="A960" s="987">
        <v>70</v>
      </c>
      <c r="B960" s="988">
        <v>38657</v>
      </c>
      <c r="C960" s="987" t="s">
        <v>4645</v>
      </c>
      <c r="D960" s="987" t="s">
        <v>4647</v>
      </c>
      <c r="E960" s="987">
        <v>34.36</v>
      </c>
      <c r="F960" s="987">
        <v>-6.9360000000000003E-3</v>
      </c>
      <c r="G960" s="987">
        <v>0</v>
      </c>
      <c r="H960" s="986">
        <v>3.8999999999999998E-3</v>
      </c>
      <c r="I960" s="986">
        <f t="shared" si="6"/>
        <v>-1.0836E-2</v>
      </c>
      <c r="J960" s="988">
        <v>38657</v>
      </c>
    </row>
    <row r="961" spans="1:10">
      <c r="A961" s="987">
        <v>70</v>
      </c>
      <c r="B961" s="988">
        <v>38687</v>
      </c>
      <c r="C961" s="987" t="s">
        <v>4645</v>
      </c>
      <c r="D961" s="987" t="s">
        <v>4647</v>
      </c>
      <c r="E961" s="987">
        <v>34.18</v>
      </c>
      <c r="F961" s="987">
        <v>-5.2389999999999997E-3</v>
      </c>
      <c r="G961" s="987">
        <v>0</v>
      </c>
      <c r="H961" s="986">
        <v>3.8999999999999998E-3</v>
      </c>
      <c r="I961" s="986">
        <f t="shared" si="6"/>
        <v>-9.1389999999999996E-3</v>
      </c>
      <c r="J961" s="988">
        <v>38687</v>
      </c>
    </row>
    <row r="962" spans="1:10">
      <c r="A962" s="987">
        <v>70</v>
      </c>
      <c r="B962" s="988">
        <v>38718</v>
      </c>
      <c r="C962" s="987" t="s">
        <v>4645</v>
      </c>
      <c r="D962" s="987" t="s">
        <v>4647</v>
      </c>
      <c r="E962" s="987">
        <v>35.590000000000003</v>
      </c>
      <c r="F962" s="987">
        <v>5.1346000000000003E-2</v>
      </c>
      <c r="G962" s="987">
        <v>0.34499999999999997</v>
      </c>
      <c r="H962" s="986">
        <v>4.0000000000000001E-3</v>
      </c>
      <c r="I962" s="986">
        <f t="shared" si="6"/>
        <v>4.7345999999999999E-2</v>
      </c>
      <c r="J962" s="988">
        <v>38718</v>
      </c>
    </row>
    <row r="963" spans="1:10">
      <c r="A963" s="987">
        <v>70</v>
      </c>
      <c r="B963" s="988">
        <v>38749</v>
      </c>
      <c r="C963" s="987" t="s">
        <v>4645</v>
      </c>
      <c r="D963" s="987" t="s">
        <v>4647</v>
      </c>
      <c r="E963" s="987">
        <v>34.24</v>
      </c>
      <c r="F963" s="987">
        <v>-3.7932E-2</v>
      </c>
      <c r="G963" s="987">
        <v>0</v>
      </c>
      <c r="H963" s="986">
        <v>3.5999999999999999E-3</v>
      </c>
      <c r="I963" s="986">
        <f t="shared" si="6"/>
        <v>-4.1531999999999999E-2</v>
      </c>
      <c r="J963" s="988">
        <v>38749</v>
      </c>
    </row>
    <row r="964" spans="1:10">
      <c r="A964" s="987">
        <v>70</v>
      </c>
      <c r="B964" s="988">
        <v>38777</v>
      </c>
      <c r="C964" s="987" t="s">
        <v>4645</v>
      </c>
      <c r="D964" s="987" t="s">
        <v>4647</v>
      </c>
      <c r="E964" s="987">
        <v>35.49</v>
      </c>
      <c r="F964" s="987">
        <v>3.6506999999999998E-2</v>
      </c>
      <c r="G964" s="987">
        <v>0</v>
      </c>
      <c r="H964" s="986">
        <v>3.8999999999999998E-3</v>
      </c>
      <c r="I964" s="986">
        <f t="shared" si="6"/>
        <v>3.2606999999999997E-2</v>
      </c>
      <c r="J964" s="988">
        <v>38777</v>
      </c>
    </row>
    <row r="965" spans="1:10">
      <c r="A965" s="987">
        <v>70</v>
      </c>
      <c r="B965" s="988">
        <v>38808</v>
      </c>
      <c r="C965" s="987" t="s">
        <v>4645</v>
      </c>
      <c r="D965" s="987" t="s">
        <v>4647</v>
      </c>
      <c r="E965" s="987">
        <v>34.54</v>
      </c>
      <c r="F965" s="987">
        <v>-1.7047E-2</v>
      </c>
      <c r="G965" s="987">
        <v>0.34499999999999997</v>
      </c>
      <c r="H965" s="986">
        <v>3.8999999999999998E-3</v>
      </c>
      <c r="I965" s="986">
        <f t="shared" si="6"/>
        <v>-2.0947E-2</v>
      </c>
      <c r="J965" s="988">
        <v>38808</v>
      </c>
    </row>
    <row r="966" spans="1:10">
      <c r="A966" s="987">
        <v>70</v>
      </c>
      <c r="B966" s="988">
        <v>38838</v>
      </c>
      <c r="C966" s="987" t="s">
        <v>4645</v>
      </c>
      <c r="D966" s="987" t="s">
        <v>4647</v>
      </c>
      <c r="E966" s="987">
        <v>34.880000000000003</v>
      </c>
      <c r="F966" s="987">
        <v>9.8440000000000003E-3</v>
      </c>
      <c r="G966" s="987">
        <v>0</v>
      </c>
      <c r="H966" s="986">
        <v>4.7999999999999996E-3</v>
      </c>
      <c r="I966" s="986">
        <f t="shared" si="6"/>
        <v>5.0440000000000007E-3</v>
      </c>
      <c r="J966" s="988">
        <v>38838</v>
      </c>
    </row>
    <row r="967" spans="1:10">
      <c r="A967" s="987">
        <v>70</v>
      </c>
      <c r="B967" s="988">
        <v>38869</v>
      </c>
      <c r="C967" s="987" t="s">
        <v>4645</v>
      </c>
      <c r="D967" s="987" t="s">
        <v>4647</v>
      </c>
      <c r="E967" s="987">
        <v>37.03</v>
      </c>
      <c r="F967" s="987">
        <v>6.164E-2</v>
      </c>
      <c r="G967" s="987">
        <v>0</v>
      </c>
      <c r="H967" s="986">
        <v>4.4000000000000003E-3</v>
      </c>
      <c r="I967" s="986">
        <f t="shared" si="6"/>
        <v>5.7239999999999999E-2</v>
      </c>
      <c r="J967" s="988">
        <v>38869</v>
      </c>
    </row>
    <row r="968" spans="1:10">
      <c r="A968" s="987">
        <v>70</v>
      </c>
      <c r="B968" s="988">
        <v>38899</v>
      </c>
      <c r="C968" s="987" t="s">
        <v>4645</v>
      </c>
      <c r="D968" s="987" t="s">
        <v>4647</v>
      </c>
      <c r="E968" s="987">
        <v>37.97</v>
      </c>
      <c r="F968" s="987">
        <v>3.4701999999999997E-2</v>
      </c>
      <c r="G968" s="987">
        <v>0.34499999999999997</v>
      </c>
      <c r="H968" s="986">
        <v>4.4999999999999997E-3</v>
      </c>
      <c r="I968" s="986">
        <f t="shared" si="6"/>
        <v>3.0201999999999996E-2</v>
      </c>
      <c r="J968" s="988">
        <v>38899</v>
      </c>
    </row>
    <row r="969" spans="1:10">
      <c r="A969" s="987">
        <v>70</v>
      </c>
      <c r="B969" s="988">
        <v>38930</v>
      </c>
      <c r="C969" s="987" t="s">
        <v>4645</v>
      </c>
      <c r="D969" s="987" t="s">
        <v>4647</v>
      </c>
      <c r="E969" s="987">
        <v>38.25</v>
      </c>
      <c r="F969" s="987">
        <v>7.3740000000000003E-3</v>
      </c>
      <c r="G969" s="987">
        <v>0</v>
      </c>
      <c r="H969" s="986">
        <v>4.3E-3</v>
      </c>
      <c r="I969" s="986">
        <f t="shared" si="6"/>
        <v>3.0740000000000003E-3</v>
      </c>
      <c r="J969" s="988">
        <v>38930</v>
      </c>
    </row>
    <row r="970" spans="1:10">
      <c r="A970" s="987">
        <v>70</v>
      </c>
      <c r="B970" s="988">
        <v>38961</v>
      </c>
      <c r="C970" s="987" t="s">
        <v>4645</v>
      </c>
      <c r="D970" s="987" t="s">
        <v>4647</v>
      </c>
      <c r="E970" s="987">
        <v>39.28</v>
      </c>
      <c r="F970" s="987">
        <v>2.6928000000000001E-2</v>
      </c>
      <c r="G970" s="987">
        <v>0</v>
      </c>
      <c r="H970" s="986">
        <v>3.8999999999999998E-3</v>
      </c>
      <c r="I970" s="986">
        <f t="shared" si="6"/>
        <v>2.3028E-2</v>
      </c>
      <c r="J970" s="988">
        <v>38961</v>
      </c>
    </row>
    <row r="971" spans="1:10">
      <c r="A971" s="987">
        <v>70</v>
      </c>
      <c r="B971" s="988">
        <v>38991</v>
      </c>
      <c r="C971" s="987" t="s">
        <v>4645</v>
      </c>
      <c r="D971" s="987" t="s">
        <v>4647</v>
      </c>
      <c r="E971" s="987">
        <v>41.37</v>
      </c>
      <c r="F971" s="987">
        <v>6.2245000000000002E-2</v>
      </c>
      <c r="G971" s="987">
        <v>0.35499999999999998</v>
      </c>
      <c r="H971" s="986">
        <v>4.1999999999999997E-3</v>
      </c>
      <c r="I971" s="986">
        <f t="shared" si="6"/>
        <v>5.8044999999999999E-2</v>
      </c>
      <c r="J971" s="988">
        <v>38991</v>
      </c>
    </row>
    <row r="972" spans="1:10">
      <c r="A972" s="987">
        <v>70</v>
      </c>
      <c r="B972" s="988">
        <v>39022</v>
      </c>
      <c r="C972" s="987" t="s">
        <v>4645</v>
      </c>
      <c r="D972" s="987" t="s">
        <v>4647</v>
      </c>
      <c r="E972" s="987">
        <v>41.24</v>
      </c>
      <c r="F972" s="987">
        <v>-3.1419999999999998E-3</v>
      </c>
      <c r="G972" s="987">
        <v>0</v>
      </c>
      <c r="H972" s="986">
        <v>3.8999999999999998E-3</v>
      </c>
      <c r="I972" s="986">
        <f t="shared" si="6"/>
        <v>-7.0419999999999996E-3</v>
      </c>
      <c r="J972" s="988">
        <v>39022</v>
      </c>
    </row>
    <row r="973" spans="1:10">
      <c r="A973" s="987">
        <v>70</v>
      </c>
      <c r="B973" s="988">
        <v>39052</v>
      </c>
      <c r="C973" s="987" t="s">
        <v>4645</v>
      </c>
      <c r="D973" s="987" t="s">
        <v>4647</v>
      </c>
      <c r="E973" s="987">
        <v>42.44</v>
      </c>
      <c r="F973" s="987">
        <v>2.9097999999999999E-2</v>
      </c>
      <c r="G973" s="987">
        <v>0</v>
      </c>
      <c r="H973" s="986">
        <v>3.5999999999999999E-3</v>
      </c>
      <c r="I973" s="986">
        <f t="shared" si="6"/>
        <v>2.5498E-2</v>
      </c>
      <c r="J973" s="988">
        <v>39052</v>
      </c>
    </row>
    <row r="974" spans="1:10">
      <c r="A974" s="987">
        <v>70</v>
      </c>
      <c r="B974" s="988">
        <v>39083</v>
      </c>
      <c r="C974" s="987" t="s">
        <v>4645</v>
      </c>
      <c r="D974" s="987" t="s">
        <v>4647</v>
      </c>
      <c r="E974" s="987">
        <v>40.69</v>
      </c>
      <c r="F974" s="987">
        <v>-3.2870000000000003E-2</v>
      </c>
      <c r="G974" s="987">
        <v>0.35499999999999998</v>
      </c>
      <c r="H974" s="986">
        <v>4.3E-3</v>
      </c>
      <c r="I974" s="986">
        <f t="shared" si="6"/>
        <v>-3.7170000000000002E-2</v>
      </c>
      <c r="J974" s="988">
        <v>39083</v>
      </c>
    </row>
    <row r="975" spans="1:10">
      <c r="A975" s="987">
        <v>70</v>
      </c>
      <c r="B975" s="988">
        <v>39114</v>
      </c>
      <c r="C975" s="987" t="s">
        <v>4645</v>
      </c>
      <c r="D975" s="987" t="s">
        <v>4647</v>
      </c>
      <c r="E975" s="987">
        <v>44.27</v>
      </c>
      <c r="F975" s="987">
        <v>8.7982000000000005E-2</v>
      </c>
      <c r="G975" s="987">
        <v>0</v>
      </c>
      <c r="H975" s="986">
        <v>3.8E-3</v>
      </c>
      <c r="I975" s="986">
        <f t="shared" si="6"/>
        <v>8.4182000000000007E-2</v>
      </c>
      <c r="J975" s="988">
        <v>39114</v>
      </c>
    </row>
    <row r="976" spans="1:10">
      <c r="A976" s="987">
        <v>70</v>
      </c>
      <c r="B976" s="988">
        <v>39142</v>
      </c>
      <c r="C976" s="987" t="s">
        <v>4645</v>
      </c>
      <c r="D976" s="987" t="s">
        <v>4647</v>
      </c>
      <c r="E976" s="987">
        <v>45.67</v>
      </c>
      <c r="F976" s="987">
        <v>3.1623999999999999E-2</v>
      </c>
      <c r="G976" s="987">
        <v>0</v>
      </c>
      <c r="H976" s="986">
        <v>3.8999999999999998E-3</v>
      </c>
      <c r="I976" s="986">
        <f t="shared" si="6"/>
        <v>2.7723999999999999E-2</v>
      </c>
      <c r="J976" s="988">
        <v>39142</v>
      </c>
    </row>
    <row r="977" spans="1:10">
      <c r="A977" s="987">
        <v>70</v>
      </c>
      <c r="B977" s="988">
        <v>39173</v>
      </c>
      <c r="C977" s="987" t="s">
        <v>4645</v>
      </c>
      <c r="D977" s="987" t="s">
        <v>4647</v>
      </c>
      <c r="E977" s="987">
        <v>50.81</v>
      </c>
      <c r="F977" s="987">
        <v>0.12032</v>
      </c>
      <c r="G977" s="987">
        <v>0.35499999999999998</v>
      </c>
      <c r="H977" s="986">
        <v>4.1999999999999997E-3</v>
      </c>
      <c r="I977" s="986">
        <f t="shared" si="6"/>
        <v>0.11612</v>
      </c>
      <c r="J977" s="988">
        <v>39173</v>
      </c>
    </row>
    <row r="978" spans="1:10">
      <c r="A978" s="987">
        <v>70</v>
      </c>
      <c r="B978" s="988">
        <v>39203</v>
      </c>
      <c r="C978" s="987" t="s">
        <v>4645</v>
      </c>
      <c r="D978" s="987" t="s">
        <v>4647</v>
      </c>
      <c r="E978" s="987">
        <v>49.83</v>
      </c>
      <c r="F978" s="987">
        <v>-1.9288E-2</v>
      </c>
      <c r="G978" s="987">
        <v>0</v>
      </c>
      <c r="H978" s="986">
        <v>4.1000000000000003E-3</v>
      </c>
      <c r="I978" s="986">
        <f t="shared" si="6"/>
        <v>-2.3387999999999999E-2</v>
      </c>
      <c r="J978" s="988">
        <v>39203</v>
      </c>
    </row>
    <row r="979" spans="1:10">
      <c r="A979" s="987">
        <v>70</v>
      </c>
      <c r="B979" s="988">
        <v>39234</v>
      </c>
      <c r="C979" s="987" t="s">
        <v>4645</v>
      </c>
      <c r="D979" s="987" t="s">
        <v>4647</v>
      </c>
      <c r="E979" s="987">
        <v>46.19</v>
      </c>
      <c r="F979" s="987">
        <v>-7.3048000000000002E-2</v>
      </c>
      <c r="G979" s="987">
        <v>0</v>
      </c>
      <c r="H979" s="986">
        <v>4.0000000000000001E-3</v>
      </c>
      <c r="I979" s="986">
        <f t="shared" si="6"/>
        <v>-7.7048000000000005E-2</v>
      </c>
      <c r="J979" s="988">
        <v>39234</v>
      </c>
    </row>
    <row r="980" spans="1:10">
      <c r="A980" s="987">
        <v>70</v>
      </c>
      <c r="B980" s="988">
        <v>39264</v>
      </c>
      <c r="C980" s="987" t="s">
        <v>4645</v>
      </c>
      <c r="D980" s="987" t="s">
        <v>4647</v>
      </c>
      <c r="E980" s="987">
        <v>41.67</v>
      </c>
      <c r="F980" s="987">
        <v>-9.0171000000000001E-2</v>
      </c>
      <c r="G980" s="987">
        <v>0.35499999999999998</v>
      </c>
      <c r="H980" s="986">
        <v>4.5999999999999999E-3</v>
      </c>
      <c r="I980" s="986">
        <f t="shared" si="6"/>
        <v>-9.4770999999999994E-2</v>
      </c>
      <c r="J980" s="988">
        <v>39264</v>
      </c>
    </row>
    <row r="981" spans="1:10">
      <c r="A981" s="987">
        <v>70</v>
      </c>
      <c r="B981" s="988">
        <v>39295</v>
      </c>
      <c r="C981" s="987" t="s">
        <v>4645</v>
      </c>
      <c r="D981" s="987" t="s">
        <v>4647</v>
      </c>
      <c r="E981" s="987">
        <v>46.46</v>
      </c>
      <c r="F981" s="987">
        <v>0.114951</v>
      </c>
      <c r="G981" s="987">
        <v>0</v>
      </c>
      <c r="H981" s="986">
        <v>4.1999999999999997E-3</v>
      </c>
      <c r="I981" s="986">
        <f t="shared" si="6"/>
        <v>0.110751</v>
      </c>
      <c r="J981" s="988">
        <v>39295</v>
      </c>
    </row>
    <row r="982" spans="1:10">
      <c r="A982" s="987">
        <v>70</v>
      </c>
      <c r="B982" s="988">
        <v>39326</v>
      </c>
      <c r="C982" s="987" t="s">
        <v>4645</v>
      </c>
      <c r="D982" s="987" t="s">
        <v>4647</v>
      </c>
      <c r="E982" s="987">
        <v>45.7</v>
      </c>
      <c r="F982" s="987">
        <v>-1.6358000000000001E-2</v>
      </c>
      <c r="G982" s="987">
        <v>0</v>
      </c>
      <c r="H982" s="986">
        <v>3.7000000000000002E-3</v>
      </c>
      <c r="I982" s="986">
        <f t="shared" si="6"/>
        <v>-2.0057999999999999E-2</v>
      </c>
      <c r="J982" s="988">
        <v>39326</v>
      </c>
    </row>
    <row r="983" spans="1:10">
      <c r="A983" s="987">
        <v>70</v>
      </c>
      <c r="B983" s="988">
        <v>39356</v>
      </c>
      <c r="C983" s="987" t="s">
        <v>4645</v>
      </c>
      <c r="D983" s="987" t="s">
        <v>4647</v>
      </c>
      <c r="E983" s="987">
        <v>48.17</v>
      </c>
      <c r="F983" s="987">
        <v>6.2253999999999997E-2</v>
      </c>
      <c r="G983" s="987">
        <v>0.375</v>
      </c>
      <c r="H983" s="986">
        <v>4.3E-3</v>
      </c>
      <c r="I983" s="986">
        <f t="shared" si="6"/>
        <v>5.7953999999999999E-2</v>
      </c>
      <c r="J983" s="988">
        <v>39356</v>
      </c>
    </row>
    <row r="984" spans="1:10">
      <c r="A984" s="987">
        <v>70</v>
      </c>
      <c r="B984" s="988">
        <v>39387</v>
      </c>
      <c r="C984" s="987" t="s">
        <v>4645</v>
      </c>
      <c r="D984" s="987" t="s">
        <v>4647</v>
      </c>
      <c r="E984" s="987">
        <v>47.97</v>
      </c>
      <c r="F984" s="987">
        <v>-4.1520000000000003E-3</v>
      </c>
      <c r="G984" s="987">
        <v>0</v>
      </c>
      <c r="H984" s="986">
        <v>3.8999999999999998E-3</v>
      </c>
      <c r="I984" s="986">
        <f t="shared" si="6"/>
        <v>-8.0520000000000001E-3</v>
      </c>
      <c r="J984" s="988">
        <v>39387</v>
      </c>
    </row>
    <row r="985" spans="1:10">
      <c r="A985" s="987">
        <v>70</v>
      </c>
      <c r="B985" s="988">
        <v>39417</v>
      </c>
      <c r="C985" s="987" t="s">
        <v>4645</v>
      </c>
      <c r="D985" s="987" t="s">
        <v>4647</v>
      </c>
      <c r="E985" s="987">
        <v>48.66</v>
      </c>
      <c r="F985" s="987">
        <v>1.4383999999999999E-2</v>
      </c>
      <c r="G985" s="987">
        <v>0</v>
      </c>
      <c r="H985" s="986">
        <v>3.7000000000000002E-3</v>
      </c>
      <c r="I985" s="986">
        <f t="shared" si="6"/>
        <v>1.0683999999999999E-2</v>
      </c>
      <c r="J985" s="988">
        <v>39417</v>
      </c>
    </row>
    <row r="986" spans="1:10">
      <c r="A986" s="987">
        <v>70</v>
      </c>
      <c r="B986" s="988">
        <v>39448</v>
      </c>
      <c r="C986" s="987" t="s">
        <v>4645</v>
      </c>
      <c r="D986" s="987" t="s">
        <v>4647</v>
      </c>
      <c r="E986" s="987">
        <v>47.34</v>
      </c>
      <c r="F986" s="987">
        <v>-1.942E-2</v>
      </c>
      <c r="G986" s="987">
        <v>0.375</v>
      </c>
      <c r="H986" s="986">
        <v>4.0000000000000001E-3</v>
      </c>
      <c r="I986" s="986">
        <f t="shared" si="6"/>
        <v>-2.342E-2</v>
      </c>
      <c r="J986" s="988">
        <v>39448</v>
      </c>
    </row>
    <row r="987" spans="1:10">
      <c r="A987" s="987">
        <v>70</v>
      </c>
      <c r="B987" s="988">
        <v>39479</v>
      </c>
      <c r="C987" s="987" t="s">
        <v>4645</v>
      </c>
      <c r="D987" s="987" t="s">
        <v>4647</v>
      </c>
      <c r="E987" s="987">
        <v>42.04</v>
      </c>
      <c r="F987" s="987">
        <v>-0.111956</v>
      </c>
      <c r="G987" s="987">
        <v>0</v>
      </c>
      <c r="H987" s="986">
        <v>3.3999999999999998E-3</v>
      </c>
      <c r="I987" s="986">
        <f t="shared" si="6"/>
        <v>-0.115356</v>
      </c>
      <c r="J987" s="988">
        <v>39479</v>
      </c>
    </row>
    <row r="988" spans="1:10">
      <c r="A988" s="987">
        <v>70</v>
      </c>
      <c r="B988" s="988">
        <v>39508</v>
      </c>
      <c r="C988" s="987" t="s">
        <v>4645</v>
      </c>
      <c r="D988" s="987" t="s">
        <v>4647</v>
      </c>
      <c r="E988" s="987">
        <v>43.44</v>
      </c>
      <c r="F988" s="987">
        <v>3.3301999999999998E-2</v>
      </c>
      <c r="G988" s="987">
        <v>0</v>
      </c>
      <c r="H988" s="986">
        <v>3.7000000000000002E-3</v>
      </c>
      <c r="I988" s="986">
        <f t="shared" si="6"/>
        <v>2.9601999999999996E-2</v>
      </c>
      <c r="J988" s="988">
        <v>39508</v>
      </c>
    </row>
    <row r="989" spans="1:10">
      <c r="A989" s="987">
        <v>70</v>
      </c>
      <c r="B989" s="988">
        <v>39539</v>
      </c>
      <c r="C989" s="987" t="s">
        <v>4645</v>
      </c>
      <c r="D989" s="987" t="s">
        <v>4647</v>
      </c>
      <c r="E989" s="987">
        <v>44.87</v>
      </c>
      <c r="F989" s="987">
        <v>4.1551999999999999E-2</v>
      </c>
      <c r="G989" s="987">
        <v>0.375</v>
      </c>
      <c r="H989" s="986">
        <v>3.5000000000000001E-3</v>
      </c>
      <c r="I989" s="986">
        <f t="shared" si="6"/>
        <v>3.8051999999999996E-2</v>
      </c>
      <c r="J989" s="988">
        <v>39539</v>
      </c>
    </row>
    <row r="990" spans="1:10">
      <c r="A990" s="987">
        <v>70</v>
      </c>
      <c r="B990" s="988">
        <v>39569</v>
      </c>
      <c r="C990" s="987" t="s">
        <v>4645</v>
      </c>
      <c r="D990" s="987" t="s">
        <v>4647</v>
      </c>
      <c r="E990" s="987">
        <v>45.59</v>
      </c>
      <c r="F990" s="987">
        <v>1.6046000000000001E-2</v>
      </c>
      <c r="G990" s="987">
        <v>0</v>
      </c>
      <c r="H990" s="986">
        <v>3.7000000000000002E-3</v>
      </c>
      <c r="I990" s="986">
        <f t="shared" si="6"/>
        <v>1.2346000000000001E-2</v>
      </c>
      <c r="J990" s="988">
        <v>39569</v>
      </c>
    </row>
    <row r="991" spans="1:10">
      <c r="A991" s="987">
        <v>70</v>
      </c>
      <c r="B991" s="988">
        <v>39600</v>
      </c>
      <c r="C991" s="987" t="s">
        <v>4645</v>
      </c>
      <c r="D991" s="987" t="s">
        <v>4647</v>
      </c>
      <c r="E991" s="987">
        <v>46.26</v>
      </c>
      <c r="F991" s="987">
        <v>1.4696000000000001E-2</v>
      </c>
      <c r="G991" s="987">
        <v>0</v>
      </c>
      <c r="H991" s="986">
        <v>4.0000000000000001E-3</v>
      </c>
      <c r="I991" s="986">
        <f t="shared" si="6"/>
        <v>1.0696000000000001E-2</v>
      </c>
      <c r="J991" s="988">
        <v>39600</v>
      </c>
    </row>
    <row r="992" spans="1:10">
      <c r="A992" s="987">
        <v>70</v>
      </c>
      <c r="B992" s="988">
        <v>39630</v>
      </c>
      <c r="C992" s="987" t="s">
        <v>4645</v>
      </c>
      <c r="D992" s="987" t="s">
        <v>4647</v>
      </c>
      <c r="E992" s="987">
        <v>45.25</v>
      </c>
      <c r="F992" s="987">
        <v>-1.3727E-2</v>
      </c>
      <c r="G992" s="987">
        <v>0.375</v>
      </c>
      <c r="H992" s="986">
        <v>3.8999999999999998E-3</v>
      </c>
      <c r="I992" s="986">
        <f t="shared" si="6"/>
        <v>-1.7627E-2</v>
      </c>
      <c r="J992" s="988">
        <v>39630</v>
      </c>
    </row>
    <row r="993" spans="1:10">
      <c r="A993" s="987">
        <v>70</v>
      </c>
      <c r="B993" s="988">
        <v>39661</v>
      </c>
      <c r="C993" s="987" t="s">
        <v>4645</v>
      </c>
      <c r="D993" s="987" t="s">
        <v>4647</v>
      </c>
      <c r="E993" s="987">
        <v>48.73</v>
      </c>
      <c r="F993" s="987">
        <v>7.6906000000000002E-2</v>
      </c>
      <c r="G993" s="987">
        <v>0</v>
      </c>
      <c r="H993" s="986">
        <v>3.5999999999999999E-3</v>
      </c>
      <c r="I993" s="986">
        <f t="shared" si="6"/>
        <v>7.3305999999999996E-2</v>
      </c>
      <c r="J993" s="988">
        <v>39661</v>
      </c>
    </row>
    <row r="994" spans="1:10">
      <c r="A994" s="987">
        <v>70</v>
      </c>
      <c r="B994" s="988">
        <v>39692</v>
      </c>
      <c r="C994" s="987" t="s">
        <v>4645</v>
      </c>
      <c r="D994" s="987" t="s">
        <v>4647</v>
      </c>
      <c r="E994" s="987">
        <v>52</v>
      </c>
      <c r="F994" s="987">
        <v>6.7103999999999997E-2</v>
      </c>
      <c r="G994" s="987">
        <v>0</v>
      </c>
      <c r="H994" s="986">
        <v>3.8999999999999998E-3</v>
      </c>
      <c r="I994" s="986">
        <f t="shared" si="6"/>
        <v>6.3203999999999996E-2</v>
      </c>
      <c r="J994" s="988">
        <v>39692</v>
      </c>
    </row>
    <row r="995" spans="1:10">
      <c r="A995" s="987">
        <v>70</v>
      </c>
      <c r="B995" s="988">
        <v>39722</v>
      </c>
      <c r="C995" s="987" t="s">
        <v>4645</v>
      </c>
      <c r="D995" s="987" t="s">
        <v>4647</v>
      </c>
      <c r="E995" s="987">
        <v>50.88</v>
      </c>
      <c r="F995" s="987">
        <v>-1.3942E-2</v>
      </c>
      <c r="G995" s="987">
        <v>0.39500000000000002</v>
      </c>
      <c r="H995" s="986">
        <v>3.7000000000000002E-3</v>
      </c>
      <c r="I995" s="986">
        <f t="shared" si="6"/>
        <v>-1.7641999999999998E-2</v>
      </c>
      <c r="J995" s="988">
        <v>39722</v>
      </c>
    </row>
    <row r="996" spans="1:10">
      <c r="A996" s="987">
        <v>70</v>
      </c>
      <c r="B996" s="988">
        <v>39753</v>
      </c>
      <c r="C996" s="987" t="s">
        <v>4645</v>
      </c>
      <c r="D996" s="987" t="s">
        <v>4647</v>
      </c>
      <c r="E996" s="987">
        <v>49.95</v>
      </c>
      <c r="F996" s="987">
        <v>-1.8277999999999999E-2</v>
      </c>
      <c r="G996" s="987">
        <v>0</v>
      </c>
      <c r="H996" s="986">
        <v>3.5999999999999999E-3</v>
      </c>
      <c r="I996" s="986">
        <f t="shared" si="6"/>
        <v>-2.1877999999999998E-2</v>
      </c>
      <c r="J996" s="988">
        <v>39753</v>
      </c>
    </row>
    <row r="997" spans="1:10">
      <c r="A997" s="987">
        <v>70</v>
      </c>
      <c r="B997" s="988">
        <v>39783</v>
      </c>
      <c r="C997" s="987" t="s">
        <v>4645</v>
      </c>
      <c r="D997" s="987" t="s">
        <v>4647</v>
      </c>
      <c r="E997" s="987">
        <v>44.23</v>
      </c>
      <c r="F997" s="987">
        <v>-0.11451500000000001</v>
      </c>
      <c r="G997" s="987">
        <v>0</v>
      </c>
      <c r="H997" s="986">
        <v>3.3E-3</v>
      </c>
      <c r="I997" s="986">
        <f t="shared" si="6"/>
        <v>-0.117815</v>
      </c>
      <c r="J997" s="988">
        <v>39783</v>
      </c>
    </row>
    <row r="998" spans="1:10">
      <c r="A998" s="987">
        <v>70</v>
      </c>
      <c r="B998" s="988">
        <v>39814</v>
      </c>
      <c r="C998" s="987" t="s">
        <v>4645</v>
      </c>
      <c r="D998" s="987" t="s">
        <v>4647</v>
      </c>
      <c r="E998" s="987">
        <v>42.94</v>
      </c>
      <c r="F998" s="987">
        <v>-2.0235E-2</v>
      </c>
      <c r="G998" s="987">
        <v>0.39500000000000002</v>
      </c>
      <c r="H998" s="986">
        <v>2.3999999999999998E-3</v>
      </c>
      <c r="I998" s="986">
        <f t="shared" si="6"/>
        <v>-2.2634999999999999E-2</v>
      </c>
      <c r="J998" s="988">
        <v>39814</v>
      </c>
    </row>
    <row r="999" spans="1:10">
      <c r="A999" s="987">
        <v>70</v>
      </c>
      <c r="B999" s="988">
        <v>39845</v>
      </c>
      <c r="C999" s="987" t="s">
        <v>4645</v>
      </c>
      <c r="D999" s="987" t="s">
        <v>4647</v>
      </c>
      <c r="E999" s="987">
        <v>40.950000000000003</v>
      </c>
      <c r="F999" s="987">
        <v>-4.6344000000000003E-2</v>
      </c>
      <c r="G999" s="987">
        <v>0</v>
      </c>
      <c r="H999" s="986">
        <v>3.0000000000000001E-3</v>
      </c>
      <c r="I999" s="986">
        <f t="shared" si="6"/>
        <v>-4.9344000000000006E-2</v>
      </c>
      <c r="J999" s="988">
        <v>39845</v>
      </c>
    </row>
    <row r="1000" spans="1:10">
      <c r="A1000" s="987">
        <v>70</v>
      </c>
      <c r="B1000" s="988">
        <v>39873</v>
      </c>
      <c r="C1000" s="987" t="s">
        <v>4645</v>
      </c>
      <c r="D1000" s="987" t="s">
        <v>4647</v>
      </c>
      <c r="E1000" s="987">
        <v>43.42</v>
      </c>
      <c r="F1000" s="987">
        <v>6.0317000000000003E-2</v>
      </c>
      <c r="G1000" s="987">
        <v>0</v>
      </c>
      <c r="H1000" s="986">
        <v>3.5000000000000001E-3</v>
      </c>
      <c r="I1000" s="986">
        <f t="shared" si="6"/>
        <v>5.6816999999999999E-2</v>
      </c>
      <c r="J1000" s="988">
        <v>39873</v>
      </c>
    </row>
    <row r="1001" spans="1:10">
      <c r="A1001" s="987">
        <v>70</v>
      </c>
      <c r="B1001" s="988">
        <v>39904</v>
      </c>
      <c r="C1001" s="987" t="s">
        <v>4645</v>
      </c>
      <c r="D1001" s="987" t="s">
        <v>4647</v>
      </c>
      <c r="E1001" s="987">
        <v>40.9</v>
      </c>
      <c r="F1001" s="987">
        <v>-4.8940999999999998E-2</v>
      </c>
      <c r="G1001" s="987">
        <v>0.39500000000000002</v>
      </c>
      <c r="H1001" s="986">
        <v>2.8999999999999998E-3</v>
      </c>
      <c r="I1001" s="986">
        <f t="shared" si="6"/>
        <v>-5.1840999999999998E-2</v>
      </c>
      <c r="J1001" s="988">
        <v>39904</v>
      </c>
    </row>
    <row r="1002" spans="1:10">
      <c r="A1002" s="987">
        <v>70</v>
      </c>
      <c r="B1002" s="988">
        <v>39934</v>
      </c>
      <c r="C1002" s="987" t="s">
        <v>4645</v>
      </c>
      <c r="D1002" s="987" t="s">
        <v>4647</v>
      </c>
      <c r="E1002" s="987">
        <v>42.44</v>
      </c>
      <c r="F1002" s="987">
        <v>3.7652999999999999E-2</v>
      </c>
      <c r="G1002" s="987">
        <v>0</v>
      </c>
      <c r="H1002" s="986">
        <v>3.3E-3</v>
      </c>
      <c r="I1002" s="986">
        <f t="shared" si="6"/>
        <v>3.4353000000000002E-2</v>
      </c>
      <c r="J1002" s="988">
        <v>39934</v>
      </c>
    </row>
    <row r="1003" spans="1:10">
      <c r="A1003" s="987">
        <v>70</v>
      </c>
      <c r="B1003" s="988">
        <v>39965</v>
      </c>
      <c r="C1003" s="987" t="s">
        <v>4645</v>
      </c>
      <c r="D1003" s="987" t="s">
        <v>4647</v>
      </c>
      <c r="E1003" s="987">
        <v>44.32</v>
      </c>
      <c r="F1003" s="987">
        <v>4.4297999999999997E-2</v>
      </c>
      <c r="G1003" s="987">
        <v>0</v>
      </c>
      <c r="H1003" s="986">
        <v>3.8E-3</v>
      </c>
      <c r="I1003" s="986">
        <f t="shared" si="6"/>
        <v>4.0497999999999999E-2</v>
      </c>
      <c r="J1003" s="988">
        <v>39965</v>
      </c>
    </row>
    <row r="1004" spans="1:10">
      <c r="A1004" s="987">
        <v>70</v>
      </c>
      <c r="B1004" s="988">
        <v>39995</v>
      </c>
      <c r="C1004" s="987" t="s">
        <v>4645</v>
      </c>
      <c r="D1004" s="987" t="s">
        <v>4647</v>
      </c>
      <c r="E1004" s="987">
        <v>44.64</v>
      </c>
      <c r="F1004" s="987">
        <v>1.6133000000000002E-2</v>
      </c>
      <c r="G1004" s="987">
        <v>0.39500000000000002</v>
      </c>
      <c r="H1004" s="986">
        <v>3.5999999999999999E-3</v>
      </c>
      <c r="I1004" s="986">
        <f t="shared" si="6"/>
        <v>1.2533000000000002E-2</v>
      </c>
      <c r="J1004" s="988">
        <v>39995</v>
      </c>
    </row>
    <row r="1005" spans="1:10">
      <c r="A1005" s="987">
        <v>70</v>
      </c>
      <c r="B1005" s="988">
        <v>40026</v>
      </c>
      <c r="C1005" s="987" t="s">
        <v>4645</v>
      </c>
      <c r="D1005" s="987" t="s">
        <v>4647</v>
      </c>
      <c r="E1005" s="987">
        <v>42.1</v>
      </c>
      <c r="F1005" s="987">
        <v>-5.6899999999999999E-2</v>
      </c>
      <c r="G1005" s="987">
        <v>0</v>
      </c>
      <c r="H1005" s="986">
        <v>3.5999999999999999E-3</v>
      </c>
      <c r="I1005" s="986">
        <f t="shared" si="6"/>
        <v>-6.0499999999999998E-2</v>
      </c>
      <c r="J1005" s="988">
        <v>40026</v>
      </c>
    </row>
    <row r="1006" spans="1:10">
      <c r="A1006" s="987">
        <v>70</v>
      </c>
      <c r="B1006" s="988">
        <v>40057</v>
      </c>
      <c r="C1006" s="987" t="s">
        <v>4645</v>
      </c>
      <c r="D1006" s="987" t="s">
        <v>4647</v>
      </c>
      <c r="E1006" s="987">
        <v>41.66</v>
      </c>
      <c r="F1006" s="987">
        <v>-1.0451E-2</v>
      </c>
      <c r="G1006" s="987">
        <v>0</v>
      </c>
      <c r="H1006" s="986">
        <v>3.3999999999999998E-3</v>
      </c>
      <c r="I1006" s="986">
        <f t="shared" si="6"/>
        <v>-1.3851E-2</v>
      </c>
      <c r="J1006" s="988">
        <v>40057</v>
      </c>
    </row>
    <row r="1007" spans="1:10">
      <c r="A1007" s="987">
        <v>70</v>
      </c>
      <c r="B1007" s="988">
        <v>40087</v>
      </c>
      <c r="C1007" s="987" t="s">
        <v>4645</v>
      </c>
      <c r="D1007" s="987" t="s">
        <v>4647</v>
      </c>
      <c r="E1007" s="987">
        <v>41.81</v>
      </c>
      <c r="F1007" s="987">
        <v>1.3561999999999999E-2</v>
      </c>
      <c r="G1007" s="987">
        <v>0.41499999999999998</v>
      </c>
      <c r="H1007" s="986">
        <v>3.3E-3</v>
      </c>
      <c r="I1007" s="986">
        <f t="shared" si="6"/>
        <v>1.0262E-2</v>
      </c>
      <c r="J1007" s="988">
        <v>40087</v>
      </c>
    </row>
    <row r="1008" spans="1:10">
      <c r="A1008" s="987">
        <v>70</v>
      </c>
      <c r="B1008" s="988">
        <v>40118</v>
      </c>
      <c r="C1008" s="987" t="s">
        <v>4645</v>
      </c>
      <c r="D1008" s="987" t="s">
        <v>4647</v>
      </c>
      <c r="E1008" s="987">
        <v>42.88</v>
      </c>
      <c r="F1008" s="987">
        <v>2.5592E-2</v>
      </c>
      <c r="G1008" s="987">
        <v>0</v>
      </c>
      <c r="H1008" s="986">
        <v>3.5000000000000001E-3</v>
      </c>
      <c r="I1008" s="986">
        <f t="shared" si="6"/>
        <v>2.2092000000000001E-2</v>
      </c>
      <c r="J1008" s="988">
        <v>40118</v>
      </c>
    </row>
    <row r="1009" spans="1:10">
      <c r="A1009" s="987">
        <v>70</v>
      </c>
      <c r="B1009" s="988">
        <v>40148</v>
      </c>
      <c r="C1009" s="987" t="s">
        <v>4645</v>
      </c>
      <c r="D1009" s="987" t="s">
        <v>4647</v>
      </c>
      <c r="E1009" s="987">
        <v>45.04</v>
      </c>
      <c r="F1009" s="987">
        <v>5.0373000000000001E-2</v>
      </c>
      <c r="G1009" s="987">
        <v>0</v>
      </c>
      <c r="H1009" s="986">
        <v>3.3999999999999998E-3</v>
      </c>
      <c r="I1009" s="986">
        <f t="shared" si="6"/>
        <v>4.6973000000000001E-2</v>
      </c>
      <c r="J1009" s="988">
        <v>40148</v>
      </c>
    </row>
    <row r="1010" spans="1:10">
      <c r="A1010" s="987">
        <v>70</v>
      </c>
      <c r="B1010" s="988">
        <v>40179</v>
      </c>
      <c r="C1010" s="987" t="s">
        <v>4645</v>
      </c>
      <c r="D1010" s="987" t="s">
        <v>4647</v>
      </c>
      <c r="E1010" s="987">
        <v>43.37</v>
      </c>
      <c r="F1010" s="987">
        <v>-2.7864E-2</v>
      </c>
      <c r="G1010" s="987">
        <v>0.41499999999999998</v>
      </c>
      <c r="H1010" s="986">
        <v>3.5999999999999999E-3</v>
      </c>
      <c r="I1010" s="986">
        <f t="shared" si="6"/>
        <v>-3.1463999999999999E-2</v>
      </c>
      <c r="J1010" s="988">
        <v>40179</v>
      </c>
    </row>
    <row r="1011" spans="1:10">
      <c r="A1011" s="987">
        <v>70</v>
      </c>
      <c r="B1011" s="988">
        <v>40210</v>
      </c>
      <c r="C1011" s="987" t="s">
        <v>4645</v>
      </c>
      <c r="D1011" s="987" t="s">
        <v>4647</v>
      </c>
      <c r="E1011" s="987">
        <v>43.99</v>
      </c>
      <c r="F1011" s="987">
        <v>1.4296E-2</v>
      </c>
      <c r="G1011" s="987">
        <v>0</v>
      </c>
      <c r="H1011" s="986">
        <v>3.3E-3</v>
      </c>
      <c r="I1011" s="986">
        <f t="shared" si="6"/>
        <v>1.0995999999999999E-2</v>
      </c>
      <c r="J1011" s="988">
        <v>40210</v>
      </c>
    </row>
    <row r="1012" spans="1:10">
      <c r="A1012" s="987">
        <v>70</v>
      </c>
      <c r="B1012" s="988">
        <v>40238</v>
      </c>
      <c r="C1012" s="987" t="s">
        <v>4645</v>
      </c>
      <c r="D1012" s="987" t="s">
        <v>4647</v>
      </c>
      <c r="E1012" s="987">
        <v>46.6</v>
      </c>
      <c r="F1012" s="987">
        <v>5.9332000000000003E-2</v>
      </c>
      <c r="G1012" s="987">
        <v>0</v>
      </c>
      <c r="H1012" s="986">
        <v>4.0000000000000001E-3</v>
      </c>
      <c r="I1012" s="986">
        <f t="shared" si="6"/>
        <v>5.5332000000000006E-2</v>
      </c>
      <c r="J1012" s="988">
        <v>40238</v>
      </c>
    </row>
    <row r="1013" spans="1:10">
      <c r="A1013" s="987">
        <v>70</v>
      </c>
      <c r="B1013" s="988">
        <v>40269</v>
      </c>
      <c r="C1013" s="987" t="s">
        <v>4645</v>
      </c>
      <c r="D1013" s="987" t="s">
        <v>4647</v>
      </c>
      <c r="E1013" s="987">
        <v>47.39</v>
      </c>
      <c r="F1013" s="987">
        <v>2.5857999999999999E-2</v>
      </c>
      <c r="G1013" s="987">
        <v>0.41499999999999998</v>
      </c>
      <c r="H1013" s="986">
        <v>3.8E-3</v>
      </c>
      <c r="I1013" s="986">
        <f t="shared" si="6"/>
        <v>2.2057999999999998E-2</v>
      </c>
      <c r="J1013" s="988">
        <v>40269</v>
      </c>
    </row>
    <row r="1014" spans="1:10">
      <c r="A1014" s="987">
        <v>70</v>
      </c>
      <c r="B1014" s="988">
        <v>40299</v>
      </c>
      <c r="C1014" s="987" t="s">
        <v>4645</v>
      </c>
      <c r="D1014" s="987" t="s">
        <v>4647</v>
      </c>
      <c r="E1014" s="987">
        <v>43.97</v>
      </c>
      <c r="F1014" s="987">
        <v>-7.2166999999999995E-2</v>
      </c>
      <c r="G1014" s="987">
        <v>0</v>
      </c>
      <c r="H1014" s="986">
        <v>3.3999999999999998E-3</v>
      </c>
      <c r="I1014" s="986">
        <f t="shared" ref="I1014:I1077" si="7">F1014-H1014</f>
        <v>-7.5566999999999995E-2</v>
      </c>
      <c r="J1014" s="988">
        <v>40299</v>
      </c>
    </row>
    <row r="1015" spans="1:10">
      <c r="A1015" s="987">
        <v>70</v>
      </c>
      <c r="B1015" s="988">
        <v>40330</v>
      </c>
      <c r="C1015" s="987" t="s">
        <v>4645</v>
      </c>
      <c r="D1015" s="987" t="s">
        <v>4647</v>
      </c>
      <c r="E1015" s="987">
        <v>43.57</v>
      </c>
      <c r="F1015" s="987">
        <v>-9.0969999999999992E-3</v>
      </c>
      <c r="G1015" s="987">
        <v>0</v>
      </c>
      <c r="H1015" s="986">
        <v>3.7000000000000002E-3</v>
      </c>
      <c r="I1015" s="986">
        <f t="shared" si="7"/>
        <v>-1.2796999999999999E-2</v>
      </c>
      <c r="J1015" s="988">
        <v>40330</v>
      </c>
    </row>
    <row r="1016" spans="1:10">
      <c r="A1016" s="987">
        <v>70</v>
      </c>
      <c r="B1016" s="988">
        <v>40360</v>
      </c>
      <c r="C1016" s="987" t="s">
        <v>4645</v>
      </c>
      <c r="D1016" s="987" t="s">
        <v>4647</v>
      </c>
      <c r="E1016" s="987">
        <v>47.41</v>
      </c>
      <c r="F1016" s="987">
        <v>9.7658999999999996E-2</v>
      </c>
      <c r="G1016" s="987">
        <v>0.41499999999999998</v>
      </c>
      <c r="H1016" s="986">
        <v>3.0999999999999999E-3</v>
      </c>
      <c r="I1016" s="986">
        <f t="shared" si="7"/>
        <v>9.455899999999999E-2</v>
      </c>
      <c r="J1016" s="988">
        <v>40360</v>
      </c>
    </row>
    <row r="1017" spans="1:10">
      <c r="A1017" s="987">
        <v>70</v>
      </c>
      <c r="B1017" s="988">
        <v>40391</v>
      </c>
      <c r="C1017" s="987" t="s">
        <v>4645</v>
      </c>
      <c r="D1017" s="987" t="s">
        <v>4647</v>
      </c>
      <c r="E1017" s="987">
        <v>45.44</v>
      </c>
      <c r="F1017" s="987">
        <v>-4.1551999999999999E-2</v>
      </c>
      <c r="G1017" s="987">
        <v>0</v>
      </c>
      <c r="H1017" s="986">
        <v>3.2000000000000002E-3</v>
      </c>
      <c r="I1017" s="986">
        <f t="shared" si="7"/>
        <v>-4.4752E-2</v>
      </c>
      <c r="J1017" s="988">
        <v>40391</v>
      </c>
    </row>
    <row r="1018" spans="1:10">
      <c r="A1018" s="987">
        <v>70</v>
      </c>
      <c r="B1018" s="988">
        <v>40422</v>
      </c>
      <c r="C1018" s="987" t="s">
        <v>4645</v>
      </c>
      <c r="D1018" s="987" t="s">
        <v>4647</v>
      </c>
      <c r="E1018" s="987">
        <v>47.45</v>
      </c>
      <c r="F1018" s="987">
        <v>4.4234000000000002E-2</v>
      </c>
      <c r="G1018" s="987">
        <v>0</v>
      </c>
      <c r="H1018" s="986">
        <v>2.5999999999999999E-3</v>
      </c>
      <c r="I1018" s="986">
        <f t="shared" si="7"/>
        <v>4.1634000000000004E-2</v>
      </c>
      <c r="J1018" s="988">
        <v>40422</v>
      </c>
    </row>
    <row r="1019" spans="1:10">
      <c r="A1019" s="987">
        <v>70</v>
      </c>
      <c r="B1019" s="988">
        <v>40452</v>
      </c>
      <c r="C1019" s="987" t="s">
        <v>4645</v>
      </c>
      <c r="D1019" s="987" t="s">
        <v>4647</v>
      </c>
      <c r="E1019" s="987">
        <v>49.29</v>
      </c>
      <c r="F1019" s="987">
        <v>4.7945000000000002E-2</v>
      </c>
      <c r="G1019" s="987">
        <v>0.435</v>
      </c>
      <c r="H1019" s="986">
        <v>2.7000000000000001E-3</v>
      </c>
      <c r="I1019" s="986">
        <f t="shared" si="7"/>
        <v>4.5245E-2</v>
      </c>
      <c r="J1019" s="988">
        <v>40452</v>
      </c>
    </row>
    <row r="1020" spans="1:10">
      <c r="A1020" s="987">
        <v>70</v>
      </c>
      <c r="B1020" s="988">
        <v>40483</v>
      </c>
      <c r="C1020" s="987" t="s">
        <v>4645</v>
      </c>
      <c r="D1020" s="987" t="s">
        <v>4647</v>
      </c>
      <c r="E1020" s="987">
        <v>48.82</v>
      </c>
      <c r="F1020" s="987">
        <v>-9.5350000000000001E-3</v>
      </c>
      <c r="G1020" s="987">
        <v>0</v>
      </c>
      <c r="H1020" s="986">
        <v>3.2000000000000002E-3</v>
      </c>
      <c r="I1020" s="986">
        <f t="shared" si="7"/>
        <v>-1.2735E-2</v>
      </c>
      <c r="J1020" s="988">
        <v>40483</v>
      </c>
    </row>
    <row r="1021" spans="1:10">
      <c r="A1021" s="987">
        <v>70</v>
      </c>
      <c r="B1021" s="988">
        <v>40513</v>
      </c>
      <c r="C1021" s="987" t="s">
        <v>4645</v>
      </c>
      <c r="D1021" s="987" t="s">
        <v>4647</v>
      </c>
      <c r="E1021" s="987">
        <v>46.47</v>
      </c>
      <c r="F1021" s="987">
        <v>-4.8135999999999998E-2</v>
      </c>
      <c r="G1021" s="987">
        <v>0</v>
      </c>
      <c r="H1021" s="986">
        <v>3.2000000000000002E-3</v>
      </c>
      <c r="I1021" s="986">
        <f t="shared" si="7"/>
        <v>-5.1336E-2</v>
      </c>
      <c r="J1021" s="988">
        <v>40513</v>
      </c>
    </row>
    <row r="1022" spans="1:10" ht="13.8">
      <c r="A1022" s="983">
        <v>70</v>
      </c>
      <c r="B1022" s="988">
        <v>40544</v>
      </c>
      <c r="C1022" s="983" t="s">
        <v>4645</v>
      </c>
      <c r="D1022" s="983" t="s">
        <v>4647</v>
      </c>
      <c r="E1022" s="983">
        <v>44.56</v>
      </c>
      <c r="F1022" s="983">
        <v>-3.1740999999999998E-2</v>
      </c>
      <c r="G1022" s="983">
        <v>0.435</v>
      </c>
      <c r="H1022" s="987">
        <v>3.5666666699999999E-3</v>
      </c>
      <c r="I1022" s="986">
        <f t="shared" si="7"/>
        <v>-3.5307666670000001E-2</v>
      </c>
      <c r="J1022" s="988">
        <v>40544</v>
      </c>
    </row>
    <row r="1023" spans="1:10" ht="13.8">
      <c r="A1023" s="983">
        <v>70</v>
      </c>
      <c r="B1023" s="988">
        <v>40575</v>
      </c>
      <c r="C1023" s="983" t="s">
        <v>4645</v>
      </c>
      <c r="D1023" s="983" t="s">
        <v>4647</v>
      </c>
      <c r="E1023" s="983">
        <v>47</v>
      </c>
      <c r="F1023" s="983">
        <v>5.4758000000000001E-2</v>
      </c>
      <c r="G1023" s="983">
        <v>0</v>
      </c>
      <c r="H1023" s="987">
        <v>3.68333333E-3</v>
      </c>
      <c r="I1023" s="986">
        <f t="shared" si="7"/>
        <v>5.1074666670000005E-2</v>
      </c>
      <c r="J1023" s="988">
        <v>40575</v>
      </c>
    </row>
    <row r="1024" spans="1:10" ht="13.8">
      <c r="A1024" s="983">
        <v>70</v>
      </c>
      <c r="B1024" s="988">
        <v>40603</v>
      </c>
      <c r="C1024" s="983" t="s">
        <v>4645</v>
      </c>
      <c r="D1024" s="983" t="s">
        <v>4647</v>
      </c>
      <c r="E1024" s="983">
        <v>46.13</v>
      </c>
      <c r="F1024" s="983">
        <v>-1.8511E-2</v>
      </c>
      <c r="G1024" s="983">
        <v>0</v>
      </c>
      <c r="H1024" s="987">
        <v>3.5583333299999999E-3</v>
      </c>
      <c r="I1024" s="986">
        <f t="shared" si="7"/>
        <v>-2.206933333E-2</v>
      </c>
      <c r="J1024" s="988">
        <v>40603</v>
      </c>
    </row>
    <row r="1025" spans="1:10" ht="13.8">
      <c r="A1025" s="983">
        <v>70</v>
      </c>
      <c r="B1025" s="988">
        <v>40634</v>
      </c>
      <c r="C1025" s="983" t="s">
        <v>4645</v>
      </c>
      <c r="D1025" s="983" t="s">
        <v>4647</v>
      </c>
      <c r="E1025" s="983">
        <v>46.24</v>
      </c>
      <c r="F1025" s="983">
        <v>1.1814E-2</v>
      </c>
      <c r="G1025" s="983">
        <v>0.435</v>
      </c>
      <c r="H1025" s="987">
        <v>3.5666666699999999E-3</v>
      </c>
      <c r="I1025" s="986">
        <f t="shared" si="7"/>
        <v>8.2473333300000003E-3</v>
      </c>
      <c r="J1025" s="988">
        <v>40634</v>
      </c>
    </row>
    <row r="1026" spans="1:10" ht="13.8">
      <c r="A1026" s="983">
        <v>70</v>
      </c>
      <c r="B1026" s="988">
        <v>40664</v>
      </c>
      <c r="C1026" s="983" t="s">
        <v>4645</v>
      </c>
      <c r="D1026" s="983" t="s">
        <v>4647</v>
      </c>
      <c r="E1026" s="983">
        <v>45.17</v>
      </c>
      <c r="F1026" s="983">
        <v>-2.3140000000000001E-2</v>
      </c>
      <c r="G1026" s="983">
        <v>0</v>
      </c>
      <c r="H1026" s="987">
        <v>3.3416666699999996E-3</v>
      </c>
      <c r="I1026" s="986">
        <f t="shared" si="7"/>
        <v>-2.6481666670000001E-2</v>
      </c>
      <c r="J1026" s="988">
        <v>40664</v>
      </c>
    </row>
    <row r="1027" spans="1:10" ht="13.8">
      <c r="A1027" s="983">
        <v>70</v>
      </c>
      <c r="B1027" s="988">
        <v>40695</v>
      </c>
      <c r="C1027" s="983" t="s">
        <v>4645</v>
      </c>
      <c r="D1027" s="983" t="s">
        <v>4647</v>
      </c>
      <c r="E1027" s="983">
        <v>45.13</v>
      </c>
      <c r="F1027" s="983">
        <v>-8.8500000000000004E-4</v>
      </c>
      <c r="G1027" s="983">
        <v>0</v>
      </c>
      <c r="H1027" s="987">
        <v>3.25833333E-3</v>
      </c>
      <c r="I1027" s="986">
        <f t="shared" si="7"/>
        <v>-4.1433333300000003E-3</v>
      </c>
      <c r="J1027" s="988">
        <v>40695</v>
      </c>
    </row>
    <row r="1028" spans="1:10" ht="13.8">
      <c r="A1028" s="983">
        <v>70</v>
      </c>
      <c r="B1028" s="988">
        <v>40725</v>
      </c>
      <c r="C1028" s="983" t="s">
        <v>4645</v>
      </c>
      <c r="D1028" s="983" t="s">
        <v>4647</v>
      </c>
      <c r="E1028" s="983">
        <v>44.61</v>
      </c>
      <c r="F1028" s="983">
        <v>-1.8829999999999999E-3</v>
      </c>
      <c r="G1028" s="983">
        <v>0.435</v>
      </c>
      <c r="H1028" s="987">
        <v>3.2916666700000003E-3</v>
      </c>
      <c r="I1028" s="986">
        <f t="shared" si="7"/>
        <v>-5.1746666700000004E-3</v>
      </c>
      <c r="J1028" s="988">
        <v>40725</v>
      </c>
    </row>
    <row r="1029" spans="1:10" ht="13.8">
      <c r="A1029" s="983">
        <v>70</v>
      </c>
      <c r="B1029" s="988">
        <v>40756</v>
      </c>
      <c r="C1029" s="983" t="s">
        <v>4645</v>
      </c>
      <c r="D1029" s="983" t="s">
        <v>4647</v>
      </c>
      <c r="E1029" s="983">
        <v>45.22</v>
      </c>
      <c r="F1029" s="983">
        <v>1.3674E-2</v>
      </c>
      <c r="G1029" s="983">
        <v>0</v>
      </c>
      <c r="H1029" s="987">
        <v>3.0416666666666665E-3</v>
      </c>
      <c r="I1029" s="986">
        <f t="shared" si="7"/>
        <v>1.0632333333333334E-2</v>
      </c>
      <c r="J1029" s="988">
        <v>40756</v>
      </c>
    </row>
    <row r="1030" spans="1:10" ht="13.8">
      <c r="A1030" s="983">
        <v>70</v>
      </c>
      <c r="B1030" s="988">
        <v>40787</v>
      </c>
      <c r="C1030" s="983" t="s">
        <v>4645</v>
      </c>
      <c r="D1030" s="983" t="s">
        <v>4647</v>
      </c>
      <c r="E1030" s="983">
        <v>44.1</v>
      </c>
      <c r="F1030" s="983">
        <v>-2.4767999999999998E-2</v>
      </c>
      <c r="G1030" s="983">
        <v>0</v>
      </c>
      <c r="H1030" s="987">
        <v>2.3583333300000002E-3</v>
      </c>
      <c r="I1030" s="986">
        <f t="shared" si="7"/>
        <v>-2.7126333329999999E-2</v>
      </c>
      <c r="J1030" s="988">
        <v>40787</v>
      </c>
    </row>
    <row r="1031" spans="1:10" ht="13.8">
      <c r="A1031" s="983">
        <v>70</v>
      </c>
      <c r="B1031" s="988">
        <v>40817</v>
      </c>
      <c r="C1031" s="983" t="s">
        <v>4645</v>
      </c>
      <c r="D1031" s="983" t="s">
        <v>4647</v>
      </c>
      <c r="E1031" s="983">
        <v>46.72</v>
      </c>
      <c r="F1031" s="983">
        <v>6.9500999999999993E-2</v>
      </c>
      <c r="G1031" s="983">
        <v>0.44500000000000001</v>
      </c>
      <c r="H1031" s="987">
        <v>2.3916666700000001E-3</v>
      </c>
      <c r="I1031" s="986">
        <f t="shared" si="7"/>
        <v>6.7109333329999993E-2</v>
      </c>
      <c r="J1031" s="988">
        <v>40817</v>
      </c>
    </row>
    <row r="1032" spans="1:10" ht="13.8">
      <c r="A1032" s="983">
        <v>70</v>
      </c>
      <c r="B1032" s="988">
        <v>40848</v>
      </c>
      <c r="C1032" s="983" t="s">
        <v>4645</v>
      </c>
      <c r="D1032" s="983" t="s">
        <v>4647</v>
      </c>
      <c r="E1032" s="983">
        <v>47.06</v>
      </c>
      <c r="F1032" s="983">
        <v>7.2769999999999996E-3</v>
      </c>
      <c r="G1032" s="983">
        <v>0</v>
      </c>
      <c r="H1032" s="987">
        <v>2.26666667E-3</v>
      </c>
      <c r="I1032" s="986">
        <f t="shared" si="7"/>
        <v>5.01033333E-3</v>
      </c>
      <c r="J1032" s="988">
        <v>40848</v>
      </c>
    </row>
    <row r="1033" spans="1:10" ht="13.8">
      <c r="A1033" s="983">
        <v>70</v>
      </c>
      <c r="B1033" s="988">
        <v>40878</v>
      </c>
      <c r="C1033" s="983" t="s">
        <v>4645</v>
      </c>
      <c r="D1033" s="983" t="s">
        <v>4647</v>
      </c>
      <c r="E1033" s="983">
        <v>47.93</v>
      </c>
      <c r="F1033" s="983">
        <v>1.8487E-2</v>
      </c>
      <c r="G1033" s="983">
        <v>0</v>
      </c>
      <c r="H1033" s="987">
        <v>2.4833333333333335E-3</v>
      </c>
      <c r="I1033" s="986">
        <f t="shared" si="7"/>
        <v>1.6003666666666666E-2</v>
      </c>
      <c r="J1033" s="988">
        <v>40878</v>
      </c>
    </row>
    <row r="1034" spans="1:10" ht="13.8">
      <c r="A1034" s="983">
        <v>70</v>
      </c>
      <c r="B1034" s="988">
        <v>40909</v>
      </c>
      <c r="C1034" s="983" t="s">
        <v>4645</v>
      </c>
      <c r="D1034" s="983" t="s">
        <v>4647</v>
      </c>
      <c r="E1034" s="983">
        <v>47.55</v>
      </c>
      <c r="F1034" s="983">
        <v>1.356E-3</v>
      </c>
      <c r="G1034" s="983">
        <v>0.44500000000000001</v>
      </c>
      <c r="H1034" s="987">
        <v>2.0999999999999999E-3</v>
      </c>
      <c r="I1034" s="986">
        <f t="shared" si="7"/>
        <v>-7.4399999999999987E-4</v>
      </c>
      <c r="J1034" s="988">
        <v>40909</v>
      </c>
    </row>
    <row r="1035" spans="1:10" ht="13.8">
      <c r="A1035" s="983">
        <v>70</v>
      </c>
      <c r="B1035" s="988">
        <v>40940</v>
      </c>
      <c r="C1035" s="983" t="s">
        <v>4645</v>
      </c>
      <c r="D1035" s="983" t="s">
        <v>4647</v>
      </c>
      <c r="E1035" s="983">
        <v>45.77</v>
      </c>
      <c r="F1035" s="983">
        <v>-3.7434000000000002E-2</v>
      </c>
      <c r="G1035" s="983">
        <v>0</v>
      </c>
      <c r="H1035" s="987">
        <v>2E-3</v>
      </c>
      <c r="I1035" s="986">
        <f t="shared" si="7"/>
        <v>-3.9434000000000004E-2</v>
      </c>
      <c r="J1035" s="988">
        <v>40940</v>
      </c>
    </row>
    <row r="1036" spans="1:10" ht="13.8">
      <c r="A1036" s="983">
        <v>70</v>
      </c>
      <c r="B1036" s="988">
        <v>40969</v>
      </c>
      <c r="C1036" s="983" t="s">
        <v>4645</v>
      </c>
      <c r="D1036" s="983" t="s">
        <v>4647</v>
      </c>
      <c r="E1036" s="983">
        <v>45.4</v>
      </c>
      <c r="F1036" s="983">
        <v>-8.0839999999999992E-3</v>
      </c>
      <c r="G1036" s="983">
        <v>0</v>
      </c>
      <c r="H1036" s="987">
        <v>2.2000000000000001E-3</v>
      </c>
      <c r="I1036" s="986">
        <f t="shared" si="7"/>
        <v>-1.0284E-2</v>
      </c>
      <c r="J1036" s="988">
        <v>40969</v>
      </c>
    </row>
    <row r="1037" spans="1:10" ht="13.8">
      <c r="A1037" s="983">
        <v>70</v>
      </c>
      <c r="B1037" s="988">
        <v>41000</v>
      </c>
      <c r="C1037" s="983" t="s">
        <v>4645</v>
      </c>
      <c r="D1037" s="983" t="s">
        <v>4647</v>
      </c>
      <c r="E1037" s="983">
        <v>45.7</v>
      </c>
      <c r="F1037" s="983">
        <v>1.6410000000000001E-2</v>
      </c>
      <c r="G1037" s="983">
        <v>0.44500000000000001</v>
      </c>
      <c r="H1037" s="987">
        <v>2.5000000000000001E-3</v>
      </c>
      <c r="I1037" s="986">
        <f t="shared" si="7"/>
        <v>1.391E-2</v>
      </c>
      <c r="J1037" s="988">
        <v>41000</v>
      </c>
    </row>
    <row r="1038" spans="1:10" ht="13.8">
      <c r="A1038" s="983">
        <v>70</v>
      </c>
      <c r="B1038" s="988">
        <v>41030</v>
      </c>
      <c r="C1038" s="983" t="s">
        <v>4645</v>
      </c>
      <c r="D1038" s="983" t="s">
        <v>4647</v>
      </c>
      <c r="E1038" s="983">
        <v>46.35</v>
      </c>
      <c r="F1038" s="983">
        <v>1.4223E-2</v>
      </c>
      <c r="G1038" s="983">
        <v>0</v>
      </c>
      <c r="H1038" s="987">
        <v>2.3E-3</v>
      </c>
      <c r="I1038" s="986">
        <f t="shared" si="7"/>
        <v>1.1923E-2</v>
      </c>
      <c r="J1038" s="988">
        <v>41030</v>
      </c>
    </row>
    <row r="1039" spans="1:10" ht="13.8">
      <c r="A1039" s="983">
        <v>70</v>
      </c>
      <c r="B1039" s="988">
        <v>41061</v>
      </c>
      <c r="C1039" s="983" t="s">
        <v>4645</v>
      </c>
      <c r="D1039" s="983" t="s">
        <v>4647</v>
      </c>
      <c r="E1039" s="983">
        <v>47.6</v>
      </c>
      <c r="F1039" s="983">
        <v>2.6969E-2</v>
      </c>
      <c r="G1039" s="983">
        <v>0</v>
      </c>
      <c r="H1039" s="987">
        <v>1.8E-3</v>
      </c>
      <c r="I1039" s="986">
        <f t="shared" si="7"/>
        <v>2.5169E-2</v>
      </c>
      <c r="J1039" s="988">
        <v>41061</v>
      </c>
    </row>
    <row r="1040" spans="1:10" ht="13.8">
      <c r="B1040" s="988">
        <v>41091</v>
      </c>
      <c r="C1040" s="983" t="s">
        <v>4645</v>
      </c>
      <c r="D1040" s="983" t="s">
        <v>4647</v>
      </c>
      <c r="E1040" s="983">
        <v>48.69</v>
      </c>
      <c r="F1040" s="987">
        <f t="shared" ref="F1040:F1103" si="8">((E1040-E1039)/E1039)+(G1040/E1039)</f>
        <v>3.2247899159663786E-2</v>
      </c>
      <c r="G1040" s="987">
        <v>0.44500000000000001</v>
      </c>
      <c r="H1040" s="987">
        <v>2E-3</v>
      </c>
      <c r="I1040" s="986">
        <f t="shared" si="7"/>
        <v>3.0247899159663784E-2</v>
      </c>
      <c r="J1040" s="988">
        <v>41091</v>
      </c>
    </row>
    <row r="1041" spans="2:10" ht="13.8">
      <c r="B1041" s="988">
        <v>41122</v>
      </c>
      <c r="C1041" s="983" t="s">
        <v>4645</v>
      </c>
      <c r="D1041" s="983" t="s">
        <v>4647</v>
      </c>
      <c r="E1041" s="983">
        <v>49.17</v>
      </c>
      <c r="F1041" s="987">
        <f t="shared" si="8"/>
        <v>9.8582871226125281E-3</v>
      </c>
      <c r="G1041" s="987">
        <v>0</v>
      </c>
      <c r="H1041" s="987">
        <v>1.8E-3</v>
      </c>
      <c r="I1041" s="986">
        <f t="shared" si="7"/>
        <v>8.0582871226125286E-3</v>
      </c>
      <c r="J1041" s="988">
        <v>41122</v>
      </c>
    </row>
    <row r="1042" spans="2:10" ht="13.8">
      <c r="B1042" s="988">
        <v>41153</v>
      </c>
      <c r="C1042" s="983" t="s">
        <v>4645</v>
      </c>
      <c r="D1042" s="983" t="s">
        <v>4647</v>
      </c>
      <c r="E1042" s="987">
        <v>49.24</v>
      </c>
      <c r="F1042" s="987">
        <f t="shared" si="8"/>
        <v>1.4236322961155234E-3</v>
      </c>
      <c r="G1042" s="987">
        <v>0</v>
      </c>
      <c r="H1042" s="987">
        <v>1.6999999999999999E-3</v>
      </c>
      <c r="I1042" s="986">
        <f t="shared" si="7"/>
        <v>-2.7636770388447655E-4</v>
      </c>
      <c r="J1042" s="988">
        <v>41153</v>
      </c>
    </row>
    <row r="1043" spans="2:10" ht="13.8">
      <c r="B1043" s="988">
        <v>41183</v>
      </c>
      <c r="C1043" s="983" t="s">
        <v>4645</v>
      </c>
      <c r="D1043" s="983" t="s">
        <v>4647</v>
      </c>
      <c r="E1043" s="987">
        <v>46.53</v>
      </c>
      <c r="F1043" s="987">
        <f t="shared" si="8"/>
        <v>-4.5796100731112926E-2</v>
      </c>
      <c r="G1043" s="987">
        <v>0.45500000000000002</v>
      </c>
      <c r="H1043" s="987">
        <v>2.0999999999999999E-3</v>
      </c>
      <c r="I1043" s="986">
        <f t="shared" si="7"/>
        <v>-4.7896100731112924E-2</v>
      </c>
      <c r="J1043" s="988">
        <v>41183</v>
      </c>
    </row>
    <row r="1044" spans="2:10" ht="13.8">
      <c r="B1044" s="988">
        <v>41214</v>
      </c>
      <c r="C1044" s="983" t="s">
        <v>4645</v>
      </c>
      <c r="D1044" s="983" t="s">
        <v>4647</v>
      </c>
      <c r="E1044" s="987">
        <v>43.86</v>
      </c>
      <c r="F1044" s="987">
        <f t="shared" si="8"/>
        <v>-5.7382333978078695E-2</v>
      </c>
      <c r="G1044" s="987">
        <v>0</v>
      </c>
      <c r="H1044" s="987">
        <v>1.9E-3</v>
      </c>
      <c r="I1044" s="986">
        <f t="shared" si="7"/>
        <v>-5.9282333978078694E-2</v>
      </c>
      <c r="J1044" s="988">
        <v>41214</v>
      </c>
    </row>
    <row r="1045" spans="2:10" ht="13.8">
      <c r="B1045" s="988">
        <v>41244</v>
      </c>
      <c r="C1045" s="983" t="s">
        <v>4645</v>
      </c>
      <c r="D1045" s="983" t="s">
        <v>4647</v>
      </c>
      <c r="E1045" s="987">
        <v>44.2</v>
      </c>
      <c r="F1045" s="987">
        <f t="shared" si="8"/>
        <v>7.751937984496202E-3</v>
      </c>
      <c r="G1045" s="987">
        <v>0</v>
      </c>
      <c r="H1045" s="987">
        <v>1.9E-3</v>
      </c>
      <c r="I1045" s="986">
        <f t="shared" si="7"/>
        <v>5.8519379844962022E-3</v>
      </c>
      <c r="J1045" s="988">
        <v>41244</v>
      </c>
    </row>
    <row r="1046" spans="2:10" ht="13.8">
      <c r="B1046" s="988">
        <v>41275</v>
      </c>
      <c r="C1046" s="983" t="s">
        <v>4645</v>
      </c>
      <c r="D1046" s="983" t="s">
        <v>4647</v>
      </c>
      <c r="E1046" s="987">
        <v>45.42</v>
      </c>
      <c r="F1046" s="987">
        <f t="shared" si="8"/>
        <v>3.7895927601809924E-2</v>
      </c>
      <c r="G1046" s="987">
        <v>0.45500000000000002</v>
      </c>
      <c r="H1046" s="987">
        <v>2.2000000000000001E-3</v>
      </c>
      <c r="I1046" s="986">
        <f t="shared" si="7"/>
        <v>3.5695927601809924E-2</v>
      </c>
      <c r="J1046" s="988">
        <v>41275</v>
      </c>
    </row>
    <row r="1047" spans="2:10" ht="13.8">
      <c r="B1047" s="988">
        <v>41306</v>
      </c>
      <c r="C1047" s="983" t="s">
        <v>4645</v>
      </c>
      <c r="D1047" s="983" t="s">
        <v>4647</v>
      </c>
      <c r="E1047" s="987">
        <v>45.55</v>
      </c>
      <c r="F1047" s="987">
        <f t="shared" si="8"/>
        <v>2.8621752531923258E-3</v>
      </c>
      <c r="G1047" s="987">
        <v>0</v>
      </c>
      <c r="H1047" s="987">
        <v>2.2000000000000001E-3</v>
      </c>
      <c r="I1047" s="986">
        <f t="shared" si="7"/>
        <v>6.621752531923257E-4</v>
      </c>
      <c r="J1047" s="988">
        <v>41306</v>
      </c>
    </row>
    <row r="1048" spans="2:10" ht="13.8">
      <c r="B1048" s="988">
        <v>41334</v>
      </c>
      <c r="C1048" s="983" t="s">
        <v>4645</v>
      </c>
      <c r="D1048" s="983" t="s">
        <v>4647</v>
      </c>
      <c r="E1048" s="987">
        <v>43.82</v>
      </c>
      <c r="F1048" s="987">
        <f t="shared" si="8"/>
        <v>-3.798024149286492E-2</v>
      </c>
      <c r="G1048" s="987">
        <v>0</v>
      </c>
      <c r="H1048" s="987">
        <v>2.0999999999999999E-3</v>
      </c>
      <c r="I1048" s="986">
        <f t="shared" si="7"/>
        <v>-4.0080241492864918E-2</v>
      </c>
      <c r="J1048" s="988">
        <v>41334</v>
      </c>
    </row>
    <row r="1049" spans="2:10" ht="13.8">
      <c r="B1049" s="988">
        <v>41365</v>
      </c>
      <c r="C1049" s="983" t="s">
        <v>4645</v>
      </c>
      <c r="D1049" s="983" t="s">
        <v>4647</v>
      </c>
      <c r="E1049" s="987">
        <v>44.47</v>
      </c>
      <c r="F1049" s="987">
        <f t="shared" si="8"/>
        <v>2.5216795983569115E-2</v>
      </c>
      <c r="G1049" s="987">
        <v>0.45500000000000002</v>
      </c>
      <c r="H1049" s="987">
        <v>2.5999999999999999E-3</v>
      </c>
      <c r="I1049" s="986">
        <f t="shared" si="7"/>
        <v>2.2616795983569117E-2</v>
      </c>
      <c r="J1049" s="988">
        <v>41365</v>
      </c>
    </row>
    <row r="1050" spans="2:10" ht="13.8">
      <c r="B1050" s="988">
        <v>41395</v>
      </c>
      <c r="C1050" s="983" t="s">
        <v>4645</v>
      </c>
      <c r="D1050" s="983" t="s">
        <v>4647</v>
      </c>
      <c r="E1050" s="987">
        <v>42.73</v>
      </c>
      <c r="F1050" s="987">
        <f t="shared" si="8"/>
        <v>-3.9127501686530293E-2</v>
      </c>
      <c r="G1050" s="987">
        <v>0</v>
      </c>
      <c r="H1050" s="987">
        <v>2.3E-3</v>
      </c>
      <c r="I1050" s="986">
        <f t="shared" si="7"/>
        <v>-4.1427501686530296E-2</v>
      </c>
      <c r="J1050" s="988">
        <v>41395</v>
      </c>
    </row>
    <row r="1051" spans="2:10" ht="13.8">
      <c r="B1051" s="988">
        <v>41426</v>
      </c>
      <c r="C1051" s="983" t="s">
        <v>4645</v>
      </c>
      <c r="D1051" s="983" t="s">
        <v>4647</v>
      </c>
      <c r="E1051" s="987">
        <v>42.68</v>
      </c>
      <c r="F1051" s="987">
        <f t="shared" si="8"/>
        <v>-1.1701380762929362E-3</v>
      </c>
      <c r="G1051" s="987">
        <v>0</v>
      </c>
      <c r="H1051" s="987">
        <v>2.3999999999999998E-3</v>
      </c>
      <c r="I1051" s="986">
        <f t="shared" si="7"/>
        <v>-3.570138076292936E-3</v>
      </c>
      <c r="J1051" s="988">
        <v>41426</v>
      </c>
    </row>
    <row r="1052" spans="2:10" ht="13.8">
      <c r="B1052" s="988">
        <v>41456</v>
      </c>
      <c r="C1052" s="983" t="s">
        <v>4645</v>
      </c>
      <c r="D1052" s="983" t="s">
        <v>4647</v>
      </c>
      <c r="E1052" s="987">
        <v>43.94</v>
      </c>
      <c r="F1052" s="987">
        <f t="shared" si="8"/>
        <v>4.0182755388940908E-2</v>
      </c>
      <c r="G1052" s="987">
        <v>0.45500000000000002</v>
      </c>
      <c r="H1052" s="987">
        <v>3.0000000000000001E-3</v>
      </c>
      <c r="I1052" s="986">
        <f t="shared" si="7"/>
        <v>3.7182755388940905E-2</v>
      </c>
      <c r="J1052" s="988">
        <v>41456</v>
      </c>
    </row>
    <row r="1053" spans="2:10" ht="13.8">
      <c r="B1053" s="988">
        <v>41487</v>
      </c>
      <c r="C1053" s="983" t="s">
        <v>4645</v>
      </c>
      <c r="D1053" s="983" t="s">
        <v>4647</v>
      </c>
      <c r="E1053" s="987">
        <v>41.04</v>
      </c>
      <c r="F1053" s="987">
        <f t="shared" si="8"/>
        <v>-6.5999089667728689E-2</v>
      </c>
      <c r="G1053" s="987">
        <v>0</v>
      </c>
      <c r="H1053" s="987">
        <v>2.8E-3</v>
      </c>
      <c r="I1053" s="986">
        <f t="shared" si="7"/>
        <v>-6.8799089667728686E-2</v>
      </c>
      <c r="J1053" s="988">
        <v>41487</v>
      </c>
    </row>
    <row r="1054" spans="2:10" ht="13.8">
      <c r="B1054" s="988">
        <v>41518</v>
      </c>
      <c r="C1054" s="983" t="s">
        <v>4645</v>
      </c>
      <c r="D1054" s="983" t="s">
        <v>4647</v>
      </c>
      <c r="E1054" s="987">
        <v>41.98</v>
      </c>
      <c r="F1054" s="987">
        <f t="shared" si="8"/>
        <v>2.2904483430799167E-2</v>
      </c>
      <c r="G1054" s="987">
        <v>0</v>
      </c>
      <c r="H1054" s="987">
        <v>2.8999999999999998E-3</v>
      </c>
      <c r="I1054" s="986">
        <f t="shared" si="7"/>
        <v>2.0004483430799167E-2</v>
      </c>
      <c r="J1054" s="988">
        <v>41518</v>
      </c>
    </row>
    <row r="1055" spans="2:10" ht="13.8">
      <c r="B1055" s="988">
        <v>41548</v>
      </c>
      <c r="C1055" s="983" t="s">
        <v>4645</v>
      </c>
      <c r="D1055" s="983" t="s">
        <v>4647</v>
      </c>
      <c r="E1055" s="987">
        <v>43.43</v>
      </c>
      <c r="F1055" s="987">
        <f t="shared" si="8"/>
        <v>4.5497856121962908E-2</v>
      </c>
      <c r="G1055" s="987">
        <v>0.46</v>
      </c>
      <c r="H1055" s="987">
        <v>2.8999999999999998E-3</v>
      </c>
      <c r="I1055" s="986">
        <f t="shared" si="7"/>
        <v>4.2597856121962908E-2</v>
      </c>
      <c r="J1055" s="988">
        <v>41548</v>
      </c>
    </row>
    <row r="1056" spans="2:10" ht="13.8">
      <c r="B1056" s="988">
        <v>41579</v>
      </c>
      <c r="C1056" s="983" t="s">
        <v>4645</v>
      </c>
      <c r="D1056" s="983" t="s">
        <v>4647</v>
      </c>
      <c r="E1056" s="987">
        <v>42.53</v>
      </c>
      <c r="F1056" s="987">
        <f t="shared" si="8"/>
        <v>-2.072300253281139E-2</v>
      </c>
      <c r="G1056" s="987">
        <v>0</v>
      </c>
      <c r="H1056" s="987">
        <v>2.7000000000000001E-3</v>
      </c>
      <c r="I1056" s="986">
        <f t="shared" si="7"/>
        <v>-2.3423002532811391E-2</v>
      </c>
      <c r="J1056" s="988">
        <v>41579</v>
      </c>
    </row>
    <row r="1057" spans="2:10" ht="13.8">
      <c r="B1057" s="988">
        <v>41609</v>
      </c>
      <c r="C1057" s="983" t="s">
        <v>4645</v>
      </c>
      <c r="D1057" s="983" t="s">
        <v>4647</v>
      </c>
      <c r="E1057" s="987">
        <v>42.82</v>
      </c>
      <c r="F1057" s="987">
        <f t="shared" si="8"/>
        <v>6.8187162003291594E-3</v>
      </c>
      <c r="G1057" s="987">
        <v>0</v>
      </c>
      <c r="H1057" s="987">
        <v>3.0999999999999999E-3</v>
      </c>
      <c r="I1057" s="986">
        <f t="shared" si="7"/>
        <v>3.7187162003291595E-3</v>
      </c>
      <c r="J1057" s="988">
        <v>41609</v>
      </c>
    </row>
    <row r="1058" spans="2:10" ht="13.8">
      <c r="B1058" s="988">
        <v>41640</v>
      </c>
      <c r="C1058" s="983" t="s">
        <v>4645</v>
      </c>
      <c r="D1058" s="983" t="s">
        <v>4647</v>
      </c>
      <c r="E1058" s="987">
        <v>41.56</v>
      </c>
      <c r="F1058" s="987">
        <f t="shared" si="8"/>
        <v>-1.8682858477346988E-2</v>
      </c>
      <c r="G1058" s="987">
        <v>0.46</v>
      </c>
      <c r="H1058" s="987">
        <v>3.2000000000000002E-3</v>
      </c>
      <c r="I1058" s="986">
        <f t="shared" si="7"/>
        <v>-2.188285847734699E-2</v>
      </c>
      <c r="J1058" s="988">
        <v>41640</v>
      </c>
    </row>
    <row r="1059" spans="2:10" ht="13.8">
      <c r="B1059" s="988">
        <v>41671</v>
      </c>
      <c r="C1059" s="983" t="s">
        <v>4645</v>
      </c>
      <c r="D1059" s="983" t="s">
        <v>4647</v>
      </c>
      <c r="E1059" s="987">
        <v>42.87</v>
      </c>
      <c r="F1059" s="987">
        <f t="shared" si="8"/>
        <v>3.1520692974013359E-2</v>
      </c>
      <c r="G1059" s="987">
        <v>0</v>
      </c>
      <c r="H1059" s="987">
        <v>2.5999999999999999E-3</v>
      </c>
      <c r="I1059" s="986">
        <f t="shared" si="7"/>
        <v>2.8920692974013361E-2</v>
      </c>
      <c r="J1059" s="988">
        <v>41671</v>
      </c>
    </row>
    <row r="1060" spans="2:10" ht="13.8">
      <c r="B1060" s="988">
        <v>41699</v>
      </c>
      <c r="C1060" s="983" t="s">
        <v>4645</v>
      </c>
      <c r="D1060" s="983" t="s">
        <v>4647</v>
      </c>
      <c r="E1060" s="987">
        <v>44.01</v>
      </c>
      <c r="F1060" s="987">
        <f t="shared" si="8"/>
        <v>2.6592022393282032E-2</v>
      </c>
      <c r="G1060" s="987">
        <v>0</v>
      </c>
      <c r="H1060" s="987">
        <v>2.8999999999999998E-3</v>
      </c>
      <c r="I1060" s="986">
        <f t="shared" si="7"/>
        <v>2.3692022393282032E-2</v>
      </c>
      <c r="J1060" s="988">
        <v>41699</v>
      </c>
    </row>
    <row r="1061" spans="2:10" ht="13.8">
      <c r="B1061" s="988">
        <v>41730</v>
      </c>
      <c r="C1061" s="983" t="s">
        <v>4645</v>
      </c>
      <c r="D1061" s="983" t="s">
        <v>4647</v>
      </c>
      <c r="E1061" s="983">
        <v>44.27</v>
      </c>
      <c r="F1061" s="987">
        <f t="shared" si="8"/>
        <v>1.6359918200409114E-2</v>
      </c>
      <c r="G1061" s="987">
        <v>0.46</v>
      </c>
      <c r="H1061" s="987">
        <v>2.8E-3</v>
      </c>
      <c r="I1061" s="986">
        <f t="shared" si="7"/>
        <v>1.3559918200409114E-2</v>
      </c>
      <c r="J1061" s="988">
        <v>41730</v>
      </c>
    </row>
    <row r="1062" spans="2:10" ht="13.8">
      <c r="B1062" s="988">
        <v>41760</v>
      </c>
      <c r="C1062" s="983" t="s">
        <v>4645</v>
      </c>
      <c r="D1062" s="983" t="s">
        <v>4647</v>
      </c>
      <c r="E1062" s="983">
        <v>45.27</v>
      </c>
      <c r="F1062" s="987">
        <f t="shared" si="8"/>
        <v>2.2588660492432796E-2</v>
      </c>
      <c r="G1062" s="987">
        <v>0</v>
      </c>
      <c r="H1062" s="987">
        <v>2.8E-3</v>
      </c>
      <c r="I1062" s="986">
        <f t="shared" si="7"/>
        <v>1.9788660492432796E-2</v>
      </c>
      <c r="J1062" s="988">
        <v>41760</v>
      </c>
    </row>
    <row r="1063" spans="2:10" ht="13.8">
      <c r="B1063" s="988">
        <v>41791</v>
      </c>
      <c r="C1063" s="983" t="s">
        <v>4645</v>
      </c>
      <c r="D1063" s="983" t="s">
        <v>4647</v>
      </c>
      <c r="E1063" s="983">
        <v>47.15</v>
      </c>
      <c r="F1063" s="987">
        <f t="shared" si="8"/>
        <v>4.1528606140932081E-2</v>
      </c>
      <c r="G1063" s="987">
        <v>0</v>
      </c>
      <c r="H1063" s="987">
        <v>2.5000000000000001E-3</v>
      </c>
      <c r="I1063" s="986">
        <f t="shared" si="7"/>
        <v>3.9028606140932079E-2</v>
      </c>
      <c r="J1063" s="988">
        <v>41791</v>
      </c>
    </row>
    <row r="1064" spans="2:10" ht="14.4">
      <c r="B1064" s="988">
        <v>41821</v>
      </c>
      <c r="C1064" s="983" t="s">
        <v>4645</v>
      </c>
      <c r="D1064" s="983" t="s">
        <v>4647</v>
      </c>
      <c r="E1064" s="994">
        <v>43.22</v>
      </c>
      <c r="F1064" s="987">
        <f t="shared" si="8"/>
        <v>-7.3594909862142108E-2</v>
      </c>
      <c r="G1064" s="987">
        <v>0.46</v>
      </c>
      <c r="H1064" s="987">
        <v>2.7000000000000001E-3</v>
      </c>
      <c r="I1064" s="986">
        <f t="shared" si="7"/>
        <v>-7.6294909862142102E-2</v>
      </c>
      <c r="J1064" s="988">
        <v>41821</v>
      </c>
    </row>
    <row r="1065" spans="2:10" ht="14.4">
      <c r="B1065" s="988">
        <v>41852</v>
      </c>
      <c r="C1065" s="983" t="s">
        <v>4645</v>
      </c>
      <c r="D1065" s="983" t="s">
        <v>4647</v>
      </c>
      <c r="E1065" s="994">
        <v>45.46</v>
      </c>
      <c r="F1065" s="987">
        <f t="shared" si="8"/>
        <v>5.1827857473391997E-2</v>
      </c>
      <c r="G1065" s="987">
        <v>0</v>
      </c>
      <c r="H1065" s="987">
        <v>2.5999999999999999E-3</v>
      </c>
      <c r="I1065" s="986">
        <f t="shared" si="7"/>
        <v>4.9227857473391999E-2</v>
      </c>
      <c r="J1065" s="988">
        <v>41852</v>
      </c>
    </row>
    <row r="1066" spans="2:10" ht="14.4">
      <c r="B1066" s="988">
        <v>41883</v>
      </c>
      <c r="C1066" s="983" t="s">
        <v>4645</v>
      </c>
      <c r="D1066" s="983" t="s">
        <v>4647</v>
      </c>
      <c r="E1066" s="994">
        <v>42.25</v>
      </c>
      <c r="F1066" s="987">
        <f t="shared" si="8"/>
        <v>-7.0611526616806003E-2</v>
      </c>
      <c r="G1066" s="987">
        <v>0</v>
      </c>
      <c r="H1066" s="987">
        <v>2.3E-3</v>
      </c>
      <c r="I1066" s="986">
        <f t="shared" si="7"/>
        <v>-7.2911526616805999E-2</v>
      </c>
      <c r="J1066" s="988">
        <v>41883</v>
      </c>
    </row>
    <row r="1067" spans="2:10" ht="14.4">
      <c r="B1067" s="988">
        <v>41913</v>
      </c>
      <c r="C1067" s="983" t="s">
        <v>4645</v>
      </c>
      <c r="D1067" s="983" t="s">
        <v>4647</v>
      </c>
      <c r="E1067" s="994">
        <v>46.93</v>
      </c>
      <c r="F1067" s="987">
        <f t="shared" si="8"/>
        <v>0.12177514792899408</v>
      </c>
      <c r="G1067" s="987">
        <v>0.46500000000000002</v>
      </c>
      <c r="H1067" s="987">
        <v>2.5000000000000001E-3</v>
      </c>
      <c r="I1067" s="986">
        <f t="shared" si="7"/>
        <v>0.11927514792899407</v>
      </c>
      <c r="J1067" s="988">
        <v>41913</v>
      </c>
    </row>
    <row r="1068" spans="2:10" ht="14.4">
      <c r="B1068" s="988">
        <v>41944</v>
      </c>
      <c r="C1068" s="983" t="s">
        <v>4645</v>
      </c>
      <c r="D1068" s="983" t="s">
        <v>4647</v>
      </c>
      <c r="E1068" s="994">
        <v>46.51</v>
      </c>
      <c r="F1068" s="987">
        <f t="shared" si="8"/>
        <v>-8.9494992542084317E-3</v>
      </c>
      <c r="G1068" s="987">
        <v>0</v>
      </c>
      <c r="H1068" s="987">
        <v>2.3E-3</v>
      </c>
      <c r="I1068" s="986">
        <f t="shared" si="7"/>
        <v>-1.1249499254208432E-2</v>
      </c>
      <c r="J1068" s="988">
        <v>41944</v>
      </c>
    </row>
    <row r="1069" spans="2:10" ht="14.4">
      <c r="B1069" s="988">
        <v>41974</v>
      </c>
      <c r="C1069" s="983" t="s">
        <v>4645</v>
      </c>
      <c r="D1069" s="983" t="s">
        <v>4647</v>
      </c>
      <c r="E1069" s="994">
        <v>49.9</v>
      </c>
      <c r="F1069" s="987">
        <f t="shared" si="8"/>
        <v>7.2887551064287265E-2</v>
      </c>
      <c r="G1069" s="987">
        <v>0</v>
      </c>
      <c r="H1069" s="987">
        <v>2.2000000000000001E-3</v>
      </c>
      <c r="I1069" s="986">
        <f t="shared" si="7"/>
        <v>7.0687551064287271E-2</v>
      </c>
      <c r="J1069" s="988">
        <v>41974</v>
      </c>
    </row>
    <row r="1070" spans="2:10" ht="14.4">
      <c r="B1070" s="988">
        <v>42005</v>
      </c>
      <c r="C1070" s="983" t="s">
        <v>4645</v>
      </c>
      <c r="D1070" s="983" t="s">
        <v>4647</v>
      </c>
      <c r="E1070" s="994">
        <v>49.91</v>
      </c>
      <c r="F1070" s="987">
        <f t="shared" si="8"/>
        <v>9.5190380761522655E-3</v>
      </c>
      <c r="G1070" s="987">
        <v>0.46500000000000002</v>
      </c>
      <c r="H1070" s="987">
        <v>2E-3</v>
      </c>
      <c r="I1070" s="986">
        <f t="shared" si="7"/>
        <v>7.5190380761522655E-3</v>
      </c>
      <c r="J1070" s="988">
        <v>42005</v>
      </c>
    </row>
    <row r="1071" spans="2:10" ht="13.8">
      <c r="B1071" s="988">
        <v>42036</v>
      </c>
      <c r="C1071" s="983" t="s">
        <v>4645</v>
      </c>
      <c r="D1071" s="983" t="s">
        <v>4647</v>
      </c>
      <c r="E1071" s="983">
        <v>47.25</v>
      </c>
      <c r="F1071" s="987">
        <f t="shared" si="8"/>
        <v>-5.3295932678821815E-2</v>
      </c>
      <c r="G1071" s="987">
        <v>0</v>
      </c>
      <c r="H1071" s="987">
        <v>1.5E-3</v>
      </c>
      <c r="I1071" s="986">
        <f t="shared" si="7"/>
        <v>-5.4795932678821817E-2</v>
      </c>
      <c r="J1071" s="988">
        <v>42036</v>
      </c>
    </row>
    <row r="1072" spans="2:10" ht="13.8">
      <c r="B1072" s="988">
        <v>42064</v>
      </c>
      <c r="C1072" s="983" t="s">
        <v>4645</v>
      </c>
      <c r="D1072" s="983" t="s">
        <v>4647</v>
      </c>
      <c r="E1072" s="983">
        <v>47.95</v>
      </c>
      <c r="F1072" s="987">
        <f t="shared" si="8"/>
        <v>1.4814814814814874E-2</v>
      </c>
      <c r="G1072" s="987">
        <v>0</v>
      </c>
      <c r="H1072" s="987">
        <v>2.0999999999999999E-3</v>
      </c>
      <c r="I1072" s="986">
        <f t="shared" si="7"/>
        <v>1.2714814814814875E-2</v>
      </c>
      <c r="J1072" s="988">
        <v>42064</v>
      </c>
    </row>
    <row r="1073" spans="2:10" ht="13.8">
      <c r="B1073" s="988">
        <v>42095</v>
      </c>
      <c r="C1073" s="983" t="s">
        <v>4645</v>
      </c>
      <c r="D1073" s="983" t="s">
        <v>4647</v>
      </c>
      <c r="E1073" s="987">
        <v>46.7</v>
      </c>
      <c r="F1073" s="987">
        <f t="shared" si="8"/>
        <v>-1.6371220020855056E-2</v>
      </c>
      <c r="G1073" s="987">
        <v>0.46500000000000002</v>
      </c>
      <c r="H1073" s="987">
        <v>1.9E-3</v>
      </c>
      <c r="I1073" s="986">
        <f t="shared" si="7"/>
        <v>-1.8271220020855055E-2</v>
      </c>
      <c r="J1073" s="988">
        <v>42095</v>
      </c>
    </row>
    <row r="1074" spans="2:10" ht="13.8">
      <c r="B1074" s="988">
        <v>42125</v>
      </c>
      <c r="C1074" s="983" t="s">
        <v>4645</v>
      </c>
      <c r="D1074" s="983" t="s">
        <v>4647</v>
      </c>
      <c r="E1074" s="987">
        <v>44.7</v>
      </c>
      <c r="F1074" s="987">
        <f t="shared" si="8"/>
        <v>-4.2826552462526764E-2</v>
      </c>
      <c r="G1074" s="987">
        <v>0</v>
      </c>
      <c r="H1074" s="987">
        <v>2E-3</v>
      </c>
      <c r="I1074" s="986">
        <f t="shared" si="7"/>
        <v>-4.4826552462526766E-2</v>
      </c>
      <c r="J1074" s="988">
        <v>42125</v>
      </c>
    </row>
    <row r="1075" spans="2:10" ht="13.8">
      <c r="B1075" s="988">
        <v>42156</v>
      </c>
      <c r="C1075" s="983" t="s">
        <v>4645</v>
      </c>
      <c r="D1075" s="983" t="s">
        <v>4647</v>
      </c>
      <c r="E1075" s="987">
        <v>42.18</v>
      </c>
      <c r="F1075" s="987">
        <f t="shared" si="8"/>
        <v>-5.6375838926174565E-2</v>
      </c>
      <c r="G1075" s="987">
        <v>0</v>
      </c>
      <c r="H1075" s="987">
        <v>2.3E-3</v>
      </c>
      <c r="I1075" s="986">
        <f t="shared" si="7"/>
        <v>-5.8675838926174562E-2</v>
      </c>
      <c r="J1075" s="988">
        <f t="shared" ref="J1075:J1138" si="9">B1075</f>
        <v>42156</v>
      </c>
    </row>
    <row r="1076" spans="2:10" ht="13.8">
      <c r="B1076" s="988">
        <v>42186</v>
      </c>
      <c r="C1076" s="983" t="s">
        <v>4645</v>
      </c>
      <c r="D1076" s="983" t="s">
        <v>4647</v>
      </c>
      <c r="E1076" s="987">
        <v>43.29</v>
      </c>
      <c r="F1076" s="987">
        <f t="shared" si="8"/>
        <v>3.7339971550497855E-2</v>
      </c>
      <c r="G1076" s="987">
        <v>0.46500000000000002</v>
      </c>
      <c r="H1076" s="987">
        <v>2.3999999999999998E-3</v>
      </c>
      <c r="I1076" s="986">
        <f t="shared" si="7"/>
        <v>3.4939971550497856E-2</v>
      </c>
      <c r="J1076" s="988">
        <f t="shared" si="9"/>
        <v>42186</v>
      </c>
    </row>
    <row r="1077" spans="2:10" ht="13.8">
      <c r="B1077" s="988">
        <v>42217</v>
      </c>
      <c r="C1077" s="983" t="s">
        <v>4645</v>
      </c>
      <c r="D1077" s="983" t="s">
        <v>4647</v>
      </c>
      <c r="E1077" s="987">
        <v>43.98</v>
      </c>
      <c r="F1077" s="987">
        <f t="shared" si="8"/>
        <v>1.5939015939015887E-2</v>
      </c>
      <c r="G1077" s="987">
        <v>0</v>
      </c>
      <c r="H1077" s="987">
        <v>2.2000000000000001E-3</v>
      </c>
      <c r="I1077" s="986">
        <f t="shared" si="7"/>
        <v>1.3739015939015886E-2</v>
      </c>
      <c r="J1077" s="988">
        <f t="shared" si="9"/>
        <v>42217</v>
      </c>
    </row>
    <row r="1078" spans="2:10">
      <c r="B1078" s="988">
        <v>42248</v>
      </c>
      <c r="C1078" s="987" t="s">
        <v>4645</v>
      </c>
      <c r="D1078" s="987" t="s">
        <v>4647</v>
      </c>
      <c r="E1078" s="987">
        <v>45.84</v>
      </c>
      <c r="F1078" s="987">
        <f t="shared" si="8"/>
        <v>4.2291950886766863E-2</v>
      </c>
      <c r="G1078" s="987">
        <v>0</v>
      </c>
      <c r="H1078" s="987">
        <v>2.0999999999999999E-3</v>
      </c>
      <c r="I1078" s="987">
        <f t="shared" ref="I1078:I1141" si="10">F1078-H1078</f>
        <v>4.0191950886766865E-2</v>
      </c>
      <c r="J1078" s="988">
        <f t="shared" si="9"/>
        <v>42248</v>
      </c>
    </row>
    <row r="1079" spans="2:10">
      <c r="B1079" s="988">
        <v>42278</v>
      </c>
      <c r="C1079" s="987" t="s">
        <v>4645</v>
      </c>
      <c r="D1079" s="987" t="s">
        <v>4647</v>
      </c>
      <c r="E1079" s="987">
        <v>47.77</v>
      </c>
      <c r="F1079" s="987">
        <f t="shared" si="8"/>
        <v>5.2301483420593362E-2</v>
      </c>
      <c r="G1079" s="987">
        <v>0.46750000000000003</v>
      </c>
      <c r="H1079" s="987">
        <v>2.0999999999999999E-3</v>
      </c>
      <c r="I1079" s="987">
        <f t="shared" si="10"/>
        <v>5.0201483420593364E-2</v>
      </c>
      <c r="J1079" s="988">
        <f t="shared" si="9"/>
        <v>42278</v>
      </c>
    </row>
    <row r="1080" spans="2:10">
      <c r="B1080" s="988">
        <v>42309</v>
      </c>
      <c r="C1080" s="987" t="s">
        <v>4645</v>
      </c>
      <c r="D1080" s="987" t="s">
        <v>4647</v>
      </c>
      <c r="E1080" s="987">
        <v>48.8</v>
      </c>
      <c r="F1080" s="987">
        <f t="shared" si="8"/>
        <v>2.1561649570860247E-2</v>
      </c>
      <c r="G1080" s="987">
        <v>0</v>
      </c>
      <c r="H1080" s="987">
        <v>2.2000000000000001E-3</v>
      </c>
      <c r="I1080" s="987">
        <f t="shared" si="10"/>
        <v>1.9361649570860246E-2</v>
      </c>
      <c r="J1080" s="988">
        <f t="shared" si="9"/>
        <v>42309</v>
      </c>
    </row>
    <row r="1081" spans="2:10">
      <c r="B1081" s="988">
        <v>42339</v>
      </c>
      <c r="C1081" s="987" t="s">
        <v>4645</v>
      </c>
      <c r="D1081" s="987" t="s">
        <v>4647</v>
      </c>
      <c r="E1081" s="987">
        <v>50.61</v>
      </c>
      <c r="F1081" s="987">
        <f t="shared" si="8"/>
        <v>3.7090163934426275E-2</v>
      </c>
      <c r="G1081" s="987">
        <v>0</v>
      </c>
      <c r="H1081" s="987">
        <v>2.2000000000000001E-3</v>
      </c>
      <c r="I1081" s="987">
        <f t="shared" si="10"/>
        <v>3.4890163934426274E-2</v>
      </c>
      <c r="J1081" s="988">
        <f t="shared" si="9"/>
        <v>42339</v>
      </c>
    </row>
    <row r="1082" spans="2:10">
      <c r="B1082" s="988">
        <v>42370</v>
      </c>
      <c r="C1082" s="987" t="s">
        <v>4645</v>
      </c>
      <c r="D1082" s="987" t="s">
        <v>4647</v>
      </c>
      <c r="E1082" s="987">
        <v>51.95</v>
      </c>
      <c r="F1082" s="987">
        <f t="shared" si="8"/>
        <v>3.5714285714285782E-2</v>
      </c>
      <c r="G1082" s="987">
        <v>0.46750000000000003</v>
      </c>
      <c r="H1082" s="987">
        <v>2.0999999999999999E-3</v>
      </c>
      <c r="I1082" s="987">
        <f t="shared" si="10"/>
        <v>3.3614285714285784E-2</v>
      </c>
      <c r="J1082" s="988">
        <f t="shared" si="9"/>
        <v>42370</v>
      </c>
    </row>
    <row r="1083" spans="2:10">
      <c r="B1083" s="988">
        <v>42401</v>
      </c>
      <c r="C1083" s="987" t="s">
        <v>4645</v>
      </c>
      <c r="D1083" s="987" t="s">
        <v>4647</v>
      </c>
      <c r="E1083" s="987">
        <v>49.89</v>
      </c>
      <c r="F1083" s="987">
        <f t="shared" si="8"/>
        <v>-3.9653512993262793E-2</v>
      </c>
      <c r="G1083" s="987">
        <v>0</v>
      </c>
      <c r="H1083" s="987">
        <v>2E-3</v>
      </c>
      <c r="I1083" s="987">
        <f t="shared" si="10"/>
        <v>-4.1653512993262795E-2</v>
      </c>
      <c r="J1083" s="988">
        <f t="shared" si="9"/>
        <v>42401</v>
      </c>
    </row>
    <row r="1084" spans="2:10">
      <c r="B1084" s="988">
        <v>42430</v>
      </c>
      <c r="C1084" s="987" t="s">
        <v>4645</v>
      </c>
      <c r="D1084" s="987" t="s">
        <v>4647</v>
      </c>
      <c r="E1084" s="987">
        <v>53.85</v>
      </c>
      <c r="F1084" s="987">
        <f t="shared" si="8"/>
        <v>7.9374624173181016E-2</v>
      </c>
      <c r="G1084" s="987">
        <v>0</v>
      </c>
      <c r="H1084" s="987">
        <v>1.8E-3</v>
      </c>
      <c r="I1084" s="987">
        <f t="shared" si="10"/>
        <v>7.757462417318102E-2</v>
      </c>
      <c r="J1084" s="988">
        <f t="shared" si="9"/>
        <v>42430</v>
      </c>
    </row>
    <row r="1085" spans="2:10">
      <c r="B1085" s="988">
        <v>42461</v>
      </c>
      <c r="C1085" s="987" t="s">
        <v>4645</v>
      </c>
      <c r="D1085" s="987" t="s">
        <v>4647</v>
      </c>
      <c r="E1085" s="987">
        <v>51.54</v>
      </c>
      <c r="F1085" s="987">
        <f t="shared" si="8"/>
        <v>-3.4215413184772558E-2</v>
      </c>
      <c r="G1085" s="987">
        <v>0.46750000000000003</v>
      </c>
      <c r="H1085" s="987">
        <v>1.6999999999999999E-3</v>
      </c>
      <c r="I1085" s="987">
        <f t="shared" si="10"/>
        <v>-3.5915413184772559E-2</v>
      </c>
      <c r="J1085" s="988">
        <f t="shared" si="9"/>
        <v>42461</v>
      </c>
    </row>
    <row r="1086" spans="2:10">
      <c r="B1086" s="988">
        <v>42491</v>
      </c>
      <c r="C1086" s="987" t="s">
        <v>4645</v>
      </c>
      <c r="D1086" s="987" t="s">
        <v>4647</v>
      </c>
      <c r="E1086" s="987">
        <v>54.9</v>
      </c>
      <c r="F1086" s="987">
        <f t="shared" si="8"/>
        <v>6.5192083818393476E-2</v>
      </c>
      <c r="G1086" s="987">
        <v>0</v>
      </c>
      <c r="H1086" s="987">
        <v>2E-3</v>
      </c>
      <c r="I1086" s="987">
        <f t="shared" si="10"/>
        <v>6.3192083818393474E-2</v>
      </c>
      <c r="J1086" s="988">
        <f t="shared" si="9"/>
        <v>42491</v>
      </c>
    </row>
    <row r="1087" spans="2:10">
      <c r="B1087" s="988">
        <v>42522</v>
      </c>
      <c r="C1087" s="987" t="s">
        <v>4645</v>
      </c>
      <c r="D1087" s="987" t="s">
        <v>4647</v>
      </c>
      <c r="E1087" s="987">
        <v>64.819999999999993</v>
      </c>
      <c r="F1087" s="987">
        <f t="shared" si="8"/>
        <v>0.18069216757741338</v>
      </c>
      <c r="G1087" s="987">
        <v>0</v>
      </c>
      <c r="H1087" s="987">
        <v>1.8E-3</v>
      </c>
      <c r="I1087" s="987">
        <f t="shared" si="10"/>
        <v>0.17889216757741339</v>
      </c>
      <c r="J1087" s="988">
        <f t="shared" si="9"/>
        <v>42522</v>
      </c>
    </row>
    <row r="1088" spans="2:10">
      <c r="B1088" s="988">
        <v>42552</v>
      </c>
      <c r="C1088" s="987" t="s">
        <v>4645</v>
      </c>
      <c r="D1088" s="987" t="s">
        <v>4647</v>
      </c>
      <c r="E1088" s="987">
        <v>64.94</v>
      </c>
      <c r="F1088" s="987">
        <f t="shared" si="8"/>
        <v>9.0635606294354309E-3</v>
      </c>
      <c r="G1088" s="987">
        <v>0.46750000000000003</v>
      </c>
      <c r="H1088" s="987">
        <v>1.4E-3</v>
      </c>
      <c r="I1088" s="987">
        <f t="shared" si="10"/>
        <v>7.6635606294354307E-3</v>
      </c>
      <c r="J1088" s="988">
        <f t="shared" si="9"/>
        <v>42552</v>
      </c>
    </row>
    <row r="1089" spans="2:10">
      <c r="B1089" s="988">
        <v>42583</v>
      </c>
      <c r="C1089" s="987" t="s">
        <v>4645</v>
      </c>
      <c r="D1089" s="987" t="s">
        <v>4647</v>
      </c>
      <c r="E1089" s="987">
        <v>59.73</v>
      </c>
      <c r="F1089" s="987">
        <f t="shared" si="8"/>
        <v>-8.0227902679396376E-2</v>
      </c>
      <c r="G1089" s="987">
        <v>0</v>
      </c>
      <c r="H1089" s="987">
        <v>1.6000000000000001E-3</v>
      </c>
      <c r="I1089" s="987">
        <f t="shared" si="10"/>
        <v>-8.182790267939638E-2</v>
      </c>
      <c r="J1089" s="988">
        <f t="shared" si="9"/>
        <v>42583</v>
      </c>
    </row>
    <row r="1090" spans="2:10">
      <c r="B1090" s="988">
        <v>42614</v>
      </c>
      <c r="C1090" s="987" t="s">
        <v>4645</v>
      </c>
      <c r="D1090" s="987" t="s">
        <v>4647</v>
      </c>
      <c r="E1090" s="987">
        <v>60.11</v>
      </c>
      <c r="F1090" s="987">
        <f t="shared" si="8"/>
        <v>6.3619621630671783E-3</v>
      </c>
      <c r="G1090" s="987">
        <v>0</v>
      </c>
      <c r="H1090" s="987">
        <v>1.5E-3</v>
      </c>
      <c r="I1090" s="987">
        <f t="shared" si="10"/>
        <v>4.8619621630671787E-3</v>
      </c>
      <c r="J1090" s="988">
        <f t="shared" si="9"/>
        <v>42614</v>
      </c>
    </row>
    <row r="1091" spans="2:10">
      <c r="B1091" s="988">
        <v>42644</v>
      </c>
      <c r="C1091" s="987" t="s">
        <v>4645</v>
      </c>
      <c r="D1091" s="987" t="s">
        <v>4647</v>
      </c>
      <c r="E1091" s="987">
        <v>58.8</v>
      </c>
      <c r="F1091" s="987">
        <f t="shared" si="8"/>
        <v>-1.3974380302778276E-2</v>
      </c>
      <c r="G1091" s="987">
        <v>0.47</v>
      </c>
      <c r="H1091" s="987">
        <v>1.6000000000000001E-3</v>
      </c>
      <c r="I1091" s="987">
        <f t="shared" si="10"/>
        <v>-1.5574380302778277E-2</v>
      </c>
      <c r="J1091" s="988">
        <f t="shared" si="9"/>
        <v>42644</v>
      </c>
    </row>
    <row r="1092" spans="2:10">
      <c r="B1092" s="988">
        <v>42675</v>
      </c>
      <c r="C1092" s="987" t="s">
        <v>4645</v>
      </c>
      <c r="D1092" s="987" t="s">
        <v>4647</v>
      </c>
      <c r="E1092" s="987">
        <v>57.3</v>
      </c>
      <c r="F1092" s="987">
        <f t="shared" si="8"/>
        <v>-2.5510204081632654E-2</v>
      </c>
      <c r="G1092" s="987">
        <v>0</v>
      </c>
      <c r="H1092" s="987">
        <v>1.8E-3</v>
      </c>
      <c r="I1092" s="987">
        <f t="shared" si="10"/>
        <v>-2.7310204081632653E-2</v>
      </c>
      <c r="J1092" s="988">
        <f t="shared" si="9"/>
        <v>42675</v>
      </c>
    </row>
    <row r="1093" spans="2:10">
      <c r="B1093" s="988">
        <v>42705</v>
      </c>
      <c r="C1093" s="987" t="s">
        <v>4645</v>
      </c>
      <c r="D1093" s="987" t="s">
        <v>4647</v>
      </c>
      <c r="E1093" s="987">
        <v>59.8</v>
      </c>
      <c r="F1093" s="987">
        <f t="shared" si="8"/>
        <v>4.3630017452006981E-2</v>
      </c>
      <c r="G1093" s="987">
        <v>0</v>
      </c>
      <c r="H1093" s="987">
        <v>2.2000000000000001E-3</v>
      </c>
      <c r="I1093" s="987">
        <f t="shared" si="10"/>
        <v>4.143001745200698E-2</v>
      </c>
      <c r="J1093" s="988">
        <f t="shared" si="9"/>
        <v>42705</v>
      </c>
    </row>
    <row r="1094" spans="2:10">
      <c r="B1094" s="988">
        <v>42736</v>
      </c>
      <c r="C1094" s="987" t="s">
        <v>4645</v>
      </c>
      <c r="D1094" s="987" t="s">
        <v>4647</v>
      </c>
      <c r="E1094" s="987">
        <v>58.9</v>
      </c>
      <c r="F1094" s="987">
        <f t="shared" si="8"/>
        <v>-7.1906354515049922E-3</v>
      </c>
      <c r="G1094" s="987">
        <v>0.47</v>
      </c>
      <c r="H1094" s="987">
        <v>2.3999999999999998E-3</v>
      </c>
      <c r="I1094" s="987">
        <f t="shared" si="10"/>
        <v>-9.5906354515049915E-3</v>
      </c>
      <c r="J1094" s="988">
        <f t="shared" si="9"/>
        <v>42736</v>
      </c>
    </row>
    <row r="1095" spans="2:10">
      <c r="B1095" s="988">
        <v>42767</v>
      </c>
      <c r="C1095" s="987" t="s">
        <v>4645</v>
      </c>
      <c r="D1095" s="987" t="s">
        <v>4647</v>
      </c>
      <c r="E1095" s="987">
        <v>60.1</v>
      </c>
      <c r="F1095" s="987">
        <f t="shared" si="8"/>
        <v>2.0373514431239439E-2</v>
      </c>
      <c r="G1095" s="987">
        <v>0</v>
      </c>
      <c r="H1095" s="987">
        <v>2.0999999999999999E-3</v>
      </c>
      <c r="I1095" s="987">
        <f t="shared" si="10"/>
        <v>1.8273514431239438E-2</v>
      </c>
      <c r="J1095" s="988">
        <f t="shared" si="9"/>
        <v>42767</v>
      </c>
    </row>
    <row r="1096" spans="2:10">
      <c r="B1096" s="988">
        <v>42795</v>
      </c>
      <c r="C1096" s="987" t="s">
        <v>4645</v>
      </c>
      <c r="D1096" s="987" t="s">
        <v>4647</v>
      </c>
      <c r="E1096" s="987">
        <v>59.1</v>
      </c>
      <c r="F1096" s="987">
        <f t="shared" si="8"/>
        <v>-1.6638935108153077E-2</v>
      </c>
      <c r="G1096" s="987">
        <v>0</v>
      </c>
      <c r="H1096" s="987">
        <v>2.3E-3</v>
      </c>
      <c r="I1096" s="987">
        <f t="shared" si="10"/>
        <v>-1.8938935108153077E-2</v>
      </c>
      <c r="J1096" s="988">
        <f t="shared" si="9"/>
        <v>42795</v>
      </c>
    </row>
    <row r="1097" spans="2:10">
      <c r="B1097" s="988">
        <v>42826</v>
      </c>
      <c r="C1097" s="987" t="s">
        <v>4645</v>
      </c>
      <c r="D1097" s="987" t="s">
        <v>4647</v>
      </c>
      <c r="E1097" s="987">
        <v>59.6</v>
      </c>
      <c r="F1097" s="987">
        <f t="shared" si="8"/>
        <v>1.6412859560067682E-2</v>
      </c>
      <c r="G1097" s="987">
        <v>0.47</v>
      </c>
      <c r="H1097" s="987">
        <v>2.0999999999999999E-3</v>
      </c>
      <c r="I1097" s="987">
        <f t="shared" si="10"/>
        <v>1.4312859560067682E-2</v>
      </c>
      <c r="J1097" s="988">
        <f t="shared" si="9"/>
        <v>42826</v>
      </c>
    </row>
    <row r="1098" spans="2:10">
      <c r="B1098" s="988">
        <v>42856</v>
      </c>
      <c r="C1098" s="987" t="s">
        <v>4645</v>
      </c>
      <c r="D1098" s="987" t="s">
        <v>4647</v>
      </c>
      <c r="E1098" s="987">
        <v>61.25</v>
      </c>
      <c r="F1098" s="987">
        <f t="shared" si="8"/>
        <v>2.7684563758389236E-2</v>
      </c>
      <c r="G1098" s="987">
        <v>0</v>
      </c>
      <c r="H1098" s="987">
        <v>2.3999999999999998E-3</v>
      </c>
      <c r="I1098" s="987">
        <f t="shared" si="10"/>
        <v>2.5284563758389236E-2</v>
      </c>
      <c r="J1098" s="988">
        <f t="shared" si="9"/>
        <v>42856</v>
      </c>
    </row>
    <row r="1099" spans="2:10">
      <c r="B1099" s="988">
        <v>42887</v>
      </c>
      <c r="C1099" s="987" t="s">
        <v>4645</v>
      </c>
      <c r="D1099" s="987" t="s">
        <v>4647</v>
      </c>
      <c r="E1099" s="987">
        <v>59.85</v>
      </c>
      <c r="F1099" s="987">
        <f t="shared" si="8"/>
        <v>-2.2857142857142833E-2</v>
      </c>
      <c r="G1099" s="987">
        <v>0</v>
      </c>
      <c r="H1099" s="987">
        <v>2.0999999999999999E-3</v>
      </c>
      <c r="I1099" s="987">
        <f t="shared" si="10"/>
        <v>-2.4957142857142834E-2</v>
      </c>
      <c r="J1099" s="988">
        <f t="shared" si="9"/>
        <v>42887</v>
      </c>
    </row>
    <row r="1100" spans="2:10">
      <c r="B1100" s="988">
        <v>42917</v>
      </c>
      <c r="C1100" s="987" t="s">
        <v>4645</v>
      </c>
      <c r="D1100" s="987" t="s">
        <v>4647</v>
      </c>
      <c r="E1100" s="987">
        <v>63.1</v>
      </c>
      <c r="F1100" s="987">
        <f t="shared" si="8"/>
        <v>6.2155388471177943E-2</v>
      </c>
      <c r="G1100" s="987">
        <v>0.47</v>
      </c>
      <c r="H1100" s="987">
        <v>2.2000000000000001E-3</v>
      </c>
      <c r="I1100" s="987">
        <f t="shared" si="10"/>
        <v>5.9955388471177942E-2</v>
      </c>
      <c r="J1100" s="988">
        <f t="shared" si="9"/>
        <v>42917</v>
      </c>
    </row>
    <row r="1101" spans="2:10">
      <c r="B1101" s="988">
        <v>42948</v>
      </c>
      <c r="C1101" s="987" t="s">
        <v>4645</v>
      </c>
      <c r="D1101" s="987" t="s">
        <v>4647</v>
      </c>
      <c r="E1101" s="987">
        <v>66.3</v>
      </c>
      <c r="F1101" s="987">
        <f t="shared" si="8"/>
        <v>5.0713153724247159E-2</v>
      </c>
      <c r="G1101" s="987">
        <v>0</v>
      </c>
      <c r="H1101" s="987">
        <v>2.2000000000000001E-3</v>
      </c>
      <c r="I1101" s="987">
        <f t="shared" si="10"/>
        <v>4.8513153724247159E-2</v>
      </c>
      <c r="J1101" s="988">
        <f t="shared" si="9"/>
        <v>42948</v>
      </c>
    </row>
    <row r="1102" spans="2:10">
      <c r="B1102" s="988">
        <v>42979</v>
      </c>
      <c r="C1102" s="987" t="s">
        <v>4645</v>
      </c>
      <c r="D1102" s="987" t="s">
        <v>4647</v>
      </c>
      <c r="E1102" s="987">
        <v>64.400000000000006</v>
      </c>
      <c r="F1102" s="987">
        <f t="shared" si="8"/>
        <v>-2.8657616892910884E-2</v>
      </c>
      <c r="G1102" s="987">
        <v>0</v>
      </c>
      <c r="H1102" s="987">
        <v>1.9E-3</v>
      </c>
      <c r="I1102" s="987">
        <f t="shared" si="10"/>
        <v>-3.0557616892910883E-2</v>
      </c>
      <c r="J1102" s="988">
        <f t="shared" si="9"/>
        <v>42979</v>
      </c>
    </row>
    <row r="1103" spans="2:10">
      <c r="B1103" s="988">
        <v>43009</v>
      </c>
      <c r="C1103" s="987" t="s">
        <v>4645</v>
      </c>
      <c r="D1103" s="987" t="s">
        <v>4647</v>
      </c>
      <c r="E1103" s="987">
        <v>66.349999999999994</v>
      </c>
      <c r="F1103" s="987">
        <f t="shared" si="8"/>
        <v>3.7616459627329013E-2</v>
      </c>
      <c r="G1103" s="987">
        <v>0.47249999999999998</v>
      </c>
      <c r="H1103" s="987">
        <v>2.2000000000000001E-3</v>
      </c>
      <c r="I1103" s="987">
        <f t="shared" si="10"/>
        <v>3.5416459627329012E-2</v>
      </c>
      <c r="J1103" s="988">
        <f t="shared" si="9"/>
        <v>43009</v>
      </c>
    </row>
    <row r="1104" spans="2:10">
      <c r="B1104" s="988">
        <v>43040</v>
      </c>
      <c r="C1104" s="987" t="s">
        <v>4645</v>
      </c>
      <c r="D1104" s="987" t="s">
        <v>4647</v>
      </c>
      <c r="E1104" s="987">
        <v>69.150000000000006</v>
      </c>
      <c r="F1104" s="987">
        <f t="shared" ref="F1104:F1165" si="11">((E1104-E1103)/E1103)+(G1104/E1103)</f>
        <v>4.220045214770176E-2</v>
      </c>
      <c r="G1104" s="987">
        <v>0</v>
      </c>
      <c r="H1104" s="987">
        <v>2.0999999999999999E-3</v>
      </c>
      <c r="I1104" s="987">
        <f t="shared" si="10"/>
        <v>4.0100452147701762E-2</v>
      </c>
      <c r="J1104" s="988">
        <f t="shared" si="9"/>
        <v>43040</v>
      </c>
    </row>
    <row r="1105" spans="2:10">
      <c r="B1105" s="988">
        <v>43070</v>
      </c>
      <c r="C1105" s="987" t="s">
        <v>4645</v>
      </c>
      <c r="D1105" s="987" t="s">
        <v>4647</v>
      </c>
      <c r="E1105" s="987">
        <v>59.65</v>
      </c>
      <c r="F1105" s="987">
        <f t="shared" si="11"/>
        <v>-0.13738250180766459</v>
      </c>
      <c r="G1105" s="987">
        <v>0</v>
      </c>
      <c r="H1105" s="987">
        <v>2E-3</v>
      </c>
      <c r="I1105" s="987">
        <f t="shared" si="10"/>
        <v>-0.13938250180766459</v>
      </c>
      <c r="J1105" s="988">
        <f t="shared" si="9"/>
        <v>43070</v>
      </c>
    </row>
    <row r="1106" spans="2:10">
      <c r="B1106" s="988">
        <v>43101</v>
      </c>
      <c r="C1106" s="987" t="s">
        <v>4645</v>
      </c>
      <c r="D1106" s="987" t="s">
        <v>4647</v>
      </c>
      <c r="E1106" s="987">
        <v>57.35</v>
      </c>
      <c r="F1106" s="987">
        <f t="shared" si="11"/>
        <v>-3.0637049455155021E-2</v>
      </c>
      <c r="G1106" s="987">
        <v>0.47249999999999998</v>
      </c>
      <c r="H1106" s="987">
        <v>2.3999999999999998E-3</v>
      </c>
      <c r="I1106" s="987">
        <f t="shared" si="10"/>
        <v>-3.3037049455155024E-2</v>
      </c>
      <c r="J1106" s="988">
        <f t="shared" si="9"/>
        <v>43101</v>
      </c>
    </row>
    <row r="1107" spans="2:10">
      <c r="B1107" s="988">
        <v>43132</v>
      </c>
      <c r="C1107" s="987" t="s">
        <v>4645</v>
      </c>
      <c r="D1107" s="987" t="s">
        <v>4647</v>
      </c>
      <c r="E1107" s="987">
        <v>52.15</v>
      </c>
      <c r="F1107" s="987">
        <f t="shared" si="11"/>
        <v>-9.0671316477768132E-2</v>
      </c>
      <c r="G1107" s="987">
        <v>0</v>
      </c>
      <c r="H1107" s="987">
        <v>2.2000000000000001E-3</v>
      </c>
      <c r="I1107" s="987">
        <f t="shared" si="10"/>
        <v>-9.2871316477768126E-2</v>
      </c>
      <c r="J1107" s="988">
        <f t="shared" si="9"/>
        <v>43132</v>
      </c>
    </row>
    <row r="1108" spans="2:10">
      <c r="B1108" s="988">
        <v>43160</v>
      </c>
      <c r="C1108" s="987" t="s">
        <v>4645</v>
      </c>
      <c r="D1108" s="987" t="s">
        <v>4647</v>
      </c>
      <c r="E1108" s="987">
        <v>57.65</v>
      </c>
      <c r="F1108" s="987">
        <f t="shared" si="11"/>
        <v>0.10546500479386385</v>
      </c>
      <c r="G1108" s="987">
        <v>0</v>
      </c>
      <c r="H1108" s="987">
        <v>2.3999999999999998E-3</v>
      </c>
      <c r="I1108" s="987">
        <f t="shared" si="10"/>
        <v>0.10306500479386385</v>
      </c>
      <c r="J1108" s="988">
        <f t="shared" si="9"/>
        <v>43160</v>
      </c>
    </row>
    <row r="1109" spans="2:10">
      <c r="B1109" s="988">
        <v>43191</v>
      </c>
      <c r="C1109" s="987" t="s">
        <v>4645</v>
      </c>
      <c r="D1109" s="987" t="s">
        <v>4647</v>
      </c>
      <c r="E1109" s="987">
        <v>61.3</v>
      </c>
      <c r="F1109" s="987">
        <f t="shared" si="11"/>
        <v>7.1509106678230683E-2</v>
      </c>
      <c r="G1109" s="987">
        <v>0.47249999999999998</v>
      </c>
      <c r="H1109" s="987">
        <v>2.5000000000000001E-3</v>
      </c>
      <c r="I1109" s="987">
        <f t="shared" si="10"/>
        <v>6.9009106678230681E-2</v>
      </c>
      <c r="J1109" s="988">
        <f t="shared" si="9"/>
        <v>43191</v>
      </c>
    </row>
    <row r="1110" spans="2:10">
      <c r="B1110" s="988">
        <v>43221</v>
      </c>
      <c r="C1110" s="987" t="s">
        <v>4645</v>
      </c>
      <c r="D1110" s="987" t="s">
        <v>4647</v>
      </c>
      <c r="E1110" s="987">
        <v>59.8</v>
      </c>
      <c r="F1110" s="987">
        <f t="shared" si="11"/>
        <v>-2.4469820554649267E-2</v>
      </c>
      <c r="G1110" s="987">
        <v>0</v>
      </c>
      <c r="H1110" s="987">
        <v>2.5000000000000001E-3</v>
      </c>
      <c r="I1110" s="987">
        <f t="shared" si="10"/>
        <v>-2.6969820554649266E-2</v>
      </c>
      <c r="J1110" s="988">
        <f t="shared" si="9"/>
        <v>43221</v>
      </c>
    </row>
    <row r="1111" spans="2:10">
      <c r="B1111" s="988">
        <v>43252</v>
      </c>
      <c r="C1111" s="987" t="s">
        <v>4645</v>
      </c>
      <c r="D1111" s="987" t="s">
        <v>4647</v>
      </c>
      <c r="E1111" s="987">
        <v>63.8</v>
      </c>
      <c r="F1111" s="987">
        <f t="shared" si="11"/>
        <v>6.6889632107023408E-2</v>
      </c>
      <c r="G1111" s="987">
        <v>0</v>
      </c>
      <c r="H1111" s="987">
        <v>2.3E-3</v>
      </c>
      <c r="I1111" s="987">
        <f t="shared" si="10"/>
        <v>6.4589632107023412E-2</v>
      </c>
      <c r="J1111" s="988">
        <f t="shared" si="9"/>
        <v>43252</v>
      </c>
    </row>
    <row r="1112" spans="2:10">
      <c r="B1112" s="988">
        <v>43282</v>
      </c>
      <c r="C1112" s="987" t="s">
        <v>4645</v>
      </c>
      <c r="D1112" s="987" t="s">
        <v>4647</v>
      </c>
      <c r="E1112" s="987">
        <v>65.150000000000006</v>
      </c>
      <c r="F1112" s="987">
        <f t="shared" si="11"/>
        <v>2.8565830721003271E-2</v>
      </c>
      <c r="G1112" s="987">
        <v>0.47249999999999998</v>
      </c>
      <c r="H1112" s="987">
        <v>2.5000000000000001E-3</v>
      </c>
      <c r="I1112" s="987">
        <f t="shared" si="10"/>
        <v>2.6065830721003273E-2</v>
      </c>
      <c r="J1112" s="988">
        <f t="shared" si="9"/>
        <v>43282</v>
      </c>
    </row>
    <row r="1113" spans="2:10">
      <c r="B1113" s="988">
        <v>43313</v>
      </c>
      <c r="C1113" s="987" t="s">
        <v>4645</v>
      </c>
      <c r="D1113" s="987" t="s">
        <v>4647</v>
      </c>
      <c r="E1113" s="987">
        <v>64.900000000000006</v>
      </c>
      <c r="F1113" s="987">
        <f t="shared" si="11"/>
        <v>-3.8372985418265539E-3</v>
      </c>
      <c r="G1113" s="987">
        <v>0</v>
      </c>
      <c r="H1113" s="987">
        <v>2.5000000000000001E-3</v>
      </c>
      <c r="I1113" s="987">
        <f t="shared" si="10"/>
        <v>-6.337298541826554E-3</v>
      </c>
      <c r="J1113" s="988">
        <f t="shared" si="9"/>
        <v>43313</v>
      </c>
    </row>
    <row r="1114" spans="2:10">
      <c r="B1114" s="988">
        <v>43344</v>
      </c>
      <c r="C1114" s="987" t="s">
        <v>4645</v>
      </c>
      <c r="D1114" s="987" t="s">
        <v>4647</v>
      </c>
      <c r="E1114" s="987">
        <v>66.900000000000006</v>
      </c>
      <c r="F1114" s="987">
        <f t="shared" si="11"/>
        <v>3.0816640986132508E-2</v>
      </c>
      <c r="G1114" s="987">
        <v>0</v>
      </c>
      <c r="H1114" s="987">
        <v>2.2000000000000001E-3</v>
      </c>
      <c r="I1114" s="987">
        <f t="shared" si="10"/>
        <v>2.8616640986132508E-2</v>
      </c>
      <c r="J1114" s="988">
        <f t="shared" si="9"/>
        <v>43344</v>
      </c>
    </row>
    <row r="1115" spans="2:10">
      <c r="B1115" s="988">
        <v>43374</v>
      </c>
      <c r="C1115" s="987" t="s">
        <v>4645</v>
      </c>
      <c r="D1115" s="987" t="s">
        <v>4647</v>
      </c>
      <c r="E1115" s="987">
        <v>64.790000000000006</v>
      </c>
      <c r="F1115" s="987">
        <f t="shared" si="11"/>
        <v>-2.4439461883408065E-2</v>
      </c>
      <c r="G1115" s="987">
        <v>0.47499999999999998</v>
      </c>
      <c r="H1115" s="987">
        <v>3.0000000000000001E-3</v>
      </c>
      <c r="I1115" s="987">
        <f t="shared" si="10"/>
        <v>-2.7439461883408064E-2</v>
      </c>
      <c r="J1115" s="988">
        <f t="shared" si="9"/>
        <v>43374</v>
      </c>
    </row>
    <row r="1116" spans="2:10">
      <c r="B1116" s="988">
        <v>43405</v>
      </c>
      <c r="C1116" s="987" t="s">
        <v>4645</v>
      </c>
      <c r="D1116" s="987" t="s">
        <v>4647</v>
      </c>
      <c r="E1116" s="987">
        <v>66.33</v>
      </c>
      <c r="F1116" s="987">
        <f t="shared" si="11"/>
        <v>2.3769100169779161E-2</v>
      </c>
      <c r="G1116" s="987">
        <v>0</v>
      </c>
      <c r="H1116" s="987">
        <v>2.8E-3</v>
      </c>
      <c r="I1116" s="987">
        <f t="shared" si="10"/>
        <v>2.096910016977916E-2</v>
      </c>
      <c r="J1116" s="988">
        <f t="shared" si="9"/>
        <v>43405</v>
      </c>
    </row>
    <row r="1117" spans="2:10">
      <c r="B1117" s="988">
        <v>43435</v>
      </c>
      <c r="C1117" s="987" t="s">
        <v>4645</v>
      </c>
      <c r="D1117" s="987" t="s">
        <v>4647</v>
      </c>
      <c r="E1117" s="987">
        <v>60.46</v>
      </c>
      <c r="F1117" s="987">
        <f t="shared" si="11"/>
        <v>-8.8496909392431738E-2</v>
      </c>
      <c r="G1117" s="987">
        <v>0</v>
      </c>
      <c r="H1117" s="987">
        <v>2.7000000000000001E-3</v>
      </c>
      <c r="I1117" s="987">
        <f t="shared" si="10"/>
        <v>-9.1196909392431733E-2</v>
      </c>
      <c r="J1117" s="988">
        <f t="shared" si="9"/>
        <v>43435</v>
      </c>
    </row>
    <row r="1118" spans="2:10">
      <c r="B1118" s="988">
        <v>43466</v>
      </c>
      <c r="C1118" s="987" t="s">
        <v>4645</v>
      </c>
      <c r="D1118" s="987" t="s">
        <v>4647</v>
      </c>
      <c r="E1118" s="987">
        <v>62.6</v>
      </c>
      <c r="F1118" s="987">
        <f t="shared" si="11"/>
        <v>4.3251736685411851E-2</v>
      </c>
      <c r="G1118" s="987">
        <v>0.47499999999999998</v>
      </c>
      <c r="H1118" s="987">
        <v>2.5000000000000001E-3</v>
      </c>
      <c r="I1118" s="987">
        <f t="shared" si="10"/>
        <v>4.0751736685411849E-2</v>
      </c>
      <c r="J1118" s="988">
        <f t="shared" si="9"/>
        <v>43466</v>
      </c>
    </row>
    <row r="1119" spans="2:10">
      <c r="B1119" s="988">
        <v>43497</v>
      </c>
      <c r="C1119" s="987" t="s">
        <v>4645</v>
      </c>
      <c r="D1119" s="987" t="s">
        <v>4647</v>
      </c>
      <c r="E1119" s="987">
        <v>64.22</v>
      </c>
      <c r="F1119" s="987">
        <f t="shared" si="11"/>
        <v>2.5878594249201237E-2</v>
      </c>
      <c r="G1119" s="987">
        <v>0</v>
      </c>
      <c r="H1119" s="987">
        <v>2.2000000000000001E-3</v>
      </c>
      <c r="I1119" s="987">
        <f t="shared" si="10"/>
        <v>2.3678594249201237E-2</v>
      </c>
      <c r="J1119" s="988">
        <f t="shared" si="9"/>
        <v>43497</v>
      </c>
    </row>
    <row r="1120" spans="2:10">
      <c r="B1120" s="988">
        <v>43525</v>
      </c>
      <c r="C1120" s="987" t="s">
        <v>4645</v>
      </c>
      <c r="D1120" s="987" t="s">
        <v>4647</v>
      </c>
      <c r="E1120" s="987">
        <v>65.63</v>
      </c>
      <c r="F1120" s="987">
        <f t="shared" si="11"/>
        <v>2.1955777016505709E-2</v>
      </c>
      <c r="G1120" s="987">
        <v>0</v>
      </c>
      <c r="H1120" s="987">
        <v>2.3E-3</v>
      </c>
      <c r="I1120" s="987">
        <f t="shared" si="10"/>
        <v>1.9655777016505709E-2</v>
      </c>
      <c r="J1120" s="988">
        <f t="shared" si="9"/>
        <v>43525</v>
      </c>
    </row>
    <row r="1121" spans="2:10">
      <c r="B1121" s="988">
        <v>43556</v>
      </c>
      <c r="C1121" s="987" t="s">
        <v>4645</v>
      </c>
      <c r="D1121" s="987" t="s">
        <v>4647</v>
      </c>
      <c r="E1121" s="987">
        <v>66.89</v>
      </c>
      <c r="F1121" s="987">
        <f t="shared" si="11"/>
        <v>2.643608106049071E-2</v>
      </c>
      <c r="G1121" s="987">
        <v>0.47499999999999998</v>
      </c>
      <c r="H1121" s="987">
        <v>2.3E-3</v>
      </c>
      <c r="I1121" s="987">
        <f t="shared" si="10"/>
        <v>2.413608106049071E-2</v>
      </c>
      <c r="J1121" s="988">
        <f t="shared" si="9"/>
        <v>43556</v>
      </c>
    </row>
    <row r="1122" spans="2:10">
      <c r="B1122" s="988">
        <v>43586</v>
      </c>
      <c r="C1122" s="987" t="s">
        <v>4645</v>
      </c>
      <c r="D1122" s="987" t="s">
        <v>4647</v>
      </c>
      <c r="E1122" s="987">
        <v>68.819999999999993</v>
      </c>
      <c r="F1122" s="987">
        <f t="shared" si="11"/>
        <v>2.8853341306622704E-2</v>
      </c>
      <c r="G1122" s="987">
        <v>0</v>
      </c>
      <c r="H1122" s="987">
        <v>2.3E-3</v>
      </c>
      <c r="I1122" s="987">
        <f t="shared" si="10"/>
        <v>2.6553341306622704E-2</v>
      </c>
      <c r="J1122" s="988">
        <f t="shared" si="9"/>
        <v>43586</v>
      </c>
    </row>
    <row r="1123" spans="2:10">
      <c r="B1123" s="988">
        <v>43617</v>
      </c>
      <c r="C1123" s="987" t="s">
        <v>4645</v>
      </c>
      <c r="D1123" s="987" t="s">
        <v>4647</v>
      </c>
      <c r="E1123" s="987">
        <v>69.5</v>
      </c>
      <c r="F1123" s="987">
        <f t="shared" si="11"/>
        <v>9.88084859052611E-3</v>
      </c>
      <c r="G1123" s="987">
        <v>0</v>
      </c>
      <c r="H1123" s="987">
        <v>1.8E-3</v>
      </c>
      <c r="I1123" s="987">
        <f t="shared" si="10"/>
        <v>8.0808485905261105E-3</v>
      </c>
      <c r="J1123" s="988">
        <f t="shared" si="9"/>
        <v>43617</v>
      </c>
    </row>
    <row r="1124" spans="2:10">
      <c r="B1124" s="988">
        <v>43647</v>
      </c>
      <c r="C1124" s="987" t="s">
        <v>4645</v>
      </c>
      <c r="D1124" s="987" t="s">
        <v>4647</v>
      </c>
      <c r="E1124" s="987">
        <v>71.42</v>
      </c>
      <c r="F1124" s="987">
        <f t="shared" si="11"/>
        <v>3.4460431654676285E-2</v>
      </c>
      <c r="G1124" s="987">
        <v>0.47499999999999998</v>
      </c>
      <c r="H1124" s="987">
        <v>2.0999999999999999E-3</v>
      </c>
      <c r="I1124" s="987">
        <f t="shared" si="10"/>
        <v>3.2360431654676287E-2</v>
      </c>
      <c r="J1124" s="988">
        <f t="shared" si="9"/>
        <v>43647</v>
      </c>
    </row>
    <row r="1125" spans="2:10">
      <c r="B1125" s="988">
        <v>43678</v>
      </c>
      <c r="C1125" s="987" t="s">
        <v>4645</v>
      </c>
      <c r="D1125" s="987" t="s">
        <v>4647</v>
      </c>
      <c r="E1125" s="987">
        <v>71.36</v>
      </c>
      <c r="F1125" s="987">
        <f t="shared" si="11"/>
        <v>-8.4010081209748354E-4</v>
      </c>
      <c r="G1125" s="987">
        <v>0</v>
      </c>
      <c r="H1125" s="987">
        <v>1.9E-3</v>
      </c>
      <c r="I1125" s="987">
        <f t="shared" si="10"/>
        <v>-2.7401008120974835E-3</v>
      </c>
      <c r="J1125" s="988">
        <f t="shared" si="9"/>
        <v>43678</v>
      </c>
    </row>
    <row r="1126" spans="2:10">
      <c r="B1126" s="988">
        <v>43709</v>
      </c>
      <c r="C1126" s="987" t="s">
        <v>4645</v>
      </c>
      <c r="D1126" s="987" t="s">
        <v>4647</v>
      </c>
      <c r="E1126" s="987">
        <v>71.34</v>
      </c>
      <c r="F1126" s="987">
        <f t="shared" si="11"/>
        <v>-2.8026905829590839E-4</v>
      </c>
      <c r="G1126" s="987">
        <v>0</v>
      </c>
      <c r="H1126" s="987">
        <v>1.5E-3</v>
      </c>
      <c r="I1126" s="987">
        <f t="shared" si="10"/>
        <v>-1.7802690582959084E-3</v>
      </c>
      <c r="J1126" s="988">
        <f t="shared" si="9"/>
        <v>43709</v>
      </c>
    </row>
    <row r="1127" spans="2:10">
      <c r="B1127" s="988">
        <v>43739</v>
      </c>
      <c r="C1127" s="987" t="s">
        <v>4645</v>
      </c>
      <c r="D1127" s="987" t="s">
        <v>4647</v>
      </c>
      <c r="E1127" s="987">
        <v>69.36</v>
      </c>
      <c r="F1127" s="987">
        <f t="shared" si="11"/>
        <v>-2.1061115783571685E-2</v>
      </c>
      <c r="G1127" s="987">
        <v>0.47749999999999998</v>
      </c>
      <c r="H1127" s="987">
        <v>1.6000000000000001E-3</v>
      </c>
      <c r="I1127" s="987">
        <f t="shared" si="10"/>
        <v>-2.2661115783571686E-2</v>
      </c>
      <c r="J1127" s="988">
        <f t="shared" si="9"/>
        <v>43739</v>
      </c>
    </row>
    <row r="1128" spans="2:10">
      <c r="B1128" s="988">
        <v>43770</v>
      </c>
      <c r="C1128" s="987" t="s">
        <v>4645</v>
      </c>
      <c r="D1128" s="987" t="s">
        <v>4647</v>
      </c>
      <c r="E1128" s="987">
        <v>68.77</v>
      </c>
      <c r="F1128" s="987">
        <f t="shared" si="11"/>
        <v>-8.5063437139562201E-3</v>
      </c>
      <c r="G1128" s="987">
        <v>0</v>
      </c>
      <c r="H1128" s="987">
        <v>1.6000000000000001E-3</v>
      </c>
      <c r="I1128" s="987">
        <f t="shared" si="10"/>
        <v>-1.0106343713956221E-2</v>
      </c>
      <c r="J1128" s="988">
        <f t="shared" si="9"/>
        <v>43770</v>
      </c>
    </row>
    <row r="1129" spans="2:10">
      <c r="B1129" s="988">
        <v>43800</v>
      </c>
      <c r="C1129" s="987" t="s">
        <v>4645</v>
      </c>
      <c r="D1129" s="987" t="s">
        <v>4647</v>
      </c>
      <c r="E1129" s="987">
        <v>73.73</v>
      </c>
      <c r="F1129" s="987">
        <f t="shared" si="11"/>
        <v>7.2124472880616672E-2</v>
      </c>
      <c r="G1129" s="987">
        <v>0</v>
      </c>
      <c r="H1129" s="987">
        <v>1.8E-3</v>
      </c>
      <c r="I1129" s="987">
        <f t="shared" si="10"/>
        <v>7.0324472880616676E-2</v>
      </c>
      <c r="J1129" s="988">
        <f t="shared" si="9"/>
        <v>43800</v>
      </c>
    </row>
    <row r="1130" spans="2:10">
      <c r="B1130" s="988">
        <v>43831</v>
      </c>
      <c r="C1130" s="987" t="s">
        <v>4645</v>
      </c>
      <c r="D1130" s="987" t="s">
        <v>4647</v>
      </c>
      <c r="E1130" s="987">
        <v>73.38</v>
      </c>
      <c r="F1130" s="987">
        <f t="shared" si="11"/>
        <v>1.7292825172927091E-3</v>
      </c>
      <c r="G1130" s="987">
        <v>0.47749999999999998</v>
      </c>
      <c r="H1130" s="987">
        <v>2E-3</v>
      </c>
      <c r="I1130" s="987">
        <f t="shared" si="10"/>
        <v>-2.7071748270729099E-4</v>
      </c>
      <c r="J1130" s="988">
        <f t="shared" si="9"/>
        <v>43831</v>
      </c>
    </row>
    <row r="1131" spans="2:10">
      <c r="B1131" s="988">
        <v>43862</v>
      </c>
      <c r="C1131" s="987" t="s">
        <v>4645</v>
      </c>
      <c r="D1131" s="987" t="s">
        <v>4647</v>
      </c>
      <c r="E1131" s="987">
        <v>65.77</v>
      </c>
      <c r="F1131" s="987">
        <f t="shared" si="11"/>
        <v>-0.10370673207958572</v>
      </c>
      <c r="G1131" s="987">
        <v>0</v>
      </c>
      <c r="H1131" s="987">
        <v>1.5E-3</v>
      </c>
      <c r="I1131" s="987">
        <f t="shared" si="10"/>
        <v>-0.10520673207958572</v>
      </c>
      <c r="J1131" s="988">
        <f t="shared" si="9"/>
        <v>43862</v>
      </c>
    </row>
    <row r="1132" spans="2:10">
      <c r="B1132" s="988">
        <v>43891</v>
      </c>
      <c r="C1132" s="987" t="s">
        <v>4645</v>
      </c>
      <c r="D1132" s="987" t="s">
        <v>4647</v>
      </c>
      <c r="E1132" s="987">
        <v>61.75</v>
      </c>
      <c r="F1132" s="987">
        <f t="shared" si="11"/>
        <v>-6.1122092139273165E-2</v>
      </c>
      <c r="G1132" s="987">
        <v>0</v>
      </c>
      <c r="H1132" s="987">
        <v>1.23E-3</v>
      </c>
      <c r="I1132" s="987">
        <f t="shared" si="10"/>
        <v>-6.2352092139273167E-2</v>
      </c>
      <c r="J1132" s="988">
        <f t="shared" si="9"/>
        <v>43891</v>
      </c>
    </row>
    <row r="1133" spans="2:10">
      <c r="B1133" s="988">
        <v>43922</v>
      </c>
      <c r="C1133" s="987" t="s">
        <v>4645</v>
      </c>
      <c r="D1133" s="987" t="s">
        <v>4647</v>
      </c>
      <c r="E1133" s="987">
        <v>65.099999999999994</v>
      </c>
      <c r="F1133" s="987">
        <f t="shared" si="11"/>
        <v>6.1983805668016097E-2</v>
      </c>
      <c r="G1133" s="987">
        <v>0.47749999999999998</v>
      </c>
      <c r="H1133" s="987">
        <v>8.9999999999999998E-4</v>
      </c>
      <c r="I1133" s="987">
        <f t="shared" si="10"/>
        <v>6.1083805668016099E-2</v>
      </c>
      <c r="J1133" s="988">
        <f t="shared" si="9"/>
        <v>43922</v>
      </c>
    </row>
    <row r="1134" spans="2:10">
      <c r="B1134" s="988">
        <v>43952</v>
      </c>
      <c r="C1134" s="987" t="s">
        <v>4645</v>
      </c>
      <c r="D1134" s="987" t="s">
        <v>4647</v>
      </c>
      <c r="E1134" s="987">
        <v>64.11</v>
      </c>
      <c r="F1134" s="987">
        <f t="shared" si="11"/>
        <v>-1.5207373271889323E-2</v>
      </c>
      <c r="G1134" s="987">
        <v>0</v>
      </c>
      <c r="H1134" s="987">
        <v>8.9999999999999998E-4</v>
      </c>
      <c r="I1134" s="987">
        <f t="shared" si="10"/>
        <v>-1.6107373271889325E-2</v>
      </c>
      <c r="J1134" s="988">
        <f t="shared" si="9"/>
        <v>43952</v>
      </c>
    </row>
    <row r="1135" spans="2:10">
      <c r="B1135" s="988">
        <v>43983</v>
      </c>
      <c r="C1135" s="987" t="s">
        <v>4645</v>
      </c>
      <c r="D1135" s="987" t="s">
        <v>4647</v>
      </c>
      <c r="E1135" s="987">
        <v>55.79</v>
      </c>
      <c r="F1135" s="987">
        <f t="shared" si="11"/>
        <v>-0.1297769458742786</v>
      </c>
      <c r="G1135" s="987">
        <v>0</v>
      </c>
      <c r="H1135" s="987">
        <v>8.9999999999999998E-4</v>
      </c>
      <c r="I1135" s="987">
        <f t="shared" si="10"/>
        <v>-0.13067694587427861</v>
      </c>
      <c r="J1135" s="988">
        <f t="shared" si="9"/>
        <v>43983</v>
      </c>
    </row>
    <row r="1136" spans="2:10">
      <c r="B1136" s="988">
        <v>44013</v>
      </c>
      <c r="C1136" s="987" t="s">
        <v>4645</v>
      </c>
      <c r="D1136" s="987" t="s">
        <v>4647</v>
      </c>
      <c r="E1136" s="987">
        <v>53.49</v>
      </c>
      <c r="F1136" s="987">
        <f t="shared" si="11"/>
        <v>-3.2667144649578733E-2</v>
      </c>
      <c r="G1136" s="987">
        <v>0.47749999999999998</v>
      </c>
      <c r="H1136" s="987">
        <v>1E-3</v>
      </c>
      <c r="I1136" s="987">
        <f t="shared" si="10"/>
        <v>-3.3667144649578734E-2</v>
      </c>
      <c r="J1136" s="988">
        <f t="shared" si="9"/>
        <v>44013</v>
      </c>
    </row>
    <row r="1137" spans="2:10">
      <c r="B1137" s="988">
        <v>44044</v>
      </c>
      <c r="C1137" s="987" t="s">
        <v>4645</v>
      </c>
      <c r="D1137" s="987" t="s">
        <v>4647</v>
      </c>
      <c r="E1137" s="987">
        <v>51.11</v>
      </c>
      <c r="F1137" s="987">
        <f t="shared" si="11"/>
        <v>-4.4494297999626148E-2</v>
      </c>
      <c r="G1137" s="987">
        <v>0</v>
      </c>
      <c r="H1137" s="987">
        <v>8.0000000000000004E-4</v>
      </c>
      <c r="I1137" s="987">
        <f t="shared" si="10"/>
        <v>-4.529429799962615E-2</v>
      </c>
      <c r="J1137" s="988">
        <f t="shared" si="9"/>
        <v>44044</v>
      </c>
    </row>
    <row r="1138" spans="2:10">
      <c r="B1138" s="988">
        <v>44075</v>
      </c>
      <c r="C1138" s="987" t="s">
        <v>4645</v>
      </c>
      <c r="D1138" s="987" t="s">
        <v>4647</v>
      </c>
      <c r="E1138" s="987">
        <v>45.39</v>
      </c>
      <c r="F1138" s="987">
        <f t="shared" si="11"/>
        <v>-0.11191547642340048</v>
      </c>
      <c r="G1138" s="987">
        <v>0</v>
      </c>
      <c r="H1138" s="987">
        <v>0</v>
      </c>
      <c r="I1138" s="987">
        <f t="shared" si="10"/>
        <v>-0.11191547642340048</v>
      </c>
      <c r="J1138" s="988">
        <f t="shared" si="9"/>
        <v>44075</v>
      </c>
    </row>
    <row r="1139" spans="2:10">
      <c r="B1139" s="988">
        <v>44105</v>
      </c>
      <c r="C1139" s="987" t="s">
        <v>4645</v>
      </c>
      <c r="D1139" s="987" t="s">
        <v>4647</v>
      </c>
      <c r="E1139" s="987">
        <v>44.44</v>
      </c>
      <c r="F1139" s="987">
        <f t="shared" si="11"/>
        <v>-1.0354703679224562E-2</v>
      </c>
      <c r="G1139" s="987">
        <v>0.48</v>
      </c>
      <c r="H1139" s="987">
        <v>8.9999999999999998E-4</v>
      </c>
      <c r="I1139" s="987">
        <f t="shared" si="10"/>
        <v>-1.1254703679224562E-2</v>
      </c>
      <c r="J1139" s="988">
        <f t="shared" ref="J1139:J1165" si="12">B1139</f>
        <v>44105</v>
      </c>
    </row>
    <row r="1140" spans="2:10">
      <c r="B1140" s="988">
        <v>44136</v>
      </c>
      <c r="C1140" s="987" t="s">
        <v>4645</v>
      </c>
      <c r="D1140" s="987" t="s">
        <v>4647</v>
      </c>
      <c r="E1140" s="987">
        <v>47.92</v>
      </c>
      <c r="F1140" s="987">
        <f t="shared" si="11"/>
        <v>7.8307830783078403E-2</v>
      </c>
      <c r="G1140" s="987">
        <v>0</v>
      </c>
      <c r="H1140" s="987">
        <v>1.1000000000000001E-3</v>
      </c>
      <c r="I1140" s="987">
        <f t="shared" si="10"/>
        <v>7.7207830783078399E-2</v>
      </c>
      <c r="J1140" s="988">
        <f t="shared" si="12"/>
        <v>44136</v>
      </c>
    </row>
    <row r="1141" spans="2:10">
      <c r="B1141" s="988">
        <v>44166</v>
      </c>
      <c r="C1141" s="987" t="s">
        <v>4645</v>
      </c>
      <c r="D1141" s="987" t="s">
        <v>4647</v>
      </c>
      <c r="E1141" s="987">
        <v>45.99</v>
      </c>
      <c r="F1141" s="987">
        <f t="shared" si="11"/>
        <v>-4.0275459098497488E-2</v>
      </c>
      <c r="G1141" s="987">
        <v>0</v>
      </c>
      <c r="H1141" s="987">
        <v>1.1000000000000001E-3</v>
      </c>
      <c r="I1141" s="987">
        <f t="shared" si="10"/>
        <v>-4.1375459098497484E-2</v>
      </c>
      <c r="J1141" s="988">
        <f t="shared" si="12"/>
        <v>44166</v>
      </c>
    </row>
    <row r="1142" spans="2:10">
      <c r="B1142" s="988">
        <v>44197</v>
      </c>
      <c r="C1142" s="987" t="s">
        <v>4645</v>
      </c>
      <c r="D1142" s="987" t="s">
        <v>4647</v>
      </c>
      <c r="E1142" s="987">
        <v>46.71</v>
      </c>
      <c r="F1142" s="987">
        <f t="shared" si="11"/>
        <v>2.6092628832354834E-2</v>
      </c>
      <c r="G1142" s="987">
        <v>0.48</v>
      </c>
      <c r="H1142" s="987">
        <v>1.1000000000000001E-3</v>
      </c>
      <c r="I1142" s="987">
        <f t="shared" ref="I1142:I1165" si="13">F1142-H1142</f>
        <v>2.4992628832354834E-2</v>
      </c>
      <c r="J1142" s="988">
        <f t="shared" si="12"/>
        <v>44197</v>
      </c>
    </row>
    <row r="1143" spans="2:10">
      <c r="B1143" s="988">
        <v>44228</v>
      </c>
      <c r="C1143" s="987" t="s">
        <v>4645</v>
      </c>
      <c r="D1143" s="987" t="s">
        <v>4647</v>
      </c>
      <c r="E1143" s="987">
        <v>47.99</v>
      </c>
      <c r="F1143" s="987">
        <f t="shared" si="11"/>
        <v>2.7403125669021648E-2</v>
      </c>
      <c r="G1143" s="987">
        <v>0</v>
      </c>
      <c r="H1143" s="987">
        <v>1.1999999999999999E-3</v>
      </c>
      <c r="I1143" s="987">
        <f t="shared" si="13"/>
        <v>2.6203125669021648E-2</v>
      </c>
      <c r="J1143" s="988">
        <f t="shared" si="12"/>
        <v>44228</v>
      </c>
    </row>
    <row r="1144" spans="2:10">
      <c r="B1144" s="988">
        <v>44256</v>
      </c>
      <c r="C1144" s="987" t="s">
        <v>4645</v>
      </c>
      <c r="D1144" s="987" t="s">
        <v>4647</v>
      </c>
      <c r="E1144" s="987">
        <v>53.95</v>
      </c>
      <c r="F1144" s="987">
        <f t="shared" si="11"/>
        <v>0.12419254011252345</v>
      </c>
      <c r="G1144" s="987">
        <v>0</v>
      </c>
      <c r="H1144" s="987">
        <v>1.8E-3</v>
      </c>
      <c r="I1144" s="987">
        <f t="shared" si="13"/>
        <v>0.12239254011252346</v>
      </c>
      <c r="J1144" s="988">
        <f t="shared" si="12"/>
        <v>44256</v>
      </c>
    </row>
    <row r="1145" spans="2:10">
      <c r="B1145" s="988">
        <v>44287</v>
      </c>
      <c r="C1145" s="987" t="s">
        <v>4645</v>
      </c>
      <c r="D1145" s="987" t="s">
        <v>4647</v>
      </c>
      <c r="E1145" s="987">
        <v>53.92</v>
      </c>
      <c r="F1145" s="987">
        <f t="shared" si="11"/>
        <v>8.3410565338275962E-3</v>
      </c>
      <c r="G1145" s="987">
        <v>0.48</v>
      </c>
      <c r="H1145" s="987">
        <v>1.9E-3</v>
      </c>
      <c r="I1145" s="987">
        <f t="shared" si="13"/>
        <v>6.4410565338275964E-3</v>
      </c>
      <c r="J1145" s="988">
        <f t="shared" si="12"/>
        <v>44287</v>
      </c>
    </row>
    <row r="1146" spans="2:10">
      <c r="B1146" s="988">
        <v>44317</v>
      </c>
      <c r="C1146" s="987" t="s">
        <v>4645</v>
      </c>
      <c r="D1146" s="987" t="s">
        <v>4647</v>
      </c>
      <c r="E1146" s="987">
        <v>52.88</v>
      </c>
      <c r="F1146" s="987">
        <f t="shared" si="11"/>
        <v>-1.9287833827893158E-2</v>
      </c>
      <c r="G1146" s="987">
        <v>0</v>
      </c>
      <c r="H1146" s="987">
        <v>1.8E-3</v>
      </c>
      <c r="I1146" s="987">
        <f t="shared" si="13"/>
        <v>-2.1087833827893157E-2</v>
      </c>
      <c r="J1146" s="988">
        <f t="shared" si="12"/>
        <v>44317</v>
      </c>
    </row>
    <row r="1147" spans="2:10">
      <c r="B1147" s="988">
        <v>44348</v>
      </c>
      <c r="C1147" s="987" t="s">
        <v>4645</v>
      </c>
      <c r="D1147" s="987" t="s">
        <v>4647</v>
      </c>
      <c r="E1147" s="987">
        <v>52.52</v>
      </c>
      <c r="F1147" s="987">
        <f t="shared" si="11"/>
        <v>-6.8078668683812299E-3</v>
      </c>
      <c r="G1147" s="987">
        <v>0</v>
      </c>
      <c r="H1147" s="987">
        <v>1.6999999999999999E-3</v>
      </c>
      <c r="I1147" s="987">
        <f t="shared" si="13"/>
        <v>-8.5078668683812291E-3</v>
      </c>
      <c r="J1147" s="988">
        <f t="shared" si="12"/>
        <v>44348</v>
      </c>
    </row>
    <row r="1148" spans="2:10">
      <c r="B1148" s="988">
        <v>44378</v>
      </c>
      <c r="C1148" s="987" t="s">
        <v>4645</v>
      </c>
      <c r="D1148" s="987" t="s">
        <v>4647</v>
      </c>
      <c r="E1148" s="987">
        <v>52.29</v>
      </c>
      <c r="F1148" s="987">
        <f t="shared" si="11"/>
        <v>4.7600913937546835E-3</v>
      </c>
      <c r="G1148" s="987">
        <v>0.48</v>
      </c>
      <c r="H1148" s="987">
        <v>1.6000000000000001E-3</v>
      </c>
      <c r="I1148" s="987">
        <f t="shared" si="13"/>
        <v>3.1600913937546837E-3</v>
      </c>
      <c r="J1148" s="988">
        <f t="shared" si="12"/>
        <v>44378</v>
      </c>
    </row>
    <row r="1149" spans="2:10">
      <c r="B1149" s="988">
        <v>44409</v>
      </c>
      <c r="C1149" s="987" t="s">
        <v>4645</v>
      </c>
      <c r="D1149" s="987" t="s">
        <v>4647</v>
      </c>
      <c r="E1149" s="987">
        <v>51.45</v>
      </c>
      <c r="F1149" s="987">
        <f t="shared" si="11"/>
        <v>-1.6064257028112379E-2</v>
      </c>
      <c r="G1149" s="987">
        <v>0</v>
      </c>
      <c r="H1149" s="987">
        <v>1.5E-3</v>
      </c>
      <c r="I1149" s="987">
        <f t="shared" si="13"/>
        <v>-1.756425702811238E-2</v>
      </c>
      <c r="J1149" s="988">
        <f t="shared" si="12"/>
        <v>44409</v>
      </c>
    </row>
    <row r="1150" spans="2:10">
      <c r="B1150" s="988">
        <v>44440</v>
      </c>
      <c r="C1150" s="987" t="s">
        <v>4645</v>
      </c>
      <c r="D1150" s="987" t="s">
        <v>4647</v>
      </c>
      <c r="E1150" s="987">
        <v>45.99</v>
      </c>
      <c r="F1150" s="987">
        <f t="shared" si="11"/>
        <v>-0.10612244897959185</v>
      </c>
      <c r="G1150" s="987">
        <v>0</v>
      </c>
      <c r="H1150" s="987">
        <v>1.4E-3</v>
      </c>
      <c r="I1150" s="987">
        <f t="shared" si="13"/>
        <v>-0.10752244897959184</v>
      </c>
      <c r="J1150" s="988">
        <f t="shared" si="12"/>
        <v>44440</v>
      </c>
    </row>
    <row r="1151" spans="2:10">
      <c r="B1151" s="988">
        <v>44470</v>
      </c>
      <c r="C1151" s="987" t="s">
        <v>4645</v>
      </c>
      <c r="D1151" s="987" t="s">
        <v>4647</v>
      </c>
      <c r="E1151" s="987">
        <v>45.09</v>
      </c>
      <c r="F1151" s="987">
        <f t="shared" si="11"/>
        <v>-9.0780604479234299E-3</v>
      </c>
      <c r="G1151" s="987">
        <v>0.48249999999999998</v>
      </c>
      <c r="H1151" s="987">
        <v>1.5E-3</v>
      </c>
      <c r="I1151" s="987">
        <f t="shared" si="13"/>
        <v>-1.0578060447923429E-2</v>
      </c>
      <c r="J1151" s="988">
        <f t="shared" si="12"/>
        <v>44470</v>
      </c>
    </row>
    <row r="1152" spans="2:10">
      <c r="B1152" s="988">
        <v>44501</v>
      </c>
      <c r="C1152" s="987" t="s">
        <v>4645</v>
      </c>
      <c r="D1152" s="987" t="s">
        <v>4647</v>
      </c>
      <c r="E1152" s="987">
        <v>43.12</v>
      </c>
      <c r="F1152" s="987">
        <f t="shared" si="11"/>
        <v>-4.369039698381029E-2</v>
      </c>
      <c r="G1152" s="987">
        <v>0</v>
      </c>
      <c r="H1152" s="987">
        <v>1.6999999999999999E-3</v>
      </c>
      <c r="I1152" s="987">
        <f t="shared" si="13"/>
        <v>-4.539039698381029E-2</v>
      </c>
      <c r="J1152" s="988">
        <f t="shared" si="12"/>
        <v>44501</v>
      </c>
    </row>
    <row r="1153" spans="2:10">
      <c r="B1153" s="988">
        <v>44531</v>
      </c>
      <c r="C1153" s="987" t="s">
        <v>4645</v>
      </c>
      <c r="D1153" s="987" t="s">
        <v>4647</v>
      </c>
      <c r="E1153" s="987">
        <v>48.78</v>
      </c>
      <c r="F1153" s="987">
        <f t="shared" si="11"/>
        <v>0.13126159554730993</v>
      </c>
      <c r="G1153" s="987">
        <v>0</v>
      </c>
      <c r="H1153" s="987">
        <v>1.5E-3</v>
      </c>
      <c r="I1153" s="987">
        <f t="shared" si="13"/>
        <v>0.12976159554730993</v>
      </c>
      <c r="J1153" s="988">
        <f t="shared" si="12"/>
        <v>44531</v>
      </c>
    </row>
    <row r="1154" spans="2:10">
      <c r="B1154" s="988">
        <v>44562</v>
      </c>
      <c r="C1154" s="987" t="s">
        <v>4645</v>
      </c>
      <c r="D1154" s="987" t="s">
        <v>4647</v>
      </c>
      <c r="E1154" s="987">
        <v>47.34</v>
      </c>
      <c r="F1154" s="987">
        <f t="shared" si="11"/>
        <v>-1.9628946289462851E-2</v>
      </c>
      <c r="G1154" s="987">
        <v>0.48249999999999998</v>
      </c>
      <c r="H1154" s="987">
        <v>1.7500000000000003E-3</v>
      </c>
      <c r="I1154" s="987">
        <f t="shared" si="13"/>
        <v>-2.1378946289462852E-2</v>
      </c>
      <c r="J1154" s="988">
        <f t="shared" si="12"/>
        <v>44562</v>
      </c>
    </row>
    <row r="1155" spans="2:10">
      <c r="B1155" s="988">
        <v>44593</v>
      </c>
      <c r="C1155" s="987" t="s">
        <v>4645</v>
      </c>
      <c r="D1155" s="987" t="s">
        <v>4647</v>
      </c>
      <c r="E1155" s="987">
        <v>52.01</v>
      </c>
      <c r="F1155" s="987">
        <f t="shared" si="11"/>
        <v>9.8648077735530082E-2</v>
      </c>
      <c r="G1155" s="987">
        <v>0</v>
      </c>
      <c r="H1155" s="987">
        <v>1.8749999999999999E-3</v>
      </c>
      <c r="I1155" s="987">
        <f t="shared" si="13"/>
        <v>9.677307773553008E-2</v>
      </c>
      <c r="J1155" s="988">
        <f t="shared" si="12"/>
        <v>44593</v>
      </c>
    </row>
    <row r="1156" spans="2:10">
      <c r="B1156" s="988">
        <v>44621</v>
      </c>
      <c r="C1156" s="987" t="s">
        <v>4645</v>
      </c>
      <c r="D1156" s="987" t="s">
        <v>4647</v>
      </c>
      <c r="E1156" s="987">
        <v>51.72</v>
      </c>
      <c r="F1156" s="987">
        <f t="shared" si="11"/>
        <v>-5.5758507979234602E-3</v>
      </c>
      <c r="G1156" s="987">
        <v>0</v>
      </c>
      <c r="H1156" s="987">
        <v>2.0083333333333333E-3</v>
      </c>
      <c r="I1156" s="987">
        <f t="shared" si="13"/>
        <v>-7.5841841312567935E-3</v>
      </c>
      <c r="J1156" s="988">
        <f t="shared" si="12"/>
        <v>44621</v>
      </c>
    </row>
    <row r="1157" spans="2:10">
      <c r="B1157" s="988">
        <v>44652</v>
      </c>
      <c r="C1157" s="987" t="s">
        <v>4645</v>
      </c>
      <c r="D1157" s="987" t="s">
        <v>4647</v>
      </c>
      <c r="E1157" s="987">
        <v>47.83</v>
      </c>
      <c r="F1157" s="987">
        <f t="shared" si="11"/>
        <v>-6.5883604021655079E-2</v>
      </c>
      <c r="G1157" s="987">
        <v>0.48249999999999998</v>
      </c>
      <c r="H1157" s="987">
        <v>2.3416666666666668E-3</v>
      </c>
      <c r="I1157" s="987">
        <f t="shared" si="13"/>
        <v>-6.8225270688321751E-2</v>
      </c>
      <c r="J1157" s="988">
        <f t="shared" si="12"/>
        <v>44652</v>
      </c>
    </row>
    <row r="1158" spans="2:10">
      <c r="B1158" s="988">
        <v>44682</v>
      </c>
      <c r="C1158" s="987" t="s">
        <v>4645</v>
      </c>
      <c r="D1158" s="987" t="s">
        <v>4647</v>
      </c>
      <c r="E1158" s="987">
        <v>54.29</v>
      </c>
      <c r="F1158" s="987">
        <f t="shared" si="11"/>
        <v>0.13506167677190051</v>
      </c>
      <c r="G1158" s="987">
        <v>0</v>
      </c>
      <c r="H1158" s="987">
        <v>2.558333333333333E-3</v>
      </c>
      <c r="I1158" s="987">
        <f t="shared" si="13"/>
        <v>0.13250334343856718</v>
      </c>
      <c r="J1158" s="988">
        <f t="shared" si="12"/>
        <v>44682</v>
      </c>
    </row>
    <row r="1159" spans="2:10">
      <c r="B1159" s="988">
        <v>44713</v>
      </c>
      <c r="C1159" s="987" t="s">
        <v>4645</v>
      </c>
      <c r="D1159" s="987" t="s">
        <v>4647</v>
      </c>
      <c r="E1159" s="987">
        <v>53.1</v>
      </c>
      <c r="F1159" s="987">
        <f t="shared" si="11"/>
        <v>-2.1919322158776896E-2</v>
      </c>
      <c r="G1159" s="987">
        <v>0</v>
      </c>
      <c r="H1159" s="987">
        <v>2.708333333333333E-3</v>
      </c>
      <c r="I1159" s="987">
        <f t="shared" si="13"/>
        <v>-2.4627655492110229E-2</v>
      </c>
      <c r="J1159" s="988">
        <f t="shared" si="12"/>
        <v>44713</v>
      </c>
    </row>
    <row r="1160" spans="2:10">
      <c r="B1160" s="988">
        <v>44743</v>
      </c>
      <c r="C1160" s="987" t="s">
        <v>4645</v>
      </c>
      <c r="D1160" s="987" t="s">
        <v>4647</v>
      </c>
      <c r="E1160" s="987">
        <v>53.67</v>
      </c>
      <c r="F1160" s="987">
        <f t="shared" si="11"/>
        <v>1.98210922787194E-2</v>
      </c>
      <c r="G1160" s="987">
        <v>0.48249999999999998</v>
      </c>
      <c r="H1160" s="987">
        <v>2.5833333333333337E-3</v>
      </c>
      <c r="I1160" s="987">
        <f t="shared" si="13"/>
        <v>1.7237758945386067E-2</v>
      </c>
      <c r="J1160" s="988">
        <f t="shared" si="12"/>
        <v>44743</v>
      </c>
    </row>
    <row r="1161" spans="2:10">
      <c r="B1161" s="988">
        <v>44774</v>
      </c>
      <c r="C1161" s="987" t="s">
        <v>4645</v>
      </c>
      <c r="D1161" s="987" t="s">
        <v>4647</v>
      </c>
      <c r="E1161" s="987">
        <v>47.61</v>
      </c>
      <c r="F1161" s="987">
        <f t="shared" si="11"/>
        <v>-0.11291224147568478</v>
      </c>
      <c r="G1161" s="987">
        <v>0</v>
      </c>
      <c r="H1161" s="987">
        <v>2.6083333333333332E-3</v>
      </c>
      <c r="I1161" s="987">
        <f t="shared" si="13"/>
        <v>-0.11552057480901812</v>
      </c>
      <c r="J1161" s="988">
        <f t="shared" si="12"/>
        <v>44774</v>
      </c>
    </row>
    <row r="1162" spans="2:10">
      <c r="B1162" s="988">
        <v>44805</v>
      </c>
      <c r="C1162" s="987" t="s">
        <v>4645</v>
      </c>
      <c r="D1162" s="987" t="s">
        <v>4647</v>
      </c>
      <c r="E1162" s="987">
        <v>43.38</v>
      </c>
      <c r="F1162" s="987">
        <f t="shared" si="11"/>
        <v>-8.8846880907372333E-2</v>
      </c>
      <c r="G1162" s="987">
        <v>0</v>
      </c>
      <c r="H1162" s="987">
        <v>2.9666666666666669E-3</v>
      </c>
      <c r="I1162" s="987">
        <f t="shared" si="13"/>
        <v>-9.1813547574039006E-2</v>
      </c>
      <c r="J1162" s="988">
        <f t="shared" si="12"/>
        <v>44805</v>
      </c>
    </row>
    <row r="1163" spans="2:10">
      <c r="B1163" s="988">
        <v>44835</v>
      </c>
      <c r="C1163" s="987" t="s">
        <v>4645</v>
      </c>
      <c r="D1163" s="987" t="s">
        <v>4647</v>
      </c>
      <c r="E1163" s="987">
        <v>48.09</v>
      </c>
      <c r="F1163" s="987">
        <f t="shared" si="11"/>
        <v>0.11975564776394654</v>
      </c>
      <c r="G1163" s="987">
        <v>0.48499999999999999</v>
      </c>
      <c r="H1163" s="987">
        <v>3.3666666666666667E-3</v>
      </c>
      <c r="I1163" s="987">
        <f t="shared" si="13"/>
        <v>0.11638898109727987</v>
      </c>
      <c r="J1163" s="988">
        <f t="shared" si="12"/>
        <v>44835</v>
      </c>
    </row>
    <row r="1164" spans="2:10">
      <c r="B1164" s="988">
        <v>44866</v>
      </c>
      <c r="C1164" s="987" t="s">
        <v>4645</v>
      </c>
      <c r="D1164" s="987" t="s">
        <v>4647</v>
      </c>
      <c r="E1164" s="987">
        <v>50.11</v>
      </c>
      <c r="F1164" s="987">
        <f t="shared" si="11"/>
        <v>4.2004574755666373E-2</v>
      </c>
      <c r="G1164" s="987">
        <v>0</v>
      </c>
      <c r="H1164" s="987">
        <v>3.3333333333333331E-3</v>
      </c>
      <c r="I1164" s="987">
        <f t="shared" si="13"/>
        <v>3.8671241422333039E-2</v>
      </c>
      <c r="J1164" s="988">
        <f t="shared" si="12"/>
        <v>44866</v>
      </c>
    </row>
    <row r="1165" spans="2:10">
      <c r="B1165" s="988">
        <v>44896</v>
      </c>
      <c r="C1165" s="987" t="s">
        <v>4645</v>
      </c>
      <c r="D1165" s="987" t="s">
        <v>4647</v>
      </c>
      <c r="E1165" s="987">
        <v>47.59</v>
      </c>
      <c r="F1165" s="987">
        <f t="shared" si="11"/>
        <v>-5.0289363400518781E-2</v>
      </c>
      <c r="G1165" s="987">
        <v>0</v>
      </c>
      <c r="H1165" s="987">
        <v>3.0499999999999998E-3</v>
      </c>
      <c r="I1165" s="987">
        <f t="shared" si="13"/>
        <v>-5.3339363400518779E-2</v>
      </c>
      <c r="J1165" s="988">
        <f t="shared" si="12"/>
        <v>44896</v>
      </c>
    </row>
  </sheetData>
  <conditionalFormatting sqref="E565:E1037">
    <cfRule type="cellIs" dxfId="5" priority="1" stopIfTrue="1" operator="lessThan">
      <formula>0</formula>
    </cfRule>
  </conditionalFormatting>
  <conditionalFormatting sqref="F565:F1026">
    <cfRule type="cellIs" dxfId="4" priority="2" stopIfTrue="1" operator="lessThan">
      <formula>-1</formula>
    </cfRule>
  </conditionalFormatting>
  <pageMargins left="0.70000000000000007" right="0.70000000000000007" top="0.75" bottom="0.75" header="0.30000000000000004" footer="0.30000000000000004"/>
  <pageSetup paperSize="0" scale="86" fitToWidth="0" fitToHeight="0" orientation="portrait" horizontalDpi="0" verticalDpi="0" copie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5"/>
  <sheetViews>
    <sheetView workbookViewId="0"/>
  </sheetViews>
  <sheetFormatPr defaultColWidth="9" defaultRowHeight="13.2"/>
  <cols>
    <col min="1" max="1" width="7.88671875" style="987" customWidth="1"/>
    <col min="2" max="2" width="10.5546875" style="988" customWidth="1"/>
    <col min="3" max="3" width="29.88671875" style="987" customWidth="1"/>
    <col min="4" max="4" width="7.33203125" style="987" customWidth="1"/>
    <col min="5" max="5" width="8.5546875" style="987" customWidth="1"/>
    <col min="6" max="6" width="9.109375" style="987" customWidth="1"/>
    <col min="7" max="7" width="8.5546875" style="987" customWidth="1"/>
    <col min="8" max="9" width="9.6640625" style="987" customWidth="1"/>
    <col min="10" max="10" width="10.109375" style="988" customWidth="1"/>
    <col min="11" max="11" width="9.5546875" style="987" customWidth="1"/>
    <col min="12" max="16384" width="9" style="987"/>
  </cols>
  <sheetData>
    <row r="1" spans="1:10" ht="39.6">
      <c r="A1" s="984" t="s">
        <v>4619</v>
      </c>
      <c r="B1" s="985" t="s">
        <v>4620</v>
      </c>
      <c r="C1" s="984" t="s">
        <v>4621</v>
      </c>
      <c r="D1" s="984" t="s">
        <v>181</v>
      </c>
      <c r="E1" s="984" t="s">
        <v>4622</v>
      </c>
      <c r="F1" s="984" t="s">
        <v>4623</v>
      </c>
      <c r="G1" s="984" t="s">
        <v>4624</v>
      </c>
      <c r="H1" s="986" t="s">
        <v>4625</v>
      </c>
      <c r="I1" s="987" t="s">
        <v>1482</v>
      </c>
      <c r="J1" s="985" t="s">
        <v>4620</v>
      </c>
    </row>
    <row r="2" spans="1:10">
      <c r="B2" s="988">
        <v>9498</v>
      </c>
      <c r="H2" s="986">
        <v>3.0999999999999999E-3</v>
      </c>
      <c r="I2" s="986"/>
      <c r="J2" s="988">
        <v>9498</v>
      </c>
    </row>
    <row r="3" spans="1:10">
      <c r="B3" s="988">
        <v>9529</v>
      </c>
      <c r="H3" s="986">
        <v>2.8E-3</v>
      </c>
      <c r="I3" s="986"/>
      <c r="J3" s="988">
        <v>9529</v>
      </c>
    </row>
    <row r="4" spans="1:10">
      <c r="B4" s="988">
        <v>9557</v>
      </c>
      <c r="H4" s="986">
        <v>3.2000000000000002E-3</v>
      </c>
      <c r="I4" s="986"/>
      <c r="J4" s="988">
        <v>9557</v>
      </c>
    </row>
    <row r="5" spans="1:10">
      <c r="B5" s="988">
        <v>9588</v>
      </c>
      <c r="H5" s="986">
        <v>3.0000000000000001E-3</v>
      </c>
      <c r="I5" s="986"/>
      <c r="J5" s="988">
        <v>9588</v>
      </c>
    </row>
    <row r="6" spans="1:10">
      <c r="B6" s="988">
        <v>9618</v>
      </c>
      <c r="H6" s="986">
        <v>2.8E-3</v>
      </c>
      <c r="I6" s="986"/>
      <c r="J6" s="988">
        <v>9618</v>
      </c>
    </row>
    <row r="7" spans="1:10">
      <c r="B7" s="988">
        <v>9649</v>
      </c>
      <c r="H7" s="986">
        <v>3.3E-3</v>
      </c>
      <c r="I7" s="986"/>
      <c r="J7" s="988">
        <v>9649</v>
      </c>
    </row>
    <row r="8" spans="1:10">
      <c r="B8" s="988">
        <v>9679</v>
      </c>
      <c r="H8" s="986">
        <v>3.0999999999999999E-3</v>
      </c>
      <c r="I8" s="986"/>
      <c r="J8" s="988">
        <v>9679</v>
      </c>
    </row>
    <row r="9" spans="1:10">
      <c r="B9" s="988">
        <v>9710</v>
      </c>
      <c r="H9" s="986">
        <v>3.0999999999999999E-3</v>
      </c>
      <c r="I9" s="986"/>
      <c r="J9" s="988">
        <v>9710</v>
      </c>
    </row>
    <row r="10" spans="1:10">
      <c r="B10" s="988">
        <v>9741</v>
      </c>
      <c r="H10" s="986">
        <v>3.0000000000000001E-3</v>
      </c>
      <c r="I10" s="986"/>
      <c r="J10" s="988">
        <v>9741</v>
      </c>
    </row>
    <row r="11" spans="1:10">
      <c r="B11" s="988">
        <v>9771</v>
      </c>
      <c r="H11" s="986">
        <v>3.0000000000000001E-3</v>
      </c>
      <c r="I11" s="986"/>
      <c r="J11" s="988">
        <v>9771</v>
      </c>
    </row>
    <row r="12" spans="1:10">
      <c r="B12" s="988">
        <v>9802</v>
      </c>
      <c r="H12" s="986">
        <v>3.0999999999999999E-3</v>
      </c>
      <c r="I12" s="986"/>
      <c r="J12" s="988">
        <v>9802</v>
      </c>
    </row>
    <row r="13" spans="1:10">
      <c r="B13" s="988">
        <v>9832</v>
      </c>
      <c r="H13" s="986">
        <v>3.0000000000000001E-3</v>
      </c>
      <c r="I13" s="986"/>
      <c r="J13" s="988">
        <v>9832</v>
      </c>
    </row>
    <row r="14" spans="1:10">
      <c r="B14" s="988">
        <v>9863</v>
      </c>
      <c r="H14" s="986">
        <v>3.0000000000000001E-3</v>
      </c>
      <c r="I14" s="986"/>
      <c r="J14" s="988">
        <v>9863</v>
      </c>
    </row>
    <row r="15" spans="1:10">
      <c r="B15" s="988">
        <v>9894</v>
      </c>
      <c r="H15" s="986">
        <v>2.7000000000000001E-3</v>
      </c>
      <c r="I15" s="986"/>
      <c r="J15" s="988">
        <v>9894</v>
      </c>
    </row>
    <row r="16" spans="1:10">
      <c r="B16" s="988">
        <v>9922</v>
      </c>
      <c r="H16" s="986">
        <v>2.8999999999999998E-3</v>
      </c>
      <c r="I16" s="986"/>
      <c r="J16" s="988">
        <v>9922</v>
      </c>
    </row>
    <row r="17" spans="2:10">
      <c r="B17" s="988">
        <v>9953</v>
      </c>
      <c r="H17" s="986">
        <v>2.7000000000000001E-3</v>
      </c>
      <c r="I17" s="986"/>
      <c r="J17" s="988">
        <v>9953</v>
      </c>
    </row>
    <row r="18" spans="2:10">
      <c r="B18" s="988">
        <v>9983</v>
      </c>
      <c r="H18" s="986">
        <v>2.8E-3</v>
      </c>
      <c r="I18" s="986"/>
      <c r="J18" s="988">
        <v>9983</v>
      </c>
    </row>
    <row r="19" spans="2:10">
      <c r="B19" s="988">
        <v>10014</v>
      </c>
      <c r="H19" s="986">
        <v>2.7000000000000001E-3</v>
      </c>
      <c r="I19" s="986"/>
      <c r="J19" s="988">
        <v>10014</v>
      </c>
    </row>
    <row r="20" spans="2:10">
      <c r="B20" s="988">
        <v>10044</v>
      </c>
      <c r="H20" s="986">
        <v>2.7000000000000001E-3</v>
      </c>
      <c r="I20" s="986"/>
      <c r="J20" s="988">
        <v>10044</v>
      </c>
    </row>
    <row r="21" spans="2:10">
      <c r="B21" s="988">
        <v>10075</v>
      </c>
      <c r="H21" s="986">
        <v>2.8999999999999998E-3</v>
      </c>
      <c r="I21" s="986"/>
      <c r="J21" s="988">
        <v>10075</v>
      </c>
    </row>
    <row r="22" spans="2:10">
      <c r="B22" s="988">
        <v>10106</v>
      </c>
      <c r="H22" s="986">
        <v>2.7000000000000001E-3</v>
      </c>
      <c r="I22" s="986"/>
      <c r="J22" s="988">
        <v>10106</v>
      </c>
    </row>
    <row r="23" spans="2:10">
      <c r="B23" s="988">
        <v>10136</v>
      </c>
      <c r="H23" s="986">
        <v>2.8E-3</v>
      </c>
      <c r="I23" s="986"/>
      <c r="J23" s="988">
        <v>10136</v>
      </c>
    </row>
    <row r="24" spans="2:10">
      <c r="B24" s="988">
        <v>10167</v>
      </c>
      <c r="H24" s="986">
        <v>2.7000000000000001E-3</v>
      </c>
      <c r="I24" s="986"/>
      <c r="J24" s="988">
        <v>10167</v>
      </c>
    </row>
    <row r="25" spans="2:10">
      <c r="B25" s="988">
        <v>10197</v>
      </c>
      <c r="H25" s="986">
        <v>2.7000000000000001E-3</v>
      </c>
      <c r="I25" s="986"/>
      <c r="J25" s="988">
        <v>10197</v>
      </c>
    </row>
    <row r="26" spans="2:10">
      <c r="B26" s="988">
        <v>10228</v>
      </c>
      <c r="H26" s="986">
        <v>2.7000000000000001E-3</v>
      </c>
      <c r="I26" s="986"/>
      <c r="J26" s="988">
        <v>10228</v>
      </c>
    </row>
    <row r="27" spans="2:10">
      <c r="B27" s="988">
        <v>10259</v>
      </c>
      <c r="H27" s="986">
        <v>2.5000000000000001E-3</v>
      </c>
      <c r="I27" s="986"/>
      <c r="J27" s="988">
        <v>10259</v>
      </c>
    </row>
    <row r="28" spans="2:10">
      <c r="B28" s="988">
        <v>10288</v>
      </c>
      <c r="H28" s="986">
        <v>2.7000000000000001E-3</v>
      </c>
      <c r="I28" s="986"/>
      <c r="J28" s="988">
        <v>10288</v>
      </c>
    </row>
    <row r="29" spans="2:10">
      <c r="B29" s="988">
        <v>10319</v>
      </c>
      <c r="H29" s="986">
        <v>2.5999999999999999E-3</v>
      </c>
      <c r="I29" s="986"/>
      <c r="J29" s="988">
        <v>10319</v>
      </c>
    </row>
    <row r="30" spans="2:10">
      <c r="B30" s="988">
        <v>10349</v>
      </c>
      <c r="H30" s="986">
        <v>2.7000000000000001E-3</v>
      </c>
      <c r="I30" s="986"/>
      <c r="J30" s="988">
        <v>10349</v>
      </c>
    </row>
    <row r="31" spans="2:10">
      <c r="B31" s="988">
        <v>10380</v>
      </c>
      <c r="H31" s="986">
        <v>2.7000000000000001E-3</v>
      </c>
      <c r="I31" s="986"/>
      <c r="J31" s="988">
        <v>10380</v>
      </c>
    </row>
    <row r="32" spans="2:10">
      <c r="B32" s="988">
        <v>10410</v>
      </c>
      <c r="H32" s="986">
        <v>2.7000000000000001E-3</v>
      </c>
      <c r="I32" s="986"/>
      <c r="J32" s="988">
        <v>10410</v>
      </c>
    </row>
    <row r="33" spans="2:10">
      <c r="B33" s="988">
        <v>10441</v>
      </c>
      <c r="H33" s="986">
        <v>2.8999999999999998E-3</v>
      </c>
      <c r="I33" s="986"/>
      <c r="J33" s="988">
        <v>10441</v>
      </c>
    </row>
    <row r="34" spans="2:10">
      <c r="B34" s="988">
        <v>10472</v>
      </c>
      <c r="H34" s="986">
        <v>2.7000000000000001E-3</v>
      </c>
      <c r="I34" s="986"/>
      <c r="J34" s="988">
        <v>10472</v>
      </c>
    </row>
    <row r="35" spans="2:10">
      <c r="B35" s="988">
        <v>10502</v>
      </c>
      <c r="H35" s="986">
        <v>3.0000000000000001E-3</v>
      </c>
      <c r="I35" s="986"/>
      <c r="J35" s="988">
        <v>10502</v>
      </c>
    </row>
    <row r="36" spans="2:10">
      <c r="B36" s="988">
        <v>10533</v>
      </c>
      <c r="H36" s="986">
        <v>2.7000000000000001E-3</v>
      </c>
      <c r="I36" s="986"/>
      <c r="J36" s="988">
        <v>10533</v>
      </c>
    </row>
    <row r="37" spans="2:10">
      <c r="B37" s="988">
        <v>10563</v>
      </c>
      <c r="H37" s="986">
        <v>2.8999999999999998E-3</v>
      </c>
      <c r="I37" s="986"/>
      <c r="J37" s="988">
        <v>10563</v>
      </c>
    </row>
    <row r="38" spans="2:10">
      <c r="B38" s="988">
        <v>10594</v>
      </c>
      <c r="H38" s="986">
        <v>2.8999999999999998E-3</v>
      </c>
      <c r="I38" s="986"/>
      <c r="J38" s="988">
        <v>10594</v>
      </c>
    </row>
    <row r="39" spans="2:10">
      <c r="B39" s="988">
        <v>10625</v>
      </c>
      <c r="H39" s="986">
        <v>2.7000000000000001E-3</v>
      </c>
      <c r="I39" s="986"/>
      <c r="J39" s="988">
        <v>10625</v>
      </c>
    </row>
    <row r="40" spans="2:10">
      <c r="B40" s="988">
        <v>10653</v>
      </c>
      <c r="H40" s="986">
        <v>2.8E-3</v>
      </c>
      <c r="I40" s="986"/>
      <c r="J40" s="988">
        <v>10653</v>
      </c>
    </row>
    <row r="41" spans="2:10">
      <c r="B41" s="988">
        <v>10684</v>
      </c>
      <c r="H41" s="986">
        <v>3.3999999999999998E-3</v>
      </c>
      <c r="I41" s="986"/>
      <c r="J41" s="988">
        <v>10684</v>
      </c>
    </row>
    <row r="42" spans="2:10">
      <c r="B42" s="988">
        <v>10714</v>
      </c>
      <c r="H42" s="986">
        <v>3.0000000000000001E-3</v>
      </c>
      <c r="I42" s="986"/>
      <c r="J42" s="988">
        <v>10714</v>
      </c>
    </row>
    <row r="43" spans="2:10">
      <c r="B43" s="988">
        <v>10745</v>
      </c>
      <c r="H43" s="986">
        <v>2.8999999999999998E-3</v>
      </c>
      <c r="I43" s="986"/>
      <c r="J43" s="988">
        <v>10745</v>
      </c>
    </row>
    <row r="44" spans="2:10">
      <c r="B44" s="988">
        <v>10775</v>
      </c>
      <c r="H44" s="986">
        <v>3.2000000000000002E-3</v>
      </c>
      <c r="I44" s="986"/>
      <c r="J44" s="988">
        <v>10775</v>
      </c>
    </row>
    <row r="45" spans="2:10">
      <c r="B45" s="988">
        <v>10806</v>
      </c>
      <c r="H45" s="986">
        <v>3.0000000000000001E-3</v>
      </c>
      <c r="I45" s="986"/>
      <c r="J45" s="988">
        <v>10806</v>
      </c>
    </row>
    <row r="46" spans="2:10">
      <c r="B46" s="988">
        <v>10837</v>
      </c>
      <c r="H46" s="986">
        <v>3.2000000000000002E-3</v>
      </c>
      <c r="I46" s="986"/>
      <c r="J46" s="988">
        <v>10837</v>
      </c>
    </row>
    <row r="47" spans="2:10">
      <c r="B47" s="988">
        <v>10867</v>
      </c>
      <c r="H47" s="986">
        <v>3.0999999999999999E-3</v>
      </c>
      <c r="I47" s="986"/>
      <c r="J47" s="988">
        <v>10867</v>
      </c>
    </row>
    <row r="48" spans="2:10">
      <c r="B48" s="988">
        <v>10898</v>
      </c>
      <c r="H48" s="986">
        <v>2.5999999999999999E-3</v>
      </c>
      <c r="I48" s="986"/>
      <c r="J48" s="988">
        <v>10898</v>
      </c>
    </row>
    <row r="49" spans="2:10">
      <c r="B49" s="988">
        <v>10928</v>
      </c>
      <c r="H49" s="986">
        <v>3.0999999999999999E-3</v>
      </c>
      <c r="I49" s="986"/>
      <c r="J49" s="988">
        <v>10928</v>
      </c>
    </row>
    <row r="50" spans="2:10">
      <c r="B50" s="988">
        <v>10959</v>
      </c>
      <c r="H50" s="986">
        <v>2.8999999999999998E-3</v>
      </c>
      <c r="I50" s="986"/>
      <c r="J50" s="988">
        <v>10959</v>
      </c>
    </row>
    <row r="51" spans="2:10">
      <c r="B51" s="988">
        <v>10990</v>
      </c>
      <c r="H51" s="986">
        <v>2.5999999999999999E-3</v>
      </c>
      <c r="I51" s="986"/>
      <c r="J51" s="988">
        <v>10990</v>
      </c>
    </row>
    <row r="52" spans="2:10">
      <c r="B52" s="988">
        <v>11018</v>
      </c>
      <c r="H52" s="986">
        <v>2.8999999999999998E-3</v>
      </c>
      <c r="I52" s="986"/>
      <c r="J52" s="988">
        <v>11018</v>
      </c>
    </row>
    <row r="53" spans="2:10">
      <c r="B53" s="988">
        <v>11049</v>
      </c>
      <c r="H53" s="986">
        <v>2.7000000000000001E-3</v>
      </c>
      <c r="I53" s="986"/>
      <c r="J53" s="988">
        <v>11049</v>
      </c>
    </row>
    <row r="54" spans="2:10">
      <c r="B54" s="988">
        <v>11079</v>
      </c>
      <c r="H54" s="986">
        <v>2.7000000000000001E-3</v>
      </c>
      <c r="I54" s="986"/>
      <c r="J54" s="988">
        <v>11079</v>
      </c>
    </row>
    <row r="55" spans="2:10">
      <c r="B55" s="988">
        <v>11110</v>
      </c>
      <c r="H55" s="986">
        <v>2.8999999999999998E-3</v>
      </c>
      <c r="I55" s="986"/>
      <c r="J55" s="988">
        <v>11110</v>
      </c>
    </row>
    <row r="56" spans="2:10">
      <c r="B56" s="988">
        <v>11140</v>
      </c>
      <c r="H56" s="986">
        <v>2.8E-3</v>
      </c>
      <c r="I56" s="986"/>
      <c r="J56" s="988">
        <v>11140</v>
      </c>
    </row>
    <row r="57" spans="2:10">
      <c r="B57" s="988">
        <v>11171</v>
      </c>
      <c r="H57" s="986">
        <v>2.5999999999999999E-3</v>
      </c>
      <c r="I57" s="986"/>
      <c r="J57" s="988">
        <v>11171</v>
      </c>
    </row>
    <row r="58" spans="2:10">
      <c r="B58" s="988">
        <v>11202</v>
      </c>
      <c r="H58" s="986">
        <v>2.8999999999999998E-3</v>
      </c>
      <c r="I58" s="986"/>
      <c r="J58" s="988">
        <v>11202</v>
      </c>
    </row>
    <row r="59" spans="2:10">
      <c r="B59" s="988">
        <v>11232</v>
      </c>
      <c r="H59" s="986">
        <v>2.7000000000000001E-3</v>
      </c>
      <c r="I59" s="986"/>
      <c r="J59" s="988">
        <v>11232</v>
      </c>
    </row>
    <row r="60" spans="2:10">
      <c r="B60" s="988">
        <v>11263</v>
      </c>
      <c r="H60" s="986">
        <v>2.5999999999999999E-3</v>
      </c>
      <c r="I60" s="986"/>
      <c r="J60" s="988">
        <v>11263</v>
      </c>
    </row>
    <row r="61" spans="2:10">
      <c r="B61" s="988">
        <v>11293</v>
      </c>
      <c r="H61" s="986">
        <v>2.8E-3</v>
      </c>
      <c r="I61" s="986"/>
      <c r="J61" s="988">
        <v>11293</v>
      </c>
    </row>
    <row r="62" spans="2:10">
      <c r="B62" s="988">
        <v>11324</v>
      </c>
      <c r="H62" s="986">
        <v>2.8E-3</v>
      </c>
      <c r="I62" s="986"/>
      <c r="J62" s="988">
        <v>11324</v>
      </c>
    </row>
    <row r="63" spans="2:10">
      <c r="B63" s="988">
        <v>11355</v>
      </c>
      <c r="H63" s="986">
        <v>2.5999999999999999E-3</v>
      </c>
      <c r="I63" s="986"/>
      <c r="J63" s="988">
        <v>11355</v>
      </c>
    </row>
    <row r="64" spans="2:10">
      <c r="B64" s="988">
        <v>11383</v>
      </c>
      <c r="H64" s="986">
        <v>2.8999999999999998E-3</v>
      </c>
      <c r="I64" s="986"/>
      <c r="J64" s="988">
        <v>11383</v>
      </c>
    </row>
    <row r="65" spans="2:10">
      <c r="B65" s="988">
        <v>11414</v>
      </c>
      <c r="H65" s="986">
        <v>2.7000000000000001E-3</v>
      </c>
      <c r="I65" s="986"/>
      <c r="J65" s="988">
        <v>11414</v>
      </c>
    </row>
    <row r="66" spans="2:10">
      <c r="B66" s="988">
        <v>11444</v>
      </c>
      <c r="H66" s="986">
        <v>2.5999999999999999E-3</v>
      </c>
      <c r="I66" s="986"/>
      <c r="J66" s="988">
        <v>11444</v>
      </c>
    </row>
    <row r="67" spans="2:10">
      <c r="B67" s="988">
        <v>11475</v>
      </c>
      <c r="H67" s="986">
        <v>2.8E-3</v>
      </c>
      <c r="I67" s="986"/>
      <c r="J67" s="988">
        <v>11475</v>
      </c>
    </row>
    <row r="68" spans="2:10">
      <c r="B68" s="988">
        <v>11505</v>
      </c>
      <c r="H68" s="986">
        <v>2.7000000000000001E-3</v>
      </c>
      <c r="I68" s="986"/>
      <c r="J68" s="988">
        <v>11505</v>
      </c>
    </row>
    <row r="69" spans="2:10">
      <c r="B69" s="988">
        <v>11536</v>
      </c>
      <c r="H69" s="986">
        <v>2.7000000000000001E-3</v>
      </c>
      <c r="I69" s="986"/>
      <c r="J69" s="988">
        <v>11536</v>
      </c>
    </row>
    <row r="70" spans="2:10">
      <c r="B70" s="988">
        <v>11567</v>
      </c>
      <c r="H70" s="986">
        <v>2.7000000000000001E-3</v>
      </c>
      <c r="I70" s="986"/>
      <c r="J70" s="988">
        <v>11567</v>
      </c>
    </row>
    <row r="71" spans="2:10">
      <c r="B71" s="988">
        <v>11597</v>
      </c>
      <c r="H71" s="986">
        <v>2.8999999999999998E-3</v>
      </c>
      <c r="I71" s="986"/>
      <c r="J71" s="988">
        <v>11597</v>
      </c>
    </row>
    <row r="72" spans="2:10">
      <c r="B72" s="988">
        <v>11628</v>
      </c>
      <c r="H72" s="986">
        <v>3.0999999999999999E-3</v>
      </c>
      <c r="I72" s="986"/>
      <c r="J72" s="988">
        <v>11628</v>
      </c>
    </row>
    <row r="73" spans="2:10">
      <c r="B73" s="988">
        <v>11658</v>
      </c>
      <c r="H73" s="986">
        <v>3.2000000000000002E-3</v>
      </c>
      <c r="I73" s="986"/>
      <c r="J73" s="988">
        <v>11658</v>
      </c>
    </row>
    <row r="74" spans="2:10">
      <c r="B74" s="988">
        <v>11689</v>
      </c>
      <c r="H74" s="986">
        <v>3.2000000000000002E-3</v>
      </c>
      <c r="I74" s="986"/>
      <c r="J74" s="988">
        <v>11689</v>
      </c>
    </row>
    <row r="75" spans="2:10">
      <c r="B75" s="988">
        <v>11720</v>
      </c>
      <c r="H75" s="986">
        <v>3.2000000000000002E-3</v>
      </c>
      <c r="I75" s="986"/>
      <c r="J75" s="988">
        <v>11720</v>
      </c>
    </row>
    <row r="76" spans="2:10">
      <c r="B76" s="988">
        <v>11749</v>
      </c>
      <c r="H76" s="986">
        <v>3.0999999999999999E-3</v>
      </c>
      <c r="I76" s="986"/>
      <c r="J76" s="988">
        <v>11749</v>
      </c>
    </row>
    <row r="77" spans="2:10">
      <c r="B77" s="988">
        <v>11780</v>
      </c>
      <c r="H77" s="986">
        <v>3.0000000000000001E-3</v>
      </c>
      <c r="I77" s="986"/>
      <c r="J77" s="988">
        <v>11780</v>
      </c>
    </row>
    <row r="78" spans="2:10">
      <c r="B78" s="988">
        <v>11810</v>
      </c>
      <c r="H78" s="986">
        <v>2.8E-3</v>
      </c>
      <c r="I78" s="986"/>
      <c r="J78" s="988">
        <v>11810</v>
      </c>
    </row>
    <row r="79" spans="2:10">
      <c r="B79" s="988">
        <v>11841</v>
      </c>
      <c r="H79" s="986">
        <v>2.8E-3</v>
      </c>
      <c r="I79" s="986"/>
      <c r="J79" s="988">
        <v>11841</v>
      </c>
    </row>
    <row r="80" spans="2:10">
      <c r="B80" s="988">
        <v>11871</v>
      </c>
      <c r="H80" s="986">
        <v>2.8E-3</v>
      </c>
      <c r="I80" s="986"/>
      <c r="J80" s="988">
        <v>11871</v>
      </c>
    </row>
    <row r="81" spans="2:10">
      <c r="B81" s="988">
        <v>11902</v>
      </c>
      <c r="H81" s="986">
        <v>2.8E-3</v>
      </c>
      <c r="I81" s="986"/>
      <c r="J81" s="988">
        <v>11902</v>
      </c>
    </row>
    <row r="82" spans="2:10">
      <c r="B82" s="988">
        <v>11933</v>
      </c>
      <c r="H82" s="986">
        <v>2.5999999999999999E-3</v>
      </c>
      <c r="I82" s="986"/>
      <c r="J82" s="988">
        <v>11933</v>
      </c>
    </row>
    <row r="83" spans="2:10">
      <c r="B83" s="988">
        <v>11963</v>
      </c>
      <c r="H83" s="986">
        <v>2.7000000000000001E-3</v>
      </c>
      <c r="I83" s="986"/>
      <c r="J83" s="988">
        <v>11963</v>
      </c>
    </row>
    <row r="84" spans="2:10">
      <c r="B84" s="988">
        <v>11994</v>
      </c>
      <c r="H84" s="986">
        <v>2.5999999999999999E-3</v>
      </c>
      <c r="I84" s="986"/>
      <c r="J84" s="988">
        <v>11994</v>
      </c>
    </row>
    <row r="85" spans="2:10">
      <c r="B85" s="988">
        <v>12024</v>
      </c>
      <c r="H85" s="986">
        <v>2.7000000000000001E-3</v>
      </c>
      <c r="I85" s="986"/>
      <c r="J85" s="988">
        <v>12024</v>
      </c>
    </row>
    <row r="86" spans="2:10">
      <c r="B86" s="988">
        <v>12055</v>
      </c>
      <c r="H86" s="986">
        <v>2.7000000000000001E-3</v>
      </c>
      <c r="I86" s="986"/>
      <c r="J86" s="988">
        <v>12055</v>
      </c>
    </row>
    <row r="87" spans="2:10">
      <c r="B87" s="988">
        <v>12086</v>
      </c>
      <c r="H87" s="986">
        <v>2.3E-3</v>
      </c>
      <c r="I87" s="986"/>
      <c r="J87" s="988">
        <v>12086</v>
      </c>
    </row>
    <row r="88" spans="2:10">
      <c r="B88" s="988">
        <v>12114</v>
      </c>
      <c r="H88" s="986">
        <v>2.7000000000000001E-3</v>
      </c>
      <c r="I88" s="986"/>
      <c r="J88" s="988">
        <v>12114</v>
      </c>
    </row>
    <row r="89" spans="2:10">
      <c r="B89" s="988">
        <v>12145</v>
      </c>
      <c r="H89" s="986">
        <v>2.5000000000000001E-3</v>
      </c>
      <c r="I89" s="986"/>
      <c r="J89" s="988">
        <v>12145</v>
      </c>
    </row>
    <row r="90" spans="2:10">
      <c r="B90" s="988">
        <v>12175</v>
      </c>
      <c r="H90" s="986">
        <v>2.8E-3</v>
      </c>
      <c r="I90" s="986"/>
      <c r="J90" s="988">
        <v>12175</v>
      </c>
    </row>
    <row r="91" spans="2:10">
      <c r="B91" s="988">
        <v>12206</v>
      </c>
      <c r="H91" s="986">
        <v>2.5000000000000001E-3</v>
      </c>
      <c r="I91" s="986"/>
      <c r="J91" s="988">
        <v>12206</v>
      </c>
    </row>
    <row r="92" spans="2:10">
      <c r="B92" s="988">
        <v>12236</v>
      </c>
      <c r="H92" s="986">
        <v>2.5999999999999999E-3</v>
      </c>
      <c r="I92" s="986"/>
      <c r="J92" s="988">
        <v>12236</v>
      </c>
    </row>
    <row r="93" spans="2:10">
      <c r="B93" s="988">
        <v>12267</v>
      </c>
      <c r="H93" s="986">
        <v>2.5999999999999999E-3</v>
      </c>
      <c r="I93" s="986"/>
      <c r="J93" s="988">
        <v>12267</v>
      </c>
    </row>
    <row r="94" spans="2:10">
      <c r="B94" s="988">
        <v>12298</v>
      </c>
      <c r="H94" s="986">
        <v>2.5000000000000001E-3</v>
      </c>
      <c r="I94" s="986"/>
      <c r="J94" s="988">
        <v>12298</v>
      </c>
    </row>
    <row r="95" spans="2:10">
      <c r="B95" s="988">
        <v>12328</v>
      </c>
      <c r="H95" s="986">
        <v>2.5999999999999999E-3</v>
      </c>
      <c r="I95" s="986"/>
      <c r="J95" s="988">
        <v>12328</v>
      </c>
    </row>
    <row r="96" spans="2:10">
      <c r="B96" s="988">
        <v>12359</v>
      </c>
      <c r="H96" s="986">
        <v>2.5000000000000001E-3</v>
      </c>
      <c r="I96" s="986"/>
      <c r="J96" s="988">
        <v>12359</v>
      </c>
    </row>
    <row r="97" spans="2:10">
      <c r="B97" s="988">
        <v>12389</v>
      </c>
      <c r="H97" s="986">
        <v>2.8E-3</v>
      </c>
      <c r="I97" s="986"/>
      <c r="J97" s="988">
        <v>12389</v>
      </c>
    </row>
    <row r="98" spans="2:10">
      <c r="B98" s="988">
        <v>12420</v>
      </c>
      <c r="H98" s="986">
        <v>2.8999999999999998E-3</v>
      </c>
      <c r="I98" s="986"/>
      <c r="J98" s="988">
        <v>12420</v>
      </c>
    </row>
    <row r="99" spans="2:10">
      <c r="B99" s="988">
        <v>12451</v>
      </c>
      <c r="H99" s="986">
        <v>2.3999999999999998E-3</v>
      </c>
      <c r="I99" s="986"/>
      <c r="J99" s="988">
        <v>12451</v>
      </c>
    </row>
    <row r="100" spans="2:10">
      <c r="B100" s="988">
        <v>12479</v>
      </c>
      <c r="H100" s="986">
        <v>2.7000000000000001E-3</v>
      </c>
      <c r="I100" s="986"/>
      <c r="J100" s="988">
        <v>12479</v>
      </c>
    </row>
    <row r="101" spans="2:10">
      <c r="B101" s="988">
        <v>12510</v>
      </c>
      <c r="H101" s="986">
        <v>2.5000000000000001E-3</v>
      </c>
      <c r="I101" s="986"/>
      <c r="J101" s="988">
        <v>12510</v>
      </c>
    </row>
    <row r="102" spans="2:10">
      <c r="B102" s="988">
        <v>12540</v>
      </c>
      <c r="H102" s="986">
        <v>2.5000000000000001E-3</v>
      </c>
      <c r="I102" s="986"/>
      <c r="J102" s="988">
        <v>12540</v>
      </c>
    </row>
    <row r="103" spans="2:10">
      <c r="B103" s="988">
        <v>12571</v>
      </c>
      <c r="H103" s="986">
        <v>2.3999999999999998E-3</v>
      </c>
      <c r="I103" s="986"/>
      <c r="J103" s="988">
        <v>12571</v>
      </c>
    </row>
    <row r="104" spans="2:10">
      <c r="B104" s="988">
        <v>12601</v>
      </c>
      <c r="H104" s="986">
        <v>2.3999999999999998E-3</v>
      </c>
      <c r="I104" s="986"/>
      <c r="J104" s="988">
        <v>12601</v>
      </c>
    </row>
    <row r="105" spans="2:10">
      <c r="B105" s="988">
        <v>12632</v>
      </c>
      <c r="H105" s="986">
        <v>2.3999999999999998E-3</v>
      </c>
      <c r="I105" s="986"/>
      <c r="J105" s="988">
        <v>12632</v>
      </c>
    </row>
    <row r="106" spans="2:10">
      <c r="B106" s="988">
        <v>12663</v>
      </c>
      <c r="H106" s="986">
        <v>2.3E-3</v>
      </c>
      <c r="I106" s="986"/>
      <c r="J106" s="988">
        <v>12663</v>
      </c>
    </row>
    <row r="107" spans="2:10">
      <c r="B107" s="988">
        <v>12693</v>
      </c>
      <c r="H107" s="986">
        <v>2.7000000000000001E-3</v>
      </c>
      <c r="I107" s="986"/>
      <c r="J107" s="988">
        <v>12693</v>
      </c>
    </row>
    <row r="108" spans="2:10">
      <c r="B108" s="988">
        <v>12724</v>
      </c>
      <c r="H108" s="986">
        <v>2.5000000000000001E-3</v>
      </c>
      <c r="I108" s="986"/>
      <c r="J108" s="988">
        <v>12724</v>
      </c>
    </row>
    <row r="109" spans="2:10">
      <c r="B109" s="988">
        <v>12754</v>
      </c>
      <c r="H109" s="986">
        <v>2.5000000000000001E-3</v>
      </c>
      <c r="I109" s="986"/>
      <c r="J109" s="988">
        <v>12754</v>
      </c>
    </row>
    <row r="110" spans="2:10">
      <c r="B110" s="988">
        <v>12785</v>
      </c>
      <c r="H110" s="986">
        <v>2.5000000000000001E-3</v>
      </c>
      <c r="I110" s="986"/>
      <c r="J110" s="988">
        <v>12785</v>
      </c>
    </row>
    <row r="111" spans="2:10">
      <c r="B111" s="988">
        <v>12816</v>
      </c>
      <c r="H111" s="986">
        <v>2.0999999999999999E-3</v>
      </c>
      <c r="I111" s="986"/>
      <c r="J111" s="988">
        <v>12816</v>
      </c>
    </row>
    <row r="112" spans="2:10">
      <c r="B112" s="988">
        <v>12844</v>
      </c>
      <c r="H112" s="986">
        <v>2.2000000000000001E-3</v>
      </c>
      <c r="I112" s="986"/>
      <c r="J112" s="988">
        <v>12844</v>
      </c>
    </row>
    <row r="113" spans="2:10">
      <c r="B113" s="988">
        <v>12875</v>
      </c>
      <c r="H113" s="986">
        <v>2.3E-3</v>
      </c>
      <c r="I113" s="986"/>
      <c r="J113" s="988">
        <v>12875</v>
      </c>
    </row>
    <row r="114" spans="2:10">
      <c r="B114" s="988">
        <v>12905</v>
      </c>
      <c r="H114" s="986">
        <v>2.3E-3</v>
      </c>
      <c r="I114" s="986"/>
      <c r="J114" s="988">
        <v>12905</v>
      </c>
    </row>
    <row r="115" spans="2:10">
      <c r="B115" s="988">
        <v>12936</v>
      </c>
      <c r="H115" s="986">
        <v>2.2000000000000001E-3</v>
      </c>
      <c r="I115" s="986"/>
      <c r="J115" s="988">
        <v>12936</v>
      </c>
    </row>
    <row r="116" spans="2:10">
      <c r="B116" s="988">
        <v>12966</v>
      </c>
      <c r="H116" s="986">
        <v>2.3999999999999998E-3</v>
      </c>
      <c r="I116" s="986"/>
      <c r="J116" s="988">
        <v>12966</v>
      </c>
    </row>
    <row r="117" spans="2:10">
      <c r="B117" s="988">
        <v>12997</v>
      </c>
      <c r="H117" s="986">
        <v>2.3E-3</v>
      </c>
      <c r="I117" s="986"/>
      <c r="J117" s="988">
        <v>12997</v>
      </c>
    </row>
    <row r="118" spans="2:10">
      <c r="B118" s="988">
        <v>13028</v>
      </c>
      <c r="H118" s="986">
        <v>2.3E-3</v>
      </c>
      <c r="I118" s="986"/>
      <c r="J118" s="988">
        <v>13028</v>
      </c>
    </row>
    <row r="119" spans="2:10">
      <c r="B119" s="988">
        <v>13058</v>
      </c>
      <c r="H119" s="986">
        <v>2.3E-3</v>
      </c>
      <c r="I119" s="986"/>
      <c r="J119" s="988">
        <v>13058</v>
      </c>
    </row>
    <row r="120" spans="2:10">
      <c r="B120" s="988">
        <v>13089</v>
      </c>
      <c r="H120" s="986">
        <v>2.3999999999999998E-3</v>
      </c>
      <c r="I120" s="986"/>
      <c r="J120" s="988">
        <v>13089</v>
      </c>
    </row>
    <row r="121" spans="2:10">
      <c r="B121" s="988">
        <v>13119</v>
      </c>
      <c r="H121" s="986">
        <v>2.3999999999999998E-3</v>
      </c>
      <c r="I121" s="986"/>
      <c r="J121" s="988">
        <v>13119</v>
      </c>
    </row>
    <row r="122" spans="2:10">
      <c r="B122" s="988">
        <v>13150</v>
      </c>
      <c r="H122" s="986">
        <v>2.3999999999999998E-3</v>
      </c>
      <c r="I122" s="986"/>
      <c r="J122" s="988">
        <v>13150</v>
      </c>
    </row>
    <row r="123" spans="2:10">
      <c r="B123" s="988">
        <v>13181</v>
      </c>
      <c r="H123" s="986">
        <v>2.3E-3</v>
      </c>
      <c r="I123" s="986"/>
      <c r="J123" s="988">
        <v>13181</v>
      </c>
    </row>
    <row r="124" spans="2:10">
      <c r="B124" s="988">
        <v>13210</v>
      </c>
      <c r="H124" s="986">
        <v>2.3999999999999998E-3</v>
      </c>
      <c r="I124" s="986"/>
      <c r="J124" s="988">
        <v>13210</v>
      </c>
    </row>
    <row r="125" spans="2:10">
      <c r="B125" s="988">
        <v>13241</v>
      </c>
      <c r="H125" s="986">
        <v>2.2000000000000001E-3</v>
      </c>
      <c r="I125" s="986"/>
      <c r="J125" s="988">
        <v>13241</v>
      </c>
    </row>
    <row r="126" spans="2:10">
      <c r="B126" s="988">
        <v>13271</v>
      </c>
      <c r="H126" s="986">
        <v>2.2000000000000001E-3</v>
      </c>
      <c r="I126" s="986"/>
      <c r="J126" s="988">
        <v>13271</v>
      </c>
    </row>
    <row r="127" spans="2:10">
      <c r="B127" s="988">
        <v>13302</v>
      </c>
      <c r="H127" s="986">
        <v>2.3999999999999998E-3</v>
      </c>
      <c r="I127" s="986"/>
      <c r="J127" s="988">
        <v>13302</v>
      </c>
    </row>
    <row r="128" spans="2:10">
      <c r="B128" s="988">
        <v>13332</v>
      </c>
      <c r="H128" s="986">
        <v>2.3E-3</v>
      </c>
      <c r="I128" s="986"/>
      <c r="J128" s="988">
        <v>13332</v>
      </c>
    </row>
    <row r="129" spans="2:10">
      <c r="B129" s="988">
        <v>13363</v>
      </c>
      <c r="H129" s="986">
        <v>2.3E-3</v>
      </c>
      <c r="I129" s="986"/>
      <c r="J129" s="988">
        <v>13363</v>
      </c>
    </row>
    <row r="130" spans="2:10">
      <c r="B130" s="988">
        <v>13394</v>
      </c>
      <c r="H130" s="986">
        <v>2.0999999999999999E-3</v>
      </c>
      <c r="I130" s="986"/>
      <c r="J130" s="988">
        <v>13394</v>
      </c>
    </row>
    <row r="131" spans="2:10">
      <c r="B131" s="988">
        <v>13424</v>
      </c>
      <c r="H131" s="986">
        <v>2.3E-3</v>
      </c>
      <c r="I131" s="986"/>
      <c r="J131" s="988">
        <v>13424</v>
      </c>
    </row>
    <row r="132" spans="2:10">
      <c r="B132" s="988">
        <v>13455</v>
      </c>
      <c r="H132" s="986">
        <v>2.2000000000000001E-3</v>
      </c>
      <c r="I132" s="986"/>
      <c r="J132" s="988">
        <v>13455</v>
      </c>
    </row>
    <row r="133" spans="2:10">
      <c r="B133" s="988">
        <v>13485</v>
      </c>
      <c r="H133" s="986">
        <v>2.2000000000000001E-3</v>
      </c>
      <c r="I133" s="986"/>
      <c r="J133" s="988">
        <v>13485</v>
      </c>
    </row>
    <row r="134" spans="2:10">
      <c r="B134" s="988">
        <v>13516</v>
      </c>
      <c r="H134" s="986">
        <v>2.0999999999999999E-3</v>
      </c>
      <c r="I134" s="986"/>
      <c r="J134" s="988">
        <v>13516</v>
      </c>
    </row>
    <row r="135" spans="2:10">
      <c r="B135" s="988">
        <v>13547</v>
      </c>
      <c r="H135" s="986">
        <v>2E-3</v>
      </c>
      <c r="I135" s="986"/>
      <c r="J135" s="988">
        <v>13547</v>
      </c>
    </row>
    <row r="136" spans="2:10">
      <c r="B136" s="988">
        <v>13575</v>
      </c>
      <c r="H136" s="986">
        <v>2.2000000000000001E-3</v>
      </c>
      <c r="I136" s="986"/>
      <c r="J136" s="988">
        <v>13575</v>
      </c>
    </row>
    <row r="137" spans="2:10">
      <c r="B137" s="988">
        <v>13606</v>
      </c>
      <c r="H137" s="986">
        <v>2.3E-3</v>
      </c>
      <c r="I137" s="986"/>
      <c r="J137" s="988">
        <v>13606</v>
      </c>
    </row>
    <row r="138" spans="2:10">
      <c r="B138" s="988">
        <v>13636</v>
      </c>
      <c r="H138" s="986">
        <v>2.2000000000000001E-3</v>
      </c>
      <c r="I138" s="986"/>
      <c r="J138" s="988">
        <v>13636</v>
      </c>
    </row>
    <row r="139" spans="2:10">
      <c r="B139" s="988">
        <v>13667</v>
      </c>
      <c r="H139" s="986">
        <v>2.5000000000000001E-3</v>
      </c>
      <c r="I139" s="986"/>
      <c r="J139" s="988">
        <v>13667</v>
      </c>
    </row>
    <row r="140" spans="2:10">
      <c r="B140" s="988">
        <v>13697</v>
      </c>
      <c r="H140" s="986">
        <v>2.3999999999999998E-3</v>
      </c>
      <c r="I140" s="986"/>
      <c r="J140" s="988">
        <v>13697</v>
      </c>
    </row>
    <row r="141" spans="2:10">
      <c r="B141" s="988">
        <v>13728</v>
      </c>
      <c r="H141" s="986">
        <v>2.3E-3</v>
      </c>
      <c r="I141" s="986"/>
      <c r="J141" s="988">
        <v>13728</v>
      </c>
    </row>
    <row r="142" spans="2:10">
      <c r="B142" s="988">
        <v>13759</v>
      </c>
      <c r="H142" s="986">
        <v>2.3E-3</v>
      </c>
      <c r="I142" s="986"/>
      <c r="J142" s="988">
        <v>13759</v>
      </c>
    </row>
    <row r="143" spans="2:10">
      <c r="B143" s="988">
        <v>13789</v>
      </c>
      <c r="H143" s="986">
        <v>2.3E-3</v>
      </c>
      <c r="I143" s="986"/>
      <c r="J143" s="988">
        <v>13789</v>
      </c>
    </row>
    <row r="144" spans="2:10">
      <c r="B144" s="988">
        <v>13820</v>
      </c>
      <c r="H144" s="986">
        <v>2.3999999999999998E-3</v>
      </c>
      <c r="I144" s="986"/>
      <c r="J144" s="988">
        <v>13820</v>
      </c>
    </row>
    <row r="145" spans="2:10">
      <c r="B145" s="988">
        <v>13850</v>
      </c>
      <c r="H145" s="986">
        <v>2.3E-3</v>
      </c>
      <c r="I145" s="986"/>
      <c r="J145" s="988">
        <v>13850</v>
      </c>
    </row>
    <row r="146" spans="2:10">
      <c r="B146" s="988">
        <v>13881</v>
      </c>
      <c r="H146" s="986">
        <v>2.3E-3</v>
      </c>
      <c r="I146" s="986"/>
      <c r="J146" s="988">
        <v>13881</v>
      </c>
    </row>
    <row r="147" spans="2:10">
      <c r="B147" s="988">
        <v>13912</v>
      </c>
      <c r="H147" s="986">
        <v>2.0999999999999999E-3</v>
      </c>
      <c r="I147" s="986"/>
      <c r="J147" s="988">
        <v>13912</v>
      </c>
    </row>
    <row r="148" spans="2:10">
      <c r="B148" s="988">
        <v>13940</v>
      </c>
      <c r="H148" s="986">
        <v>2.3E-3</v>
      </c>
      <c r="I148" s="986"/>
      <c r="J148" s="988">
        <v>13940</v>
      </c>
    </row>
    <row r="149" spans="2:10">
      <c r="B149" s="988">
        <v>13971</v>
      </c>
      <c r="H149" s="986">
        <v>2.2000000000000001E-3</v>
      </c>
      <c r="I149" s="986"/>
      <c r="J149" s="988">
        <v>13971</v>
      </c>
    </row>
    <row r="150" spans="2:10">
      <c r="B150" s="988">
        <v>14001</v>
      </c>
      <c r="H150" s="986">
        <v>2.2000000000000001E-3</v>
      </c>
      <c r="I150" s="986"/>
      <c r="J150" s="988">
        <v>14001</v>
      </c>
    </row>
    <row r="151" spans="2:10">
      <c r="B151" s="988">
        <v>14032</v>
      </c>
      <c r="H151" s="986">
        <v>2.0999999999999999E-3</v>
      </c>
      <c r="I151" s="986"/>
      <c r="J151" s="988">
        <v>14032</v>
      </c>
    </row>
    <row r="152" spans="2:10">
      <c r="B152" s="988">
        <v>14062</v>
      </c>
      <c r="H152" s="986">
        <v>2.0999999999999999E-3</v>
      </c>
      <c r="I152" s="986"/>
      <c r="J152" s="988">
        <v>14062</v>
      </c>
    </row>
    <row r="153" spans="2:10">
      <c r="B153" s="988">
        <v>14093</v>
      </c>
      <c r="H153" s="986">
        <v>2.2000000000000001E-3</v>
      </c>
      <c r="I153" s="986"/>
      <c r="J153" s="988">
        <v>14093</v>
      </c>
    </row>
    <row r="154" spans="2:10">
      <c r="B154" s="988">
        <v>14124</v>
      </c>
      <c r="H154" s="986">
        <v>2.0999999999999999E-3</v>
      </c>
      <c r="I154" s="986"/>
      <c r="J154" s="988">
        <v>14124</v>
      </c>
    </row>
    <row r="155" spans="2:10">
      <c r="B155" s="988">
        <v>14154</v>
      </c>
      <c r="H155" s="986">
        <v>2.2000000000000001E-3</v>
      </c>
      <c r="I155" s="986"/>
      <c r="J155" s="988">
        <v>14154</v>
      </c>
    </row>
    <row r="156" spans="2:10">
      <c r="B156" s="988">
        <v>14185</v>
      </c>
      <c r="H156" s="986">
        <v>2.0999999999999999E-3</v>
      </c>
      <c r="I156" s="986"/>
      <c r="J156" s="988">
        <v>14185</v>
      </c>
    </row>
    <row r="157" spans="2:10">
      <c r="B157" s="988">
        <v>14215</v>
      </c>
      <c r="H157" s="986">
        <v>2.2000000000000001E-3</v>
      </c>
      <c r="I157" s="986"/>
      <c r="J157" s="988">
        <v>14215</v>
      </c>
    </row>
    <row r="158" spans="2:10">
      <c r="B158" s="988">
        <v>14246</v>
      </c>
      <c r="H158" s="986">
        <v>2.0999999999999999E-3</v>
      </c>
      <c r="I158" s="986"/>
      <c r="J158" s="988">
        <v>14246</v>
      </c>
    </row>
    <row r="159" spans="2:10">
      <c r="B159" s="988">
        <v>14277</v>
      </c>
      <c r="H159" s="986">
        <v>1.9E-3</v>
      </c>
      <c r="I159" s="986"/>
      <c r="J159" s="988">
        <v>14277</v>
      </c>
    </row>
    <row r="160" spans="2:10">
      <c r="B160" s="988">
        <v>14305</v>
      </c>
      <c r="H160" s="986">
        <v>2.0999999999999999E-3</v>
      </c>
      <c r="I160" s="986"/>
      <c r="J160" s="988">
        <v>14305</v>
      </c>
    </row>
    <row r="161" spans="2:10">
      <c r="B161" s="988">
        <v>14336</v>
      </c>
      <c r="H161" s="986">
        <v>1.9E-3</v>
      </c>
      <c r="I161" s="986"/>
      <c r="J161" s="988">
        <v>14336</v>
      </c>
    </row>
    <row r="162" spans="2:10">
      <c r="B162" s="988">
        <v>14366</v>
      </c>
      <c r="H162" s="986">
        <v>2E-3</v>
      </c>
      <c r="I162" s="986"/>
      <c r="J162" s="988">
        <v>14366</v>
      </c>
    </row>
    <row r="163" spans="2:10">
      <c r="B163" s="988">
        <v>14397</v>
      </c>
      <c r="H163" s="986">
        <v>1.8E-3</v>
      </c>
      <c r="I163" s="986"/>
      <c r="J163" s="988">
        <v>14397</v>
      </c>
    </row>
    <row r="164" spans="2:10">
      <c r="B164" s="988">
        <v>14427</v>
      </c>
      <c r="H164" s="986">
        <v>1.9E-3</v>
      </c>
      <c r="I164" s="986"/>
      <c r="J164" s="988">
        <v>14427</v>
      </c>
    </row>
    <row r="165" spans="2:10">
      <c r="B165" s="988">
        <v>14458</v>
      </c>
      <c r="H165" s="986">
        <v>1.8E-3</v>
      </c>
      <c r="I165" s="986"/>
      <c r="J165" s="988">
        <v>14458</v>
      </c>
    </row>
    <row r="166" spans="2:10">
      <c r="B166" s="988">
        <v>14489</v>
      </c>
      <c r="H166" s="986">
        <v>1.9E-3</v>
      </c>
      <c r="I166" s="986"/>
      <c r="J166" s="988">
        <v>14489</v>
      </c>
    </row>
    <row r="167" spans="2:10">
      <c r="B167" s="988">
        <v>14519</v>
      </c>
      <c r="H167" s="986">
        <v>2.3E-3</v>
      </c>
      <c r="I167" s="986"/>
      <c r="J167" s="988">
        <v>14519</v>
      </c>
    </row>
    <row r="168" spans="2:10">
      <c r="B168" s="988">
        <v>14550</v>
      </c>
      <c r="H168" s="986">
        <v>2E-3</v>
      </c>
      <c r="I168" s="986"/>
      <c r="J168" s="988">
        <v>14550</v>
      </c>
    </row>
    <row r="169" spans="2:10">
      <c r="B169" s="988">
        <v>14580</v>
      </c>
      <c r="H169" s="986">
        <v>1.9E-3</v>
      </c>
      <c r="I169" s="986"/>
      <c r="J169" s="988">
        <v>14580</v>
      </c>
    </row>
    <row r="170" spans="2:10">
      <c r="B170" s="988">
        <v>14611</v>
      </c>
      <c r="H170" s="986">
        <v>2E-3</v>
      </c>
      <c r="I170" s="986"/>
      <c r="J170" s="988">
        <v>14611</v>
      </c>
    </row>
    <row r="171" spans="2:10">
      <c r="B171" s="988">
        <v>14642</v>
      </c>
      <c r="H171" s="986">
        <v>1.8E-3</v>
      </c>
      <c r="I171" s="986"/>
      <c r="J171" s="988">
        <v>14642</v>
      </c>
    </row>
    <row r="172" spans="2:10">
      <c r="B172" s="988">
        <v>14671</v>
      </c>
      <c r="H172" s="986">
        <v>1.9E-3</v>
      </c>
      <c r="I172" s="986"/>
      <c r="J172" s="988">
        <v>14671</v>
      </c>
    </row>
    <row r="173" spans="2:10">
      <c r="B173" s="988">
        <v>14702</v>
      </c>
      <c r="H173" s="986">
        <v>1.8E-3</v>
      </c>
      <c r="I173" s="986"/>
      <c r="J173" s="988">
        <v>14702</v>
      </c>
    </row>
    <row r="174" spans="2:10">
      <c r="B174" s="988">
        <v>14732</v>
      </c>
      <c r="H174" s="986">
        <v>1.9E-3</v>
      </c>
      <c r="I174" s="986"/>
      <c r="J174" s="988">
        <v>14732</v>
      </c>
    </row>
    <row r="175" spans="2:10">
      <c r="B175" s="988">
        <v>14763</v>
      </c>
      <c r="H175" s="986">
        <v>1.9E-3</v>
      </c>
      <c r="I175" s="986"/>
      <c r="J175" s="988">
        <v>14763</v>
      </c>
    </row>
    <row r="176" spans="2:10">
      <c r="B176" s="988">
        <v>14793</v>
      </c>
      <c r="H176" s="986">
        <v>2E-3</v>
      </c>
      <c r="I176" s="986"/>
      <c r="J176" s="988">
        <v>14793</v>
      </c>
    </row>
    <row r="177" spans="2:10">
      <c r="B177" s="988">
        <v>14824</v>
      </c>
      <c r="H177" s="986">
        <v>1.9E-3</v>
      </c>
      <c r="I177" s="986"/>
      <c r="J177" s="988">
        <v>14824</v>
      </c>
    </row>
    <row r="178" spans="2:10">
      <c r="B178" s="988">
        <v>14855</v>
      </c>
      <c r="H178" s="986">
        <v>1.8E-3</v>
      </c>
      <c r="I178" s="986"/>
      <c r="J178" s="988">
        <v>14855</v>
      </c>
    </row>
    <row r="179" spans="2:10">
      <c r="B179" s="988">
        <v>14885</v>
      </c>
      <c r="H179" s="986">
        <v>1.8E-3</v>
      </c>
      <c r="I179" s="986"/>
      <c r="J179" s="988">
        <v>14885</v>
      </c>
    </row>
    <row r="180" spans="2:10">
      <c r="B180" s="988">
        <v>14916</v>
      </c>
      <c r="H180" s="986">
        <v>1.8E-3</v>
      </c>
      <c r="I180" s="986"/>
      <c r="J180" s="988">
        <v>14916</v>
      </c>
    </row>
    <row r="181" spans="2:10">
      <c r="B181" s="988">
        <v>14946</v>
      </c>
      <c r="H181" s="986">
        <v>1.6999999999999999E-3</v>
      </c>
      <c r="I181" s="986"/>
      <c r="J181" s="988">
        <v>14946</v>
      </c>
    </row>
    <row r="182" spans="2:10">
      <c r="B182" s="988">
        <v>14977</v>
      </c>
      <c r="H182" s="986">
        <v>1.6000000000000001E-3</v>
      </c>
      <c r="I182" s="986"/>
      <c r="J182" s="988">
        <v>14977</v>
      </c>
    </row>
    <row r="183" spans="2:10">
      <c r="B183" s="988">
        <v>15008</v>
      </c>
      <c r="H183" s="986">
        <v>1.6000000000000001E-3</v>
      </c>
      <c r="I183" s="986"/>
      <c r="J183" s="988">
        <v>15008</v>
      </c>
    </row>
    <row r="184" spans="2:10">
      <c r="B184" s="988">
        <v>15036</v>
      </c>
      <c r="H184" s="986">
        <v>1.8E-3</v>
      </c>
      <c r="I184" s="986"/>
      <c r="J184" s="988">
        <v>15036</v>
      </c>
    </row>
    <row r="185" spans="2:10">
      <c r="B185" s="988">
        <v>15067</v>
      </c>
      <c r="H185" s="986">
        <v>1.6999999999999999E-3</v>
      </c>
      <c r="I185" s="986"/>
      <c r="J185" s="988">
        <v>15067</v>
      </c>
    </row>
    <row r="186" spans="2:10">
      <c r="B186" s="988">
        <v>15097</v>
      </c>
      <c r="H186" s="986">
        <v>1.6999999999999999E-3</v>
      </c>
      <c r="I186" s="986"/>
      <c r="J186" s="988">
        <v>15097</v>
      </c>
    </row>
    <row r="187" spans="2:10">
      <c r="B187" s="988">
        <v>15128</v>
      </c>
      <c r="H187" s="986">
        <v>1.6000000000000001E-3</v>
      </c>
      <c r="I187" s="986"/>
      <c r="J187" s="988">
        <v>15128</v>
      </c>
    </row>
    <row r="188" spans="2:10">
      <c r="B188" s="988">
        <v>15158</v>
      </c>
      <c r="H188" s="986">
        <v>1.6000000000000001E-3</v>
      </c>
      <c r="I188" s="986"/>
      <c r="J188" s="988">
        <v>15158</v>
      </c>
    </row>
    <row r="189" spans="2:10">
      <c r="B189" s="988">
        <v>15189</v>
      </c>
      <c r="H189" s="986">
        <v>1.6000000000000001E-3</v>
      </c>
      <c r="I189" s="986"/>
      <c r="J189" s="988">
        <v>15189</v>
      </c>
    </row>
    <row r="190" spans="2:10">
      <c r="B190" s="988">
        <v>15220</v>
      </c>
      <c r="H190" s="986">
        <v>1.6000000000000001E-3</v>
      </c>
      <c r="I190" s="986"/>
      <c r="J190" s="988">
        <v>15220</v>
      </c>
    </row>
    <row r="191" spans="2:10">
      <c r="B191" s="988">
        <v>15250</v>
      </c>
      <c r="H191" s="986">
        <v>1.6000000000000001E-3</v>
      </c>
      <c r="I191" s="986"/>
      <c r="J191" s="988">
        <v>15250</v>
      </c>
    </row>
    <row r="192" spans="2:10">
      <c r="B192" s="988">
        <v>15281</v>
      </c>
      <c r="H192" s="986">
        <v>1.4E-3</v>
      </c>
      <c r="I192" s="986"/>
      <c r="J192" s="988">
        <v>15281</v>
      </c>
    </row>
    <row r="193" spans="2:10">
      <c r="B193" s="988">
        <v>15311</v>
      </c>
      <c r="H193" s="986">
        <v>1.6000000000000001E-3</v>
      </c>
      <c r="I193" s="986"/>
      <c r="J193" s="988">
        <v>15311</v>
      </c>
    </row>
    <row r="194" spans="2:10">
      <c r="B194" s="988">
        <v>15342</v>
      </c>
      <c r="H194" s="986">
        <v>2.0999999999999999E-3</v>
      </c>
      <c r="I194" s="986"/>
      <c r="J194" s="988">
        <v>15342</v>
      </c>
    </row>
    <row r="195" spans="2:10">
      <c r="B195" s="988">
        <v>15373</v>
      </c>
      <c r="H195" s="986">
        <v>1.9E-3</v>
      </c>
      <c r="I195" s="986"/>
      <c r="J195" s="988">
        <v>15373</v>
      </c>
    </row>
    <row r="196" spans="2:10">
      <c r="B196" s="988">
        <v>15401</v>
      </c>
      <c r="H196" s="986">
        <v>2.0999999999999999E-3</v>
      </c>
      <c r="I196" s="986"/>
      <c r="J196" s="988">
        <v>15401</v>
      </c>
    </row>
    <row r="197" spans="2:10">
      <c r="B197" s="988">
        <v>15432</v>
      </c>
      <c r="H197" s="986">
        <v>2E-3</v>
      </c>
      <c r="I197" s="986"/>
      <c r="J197" s="988">
        <v>15432</v>
      </c>
    </row>
    <row r="198" spans="2:10">
      <c r="B198" s="988">
        <v>15462</v>
      </c>
      <c r="H198" s="986">
        <v>1.9E-3</v>
      </c>
      <c r="I198" s="986"/>
      <c r="J198" s="988">
        <v>15462</v>
      </c>
    </row>
    <row r="199" spans="2:10">
      <c r="B199" s="988">
        <v>15493</v>
      </c>
      <c r="H199" s="986">
        <v>2.0999999999999999E-3</v>
      </c>
      <c r="I199" s="986"/>
      <c r="J199" s="988">
        <v>15493</v>
      </c>
    </row>
    <row r="200" spans="2:10">
      <c r="B200" s="988">
        <v>15523</v>
      </c>
      <c r="H200" s="986">
        <v>2.0999999999999999E-3</v>
      </c>
      <c r="I200" s="986"/>
      <c r="J200" s="988">
        <v>15523</v>
      </c>
    </row>
    <row r="201" spans="2:10">
      <c r="B201" s="988">
        <v>15554</v>
      </c>
      <c r="H201" s="986">
        <v>2.0999999999999999E-3</v>
      </c>
      <c r="I201" s="986"/>
      <c r="J201" s="988">
        <v>15554</v>
      </c>
    </row>
    <row r="202" spans="2:10">
      <c r="B202" s="988">
        <v>15585</v>
      </c>
      <c r="H202" s="986">
        <v>2E-3</v>
      </c>
      <c r="I202" s="986"/>
      <c r="J202" s="988">
        <v>15585</v>
      </c>
    </row>
    <row r="203" spans="2:10">
      <c r="B203" s="988">
        <v>15615</v>
      </c>
      <c r="H203" s="986">
        <v>2.0999999999999999E-3</v>
      </c>
      <c r="I203" s="986"/>
      <c r="J203" s="988">
        <v>15615</v>
      </c>
    </row>
    <row r="204" spans="2:10">
      <c r="B204" s="988">
        <v>15646</v>
      </c>
      <c r="H204" s="986">
        <v>2E-3</v>
      </c>
      <c r="I204" s="986"/>
      <c r="J204" s="988">
        <v>15646</v>
      </c>
    </row>
    <row r="205" spans="2:10">
      <c r="B205" s="988">
        <v>15676</v>
      </c>
      <c r="H205" s="986">
        <v>2.0999999999999999E-3</v>
      </c>
      <c r="I205" s="986"/>
      <c r="J205" s="988">
        <v>15676</v>
      </c>
    </row>
    <row r="206" spans="2:10">
      <c r="B206" s="988">
        <v>15707</v>
      </c>
      <c r="H206" s="986">
        <v>2E-3</v>
      </c>
      <c r="I206" s="986"/>
      <c r="J206" s="988">
        <v>15707</v>
      </c>
    </row>
    <row r="207" spans="2:10">
      <c r="B207" s="988">
        <v>15738</v>
      </c>
      <c r="H207" s="986">
        <v>1.9E-3</v>
      </c>
      <c r="I207" s="986"/>
      <c r="J207" s="988">
        <v>15738</v>
      </c>
    </row>
    <row r="208" spans="2:10">
      <c r="B208" s="988">
        <v>15766</v>
      </c>
      <c r="H208" s="986">
        <v>2.0999999999999999E-3</v>
      </c>
      <c r="I208" s="986"/>
      <c r="J208" s="988">
        <v>15766</v>
      </c>
    </row>
    <row r="209" spans="2:10">
      <c r="B209" s="988">
        <v>15797</v>
      </c>
      <c r="H209" s="986">
        <v>2E-3</v>
      </c>
      <c r="I209" s="986"/>
      <c r="J209" s="988">
        <v>15797</v>
      </c>
    </row>
    <row r="210" spans="2:10">
      <c r="B210" s="988">
        <v>15827</v>
      </c>
      <c r="H210" s="986">
        <v>1.9E-3</v>
      </c>
      <c r="I210" s="986"/>
      <c r="J210" s="988">
        <v>15827</v>
      </c>
    </row>
    <row r="211" spans="2:10">
      <c r="B211" s="988">
        <v>15858</v>
      </c>
      <c r="H211" s="986">
        <v>2.0999999999999999E-3</v>
      </c>
      <c r="I211" s="986"/>
      <c r="J211" s="988">
        <v>15858</v>
      </c>
    </row>
    <row r="212" spans="2:10">
      <c r="B212" s="988">
        <v>15888</v>
      </c>
      <c r="H212" s="986">
        <v>2.0999999999999999E-3</v>
      </c>
      <c r="I212" s="986"/>
      <c r="J212" s="988">
        <v>15888</v>
      </c>
    </row>
    <row r="213" spans="2:10">
      <c r="B213" s="988">
        <v>15919</v>
      </c>
      <c r="H213" s="986">
        <v>2.0999999999999999E-3</v>
      </c>
      <c r="I213" s="986"/>
      <c r="J213" s="988">
        <v>15919</v>
      </c>
    </row>
    <row r="214" spans="2:10">
      <c r="B214" s="988">
        <v>15950</v>
      </c>
      <c r="H214" s="986">
        <v>2E-3</v>
      </c>
      <c r="I214" s="986"/>
      <c r="J214" s="988">
        <v>15950</v>
      </c>
    </row>
    <row r="215" spans="2:10">
      <c r="B215" s="988">
        <v>15980</v>
      </c>
      <c r="H215" s="986">
        <v>2E-3</v>
      </c>
      <c r="I215" s="986"/>
      <c r="J215" s="988">
        <v>15980</v>
      </c>
    </row>
    <row r="216" spans="2:10">
      <c r="B216" s="988">
        <v>16011</v>
      </c>
      <c r="H216" s="986">
        <v>2.0999999999999999E-3</v>
      </c>
      <c r="I216" s="986"/>
      <c r="J216" s="988">
        <v>16011</v>
      </c>
    </row>
    <row r="217" spans="2:10">
      <c r="B217" s="988">
        <v>16041</v>
      </c>
      <c r="H217" s="986">
        <v>2.0999999999999999E-3</v>
      </c>
      <c r="I217" s="986"/>
      <c r="J217" s="988">
        <v>16041</v>
      </c>
    </row>
    <row r="218" spans="2:10">
      <c r="B218" s="988">
        <v>16072</v>
      </c>
      <c r="H218" s="986">
        <v>2.0999999999999999E-3</v>
      </c>
      <c r="I218" s="986"/>
      <c r="J218" s="988">
        <v>16072</v>
      </c>
    </row>
    <row r="219" spans="2:10">
      <c r="B219" s="988">
        <v>16103</v>
      </c>
      <c r="H219" s="986">
        <v>2E-3</v>
      </c>
      <c r="I219" s="986"/>
      <c r="J219" s="988">
        <v>16103</v>
      </c>
    </row>
    <row r="220" spans="2:10">
      <c r="B220" s="988">
        <v>16132</v>
      </c>
      <c r="H220" s="986">
        <v>2.0999999999999999E-3</v>
      </c>
      <c r="I220" s="986"/>
      <c r="J220" s="988">
        <v>16132</v>
      </c>
    </row>
    <row r="221" spans="2:10">
      <c r="B221" s="988">
        <v>16163</v>
      </c>
      <c r="H221" s="986">
        <v>2E-3</v>
      </c>
      <c r="I221" s="986"/>
      <c r="J221" s="988">
        <v>16163</v>
      </c>
    </row>
    <row r="222" spans="2:10">
      <c r="B222" s="988">
        <v>16193</v>
      </c>
      <c r="H222" s="986">
        <v>2.2000000000000001E-3</v>
      </c>
      <c r="I222" s="986"/>
      <c r="J222" s="988">
        <v>16193</v>
      </c>
    </row>
    <row r="223" spans="2:10">
      <c r="B223" s="988">
        <v>16224</v>
      </c>
      <c r="H223" s="986">
        <v>2E-3</v>
      </c>
      <c r="I223" s="986"/>
      <c r="J223" s="988">
        <v>16224</v>
      </c>
    </row>
    <row r="224" spans="2:10">
      <c r="B224" s="988">
        <v>16254</v>
      </c>
      <c r="H224" s="986">
        <v>2.0999999999999999E-3</v>
      </c>
      <c r="I224" s="986"/>
      <c r="J224" s="988">
        <v>16254</v>
      </c>
    </row>
    <row r="225" spans="2:10">
      <c r="B225" s="988">
        <v>16285</v>
      </c>
      <c r="H225" s="986">
        <v>2.0999999999999999E-3</v>
      </c>
      <c r="I225" s="986"/>
      <c r="J225" s="988">
        <v>16285</v>
      </c>
    </row>
    <row r="226" spans="2:10">
      <c r="B226" s="988">
        <v>16316</v>
      </c>
      <c r="H226" s="986">
        <v>2E-3</v>
      </c>
      <c r="I226" s="986"/>
      <c r="J226" s="988">
        <v>16316</v>
      </c>
    </row>
    <row r="227" spans="2:10">
      <c r="B227" s="988">
        <v>16346</v>
      </c>
      <c r="H227" s="986">
        <v>2.0999999999999999E-3</v>
      </c>
      <c r="I227" s="986"/>
      <c r="J227" s="988">
        <v>16346</v>
      </c>
    </row>
    <row r="228" spans="2:10">
      <c r="B228" s="988">
        <v>16377</v>
      </c>
      <c r="H228" s="986">
        <v>2E-3</v>
      </c>
      <c r="I228" s="986"/>
      <c r="J228" s="988">
        <v>16377</v>
      </c>
    </row>
    <row r="229" spans="2:10">
      <c r="B229" s="988">
        <v>16407</v>
      </c>
      <c r="H229" s="986">
        <v>2E-3</v>
      </c>
      <c r="I229" s="986"/>
      <c r="J229" s="988">
        <v>16407</v>
      </c>
    </row>
    <row r="230" spans="2:10">
      <c r="B230" s="988">
        <v>16438</v>
      </c>
      <c r="H230" s="986">
        <v>2.0999999999999999E-3</v>
      </c>
      <c r="I230" s="986"/>
      <c r="J230" s="988">
        <v>16438</v>
      </c>
    </row>
    <row r="231" spans="2:10">
      <c r="B231" s="988">
        <v>16469</v>
      </c>
      <c r="H231" s="986">
        <v>1.8E-3</v>
      </c>
      <c r="I231" s="986"/>
      <c r="J231" s="988">
        <v>16469</v>
      </c>
    </row>
    <row r="232" spans="2:10">
      <c r="B232" s="988">
        <v>16497</v>
      </c>
      <c r="H232" s="986">
        <v>2E-3</v>
      </c>
      <c r="I232" s="986"/>
      <c r="J232" s="988">
        <v>16497</v>
      </c>
    </row>
    <row r="233" spans="2:10">
      <c r="B233" s="988">
        <v>16528</v>
      </c>
      <c r="H233" s="986">
        <v>1.9E-3</v>
      </c>
      <c r="I233" s="986"/>
      <c r="J233" s="988">
        <v>16528</v>
      </c>
    </row>
    <row r="234" spans="2:10">
      <c r="B234" s="988">
        <v>16558</v>
      </c>
      <c r="H234" s="986">
        <v>1.9E-3</v>
      </c>
      <c r="I234" s="986"/>
      <c r="J234" s="988">
        <v>16558</v>
      </c>
    </row>
    <row r="235" spans="2:10">
      <c r="B235" s="988">
        <v>16589</v>
      </c>
      <c r="H235" s="986">
        <v>1.9E-3</v>
      </c>
      <c r="I235" s="986"/>
      <c r="J235" s="988">
        <v>16589</v>
      </c>
    </row>
    <row r="236" spans="2:10">
      <c r="B236" s="988">
        <v>16619</v>
      </c>
      <c r="H236" s="986">
        <v>1.8E-3</v>
      </c>
      <c r="I236" s="986"/>
      <c r="J236" s="988">
        <v>16619</v>
      </c>
    </row>
    <row r="237" spans="2:10">
      <c r="B237" s="988">
        <v>16650</v>
      </c>
      <c r="H237" s="986">
        <v>1.9E-3</v>
      </c>
      <c r="I237" s="986"/>
      <c r="J237" s="988">
        <v>16650</v>
      </c>
    </row>
    <row r="238" spans="2:10">
      <c r="B238" s="988">
        <v>16681</v>
      </c>
      <c r="H238" s="986">
        <v>1.8E-3</v>
      </c>
      <c r="I238" s="986"/>
      <c r="J238" s="988">
        <v>16681</v>
      </c>
    </row>
    <row r="239" spans="2:10">
      <c r="B239" s="988">
        <v>16711</v>
      </c>
      <c r="H239" s="986">
        <v>1.9E-3</v>
      </c>
      <c r="I239" s="986"/>
      <c r="J239" s="988">
        <v>16711</v>
      </c>
    </row>
    <row r="240" spans="2:10">
      <c r="B240" s="988">
        <v>16742</v>
      </c>
      <c r="H240" s="986">
        <v>1.8E-3</v>
      </c>
      <c r="I240" s="986"/>
      <c r="J240" s="988">
        <v>16742</v>
      </c>
    </row>
    <row r="241" spans="2:10">
      <c r="B241" s="988">
        <v>16772</v>
      </c>
      <c r="H241" s="986">
        <v>1.8E-3</v>
      </c>
      <c r="I241" s="986"/>
      <c r="J241" s="988">
        <v>16772</v>
      </c>
    </row>
    <row r="242" spans="2:10">
      <c r="B242" s="988">
        <v>16803</v>
      </c>
      <c r="H242" s="986">
        <v>1.6999999999999999E-3</v>
      </c>
      <c r="I242" s="986"/>
      <c r="J242" s="988">
        <v>16803</v>
      </c>
    </row>
    <row r="243" spans="2:10">
      <c r="B243" s="988">
        <v>16834</v>
      </c>
      <c r="H243" s="986">
        <v>1.5E-3</v>
      </c>
      <c r="I243" s="986"/>
      <c r="J243" s="988">
        <v>16834</v>
      </c>
    </row>
    <row r="244" spans="2:10">
      <c r="B244" s="988">
        <v>16862</v>
      </c>
      <c r="H244" s="986">
        <v>1.6000000000000001E-3</v>
      </c>
      <c r="I244" s="986"/>
      <c r="J244" s="988">
        <v>16862</v>
      </c>
    </row>
    <row r="245" spans="2:10">
      <c r="B245" s="988">
        <v>16893</v>
      </c>
      <c r="H245" s="986">
        <v>1.6999999999999999E-3</v>
      </c>
      <c r="I245" s="986"/>
      <c r="J245" s="988">
        <v>16893</v>
      </c>
    </row>
    <row r="246" spans="2:10">
      <c r="B246" s="988">
        <v>16923</v>
      </c>
      <c r="H246" s="986">
        <v>1.8E-3</v>
      </c>
      <c r="I246" s="986"/>
      <c r="J246" s="988">
        <v>16923</v>
      </c>
    </row>
    <row r="247" spans="2:10">
      <c r="B247" s="988">
        <v>16954</v>
      </c>
      <c r="H247" s="986">
        <v>1.6000000000000001E-3</v>
      </c>
      <c r="I247" s="986"/>
      <c r="J247" s="988">
        <v>16954</v>
      </c>
    </row>
    <row r="248" spans="2:10">
      <c r="B248" s="988">
        <v>16984</v>
      </c>
      <c r="H248" s="986">
        <v>1.9E-3</v>
      </c>
      <c r="I248" s="986"/>
      <c r="J248" s="988">
        <v>16984</v>
      </c>
    </row>
    <row r="249" spans="2:10">
      <c r="B249" s="988">
        <v>17015</v>
      </c>
      <c r="H249" s="986">
        <v>1.6999999999999999E-3</v>
      </c>
      <c r="I249" s="986"/>
      <c r="J249" s="988">
        <v>17015</v>
      </c>
    </row>
    <row r="250" spans="2:10">
      <c r="B250" s="988">
        <v>17046</v>
      </c>
      <c r="H250" s="986">
        <v>1.8E-3</v>
      </c>
      <c r="I250" s="986"/>
      <c r="J250" s="988">
        <v>17046</v>
      </c>
    </row>
    <row r="251" spans="2:10">
      <c r="B251" s="988">
        <v>17076</v>
      </c>
      <c r="H251" s="986">
        <v>1.9E-3</v>
      </c>
      <c r="I251" s="986"/>
      <c r="J251" s="988">
        <v>17076</v>
      </c>
    </row>
    <row r="252" spans="2:10">
      <c r="B252" s="988">
        <v>17107</v>
      </c>
      <c r="H252" s="986">
        <v>1.8E-3</v>
      </c>
      <c r="I252" s="986"/>
      <c r="J252" s="988">
        <v>17107</v>
      </c>
    </row>
    <row r="253" spans="2:10">
      <c r="B253" s="988">
        <v>17137</v>
      </c>
      <c r="H253" s="986">
        <v>1.9E-3</v>
      </c>
      <c r="I253" s="986"/>
      <c r="J253" s="988">
        <v>17137</v>
      </c>
    </row>
    <row r="254" spans="2:10">
      <c r="B254" s="988">
        <v>17168</v>
      </c>
      <c r="H254" s="986">
        <v>1.8E-3</v>
      </c>
      <c r="I254" s="986"/>
      <c r="J254" s="988">
        <v>17168</v>
      </c>
    </row>
    <row r="255" spans="2:10">
      <c r="B255" s="988">
        <v>17199</v>
      </c>
      <c r="H255" s="986">
        <v>1.6000000000000001E-3</v>
      </c>
      <c r="I255" s="986"/>
      <c r="J255" s="988">
        <v>17199</v>
      </c>
    </row>
    <row r="256" spans="2:10">
      <c r="B256" s="988">
        <v>17227</v>
      </c>
      <c r="H256" s="986">
        <v>1.8E-3</v>
      </c>
      <c r="I256" s="986"/>
      <c r="J256" s="988">
        <v>17227</v>
      </c>
    </row>
    <row r="257" spans="2:10">
      <c r="B257" s="988">
        <v>17258</v>
      </c>
      <c r="H257" s="986">
        <v>1.6999999999999999E-3</v>
      </c>
      <c r="I257" s="986"/>
      <c r="J257" s="988">
        <v>17258</v>
      </c>
    </row>
    <row r="258" spans="2:10">
      <c r="B258" s="988">
        <v>17288</v>
      </c>
      <c r="H258" s="986">
        <v>1.6999999999999999E-3</v>
      </c>
      <c r="I258" s="986"/>
      <c r="J258" s="988">
        <v>17288</v>
      </c>
    </row>
    <row r="259" spans="2:10">
      <c r="B259" s="988">
        <v>17319</v>
      </c>
      <c r="H259" s="986">
        <v>1.9E-3</v>
      </c>
      <c r="I259" s="986"/>
      <c r="J259" s="988">
        <v>17319</v>
      </c>
    </row>
    <row r="260" spans="2:10">
      <c r="B260" s="988">
        <v>17349</v>
      </c>
      <c r="H260" s="986">
        <v>1.8E-3</v>
      </c>
      <c r="I260" s="986"/>
      <c r="J260" s="988">
        <v>17349</v>
      </c>
    </row>
    <row r="261" spans="2:10">
      <c r="B261" s="988">
        <v>17380</v>
      </c>
      <c r="H261" s="986">
        <v>1.6999999999999999E-3</v>
      </c>
      <c r="I261" s="986"/>
      <c r="J261" s="988">
        <v>17380</v>
      </c>
    </row>
    <row r="262" spans="2:10">
      <c r="B262" s="988">
        <v>17411</v>
      </c>
      <c r="H262" s="986">
        <v>1.8E-3</v>
      </c>
      <c r="I262" s="986"/>
      <c r="J262" s="988">
        <v>17411</v>
      </c>
    </row>
    <row r="263" spans="2:10">
      <c r="B263" s="988">
        <v>17441</v>
      </c>
      <c r="H263" s="986">
        <v>1.8E-3</v>
      </c>
      <c r="I263" s="986"/>
      <c r="J263" s="988">
        <v>17441</v>
      </c>
    </row>
    <row r="264" spans="2:10">
      <c r="B264" s="988">
        <v>17472</v>
      </c>
      <c r="H264" s="986">
        <v>1.6999999999999999E-3</v>
      </c>
      <c r="I264" s="986"/>
      <c r="J264" s="988">
        <v>17472</v>
      </c>
    </row>
    <row r="265" spans="2:10">
      <c r="B265" s="988">
        <v>17502</v>
      </c>
      <c r="H265" s="986">
        <v>2.0999999999999999E-3</v>
      </c>
      <c r="I265" s="986"/>
      <c r="J265" s="988">
        <v>17502</v>
      </c>
    </row>
    <row r="266" spans="2:10">
      <c r="B266" s="988">
        <v>17533</v>
      </c>
      <c r="H266" s="986">
        <v>2E-3</v>
      </c>
      <c r="I266" s="986"/>
      <c r="J266" s="988">
        <v>17533</v>
      </c>
    </row>
    <row r="267" spans="2:10">
      <c r="B267" s="988">
        <v>17564</v>
      </c>
      <c r="H267" s="986">
        <v>1.9E-3</v>
      </c>
      <c r="I267" s="986"/>
      <c r="J267" s="988">
        <v>17564</v>
      </c>
    </row>
    <row r="268" spans="2:10">
      <c r="B268" s="988">
        <v>17593</v>
      </c>
      <c r="H268" s="986">
        <v>2.2000000000000001E-3</v>
      </c>
      <c r="I268" s="986"/>
      <c r="J268" s="988">
        <v>17593</v>
      </c>
    </row>
    <row r="269" spans="2:10">
      <c r="B269" s="988">
        <v>17624</v>
      </c>
      <c r="H269" s="986">
        <v>2E-3</v>
      </c>
      <c r="I269" s="986"/>
      <c r="J269" s="988">
        <v>17624</v>
      </c>
    </row>
    <row r="270" spans="2:10">
      <c r="B270" s="988">
        <v>17654</v>
      </c>
      <c r="H270" s="986">
        <v>1.8E-3</v>
      </c>
      <c r="I270" s="986"/>
      <c r="J270" s="988">
        <v>17654</v>
      </c>
    </row>
    <row r="271" spans="2:10">
      <c r="B271" s="988">
        <v>17685</v>
      </c>
      <c r="H271" s="986">
        <v>2.0999999999999999E-3</v>
      </c>
      <c r="I271" s="986"/>
      <c r="J271" s="988">
        <v>17685</v>
      </c>
    </row>
    <row r="272" spans="2:10">
      <c r="B272" s="988">
        <v>17715</v>
      </c>
      <c r="H272" s="986">
        <v>1.9E-3</v>
      </c>
      <c r="I272" s="986"/>
      <c r="J272" s="988">
        <v>17715</v>
      </c>
    </row>
    <row r="273" spans="2:10">
      <c r="B273" s="988">
        <v>17746</v>
      </c>
      <c r="H273" s="986">
        <v>2.0999999999999999E-3</v>
      </c>
      <c r="I273" s="986"/>
      <c r="J273" s="988">
        <v>17746</v>
      </c>
    </row>
    <row r="274" spans="2:10">
      <c r="B274" s="988">
        <v>17777</v>
      </c>
      <c r="H274" s="986">
        <v>2E-3</v>
      </c>
      <c r="I274" s="986"/>
      <c r="J274" s="988">
        <v>17777</v>
      </c>
    </row>
    <row r="275" spans="2:10">
      <c r="B275" s="988">
        <v>17807</v>
      </c>
      <c r="H275" s="986">
        <v>1.9E-3</v>
      </c>
      <c r="I275" s="986"/>
      <c r="J275" s="988">
        <v>17807</v>
      </c>
    </row>
    <row r="276" spans="2:10">
      <c r="B276" s="988">
        <v>17838</v>
      </c>
      <c r="H276" s="986">
        <v>2.0999999999999999E-3</v>
      </c>
      <c r="I276" s="986"/>
      <c r="J276" s="988">
        <v>17838</v>
      </c>
    </row>
    <row r="277" spans="2:10">
      <c r="B277" s="988">
        <v>17868</v>
      </c>
      <c r="H277" s="986">
        <v>2E-3</v>
      </c>
      <c r="I277" s="986"/>
      <c r="J277" s="988">
        <v>17868</v>
      </c>
    </row>
    <row r="278" spans="2:10">
      <c r="B278" s="988">
        <v>17899</v>
      </c>
      <c r="H278" s="986">
        <v>2E-3</v>
      </c>
      <c r="I278" s="986"/>
      <c r="J278" s="988">
        <v>17899</v>
      </c>
    </row>
    <row r="279" spans="2:10">
      <c r="B279" s="988">
        <v>17930</v>
      </c>
      <c r="H279" s="986">
        <v>1.8E-3</v>
      </c>
      <c r="I279" s="986"/>
      <c r="J279" s="988">
        <v>17930</v>
      </c>
    </row>
    <row r="280" spans="2:10">
      <c r="B280" s="988">
        <v>17958</v>
      </c>
      <c r="H280" s="986">
        <v>1.9E-3</v>
      </c>
      <c r="I280" s="986"/>
      <c r="J280" s="988">
        <v>17958</v>
      </c>
    </row>
    <row r="281" spans="2:10">
      <c r="B281" s="988">
        <v>17989</v>
      </c>
      <c r="H281" s="986">
        <v>1.8E-3</v>
      </c>
      <c r="I281" s="986"/>
      <c r="J281" s="988">
        <v>17989</v>
      </c>
    </row>
    <row r="282" spans="2:10">
      <c r="B282" s="988">
        <v>18019</v>
      </c>
      <c r="H282" s="986">
        <v>2E-3</v>
      </c>
      <c r="I282" s="986"/>
      <c r="J282" s="988">
        <v>18019</v>
      </c>
    </row>
    <row r="283" spans="2:10">
      <c r="B283" s="988">
        <v>18050</v>
      </c>
      <c r="H283" s="986">
        <v>1.9E-3</v>
      </c>
      <c r="I283" s="986"/>
      <c r="J283" s="988">
        <v>18050</v>
      </c>
    </row>
    <row r="284" spans="2:10">
      <c r="B284" s="988">
        <v>18080</v>
      </c>
      <c r="H284" s="986">
        <v>1.6999999999999999E-3</v>
      </c>
      <c r="I284" s="986"/>
      <c r="J284" s="988">
        <v>18080</v>
      </c>
    </row>
    <row r="285" spans="2:10">
      <c r="B285" s="988">
        <v>18111</v>
      </c>
      <c r="H285" s="986">
        <v>1.9E-3</v>
      </c>
      <c r="I285" s="986"/>
      <c r="J285" s="988">
        <v>18111</v>
      </c>
    </row>
    <row r="286" spans="2:10">
      <c r="B286" s="988">
        <v>18142</v>
      </c>
      <c r="H286" s="986">
        <v>1.6999999999999999E-3</v>
      </c>
      <c r="I286" s="986"/>
      <c r="J286" s="988">
        <v>18142</v>
      </c>
    </row>
    <row r="287" spans="2:10">
      <c r="B287" s="988">
        <v>18172</v>
      </c>
      <c r="H287" s="986">
        <v>1.8E-3</v>
      </c>
      <c r="I287" s="986"/>
      <c r="J287" s="988">
        <v>18172</v>
      </c>
    </row>
    <row r="288" spans="2:10">
      <c r="B288" s="988">
        <v>18203</v>
      </c>
      <c r="H288" s="986">
        <v>1.6999999999999999E-3</v>
      </c>
      <c r="I288" s="986"/>
      <c r="J288" s="988">
        <v>18203</v>
      </c>
    </row>
    <row r="289" spans="2:10">
      <c r="B289" s="988">
        <v>18233</v>
      </c>
      <c r="H289" s="986">
        <v>1.6999999999999999E-3</v>
      </c>
      <c r="I289" s="986"/>
      <c r="J289" s="988">
        <v>18233</v>
      </c>
    </row>
    <row r="290" spans="2:10">
      <c r="B290" s="988">
        <v>18264</v>
      </c>
      <c r="H290" s="986">
        <v>1.8E-3</v>
      </c>
      <c r="I290" s="986"/>
      <c r="J290" s="988">
        <v>18264</v>
      </c>
    </row>
    <row r="291" spans="2:10">
      <c r="B291" s="988">
        <v>18295</v>
      </c>
      <c r="H291" s="986">
        <v>1.6000000000000001E-3</v>
      </c>
      <c r="I291" s="986"/>
      <c r="J291" s="988">
        <v>18295</v>
      </c>
    </row>
    <row r="292" spans="2:10">
      <c r="B292" s="988">
        <v>18323</v>
      </c>
      <c r="H292" s="986">
        <v>1.8E-3</v>
      </c>
      <c r="I292" s="986"/>
      <c r="J292" s="988">
        <v>18323</v>
      </c>
    </row>
    <row r="293" spans="2:10">
      <c r="B293" s="988">
        <v>18354</v>
      </c>
      <c r="H293" s="986">
        <v>1.6000000000000001E-3</v>
      </c>
      <c r="I293" s="986"/>
      <c r="J293" s="988">
        <v>18354</v>
      </c>
    </row>
    <row r="294" spans="2:10">
      <c r="B294" s="988">
        <v>18384</v>
      </c>
      <c r="H294" s="986">
        <v>1.9E-3</v>
      </c>
      <c r="I294" s="986"/>
      <c r="J294" s="988">
        <v>18384</v>
      </c>
    </row>
    <row r="295" spans="2:10">
      <c r="B295" s="988">
        <v>18415</v>
      </c>
      <c r="H295" s="986">
        <v>1.6999999999999999E-3</v>
      </c>
      <c r="I295" s="986"/>
      <c r="J295" s="988">
        <v>18415</v>
      </c>
    </row>
    <row r="296" spans="2:10">
      <c r="B296" s="988">
        <v>18445</v>
      </c>
      <c r="H296" s="986">
        <v>1.8E-3</v>
      </c>
      <c r="I296" s="986"/>
      <c r="J296" s="988">
        <v>18445</v>
      </c>
    </row>
    <row r="297" spans="2:10">
      <c r="B297" s="988">
        <v>18476</v>
      </c>
      <c r="H297" s="986">
        <v>1.8E-3</v>
      </c>
      <c r="I297" s="986"/>
      <c r="J297" s="988">
        <v>18476</v>
      </c>
    </row>
    <row r="298" spans="2:10">
      <c r="B298" s="988">
        <v>18507</v>
      </c>
      <c r="H298" s="986">
        <v>1.6999999999999999E-3</v>
      </c>
      <c r="I298" s="986"/>
      <c r="J298" s="988">
        <v>18507</v>
      </c>
    </row>
    <row r="299" spans="2:10">
      <c r="B299" s="988">
        <v>18537</v>
      </c>
      <c r="H299" s="986">
        <v>1.9E-3</v>
      </c>
      <c r="I299" s="986"/>
      <c r="J299" s="988">
        <v>18537</v>
      </c>
    </row>
    <row r="300" spans="2:10">
      <c r="B300" s="988">
        <v>18568</v>
      </c>
      <c r="H300" s="986">
        <v>1.8E-3</v>
      </c>
      <c r="I300" s="986"/>
      <c r="J300" s="988">
        <v>18568</v>
      </c>
    </row>
    <row r="301" spans="2:10">
      <c r="B301" s="988">
        <v>18598</v>
      </c>
      <c r="H301" s="986">
        <v>1.8E-3</v>
      </c>
      <c r="I301" s="986"/>
      <c r="J301" s="988">
        <v>18598</v>
      </c>
    </row>
    <row r="302" spans="2:10">
      <c r="B302" s="988">
        <v>18629</v>
      </c>
      <c r="H302" s="986">
        <v>2E-3</v>
      </c>
      <c r="I302" s="986"/>
      <c r="J302" s="988">
        <v>18629</v>
      </c>
    </row>
    <row r="303" spans="2:10">
      <c r="B303" s="988">
        <v>18660</v>
      </c>
      <c r="H303" s="986">
        <v>1.6999999999999999E-3</v>
      </c>
      <c r="I303" s="986"/>
      <c r="J303" s="988">
        <v>18660</v>
      </c>
    </row>
    <row r="304" spans="2:10">
      <c r="B304" s="988">
        <v>18688</v>
      </c>
      <c r="H304" s="986">
        <v>1.9E-3</v>
      </c>
      <c r="I304" s="986"/>
      <c r="J304" s="988">
        <v>18688</v>
      </c>
    </row>
    <row r="305" spans="2:10">
      <c r="B305" s="988">
        <v>18719</v>
      </c>
      <c r="H305" s="986">
        <v>2E-3</v>
      </c>
      <c r="I305" s="986"/>
      <c r="J305" s="988">
        <v>18719</v>
      </c>
    </row>
    <row r="306" spans="2:10">
      <c r="B306" s="988">
        <v>18749</v>
      </c>
      <c r="H306" s="986">
        <v>2.0999999999999999E-3</v>
      </c>
      <c r="I306" s="986"/>
      <c r="J306" s="988">
        <v>18749</v>
      </c>
    </row>
    <row r="307" spans="2:10">
      <c r="B307" s="988">
        <v>18780</v>
      </c>
      <c r="H307" s="986">
        <v>2E-3</v>
      </c>
      <c r="I307" s="986"/>
      <c r="J307" s="988">
        <v>18780</v>
      </c>
    </row>
    <row r="308" spans="2:10">
      <c r="B308" s="988">
        <v>18810</v>
      </c>
      <c r="H308" s="986">
        <v>2.3E-3</v>
      </c>
      <c r="I308" s="986"/>
      <c r="J308" s="988">
        <v>18810</v>
      </c>
    </row>
    <row r="309" spans="2:10">
      <c r="B309" s="988">
        <v>18841</v>
      </c>
      <c r="H309" s="986">
        <v>2.0999999999999999E-3</v>
      </c>
      <c r="I309" s="986"/>
      <c r="J309" s="988">
        <v>18841</v>
      </c>
    </row>
    <row r="310" spans="2:10">
      <c r="B310" s="988">
        <v>18872</v>
      </c>
      <c r="H310" s="986">
        <v>1.9E-3</v>
      </c>
      <c r="I310" s="986"/>
      <c r="J310" s="988">
        <v>18872</v>
      </c>
    </row>
    <row r="311" spans="2:10">
      <c r="B311" s="988">
        <v>18902</v>
      </c>
      <c r="H311" s="986">
        <v>2.3E-3</v>
      </c>
      <c r="I311" s="986"/>
      <c r="J311" s="988">
        <v>18902</v>
      </c>
    </row>
    <row r="312" spans="2:10">
      <c r="B312" s="988">
        <v>18933</v>
      </c>
      <c r="H312" s="986">
        <v>2.0999999999999999E-3</v>
      </c>
      <c r="I312" s="986"/>
      <c r="J312" s="988">
        <v>18933</v>
      </c>
    </row>
    <row r="313" spans="2:10">
      <c r="B313" s="988">
        <v>18963</v>
      </c>
      <c r="H313" s="986">
        <v>2.2000000000000001E-3</v>
      </c>
      <c r="I313" s="986"/>
      <c r="J313" s="988">
        <v>18963</v>
      </c>
    </row>
    <row r="314" spans="2:10">
      <c r="B314" s="988">
        <v>18994</v>
      </c>
      <c r="H314" s="986">
        <v>2.3E-3</v>
      </c>
      <c r="I314" s="986"/>
      <c r="J314" s="988">
        <v>18994</v>
      </c>
    </row>
    <row r="315" spans="2:10">
      <c r="B315" s="988">
        <v>19025</v>
      </c>
      <c r="H315" s="986">
        <v>2.0999999999999999E-3</v>
      </c>
      <c r="I315" s="986"/>
      <c r="J315" s="988">
        <v>19025</v>
      </c>
    </row>
    <row r="316" spans="2:10">
      <c r="B316" s="988">
        <v>19054</v>
      </c>
      <c r="H316" s="986">
        <v>2.3E-3</v>
      </c>
      <c r="I316" s="986"/>
      <c r="J316" s="988">
        <v>19054</v>
      </c>
    </row>
    <row r="317" spans="2:10">
      <c r="B317" s="988">
        <v>19085</v>
      </c>
      <c r="H317" s="986">
        <v>2.2000000000000001E-3</v>
      </c>
      <c r="I317" s="986"/>
      <c r="J317" s="988">
        <v>19085</v>
      </c>
    </row>
    <row r="318" spans="2:10">
      <c r="B318" s="988">
        <v>19115</v>
      </c>
      <c r="H318" s="986">
        <v>2E-3</v>
      </c>
      <c r="I318" s="986"/>
      <c r="J318" s="988">
        <v>19115</v>
      </c>
    </row>
    <row r="319" spans="2:10">
      <c r="B319" s="988">
        <v>19146</v>
      </c>
      <c r="H319" s="986">
        <v>2.2000000000000001E-3</v>
      </c>
      <c r="I319" s="986"/>
      <c r="J319" s="988">
        <v>19146</v>
      </c>
    </row>
    <row r="320" spans="2:10">
      <c r="B320" s="988">
        <v>19176</v>
      </c>
      <c r="H320" s="986">
        <v>2.2000000000000001E-3</v>
      </c>
      <c r="I320" s="986"/>
      <c r="J320" s="988">
        <v>19176</v>
      </c>
    </row>
    <row r="321" spans="2:10">
      <c r="B321" s="988">
        <v>19207</v>
      </c>
      <c r="H321" s="986">
        <v>2.0999999999999999E-3</v>
      </c>
      <c r="I321" s="986"/>
      <c r="J321" s="988">
        <v>19207</v>
      </c>
    </row>
    <row r="322" spans="2:10">
      <c r="B322" s="988">
        <v>19238</v>
      </c>
      <c r="H322" s="986">
        <v>2.3E-3</v>
      </c>
      <c r="I322" s="986"/>
      <c r="J322" s="988">
        <v>19238</v>
      </c>
    </row>
    <row r="323" spans="2:10">
      <c r="B323" s="988">
        <v>19268</v>
      </c>
      <c r="H323" s="986">
        <v>2.3E-3</v>
      </c>
      <c r="I323" s="986"/>
      <c r="J323" s="988">
        <v>19268</v>
      </c>
    </row>
    <row r="324" spans="2:10">
      <c r="B324" s="988">
        <v>19299</v>
      </c>
      <c r="H324" s="986">
        <v>2.0999999999999999E-3</v>
      </c>
      <c r="I324" s="986"/>
      <c r="J324" s="988">
        <v>19299</v>
      </c>
    </row>
    <row r="325" spans="2:10">
      <c r="B325" s="988">
        <v>19329</v>
      </c>
      <c r="H325" s="986">
        <v>2.3999999999999998E-3</v>
      </c>
      <c r="I325" s="986"/>
      <c r="J325" s="988">
        <v>19329</v>
      </c>
    </row>
    <row r="326" spans="2:10">
      <c r="B326" s="988">
        <v>19360</v>
      </c>
      <c r="H326" s="986">
        <v>2.3E-3</v>
      </c>
      <c r="I326" s="986"/>
      <c r="J326" s="988">
        <v>19360</v>
      </c>
    </row>
    <row r="327" spans="2:10">
      <c r="B327" s="988">
        <v>19391</v>
      </c>
      <c r="H327" s="986">
        <v>2.0999999999999999E-3</v>
      </c>
      <c r="I327" s="986"/>
      <c r="J327" s="988">
        <v>19391</v>
      </c>
    </row>
    <row r="328" spans="2:10">
      <c r="B328" s="988">
        <v>19419</v>
      </c>
      <c r="H328" s="986">
        <v>2.5000000000000001E-3</v>
      </c>
      <c r="I328" s="986"/>
      <c r="J328" s="988">
        <v>19419</v>
      </c>
    </row>
    <row r="329" spans="2:10">
      <c r="B329" s="988">
        <v>19450</v>
      </c>
      <c r="H329" s="986">
        <v>2.3999999999999998E-3</v>
      </c>
      <c r="I329" s="986"/>
      <c r="J329" s="988">
        <v>19450</v>
      </c>
    </row>
    <row r="330" spans="2:10">
      <c r="B330" s="988">
        <v>19480</v>
      </c>
      <c r="H330" s="986">
        <v>2.3999999999999998E-3</v>
      </c>
      <c r="I330" s="986"/>
      <c r="J330" s="988">
        <v>19480</v>
      </c>
    </row>
    <row r="331" spans="2:10">
      <c r="B331" s="988">
        <v>19511</v>
      </c>
      <c r="H331" s="986">
        <v>2.7000000000000001E-3</v>
      </c>
      <c r="I331" s="986"/>
      <c r="J331" s="988">
        <v>19511</v>
      </c>
    </row>
    <row r="332" spans="2:10">
      <c r="B332" s="988">
        <v>19541</v>
      </c>
      <c r="H332" s="986">
        <v>2.5000000000000001E-3</v>
      </c>
      <c r="I332" s="986"/>
      <c r="J332" s="988">
        <v>19541</v>
      </c>
    </row>
    <row r="333" spans="2:10">
      <c r="B333" s="988">
        <v>19572</v>
      </c>
      <c r="H333" s="986">
        <v>2.5000000000000001E-3</v>
      </c>
      <c r="I333" s="986"/>
      <c r="J333" s="988">
        <v>19572</v>
      </c>
    </row>
    <row r="334" spans="2:10">
      <c r="B334" s="988">
        <v>19603</v>
      </c>
      <c r="H334" s="986">
        <v>2.5000000000000001E-3</v>
      </c>
      <c r="I334" s="986"/>
      <c r="J334" s="988">
        <v>19603</v>
      </c>
    </row>
    <row r="335" spans="2:10">
      <c r="B335" s="988">
        <v>19633</v>
      </c>
      <c r="H335" s="986">
        <v>2.3E-3</v>
      </c>
      <c r="I335" s="986"/>
      <c r="J335" s="988">
        <v>19633</v>
      </c>
    </row>
    <row r="336" spans="2:10">
      <c r="B336" s="988">
        <v>19664</v>
      </c>
      <c r="H336" s="986">
        <v>2.3999999999999998E-3</v>
      </c>
      <c r="I336" s="986"/>
      <c r="J336" s="988">
        <v>19664</v>
      </c>
    </row>
    <row r="337" spans="2:10">
      <c r="B337" s="988">
        <v>19694</v>
      </c>
      <c r="H337" s="986">
        <v>2.3999999999999998E-3</v>
      </c>
      <c r="I337" s="986"/>
      <c r="J337" s="988">
        <v>19694</v>
      </c>
    </row>
    <row r="338" spans="2:10">
      <c r="B338" s="988">
        <v>19725</v>
      </c>
      <c r="H338" s="986">
        <v>2.3E-3</v>
      </c>
      <c r="I338" s="986"/>
      <c r="J338" s="988">
        <v>19725</v>
      </c>
    </row>
    <row r="339" spans="2:10">
      <c r="B339" s="988">
        <v>19756</v>
      </c>
      <c r="H339" s="986">
        <v>2.2000000000000001E-3</v>
      </c>
      <c r="I339" s="986"/>
      <c r="J339" s="988">
        <v>19756</v>
      </c>
    </row>
    <row r="340" spans="2:10">
      <c r="B340" s="988">
        <v>19784</v>
      </c>
      <c r="H340" s="986">
        <v>2.5000000000000001E-3</v>
      </c>
      <c r="I340" s="986"/>
      <c r="J340" s="988">
        <v>19784</v>
      </c>
    </row>
    <row r="341" spans="2:10">
      <c r="B341" s="988">
        <v>19815</v>
      </c>
      <c r="H341" s="986">
        <v>2.2000000000000001E-3</v>
      </c>
      <c r="I341" s="986"/>
      <c r="J341" s="988">
        <v>19815</v>
      </c>
    </row>
    <row r="342" spans="2:10">
      <c r="B342" s="988">
        <v>19845</v>
      </c>
      <c r="H342" s="986">
        <v>2E-3</v>
      </c>
      <c r="I342" s="986"/>
      <c r="J342" s="988">
        <v>19845</v>
      </c>
    </row>
    <row r="343" spans="2:10">
      <c r="B343" s="988">
        <v>19876</v>
      </c>
      <c r="H343" s="986">
        <v>2.5000000000000001E-3</v>
      </c>
      <c r="I343" s="986"/>
      <c r="J343" s="988">
        <v>19876</v>
      </c>
    </row>
    <row r="344" spans="2:10">
      <c r="B344" s="988">
        <v>19906</v>
      </c>
      <c r="H344" s="986">
        <v>2.2000000000000001E-3</v>
      </c>
      <c r="I344" s="986"/>
      <c r="J344" s="988">
        <v>19906</v>
      </c>
    </row>
    <row r="345" spans="2:10">
      <c r="B345" s="988">
        <v>19937</v>
      </c>
      <c r="H345" s="986">
        <v>2.3E-3</v>
      </c>
      <c r="I345" s="986"/>
      <c r="J345" s="988">
        <v>19937</v>
      </c>
    </row>
    <row r="346" spans="2:10">
      <c r="B346" s="988">
        <v>19968</v>
      </c>
      <c r="H346" s="986">
        <v>2.2000000000000001E-3</v>
      </c>
      <c r="I346" s="986"/>
      <c r="J346" s="988">
        <v>19968</v>
      </c>
    </row>
    <row r="347" spans="2:10">
      <c r="B347" s="988">
        <v>19998</v>
      </c>
      <c r="H347" s="986">
        <v>2.0999999999999999E-3</v>
      </c>
      <c r="I347" s="986"/>
      <c r="J347" s="988">
        <v>19998</v>
      </c>
    </row>
    <row r="348" spans="2:10">
      <c r="B348" s="988">
        <v>20029</v>
      </c>
      <c r="H348" s="986">
        <v>2.3E-3</v>
      </c>
      <c r="I348" s="986"/>
      <c r="J348" s="988">
        <v>20029</v>
      </c>
    </row>
    <row r="349" spans="2:10">
      <c r="B349" s="988">
        <v>20059</v>
      </c>
      <c r="H349" s="986">
        <v>2.3E-3</v>
      </c>
      <c r="I349" s="986"/>
      <c r="J349" s="988">
        <v>20059</v>
      </c>
    </row>
    <row r="350" spans="2:10">
      <c r="B350" s="988">
        <v>20090</v>
      </c>
      <c r="H350" s="986">
        <v>2.2000000000000001E-3</v>
      </c>
      <c r="I350" s="986"/>
      <c r="J350" s="988">
        <v>20090</v>
      </c>
    </row>
    <row r="351" spans="2:10">
      <c r="B351" s="988">
        <v>20121</v>
      </c>
      <c r="H351" s="986">
        <v>2.2000000000000001E-3</v>
      </c>
      <c r="I351" s="986"/>
      <c r="J351" s="988">
        <v>20121</v>
      </c>
    </row>
    <row r="352" spans="2:10">
      <c r="B352" s="988">
        <v>20149</v>
      </c>
      <c r="H352" s="986">
        <v>2.3999999999999998E-3</v>
      </c>
      <c r="I352" s="986"/>
      <c r="J352" s="988">
        <v>20149</v>
      </c>
    </row>
    <row r="353" spans="2:10">
      <c r="B353" s="988">
        <v>20180</v>
      </c>
      <c r="H353" s="986">
        <v>2.2000000000000001E-3</v>
      </c>
      <c r="I353" s="986"/>
      <c r="J353" s="988">
        <v>20180</v>
      </c>
    </row>
    <row r="354" spans="2:10">
      <c r="B354" s="988">
        <v>20210</v>
      </c>
      <c r="H354" s="986">
        <v>2.5000000000000001E-3</v>
      </c>
      <c r="I354" s="986"/>
      <c r="J354" s="988">
        <v>20210</v>
      </c>
    </row>
    <row r="355" spans="2:10">
      <c r="B355" s="988">
        <v>20241</v>
      </c>
      <c r="H355" s="986">
        <v>2.3E-3</v>
      </c>
      <c r="I355" s="986"/>
      <c r="J355" s="988">
        <v>20241</v>
      </c>
    </row>
    <row r="356" spans="2:10">
      <c r="B356" s="988">
        <v>20271</v>
      </c>
      <c r="H356" s="986">
        <v>2.3E-3</v>
      </c>
      <c r="I356" s="986"/>
      <c r="J356" s="988">
        <v>20271</v>
      </c>
    </row>
    <row r="357" spans="2:10">
      <c r="B357" s="988">
        <v>20302</v>
      </c>
      <c r="H357" s="986">
        <v>2.7000000000000001E-3</v>
      </c>
      <c r="I357" s="986"/>
      <c r="J357" s="988">
        <v>20302</v>
      </c>
    </row>
    <row r="358" spans="2:10">
      <c r="B358" s="988">
        <v>20333</v>
      </c>
      <c r="H358" s="986">
        <v>2.3999999999999998E-3</v>
      </c>
      <c r="I358" s="986"/>
      <c r="J358" s="988">
        <v>20333</v>
      </c>
    </row>
    <row r="359" spans="2:10">
      <c r="B359" s="988">
        <v>20363</v>
      </c>
      <c r="H359" s="986">
        <v>2.5000000000000001E-3</v>
      </c>
      <c r="I359" s="986"/>
      <c r="J359" s="988">
        <v>20363</v>
      </c>
    </row>
    <row r="360" spans="2:10">
      <c r="B360" s="988">
        <v>20394</v>
      </c>
      <c r="H360" s="986">
        <v>2.3999999999999998E-3</v>
      </c>
      <c r="I360" s="986"/>
      <c r="J360" s="988">
        <v>20394</v>
      </c>
    </row>
    <row r="361" spans="2:10">
      <c r="B361" s="988">
        <v>20424</v>
      </c>
      <c r="H361" s="986">
        <v>2.3999999999999998E-3</v>
      </c>
      <c r="I361" s="986"/>
      <c r="J361" s="988">
        <v>20424</v>
      </c>
    </row>
    <row r="362" spans="2:10">
      <c r="B362" s="988">
        <v>20455</v>
      </c>
      <c r="H362" s="986">
        <v>2.5000000000000001E-3</v>
      </c>
      <c r="I362" s="986"/>
      <c r="J362" s="988">
        <v>20455</v>
      </c>
    </row>
    <row r="363" spans="2:10">
      <c r="B363" s="988">
        <v>20486</v>
      </c>
      <c r="H363" s="986">
        <v>2.3E-3</v>
      </c>
      <c r="I363" s="986"/>
      <c r="J363" s="988">
        <v>20486</v>
      </c>
    </row>
    <row r="364" spans="2:10">
      <c r="B364" s="988">
        <v>20515</v>
      </c>
      <c r="H364" s="986">
        <v>2.3E-3</v>
      </c>
      <c r="I364" s="986"/>
      <c r="J364" s="988">
        <v>20515</v>
      </c>
    </row>
    <row r="365" spans="2:10">
      <c r="B365" s="988">
        <v>20546</v>
      </c>
      <c r="H365" s="986">
        <v>2.5999999999999999E-3</v>
      </c>
      <c r="I365" s="986"/>
      <c r="J365" s="988">
        <v>20546</v>
      </c>
    </row>
    <row r="366" spans="2:10">
      <c r="B366" s="988">
        <v>20576</v>
      </c>
      <c r="H366" s="986">
        <v>2.5999999999999999E-3</v>
      </c>
      <c r="I366" s="986"/>
      <c r="J366" s="988">
        <v>20576</v>
      </c>
    </row>
    <row r="367" spans="2:10">
      <c r="B367" s="988">
        <v>20607</v>
      </c>
      <c r="H367" s="986">
        <v>2.3E-3</v>
      </c>
      <c r="I367" s="986"/>
      <c r="J367" s="988">
        <v>20607</v>
      </c>
    </row>
    <row r="368" spans="2:10">
      <c r="B368" s="988">
        <v>20637</v>
      </c>
      <c r="H368" s="986">
        <v>2.5999999999999999E-3</v>
      </c>
      <c r="I368" s="986"/>
      <c r="J368" s="988">
        <v>20637</v>
      </c>
    </row>
    <row r="369" spans="2:10">
      <c r="B369" s="988">
        <v>20668</v>
      </c>
      <c r="H369" s="986">
        <v>2.5999999999999999E-3</v>
      </c>
      <c r="I369" s="986"/>
      <c r="J369" s="988">
        <v>20668</v>
      </c>
    </row>
    <row r="370" spans="2:10">
      <c r="B370" s="988">
        <v>20699</v>
      </c>
      <c r="H370" s="986">
        <v>2.5000000000000001E-3</v>
      </c>
      <c r="I370" s="986"/>
      <c r="J370" s="988">
        <v>20699</v>
      </c>
    </row>
    <row r="371" spans="2:10">
      <c r="B371" s="988">
        <v>20729</v>
      </c>
      <c r="H371" s="986">
        <v>2.8999999999999998E-3</v>
      </c>
      <c r="I371" s="986"/>
      <c r="J371" s="988">
        <v>20729</v>
      </c>
    </row>
    <row r="372" spans="2:10">
      <c r="B372" s="988">
        <v>20760</v>
      </c>
      <c r="H372" s="986">
        <v>2.7000000000000001E-3</v>
      </c>
      <c r="I372" s="986"/>
      <c r="J372" s="988">
        <v>20760</v>
      </c>
    </row>
    <row r="373" spans="2:10">
      <c r="B373" s="988">
        <v>20790</v>
      </c>
      <c r="H373" s="986">
        <v>2.8E-3</v>
      </c>
      <c r="I373" s="986"/>
      <c r="J373" s="988">
        <v>20790</v>
      </c>
    </row>
    <row r="374" spans="2:10">
      <c r="B374" s="988">
        <v>20821</v>
      </c>
      <c r="H374" s="986">
        <v>2.8999999999999998E-3</v>
      </c>
      <c r="I374" s="986"/>
      <c r="J374" s="988">
        <v>20821</v>
      </c>
    </row>
    <row r="375" spans="2:10">
      <c r="B375" s="988">
        <v>20852</v>
      </c>
      <c r="H375" s="986">
        <v>2.5000000000000001E-3</v>
      </c>
      <c r="I375" s="986"/>
      <c r="J375" s="988">
        <v>20852</v>
      </c>
    </row>
    <row r="376" spans="2:10">
      <c r="B376" s="988">
        <v>20880</v>
      </c>
      <c r="H376" s="986">
        <v>2.5999999999999999E-3</v>
      </c>
      <c r="I376" s="986"/>
      <c r="J376" s="988">
        <v>20880</v>
      </c>
    </row>
    <row r="377" spans="2:10">
      <c r="B377" s="988">
        <v>20911</v>
      </c>
      <c r="H377" s="986">
        <v>2.8999999999999998E-3</v>
      </c>
      <c r="I377" s="986"/>
      <c r="J377" s="988">
        <v>20911</v>
      </c>
    </row>
    <row r="378" spans="2:10">
      <c r="B378" s="988">
        <v>20941</v>
      </c>
      <c r="H378" s="986">
        <v>2.8999999999999998E-3</v>
      </c>
      <c r="I378" s="986"/>
      <c r="J378" s="988">
        <v>20941</v>
      </c>
    </row>
    <row r="379" spans="2:10">
      <c r="B379" s="988">
        <v>20972</v>
      </c>
      <c r="H379" s="986">
        <v>2.5000000000000001E-3</v>
      </c>
      <c r="I379" s="986"/>
      <c r="J379" s="988">
        <v>20972</v>
      </c>
    </row>
    <row r="380" spans="2:10">
      <c r="B380" s="988">
        <v>21002</v>
      </c>
      <c r="H380" s="986">
        <v>3.3E-3</v>
      </c>
      <c r="I380" s="986"/>
      <c r="J380" s="988">
        <v>21002</v>
      </c>
    </row>
    <row r="381" spans="2:10">
      <c r="B381" s="988">
        <v>21033</v>
      </c>
      <c r="H381" s="986">
        <v>3.0000000000000001E-3</v>
      </c>
      <c r="I381" s="986"/>
      <c r="J381" s="988">
        <v>21033</v>
      </c>
    </row>
    <row r="382" spans="2:10">
      <c r="B382" s="988">
        <v>21064</v>
      </c>
      <c r="H382" s="986">
        <v>3.0999999999999999E-3</v>
      </c>
      <c r="I382" s="986"/>
      <c r="J382" s="988">
        <v>21064</v>
      </c>
    </row>
    <row r="383" spans="2:10">
      <c r="B383" s="988">
        <v>21094</v>
      </c>
      <c r="H383" s="986">
        <v>3.0999999999999999E-3</v>
      </c>
      <c r="I383" s="986"/>
      <c r="J383" s="988">
        <v>21094</v>
      </c>
    </row>
    <row r="384" spans="2:10">
      <c r="B384" s="988">
        <v>21125</v>
      </c>
      <c r="H384" s="986">
        <v>2.8999999999999998E-3</v>
      </c>
      <c r="I384" s="986"/>
      <c r="J384" s="988">
        <v>21125</v>
      </c>
    </row>
    <row r="385" spans="2:10">
      <c r="B385" s="988">
        <v>21155</v>
      </c>
      <c r="H385" s="986">
        <v>2.8999999999999998E-3</v>
      </c>
      <c r="I385" s="986"/>
      <c r="J385" s="988">
        <v>21155</v>
      </c>
    </row>
    <row r="386" spans="2:10">
      <c r="B386" s="988">
        <v>21186</v>
      </c>
      <c r="H386" s="986">
        <v>2.7000000000000001E-3</v>
      </c>
      <c r="I386" s="986"/>
      <c r="J386" s="988">
        <v>21186</v>
      </c>
    </row>
    <row r="387" spans="2:10">
      <c r="B387" s="988">
        <v>21217</v>
      </c>
      <c r="H387" s="986">
        <v>2.5000000000000001E-3</v>
      </c>
      <c r="I387" s="986"/>
      <c r="J387" s="988">
        <v>21217</v>
      </c>
    </row>
    <row r="388" spans="2:10">
      <c r="B388" s="988">
        <v>21245</v>
      </c>
      <c r="H388" s="986">
        <v>2.7000000000000001E-3</v>
      </c>
      <c r="I388" s="986"/>
      <c r="J388" s="988">
        <v>21245</v>
      </c>
    </row>
    <row r="389" spans="2:10">
      <c r="B389" s="988">
        <v>21276</v>
      </c>
      <c r="H389" s="986">
        <v>2.5999999999999999E-3</v>
      </c>
      <c r="I389" s="986"/>
      <c r="J389" s="988">
        <v>21276</v>
      </c>
    </row>
    <row r="390" spans="2:10">
      <c r="B390" s="988">
        <v>21306</v>
      </c>
      <c r="H390" s="986">
        <v>2.3999999999999998E-3</v>
      </c>
      <c r="I390" s="986"/>
      <c r="J390" s="988">
        <v>21306</v>
      </c>
    </row>
    <row r="391" spans="2:10">
      <c r="B391" s="988">
        <v>21337</v>
      </c>
      <c r="H391" s="986">
        <v>2.7000000000000001E-3</v>
      </c>
      <c r="I391" s="986"/>
      <c r="J391" s="988">
        <v>21337</v>
      </c>
    </row>
    <row r="392" spans="2:10">
      <c r="B392" s="988">
        <v>21367</v>
      </c>
      <c r="H392" s="986">
        <v>2.7000000000000001E-3</v>
      </c>
      <c r="I392" s="986"/>
      <c r="J392" s="988">
        <v>21367</v>
      </c>
    </row>
    <row r="393" spans="2:10">
      <c r="B393" s="988">
        <v>21398</v>
      </c>
      <c r="H393" s="986">
        <v>2.7000000000000001E-3</v>
      </c>
      <c r="I393" s="986"/>
      <c r="J393" s="988">
        <v>21398</v>
      </c>
    </row>
    <row r="394" spans="2:10">
      <c r="B394" s="988">
        <v>21429</v>
      </c>
      <c r="H394" s="986">
        <v>3.2000000000000002E-3</v>
      </c>
      <c r="I394" s="986"/>
      <c r="J394" s="988">
        <v>21429</v>
      </c>
    </row>
    <row r="395" spans="2:10">
      <c r="B395" s="988">
        <v>21459</v>
      </c>
      <c r="H395" s="986">
        <v>3.2000000000000002E-3</v>
      </c>
      <c r="I395" s="986"/>
      <c r="J395" s="988">
        <v>21459</v>
      </c>
    </row>
    <row r="396" spans="2:10">
      <c r="B396" s="988">
        <v>21490</v>
      </c>
      <c r="H396" s="986">
        <v>2.8E-3</v>
      </c>
      <c r="I396" s="986"/>
      <c r="J396" s="988">
        <v>21490</v>
      </c>
    </row>
    <row r="397" spans="2:10">
      <c r="B397" s="988">
        <v>21520</v>
      </c>
      <c r="H397" s="986">
        <v>3.3E-3</v>
      </c>
      <c r="I397" s="986"/>
      <c r="J397" s="988">
        <v>21520</v>
      </c>
    </row>
    <row r="398" spans="2:10">
      <c r="B398" s="988">
        <v>21551</v>
      </c>
      <c r="H398" s="986">
        <v>3.0999999999999999E-3</v>
      </c>
      <c r="I398" s="986"/>
      <c r="J398" s="988">
        <v>21551</v>
      </c>
    </row>
    <row r="399" spans="2:10">
      <c r="B399" s="988">
        <v>21582</v>
      </c>
      <c r="H399" s="986">
        <v>3.0999999999999999E-3</v>
      </c>
      <c r="I399" s="986"/>
      <c r="J399" s="988">
        <v>21582</v>
      </c>
    </row>
    <row r="400" spans="2:10">
      <c r="B400" s="988">
        <v>21610</v>
      </c>
      <c r="H400" s="986">
        <v>3.5000000000000001E-3</v>
      </c>
      <c r="I400" s="986"/>
      <c r="J400" s="988">
        <v>21610</v>
      </c>
    </row>
    <row r="401" spans="2:10">
      <c r="B401" s="988">
        <v>21641</v>
      </c>
      <c r="H401" s="986">
        <v>3.3E-3</v>
      </c>
      <c r="I401" s="986"/>
      <c r="J401" s="988">
        <v>21641</v>
      </c>
    </row>
    <row r="402" spans="2:10">
      <c r="B402" s="988">
        <v>21671</v>
      </c>
      <c r="H402" s="986">
        <v>3.3E-3</v>
      </c>
      <c r="I402" s="986"/>
      <c r="J402" s="988">
        <v>21671</v>
      </c>
    </row>
    <row r="403" spans="2:10">
      <c r="B403" s="988">
        <v>21702</v>
      </c>
      <c r="H403" s="986">
        <v>3.5999999999999999E-3</v>
      </c>
      <c r="I403" s="986"/>
      <c r="J403" s="988">
        <v>21702</v>
      </c>
    </row>
    <row r="404" spans="2:10">
      <c r="B404" s="988">
        <v>21732</v>
      </c>
      <c r="H404" s="986">
        <v>3.5000000000000001E-3</v>
      </c>
      <c r="I404" s="986"/>
      <c r="J404" s="988">
        <v>21732</v>
      </c>
    </row>
    <row r="405" spans="2:10">
      <c r="B405" s="988">
        <v>21763</v>
      </c>
      <c r="H405" s="986">
        <v>3.5000000000000001E-3</v>
      </c>
      <c r="I405" s="986"/>
      <c r="J405" s="988">
        <v>21763</v>
      </c>
    </row>
    <row r="406" spans="2:10">
      <c r="B406" s="988">
        <v>21794</v>
      </c>
      <c r="H406" s="986">
        <v>3.3999999999999998E-3</v>
      </c>
      <c r="I406" s="986"/>
      <c r="J406" s="988">
        <v>21794</v>
      </c>
    </row>
    <row r="407" spans="2:10">
      <c r="B407" s="988">
        <v>21824</v>
      </c>
      <c r="H407" s="986">
        <v>3.5000000000000001E-3</v>
      </c>
      <c r="I407" s="986"/>
      <c r="J407" s="988">
        <v>21824</v>
      </c>
    </row>
    <row r="408" spans="2:10">
      <c r="B408" s="988">
        <v>21855</v>
      </c>
      <c r="H408" s="986">
        <v>3.5000000000000001E-3</v>
      </c>
      <c r="I408" s="986"/>
      <c r="J408" s="988">
        <v>21855</v>
      </c>
    </row>
    <row r="409" spans="2:10">
      <c r="B409" s="988">
        <v>21885</v>
      </c>
      <c r="H409" s="986">
        <v>3.5999999999999999E-3</v>
      </c>
      <c r="I409" s="986"/>
      <c r="J409" s="988">
        <v>21885</v>
      </c>
    </row>
    <row r="410" spans="2:10">
      <c r="B410" s="988">
        <v>21916</v>
      </c>
      <c r="H410" s="986">
        <v>3.5000000000000001E-3</v>
      </c>
      <c r="I410" s="986"/>
      <c r="J410" s="988">
        <v>21916</v>
      </c>
    </row>
    <row r="411" spans="2:10">
      <c r="B411" s="988">
        <v>21947</v>
      </c>
      <c r="H411" s="986">
        <v>3.7000000000000002E-3</v>
      </c>
      <c r="I411" s="986"/>
      <c r="J411" s="988">
        <v>21947</v>
      </c>
    </row>
    <row r="412" spans="2:10">
      <c r="B412" s="988">
        <v>21976</v>
      </c>
      <c r="H412" s="986">
        <v>3.5999999999999999E-3</v>
      </c>
      <c r="I412" s="986"/>
      <c r="J412" s="988">
        <v>21976</v>
      </c>
    </row>
    <row r="413" spans="2:10">
      <c r="B413" s="988">
        <v>22007</v>
      </c>
      <c r="H413" s="986">
        <v>3.2000000000000002E-3</v>
      </c>
      <c r="I413" s="986"/>
      <c r="J413" s="988">
        <v>22007</v>
      </c>
    </row>
    <row r="414" spans="2:10">
      <c r="B414" s="988">
        <v>22037</v>
      </c>
      <c r="H414" s="986">
        <v>3.7000000000000002E-3</v>
      </c>
      <c r="I414" s="986"/>
      <c r="J414" s="988">
        <v>22037</v>
      </c>
    </row>
    <row r="415" spans="2:10">
      <c r="B415" s="988">
        <v>22068</v>
      </c>
      <c r="H415" s="986">
        <v>3.3999999999999998E-3</v>
      </c>
      <c r="I415" s="986"/>
      <c r="J415" s="988">
        <v>22068</v>
      </c>
    </row>
    <row r="416" spans="2:10">
      <c r="B416" s="988">
        <v>22098</v>
      </c>
      <c r="H416" s="986">
        <v>3.2000000000000002E-3</v>
      </c>
      <c r="I416" s="986"/>
      <c r="J416" s="988">
        <v>22098</v>
      </c>
    </row>
    <row r="417" spans="2:10">
      <c r="B417" s="988">
        <v>22129</v>
      </c>
      <c r="H417" s="986">
        <v>3.3999999999999998E-3</v>
      </c>
      <c r="I417" s="986"/>
      <c r="J417" s="988">
        <v>22129</v>
      </c>
    </row>
    <row r="418" spans="2:10">
      <c r="B418" s="988">
        <v>22160</v>
      </c>
      <c r="H418" s="986">
        <v>3.2000000000000002E-3</v>
      </c>
      <c r="I418" s="986"/>
      <c r="J418" s="988">
        <v>22160</v>
      </c>
    </row>
    <row r="419" spans="2:10">
      <c r="B419" s="988">
        <v>22190</v>
      </c>
      <c r="H419" s="986">
        <v>3.3E-3</v>
      </c>
      <c r="I419" s="986"/>
      <c r="J419" s="988">
        <v>22190</v>
      </c>
    </row>
    <row r="420" spans="2:10">
      <c r="B420" s="988">
        <v>22221</v>
      </c>
      <c r="H420" s="986">
        <v>3.2000000000000002E-3</v>
      </c>
      <c r="I420" s="986"/>
      <c r="J420" s="988">
        <v>22221</v>
      </c>
    </row>
    <row r="421" spans="2:10">
      <c r="B421" s="988">
        <v>22251</v>
      </c>
      <c r="H421" s="986">
        <v>3.3E-3</v>
      </c>
      <c r="I421" s="986"/>
      <c r="J421" s="988">
        <v>22251</v>
      </c>
    </row>
    <row r="422" spans="2:10">
      <c r="B422" s="988">
        <v>22282</v>
      </c>
      <c r="H422" s="986">
        <v>3.3E-3</v>
      </c>
      <c r="I422" s="986"/>
      <c r="J422" s="988">
        <v>22282</v>
      </c>
    </row>
    <row r="423" spans="2:10">
      <c r="B423" s="988">
        <v>22313</v>
      </c>
      <c r="H423" s="986">
        <v>3.0000000000000001E-3</v>
      </c>
      <c r="I423" s="986"/>
      <c r="J423" s="988">
        <v>22313</v>
      </c>
    </row>
    <row r="424" spans="2:10">
      <c r="B424" s="988">
        <v>22341</v>
      </c>
      <c r="H424" s="986">
        <v>3.0999999999999999E-3</v>
      </c>
      <c r="I424" s="986"/>
      <c r="J424" s="988">
        <v>22341</v>
      </c>
    </row>
    <row r="425" spans="2:10">
      <c r="B425" s="988">
        <v>22372</v>
      </c>
      <c r="H425" s="986">
        <v>3.0999999999999999E-3</v>
      </c>
      <c r="I425" s="986"/>
      <c r="J425" s="988">
        <v>22372</v>
      </c>
    </row>
    <row r="426" spans="2:10">
      <c r="B426" s="988">
        <v>22402</v>
      </c>
      <c r="H426" s="986">
        <v>3.3999999999999998E-3</v>
      </c>
      <c r="I426" s="986"/>
      <c r="J426" s="988">
        <v>22402</v>
      </c>
    </row>
    <row r="427" spans="2:10">
      <c r="B427" s="988">
        <v>22433</v>
      </c>
      <c r="H427" s="986">
        <v>3.2000000000000002E-3</v>
      </c>
      <c r="I427" s="986"/>
      <c r="J427" s="988">
        <v>22433</v>
      </c>
    </row>
    <row r="428" spans="2:10">
      <c r="B428" s="988">
        <v>22463</v>
      </c>
      <c r="H428" s="986">
        <v>3.3E-3</v>
      </c>
      <c r="I428" s="986"/>
      <c r="J428" s="988">
        <v>22463</v>
      </c>
    </row>
    <row r="429" spans="2:10">
      <c r="B429" s="988">
        <v>22494</v>
      </c>
      <c r="H429" s="986">
        <v>3.3E-3</v>
      </c>
      <c r="I429" s="986"/>
      <c r="J429" s="988">
        <v>22494</v>
      </c>
    </row>
    <row r="430" spans="2:10">
      <c r="B430" s="988">
        <v>22525</v>
      </c>
      <c r="H430" s="986">
        <v>3.2000000000000002E-3</v>
      </c>
      <c r="I430" s="986"/>
      <c r="J430" s="988">
        <v>22525</v>
      </c>
    </row>
    <row r="431" spans="2:10">
      <c r="B431" s="988">
        <v>22555</v>
      </c>
      <c r="H431" s="986">
        <v>3.3999999999999998E-3</v>
      </c>
      <c r="I431" s="986"/>
      <c r="J431" s="988">
        <v>22555</v>
      </c>
    </row>
    <row r="432" spans="2:10">
      <c r="B432" s="988">
        <v>22586</v>
      </c>
      <c r="H432" s="986">
        <v>3.2000000000000002E-3</v>
      </c>
      <c r="I432" s="986"/>
      <c r="J432" s="988">
        <v>22586</v>
      </c>
    </row>
    <row r="433" spans="2:10">
      <c r="B433" s="988">
        <v>22616</v>
      </c>
      <c r="H433" s="986">
        <v>3.0999999999999999E-3</v>
      </c>
      <c r="I433" s="986"/>
      <c r="J433" s="988">
        <v>22616</v>
      </c>
    </row>
    <row r="434" spans="2:10">
      <c r="B434" s="988">
        <v>22647</v>
      </c>
      <c r="H434" s="986">
        <v>3.7000000000000002E-3</v>
      </c>
      <c r="I434" s="986"/>
      <c r="J434" s="988">
        <v>22647</v>
      </c>
    </row>
    <row r="435" spans="2:10">
      <c r="B435" s="988">
        <v>22678</v>
      </c>
      <c r="H435" s="986">
        <v>3.2000000000000002E-3</v>
      </c>
      <c r="I435" s="986"/>
      <c r="J435" s="988">
        <v>22678</v>
      </c>
    </row>
    <row r="436" spans="2:10">
      <c r="B436" s="988">
        <v>22706</v>
      </c>
      <c r="H436" s="986">
        <v>3.3E-3</v>
      </c>
      <c r="I436" s="986"/>
      <c r="J436" s="988">
        <v>22706</v>
      </c>
    </row>
    <row r="437" spans="2:10">
      <c r="B437" s="988">
        <v>22737</v>
      </c>
      <c r="H437" s="986">
        <v>3.3E-3</v>
      </c>
      <c r="I437" s="986"/>
      <c r="J437" s="988">
        <v>22737</v>
      </c>
    </row>
    <row r="438" spans="2:10">
      <c r="B438" s="988">
        <v>22767</v>
      </c>
      <c r="H438" s="986">
        <v>3.2000000000000002E-3</v>
      </c>
      <c r="I438" s="986"/>
      <c r="J438" s="988">
        <v>22767</v>
      </c>
    </row>
    <row r="439" spans="2:10">
      <c r="B439" s="988">
        <v>22798</v>
      </c>
      <c r="H439" s="986">
        <v>3.0000000000000001E-3</v>
      </c>
      <c r="I439" s="986"/>
      <c r="J439" s="988">
        <v>22798</v>
      </c>
    </row>
    <row r="440" spans="2:10">
      <c r="B440" s="988">
        <v>22828</v>
      </c>
      <c r="H440" s="986">
        <v>3.3999999999999998E-3</v>
      </c>
      <c r="I440" s="986"/>
      <c r="J440" s="988">
        <v>22828</v>
      </c>
    </row>
    <row r="441" spans="2:10">
      <c r="B441" s="988">
        <v>22859</v>
      </c>
      <c r="H441" s="986">
        <v>3.3999999999999998E-3</v>
      </c>
      <c r="I441" s="986"/>
      <c r="J441" s="988">
        <v>22859</v>
      </c>
    </row>
    <row r="442" spans="2:10">
      <c r="B442" s="988">
        <v>22890</v>
      </c>
      <c r="H442" s="986">
        <v>3.0000000000000001E-3</v>
      </c>
      <c r="I442" s="986"/>
      <c r="J442" s="988">
        <v>22890</v>
      </c>
    </row>
    <row r="443" spans="2:10">
      <c r="B443" s="988">
        <v>22920</v>
      </c>
      <c r="H443" s="986">
        <v>3.5000000000000001E-3</v>
      </c>
      <c r="I443" s="986"/>
      <c r="J443" s="988">
        <v>22920</v>
      </c>
    </row>
    <row r="444" spans="2:10">
      <c r="B444" s="988">
        <v>22951</v>
      </c>
      <c r="H444" s="986">
        <v>3.0999999999999999E-3</v>
      </c>
      <c r="I444" s="986"/>
      <c r="J444" s="988">
        <v>22951</v>
      </c>
    </row>
    <row r="445" spans="2:10">
      <c r="B445" s="988">
        <v>22981</v>
      </c>
      <c r="H445" s="986">
        <v>3.2000000000000002E-3</v>
      </c>
      <c r="I445" s="986"/>
      <c r="J445" s="988">
        <v>22981</v>
      </c>
    </row>
    <row r="446" spans="2:10">
      <c r="B446" s="988">
        <v>23012</v>
      </c>
      <c r="H446" s="986">
        <v>3.2000000000000002E-3</v>
      </c>
      <c r="I446" s="986"/>
      <c r="J446" s="988">
        <v>23012</v>
      </c>
    </row>
    <row r="447" spans="2:10">
      <c r="B447" s="988">
        <v>23043</v>
      </c>
      <c r="H447" s="986">
        <v>2.8999999999999998E-3</v>
      </c>
      <c r="I447" s="986"/>
      <c r="J447" s="988">
        <v>23043</v>
      </c>
    </row>
    <row r="448" spans="2:10">
      <c r="B448" s="988">
        <v>23071</v>
      </c>
      <c r="H448" s="986">
        <v>3.0999999999999999E-3</v>
      </c>
      <c r="I448" s="986"/>
      <c r="J448" s="988">
        <v>23071</v>
      </c>
    </row>
    <row r="449" spans="2:10">
      <c r="B449" s="988">
        <v>23102</v>
      </c>
      <c r="H449" s="986">
        <v>3.3999999999999998E-3</v>
      </c>
      <c r="I449" s="986"/>
      <c r="J449" s="988">
        <v>23102</v>
      </c>
    </row>
    <row r="450" spans="2:10">
      <c r="B450" s="988">
        <v>23132</v>
      </c>
      <c r="H450" s="986">
        <v>3.3E-3</v>
      </c>
      <c r="I450" s="986"/>
      <c r="J450" s="988">
        <v>23132</v>
      </c>
    </row>
    <row r="451" spans="2:10">
      <c r="B451" s="988">
        <v>23163</v>
      </c>
      <c r="H451" s="986">
        <v>3.0000000000000001E-3</v>
      </c>
      <c r="I451" s="986"/>
      <c r="J451" s="988">
        <v>23163</v>
      </c>
    </row>
    <row r="452" spans="2:10">
      <c r="B452" s="988">
        <v>23193</v>
      </c>
      <c r="H452" s="986">
        <v>3.5999999999999999E-3</v>
      </c>
      <c r="I452" s="986"/>
      <c r="J452" s="988">
        <v>23193</v>
      </c>
    </row>
    <row r="453" spans="2:10">
      <c r="B453" s="988">
        <v>23224</v>
      </c>
      <c r="H453" s="986">
        <v>3.3E-3</v>
      </c>
      <c r="I453" s="986"/>
      <c r="J453" s="988">
        <v>23224</v>
      </c>
    </row>
    <row r="454" spans="2:10">
      <c r="B454" s="988">
        <v>23255</v>
      </c>
      <c r="H454" s="986">
        <v>3.3999999999999998E-3</v>
      </c>
      <c r="I454" s="986"/>
      <c r="J454" s="988">
        <v>23255</v>
      </c>
    </row>
    <row r="455" spans="2:10">
      <c r="B455" s="988">
        <v>23285</v>
      </c>
      <c r="H455" s="986">
        <v>3.3999999999999998E-3</v>
      </c>
      <c r="I455" s="986"/>
      <c r="J455" s="988">
        <v>23285</v>
      </c>
    </row>
    <row r="456" spans="2:10">
      <c r="B456" s="988">
        <v>23316</v>
      </c>
      <c r="H456" s="986">
        <v>3.2000000000000002E-3</v>
      </c>
      <c r="I456" s="986"/>
      <c r="J456" s="988">
        <v>23316</v>
      </c>
    </row>
    <row r="457" spans="2:10">
      <c r="B457" s="988">
        <v>23346</v>
      </c>
      <c r="H457" s="986">
        <v>3.5999999999999999E-3</v>
      </c>
      <c r="I457" s="986"/>
      <c r="J457" s="988">
        <v>23346</v>
      </c>
    </row>
    <row r="458" spans="2:10">
      <c r="B458" s="988">
        <v>23377</v>
      </c>
      <c r="H458" s="986">
        <v>3.5000000000000001E-3</v>
      </c>
      <c r="I458" s="986"/>
      <c r="J458" s="988">
        <v>23377</v>
      </c>
    </row>
    <row r="459" spans="2:10">
      <c r="B459" s="988">
        <v>23408</v>
      </c>
      <c r="H459" s="986">
        <v>3.2000000000000002E-3</v>
      </c>
      <c r="I459" s="986"/>
      <c r="J459" s="988">
        <v>23408</v>
      </c>
    </row>
    <row r="460" spans="2:10">
      <c r="B460" s="988">
        <v>23437</v>
      </c>
      <c r="H460" s="986">
        <v>3.7000000000000002E-3</v>
      </c>
      <c r="I460" s="986"/>
      <c r="J460" s="988">
        <v>23437</v>
      </c>
    </row>
    <row r="461" spans="2:10">
      <c r="B461" s="988">
        <v>23468</v>
      </c>
      <c r="H461" s="986">
        <v>3.5000000000000001E-3</v>
      </c>
      <c r="I461" s="986"/>
      <c r="J461" s="988">
        <v>23468</v>
      </c>
    </row>
    <row r="462" spans="2:10">
      <c r="B462" s="988">
        <v>23498</v>
      </c>
      <c r="H462" s="986">
        <v>3.2000000000000002E-3</v>
      </c>
      <c r="I462" s="986"/>
      <c r="J462" s="988">
        <v>23498</v>
      </c>
    </row>
    <row r="463" spans="2:10">
      <c r="B463" s="988">
        <v>23529</v>
      </c>
      <c r="H463" s="986">
        <v>3.8E-3</v>
      </c>
      <c r="I463" s="986"/>
      <c r="J463" s="988">
        <v>23529</v>
      </c>
    </row>
    <row r="464" spans="2:10">
      <c r="B464" s="988">
        <v>23559</v>
      </c>
      <c r="H464" s="986">
        <v>3.5000000000000001E-3</v>
      </c>
      <c r="I464" s="986"/>
      <c r="J464" s="988">
        <v>23559</v>
      </c>
    </row>
    <row r="465" spans="2:10">
      <c r="B465" s="988">
        <v>23590</v>
      </c>
      <c r="H465" s="986">
        <v>3.5000000000000001E-3</v>
      </c>
      <c r="I465" s="986"/>
      <c r="J465" s="988">
        <v>23590</v>
      </c>
    </row>
    <row r="466" spans="2:10">
      <c r="B466" s="988">
        <v>23621</v>
      </c>
      <c r="H466" s="986">
        <v>3.3999999999999998E-3</v>
      </c>
      <c r="I466" s="986"/>
      <c r="J466" s="988">
        <v>23621</v>
      </c>
    </row>
    <row r="467" spans="2:10">
      <c r="B467" s="988">
        <v>23651</v>
      </c>
      <c r="H467" s="986">
        <v>3.3999999999999998E-3</v>
      </c>
      <c r="I467" s="986"/>
      <c r="J467" s="988">
        <v>23651</v>
      </c>
    </row>
    <row r="468" spans="2:10">
      <c r="B468" s="988">
        <v>23682</v>
      </c>
      <c r="H468" s="986">
        <v>3.5000000000000001E-3</v>
      </c>
      <c r="I468" s="986"/>
      <c r="J468" s="988">
        <v>23682</v>
      </c>
    </row>
    <row r="469" spans="2:10">
      <c r="B469" s="988">
        <v>23712</v>
      </c>
      <c r="H469" s="986">
        <v>3.5000000000000001E-3</v>
      </c>
      <c r="I469" s="986"/>
      <c r="J469" s="988">
        <v>23712</v>
      </c>
    </row>
    <row r="470" spans="2:10">
      <c r="B470" s="988">
        <v>23743</v>
      </c>
      <c r="H470" s="986">
        <v>3.3E-3</v>
      </c>
      <c r="I470" s="986"/>
      <c r="J470" s="988">
        <v>23743</v>
      </c>
    </row>
    <row r="471" spans="2:10">
      <c r="B471" s="988">
        <v>23774</v>
      </c>
      <c r="H471" s="986">
        <v>3.2000000000000002E-3</v>
      </c>
      <c r="I471" s="986"/>
      <c r="J471" s="988">
        <v>23774</v>
      </c>
    </row>
    <row r="472" spans="2:10">
      <c r="B472" s="988">
        <v>23802</v>
      </c>
      <c r="H472" s="986">
        <v>3.8E-3</v>
      </c>
      <c r="I472" s="986"/>
      <c r="J472" s="988">
        <v>23802</v>
      </c>
    </row>
    <row r="473" spans="2:10">
      <c r="B473" s="988">
        <v>23833</v>
      </c>
      <c r="H473" s="986">
        <v>3.3E-3</v>
      </c>
      <c r="I473" s="986"/>
      <c r="J473" s="988">
        <v>23833</v>
      </c>
    </row>
    <row r="474" spans="2:10">
      <c r="B474" s="988">
        <v>23863</v>
      </c>
      <c r="H474" s="986">
        <v>3.3E-3</v>
      </c>
      <c r="I474" s="986"/>
      <c r="J474" s="988">
        <v>23863</v>
      </c>
    </row>
    <row r="475" spans="2:10">
      <c r="B475" s="988">
        <v>23894</v>
      </c>
      <c r="H475" s="986">
        <v>3.8E-3</v>
      </c>
      <c r="I475" s="986"/>
      <c r="J475" s="988">
        <v>23894</v>
      </c>
    </row>
    <row r="476" spans="2:10">
      <c r="B476" s="988">
        <v>23924</v>
      </c>
      <c r="H476" s="986">
        <v>3.3999999999999998E-3</v>
      </c>
      <c r="I476" s="986"/>
      <c r="J476" s="988">
        <v>23924</v>
      </c>
    </row>
    <row r="477" spans="2:10">
      <c r="B477" s="988">
        <v>23955</v>
      </c>
      <c r="H477" s="986">
        <v>3.7000000000000002E-3</v>
      </c>
      <c r="I477" s="986"/>
      <c r="J477" s="988">
        <v>23955</v>
      </c>
    </row>
    <row r="478" spans="2:10">
      <c r="B478" s="988">
        <v>23986</v>
      </c>
      <c r="H478" s="986">
        <v>3.5000000000000001E-3</v>
      </c>
      <c r="I478" s="986"/>
      <c r="J478" s="988">
        <v>23986</v>
      </c>
    </row>
    <row r="479" spans="2:10">
      <c r="B479" s="988">
        <v>24016</v>
      </c>
      <c r="H479" s="986">
        <v>3.3999999999999998E-3</v>
      </c>
      <c r="I479" s="986"/>
      <c r="J479" s="988">
        <v>24016</v>
      </c>
    </row>
    <row r="480" spans="2:10">
      <c r="B480" s="988">
        <v>24047</v>
      </c>
      <c r="H480" s="986">
        <v>3.7000000000000002E-3</v>
      </c>
      <c r="I480" s="986"/>
      <c r="J480" s="988">
        <v>24047</v>
      </c>
    </row>
    <row r="481" spans="2:10">
      <c r="B481" s="988">
        <v>24077</v>
      </c>
      <c r="H481" s="986">
        <v>3.7000000000000002E-3</v>
      </c>
      <c r="I481" s="986"/>
      <c r="J481" s="988">
        <v>24077</v>
      </c>
    </row>
    <row r="482" spans="2:10">
      <c r="B482" s="988">
        <v>24108</v>
      </c>
      <c r="H482" s="986">
        <v>3.8E-3</v>
      </c>
      <c r="I482" s="986"/>
      <c r="J482" s="988">
        <v>24108</v>
      </c>
    </row>
    <row r="483" spans="2:10">
      <c r="B483" s="988">
        <v>24139</v>
      </c>
      <c r="H483" s="986">
        <v>3.3999999999999998E-3</v>
      </c>
      <c r="I483" s="986"/>
      <c r="J483" s="988">
        <v>24139</v>
      </c>
    </row>
    <row r="484" spans="2:10">
      <c r="B484" s="988">
        <v>24167</v>
      </c>
      <c r="H484" s="986">
        <v>4.0000000000000001E-3</v>
      </c>
      <c r="I484" s="986"/>
      <c r="J484" s="988">
        <v>24167</v>
      </c>
    </row>
    <row r="485" spans="2:10">
      <c r="B485" s="988">
        <v>24198</v>
      </c>
      <c r="H485" s="986">
        <v>3.5999999999999999E-3</v>
      </c>
      <c r="I485" s="986"/>
      <c r="J485" s="988">
        <v>24198</v>
      </c>
    </row>
    <row r="486" spans="2:10">
      <c r="B486" s="988">
        <v>24228</v>
      </c>
      <c r="H486" s="986">
        <v>4.1000000000000003E-3</v>
      </c>
      <c r="I486" s="986"/>
      <c r="J486" s="988">
        <v>24228</v>
      </c>
    </row>
    <row r="487" spans="2:10">
      <c r="B487" s="988">
        <v>24259</v>
      </c>
      <c r="H487" s="986">
        <v>3.8999999999999998E-3</v>
      </c>
      <c r="I487" s="986"/>
      <c r="J487" s="988">
        <v>24259</v>
      </c>
    </row>
    <row r="488" spans="2:10">
      <c r="B488" s="988">
        <v>24289</v>
      </c>
      <c r="H488" s="986">
        <v>3.8E-3</v>
      </c>
      <c r="I488" s="986"/>
      <c r="J488" s="988">
        <v>24289</v>
      </c>
    </row>
    <row r="489" spans="2:10">
      <c r="B489" s="988">
        <v>24320</v>
      </c>
      <c r="H489" s="986">
        <v>4.3E-3</v>
      </c>
      <c r="I489" s="986"/>
      <c r="J489" s="988">
        <v>24320</v>
      </c>
    </row>
    <row r="490" spans="2:10">
      <c r="B490" s="988">
        <v>24351</v>
      </c>
      <c r="H490" s="986">
        <v>4.1000000000000003E-3</v>
      </c>
      <c r="I490" s="986"/>
      <c r="J490" s="988">
        <v>24351</v>
      </c>
    </row>
    <row r="491" spans="2:10">
      <c r="B491" s="988">
        <v>24381</v>
      </c>
      <c r="H491" s="986">
        <v>4.0000000000000001E-3</v>
      </c>
      <c r="I491" s="986"/>
      <c r="J491" s="988">
        <v>24381</v>
      </c>
    </row>
    <row r="492" spans="2:10">
      <c r="B492" s="988">
        <v>24412</v>
      </c>
      <c r="H492" s="986">
        <v>3.8E-3</v>
      </c>
      <c r="I492" s="986"/>
      <c r="J492" s="988">
        <v>24412</v>
      </c>
    </row>
    <row r="493" spans="2:10">
      <c r="B493" s="988">
        <v>24442</v>
      </c>
      <c r="H493" s="986">
        <v>3.8999999999999998E-3</v>
      </c>
      <c r="I493" s="986"/>
      <c r="J493" s="988">
        <v>24442</v>
      </c>
    </row>
    <row r="494" spans="2:10">
      <c r="B494" s="988">
        <v>24473</v>
      </c>
      <c r="H494" s="986">
        <v>4.0000000000000001E-3</v>
      </c>
      <c r="I494" s="986"/>
      <c r="J494" s="988">
        <v>24473</v>
      </c>
    </row>
    <row r="495" spans="2:10">
      <c r="B495" s="988">
        <v>24504</v>
      </c>
      <c r="H495" s="986">
        <v>3.3999999999999998E-3</v>
      </c>
      <c r="I495" s="986"/>
      <c r="J495" s="988">
        <v>24504</v>
      </c>
    </row>
    <row r="496" spans="2:10">
      <c r="B496" s="988">
        <v>24532</v>
      </c>
      <c r="H496" s="986">
        <v>3.8999999999999998E-3</v>
      </c>
      <c r="I496" s="986"/>
      <c r="J496" s="988">
        <v>24532</v>
      </c>
    </row>
    <row r="497" spans="2:10">
      <c r="B497" s="988">
        <v>24563</v>
      </c>
      <c r="H497" s="986">
        <v>3.5000000000000001E-3</v>
      </c>
      <c r="I497" s="986"/>
      <c r="J497" s="988">
        <v>24563</v>
      </c>
    </row>
    <row r="498" spans="2:10">
      <c r="B498" s="988">
        <v>24593</v>
      </c>
      <c r="H498" s="986">
        <v>4.3E-3</v>
      </c>
      <c r="I498" s="986"/>
      <c r="J498" s="988">
        <v>24593</v>
      </c>
    </row>
    <row r="499" spans="2:10">
      <c r="B499" s="988">
        <v>24624</v>
      </c>
      <c r="H499" s="986">
        <v>3.8999999999999998E-3</v>
      </c>
      <c r="I499" s="986"/>
      <c r="J499" s="988">
        <v>24624</v>
      </c>
    </row>
    <row r="500" spans="2:10">
      <c r="B500" s="988">
        <v>24654</v>
      </c>
      <c r="H500" s="986">
        <v>4.3E-3</v>
      </c>
      <c r="I500" s="986"/>
      <c r="J500" s="988">
        <v>24654</v>
      </c>
    </row>
    <row r="501" spans="2:10">
      <c r="B501" s="988">
        <v>24685</v>
      </c>
      <c r="H501" s="986">
        <v>4.1999999999999997E-3</v>
      </c>
      <c r="I501" s="986"/>
      <c r="J501" s="988">
        <v>24685</v>
      </c>
    </row>
    <row r="502" spans="2:10">
      <c r="B502" s="988">
        <v>24716</v>
      </c>
      <c r="H502" s="986">
        <v>4.0000000000000001E-3</v>
      </c>
      <c r="I502" s="986"/>
      <c r="J502" s="988">
        <v>24716</v>
      </c>
    </row>
    <row r="503" spans="2:10">
      <c r="B503" s="988">
        <v>24746</v>
      </c>
      <c r="H503" s="986">
        <v>4.4999999999999997E-3</v>
      </c>
      <c r="I503" s="986"/>
      <c r="J503" s="988">
        <v>24746</v>
      </c>
    </row>
    <row r="504" spans="2:10">
      <c r="B504" s="988">
        <v>24777</v>
      </c>
      <c r="H504" s="986">
        <v>4.4999999999999997E-3</v>
      </c>
      <c r="I504" s="986"/>
      <c r="J504" s="988">
        <v>24777</v>
      </c>
    </row>
    <row r="505" spans="2:10">
      <c r="B505" s="988">
        <v>24807</v>
      </c>
      <c r="H505" s="986">
        <v>4.4000000000000003E-3</v>
      </c>
      <c r="I505" s="986"/>
      <c r="J505" s="988">
        <v>24807</v>
      </c>
    </row>
    <row r="506" spans="2:10">
      <c r="B506" s="988">
        <v>24838</v>
      </c>
      <c r="H506" s="986">
        <v>5.0000000000000001E-3</v>
      </c>
      <c r="I506" s="986"/>
      <c r="J506" s="988">
        <v>24838</v>
      </c>
    </row>
    <row r="507" spans="2:10">
      <c r="B507" s="988">
        <v>24869</v>
      </c>
      <c r="H507" s="986">
        <v>4.1999999999999997E-3</v>
      </c>
      <c r="I507" s="986"/>
      <c r="J507" s="988">
        <v>24869</v>
      </c>
    </row>
    <row r="508" spans="2:10">
      <c r="B508" s="988">
        <v>24898</v>
      </c>
      <c r="H508" s="986">
        <v>4.3E-3</v>
      </c>
      <c r="I508" s="986"/>
      <c r="J508" s="988">
        <v>24898</v>
      </c>
    </row>
    <row r="509" spans="2:10">
      <c r="B509" s="988">
        <v>24929</v>
      </c>
      <c r="H509" s="986">
        <v>4.8999999999999998E-3</v>
      </c>
      <c r="I509" s="986"/>
      <c r="J509" s="988">
        <v>24929</v>
      </c>
    </row>
    <row r="510" spans="2:10">
      <c r="B510" s="988">
        <v>24959</v>
      </c>
      <c r="H510" s="986">
        <v>4.5999999999999999E-3</v>
      </c>
      <c r="I510" s="986"/>
      <c r="J510" s="988">
        <v>24959</v>
      </c>
    </row>
    <row r="511" spans="2:10">
      <c r="B511" s="988">
        <v>24990</v>
      </c>
      <c r="H511" s="986">
        <v>4.1999999999999997E-3</v>
      </c>
      <c r="I511" s="986"/>
      <c r="J511" s="988">
        <v>24990</v>
      </c>
    </row>
    <row r="512" spans="2:10">
      <c r="B512" s="988">
        <v>25020</v>
      </c>
      <c r="H512" s="986">
        <v>4.7999999999999996E-3</v>
      </c>
      <c r="I512" s="986"/>
      <c r="J512" s="988">
        <v>25020</v>
      </c>
    </row>
    <row r="513" spans="2:10">
      <c r="B513" s="988">
        <v>25051</v>
      </c>
      <c r="H513" s="986">
        <v>4.1999999999999997E-3</v>
      </c>
      <c r="I513" s="986"/>
      <c r="J513" s="988">
        <v>25051</v>
      </c>
    </row>
    <row r="514" spans="2:10">
      <c r="B514" s="988">
        <v>25082</v>
      </c>
      <c r="H514" s="986">
        <v>4.4000000000000003E-3</v>
      </c>
      <c r="I514" s="986"/>
      <c r="J514" s="988">
        <v>25082</v>
      </c>
    </row>
    <row r="515" spans="2:10">
      <c r="B515" s="988">
        <v>25112</v>
      </c>
      <c r="H515" s="986">
        <v>4.4999999999999997E-3</v>
      </c>
      <c r="I515" s="986"/>
      <c r="J515" s="988">
        <v>25112</v>
      </c>
    </row>
    <row r="516" spans="2:10">
      <c r="B516" s="988">
        <v>25143</v>
      </c>
      <c r="H516" s="986">
        <v>4.3E-3</v>
      </c>
      <c r="I516" s="986"/>
      <c r="J516" s="988">
        <v>25143</v>
      </c>
    </row>
    <row r="517" spans="2:10">
      <c r="B517" s="988">
        <v>25173</v>
      </c>
      <c r="H517" s="986">
        <v>4.8999999999999998E-3</v>
      </c>
      <c r="I517" s="986"/>
      <c r="J517" s="988">
        <v>25173</v>
      </c>
    </row>
    <row r="518" spans="2:10">
      <c r="B518" s="988">
        <v>25204</v>
      </c>
      <c r="H518" s="986">
        <v>5.0000000000000001E-3</v>
      </c>
      <c r="I518" s="986"/>
      <c r="J518" s="988">
        <v>25204</v>
      </c>
    </row>
    <row r="519" spans="2:10">
      <c r="B519" s="988">
        <v>25235</v>
      </c>
      <c r="H519" s="986">
        <v>4.5999999999999999E-3</v>
      </c>
      <c r="I519" s="986"/>
      <c r="J519" s="988">
        <v>25235</v>
      </c>
    </row>
    <row r="520" spans="2:10">
      <c r="B520" s="988">
        <v>25263</v>
      </c>
      <c r="H520" s="986">
        <v>4.7000000000000002E-3</v>
      </c>
      <c r="I520" s="986"/>
      <c r="J520" s="988">
        <v>25263</v>
      </c>
    </row>
    <row r="521" spans="2:10">
      <c r="B521" s="988">
        <v>25294</v>
      </c>
      <c r="H521" s="986">
        <v>5.4999999999999997E-3</v>
      </c>
      <c r="I521" s="986"/>
      <c r="J521" s="988">
        <v>25294</v>
      </c>
    </row>
    <row r="522" spans="2:10">
      <c r="B522" s="988">
        <v>25324</v>
      </c>
      <c r="H522" s="986">
        <v>4.7000000000000002E-3</v>
      </c>
      <c r="I522" s="986"/>
      <c r="J522" s="988">
        <v>25324</v>
      </c>
    </row>
    <row r="523" spans="2:10">
      <c r="B523" s="988">
        <v>25355</v>
      </c>
      <c r="H523" s="986">
        <v>5.4999999999999997E-3</v>
      </c>
      <c r="I523" s="986"/>
      <c r="J523" s="988">
        <v>25355</v>
      </c>
    </row>
    <row r="524" spans="2:10">
      <c r="B524" s="988">
        <v>25385</v>
      </c>
      <c r="H524" s="986">
        <v>5.1999999999999998E-3</v>
      </c>
      <c r="I524" s="986"/>
      <c r="J524" s="988">
        <v>25385</v>
      </c>
    </row>
    <row r="525" spans="2:10">
      <c r="B525" s="988">
        <v>25416</v>
      </c>
      <c r="H525" s="986">
        <v>4.7999999999999996E-3</v>
      </c>
      <c r="I525" s="986"/>
      <c r="J525" s="988">
        <v>25416</v>
      </c>
    </row>
    <row r="526" spans="2:10">
      <c r="B526" s="988">
        <v>25447</v>
      </c>
      <c r="H526" s="986">
        <v>5.4999999999999997E-3</v>
      </c>
      <c r="I526" s="986"/>
      <c r="J526" s="988">
        <v>25447</v>
      </c>
    </row>
    <row r="527" spans="2:10">
      <c r="B527" s="988">
        <v>25477</v>
      </c>
      <c r="H527" s="986">
        <v>5.7000000000000002E-3</v>
      </c>
      <c r="I527" s="986"/>
      <c r="J527" s="988">
        <v>25477</v>
      </c>
    </row>
    <row r="528" spans="2:10">
      <c r="B528" s="988">
        <v>25508</v>
      </c>
      <c r="H528" s="986">
        <v>4.8999999999999998E-3</v>
      </c>
      <c r="I528" s="986"/>
      <c r="J528" s="988">
        <v>25508</v>
      </c>
    </row>
    <row r="529" spans="2:10">
      <c r="B529" s="988">
        <v>25538</v>
      </c>
      <c r="H529" s="986">
        <v>6.0000000000000001E-3</v>
      </c>
      <c r="I529" s="986"/>
      <c r="J529" s="988">
        <v>25538</v>
      </c>
    </row>
    <row r="530" spans="2:10">
      <c r="B530" s="988">
        <v>25569</v>
      </c>
      <c r="H530" s="986">
        <v>5.5999999999999999E-3</v>
      </c>
      <c r="I530" s="986"/>
      <c r="J530" s="988">
        <v>25569</v>
      </c>
    </row>
    <row r="531" spans="2:10">
      <c r="B531" s="988">
        <v>25600</v>
      </c>
      <c r="H531" s="986">
        <v>5.1999999999999998E-3</v>
      </c>
      <c r="I531" s="986"/>
      <c r="J531" s="988">
        <v>25600</v>
      </c>
    </row>
    <row r="532" spans="2:10">
      <c r="B532" s="988">
        <v>25628</v>
      </c>
      <c r="H532" s="986">
        <v>5.5999999999999999E-3</v>
      </c>
      <c r="I532" s="986"/>
      <c r="J532" s="988">
        <v>25628</v>
      </c>
    </row>
    <row r="533" spans="2:10">
      <c r="B533" s="988">
        <v>25659</v>
      </c>
      <c r="H533" s="986">
        <v>5.4000000000000003E-3</v>
      </c>
      <c r="I533" s="986"/>
      <c r="J533" s="988">
        <v>25659</v>
      </c>
    </row>
    <row r="534" spans="2:10">
      <c r="B534" s="988">
        <v>25689</v>
      </c>
      <c r="H534" s="986">
        <v>5.4999999999999997E-3</v>
      </c>
      <c r="I534" s="986"/>
      <c r="J534" s="988">
        <v>25689</v>
      </c>
    </row>
    <row r="535" spans="2:10">
      <c r="B535" s="988">
        <v>25720</v>
      </c>
      <c r="H535" s="986">
        <v>6.4000000000000003E-3</v>
      </c>
      <c r="I535" s="986"/>
      <c r="J535" s="988">
        <v>25720</v>
      </c>
    </row>
    <row r="536" spans="2:10">
      <c r="B536" s="988">
        <v>25750</v>
      </c>
      <c r="H536" s="986">
        <v>5.8999999999999999E-3</v>
      </c>
      <c r="I536" s="986"/>
      <c r="J536" s="988">
        <v>25750</v>
      </c>
    </row>
    <row r="537" spans="2:10">
      <c r="B537" s="988">
        <v>25781</v>
      </c>
      <c r="H537" s="986">
        <v>5.7000000000000002E-3</v>
      </c>
      <c r="I537" s="986"/>
      <c r="J537" s="988">
        <v>25781</v>
      </c>
    </row>
    <row r="538" spans="2:10">
      <c r="B538" s="988">
        <v>25812</v>
      </c>
      <c r="H538" s="986">
        <v>5.5999999999999999E-3</v>
      </c>
      <c r="I538" s="986"/>
      <c r="J538" s="988">
        <v>25812</v>
      </c>
    </row>
    <row r="539" spans="2:10">
      <c r="B539" s="988">
        <v>25842</v>
      </c>
      <c r="H539" s="986">
        <v>5.4999999999999997E-3</v>
      </c>
      <c r="I539" s="986"/>
      <c r="J539" s="988">
        <v>25842</v>
      </c>
    </row>
    <row r="540" spans="2:10">
      <c r="B540" s="988">
        <v>25873</v>
      </c>
      <c r="H540" s="986">
        <v>5.7999999999999996E-3</v>
      </c>
      <c r="I540" s="986"/>
      <c r="J540" s="988">
        <v>25873</v>
      </c>
    </row>
    <row r="541" spans="2:10">
      <c r="B541" s="988">
        <v>25903</v>
      </c>
      <c r="H541" s="986">
        <v>5.3E-3</v>
      </c>
      <c r="I541" s="986"/>
      <c r="J541" s="988">
        <v>25903</v>
      </c>
    </row>
    <row r="542" spans="2:10">
      <c r="B542" s="988">
        <v>25934</v>
      </c>
      <c r="H542" s="986">
        <v>5.1000000000000004E-3</v>
      </c>
      <c r="I542" s="986"/>
      <c r="J542" s="988">
        <v>25934</v>
      </c>
    </row>
    <row r="543" spans="2:10">
      <c r="B543" s="988">
        <v>25965</v>
      </c>
      <c r="H543" s="986">
        <v>4.5999999999999999E-3</v>
      </c>
      <c r="I543" s="986"/>
      <c r="J543" s="988">
        <v>25965</v>
      </c>
    </row>
    <row r="544" spans="2:10">
      <c r="B544" s="988">
        <v>25993</v>
      </c>
      <c r="H544" s="986">
        <v>5.5999999999999999E-3</v>
      </c>
      <c r="I544" s="986"/>
      <c r="J544" s="988">
        <v>25993</v>
      </c>
    </row>
    <row r="545" spans="2:10">
      <c r="B545" s="988">
        <v>26024</v>
      </c>
      <c r="H545" s="986">
        <v>4.7999999999999996E-3</v>
      </c>
      <c r="I545" s="986"/>
      <c r="J545" s="988">
        <v>26024</v>
      </c>
    </row>
    <row r="546" spans="2:10">
      <c r="B546" s="988">
        <v>26054</v>
      </c>
      <c r="H546" s="986">
        <v>4.7000000000000002E-3</v>
      </c>
      <c r="I546" s="986"/>
      <c r="J546" s="988">
        <v>26054</v>
      </c>
    </row>
    <row r="547" spans="2:10">
      <c r="B547" s="988">
        <v>26085</v>
      </c>
      <c r="H547" s="986">
        <v>5.5999999999999999E-3</v>
      </c>
      <c r="I547" s="986"/>
      <c r="J547" s="988">
        <v>26085</v>
      </c>
    </row>
    <row r="548" spans="2:10">
      <c r="B548" s="988">
        <v>26115</v>
      </c>
      <c r="H548" s="986">
        <v>5.1999999999999998E-3</v>
      </c>
      <c r="I548" s="986"/>
      <c r="J548" s="988">
        <v>26115</v>
      </c>
    </row>
    <row r="549" spans="2:10">
      <c r="B549" s="988">
        <v>26146</v>
      </c>
      <c r="H549" s="986">
        <v>5.4999999999999997E-3</v>
      </c>
      <c r="I549" s="986"/>
      <c r="J549" s="988">
        <v>26146</v>
      </c>
    </row>
    <row r="550" spans="2:10">
      <c r="B550" s="988">
        <v>26177</v>
      </c>
      <c r="H550" s="986">
        <v>4.8999999999999998E-3</v>
      </c>
      <c r="I550" s="986"/>
      <c r="J550" s="988">
        <v>26177</v>
      </c>
    </row>
    <row r="551" spans="2:10">
      <c r="B551" s="988">
        <v>26207</v>
      </c>
      <c r="H551" s="986">
        <v>4.7000000000000002E-3</v>
      </c>
      <c r="I551" s="986"/>
      <c r="J551" s="988">
        <v>26207</v>
      </c>
    </row>
    <row r="552" spans="2:10">
      <c r="B552" s="988">
        <v>26238</v>
      </c>
      <c r="H552" s="986">
        <v>5.1000000000000004E-3</v>
      </c>
      <c r="I552" s="986"/>
      <c r="J552" s="988">
        <v>26238</v>
      </c>
    </row>
    <row r="553" spans="2:10">
      <c r="B553" s="988">
        <v>26268</v>
      </c>
      <c r="H553" s="986">
        <v>5.0000000000000001E-3</v>
      </c>
      <c r="I553" s="986"/>
      <c r="J553" s="988">
        <v>26268</v>
      </c>
    </row>
    <row r="554" spans="2:10">
      <c r="B554" s="988">
        <v>26299</v>
      </c>
      <c r="H554" s="986">
        <v>5.0000000000000001E-3</v>
      </c>
      <c r="I554" s="986"/>
      <c r="J554" s="988">
        <v>26299</v>
      </c>
    </row>
    <row r="555" spans="2:10">
      <c r="B555" s="988">
        <v>26330</v>
      </c>
      <c r="H555" s="986">
        <v>4.7000000000000002E-3</v>
      </c>
      <c r="I555" s="986"/>
      <c r="J555" s="988">
        <v>26330</v>
      </c>
    </row>
    <row r="556" spans="2:10">
      <c r="B556" s="988">
        <v>26359</v>
      </c>
      <c r="H556" s="986">
        <v>4.8999999999999998E-3</v>
      </c>
      <c r="I556" s="986"/>
      <c r="J556" s="988">
        <v>26359</v>
      </c>
    </row>
    <row r="557" spans="2:10">
      <c r="B557" s="988">
        <v>26390</v>
      </c>
      <c r="H557" s="986">
        <v>4.7999999999999996E-3</v>
      </c>
      <c r="I557" s="986"/>
      <c r="J557" s="988">
        <v>26390</v>
      </c>
    </row>
    <row r="558" spans="2:10">
      <c r="B558" s="988">
        <v>26420</v>
      </c>
      <c r="H558" s="986">
        <v>5.4999999999999997E-3</v>
      </c>
      <c r="I558" s="986"/>
      <c r="J558" s="988">
        <v>26420</v>
      </c>
    </row>
    <row r="559" spans="2:10">
      <c r="B559" s="988">
        <v>26451</v>
      </c>
      <c r="H559" s="986">
        <v>4.8999999999999998E-3</v>
      </c>
      <c r="I559" s="986"/>
      <c r="J559" s="988">
        <v>26451</v>
      </c>
    </row>
    <row r="560" spans="2:10">
      <c r="B560" s="988">
        <v>26481</v>
      </c>
      <c r="H560" s="986">
        <v>5.1000000000000004E-3</v>
      </c>
      <c r="I560" s="986"/>
      <c r="J560" s="988">
        <v>26481</v>
      </c>
    </row>
    <row r="561" spans="1:10">
      <c r="B561" s="988">
        <v>26512</v>
      </c>
      <c r="H561" s="986">
        <v>4.8999999999999998E-3</v>
      </c>
      <c r="I561" s="986"/>
      <c r="J561" s="988">
        <v>26512</v>
      </c>
    </row>
    <row r="562" spans="1:10">
      <c r="B562" s="988">
        <v>26543</v>
      </c>
      <c r="H562" s="986">
        <v>4.7000000000000002E-3</v>
      </c>
      <c r="I562" s="986"/>
      <c r="J562" s="988">
        <v>26543</v>
      </c>
    </row>
    <row r="563" spans="1:10">
      <c r="B563" s="988">
        <v>26573</v>
      </c>
      <c r="H563" s="986">
        <v>5.1999999999999998E-3</v>
      </c>
      <c r="I563" s="986"/>
      <c r="J563" s="988">
        <v>26573</v>
      </c>
    </row>
    <row r="564" spans="1:10">
      <c r="B564" s="988">
        <v>26604</v>
      </c>
      <c r="H564" s="986">
        <v>4.7999999999999996E-3</v>
      </c>
      <c r="I564" s="986"/>
      <c r="J564" s="988">
        <v>26604</v>
      </c>
    </row>
    <row r="565" spans="1:10">
      <c r="A565" s="987">
        <v>70</v>
      </c>
      <c r="B565" s="988">
        <v>26634</v>
      </c>
      <c r="H565" s="986">
        <v>4.4999999999999997E-3</v>
      </c>
      <c r="I565" s="986"/>
      <c r="J565" s="988">
        <v>26634</v>
      </c>
    </row>
    <row r="566" spans="1:10">
      <c r="A566" s="987">
        <v>70</v>
      </c>
      <c r="B566" s="988">
        <v>26665</v>
      </c>
      <c r="H566" s="986">
        <v>5.4000000000000003E-3</v>
      </c>
      <c r="I566" s="986"/>
      <c r="J566" s="988">
        <v>26665</v>
      </c>
    </row>
    <row r="567" spans="1:10">
      <c r="A567" s="987">
        <v>70</v>
      </c>
      <c r="B567" s="988">
        <v>26696</v>
      </c>
      <c r="H567" s="986">
        <v>5.1000000000000004E-3</v>
      </c>
      <c r="I567" s="986"/>
      <c r="J567" s="988">
        <v>26696</v>
      </c>
    </row>
    <row r="568" spans="1:10">
      <c r="A568" s="987">
        <v>70</v>
      </c>
      <c r="B568" s="988">
        <v>26724</v>
      </c>
      <c r="H568" s="986">
        <v>5.5999999999999999E-3</v>
      </c>
      <c r="I568" s="986"/>
      <c r="J568" s="988">
        <v>26724</v>
      </c>
    </row>
    <row r="569" spans="1:10">
      <c r="A569" s="987">
        <v>70</v>
      </c>
      <c r="B569" s="988">
        <v>26755</v>
      </c>
      <c r="H569" s="986">
        <v>5.7000000000000002E-3</v>
      </c>
      <c r="I569" s="986"/>
      <c r="J569" s="988">
        <v>26755</v>
      </c>
    </row>
    <row r="570" spans="1:10">
      <c r="A570" s="987">
        <v>70</v>
      </c>
      <c r="B570" s="988">
        <v>26785</v>
      </c>
      <c r="H570" s="986">
        <v>5.7999999999999996E-3</v>
      </c>
      <c r="I570" s="986"/>
      <c r="J570" s="988">
        <v>26785</v>
      </c>
    </row>
    <row r="571" spans="1:10">
      <c r="A571" s="987">
        <v>70</v>
      </c>
      <c r="B571" s="988">
        <v>26816</v>
      </c>
      <c r="H571" s="986">
        <v>5.4999999999999997E-3</v>
      </c>
      <c r="I571" s="986"/>
      <c r="J571" s="988">
        <v>26816</v>
      </c>
    </row>
    <row r="572" spans="1:10">
      <c r="A572" s="987">
        <v>70</v>
      </c>
      <c r="B572" s="988">
        <v>26846</v>
      </c>
      <c r="H572" s="986">
        <v>6.1000000000000004E-3</v>
      </c>
      <c r="I572" s="986"/>
      <c r="J572" s="988">
        <v>26846</v>
      </c>
    </row>
    <row r="573" spans="1:10">
      <c r="A573" s="987">
        <v>70</v>
      </c>
      <c r="B573" s="988">
        <v>26877</v>
      </c>
      <c r="H573" s="986">
        <v>6.1999999999999998E-3</v>
      </c>
      <c r="I573" s="986"/>
      <c r="J573" s="988">
        <v>26877</v>
      </c>
    </row>
    <row r="574" spans="1:10">
      <c r="A574" s="987">
        <v>70</v>
      </c>
      <c r="B574" s="988">
        <v>26908</v>
      </c>
      <c r="H574" s="986">
        <v>5.4999999999999997E-3</v>
      </c>
      <c r="I574" s="986"/>
      <c r="J574" s="988">
        <v>26908</v>
      </c>
    </row>
    <row r="575" spans="1:10">
      <c r="A575" s="987">
        <v>70</v>
      </c>
      <c r="B575" s="988">
        <v>26938</v>
      </c>
      <c r="H575" s="986">
        <v>6.3E-3</v>
      </c>
      <c r="I575" s="986"/>
      <c r="J575" s="988">
        <v>26938</v>
      </c>
    </row>
    <row r="576" spans="1:10">
      <c r="A576" s="987">
        <v>70</v>
      </c>
      <c r="B576" s="988">
        <v>26969</v>
      </c>
      <c r="H576" s="986">
        <v>5.5999999999999999E-3</v>
      </c>
      <c r="I576" s="986"/>
      <c r="J576" s="988">
        <v>26969</v>
      </c>
    </row>
    <row r="577" spans="1:10">
      <c r="A577" s="987">
        <v>70</v>
      </c>
      <c r="B577" s="988">
        <v>26999</v>
      </c>
      <c r="H577" s="986">
        <v>6.0000000000000001E-3</v>
      </c>
      <c r="I577" s="986"/>
      <c r="J577" s="988">
        <v>26999</v>
      </c>
    </row>
    <row r="578" spans="1:10">
      <c r="A578" s="987">
        <v>70</v>
      </c>
      <c r="B578" s="988">
        <v>27030</v>
      </c>
      <c r="H578" s="986">
        <v>6.1000000000000004E-3</v>
      </c>
      <c r="I578" s="986"/>
      <c r="J578" s="988">
        <v>27030</v>
      </c>
    </row>
    <row r="579" spans="1:10">
      <c r="A579" s="987">
        <v>70</v>
      </c>
      <c r="B579" s="988">
        <v>27061</v>
      </c>
      <c r="H579" s="986">
        <v>5.4999999999999997E-3</v>
      </c>
      <c r="I579" s="986"/>
      <c r="J579" s="988">
        <v>27061</v>
      </c>
    </row>
    <row r="580" spans="1:10">
      <c r="A580" s="987">
        <v>70</v>
      </c>
      <c r="B580" s="988">
        <v>27089</v>
      </c>
      <c r="H580" s="986">
        <v>5.7999999999999996E-3</v>
      </c>
      <c r="I580" s="986"/>
      <c r="J580" s="988">
        <v>27089</v>
      </c>
    </row>
    <row r="581" spans="1:10">
      <c r="A581" s="987">
        <v>70</v>
      </c>
      <c r="B581" s="988">
        <v>27120</v>
      </c>
      <c r="H581" s="986">
        <v>6.7999999999999996E-3</v>
      </c>
      <c r="I581" s="986"/>
      <c r="J581" s="988">
        <v>27120</v>
      </c>
    </row>
    <row r="582" spans="1:10">
      <c r="A582" s="987">
        <v>70</v>
      </c>
      <c r="B582" s="988">
        <v>27150</v>
      </c>
      <c r="H582" s="986">
        <v>6.7999999999999996E-3</v>
      </c>
      <c r="I582" s="986"/>
      <c r="J582" s="988">
        <v>27150</v>
      </c>
    </row>
    <row r="583" spans="1:10">
      <c r="A583" s="987">
        <v>70</v>
      </c>
      <c r="B583" s="988">
        <v>27181</v>
      </c>
      <c r="H583" s="986">
        <v>6.1000000000000004E-3</v>
      </c>
      <c r="I583" s="986"/>
      <c r="J583" s="988">
        <v>27181</v>
      </c>
    </row>
    <row r="584" spans="1:10">
      <c r="A584" s="987">
        <v>70</v>
      </c>
      <c r="B584" s="988">
        <v>27211</v>
      </c>
      <c r="H584" s="986">
        <v>7.1999999999999998E-3</v>
      </c>
      <c r="I584" s="986"/>
      <c r="J584" s="988">
        <v>27211</v>
      </c>
    </row>
    <row r="585" spans="1:10">
      <c r="A585" s="987">
        <v>70</v>
      </c>
      <c r="B585" s="988">
        <v>27242</v>
      </c>
      <c r="H585" s="986">
        <v>6.4999999999999997E-3</v>
      </c>
      <c r="I585" s="986"/>
      <c r="J585" s="988">
        <v>27242</v>
      </c>
    </row>
    <row r="586" spans="1:10">
      <c r="A586" s="987">
        <v>70</v>
      </c>
      <c r="B586" s="988">
        <v>27273</v>
      </c>
      <c r="H586" s="986">
        <v>7.1000000000000004E-3</v>
      </c>
      <c r="I586" s="986"/>
      <c r="J586" s="988">
        <v>27273</v>
      </c>
    </row>
    <row r="587" spans="1:10">
      <c r="A587" s="987">
        <v>70</v>
      </c>
      <c r="B587" s="988">
        <v>27303</v>
      </c>
      <c r="H587" s="986">
        <v>7.0000000000000001E-3</v>
      </c>
      <c r="I587" s="986"/>
      <c r="J587" s="988">
        <v>27303</v>
      </c>
    </row>
    <row r="588" spans="1:10">
      <c r="A588" s="987">
        <v>70</v>
      </c>
      <c r="B588" s="988">
        <v>27334</v>
      </c>
      <c r="H588" s="986">
        <v>6.1999999999999998E-3</v>
      </c>
      <c r="I588" s="986"/>
      <c r="J588" s="988">
        <v>27334</v>
      </c>
    </row>
    <row r="589" spans="1:10">
      <c r="A589" s="987">
        <v>70</v>
      </c>
      <c r="B589" s="988">
        <v>27364</v>
      </c>
      <c r="H589" s="986">
        <v>6.7000000000000002E-3</v>
      </c>
      <c r="I589" s="986"/>
      <c r="J589" s="988">
        <v>27364</v>
      </c>
    </row>
    <row r="590" spans="1:10">
      <c r="A590" s="987">
        <v>70</v>
      </c>
      <c r="B590" s="988">
        <v>27395</v>
      </c>
      <c r="H590" s="986">
        <v>6.7999999999999996E-3</v>
      </c>
      <c r="I590" s="986"/>
      <c r="J590" s="988">
        <v>27395</v>
      </c>
    </row>
    <row r="591" spans="1:10">
      <c r="A591" s="987">
        <v>70</v>
      </c>
      <c r="B591" s="988">
        <v>27426</v>
      </c>
      <c r="H591" s="986">
        <v>6.0000000000000001E-3</v>
      </c>
      <c r="I591" s="986"/>
      <c r="J591" s="988">
        <v>27426</v>
      </c>
    </row>
    <row r="592" spans="1:10">
      <c r="A592" s="987">
        <v>70</v>
      </c>
      <c r="B592" s="988">
        <v>27454</v>
      </c>
      <c r="H592" s="986">
        <v>6.6E-3</v>
      </c>
      <c r="I592" s="986"/>
      <c r="J592" s="988">
        <v>27454</v>
      </c>
    </row>
    <row r="593" spans="1:10">
      <c r="A593" s="987">
        <v>70</v>
      </c>
      <c r="B593" s="988">
        <v>27485</v>
      </c>
      <c r="H593" s="986">
        <v>6.7000000000000002E-3</v>
      </c>
      <c r="I593" s="986"/>
      <c r="J593" s="988">
        <v>27485</v>
      </c>
    </row>
    <row r="594" spans="1:10">
      <c r="A594" s="987">
        <v>70</v>
      </c>
      <c r="B594" s="988">
        <v>27515</v>
      </c>
      <c r="H594" s="986">
        <v>6.7000000000000002E-3</v>
      </c>
      <c r="I594" s="986"/>
      <c r="J594" s="988">
        <v>27515</v>
      </c>
    </row>
    <row r="595" spans="1:10">
      <c r="A595" s="987">
        <v>70</v>
      </c>
      <c r="B595" s="988">
        <v>27546</v>
      </c>
      <c r="H595" s="986">
        <v>7.0000000000000001E-3</v>
      </c>
      <c r="I595" s="986"/>
      <c r="J595" s="988">
        <v>27546</v>
      </c>
    </row>
    <row r="596" spans="1:10">
      <c r="A596" s="987">
        <v>70</v>
      </c>
      <c r="B596" s="988">
        <v>27576</v>
      </c>
      <c r="H596" s="986">
        <v>6.7999999999999996E-3</v>
      </c>
      <c r="I596" s="986"/>
      <c r="J596" s="988">
        <v>27576</v>
      </c>
    </row>
    <row r="597" spans="1:10">
      <c r="A597" s="987">
        <v>70</v>
      </c>
      <c r="B597" s="988">
        <v>27607</v>
      </c>
      <c r="H597" s="986">
        <v>6.4999999999999997E-3</v>
      </c>
      <c r="I597" s="986"/>
      <c r="J597" s="988">
        <v>27607</v>
      </c>
    </row>
    <row r="598" spans="1:10">
      <c r="A598" s="987">
        <v>70</v>
      </c>
      <c r="B598" s="988">
        <v>27638</v>
      </c>
      <c r="H598" s="986">
        <v>7.3000000000000001E-3</v>
      </c>
      <c r="I598" s="986"/>
      <c r="J598" s="988">
        <v>27638</v>
      </c>
    </row>
    <row r="599" spans="1:10">
      <c r="A599" s="987">
        <v>70</v>
      </c>
      <c r="B599" s="988">
        <v>27668</v>
      </c>
      <c r="H599" s="986">
        <v>7.1999999999999998E-3</v>
      </c>
      <c r="I599" s="986"/>
      <c r="J599" s="988">
        <v>27668</v>
      </c>
    </row>
    <row r="600" spans="1:10">
      <c r="A600" s="987">
        <v>70</v>
      </c>
      <c r="B600" s="988">
        <v>27699</v>
      </c>
      <c r="H600" s="986">
        <v>6.1000000000000004E-3</v>
      </c>
      <c r="I600" s="986"/>
      <c r="J600" s="988">
        <v>27699</v>
      </c>
    </row>
    <row r="601" spans="1:10">
      <c r="A601" s="987">
        <v>70</v>
      </c>
      <c r="B601" s="988">
        <v>27729</v>
      </c>
      <c r="H601" s="986">
        <v>7.4000000000000003E-3</v>
      </c>
      <c r="I601" s="986"/>
      <c r="J601" s="988">
        <v>27729</v>
      </c>
    </row>
    <row r="602" spans="1:10">
      <c r="A602" s="987">
        <v>70</v>
      </c>
      <c r="B602" s="988">
        <v>27760</v>
      </c>
      <c r="H602" s="986">
        <v>6.4999999999999997E-3</v>
      </c>
      <c r="I602" s="986"/>
      <c r="J602" s="988">
        <v>27760</v>
      </c>
    </row>
    <row r="603" spans="1:10">
      <c r="A603" s="987">
        <v>70</v>
      </c>
      <c r="B603" s="988">
        <v>27791</v>
      </c>
      <c r="H603" s="986">
        <v>6.0000000000000001E-3</v>
      </c>
      <c r="I603" s="986"/>
      <c r="J603" s="988">
        <v>27791</v>
      </c>
    </row>
    <row r="604" spans="1:10">
      <c r="A604" s="987">
        <v>70</v>
      </c>
      <c r="B604" s="988">
        <v>27820</v>
      </c>
      <c r="H604" s="986">
        <v>7.1000000000000004E-3</v>
      </c>
      <c r="I604" s="986"/>
      <c r="J604" s="988">
        <v>27820</v>
      </c>
    </row>
    <row r="605" spans="1:10">
      <c r="A605" s="987">
        <v>70</v>
      </c>
      <c r="B605" s="988">
        <v>27851</v>
      </c>
      <c r="H605" s="986">
        <v>6.4000000000000003E-3</v>
      </c>
      <c r="I605" s="986"/>
      <c r="J605" s="988">
        <v>27851</v>
      </c>
    </row>
    <row r="606" spans="1:10">
      <c r="A606" s="987">
        <v>70</v>
      </c>
      <c r="B606" s="988">
        <v>27881</v>
      </c>
      <c r="H606" s="986">
        <v>5.8999999999999999E-3</v>
      </c>
      <c r="I606" s="986"/>
      <c r="J606" s="988">
        <v>27881</v>
      </c>
    </row>
    <row r="607" spans="1:10">
      <c r="A607" s="987">
        <v>70</v>
      </c>
      <c r="B607" s="988">
        <v>27912</v>
      </c>
      <c r="H607" s="986">
        <v>7.3000000000000001E-3</v>
      </c>
      <c r="I607" s="986"/>
      <c r="J607" s="988">
        <v>27912</v>
      </c>
    </row>
    <row r="608" spans="1:10">
      <c r="A608" s="987">
        <v>70</v>
      </c>
      <c r="B608" s="988">
        <v>27942</v>
      </c>
      <c r="H608" s="986">
        <v>6.4999999999999997E-3</v>
      </c>
      <c r="I608" s="986"/>
      <c r="J608" s="988">
        <v>27942</v>
      </c>
    </row>
    <row r="609" spans="1:10">
      <c r="A609" s="987">
        <v>70</v>
      </c>
      <c r="B609" s="988">
        <v>27973</v>
      </c>
      <c r="H609" s="986">
        <v>6.8999999999999999E-3</v>
      </c>
      <c r="I609" s="986"/>
      <c r="J609" s="988">
        <v>27973</v>
      </c>
    </row>
    <row r="610" spans="1:10">
      <c r="A610" s="987">
        <v>70</v>
      </c>
      <c r="B610" s="988">
        <v>28004</v>
      </c>
      <c r="H610" s="986">
        <v>6.4000000000000003E-3</v>
      </c>
      <c r="I610" s="986"/>
      <c r="J610" s="988">
        <v>28004</v>
      </c>
    </row>
    <row r="611" spans="1:10">
      <c r="A611" s="987">
        <v>70</v>
      </c>
      <c r="B611" s="988">
        <v>28034</v>
      </c>
      <c r="H611" s="986">
        <v>6.1000000000000004E-3</v>
      </c>
      <c r="I611" s="986"/>
      <c r="J611" s="988">
        <v>28034</v>
      </c>
    </row>
    <row r="612" spans="1:10">
      <c r="A612" s="987">
        <v>70</v>
      </c>
      <c r="B612" s="988">
        <v>28065</v>
      </c>
      <c r="H612" s="986">
        <v>6.6E-3</v>
      </c>
      <c r="I612" s="986"/>
      <c r="J612" s="988">
        <v>28065</v>
      </c>
    </row>
    <row r="613" spans="1:10">
      <c r="A613" s="987">
        <v>70</v>
      </c>
      <c r="B613" s="988">
        <v>28095</v>
      </c>
      <c r="H613" s="986">
        <v>6.3E-3</v>
      </c>
      <c r="I613" s="986"/>
      <c r="J613" s="988">
        <v>28095</v>
      </c>
    </row>
    <row r="614" spans="1:10">
      <c r="A614" s="987">
        <v>70</v>
      </c>
      <c r="B614" s="988">
        <v>28126</v>
      </c>
      <c r="H614" s="986">
        <v>5.8999999999999999E-3</v>
      </c>
      <c r="I614" s="986"/>
      <c r="J614" s="988">
        <v>28126</v>
      </c>
    </row>
    <row r="615" spans="1:10">
      <c r="A615" s="987">
        <v>70</v>
      </c>
      <c r="B615" s="988">
        <v>28157</v>
      </c>
      <c r="H615" s="986">
        <v>5.7000000000000002E-3</v>
      </c>
      <c r="I615" s="986"/>
      <c r="J615" s="988">
        <v>28157</v>
      </c>
    </row>
    <row r="616" spans="1:10">
      <c r="A616" s="987">
        <v>70</v>
      </c>
      <c r="B616" s="988">
        <v>28185</v>
      </c>
      <c r="H616" s="986">
        <v>6.4999999999999997E-3</v>
      </c>
      <c r="I616" s="986"/>
      <c r="J616" s="988">
        <v>28185</v>
      </c>
    </row>
    <row r="617" spans="1:10">
      <c r="A617" s="987">
        <v>70</v>
      </c>
      <c r="B617" s="988">
        <v>28216</v>
      </c>
      <c r="H617" s="986">
        <v>6.1000000000000004E-3</v>
      </c>
      <c r="I617" s="986"/>
      <c r="J617" s="988">
        <v>28216</v>
      </c>
    </row>
    <row r="618" spans="1:10">
      <c r="A618" s="987">
        <v>70</v>
      </c>
      <c r="B618" s="988">
        <v>28246</v>
      </c>
      <c r="H618" s="986">
        <v>6.7000000000000002E-3</v>
      </c>
      <c r="I618" s="986"/>
      <c r="J618" s="988">
        <v>28246</v>
      </c>
    </row>
    <row r="619" spans="1:10">
      <c r="A619" s="987">
        <v>70</v>
      </c>
      <c r="B619" s="988">
        <v>28277</v>
      </c>
      <c r="H619" s="986">
        <v>6.1999999999999998E-3</v>
      </c>
      <c r="I619" s="986"/>
      <c r="J619" s="988">
        <v>28277</v>
      </c>
    </row>
    <row r="620" spans="1:10">
      <c r="A620" s="987">
        <v>70</v>
      </c>
      <c r="B620" s="988">
        <v>28307</v>
      </c>
      <c r="H620" s="986">
        <v>5.8999999999999999E-3</v>
      </c>
      <c r="I620" s="986"/>
      <c r="J620" s="988">
        <v>28307</v>
      </c>
    </row>
    <row r="621" spans="1:10">
      <c r="A621" s="987">
        <v>70</v>
      </c>
      <c r="B621" s="988">
        <v>28338</v>
      </c>
      <c r="H621" s="986">
        <v>6.7000000000000002E-3</v>
      </c>
      <c r="I621" s="986"/>
      <c r="J621" s="988">
        <v>28338</v>
      </c>
    </row>
    <row r="622" spans="1:10">
      <c r="A622" s="987">
        <v>70</v>
      </c>
      <c r="B622" s="988">
        <v>28369</v>
      </c>
      <c r="H622" s="986">
        <v>6.1000000000000004E-3</v>
      </c>
      <c r="I622" s="986"/>
      <c r="J622" s="988">
        <v>28369</v>
      </c>
    </row>
    <row r="623" spans="1:10">
      <c r="A623" s="987">
        <v>70</v>
      </c>
      <c r="B623" s="988">
        <v>28399</v>
      </c>
      <c r="H623" s="986">
        <v>6.3E-3</v>
      </c>
      <c r="I623" s="986"/>
      <c r="J623" s="988">
        <v>28399</v>
      </c>
    </row>
    <row r="624" spans="1:10">
      <c r="A624" s="987">
        <v>70</v>
      </c>
      <c r="B624" s="988">
        <v>28430</v>
      </c>
      <c r="H624" s="986">
        <v>6.3E-3</v>
      </c>
      <c r="I624" s="986"/>
      <c r="J624" s="988">
        <v>28430</v>
      </c>
    </row>
    <row r="625" spans="1:10">
      <c r="A625" s="987">
        <v>70</v>
      </c>
      <c r="B625" s="988">
        <v>28460</v>
      </c>
      <c r="H625" s="986">
        <v>6.1999999999999998E-3</v>
      </c>
      <c r="I625" s="986"/>
      <c r="J625" s="988">
        <v>28460</v>
      </c>
    </row>
    <row r="626" spans="1:10">
      <c r="A626" s="987">
        <v>70</v>
      </c>
      <c r="B626" s="988">
        <v>28491</v>
      </c>
      <c r="H626" s="986">
        <v>6.8999999999999999E-3</v>
      </c>
      <c r="I626" s="986"/>
      <c r="J626" s="988">
        <v>28491</v>
      </c>
    </row>
    <row r="627" spans="1:10">
      <c r="A627" s="987">
        <v>70</v>
      </c>
      <c r="B627" s="988">
        <v>28522</v>
      </c>
      <c r="H627" s="986">
        <v>6.0000000000000001E-3</v>
      </c>
      <c r="I627" s="986"/>
      <c r="J627" s="988">
        <v>28522</v>
      </c>
    </row>
    <row r="628" spans="1:10">
      <c r="A628" s="987">
        <v>70</v>
      </c>
      <c r="B628" s="988">
        <v>28550</v>
      </c>
      <c r="H628" s="986">
        <v>6.8999999999999999E-3</v>
      </c>
      <c r="I628" s="986"/>
      <c r="J628" s="988">
        <v>28550</v>
      </c>
    </row>
    <row r="629" spans="1:10">
      <c r="A629" s="987">
        <v>70</v>
      </c>
      <c r="B629" s="988">
        <v>28581</v>
      </c>
      <c r="H629" s="986">
        <v>6.3E-3</v>
      </c>
      <c r="I629" s="986"/>
      <c r="J629" s="988">
        <v>28581</v>
      </c>
    </row>
    <row r="630" spans="1:10">
      <c r="A630" s="987">
        <v>70</v>
      </c>
      <c r="B630" s="988">
        <v>28611</v>
      </c>
      <c r="H630" s="986">
        <v>7.4999999999999997E-3</v>
      </c>
      <c r="I630" s="986"/>
      <c r="J630" s="988">
        <v>28611</v>
      </c>
    </row>
    <row r="631" spans="1:10">
      <c r="A631" s="987">
        <v>70</v>
      </c>
      <c r="B631" s="988">
        <v>28642</v>
      </c>
      <c r="H631" s="986">
        <v>6.8999999999999999E-3</v>
      </c>
      <c r="I631" s="986"/>
      <c r="J631" s="988">
        <v>28642</v>
      </c>
    </row>
    <row r="632" spans="1:10">
      <c r="A632" s="987">
        <v>70</v>
      </c>
      <c r="B632" s="988">
        <v>28672</v>
      </c>
      <c r="H632" s="986">
        <v>7.3000000000000001E-3</v>
      </c>
      <c r="I632" s="986"/>
      <c r="J632" s="988">
        <v>28672</v>
      </c>
    </row>
    <row r="633" spans="1:10">
      <c r="A633" s="987">
        <v>70</v>
      </c>
      <c r="B633" s="988">
        <v>28703</v>
      </c>
      <c r="H633" s="986">
        <v>7.0000000000000001E-3</v>
      </c>
      <c r="I633" s="986"/>
      <c r="J633" s="988">
        <v>28703</v>
      </c>
    </row>
    <row r="634" spans="1:10">
      <c r="A634" s="987">
        <v>70</v>
      </c>
      <c r="B634" s="988">
        <v>28734</v>
      </c>
      <c r="H634" s="986">
        <v>6.4999999999999997E-3</v>
      </c>
      <c r="I634" s="986"/>
      <c r="J634" s="988">
        <v>28734</v>
      </c>
    </row>
    <row r="635" spans="1:10">
      <c r="A635" s="987">
        <v>70</v>
      </c>
      <c r="B635" s="988">
        <v>28764</v>
      </c>
      <c r="H635" s="986">
        <v>7.3000000000000001E-3</v>
      </c>
      <c r="I635" s="986"/>
      <c r="J635" s="988">
        <v>28764</v>
      </c>
    </row>
    <row r="636" spans="1:10">
      <c r="A636" s="987">
        <v>70</v>
      </c>
      <c r="B636" s="988">
        <v>28795</v>
      </c>
      <c r="H636" s="986">
        <v>7.1000000000000004E-3</v>
      </c>
      <c r="I636" s="986"/>
      <c r="J636" s="988">
        <v>28795</v>
      </c>
    </row>
    <row r="637" spans="1:10">
      <c r="A637" s="987">
        <v>70</v>
      </c>
      <c r="B637" s="988">
        <v>28825</v>
      </c>
      <c r="H637" s="986">
        <v>6.7999999999999996E-3</v>
      </c>
      <c r="I637" s="986"/>
      <c r="J637" s="988">
        <v>28825</v>
      </c>
    </row>
    <row r="638" spans="1:10">
      <c r="A638" s="987">
        <v>70</v>
      </c>
      <c r="B638" s="988">
        <v>28856</v>
      </c>
      <c r="H638" s="986">
        <v>7.9000000000000008E-3</v>
      </c>
      <c r="I638" s="986"/>
      <c r="J638" s="988">
        <v>28856</v>
      </c>
    </row>
    <row r="639" spans="1:10">
      <c r="A639" s="987">
        <v>70</v>
      </c>
      <c r="B639" s="988">
        <v>28887</v>
      </c>
      <c r="H639" s="986">
        <v>6.4999999999999997E-3</v>
      </c>
      <c r="I639" s="986"/>
      <c r="J639" s="988">
        <v>28887</v>
      </c>
    </row>
    <row r="640" spans="1:10">
      <c r="A640" s="987">
        <v>70</v>
      </c>
      <c r="B640" s="988">
        <v>28915</v>
      </c>
      <c r="H640" s="986">
        <v>7.4000000000000003E-3</v>
      </c>
      <c r="I640" s="986"/>
      <c r="J640" s="988">
        <v>28915</v>
      </c>
    </row>
    <row r="641" spans="1:10">
      <c r="A641" s="987">
        <v>70</v>
      </c>
      <c r="B641" s="988">
        <v>28946</v>
      </c>
      <c r="H641" s="986">
        <v>7.6E-3</v>
      </c>
      <c r="I641" s="986"/>
      <c r="J641" s="988">
        <v>28946</v>
      </c>
    </row>
    <row r="642" spans="1:10">
      <c r="A642" s="987">
        <v>70</v>
      </c>
      <c r="B642" s="988">
        <v>28976</v>
      </c>
      <c r="H642" s="986">
        <v>7.7000000000000002E-3</v>
      </c>
      <c r="I642" s="986"/>
      <c r="J642" s="988">
        <v>28976</v>
      </c>
    </row>
    <row r="643" spans="1:10">
      <c r="A643" s="987">
        <v>70</v>
      </c>
      <c r="B643" s="988">
        <v>29007</v>
      </c>
      <c r="H643" s="986">
        <v>7.1000000000000004E-3</v>
      </c>
      <c r="I643" s="986"/>
      <c r="J643" s="988">
        <v>29007</v>
      </c>
    </row>
    <row r="644" spans="1:10">
      <c r="A644" s="987">
        <v>70</v>
      </c>
      <c r="B644" s="988">
        <v>29037</v>
      </c>
      <c r="H644" s="986">
        <v>7.6E-3</v>
      </c>
      <c r="I644" s="986"/>
      <c r="J644" s="988">
        <v>29037</v>
      </c>
    </row>
    <row r="645" spans="1:10">
      <c r="A645" s="987">
        <v>70</v>
      </c>
      <c r="B645" s="988">
        <v>29068</v>
      </c>
      <c r="H645" s="986">
        <v>7.3000000000000001E-3</v>
      </c>
      <c r="I645" s="986"/>
      <c r="J645" s="988">
        <v>29068</v>
      </c>
    </row>
    <row r="646" spans="1:10">
      <c r="A646" s="987">
        <v>70</v>
      </c>
      <c r="B646" s="988">
        <v>29099</v>
      </c>
      <c r="H646" s="986">
        <v>6.7999999999999996E-3</v>
      </c>
      <c r="I646" s="986"/>
      <c r="J646" s="988">
        <v>29099</v>
      </c>
    </row>
    <row r="647" spans="1:10">
      <c r="A647" s="987">
        <v>70</v>
      </c>
      <c r="B647" s="988">
        <v>29129</v>
      </c>
      <c r="H647" s="986">
        <v>8.2000000000000007E-3</v>
      </c>
      <c r="I647" s="986"/>
      <c r="J647" s="988">
        <v>29129</v>
      </c>
    </row>
    <row r="648" spans="1:10">
      <c r="A648" s="987">
        <v>70</v>
      </c>
      <c r="B648" s="988">
        <v>29160</v>
      </c>
      <c r="H648" s="986">
        <v>8.3000000000000001E-3</v>
      </c>
      <c r="I648" s="986"/>
      <c r="J648" s="988">
        <v>29160</v>
      </c>
    </row>
    <row r="649" spans="1:10">
      <c r="A649" s="987">
        <v>70</v>
      </c>
      <c r="B649" s="988">
        <v>29190</v>
      </c>
      <c r="H649" s="986">
        <v>8.3000000000000001E-3</v>
      </c>
      <c r="I649" s="986"/>
      <c r="J649" s="988">
        <v>29190</v>
      </c>
    </row>
    <row r="650" spans="1:10">
      <c r="A650" s="987">
        <v>70</v>
      </c>
      <c r="B650" s="988">
        <v>29221</v>
      </c>
      <c r="H650" s="986">
        <v>8.3000000000000001E-3</v>
      </c>
      <c r="I650" s="986"/>
      <c r="J650" s="988">
        <v>29221</v>
      </c>
    </row>
    <row r="651" spans="1:10">
      <c r="A651" s="987">
        <v>70</v>
      </c>
      <c r="B651" s="988">
        <v>29252</v>
      </c>
      <c r="H651" s="986">
        <v>8.3999999999999995E-3</v>
      </c>
      <c r="I651" s="986"/>
      <c r="J651" s="988">
        <v>29252</v>
      </c>
    </row>
    <row r="652" spans="1:10">
      <c r="A652" s="987">
        <v>70</v>
      </c>
      <c r="B652" s="988">
        <v>29281</v>
      </c>
      <c r="H652" s="986">
        <v>9.9000000000000008E-3</v>
      </c>
      <c r="I652" s="986"/>
      <c r="J652" s="988">
        <v>29281</v>
      </c>
    </row>
    <row r="653" spans="1:10">
      <c r="A653" s="987">
        <v>70</v>
      </c>
      <c r="B653" s="988">
        <v>29312</v>
      </c>
      <c r="H653" s="986">
        <v>0.01</v>
      </c>
      <c r="I653" s="986"/>
      <c r="J653" s="988">
        <v>29312</v>
      </c>
    </row>
    <row r="654" spans="1:10">
      <c r="A654" s="987">
        <v>70</v>
      </c>
      <c r="B654" s="988">
        <v>29342</v>
      </c>
      <c r="H654" s="986">
        <v>8.6999999999999994E-3</v>
      </c>
      <c r="I654" s="986"/>
      <c r="J654" s="988">
        <v>29342</v>
      </c>
    </row>
    <row r="655" spans="1:10">
      <c r="A655" s="987">
        <v>70</v>
      </c>
      <c r="B655" s="988">
        <v>29373</v>
      </c>
      <c r="H655" s="986">
        <v>8.6E-3</v>
      </c>
      <c r="I655" s="986"/>
      <c r="J655" s="988">
        <v>29373</v>
      </c>
    </row>
    <row r="656" spans="1:10">
      <c r="A656" s="987">
        <v>70</v>
      </c>
      <c r="B656" s="988">
        <v>29403</v>
      </c>
      <c r="H656" s="986">
        <v>8.3999999999999995E-3</v>
      </c>
      <c r="I656" s="986"/>
      <c r="J656" s="988">
        <v>29403</v>
      </c>
    </row>
    <row r="657" spans="1:10">
      <c r="A657" s="987">
        <v>70</v>
      </c>
      <c r="B657" s="988">
        <v>29434</v>
      </c>
      <c r="H657" s="986">
        <v>8.0999999999999996E-3</v>
      </c>
      <c r="I657" s="986"/>
      <c r="J657" s="988">
        <v>29434</v>
      </c>
    </row>
    <row r="658" spans="1:10">
      <c r="A658" s="987">
        <v>70</v>
      </c>
      <c r="B658" s="988">
        <v>29465</v>
      </c>
      <c r="H658" s="986">
        <v>9.7000000000000003E-3</v>
      </c>
      <c r="I658" s="986"/>
      <c r="J658" s="988">
        <v>29465</v>
      </c>
    </row>
    <row r="659" spans="1:10">
      <c r="A659" s="987">
        <v>70</v>
      </c>
      <c r="B659" s="988">
        <v>29495</v>
      </c>
      <c r="H659" s="986">
        <v>9.7000000000000003E-3</v>
      </c>
      <c r="I659" s="986"/>
      <c r="J659" s="988">
        <v>29495</v>
      </c>
    </row>
    <row r="660" spans="1:10">
      <c r="A660" s="987">
        <v>70</v>
      </c>
      <c r="B660" s="988">
        <v>29526</v>
      </c>
      <c r="H660" s="986">
        <v>9.1000000000000004E-3</v>
      </c>
      <c r="I660" s="986"/>
      <c r="J660" s="988">
        <v>29526</v>
      </c>
    </row>
    <row r="661" spans="1:10">
      <c r="A661" s="987">
        <v>70</v>
      </c>
      <c r="B661" s="988">
        <v>29556</v>
      </c>
      <c r="H661" s="986">
        <v>1.0800000000000001E-2</v>
      </c>
      <c r="I661" s="986"/>
      <c r="J661" s="988">
        <v>29556</v>
      </c>
    </row>
    <row r="662" spans="1:10">
      <c r="A662" s="987">
        <v>70</v>
      </c>
      <c r="B662" s="988">
        <v>29587</v>
      </c>
      <c r="H662" s="986">
        <v>9.4000000000000004E-3</v>
      </c>
      <c r="I662" s="986"/>
      <c r="J662" s="988">
        <v>29587</v>
      </c>
    </row>
    <row r="663" spans="1:10">
      <c r="A663" s="987">
        <v>70</v>
      </c>
      <c r="B663" s="988">
        <v>29618</v>
      </c>
      <c r="H663" s="986">
        <v>8.8000000000000005E-3</v>
      </c>
      <c r="I663" s="986"/>
      <c r="J663" s="988">
        <v>29618</v>
      </c>
    </row>
    <row r="664" spans="1:10">
      <c r="A664" s="987">
        <v>70</v>
      </c>
      <c r="B664" s="988">
        <v>29646</v>
      </c>
      <c r="H664" s="986">
        <v>1.11E-2</v>
      </c>
      <c r="I664" s="986"/>
      <c r="J664" s="988">
        <v>29646</v>
      </c>
    </row>
    <row r="665" spans="1:10">
      <c r="A665" s="987">
        <v>70</v>
      </c>
      <c r="B665" s="988">
        <v>29677</v>
      </c>
      <c r="H665" s="986">
        <v>1.01E-2</v>
      </c>
      <c r="I665" s="986"/>
      <c r="J665" s="988">
        <v>29677</v>
      </c>
    </row>
    <row r="666" spans="1:10">
      <c r="A666" s="987">
        <v>70</v>
      </c>
      <c r="B666" s="988">
        <v>29707</v>
      </c>
      <c r="H666" s="986">
        <v>1.04E-2</v>
      </c>
      <c r="I666" s="986"/>
      <c r="J666" s="988">
        <v>29707</v>
      </c>
    </row>
    <row r="667" spans="1:10">
      <c r="A667" s="987">
        <v>70</v>
      </c>
      <c r="B667" s="988">
        <v>29738</v>
      </c>
      <c r="H667" s="986">
        <v>1.09E-2</v>
      </c>
      <c r="I667" s="986"/>
      <c r="J667" s="988">
        <v>29738</v>
      </c>
    </row>
    <row r="668" spans="1:10">
      <c r="A668" s="987">
        <v>70</v>
      </c>
      <c r="B668" s="988">
        <v>29768</v>
      </c>
      <c r="H668" s="986">
        <v>1.09E-2</v>
      </c>
      <c r="I668" s="986"/>
      <c r="J668" s="988">
        <v>29768</v>
      </c>
    </row>
    <row r="669" spans="1:10">
      <c r="A669" s="987">
        <v>70</v>
      </c>
      <c r="B669" s="988">
        <v>29799</v>
      </c>
      <c r="H669" s="986">
        <v>1.0999999999999999E-2</v>
      </c>
      <c r="I669" s="986"/>
      <c r="J669" s="988">
        <v>29799</v>
      </c>
    </row>
    <row r="670" spans="1:10">
      <c r="A670" s="987">
        <v>70</v>
      </c>
      <c r="B670" s="988">
        <v>29830</v>
      </c>
      <c r="H670" s="986">
        <v>1.14E-2</v>
      </c>
      <c r="I670" s="986"/>
      <c r="J670" s="988">
        <v>29830</v>
      </c>
    </row>
    <row r="671" spans="1:10">
      <c r="A671" s="987">
        <v>70</v>
      </c>
      <c r="B671" s="988">
        <v>29860</v>
      </c>
      <c r="H671" s="986">
        <v>1.17E-2</v>
      </c>
      <c r="I671" s="986"/>
      <c r="J671" s="988">
        <v>29860</v>
      </c>
    </row>
    <row r="672" spans="1:10">
      <c r="A672" s="987">
        <v>70</v>
      </c>
      <c r="B672" s="988">
        <v>29891</v>
      </c>
      <c r="H672" s="986">
        <v>1.1299999999999999E-2</v>
      </c>
      <c r="I672" s="986"/>
      <c r="J672" s="988">
        <v>29891</v>
      </c>
    </row>
    <row r="673" spans="1:10">
      <c r="A673" s="987">
        <v>70</v>
      </c>
      <c r="B673" s="988">
        <v>29921</v>
      </c>
      <c r="H673" s="986">
        <v>0.01</v>
      </c>
      <c r="I673" s="986"/>
      <c r="J673" s="988">
        <v>29921</v>
      </c>
    </row>
    <row r="674" spans="1:10">
      <c r="A674" s="987">
        <v>70</v>
      </c>
      <c r="B674" s="988">
        <v>29952</v>
      </c>
      <c r="H674" s="986">
        <v>1.0800000000000001E-2</v>
      </c>
      <c r="I674" s="986"/>
      <c r="J674" s="988">
        <v>29952</v>
      </c>
    </row>
    <row r="675" spans="1:10">
      <c r="A675" s="987">
        <v>70</v>
      </c>
      <c r="B675" s="988">
        <v>29983</v>
      </c>
      <c r="H675" s="986">
        <v>1.03E-2</v>
      </c>
      <c r="I675" s="986"/>
      <c r="J675" s="988">
        <v>29983</v>
      </c>
    </row>
    <row r="676" spans="1:10">
      <c r="A676" s="987">
        <v>70</v>
      </c>
      <c r="B676" s="988">
        <v>30011</v>
      </c>
      <c r="H676" s="986">
        <v>1.24E-2</v>
      </c>
      <c r="I676" s="986"/>
      <c r="J676" s="988">
        <v>30011</v>
      </c>
    </row>
    <row r="677" spans="1:10">
      <c r="A677" s="987">
        <v>70</v>
      </c>
      <c r="B677" s="988">
        <v>30042</v>
      </c>
      <c r="H677" s="986">
        <v>1.12E-2</v>
      </c>
      <c r="I677" s="986"/>
      <c r="J677" s="988">
        <v>30042</v>
      </c>
    </row>
    <row r="678" spans="1:10">
      <c r="A678" s="987">
        <v>70</v>
      </c>
      <c r="B678" s="988">
        <v>30072</v>
      </c>
      <c r="H678" s="986">
        <v>1.01E-2</v>
      </c>
      <c r="I678" s="986"/>
      <c r="J678" s="988">
        <v>30072</v>
      </c>
    </row>
    <row r="679" spans="1:10">
      <c r="A679" s="987">
        <v>70</v>
      </c>
      <c r="B679" s="988">
        <v>30103</v>
      </c>
      <c r="H679" s="986">
        <v>1.2E-2</v>
      </c>
      <c r="I679" s="986"/>
      <c r="J679" s="988">
        <v>30103</v>
      </c>
    </row>
    <row r="680" spans="1:10">
      <c r="A680" s="987">
        <v>70</v>
      </c>
      <c r="B680" s="988">
        <v>30133</v>
      </c>
      <c r="H680" s="986">
        <v>1.14E-2</v>
      </c>
      <c r="I680" s="986"/>
      <c r="J680" s="988">
        <v>30133</v>
      </c>
    </row>
    <row r="681" spans="1:10">
      <c r="A681" s="987">
        <v>70</v>
      </c>
      <c r="B681" s="988">
        <v>30164</v>
      </c>
      <c r="H681" s="986">
        <v>1.12E-2</v>
      </c>
      <c r="I681" s="986"/>
      <c r="J681" s="988">
        <v>30164</v>
      </c>
    </row>
    <row r="682" spans="1:10">
      <c r="A682" s="987">
        <v>70</v>
      </c>
      <c r="B682" s="988">
        <v>30195</v>
      </c>
      <c r="H682" s="986">
        <v>0.01</v>
      </c>
      <c r="I682" s="986"/>
      <c r="J682" s="988">
        <v>30195</v>
      </c>
    </row>
    <row r="683" spans="1:10">
      <c r="A683" s="987">
        <v>70</v>
      </c>
      <c r="B683" s="988">
        <v>30225</v>
      </c>
      <c r="H683" s="986">
        <v>9.1000000000000004E-3</v>
      </c>
      <c r="I683" s="986"/>
      <c r="J683" s="988">
        <v>30225</v>
      </c>
    </row>
    <row r="684" spans="1:10">
      <c r="A684" s="987">
        <v>70</v>
      </c>
      <c r="B684" s="988">
        <v>30256</v>
      </c>
      <c r="H684" s="986">
        <v>9.4000000000000004E-3</v>
      </c>
      <c r="I684" s="986"/>
      <c r="J684" s="988">
        <v>30256</v>
      </c>
    </row>
    <row r="685" spans="1:10">
      <c r="A685" s="987">
        <v>70</v>
      </c>
      <c r="B685" s="988">
        <v>30286</v>
      </c>
      <c r="H685" s="986">
        <v>9.2999999999999992E-3</v>
      </c>
      <c r="I685" s="986"/>
      <c r="J685" s="988">
        <v>30286</v>
      </c>
    </row>
    <row r="686" spans="1:10">
      <c r="A686" s="987">
        <v>70</v>
      </c>
      <c r="B686" s="988">
        <v>30317</v>
      </c>
      <c r="H686" s="986">
        <v>8.6999999999999994E-3</v>
      </c>
      <c r="I686" s="986"/>
      <c r="J686" s="988">
        <v>30317</v>
      </c>
    </row>
    <row r="687" spans="1:10">
      <c r="A687" s="987">
        <v>70</v>
      </c>
      <c r="B687" s="988">
        <v>30348</v>
      </c>
      <c r="H687" s="986">
        <v>8.0999999999999996E-3</v>
      </c>
      <c r="I687" s="986"/>
      <c r="J687" s="988">
        <v>30348</v>
      </c>
    </row>
    <row r="688" spans="1:10">
      <c r="A688" s="987">
        <v>70</v>
      </c>
      <c r="B688" s="988">
        <v>30376</v>
      </c>
      <c r="H688" s="986">
        <v>8.8999999999999999E-3</v>
      </c>
      <c r="I688" s="986"/>
      <c r="J688" s="988">
        <v>30376</v>
      </c>
    </row>
    <row r="689" spans="1:10">
      <c r="A689" s="987">
        <v>70</v>
      </c>
      <c r="B689" s="988">
        <v>30407</v>
      </c>
      <c r="H689" s="986">
        <v>8.5000000000000006E-3</v>
      </c>
      <c r="I689" s="986"/>
      <c r="J689" s="988">
        <v>30407</v>
      </c>
    </row>
    <row r="690" spans="1:10">
      <c r="A690" s="987">
        <v>70</v>
      </c>
      <c r="B690" s="988">
        <v>30437</v>
      </c>
      <c r="H690" s="986">
        <v>9.1000000000000004E-3</v>
      </c>
      <c r="I690" s="986"/>
      <c r="J690" s="988">
        <v>30437</v>
      </c>
    </row>
    <row r="691" spans="1:10">
      <c r="A691" s="987">
        <v>70</v>
      </c>
      <c r="B691" s="988">
        <v>30468</v>
      </c>
      <c r="H691" s="986">
        <v>8.9999999999999993E-3</v>
      </c>
      <c r="I691" s="986"/>
      <c r="J691" s="988">
        <v>30468</v>
      </c>
    </row>
    <row r="692" spans="1:10">
      <c r="A692" s="987">
        <v>70</v>
      </c>
      <c r="B692" s="988">
        <v>30498</v>
      </c>
      <c r="H692" s="986">
        <v>8.8000000000000005E-3</v>
      </c>
      <c r="I692" s="986"/>
      <c r="J692" s="988">
        <v>30498</v>
      </c>
    </row>
    <row r="693" spans="1:10">
      <c r="A693" s="987">
        <v>70</v>
      </c>
      <c r="B693" s="988">
        <v>30529</v>
      </c>
      <c r="H693" s="986">
        <v>1.03E-2</v>
      </c>
      <c r="I693" s="986"/>
      <c r="J693" s="988">
        <v>30529</v>
      </c>
    </row>
    <row r="694" spans="1:10">
      <c r="A694" s="987">
        <v>70</v>
      </c>
      <c r="B694" s="988">
        <v>30560</v>
      </c>
      <c r="H694" s="986">
        <v>9.5999999999999992E-3</v>
      </c>
      <c r="I694" s="986"/>
      <c r="J694" s="988">
        <v>30560</v>
      </c>
    </row>
    <row r="695" spans="1:10">
      <c r="A695" s="987">
        <v>70</v>
      </c>
      <c r="B695" s="988">
        <v>30590</v>
      </c>
      <c r="H695" s="986">
        <v>9.4999999999999998E-3</v>
      </c>
      <c r="I695" s="986"/>
      <c r="J695" s="988">
        <v>30590</v>
      </c>
    </row>
    <row r="696" spans="1:10">
      <c r="A696" s="987">
        <v>70</v>
      </c>
      <c r="B696" s="988">
        <v>30621</v>
      </c>
      <c r="H696" s="986">
        <v>9.4000000000000004E-3</v>
      </c>
      <c r="I696" s="986"/>
      <c r="J696" s="988">
        <v>30621</v>
      </c>
    </row>
    <row r="697" spans="1:10">
      <c r="A697" s="987">
        <v>70</v>
      </c>
      <c r="B697" s="988">
        <v>30651</v>
      </c>
      <c r="H697" s="986">
        <v>9.4000000000000004E-3</v>
      </c>
      <c r="I697" s="986"/>
      <c r="J697" s="988">
        <v>30651</v>
      </c>
    </row>
    <row r="698" spans="1:10">
      <c r="A698" s="987">
        <v>70</v>
      </c>
      <c r="B698" s="988">
        <v>30682</v>
      </c>
      <c r="H698" s="986">
        <v>1.03E-2</v>
      </c>
      <c r="I698" s="986"/>
      <c r="J698" s="988">
        <v>30682</v>
      </c>
    </row>
    <row r="699" spans="1:10">
      <c r="A699" s="987">
        <v>70</v>
      </c>
      <c r="B699" s="988">
        <v>30713</v>
      </c>
      <c r="H699" s="986">
        <v>9.1999999999999998E-3</v>
      </c>
      <c r="I699" s="986"/>
      <c r="J699" s="988">
        <v>30713</v>
      </c>
    </row>
    <row r="700" spans="1:10">
      <c r="A700" s="987">
        <v>70</v>
      </c>
      <c r="B700" s="988">
        <v>30742</v>
      </c>
      <c r="H700" s="986">
        <v>9.7999999999999997E-3</v>
      </c>
      <c r="I700" s="986"/>
      <c r="J700" s="988">
        <v>30742</v>
      </c>
    </row>
    <row r="701" spans="1:10">
      <c r="A701" s="987">
        <v>70</v>
      </c>
      <c r="B701" s="988">
        <v>30773</v>
      </c>
      <c r="H701" s="986">
        <v>1.04E-2</v>
      </c>
      <c r="I701" s="986"/>
      <c r="J701" s="988">
        <v>30773</v>
      </c>
    </row>
    <row r="702" spans="1:10">
      <c r="A702" s="987">
        <v>70</v>
      </c>
      <c r="B702" s="988">
        <v>30803</v>
      </c>
      <c r="H702" s="986">
        <v>1.03E-2</v>
      </c>
      <c r="I702" s="986"/>
      <c r="J702" s="988">
        <v>30803</v>
      </c>
    </row>
    <row r="703" spans="1:10">
      <c r="A703" s="987">
        <v>70</v>
      </c>
      <c r="B703" s="988">
        <v>30834</v>
      </c>
      <c r="H703" s="986">
        <v>1.06E-2</v>
      </c>
      <c r="I703" s="986"/>
      <c r="J703" s="988">
        <v>30834</v>
      </c>
    </row>
    <row r="704" spans="1:10">
      <c r="A704" s="987">
        <v>70</v>
      </c>
      <c r="B704" s="988">
        <v>30864</v>
      </c>
      <c r="H704" s="986">
        <v>1.1599999999999999E-2</v>
      </c>
      <c r="I704" s="986"/>
      <c r="J704" s="988">
        <v>30864</v>
      </c>
    </row>
    <row r="705" spans="1:10">
      <c r="A705" s="987">
        <v>70</v>
      </c>
      <c r="B705" s="988">
        <v>30895</v>
      </c>
      <c r="H705" s="986">
        <v>1.06E-2</v>
      </c>
      <c r="I705" s="986"/>
      <c r="J705" s="988">
        <v>30895</v>
      </c>
    </row>
    <row r="706" spans="1:10">
      <c r="A706" s="987">
        <v>70</v>
      </c>
      <c r="B706" s="988">
        <v>30926</v>
      </c>
      <c r="H706" s="986">
        <v>9.4000000000000004E-3</v>
      </c>
      <c r="I706" s="986"/>
      <c r="J706" s="988">
        <v>30926</v>
      </c>
    </row>
    <row r="707" spans="1:10">
      <c r="A707" s="987">
        <v>70</v>
      </c>
      <c r="B707" s="988">
        <v>30956</v>
      </c>
      <c r="H707" s="986">
        <v>1.0800000000000001E-2</v>
      </c>
      <c r="I707" s="986"/>
      <c r="J707" s="988">
        <v>30956</v>
      </c>
    </row>
    <row r="708" spans="1:10">
      <c r="A708" s="987">
        <v>70</v>
      </c>
      <c r="B708" s="988">
        <v>30987</v>
      </c>
      <c r="H708" s="986">
        <v>9.1000000000000004E-3</v>
      </c>
      <c r="I708" s="986"/>
      <c r="J708" s="988">
        <v>30987</v>
      </c>
    </row>
    <row r="709" spans="1:10">
      <c r="A709" s="987">
        <v>70</v>
      </c>
      <c r="B709" s="988">
        <v>31017</v>
      </c>
      <c r="H709" s="986">
        <v>9.7999999999999997E-3</v>
      </c>
      <c r="I709" s="986"/>
      <c r="J709" s="988">
        <v>31017</v>
      </c>
    </row>
    <row r="710" spans="1:10">
      <c r="A710" s="987">
        <v>70</v>
      </c>
      <c r="B710" s="988">
        <v>31048</v>
      </c>
      <c r="H710" s="986">
        <v>9.5999999999999992E-3</v>
      </c>
      <c r="I710" s="986"/>
      <c r="J710" s="988">
        <v>31048</v>
      </c>
    </row>
    <row r="711" spans="1:10">
      <c r="A711" s="987">
        <v>70</v>
      </c>
      <c r="B711" s="988">
        <v>31079</v>
      </c>
      <c r="H711" s="986">
        <v>8.2000000000000007E-3</v>
      </c>
      <c r="I711" s="986"/>
      <c r="J711" s="988">
        <v>31079</v>
      </c>
    </row>
    <row r="712" spans="1:10">
      <c r="A712" s="987">
        <v>70</v>
      </c>
      <c r="B712" s="988">
        <v>31107</v>
      </c>
      <c r="H712" s="986">
        <v>9.4000000000000004E-3</v>
      </c>
      <c r="I712" s="986"/>
      <c r="J712" s="988">
        <v>31107</v>
      </c>
    </row>
    <row r="713" spans="1:10">
      <c r="A713" s="987">
        <v>70</v>
      </c>
      <c r="B713" s="988">
        <v>31138</v>
      </c>
      <c r="H713" s="986">
        <v>1.0200000000000001E-2</v>
      </c>
      <c r="I713" s="986"/>
      <c r="J713" s="988">
        <v>31138</v>
      </c>
    </row>
    <row r="714" spans="1:10">
      <c r="A714" s="987">
        <v>70</v>
      </c>
      <c r="B714" s="988">
        <v>31168</v>
      </c>
      <c r="H714" s="986">
        <v>9.7000000000000003E-3</v>
      </c>
      <c r="I714" s="986"/>
      <c r="J714" s="988">
        <v>31168</v>
      </c>
    </row>
    <row r="715" spans="1:10">
      <c r="A715" s="987">
        <v>70</v>
      </c>
      <c r="B715" s="988">
        <v>31199</v>
      </c>
      <c r="H715" s="986">
        <v>8.0000000000000002E-3</v>
      </c>
      <c r="I715" s="986"/>
      <c r="J715" s="988">
        <v>31199</v>
      </c>
    </row>
    <row r="716" spans="1:10">
      <c r="A716" s="987">
        <v>70</v>
      </c>
      <c r="B716" s="988">
        <v>31229</v>
      </c>
      <c r="H716" s="986">
        <v>9.4000000000000004E-3</v>
      </c>
      <c r="I716" s="986"/>
      <c r="J716" s="988">
        <v>31229</v>
      </c>
    </row>
    <row r="717" spans="1:10">
      <c r="A717" s="987">
        <v>70</v>
      </c>
      <c r="B717" s="988">
        <v>31260</v>
      </c>
      <c r="H717" s="986">
        <v>8.5000000000000006E-3</v>
      </c>
      <c r="I717" s="986"/>
      <c r="J717" s="988">
        <v>31260</v>
      </c>
    </row>
    <row r="718" spans="1:10">
      <c r="A718" s="987">
        <v>70</v>
      </c>
      <c r="B718" s="988">
        <v>31291</v>
      </c>
      <c r="H718" s="986">
        <v>8.8000000000000005E-3</v>
      </c>
      <c r="I718" s="986"/>
      <c r="J718" s="988">
        <v>31291</v>
      </c>
    </row>
    <row r="719" spans="1:10">
      <c r="A719" s="987">
        <v>70</v>
      </c>
      <c r="B719" s="988">
        <v>31321</v>
      </c>
      <c r="H719" s="986">
        <v>8.8999999999999999E-3</v>
      </c>
      <c r="I719" s="986"/>
      <c r="J719" s="988">
        <v>31321</v>
      </c>
    </row>
    <row r="720" spans="1:10">
      <c r="A720" s="987">
        <v>70</v>
      </c>
      <c r="B720" s="988">
        <v>31352</v>
      </c>
      <c r="H720" s="986">
        <v>8.0999999999999996E-3</v>
      </c>
      <c r="I720" s="986"/>
      <c r="J720" s="988">
        <v>31352</v>
      </c>
    </row>
    <row r="721" spans="1:10">
      <c r="A721" s="987">
        <v>70</v>
      </c>
      <c r="B721" s="988">
        <v>31382</v>
      </c>
      <c r="H721" s="986">
        <v>8.6E-3</v>
      </c>
      <c r="I721" s="986"/>
      <c r="J721" s="988">
        <v>31382</v>
      </c>
    </row>
    <row r="722" spans="1:10">
      <c r="A722" s="987">
        <v>70</v>
      </c>
      <c r="B722" s="988">
        <v>31413</v>
      </c>
      <c r="H722" s="986">
        <v>7.9000000000000008E-3</v>
      </c>
      <c r="I722" s="986"/>
      <c r="J722" s="988">
        <v>31413</v>
      </c>
    </row>
    <row r="723" spans="1:10">
      <c r="A723" s="987">
        <v>70</v>
      </c>
      <c r="B723" s="988">
        <v>31444</v>
      </c>
      <c r="H723" s="986">
        <v>7.3000000000000001E-3</v>
      </c>
      <c r="I723" s="986"/>
      <c r="J723" s="988">
        <v>31444</v>
      </c>
    </row>
    <row r="724" spans="1:10">
      <c r="A724" s="987">
        <v>70</v>
      </c>
      <c r="B724" s="988">
        <v>31472</v>
      </c>
      <c r="H724" s="986">
        <v>7.1000000000000004E-3</v>
      </c>
      <c r="I724" s="986"/>
      <c r="J724" s="988">
        <v>31472</v>
      </c>
    </row>
    <row r="725" spans="1:10">
      <c r="A725" s="987">
        <v>70</v>
      </c>
      <c r="B725" s="988">
        <v>31503</v>
      </c>
      <c r="H725" s="986">
        <v>6.3E-3</v>
      </c>
      <c r="I725" s="986"/>
      <c r="J725" s="988">
        <v>31503</v>
      </c>
    </row>
    <row r="726" spans="1:10">
      <c r="A726" s="987">
        <v>70</v>
      </c>
      <c r="B726" s="988">
        <v>31533</v>
      </c>
      <c r="H726" s="986">
        <v>6.1999999999999998E-3</v>
      </c>
      <c r="I726" s="986"/>
      <c r="J726" s="988">
        <v>31533</v>
      </c>
    </row>
    <row r="727" spans="1:10">
      <c r="A727" s="987">
        <v>70</v>
      </c>
      <c r="B727" s="988">
        <v>31564</v>
      </c>
      <c r="H727" s="986">
        <v>7.0000000000000001E-3</v>
      </c>
      <c r="I727" s="986"/>
      <c r="J727" s="988">
        <v>31564</v>
      </c>
    </row>
    <row r="728" spans="1:10">
      <c r="A728" s="987">
        <v>70</v>
      </c>
      <c r="B728" s="988">
        <v>31594</v>
      </c>
      <c r="H728" s="986">
        <v>6.6E-3</v>
      </c>
      <c r="I728" s="986"/>
      <c r="J728" s="988">
        <v>31594</v>
      </c>
    </row>
    <row r="729" spans="1:10">
      <c r="A729" s="987">
        <v>70</v>
      </c>
      <c r="B729" s="988">
        <v>31625</v>
      </c>
      <c r="H729" s="986">
        <v>6.3E-3</v>
      </c>
      <c r="I729" s="986"/>
      <c r="J729" s="988">
        <v>31625</v>
      </c>
    </row>
    <row r="730" spans="1:10">
      <c r="A730" s="987">
        <v>70</v>
      </c>
      <c r="B730" s="988">
        <v>31656</v>
      </c>
      <c r="H730" s="986">
        <v>6.4999999999999997E-3</v>
      </c>
      <c r="I730" s="986"/>
      <c r="J730" s="988">
        <v>31656</v>
      </c>
    </row>
    <row r="731" spans="1:10">
      <c r="A731" s="987">
        <v>70</v>
      </c>
      <c r="B731" s="988">
        <v>31686</v>
      </c>
      <c r="H731" s="986">
        <v>6.8999999999999999E-3</v>
      </c>
      <c r="I731" s="986"/>
      <c r="J731" s="988">
        <v>31686</v>
      </c>
    </row>
    <row r="732" spans="1:10">
      <c r="A732" s="987">
        <v>70</v>
      </c>
      <c r="B732" s="988">
        <v>31717</v>
      </c>
      <c r="H732" s="986">
        <v>5.8999999999999999E-3</v>
      </c>
      <c r="I732" s="986"/>
      <c r="J732" s="988">
        <v>31717</v>
      </c>
    </row>
    <row r="733" spans="1:10">
      <c r="A733" s="987">
        <v>70</v>
      </c>
      <c r="B733" s="988">
        <v>31747</v>
      </c>
      <c r="H733" s="986">
        <v>7.0000000000000001E-3</v>
      </c>
      <c r="I733" s="986"/>
      <c r="J733" s="988">
        <v>31747</v>
      </c>
    </row>
    <row r="734" spans="1:10">
      <c r="A734" s="987">
        <v>70</v>
      </c>
      <c r="B734" s="988">
        <v>31778</v>
      </c>
      <c r="H734" s="986">
        <v>6.4000000000000003E-3</v>
      </c>
      <c r="I734" s="986"/>
      <c r="J734" s="988">
        <v>31778</v>
      </c>
    </row>
    <row r="735" spans="1:10">
      <c r="A735" s="987">
        <v>70</v>
      </c>
      <c r="B735" s="988">
        <v>31809</v>
      </c>
      <c r="H735" s="986">
        <v>5.8999999999999999E-3</v>
      </c>
      <c r="I735" s="986"/>
      <c r="J735" s="988">
        <v>31809</v>
      </c>
    </row>
    <row r="736" spans="1:10">
      <c r="A736" s="987">
        <v>70</v>
      </c>
      <c r="B736" s="988">
        <v>31837</v>
      </c>
      <c r="H736" s="986">
        <v>6.6E-3</v>
      </c>
      <c r="I736" s="986"/>
      <c r="J736" s="988">
        <v>31837</v>
      </c>
    </row>
    <row r="737" spans="1:10">
      <c r="A737" s="987">
        <v>70</v>
      </c>
      <c r="B737" s="988">
        <v>31868</v>
      </c>
      <c r="H737" s="986">
        <v>6.4999999999999997E-3</v>
      </c>
      <c r="I737" s="986"/>
      <c r="J737" s="988">
        <v>31868</v>
      </c>
    </row>
    <row r="738" spans="1:10">
      <c r="A738" s="987">
        <v>70</v>
      </c>
      <c r="B738" s="988">
        <v>31898</v>
      </c>
      <c r="H738" s="986">
        <v>6.6E-3</v>
      </c>
      <c r="I738" s="986"/>
      <c r="J738" s="988">
        <v>31898</v>
      </c>
    </row>
    <row r="739" spans="1:10">
      <c r="A739" s="987">
        <v>70</v>
      </c>
      <c r="B739" s="988">
        <v>31929</v>
      </c>
      <c r="H739" s="986">
        <v>7.4999999999999997E-3</v>
      </c>
      <c r="I739" s="986"/>
      <c r="J739" s="988">
        <v>31929</v>
      </c>
    </row>
    <row r="740" spans="1:10">
      <c r="A740" s="987">
        <v>70</v>
      </c>
      <c r="B740" s="988">
        <v>31959</v>
      </c>
      <c r="H740" s="986">
        <v>7.3000000000000001E-3</v>
      </c>
      <c r="I740" s="986"/>
      <c r="J740" s="988">
        <v>31959</v>
      </c>
    </row>
    <row r="741" spans="1:10">
      <c r="A741" s="987">
        <v>70</v>
      </c>
      <c r="B741" s="988">
        <v>31990</v>
      </c>
      <c r="H741" s="986">
        <v>7.4999999999999997E-3</v>
      </c>
      <c r="I741" s="986"/>
      <c r="J741" s="988">
        <v>31990</v>
      </c>
    </row>
    <row r="742" spans="1:10">
      <c r="A742" s="987">
        <v>70</v>
      </c>
      <c r="B742" s="988">
        <v>32021</v>
      </c>
      <c r="H742" s="986">
        <v>7.4999999999999997E-3</v>
      </c>
      <c r="I742" s="986"/>
      <c r="J742" s="988">
        <v>32021</v>
      </c>
    </row>
    <row r="743" spans="1:10">
      <c r="A743" s="987">
        <v>70</v>
      </c>
      <c r="B743" s="988">
        <v>32051</v>
      </c>
      <c r="H743" s="986">
        <v>7.9000000000000008E-3</v>
      </c>
      <c r="I743" s="986"/>
      <c r="J743" s="988">
        <v>32051</v>
      </c>
    </row>
    <row r="744" spans="1:10">
      <c r="A744" s="987">
        <v>70</v>
      </c>
      <c r="B744" s="988">
        <v>32082</v>
      </c>
      <c r="H744" s="986">
        <v>7.4999999999999997E-3</v>
      </c>
      <c r="I744" s="986"/>
      <c r="J744" s="988">
        <v>32082</v>
      </c>
    </row>
    <row r="745" spans="1:10">
      <c r="A745" s="987">
        <v>70</v>
      </c>
      <c r="B745" s="988">
        <v>32112</v>
      </c>
      <c r="H745" s="986">
        <v>7.7999999999999996E-3</v>
      </c>
      <c r="I745" s="986"/>
      <c r="J745" s="988">
        <v>32112</v>
      </c>
    </row>
    <row r="746" spans="1:10">
      <c r="A746" s="987">
        <v>70</v>
      </c>
      <c r="B746" s="988">
        <v>32143</v>
      </c>
      <c r="H746" s="986">
        <v>7.1999999999999998E-3</v>
      </c>
      <c r="I746" s="986"/>
      <c r="J746" s="988">
        <v>32143</v>
      </c>
    </row>
    <row r="747" spans="1:10">
      <c r="A747" s="987">
        <v>70</v>
      </c>
      <c r="B747" s="988">
        <v>32174</v>
      </c>
      <c r="H747" s="986">
        <v>7.1000000000000004E-3</v>
      </c>
      <c r="I747" s="986"/>
      <c r="J747" s="988">
        <v>32174</v>
      </c>
    </row>
    <row r="748" spans="1:10">
      <c r="A748" s="987">
        <v>70</v>
      </c>
      <c r="B748" s="988">
        <v>32203</v>
      </c>
      <c r="H748" s="986">
        <v>7.1999999999999998E-3</v>
      </c>
      <c r="I748" s="986"/>
      <c r="J748" s="988">
        <v>32203</v>
      </c>
    </row>
    <row r="749" spans="1:10">
      <c r="A749" s="987">
        <v>70</v>
      </c>
      <c r="B749" s="988">
        <v>32234</v>
      </c>
      <c r="H749" s="986">
        <v>7.0000000000000001E-3</v>
      </c>
      <c r="I749" s="986"/>
      <c r="J749" s="988">
        <v>32234</v>
      </c>
    </row>
    <row r="750" spans="1:10">
      <c r="A750" s="987">
        <v>70</v>
      </c>
      <c r="B750" s="988">
        <v>32264</v>
      </c>
      <c r="H750" s="986">
        <v>7.7999999999999996E-3</v>
      </c>
      <c r="I750" s="986"/>
      <c r="J750" s="988">
        <v>32264</v>
      </c>
    </row>
    <row r="751" spans="1:10">
      <c r="A751" s="987">
        <v>70</v>
      </c>
      <c r="B751" s="988">
        <v>32295</v>
      </c>
      <c r="H751" s="986">
        <v>7.6E-3</v>
      </c>
      <c r="I751" s="986"/>
      <c r="J751" s="988">
        <v>32295</v>
      </c>
    </row>
    <row r="752" spans="1:10">
      <c r="A752" s="987">
        <v>70</v>
      </c>
      <c r="B752" s="988">
        <v>32325</v>
      </c>
      <c r="H752" s="986">
        <v>7.1000000000000004E-3</v>
      </c>
      <c r="I752" s="986"/>
      <c r="J752" s="988">
        <v>32325</v>
      </c>
    </row>
    <row r="753" spans="1:10">
      <c r="A753" s="987">
        <v>70</v>
      </c>
      <c r="B753" s="988">
        <v>32356</v>
      </c>
      <c r="H753" s="986">
        <v>8.3000000000000001E-3</v>
      </c>
      <c r="I753" s="986"/>
      <c r="J753" s="988">
        <v>32356</v>
      </c>
    </row>
    <row r="754" spans="1:10">
      <c r="A754" s="987">
        <v>70</v>
      </c>
      <c r="B754" s="988">
        <v>32387</v>
      </c>
      <c r="H754" s="986">
        <v>7.6E-3</v>
      </c>
      <c r="I754" s="986"/>
      <c r="J754" s="988">
        <v>32387</v>
      </c>
    </row>
    <row r="755" spans="1:10">
      <c r="A755" s="987">
        <v>70</v>
      </c>
      <c r="B755" s="988">
        <v>32417</v>
      </c>
      <c r="H755" s="986">
        <v>7.6E-3</v>
      </c>
      <c r="I755" s="986"/>
      <c r="J755" s="988">
        <v>32417</v>
      </c>
    </row>
    <row r="756" spans="1:10">
      <c r="A756" s="987">
        <v>70</v>
      </c>
      <c r="B756" s="988">
        <v>32448</v>
      </c>
      <c r="H756" s="986">
        <v>7.0000000000000001E-3</v>
      </c>
      <c r="I756" s="986"/>
      <c r="J756" s="988">
        <v>32448</v>
      </c>
    </row>
    <row r="757" spans="1:10">
      <c r="A757" s="987">
        <v>70</v>
      </c>
      <c r="B757" s="988">
        <v>32478</v>
      </c>
      <c r="H757" s="986">
        <v>7.4999999999999997E-3</v>
      </c>
      <c r="I757" s="986"/>
      <c r="J757" s="988">
        <v>32478</v>
      </c>
    </row>
    <row r="758" spans="1:10">
      <c r="A758" s="987">
        <v>70</v>
      </c>
      <c r="B758" s="988">
        <v>32509</v>
      </c>
      <c r="H758" s="986">
        <v>8.0000000000000002E-3</v>
      </c>
      <c r="I758" s="986"/>
      <c r="J758" s="988">
        <v>32509</v>
      </c>
    </row>
    <row r="759" spans="1:10">
      <c r="A759" s="987">
        <v>70</v>
      </c>
      <c r="B759" s="988">
        <v>32540</v>
      </c>
      <c r="H759" s="986">
        <v>6.8999999999999999E-3</v>
      </c>
      <c r="I759" s="986"/>
      <c r="J759" s="988">
        <v>32540</v>
      </c>
    </row>
    <row r="760" spans="1:10">
      <c r="A760" s="987">
        <v>70</v>
      </c>
      <c r="B760" s="988">
        <v>32568</v>
      </c>
      <c r="H760" s="986">
        <v>7.9000000000000008E-3</v>
      </c>
      <c r="I760" s="986"/>
      <c r="J760" s="988">
        <v>32568</v>
      </c>
    </row>
    <row r="761" spans="1:10">
      <c r="A761" s="987">
        <v>70</v>
      </c>
      <c r="B761" s="988">
        <v>32599</v>
      </c>
      <c r="H761" s="986">
        <v>7.0000000000000001E-3</v>
      </c>
      <c r="I761" s="986"/>
      <c r="J761" s="988">
        <v>32599</v>
      </c>
    </row>
    <row r="762" spans="1:10">
      <c r="A762" s="987">
        <v>70</v>
      </c>
      <c r="B762" s="988">
        <v>32629</v>
      </c>
      <c r="H762" s="986">
        <v>8.0000000000000002E-3</v>
      </c>
      <c r="I762" s="986"/>
      <c r="J762" s="988">
        <v>32629</v>
      </c>
    </row>
    <row r="763" spans="1:10">
      <c r="A763" s="987">
        <v>70</v>
      </c>
      <c r="B763" s="988">
        <v>32660</v>
      </c>
      <c r="H763" s="986">
        <v>7.0000000000000001E-3</v>
      </c>
      <c r="I763" s="986"/>
      <c r="J763" s="988">
        <v>32660</v>
      </c>
    </row>
    <row r="764" spans="1:10">
      <c r="A764" s="987">
        <v>70</v>
      </c>
      <c r="B764" s="988">
        <v>32690</v>
      </c>
      <c r="H764" s="986">
        <v>6.7999999999999996E-3</v>
      </c>
      <c r="I764" s="986"/>
      <c r="J764" s="988">
        <v>32690</v>
      </c>
    </row>
    <row r="765" spans="1:10">
      <c r="A765" s="987">
        <v>70</v>
      </c>
      <c r="B765" s="988">
        <v>32721</v>
      </c>
      <c r="H765" s="986">
        <v>6.6E-3</v>
      </c>
      <c r="I765" s="986"/>
      <c r="J765" s="988">
        <v>32721</v>
      </c>
    </row>
    <row r="766" spans="1:10">
      <c r="A766" s="987">
        <v>70</v>
      </c>
      <c r="B766" s="988">
        <v>32752</v>
      </c>
      <c r="H766" s="986">
        <v>6.4999999999999997E-3</v>
      </c>
      <c r="I766" s="986"/>
      <c r="J766" s="988">
        <v>32752</v>
      </c>
    </row>
    <row r="767" spans="1:10">
      <c r="A767" s="987">
        <v>70</v>
      </c>
      <c r="B767" s="988">
        <v>32782</v>
      </c>
      <c r="H767" s="986">
        <v>7.1999999999999998E-3</v>
      </c>
      <c r="I767" s="986"/>
      <c r="J767" s="988">
        <v>32782</v>
      </c>
    </row>
    <row r="768" spans="1:10">
      <c r="A768" s="987">
        <v>70</v>
      </c>
      <c r="B768" s="988">
        <v>32813</v>
      </c>
      <c r="H768" s="986">
        <v>6.4000000000000003E-3</v>
      </c>
      <c r="I768" s="986"/>
      <c r="J768" s="988">
        <v>32813</v>
      </c>
    </row>
    <row r="769" spans="1:10">
      <c r="A769" s="987">
        <v>70</v>
      </c>
      <c r="B769" s="988">
        <v>32843</v>
      </c>
      <c r="H769" s="986">
        <v>6.4000000000000003E-3</v>
      </c>
      <c r="I769" s="986"/>
      <c r="J769" s="988">
        <v>32843</v>
      </c>
    </row>
    <row r="770" spans="1:10">
      <c r="A770" s="987">
        <v>70</v>
      </c>
      <c r="B770" s="988">
        <v>32874</v>
      </c>
      <c r="H770" s="986">
        <v>7.3000000000000001E-3</v>
      </c>
      <c r="I770" s="986"/>
      <c r="J770" s="988">
        <v>32874</v>
      </c>
    </row>
    <row r="771" spans="1:10">
      <c r="A771" s="987">
        <v>70</v>
      </c>
      <c r="B771" s="988">
        <v>32905</v>
      </c>
      <c r="H771" s="986">
        <v>6.6E-3</v>
      </c>
      <c r="I771" s="986"/>
      <c r="J771" s="988">
        <v>32905</v>
      </c>
    </row>
    <row r="772" spans="1:10">
      <c r="A772" s="987">
        <v>70</v>
      </c>
      <c r="B772" s="988">
        <v>32933</v>
      </c>
      <c r="H772" s="986">
        <v>7.1000000000000004E-3</v>
      </c>
      <c r="I772" s="986"/>
      <c r="J772" s="988">
        <v>32933</v>
      </c>
    </row>
    <row r="773" spans="1:10">
      <c r="A773" s="987">
        <v>70</v>
      </c>
      <c r="B773" s="988">
        <v>32964</v>
      </c>
      <c r="H773" s="986">
        <v>7.4999999999999997E-3</v>
      </c>
      <c r="I773" s="986"/>
      <c r="J773" s="988">
        <v>32964</v>
      </c>
    </row>
    <row r="774" spans="1:10">
      <c r="A774" s="987">
        <v>70</v>
      </c>
      <c r="B774" s="988">
        <v>32994</v>
      </c>
      <c r="H774" s="986">
        <v>7.4999999999999997E-3</v>
      </c>
      <c r="I774" s="986"/>
      <c r="J774" s="988">
        <v>32994</v>
      </c>
    </row>
    <row r="775" spans="1:10">
      <c r="A775" s="987">
        <v>70</v>
      </c>
      <c r="B775" s="988">
        <v>33025</v>
      </c>
      <c r="H775" s="986">
        <v>6.7999999999999996E-3</v>
      </c>
      <c r="I775" s="986"/>
      <c r="J775" s="988">
        <v>33025</v>
      </c>
    </row>
    <row r="776" spans="1:10">
      <c r="A776" s="987">
        <v>70</v>
      </c>
      <c r="B776" s="988">
        <v>33055</v>
      </c>
      <c r="H776" s="986">
        <v>7.4000000000000003E-3</v>
      </c>
      <c r="I776" s="986"/>
      <c r="J776" s="988">
        <v>33055</v>
      </c>
    </row>
    <row r="777" spans="1:10">
      <c r="A777" s="987">
        <v>70</v>
      </c>
      <c r="B777" s="988">
        <v>33086</v>
      </c>
      <c r="H777" s="986">
        <v>7.1000000000000004E-3</v>
      </c>
      <c r="I777" s="986"/>
      <c r="J777" s="988">
        <v>33086</v>
      </c>
    </row>
    <row r="778" spans="1:10">
      <c r="A778" s="987">
        <v>70</v>
      </c>
      <c r="B778" s="988">
        <v>33117</v>
      </c>
      <c r="H778" s="986">
        <v>6.8999999999999999E-3</v>
      </c>
      <c r="I778" s="986"/>
      <c r="J778" s="988">
        <v>33117</v>
      </c>
    </row>
    <row r="779" spans="1:10">
      <c r="A779" s="987">
        <v>70</v>
      </c>
      <c r="B779" s="988">
        <v>33147</v>
      </c>
      <c r="H779" s="986">
        <v>8.0999999999999996E-3</v>
      </c>
      <c r="I779" s="986"/>
      <c r="J779" s="988">
        <v>33147</v>
      </c>
    </row>
    <row r="780" spans="1:10">
      <c r="A780" s="987">
        <v>70</v>
      </c>
      <c r="B780" s="988">
        <v>33178</v>
      </c>
      <c r="H780" s="986">
        <v>7.1000000000000004E-3</v>
      </c>
      <c r="I780" s="986"/>
      <c r="J780" s="988">
        <v>33178</v>
      </c>
    </row>
    <row r="781" spans="1:10">
      <c r="A781" s="987">
        <v>70</v>
      </c>
      <c r="B781" s="988">
        <v>33208</v>
      </c>
      <c r="H781" s="986">
        <v>7.1999999999999998E-3</v>
      </c>
      <c r="I781" s="986"/>
      <c r="J781" s="988">
        <v>33208</v>
      </c>
    </row>
    <row r="782" spans="1:10">
      <c r="A782" s="987">
        <v>70</v>
      </c>
      <c r="B782" s="988">
        <v>33239</v>
      </c>
      <c r="H782" s="986">
        <v>7.1000000000000004E-3</v>
      </c>
      <c r="I782" s="986"/>
      <c r="J782" s="988">
        <v>33239</v>
      </c>
    </row>
    <row r="783" spans="1:10">
      <c r="A783" s="987">
        <v>70</v>
      </c>
      <c r="B783" s="988">
        <v>33270</v>
      </c>
      <c r="H783" s="986">
        <v>6.4000000000000003E-3</v>
      </c>
      <c r="I783" s="986"/>
      <c r="J783" s="988">
        <v>33270</v>
      </c>
    </row>
    <row r="784" spans="1:10">
      <c r="A784" s="987">
        <v>70</v>
      </c>
      <c r="B784" s="988">
        <v>33298</v>
      </c>
      <c r="H784" s="986">
        <v>6.4000000000000003E-3</v>
      </c>
      <c r="I784" s="986"/>
      <c r="J784" s="988">
        <v>33298</v>
      </c>
    </row>
    <row r="785" spans="1:10">
      <c r="A785" s="987">
        <v>70</v>
      </c>
      <c r="B785" s="988">
        <v>33329</v>
      </c>
      <c r="H785" s="986">
        <v>7.6E-3</v>
      </c>
      <c r="I785" s="986"/>
      <c r="J785" s="988">
        <v>33329</v>
      </c>
    </row>
    <row r="786" spans="1:10">
      <c r="A786" s="987">
        <v>70</v>
      </c>
      <c r="B786" s="988">
        <v>33359</v>
      </c>
      <c r="H786" s="986">
        <v>6.7999999999999996E-3</v>
      </c>
      <c r="I786" s="986"/>
      <c r="J786" s="988">
        <v>33359</v>
      </c>
    </row>
    <row r="787" spans="1:10">
      <c r="A787" s="987">
        <v>70</v>
      </c>
      <c r="B787" s="988">
        <v>33390</v>
      </c>
      <c r="H787" s="986">
        <v>6.3E-3</v>
      </c>
      <c r="I787" s="986"/>
      <c r="J787" s="988">
        <v>33390</v>
      </c>
    </row>
    <row r="788" spans="1:10">
      <c r="A788" s="987">
        <v>70</v>
      </c>
      <c r="B788" s="988">
        <v>33420</v>
      </c>
      <c r="H788" s="986">
        <v>7.6E-3</v>
      </c>
      <c r="I788" s="986"/>
      <c r="J788" s="988">
        <v>33420</v>
      </c>
    </row>
    <row r="789" spans="1:10">
      <c r="A789" s="987">
        <v>70</v>
      </c>
      <c r="B789" s="988">
        <v>33451</v>
      </c>
      <c r="H789" s="986">
        <v>6.7999999999999996E-3</v>
      </c>
      <c r="I789" s="986"/>
      <c r="J789" s="988">
        <v>33451</v>
      </c>
    </row>
    <row r="790" spans="1:10">
      <c r="A790" s="987">
        <v>70</v>
      </c>
      <c r="B790" s="988">
        <v>33482</v>
      </c>
      <c r="H790" s="986">
        <v>6.7999999999999996E-3</v>
      </c>
      <c r="I790" s="986"/>
      <c r="J790" s="988">
        <v>33482</v>
      </c>
    </row>
    <row r="791" spans="1:10">
      <c r="A791" s="987">
        <v>70</v>
      </c>
      <c r="B791" s="988">
        <v>33512</v>
      </c>
      <c r="H791" s="986">
        <v>6.4999999999999997E-3</v>
      </c>
      <c r="I791" s="986"/>
      <c r="J791" s="988">
        <v>33512</v>
      </c>
    </row>
    <row r="792" spans="1:10">
      <c r="A792" s="987">
        <v>70</v>
      </c>
      <c r="B792" s="988">
        <v>33543</v>
      </c>
      <c r="H792" s="986">
        <v>6.0000000000000001E-3</v>
      </c>
      <c r="I792" s="986"/>
      <c r="J792" s="988">
        <v>33543</v>
      </c>
    </row>
    <row r="793" spans="1:10">
      <c r="A793" s="987">
        <v>70</v>
      </c>
      <c r="B793" s="988">
        <v>33573</v>
      </c>
      <c r="H793" s="986">
        <v>6.7999999999999996E-3</v>
      </c>
      <c r="I793" s="986"/>
      <c r="J793" s="988">
        <v>33573</v>
      </c>
    </row>
    <row r="794" spans="1:10">
      <c r="A794" s="987">
        <v>70</v>
      </c>
      <c r="B794" s="988">
        <v>33604</v>
      </c>
      <c r="H794" s="986">
        <v>6.1000000000000004E-3</v>
      </c>
      <c r="I794" s="986"/>
      <c r="J794" s="988">
        <v>33604</v>
      </c>
    </row>
    <row r="795" spans="1:10">
      <c r="A795" s="987">
        <v>70</v>
      </c>
      <c r="B795" s="988">
        <v>33635</v>
      </c>
      <c r="H795" s="986">
        <v>5.8999999999999999E-3</v>
      </c>
      <c r="I795" s="986"/>
      <c r="J795" s="988">
        <v>33635</v>
      </c>
    </row>
    <row r="796" spans="1:10">
      <c r="A796" s="987">
        <v>70</v>
      </c>
      <c r="B796" s="988">
        <v>33664</v>
      </c>
      <c r="H796" s="986">
        <v>6.7000000000000002E-3</v>
      </c>
      <c r="I796" s="986"/>
      <c r="J796" s="988">
        <v>33664</v>
      </c>
    </row>
    <row r="797" spans="1:10">
      <c r="A797" s="987">
        <v>70</v>
      </c>
      <c r="B797" s="988">
        <v>33695</v>
      </c>
      <c r="H797" s="986">
        <v>6.4999999999999997E-3</v>
      </c>
      <c r="I797" s="986"/>
      <c r="J797" s="988">
        <v>33695</v>
      </c>
    </row>
    <row r="798" spans="1:10">
      <c r="A798" s="987">
        <v>70</v>
      </c>
      <c r="B798" s="988">
        <v>33725</v>
      </c>
      <c r="H798" s="986">
        <v>6.1000000000000004E-3</v>
      </c>
      <c r="I798" s="986"/>
      <c r="J798" s="988">
        <v>33725</v>
      </c>
    </row>
    <row r="799" spans="1:10">
      <c r="A799" s="987">
        <v>70</v>
      </c>
      <c r="B799" s="988">
        <v>33756</v>
      </c>
      <c r="H799" s="986">
        <v>6.7000000000000002E-3</v>
      </c>
      <c r="I799" s="986"/>
      <c r="J799" s="988">
        <v>33756</v>
      </c>
    </row>
    <row r="800" spans="1:10">
      <c r="A800" s="987">
        <v>70</v>
      </c>
      <c r="B800" s="988">
        <v>33786</v>
      </c>
      <c r="H800" s="986">
        <v>6.3E-3</v>
      </c>
      <c r="I800" s="986"/>
      <c r="J800" s="988">
        <v>33786</v>
      </c>
    </row>
    <row r="801" spans="1:10">
      <c r="A801" s="987">
        <v>70</v>
      </c>
      <c r="B801" s="988">
        <v>33817</v>
      </c>
      <c r="H801" s="986">
        <v>6.0000000000000001E-3</v>
      </c>
      <c r="I801" s="986"/>
      <c r="J801" s="988">
        <v>33817</v>
      </c>
    </row>
    <row r="802" spans="1:10">
      <c r="A802" s="987">
        <v>70</v>
      </c>
      <c r="B802" s="988">
        <v>33848</v>
      </c>
      <c r="H802" s="986">
        <v>5.7999999999999996E-3</v>
      </c>
      <c r="I802" s="986"/>
      <c r="J802" s="988">
        <v>33848</v>
      </c>
    </row>
    <row r="803" spans="1:10">
      <c r="A803" s="987">
        <v>70</v>
      </c>
      <c r="B803" s="988">
        <v>33878</v>
      </c>
      <c r="H803" s="986">
        <v>5.7000000000000002E-3</v>
      </c>
      <c r="I803" s="986"/>
      <c r="J803" s="988">
        <v>33878</v>
      </c>
    </row>
    <row r="804" spans="1:10">
      <c r="A804" s="987">
        <v>70</v>
      </c>
      <c r="B804" s="988">
        <v>33909</v>
      </c>
      <c r="H804" s="986">
        <v>6.1000000000000004E-3</v>
      </c>
      <c r="I804" s="986"/>
      <c r="J804" s="988">
        <v>33909</v>
      </c>
    </row>
    <row r="805" spans="1:10">
      <c r="A805" s="987">
        <v>70</v>
      </c>
      <c r="B805" s="988">
        <v>33939</v>
      </c>
      <c r="H805" s="986">
        <v>6.3E-3</v>
      </c>
      <c r="I805" s="986"/>
      <c r="J805" s="988">
        <v>33939</v>
      </c>
    </row>
    <row r="806" spans="1:10">
      <c r="A806" s="987">
        <v>70</v>
      </c>
      <c r="B806" s="988">
        <v>33970</v>
      </c>
      <c r="H806" s="986">
        <v>5.8999999999999999E-3</v>
      </c>
      <c r="I806" s="986"/>
      <c r="J806" s="988">
        <v>33970</v>
      </c>
    </row>
    <row r="807" spans="1:10">
      <c r="A807" s="987">
        <v>70</v>
      </c>
      <c r="B807" s="988">
        <v>34001</v>
      </c>
      <c r="H807" s="986">
        <v>5.4999999999999997E-3</v>
      </c>
      <c r="I807" s="986"/>
      <c r="J807" s="988">
        <v>34001</v>
      </c>
    </row>
    <row r="808" spans="1:10">
      <c r="A808" s="987">
        <v>70</v>
      </c>
      <c r="B808" s="988">
        <v>34029</v>
      </c>
      <c r="H808" s="986">
        <v>6.3E-3</v>
      </c>
      <c r="I808" s="986"/>
      <c r="J808" s="988">
        <v>34029</v>
      </c>
    </row>
    <row r="809" spans="1:10">
      <c r="A809" s="987">
        <v>70</v>
      </c>
      <c r="B809" s="988">
        <v>34060</v>
      </c>
      <c r="H809" s="986">
        <v>5.7000000000000002E-3</v>
      </c>
      <c r="I809" s="986"/>
      <c r="J809" s="988">
        <v>34060</v>
      </c>
    </row>
    <row r="810" spans="1:10">
      <c r="A810" s="987">
        <v>70</v>
      </c>
      <c r="B810" s="988">
        <v>34090</v>
      </c>
      <c r="H810" s="986">
        <v>5.1999999999999998E-3</v>
      </c>
      <c r="I810" s="986"/>
      <c r="J810" s="988">
        <v>34090</v>
      </c>
    </row>
    <row r="811" spans="1:10">
      <c r="A811" s="987">
        <v>70</v>
      </c>
      <c r="B811" s="988">
        <v>34121</v>
      </c>
      <c r="H811" s="986">
        <v>6.1999999999999998E-3</v>
      </c>
      <c r="I811" s="986"/>
      <c r="J811" s="988">
        <v>34121</v>
      </c>
    </row>
    <row r="812" spans="1:10">
      <c r="A812" s="987">
        <v>70</v>
      </c>
      <c r="B812" s="988">
        <v>34151</v>
      </c>
      <c r="H812" s="986">
        <v>5.4000000000000003E-3</v>
      </c>
      <c r="I812" s="986"/>
      <c r="J812" s="988">
        <v>34151</v>
      </c>
    </row>
    <row r="813" spans="1:10">
      <c r="A813" s="987">
        <v>70</v>
      </c>
      <c r="B813" s="988">
        <v>34182</v>
      </c>
      <c r="H813" s="986">
        <v>5.5999999999999999E-3</v>
      </c>
      <c r="I813" s="986"/>
      <c r="J813" s="988">
        <v>34182</v>
      </c>
    </row>
    <row r="814" spans="1:10">
      <c r="A814" s="987">
        <v>70</v>
      </c>
      <c r="B814" s="988">
        <v>34213</v>
      </c>
      <c r="H814" s="986">
        <v>5.0000000000000001E-3</v>
      </c>
      <c r="I814" s="986"/>
      <c r="J814" s="988">
        <v>34213</v>
      </c>
    </row>
    <row r="815" spans="1:10">
      <c r="A815" s="987">
        <v>70</v>
      </c>
      <c r="B815" s="988">
        <v>34243</v>
      </c>
      <c r="H815" s="986">
        <v>4.8999999999999998E-3</v>
      </c>
      <c r="I815" s="986"/>
      <c r="J815" s="988">
        <v>34243</v>
      </c>
    </row>
    <row r="816" spans="1:10">
      <c r="A816" s="987">
        <v>70</v>
      </c>
      <c r="B816" s="988">
        <v>34274</v>
      </c>
      <c r="H816" s="986">
        <v>5.3E-3</v>
      </c>
      <c r="I816" s="986"/>
      <c r="J816" s="988">
        <v>34274</v>
      </c>
    </row>
    <row r="817" spans="1:10">
      <c r="A817" s="987">
        <v>70</v>
      </c>
      <c r="B817" s="988">
        <v>34304</v>
      </c>
      <c r="H817" s="986">
        <v>5.4999999999999997E-3</v>
      </c>
      <c r="I817" s="986"/>
      <c r="J817" s="988">
        <v>34304</v>
      </c>
    </row>
    <row r="818" spans="1:10">
      <c r="A818" s="987">
        <v>70</v>
      </c>
      <c r="B818" s="988">
        <v>34335</v>
      </c>
      <c r="H818" s="986">
        <v>5.4999999999999997E-3</v>
      </c>
      <c r="I818" s="986"/>
      <c r="J818" s="988">
        <v>34335</v>
      </c>
    </row>
    <row r="819" spans="1:10">
      <c r="A819" s="987">
        <v>70</v>
      </c>
      <c r="B819" s="988">
        <v>34366</v>
      </c>
      <c r="H819" s="986">
        <v>4.8999999999999998E-3</v>
      </c>
      <c r="I819" s="986"/>
      <c r="J819" s="988">
        <v>34366</v>
      </c>
    </row>
    <row r="820" spans="1:10">
      <c r="A820" s="987">
        <v>70</v>
      </c>
      <c r="B820" s="988">
        <v>34394</v>
      </c>
      <c r="H820" s="986">
        <v>5.7999999999999996E-3</v>
      </c>
      <c r="I820" s="986"/>
      <c r="J820" s="988">
        <v>34394</v>
      </c>
    </row>
    <row r="821" spans="1:10">
      <c r="A821" s="987">
        <v>70</v>
      </c>
      <c r="B821" s="988">
        <v>34425</v>
      </c>
      <c r="H821" s="986">
        <v>5.7000000000000002E-3</v>
      </c>
      <c r="I821" s="986"/>
      <c r="J821" s="988">
        <v>34425</v>
      </c>
    </row>
    <row r="822" spans="1:10">
      <c r="A822" s="987">
        <v>70</v>
      </c>
      <c r="B822" s="988">
        <v>34455</v>
      </c>
      <c r="H822" s="986">
        <v>6.3E-3</v>
      </c>
      <c r="I822" s="986"/>
      <c r="J822" s="988">
        <v>34455</v>
      </c>
    </row>
    <row r="823" spans="1:10">
      <c r="A823" s="987">
        <v>70</v>
      </c>
      <c r="B823" s="988">
        <v>34486</v>
      </c>
      <c r="H823" s="986">
        <v>6.1000000000000004E-3</v>
      </c>
      <c r="I823" s="986"/>
      <c r="J823" s="988">
        <v>34486</v>
      </c>
    </row>
    <row r="824" spans="1:10">
      <c r="A824" s="987">
        <v>70</v>
      </c>
      <c r="B824" s="988">
        <v>34516</v>
      </c>
      <c r="H824" s="986">
        <v>6.0000000000000001E-3</v>
      </c>
      <c r="I824" s="986"/>
      <c r="J824" s="988">
        <v>34516</v>
      </c>
    </row>
    <row r="825" spans="1:10">
      <c r="A825" s="987">
        <v>70</v>
      </c>
      <c r="B825" s="988">
        <v>34547</v>
      </c>
      <c r="H825" s="986">
        <v>6.6E-3</v>
      </c>
      <c r="I825" s="986"/>
      <c r="J825" s="988">
        <v>34547</v>
      </c>
    </row>
    <row r="826" spans="1:10">
      <c r="A826" s="987">
        <v>70</v>
      </c>
      <c r="B826" s="988">
        <v>34578</v>
      </c>
      <c r="H826" s="986">
        <v>6.1000000000000004E-3</v>
      </c>
      <c r="I826" s="986"/>
      <c r="J826" s="988">
        <v>34578</v>
      </c>
    </row>
    <row r="827" spans="1:10">
      <c r="A827" s="987">
        <v>70</v>
      </c>
      <c r="B827" s="988">
        <v>34608</v>
      </c>
      <c r="H827" s="986">
        <v>6.6E-3</v>
      </c>
      <c r="I827" s="986"/>
      <c r="J827" s="988">
        <v>34608</v>
      </c>
    </row>
    <row r="828" spans="1:10">
      <c r="A828" s="987">
        <v>70</v>
      </c>
      <c r="B828" s="988">
        <v>34639</v>
      </c>
      <c r="H828" s="986">
        <v>6.4000000000000003E-3</v>
      </c>
      <c r="I828" s="986"/>
      <c r="J828" s="988">
        <v>34639</v>
      </c>
    </row>
    <row r="829" spans="1:10">
      <c r="A829" s="987">
        <v>70</v>
      </c>
      <c r="B829" s="988">
        <v>34669</v>
      </c>
      <c r="H829" s="986">
        <v>6.6E-3</v>
      </c>
      <c r="I829" s="986"/>
      <c r="J829" s="988">
        <v>34669</v>
      </c>
    </row>
    <row r="830" spans="1:10">
      <c r="A830" s="987">
        <v>70</v>
      </c>
      <c r="B830" s="988">
        <v>34700</v>
      </c>
      <c r="H830" s="986">
        <v>7.0000000000000001E-3</v>
      </c>
      <c r="I830" s="986"/>
      <c r="J830" s="988">
        <v>34700</v>
      </c>
    </row>
    <row r="831" spans="1:10">
      <c r="A831" s="987">
        <v>70</v>
      </c>
      <c r="B831" s="988">
        <v>34731</v>
      </c>
      <c r="H831" s="986">
        <v>5.8999999999999999E-3</v>
      </c>
      <c r="I831" s="986"/>
      <c r="J831" s="988">
        <v>34731</v>
      </c>
    </row>
    <row r="832" spans="1:10">
      <c r="A832" s="987">
        <v>70</v>
      </c>
      <c r="B832" s="988">
        <v>34759</v>
      </c>
      <c r="H832" s="986">
        <v>6.4000000000000003E-3</v>
      </c>
      <c r="I832" s="986"/>
      <c r="J832" s="988">
        <v>34759</v>
      </c>
    </row>
    <row r="833" spans="1:10">
      <c r="A833" s="987">
        <v>70</v>
      </c>
      <c r="B833" s="988">
        <v>34790</v>
      </c>
      <c r="H833" s="986">
        <v>5.7999999999999996E-3</v>
      </c>
      <c r="I833" s="986"/>
      <c r="J833" s="988">
        <v>34790</v>
      </c>
    </row>
    <row r="834" spans="1:10">
      <c r="A834" s="987">
        <v>70</v>
      </c>
      <c r="B834" s="988">
        <v>34820</v>
      </c>
      <c r="H834" s="986">
        <v>6.4999999999999997E-3</v>
      </c>
      <c r="I834" s="986"/>
      <c r="J834" s="988">
        <v>34820</v>
      </c>
    </row>
    <row r="835" spans="1:10">
      <c r="A835" s="987">
        <v>70</v>
      </c>
      <c r="B835" s="988">
        <v>34851</v>
      </c>
      <c r="H835" s="986">
        <v>5.4000000000000003E-3</v>
      </c>
      <c r="I835" s="986"/>
      <c r="J835" s="988">
        <v>34851</v>
      </c>
    </row>
    <row r="836" spans="1:10">
      <c r="A836" s="987">
        <v>70</v>
      </c>
      <c r="B836" s="988">
        <v>34881</v>
      </c>
      <c r="H836" s="986">
        <v>5.5999999999999999E-3</v>
      </c>
      <c r="I836" s="986"/>
      <c r="J836" s="988">
        <v>34881</v>
      </c>
    </row>
    <row r="837" spans="1:10">
      <c r="A837" s="987">
        <v>70</v>
      </c>
      <c r="B837" s="988">
        <v>34912</v>
      </c>
      <c r="H837" s="986">
        <v>5.7000000000000002E-3</v>
      </c>
      <c r="I837" s="986"/>
      <c r="J837" s="988">
        <v>34912</v>
      </c>
    </row>
    <row r="838" spans="1:10">
      <c r="A838" s="987">
        <v>70</v>
      </c>
      <c r="B838" s="988">
        <v>34943</v>
      </c>
      <c r="H838" s="986">
        <v>5.1999999999999998E-3</v>
      </c>
      <c r="I838" s="986"/>
      <c r="J838" s="988">
        <v>34943</v>
      </c>
    </row>
    <row r="839" spans="1:10">
      <c r="A839" s="987">
        <v>70</v>
      </c>
      <c r="B839" s="988">
        <v>34973</v>
      </c>
      <c r="H839" s="986">
        <v>5.7000000000000002E-3</v>
      </c>
      <c r="I839" s="986"/>
      <c r="J839" s="988">
        <v>34973</v>
      </c>
    </row>
    <row r="840" spans="1:10">
      <c r="A840" s="987">
        <v>70</v>
      </c>
      <c r="B840" s="988">
        <v>35004</v>
      </c>
      <c r="H840" s="986">
        <v>5.1000000000000004E-3</v>
      </c>
      <c r="I840" s="986"/>
      <c r="J840" s="988">
        <v>35004</v>
      </c>
    </row>
    <row r="841" spans="1:10">
      <c r="A841" s="987">
        <v>70</v>
      </c>
      <c r="B841" s="988">
        <v>35034</v>
      </c>
      <c r="H841" s="986">
        <v>4.8999999999999998E-3</v>
      </c>
      <c r="I841" s="986"/>
      <c r="J841" s="988">
        <v>35034</v>
      </c>
    </row>
    <row r="842" spans="1:10">
      <c r="A842" s="987">
        <v>70</v>
      </c>
      <c r="B842" s="988">
        <v>35065</v>
      </c>
      <c r="H842" s="986">
        <v>5.4000000000000003E-3</v>
      </c>
      <c r="I842" s="986"/>
      <c r="J842" s="988">
        <v>35065</v>
      </c>
    </row>
    <row r="843" spans="1:10">
      <c r="A843" s="987">
        <v>70</v>
      </c>
      <c r="B843" s="988">
        <v>35096</v>
      </c>
      <c r="H843" s="986">
        <v>4.7999999999999996E-3</v>
      </c>
      <c r="I843" s="986"/>
      <c r="J843" s="988">
        <v>35096</v>
      </c>
    </row>
    <row r="844" spans="1:10">
      <c r="A844" s="987">
        <v>70</v>
      </c>
      <c r="B844" s="988">
        <v>35125</v>
      </c>
      <c r="H844" s="986">
        <v>5.1999999999999998E-3</v>
      </c>
      <c r="I844" s="986"/>
      <c r="J844" s="988">
        <v>35125</v>
      </c>
    </row>
    <row r="845" spans="1:10">
      <c r="A845" s="987">
        <v>70</v>
      </c>
      <c r="B845" s="988">
        <v>35156</v>
      </c>
      <c r="H845" s="986">
        <v>5.8999999999999999E-3</v>
      </c>
      <c r="I845" s="986"/>
      <c r="J845" s="988">
        <v>35156</v>
      </c>
    </row>
    <row r="846" spans="1:10">
      <c r="A846" s="987">
        <v>70</v>
      </c>
      <c r="B846" s="988">
        <v>35186</v>
      </c>
      <c r="H846" s="986">
        <v>5.7999999999999996E-3</v>
      </c>
      <c r="I846" s="986"/>
      <c r="J846" s="988">
        <v>35186</v>
      </c>
    </row>
    <row r="847" spans="1:10">
      <c r="A847" s="987">
        <v>70</v>
      </c>
      <c r="B847" s="988">
        <v>35217</v>
      </c>
      <c r="H847" s="986">
        <v>5.4000000000000003E-3</v>
      </c>
      <c r="I847" s="986"/>
      <c r="J847" s="988">
        <v>35217</v>
      </c>
    </row>
    <row r="848" spans="1:10">
      <c r="A848" s="987">
        <v>70</v>
      </c>
      <c r="B848" s="988">
        <v>35247</v>
      </c>
      <c r="H848" s="986">
        <v>6.1999999999999998E-3</v>
      </c>
      <c r="I848" s="986"/>
      <c r="J848" s="988">
        <v>35247</v>
      </c>
    </row>
    <row r="849" spans="1:10">
      <c r="A849" s="987">
        <v>70</v>
      </c>
      <c r="B849" s="988">
        <v>35278</v>
      </c>
      <c r="H849" s="986">
        <v>5.7000000000000002E-3</v>
      </c>
      <c r="I849" s="986"/>
      <c r="J849" s="988">
        <v>35278</v>
      </c>
    </row>
    <row r="850" spans="1:10">
      <c r="A850" s="987">
        <v>70</v>
      </c>
      <c r="B850" s="988">
        <v>35309</v>
      </c>
      <c r="H850" s="986">
        <v>6.0000000000000001E-3</v>
      </c>
      <c r="I850" s="986"/>
      <c r="J850" s="988">
        <v>35309</v>
      </c>
    </row>
    <row r="851" spans="1:10">
      <c r="A851" s="987">
        <v>70</v>
      </c>
      <c r="B851" s="988">
        <v>35339</v>
      </c>
      <c r="H851" s="986">
        <v>5.7999999999999996E-3</v>
      </c>
      <c r="I851" s="986"/>
      <c r="J851" s="988">
        <v>35339</v>
      </c>
    </row>
    <row r="852" spans="1:10">
      <c r="A852" s="987">
        <v>70</v>
      </c>
      <c r="B852" s="988">
        <v>35370</v>
      </c>
      <c r="H852" s="986">
        <v>5.1999999999999998E-3</v>
      </c>
      <c r="I852" s="986"/>
      <c r="J852" s="988">
        <v>35370</v>
      </c>
    </row>
    <row r="853" spans="1:10">
      <c r="A853" s="987">
        <v>70</v>
      </c>
      <c r="B853" s="988">
        <v>35400</v>
      </c>
      <c r="H853" s="986">
        <v>5.5999999999999999E-3</v>
      </c>
      <c r="I853" s="986"/>
      <c r="J853" s="988">
        <v>35400</v>
      </c>
    </row>
    <row r="854" spans="1:10">
      <c r="A854" s="987">
        <v>70</v>
      </c>
      <c r="B854" s="988">
        <v>35431</v>
      </c>
      <c r="H854" s="986">
        <v>5.5999999999999999E-3</v>
      </c>
      <c r="I854" s="986"/>
      <c r="J854" s="988">
        <v>35431</v>
      </c>
    </row>
    <row r="855" spans="1:10">
      <c r="A855" s="987">
        <v>70</v>
      </c>
      <c r="B855" s="988">
        <v>35462</v>
      </c>
      <c r="H855" s="986">
        <v>5.1000000000000004E-3</v>
      </c>
      <c r="I855" s="986"/>
      <c r="J855" s="988">
        <v>35462</v>
      </c>
    </row>
    <row r="856" spans="1:10">
      <c r="A856" s="987">
        <v>70</v>
      </c>
      <c r="B856" s="988">
        <v>35490</v>
      </c>
      <c r="H856" s="986">
        <v>5.8999999999999999E-3</v>
      </c>
      <c r="I856" s="986"/>
      <c r="J856" s="988">
        <v>35490</v>
      </c>
    </row>
    <row r="857" spans="1:10">
      <c r="A857" s="987">
        <v>70</v>
      </c>
      <c r="B857" s="988">
        <v>35521</v>
      </c>
      <c r="H857" s="986">
        <v>5.8999999999999999E-3</v>
      </c>
      <c r="I857" s="986"/>
      <c r="J857" s="988">
        <v>35521</v>
      </c>
    </row>
    <row r="858" spans="1:10">
      <c r="A858" s="987">
        <v>70</v>
      </c>
      <c r="B858" s="988">
        <v>35551</v>
      </c>
      <c r="H858" s="986">
        <v>5.7999999999999996E-3</v>
      </c>
      <c r="I858" s="986"/>
      <c r="J858" s="988">
        <v>35551</v>
      </c>
    </row>
    <row r="859" spans="1:10">
      <c r="A859" s="987">
        <v>70</v>
      </c>
      <c r="B859" s="988">
        <v>35582</v>
      </c>
      <c r="H859" s="986">
        <v>5.8999999999999999E-3</v>
      </c>
      <c r="I859" s="986"/>
      <c r="J859" s="988">
        <v>35582</v>
      </c>
    </row>
    <row r="860" spans="1:10">
      <c r="A860" s="987">
        <v>70</v>
      </c>
      <c r="B860" s="988">
        <v>35612</v>
      </c>
      <c r="H860" s="986">
        <v>5.7999999999999996E-3</v>
      </c>
      <c r="I860" s="986"/>
      <c r="J860" s="988">
        <v>35612</v>
      </c>
    </row>
    <row r="861" spans="1:10">
      <c r="A861" s="987">
        <v>70</v>
      </c>
      <c r="B861" s="988">
        <v>35643</v>
      </c>
      <c r="H861" s="986">
        <v>4.8999999999999998E-3</v>
      </c>
      <c r="I861" s="986"/>
      <c r="J861" s="988">
        <v>35643</v>
      </c>
    </row>
    <row r="862" spans="1:10">
      <c r="A862" s="987">
        <v>70</v>
      </c>
      <c r="B862" s="988">
        <v>35674</v>
      </c>
      <c r="H862" s="986">
        <v>5.7999999999999996E-3</v>
      </c>
      <c r="I862" s="986"/>
      <c r="J862" s="988">
        <v>35674</v>
      </c>
    </row>
    <row r="863" spans="1:10">
      <c r="A863" s="987">
        <v>70</v>
      </c>
      <c r="B863" s="988">
        <v>35704</v>
      </c>
      <c r="H863" s="986">
        <v>5.4000000000000003E-3</v>
      </c>
      <c r="I863" s="986"/>
      <c r="J863" s="988">
        <v>35704</v>
      </c>
    </row>
    <row r="864" spans="1:10">
      <c r="A864" s="987">
        <v>70</v>
      </c>
      <c r="B864" s="988">
        <v>35735</v>
      </c>
      <c r="H864" s="986">
        <v>4.7000000000000002E-3</v>
      </c>
      <c r="I864" s="986"/>
      <c r="J864" s="988">
        <v>35735</v>
      </c>
    </row>
    <row r="865" spans="1:10">
      <c r="A865" s="987">
        <v>70</v>
      </c>
      <c r="B865" s="988">
        <v>35765</v>
      </c>
      <c r="H865" s="986">
        <v>5.4000000000000003E-3</v>
      </c>
      <c r="I865" s="986"/>
      <c r="J865" s="988">
        <v>35765</v>
      </c>
    </row>
    <row r="866" spans="1:10">
      <c r="A866" s="987">
        <v>70</v>
      </c>
      <c r="B866" s="988">
        <v>35796</v>
      </c>
      <c r="H866" s="986">
        <v>4.7999999999999996E-3</v>
      </c>
      <c r="I866" s="986"/>
      <c r="J866" s="988">
        <v>35796</v>
      </c>
    </row>
    <row r="867" spans="1:10">
      <c r="A867" s="987">
        <v>70</v>
      </c>
      <c r="B867" s="988">
        <v>35827</v>
      </c>
      <c r="H867" s="986">
        <v>4.4000000000000003E-3</v>
      </c>
      <c r="I867" s="986"/>
      <c r="J867" s="988">
        <v>35827</v>
      </c>
    </row>
    <row r="868" spans="1:10">
      <c r="A868" s="987">
        <v>70</v>
      </c>
      <c r="B868" s="988">
        <v>35855</v>
      </c>
      <c r="H868" s="986">
        <v>5.1999999999999998E-3</v>
      </c>
      <c r="I868" s="986"/>
      <c r="J868" s="988">
        <v>35855</v>
      </c>
    </row>
    <row r="869" spans="1:10">
      <c r="A869" s="987">
        <v>70</v>
      </c>
      <c r="B869" s="988">
        <v>35886</v>
      </c>
      <c r="H869" s="986">
        <v>4.8999999999999998E-3</v>
      </c>
      <c r="I869" s="986"/>
      <c r="J869" s="988">
        <v>35886</v>
      </c>
    </row>
    <row r="870" spans="1:10">
      <c r="A870" s="987">
        <v>70</v>
      </c>
      <c r="B870" s="988">
        <v>35916</v>
      </c>
      <c r="H870" s="986">
        <v>4.7999999999999996E-3</v>
      </c>
      <c r="I870" s="986"/>
      <c r="J870" s="988">
        <v>35916</v>
      </c>
    </row>
    <row r="871" spans="1:10">
      <c r="A871" s="987">
        <v>70</v>
      </c>
      <c r="B871" s="988">
        <v>35947</v>
      </c>
      <c r="H871" s="986">
        <v>5.1999999999999998E-3</v>
      </c>
      <c r="I871" s="986"/>
      <c r="J871" s="988">
        <v>35947</v>
      </c>
    </row>
    <row r="872" spans="1:10">
      <c r="A872" s="987">
        <v>70</v>
      </c>
      <c r="B872" s="988">
        <v>35977</v>
      </c>
      <c r="H872" s="986">
        <v>4.8999999999999998E-3</v>
      </c>
      <c r="I872" s="986"/>
      <c r="J872" s="988">
        <v>35977</v>
      </c>
    </row>
    <row r="873" spans="1:10">
      <c r="A873" s="987">
        <v>70</v>
      </c>
      <c r="B873" s="988">
        <v>36008</v>
      </c>
      <c r="H873" s="986">
        <v>4.7999999999999996E-3</v>
      </c>
      <c r="I873" s="986"/>
      <c r="J873" s="988">
        <v>36008</v>
      </c>
    </row>
    <row r="874" spans="1:10">
      <c r="A874" s="987">
        <v>70</v>
      </c>
      <c r="B874" s="988">
        <v>36039</v>
      </c>
      <c r="H874" s="986">
        <v>4.4000000000000003E-3</v>
      </c>
      <c r="I874" s="986"/>
      <c r="J874" s="988">
        <v>36039</v>
      </c>
    </row>
    <row r="875" spans="1:10">
      <c r="A875" s="987">
        <v>70</v>
      </c>
      <c r="B875" s="988">
        <v>36069</v>
      </c>
      <c r="H875" s="986">
        <v>4.1999999999999997E-3</v>
      </c>
      <c r="I875" s="986"/>
      <c r="J875" s="988">
        <v>36069</v>
      </c>
    </row>
    <row r="876" spans="1:10">
      <c r="A876" s="987">
        <v>70</v>
      </c>
      <c r="B876" s="988">
        <v>36100</v>
      </c>
      <c r="H876" s="986">
        <v>4.4999999999999997E-3</v>
      </c>
      <c r="I876" s="986"/>
      <c r="J876" s="988">
        <v>36100</v>
      </c>
    </row>
    <row r="877" spans="1:10">
      <c r="A877" s="987">
        <v>70</v>
      </c>
      <c r="B877" s="988">
        <v>36130</v>
      </c>
      <c r="H877" s="986">
        <v>4.4999999999999997E-3</v>
      </c>
      <c r="I877" s="986"/>
      <c r="J877" s="988">
        <v>36130</v>
      </c>
    </row>
    <row r="878" spans="1:10">
      <c r="A878" s="987">
        <v>70</v>
      </c>
      <c r="B878" s="988">
        <v>36161</v>
      </c>
      <c r="H878" s="986">
        <v>4.1999999999999997E-3</v>
      </c>
      <c r="I878" s="986"/>
      <c r="J878" s="988">
        <v>36161</v>
      </c>
    </row>
    <row r="879" spans="1:10">
      <c r="A879" s="987">
        <v>70</v>
      </c>
      <c r="B879" s="988">
        <v>36192</v>
      </c>
      <c r="H879" s="986">
        <v>4.0000000000000001E-3</v>
      </c>
      <c r="I879" s="986"/>
      <c r="J879" s="988">
        <v>36192</v>
      </c>
    </row>
    <row r="880" spans="1:10">
      <c r="A880" s="987">
        <v>70</v>
      </c>
      <c r="B880" s="988">
        <v>36220</v>
      </c>
      <c r="H880" s="986">
        <v>5.3E-3</v>
      </c>
      <c r="I880" s="986"/>
      <c r="J880" s="988">
        <v>36220</v>
      </c>
    </row>
    <row r="881" spans="1:10">
      <c r="A881" s="987">
        <v>70</v>
      </c>
      <c r="B881" s="988">
        <v>36251</v>
      </c>
      <c r="H881" s="986">
        <v>4.7999999999999996E-3</v>
      </c>
      <c r="I881" s="986"/>
      <c r="J881" s="988">
        <v>36251</v>
      </c>
    </row>
    <row r="882" spans="1:10">
      <c r="A882" s="987">
        <v>70</v>
      </c>
      <c r="B882" s="988">
        <v>36281</v>
      </c>
      <c r="H882" s="986">
        <v>4.4999999999999997E-3</v>
      </c>
      <c r="I882" s="986"/>
      <c r="J882" s="988">
        <v>36281</v>
      </c>
    </row>
    <row r="883" spans="1:10">
      <c r="A883" s="987">
        <v>70</v>
      </c>
      <c r="B883" s="988">
        <v>36312</v>
      </c>
      <c r="H883" s="986">
        <v>5.4999999999999997E-3</v>
      </c>
      <c r="I883" s="986"/>
      <c r="J883" s="988">
        <v>36312</v>
      </c>
    </row>
    <row r="884" spans="1:10">
      <c r="A884" s="987">
        <v>70</v>
      </c>
      <c r="B884" s="988">
        <v>36342</v>
      </c>
      <c r="H884" s="986">
        <v>5.1000000000000004E-3</v>
      </c>
      <c r="I884" s="986"/>
      <c r="J884" s="988">
        <v>36342</v>
      </c>
    </row>
    <row r="885" spans="1:10">
      <c r="A885" s="987">
        <v>70</v>
      </c>
      <c r="B885" s="988">
        <v>36373</v>
      </c>
      <c r="H885" s="986">
        <v>5.4000000000000003E-3</v>
      </c>
      <c r="I885" s="986"/>
      <c r="J885" s="988">
        <v>36373</v>
      </c>
    </row>
    <row r="886" spans="1:10">
      <c r="A886" s="987">
        <v>70</v>
      </c>
      <c r="B886" s="988">
        <v>36404</v>
      </c>
      <c r="H886" s="986">
        <v>5.1999999999999998E-3</v>
      </c>
      <c r="I886" s="986"/>
      <c r="J886" s="988">
        <v>36404</v>
      </c>
    </row>
    <row r="887" spans="1:10">
      <c r="A887" s="987">
        <v>70</v>
      </c>
      <c r="B887" s="988">
        <v>36434</v>
      </c>
      <c r="H887" s="986">
        <v>5.0000000000000001E-3</v>
      </c>
      <c r="I887" s="986"/>
      <c r="J887" s="988">
        <v>36434</v>
      </c>
    </row>
    <row r="888" spans="1:10">
      <c r="A888" s="987">
        <v>70</v>
      </c>
      <c r="B888" s="988">
        <v>36465</v>
      </c>
      <c r="H888" s="986">
        <v>5.5999999999999999E-3</v>
      </c>
      <c r="I888" s="986"/>
      <c r="J888" s="988">
        <v>36465</v>
      </c>
    </row>
    <row r="889" spans="1:10">
      <c r="A889" s="987">
        <v>70</v>
      </c>
      <c r="B889" s="988">
        <v>36495</v>
      </c>
      <c r="H889" s="986">
        <v>5.4999999999999997E-3</v>
      </c>
      <c r="I889" s="986"/>
      <c r="J889" s="988">
        <v>36495</v>
      </c>
    </row>
    <row r="890" spans="1:10">
      <c r="A890" s="987">
        <v>70</v>
      </c>
      <c r="B890" s="988">
        <v>36526</v>
      </c>
      <c r="H890" s="986">
        <v>5.7000000000000002E-3</v>
      </c>
      <c r="I890" s="986"/>
      <c r="J890" s="988">
        <v>36526</v>
      </c>
    </row>
    <row r="891" spans="1:10">
      <c r="A891" s="987">
        <v>70</v>
      </c>
      <c r="B891" s="988">
        <v>36557</v>
      </c>
      <c r="H891" s="986">
        <v>5.1000000000000004E-3</v>
      </c>
      <c r="I891" s="986"/>
      <c r="J891" s="988">
        <v>36557</v>
      </c>
    </row>
    <row r="892" spans="1:10">
      <c r="A892" s="987">
        <v>70</v>
      </c>
      <c r="B892" s="988">
        <v>36586</v>
      </c>
      <c r="H892" s="986">
        <v>5.4000000000000003E-3</v>
      </c>
      <c r="I892" s="986"/>
      <c r="J892" s="988">
        <v>36586</v>
      </c>
    </row>
    <row r="893" spans="1:10">
      <c r="A893" s="987">
        <v>70</v>
      </c>
      <c r="B893" s="988">
        <v>36617</v>
      </c>
      <c r="H893" s="986">
        <v>4.7000000000000002E-3</v>
      </c>
      <c r="I893" s="986"/>
      <c r="J893" s="988">
        <v>36617</v>
      </c>
    </row>
    <row r="894" spans="1:10">
      <c r="A894" s="987">
        <v>70</v>
      </c>
      <c r="B894" s="988">
        <v>36647</v>
      </c>
      <c r="H894" s="986">
        <v>5.5999999999999999E-3</v>
      </c>
      <c r="I894" s="986"/>
      <c r="J894" s="988">
        <v>36647</v>
      </c>
    </row>
    <row r="895" spans="1:10">
      <c r="A895" s="987">
        <v>70</v>
      </c>
      <c r="B895" s="988">
        <v>36678</v>
      </c>
      <c r="H895" s="986">
        <v>5.1999999999999998E-3</v>
      </c>
      <c r="I895" s="986"/>
      <c r="J895" s="988">
        <v>36678</v>
      </c>
    </row>
    <row r="896" spans="1:10">
      <c r="A896" s="987">
        <v>70</v>
      </c>
      <c r="B896" s="988">
        <v>36708</v>
      </c>
      <c r="H896" s="986">
        <v>5.1999999999999998E-3</v>
      </c>
      <c r="I896" s="986"/>
      <c r="J896" s="988">
        <v>36708</v>
      </c>
    </row>
    <row r="897" spans="1:10">
      <c r="A897" s="987">
        <v>70</v>
      </c>
      <c r="B897" s="988">
        <v>36739</v>
      </c>
      <c r="H897" s="986">
        <v>5.0000000000000001E-3</v>
      </c>
      <c r="I897" s="986"/>
      <c r="J897" s="988">
        <v>36739</v>
      </c>
    </row>
    <row r="898" spans="1:10">
      <c r="A898" s="987">
        <v>70</v>
      </c>
      <c r="B898" s="988">
        <v>36770</v>
      </c>
      <c r="H898" s="986">
        <v>4.5999999999999999E-3</v>
      </c>
      <c r="I898" s="986"/>
      <c r="J898" s="988">
        <v>36770</v>
      </c>
    </row>
    <row r="899" spans="1:10">
      <c r="A899" s="987">
        <v>70</v>
      </c>
      <c r="B899" s="988">
        <v>36800</v>
      </c>
      <c r="H899" s="986">
        <v>5.3E-3</v>
      </c>
      <c r="I899" s="986"/>
      <c r="J899" s="988">
        <v>36800</v>
      </c>
    </row>
    <row r="900" spans="1:10">
      <c r="A900" s="987">
        <v>70</v>
      </c>
      <c r="B900" s="988">
        <v>36831</v>
      </c>
      <c r="H900" s="986">
        <v>4.7999999999999996E-3</v>
      </c>
      <c r="I900" s="986"/>
      <c r="J900" s="988">
        <v>36831</v>
      </c>
    </row>
    <row r="901" spans="1:10">
      <c r="A901" s="987">
        <v>70</v>
      </c>
      <c r="B901" s="988">
        <v>36861</v>
      </c>
      <c r="H901" s="986">
        <v>4.4999999999999997E-3</v>
      </c>
      <c r="I901" s="986"/>
      <c r="J901" s="988">
        <v>36861</v>
      </c>
    </row>
    <row r="902" spans="1:10">
      <c r="A902" s="987">
        <v>70</v>
      </c>
      <c r="B902" s="988">
        <v>36892</v>
      </c>
      <c r="H902" s="986">
        <v>4.8999999999999998E-3</v>
      </c>
      <c r="I902" s="986"/>
      <c r="J902" s="988">
        <v>36892</v>
      </c>
    </row>
    <row r="903" spans="1:10">
      <c r="A903" s="987">
        <v>70</v>
      </c>
      <c r="B903" s="988">
        <v>36923</v>
      </c>
      <c r="H903" s="986">
        <v>4.1999999999999997E-3</v>
      </c>
      <c r="I903" s="986"/>
      <c r="J903" s="988">
        <v>36923</v>
      </c>
    </row>
    <row r="904" spans="1:10">
      <c r="A904" s="987">
        <v>70</v>
      </c>
      <c r="B904" s="988">
        <v>36951</v>
      </c>
      <c r="H904" s="986">
        <v>4.4999999999999997E-3</v>
      </c>
      <c r="I904" s="986"/>
      <c r="J904" s="988">
        <v>36951</v>
      </c>
    </row>
    <row r="905" spans="1:10">
      <c r="A905" s="987">
        <v>70</v>
      </c>
      <c r="B905" s="988">
        <v>36982</v>
      </c>
      <c r="H905" s="986">
        <v>4.7000000000000002E-3</v>
      </c>
      <c r="I905" s="986"/>
      <c r="J905" s="988">
        <v>36982</v>
      </c>
    </row>
    <row r="906" spans="1:10">
      <c r="A906" s="987">
        <v>70</v>
      </c>
      <c r="B906" s="988">
        <v>37012</v>
      </c>
      <c r="H906" s="986">
        <v>5.0000000000000001E-3</v>
      </c>
      <c r="I906" s="986"/>
      <c r="J906" s="988">
        <v>37012</v>
      </c>
    </row>
    <row r="907" spans="1:10">
      <c r="A907" s="987">
        <v>70</v>
      </c>
      <c r="B907" s="988">
        <v>37043</v>
      </c>
      <c r="H907" s="986">
        <v>4.7000000000000002E-3</v>
      </c>
      <c r="I907" s="986"/>
      <c r="J907" s="988">
        <v>37043</v>
      </c>
    </row>
    <row r="908" spans="1:10">
      <c r="A908" s="987">
        <v>70</v>
      </c>
      <c r="B908" s="988">
        <v>37073</v>
      </c>
      <c r="H908" s="986">
        <v>5.1999999999999998E-3</v>
      </c>
      <c r="I908" s="986"/>
      <c r="J908" s="988">
        <v>37073</v>
      </c>
    </row>
    <row r="909" spans="1:10">
      <c r="A909" s="987">
        <v>70</v>
      </c>
      <c r="B909" s="988">
        <v>37104</v>
      </c>
      <c r="H909" s="986">
        <v>4.5999999999999999E-3</v>
      </c>
      <c r="I909" s="986"/>
      <c r="J909" s="988">
        <v>37104</v>
      </c>
    </row>
    <row r="910" spans="1:10">
      <c r="A910" s="987">
        <v>70</v>
      </c>
      <c r="B910" s="988">
        <v>37135</v>
      </c>
      <c r="H910" s="986">
        <v>4.1000000000000003E-3</v>
      </c>
      <c r="I910" s="986"/>
      <c r="J910" s="988">
        <v>37135</v>
      </c>
    </row>
    <row r="911" spans="1:10">
      <c r="A911" s="987">
        <v>70</v>
      </c>
      <c r="B911" s="988">
        <v>37165</v>
      </c>
      <c r="H911" s="986">
        <v>4.7999999999999996E-3</v>
      </c>
      <c r="I911" s="986"/>
      <c r="J911" s="988">
        <v>37165</v>
      </c>
    </row>
    <row r="912" spans="1:10">
      <c r="A912" s="987">
        <v>70</v>
      </c>
      <c r="B912" s="988">
        <v>37196</v>
      </c>
      <c r="H912" s="986">
        <v>4.1000000000000003E-3</v>
      </c>
      <c r="I912" s="986"/>
      <c r="J912" s="988">
        <v>37196</v>
      </c>
    </row>
    <row r="913" spans="1:10">
      <c r="A913" s="987">
        <v>70</v>
      </c>
      <c r="B913" s="988">
        <v>37226</v>
      </c>
      <c r="H913" s="986">
        <v>4.5999999999999999E-3</v>
      </c>
      <c r="I913" s="986"/>
      <c r="J913" s="988">
        <v>37226</v>
      </c>
    </row>
    <row r="914" spans="1:10">
      <c r="A914" s="987">
        <v>70</v>
      </c>
      <c r="B914" s="988">
        <v>37257</v>
      </c>
      <c r="H914" s="986">
        <v>4.7999999999999996E-3</v>
      </c>
      <c r="I914" s="986"/>
      <c r="J914" s="988">
        <v>37257</v>
      </c>
    </row>
    <row r="915" spans="1:10">
      <c r="A915" s="987">
        <v>70</v>
      </c>
      <c r="B915" s="988">
        <v>37288</v>
      </c>
      <c r="H915" s="986">
        <v>4.3E-3</v>
      </c>
      <c r="I915" s="986"/>
      <c r="J915" s="988">
        <v>37288</v>
      </c>
    </row>
    <row r="916" spans="1:10">
      <c r="A916" s="987">
        <v>70</v>
      </c>
      <c r="B916" s="988">
        <v>37316</v>
      </c>
      <c r="H916" s="986">
        <v>4.3E-3</v>
      </c>
      <c r="I916" s="986"/>
      <c r="J916" s="988">
        <v>37316</v>
      </c>
    </row>
    <row r="917" spans="1:10">
      <c r="A917" s="987">
        <v>70</v>
      </c>
      <c r="B917" s="988">
        <v>37347</v>
      </c>
      <c r="H917" s="986">
        <v>5.4000000000000003E-3</v>
      </c>
      <c r="I917" s="986"/>
      <c r="J917" s="988">
        <v>37347</v>
      </c>
    </row>
    <row r="918" spans="1:10">
      <c r="A918" s="987">
        <v>70</v>
      </c>
      <c r="B918" s="988">
        <v>37377</v>
      </c>
      <c r="H918" s="986">
        <v>4.8999999999999998E-3</v>
      </c>
      <c r="I918" s="986"/>
      <c r="J918" s="988">
        <v>37377</v>
      </c>
    </row>
    <row r="919" spans="1:10">
      <c r="A919" s="987">
        <v>70</v>
      </c>
      <c r="B919" s="988">
        <v>37408</v>
      </c>
      <c r="H919" s="986">
        <v>4.4000000000000003E-3</v>
      </c>
      <c r="I919" s="986"/>
      <c r="J919" s="988">
        <v>37408</v>
      </c>
    </row>
    <row r="920" spans="1:10">
      <c r="A920" s="987">
        <v>70</v>
      </c>
      <c r="B920" s="988">
        <v>37438</v>
      </c>
      <c r="H920" s="986">
        <v>5.1000000000000004E-3</v>
      </c>
      <c r="I920" s="986"/>
      <c r="J920" s="988">
        <v>37438</v>
      </c>
    </row>
    <row r="921" spans="1:10">
      <c r="A921" s="987">
        <v>70</v>
      </c>
      <c r="B921" s="988">
        <v>37469</v>
      </c>
      <c r="H921" s="986">
        <v>4.4000000000000003E-3</v>
      </c>
      <c r="I921" s="986"/>
      <c r="J921" s="988">
        <v>37469</v>
      </c>
    </row>
    <row r="922" spans="1:10">
      <c r="A922" s="987">
        <v>70</v>
      </c>
      <c r="B922" s="988">
        <v>37500</v>
      </c>
      <c r="H922" s="986">
        <v>4.1999999999999997E-3</v>
      </c>
      <c r="I922" s="986"/>
      <c r="J922" s="988">
        <v>37500</v>
      </c>
    </row>
    <row r="923" spans="1:10">
      <c r="A923" s="987">
        <v>70</v>
      </c>
      <c r="B923" s="988">
        <v>37530</v>
      </c>
      <c r="H923" s="986">
        <v>4.0000000000000001E-3</v>
      </c>
      <c r="I923" s="986"/>
      <c r="J923" s="988">
        <v>37530</v>
      </c>
    </row>
    <row r="924" spans="1:10">
      <c r="A924" s="987">
        <v>70</v>
      </c>
      <c r="B924" s="988">
        <v>37561</v>
      </c>
      <c r="H924" s="986">
        <v>4.0000000000000001E-3</v>
      </c>
      <c r="I924" s="986"/>
      <c r="J924" s="988">
        <v>37561</v>
      </c>
    </row>
    <row r="925" spans="1:10">
      <c r="A925" s="987">
        <v>70</v>
      </c>
      <c r="B925" s="988">
        <v>37591</v>
      </c>
      <c r="H925" s="986">
        <v>4.4999999999999997E-3</v>
      </c>
      <c r="I925" s="986"/>
      <c r="J925" s="988">
        <v>37591</v>
      </c>
    </row>
    <row r="926" spans="1:10">
      <c r="A926" s="987">
        <v>70</v>
      </c>
      <c r="B926" s="988">
        <v>37622</v>
      </c>
      <c r="H926" s="986">
        <v>4.1000000000000003E-3</v>
      </c>
      <c r="I926" s="986"/>
      <c r="J926" s="988">
        <v>37622</v>
      </c>
    </row>
    <row r="927" spans="1:10">
      <c r="A927" s="987">
        <v>70</v>
      </c>
      <c r="B927" s="988">
        <v>37653</v>
      </c>
      <c r="H927" s="986">
        <v>3.8E-3</v>
      </c>
      <c r="I927" s="986"/>
      <c r="J927" s="988">
        <v>37653</v>
      </c>
    </row>
    <row r="928" spans="1:10">
      <c r="A928" s="987">
        <v>70</v>
      </c>
      <c r="B928" s="988">
        <v>37681</v>
      </c>
      <c r="H928" s="986">
        <v>4.0000000000000001E-3</v>
      </c>
      <c r="I928" s="986"/>
      <c r="J928" s="988">
        <v>37681</v>
      </c>
    </row>
    <row r="929" spans="1:10">
      <c r="A929" s="987">
        <v>70</v>
      </c>
      <c r="B929" s="988">
        <v>37712</v>
      </c>
      <c r="H929" s="986">
        <v>4.0000000000000001E-3</v>
      </c>
      <c r="I929" s="986"/>
      <c r="J929" s="988">
        <v>37712</v>
      </c>
    </row>
    <row r="930" spans="1:10">
      <c r="A930" s="987">
        <v>70</v>
      </c>
      <c r="B930" s="988">
        <v>37742</v>
      </c>
      <c r="H930" s="986">
        <v>3.8999999999999998E-3</v>
      </c>
      <c r="I930" s="986"/>
      <c r="J930" s="988">
        <v>37742</v>
      </c>
    </row>
    <row r="931" spans="1:10">
      <c r="A931" s="987">
        <v>70</v>
      </c>
      <c r="B931" s="988">
        <v>37773</v>
      </c>
      <c r="H931" s="986">
        <v>3.5999999999999999E-3</v>
      </c>
      <c r="I931" s="986"/>
      <c r="J931" s="988">
        <v>37773</v>
      </c>
    </row>
    <row r="932" spans="1:10">
      <c r="A932" s="987">
        <v>70</v>
      </c>
      <c r="B932" s="988">
        <v>37803</v>
      </c>
      <c r="H932" s="986">
        <v>3.8E-3</v>
      </c>
      <c r="I932" s="986"/>
      <c r="J932" s="988">
        <v>37803</v>
      </c>
    </row>
    <row r="933" spans="1:10">
      <c r="A933" s="987">
        <v>70</v>
      </c>
      <c r="B933" s="988">
        <v>37834</v>
      </c>
      <c r="H933" s="986">
        <v>4.1999999999999997E-3</v>
      </c>
      <c r="I933" s="986"/>
      <c r="J933" s="988">
        <v>37834</v>
      </c>
    </row>
    <row r="934" spans="1:10">
      <c r="A934" s="987">
        <v>70</v>
      </c>
      <c r="B934" s="988">
        <v>37865</v>
      </c>
      <c r="H934" s="986">
        <v>4.5999999999999999E-3</v>
      </c>
      <c r="I934" s="986"/>
      <c r="J934" s="988">
        <v>37865</v>
      </c>
    </row>
    <row r="935" spans="1:10">
      <c r="A935" s="987">
        <v>70</v>
      </c>
      <c r="B935" s="988">
        <v>37895</v>
      </c>
      <c r="H935" s="986">
        <v>4.1000000000000003E-3</v>
      </c>
      <c r="I935" s="986"/>
      <c r="J935" s="988">
        <v>37895</v>
      </c>
    </row>
    <row r="936" spans="1:10">
      <c r="A936" s="987">
        <v>70</v>
      </c>
      <c r="B936" s="988">
        <v>37926</v>
      </c>
      <c r="H936" s="986">
        <v>3.8999999999999998E-3</v>
      </c>
      <c r="I936" s="986"/>
      <c r="J936" s="988">
        <v>37926</v>
      </c>
    </row>
    <row r="937" spans="1:10">
      <c r="A937" s="987">
        <v>70</v>
      </c>
      <c r="B937" s="988">
        <v>37956</v>
      </c>
      <c r="H937" s="986">
        <v>4.7000000000000002E-3</v>
      </c>
      <c r="I937" s="986"/>
      <c r="J937" s="988">
        <v>37956</v>
      </c>
    </row>
    <row r="938" spans="1:10">
      <c r="A938" s="987">
        <v>70</v>
      </c>
      <c r="B938" s="988">
        <v>37987</v>
      </c>
      <c r="H938" s="986">
        <v>4.1999999999999997E-3</v>
      </c>
      <c r="I938" s="986"/>
      <c r="J938" s="988">
        <v>37987</v>
      </c>
    </row>
    <row r="939" spans="1:10">
      <c r="A939" s="987">
        <v>70</v>
      </c>
      <c r="B939" s="988">
        <v>38018</v>
      </c>
      <c r="H939" s="986">
        <v>3.8E-3</v>
      </c>
      <c r="I939" s="986"/>
      <c r="J939" s="988">
        <v>38018</v>
      </c>
    </row>
    <row r="940" spans="1:10">
      <c r="A940" s="987">
        <v>70</v>
      </c>
      <c r="B940" s="988">
        <v>38047</v>
      </c>
      <c r="H940" s="986">
        <v>4.3E-3</v>
      </c>
      <c r="I940" s="986"/>
      <c r="J940" s="988">
        <v>38047</v>
      </c>
    </row>
    <row r="941" spans="1:10">
      <c r="A941" s="987">
        <v>70</v>
      </c>
      <c r="B941" s="988">
        <v>38078</v>
      </c>
      <c r="H941" s="986">
        <v>3.8999999999999998E-3</v>
      </c>
      <c r="I941" s="986"/>
      <c r="J941" s="988">
        <v>38078</v>
      </c>
    </row>
    <row r="942" spans="1:10">
      <c r="A942" s="987">
        <v>70</v>
      </c>
      <c r="B942" s="988">
        <v>38108</v>
      </c>
      <c r="H942" s="986">
        <v>4.0000000000000001E-3</v>
      </c>
      <c r="I942" s="986"/>
      <c r="J942" s="988">
        <v>38108</v>
      </c>
    </row>
    <row r="943" spans="1:10">
      <c r="A943" s="987">
        <v>70</v>
      </c>
      <c r="B943" s="988">
        <v>38139</v>
      </c>
      <c r="H943" s="986">
        <v>4.7999999999999996E-3</v>
      </c>
      <c r="I943" s="986"/>
      <c r="J943" s="988">
        <v>38139</v>
      </c>
    </row>
    <row r="944" spans="1:10">
      <c r="A944" s="987">
        <v>70</v>
      </c>
      <c r="B944" s="988">
        <v>38169</v>
      </c>
      <c r="H944" s="986">
        <v>4.3E-3</v>
      </c>
      <c r="I944" s="986"/>
      <c r="J944" s="988">
        <v>38169</v>
      </c>
    </row>
    <row r="945" spans="1:10">
      <c r="A945" s="987">
        <v>70</v>
      </c>
      <c r="B945" s="988">
        <v>38200</v>
      </c>
      <c r="H945" s="986">
        <v>4.4999999999999997E-3</v>
      </c>
      <c r="I945" s="986"/>
      <c r="J945" s="988">
        <v>38200</v>
      </c>
    </row>
    <row r="946" spans="1:10">
      <c r="A946" s="987">
        <v>70</v>
      </c>
      <c r="B946" s="988">
        <v>38231</v>
      </c>
      <c r="H946" s="986">
        <v>4.0000000000000001E-3</v>
      </c>
      <c r="I946" s="986"/>
      <c r="J946" s="988">
        <v>38231</v>
      </c>
    </row>
    <row r="947" spans="1:10">
      <c r="A947" s="987">
        <v>70</v>
      </c>
      <c r="B947" s="988">
        <v>38261</v>
      </c>
      <c r="H947" s="986">
        <v>3.8E-3</v>
      </c>
      <c r="I947" s="986"/>
      <c r="J947" s="988">
        <v>38261</v>
      </c>
    </row>
    <row r="948" spans="1:10">
      <c r="A948" s="987">
        <v>70</v>
      </c>
      <c r="B948" s="988">
        <v>38292</v>
      </c>
      <c r="H948" s="986">
        <v>4.1000000000000003E-3</v>
      </c>
      <c r="I948" s="986"/>
      <c r="J948" s="988">
        <v>38292</v>
      </c>
    </row>
    <row r="949" spans="1:10">
      <c r="A949" s="987">
        <v>70</v>
      </c>
      <c r="B949" s="988">
        <v>38322</v>
      </c>
      <c r="H949" s="986">
        <v>4.3E-3</v>
      </c>
      <c r="I949" s="986"/>
      <c r="J949" s="988">
        <v>38322</v>
      </c>
    </row>
    <row r="950" spans="1:10">
      <c r="A950" s="987">
        <v>70</v>
      </c>
      <c r="B950" s="988">
        <v>38353</v>
      </c>
      <c r="H950" s="986">
        <v>4.1000000000000003E-3</v>
      </c>
      <c r="I950" s="986"/>
      <c r="J950" s="988">
        <v>38353</v>
      </c>
    </row>
    <row r="951" spans="1:10">
      <c r="A951" s="987">
        <v>70</v>
      </c>
      <c r="B951" s="988">
        <v>38384</v>
      </c>
      <c r="H951" s="986">
        <v>3.5000000000000001E-3</v>
      </c>
      <c r="I951" s="986"/>
      <c r="J951" s="988">
        <v>38384</v>
      </c>
    </row>
    <row r="952" spans="1:10">
      <c r="A952" s="987">
        <v>70</v>
      </c>
      <c r="B952" s="988">
        <v>38412</v>
      </c>
      <c r="H952" s="986">
        <v>4.1000000000000003E-3</v>
      </c>
      <c r="I952" s="986"/>
      <c r="J952" s="988">
        <v>38412</v>
      </c>
    </row>
    <row r="953" spans="1:10">
      <c r="A953" s="987">
        <v>70</v>
      </c>
      <c r="B953" s="988">
        <v>38443</v>
      </c>
      <c r="H953" s="986">
        <v>3.8999999999999998E-3</v>
      </c>
      <c r="I953" s="986"/>
      <c r="J953" s="988">
        <v>38443</v>
      </c>
    </row>
    <row r="954" spans="1:10">
      <c r="A954" s="987">
        <v>70</v>
      </c>
      <c r="B954" s="988">
        <v>38473</v>
      </c>
      <c r="H954" s="986">
        <v>4.0000000000000001E-3</v>
      </c>
      <c r="I954" s="986"/>
      <c r="J954" s="988">
        <v>38473</v>
      </c>
    </row>
    <row r="955" spans="1:10">
      <c r="A955" s="987">
        <v>70</v>
      </c>
      <c r="B955" s="988">
        <v>38504</v>
      </c>
      <c r="H955" s="986">
        <v>3.5999999999999999E-3</v>
      </c>
      <c r="I955" s="986"/>
      <c r="J955" s="988">
        <v>38504</v>
      </c>
    </row>
    <row r="956" spans="1:10">
      <c r="A956" s="987">
        <v>70</v>
      </c>
      <c r="B956" s="988">
        <v>38534</v>
      </c>
      <c r="H956" s="986">
        <v>3.3999999999999998E-3</v>
      </c>
      <c r="I956" s="986"/>
      <c r="J956" s="988">
        <v>38534</v>
      </c>
    </row>
    <row r="957" spans="1:10">
      <c r="A957" s="987">
        <v>70</v>
      </c>
      <c r="B957" s="988">
        <v>38565</v>
      </c>
      <c r="H957" s="986">
        <v>4.0000000000000001E-3</v>
      </c>
      <c r="I957" s="986"/>
      <c r="J957" s="988">
        <v>38565</v>
      </c>
    </row>
    <row r="958" spans="1:10">
      <c r="A958" s="987">
        <v>70</v>
      </c>
      <c r="B958" s="988">
        <v>38596</v>
      </c>
      <c r="H958" s="986">
        <v>3.5000000000000001E-3</v>
      </c>
      <c r="I958" s="986"/>
      <c r="J958" s="988">
        <v>38596</v>
      </c>
    </row>
    <row r="959" spans="1:10">
      <c r="A959" s="987">
        <v>70</v>
      </c>
      <c r="B959" s="988">
        <v>38626</v>
      </c>
      <c r="H959" s="986">
        <v>3.8999999999999998E-3</v>
      </c>
      <c r="I959" s="986"/>
      <c r="J959" s="988">
        <v>38626</v>
      </c>
    </row>
    <row r="960" spans="1:10">
      <c r="A960" s="987">
        <v>70</v>
      </c>
      <c r="B960" s="988">
        <v>38657</v>
      </c>
      <c r="H960" s="986">
        <v>3.8999999999999998E-3</v>
      </c>
      <c r="I960" s="986"/>
      <c r="J960" s="988">
        <v>38657</v>
      </c>
    </row>
    <row r="961" spans="1:10">
      <c r="A961" s="987">
        <v>70</v>
      </c>
      <c r="B961" s="988">
        <v>38687</v>
      </c>
      <c r="H961" s="986">
        <v>3.8999999999999998E-3</v>
      </c>
      <c r="I961" s="986"/>
      <c r="J961" s="988">
        <v>38687</v>
      </c>
    </row>
    <row r="962" spans="1:10">
      <c r="A962" s="987">
        <v>70</v>
      </c>
      <c r="B962" s="988">
        <v>38718</v>
      </c>
      <c r="H962" s="986">
        <v>4.0000000000000001E-3</v>
      </c>
      <c r="I962" s="986"/>
      <c r="J962" s="988">
        <v>38718</v>
      </c>
    </row>
    <row r="963" spans="1:10">
      <c r="A963" s="987">
        <v>70</v>
      </c>
      <c r="B963" s="988">
        <v>38749</v>
      </c>
      <c r="H963" s="986">
        <v>3.5999999999999999E-3</v>
      </c>
      <c r="I963" s="986"/>
      <c r="J963" s="988">
        <v>38749</v>
      </c>
    </row>
    <row r="964" spans="1:10">
      <c r="A964" s="987">
        <v>70</v>
      </c>
      <c r="B964" s="988">
        <v>38777</v>
      </c>
      <c r="H964" s="986">
        <v>3.8999999999999998E-3</v>
      </c>
      <c r="I964" s="986"/>
      <c r="J964" s="988">
        <v>38777</v>
      </c>
    </row>
    <row r="965" spans="1:10">
      <c r="A965" s="987">
        <v>70</v>
      </c>
      <c r="B965" s="988">
        <v>38808</v>
      </c>
      <c r="H965" s="986">
        <v>3.8999999999999998E-3</v>
      </c>
      <c r="I965" s="986"/>
      <c r="J965" s="988">
        <v>38808</v>
      </c>
    </row>
    <row r="966" spans="1:10">
      <c r="A966" s="987">
        <v>70</v>
      </c>
      <c r="B966" s="988">
        <v>38838</v>
      </c>
      <c r="H966" s="986">
        <v>4.7999999999999996E-3</v>
      </c>
      <c r="I966" s="986"/>
      <c r="J966" s="988">
        <v>38838</v>
      </c>
    </row>
    <row r="967" spans="1:10">
      <c r="A967" s="987">
        <v>70</v>
      </c>
      <c r="B967" s="988">
        <v>38869</v>
      </c>
      <c r="H967" s="986">
        <v>4.4000000000000003E-3</v>
      </c>
      <c r="I967" s="986"/>
      <c r="J967" s="988">
        <v>38869</v>
      </c>
    </row>
    <row r="968" spans="1:10">
      <c r="A968" s="987">
        <v>70</v>
      </c>
      <c r="B968" s="988">
        <v>38899</v>
      </c>
      <c r="H968" s="986">
        <v>4.4999999999999997E-3</v>
      </c>
      <c r="I968" s="986"/>
      <c r="J968" s="988">
        <v>38899</v>
      </c>
    </row>
    <row r="969" spans="1:10">
      <c r="A969" s="987">
        <v>70</v>
      </c>
      <c r="B969" s="988">
        <v>38930</v>
      </c>
      <c r="H969" s="986">
        <v>4.3E-3</v>
      </c>
      <c r="I969" s="986"/>
      <c r="J969" s="988">
        <v>38930</v>
      </c>
    </row>
    <row r="970" spans="1:10">
      <c r="A970" s="987">
        <v>70</v>
      </c>
      <c r="B970" s="988">
        <v>38961</v>
      </c>
      <c r="H970" s="986">
        <v>3.8999999999999998E-3</v>
      </c>
      <c r="I970" s="986"/>
      <c r="J970" s="988">
        <v>38961</v>
      </c>
    </row>
    <row r="971" spans="1:10">
      <c r="A971" s="987">
        <v>70</v>
      </c>
      <c r="B971" s="988">
        <v>38991</v>
      </c>
      <c r="H971" s="986">
        <v>4.1999999999999997E-3</v>
      </c>
      <c r="I971" s="986"/>
      <c r="J971" s="988">
        <v>38991</v>
      </c>
    </row>
    <row r="972" spans="1:10">
      <c r="A972" s="987">
        <v>70</v>
      </c>
      <c r="B972" s="988">
        <v>39022</v>
      </c>
      <c r="H972" s="986">
        <v>3.8999999999999998E-3</v>
      </c>
      <c r="I972" s="986"/>
      <c r="J972" s="988">
        <v>39022</v>
      </c>
    </row>
    <row r="973" spans="1:10">
      <c r="A973" s="987">
        <v>70</v>
      </c>
      <c r="B973" s="988">
        <v>39052</v>
      </c>
      <c r="H973" s="986">
        <v>3.5999999999999999E-3</v>
      </c>
      <c r="I973" s="986"/>
      <c r="J973" s="988">
        <v>39052</v>
      </c>
    </row>
    <row r="974" spans="1:10">
      <c r="A974" s="987">
        <v>70</v>
      </c>
      <c r="B974" s="988">
        <v>39083</v>
      </c>
      <c r="H974" s="986">
        <v>4.3E-3</v>
      </c>
      <c r="I974" s="986"/>
      <c r="J974" s="988">
        <v>39083</v>
      </c>
    </row>
    <row r="975" spans="1:10">
      <c r="A975" s="987">
        <v>70</v>
      </c>
      <c r="B975" s="988">
        <v>39114</v>
      </c>
      <c r="H975" s="986">
        <v>3.8E-3</v>
      </c>
      <c r="I975" s="986"/>
      <c r="J975" s="988">
        <v>39114</v>
      </c>
    </row>
    <row r="976" spans="1:10">
      <c r="A976" s="987">
        <v>70</v>
      </c>
      <c r="B976" s="988">
        <v>39142</v>
      </c>
      <c r="H976" s="986">
        <v>3.8999999999999998E-3</v>
      </c>
      <c r="I976" s="986"/>
      <c r="J976" s="988">
        <v>39142</v>
      </c>
    </row>
    <row r="977" spans="1:10">
      <c r="A977" s="987">
        <v>70</v>
      </c>
      <c r="B977" s="988">
        <v>39173</v>
      </c>
      <c r="H977" s="986">
        <v>4.1999999999999997E-3</v>
      </c>
      <c r="I977" s="986"/>
      <c r="J977" s="988">
        <v>39173</v>
      </c>
    </row>
    <row r="978" spans="1:10">
      <c r="A978" s="987">
        <v>70</v>
      </c>
      <c r="B978" s="988">
        <v>39203</v>
      </c>
      <c r="H978" s="986">
        <v>4.1000000000000003E-3</v>
      </c>
      <c r="I978" s="986"/>
      <c r="J978" s="988">
        <v>39203</v>
      </c>
    </row>
    <row r="979" spans="1:10">
      <c r="A979" s="987">
        <v>70</v>
      </c>
      <c r="B979" s="988">
        <v>39234</v>
      </c>
      <c r="H979" s="986">
        <v>4.0000000000000001E-3</v>
      </c>
      <c r="I979" s="986"/>
      <c r="J979" s="988">
        <v>39234</v>
      </c>
    </row>
    <row r="980" spans="1:10">
      <c r="A980" s="987">
        <v>70</v>
      </c>
      <c r="B980" s="988">
        <v>39264</v>
      </c>
      <c r="H980" s="986">
        <v>4.5999999999999999E-3</v>
      </c>
      <c r="I980" s="986"/>
      <c r="J980" s="988">
        <v>39264</v>
      </c>
    </row>
    <row r="981" spans="1:10">
      <c r="A981" s="987">
        <v>70</v>
      </c>
      <c r="B981" s="988">
        <v>39295</v>
      </c>
      <c r="H981" s="986">
        <v>4.1999999999999997E-3</v>
      </c>
      <c r="I981" s="986"/>
      <c r="J981" s="988">
        <v>39295</v>
      </c>
    </row>
    <row r="982" spans="1:10">
      <c r="A982" s="987">
        <v>70</v>
      </c>
      <c r="B982" s="988">
        <v>39326</v>
      </c>
      <c r="H982" s="986">
        <v>3.7000000000000002E-3</v>
      </c>
      <c r="I982" s="986"/>
      <c r="J982" s="988">
        <v>39326</v>
      </c>
    </row>
    <row r="983" spans="1:10">
      <c r="A983" s="987">
        <v>70</v>
      </c>
      <c r="B983" s="988">
        <v>39356</v>
      </c>
      <c r="H983" s="986">
        <v>4.3E-3</v>
      </c>
      <c r="I983" s="986"/>
      <c r="J983" s="988">
        <v>39356</v>
      </c>
    </row>
    <row r="984" spans="1:10">
      <c r="A984" s="987">
        <v>70</v>
      </c>
      <c r="B984" s="988">
        <v>39387</v>
      </c>
      <c r="H984" s="986">
        <v>3.8999999999999998E-3</v>
      </c>
      <c r="I984" s="986"/>
      <c r="J984" s="988">
        <v>39387</v>
      </c>
    </row>
    <row r="985" spans="1:10">
      <c r="A985" s="987">
        <v>70</v>
      </c>
      <c r="B985" s="988">
        <v>39417</v>
      </c>
      <c r="H985" s="986">
        <v>3.7000000000000002E-3</v>
      </c>
      <c r="I985" s="986"/>
      <c r="J985" s="988">
        <v>39417</v>
      </c>
    </row>
    <row r="986" spans="1:10">
      <c r="A986" s="987">
        <v>70</v>
      </c>
      <c r="B986" s="988">
        <v>39448</v>
      </c>
      <c r="H986" s="986">
        <v>4.0000000000000001E-3</v>
      </c>
      <c r="I986" s="986"/>
      <c r="J986" s="988">
        <v>39448</v>
      </c>
    </row>
    <row r="987" spans="1:10">
      <c r="A987" s="987">
        <v>70</v>
      </c>
      <c r="B987" s="988">
        <v>39479</v>
      </c>
      <c r="H987" s="986">
        <v>3.3999999999999998E-3</v>
      </c>
      <c r="I987" s="986"/>
      <c r="J987" s="988">
        <v>39479</v>
      </c>
    </row>
    <row r="988" spans="1:10">
      <c r="A988" s="987">
        <v>70</v>
      </c>
      <c r="B988" s="988">
        <v>39508</v>
      </c>
      <c r="H988" s="986">
        <v>3.7000000000000002E-3</v>
      </c>
      <c r="I988" s="986"/>
      <c r="J988" s="988">
        <v>39508</v>
      </c>
    </row>
    <row r="989" spans="1:10">
      <c r="A989" s="987">
        <v>70</v>
      </c>
      <c r="B989" s="988">
        <v>39539</v>
      </c>
      <c r="H989" s="986">
        <v>3.5000000000000001E-3</v>
      </c>
      <c r="I989" s="986"/>
      <c r="J989" s="988">
        <v>39539</v>
      </c>
    </row>
    <row r="990" spans="1:10">
      <c r="A990" s="987">
        <v>70</v>
      </c>
      <c r="B990" s="988">
        <v>39569</v>
      </c>
      <c r="H990" s="986">
        <v>3.7000000000000002E-3</v>
      </c>
      <c r="I990" s="986"/>
      <c r="J990" s="988">
        <v>39569</v>
      </c>
    </row>
    <row r="991" spans="1:10">
      <c r="A991" s="987">
        <v>70</v>
      </c>
      <c r="B991" s="988">
        <v>39600</v>
      </c>
      <c r="H991" s="986">
        <v>4.0000000000000001E-3</v>
      </c>
      <c r="I991" s="986"/>
      <c r="J991" s="988">
        <v>39600</v>
      </c>
    </row>
    <row r="992" spans="1:10">
      <c r="A992" s="987">
        <v>70</v>
      </c>
      <c r="B992" s="988">
        <v>39630</v>
      </c>
      <c r="H992" s="986">
        <v>3.8999999999999998E-3</v>
      </c>
      <c r="I992" s="986"/>
      <c r="J992" s="988">
        <v>39630</v>
      </c>
    </row>
    <row r="993" spans="1:10">
      <c r="A993" s="987">
        <v>70</v>
      </c>
      <c r="B993" s="988">
        <v>39661</v>
      </c>
      <c r="H993" s="986">
        <v>3.5999999999999999E-3</v>
      </c>
      <c r="I993" s="986"/>
      <c r="J993" s="988">
        <v>39661</v>
      </c>
    </row>
    <row r="994" spans="1:10">
      <c r="A994" s="987">
        <v>70</v>
      </c>
      <c r="B994" s="988">
        <v>39692</v>
      </c>
      <c r="H994" s="986">
        <v>3.8999999999999998E-3</v>
      </c>
      <c r="I994" s="986"/>
      <c r="J994" s="988">
        <v>39692</v>
      </c>
    </row>
    <row r="995" spans="1:10">
      <c r="A995" s="987">
        <v>70</v>
      </c>
      <c r="B995" s="988">
        <v>39722</v>
      </c>
      <c r="H995" s="986">
        <v>3.7000000000000002E-3</v>
      </c>
      <c r="I995" s="986"/>
      <c r="J995" s="988">
        <v>39722</v>
      </c>
    </row>
    <row r="996" spans="1:10">
      <c r="A996" s="987">
        <v>70</v>
      </c>
      <c r="B996" s="988">
        <v>39753</v>
      </c>
      <c r="H996" s="986">
        <v>3.5999999999999999E-3</v>
      </c>
      <c r="I996" s="986"/>
      <c r="J996" s="988">
        <v>39753</v>
      </c>
    </row>
    <row r="997" spans="1:10">
      <c r="A997" s="987">
        <v>70</v>
      </c>
      <c r="B997" s="988">
        <v>39783</v>
      </c>
      <c r="H997" s="986">
        <v>3.3E-3</v>
      </c>
      <c r="I997" s="986"/>
      <c r="J997" s="988">
        <v>39783</v>
      </c>
    </row>
    <row r="998" spans="1:10">
      <c r="A998" s="987">
        <v>70</v>
      </c>
      <c r="B998" s="988">
        <v>39814</v>
      </c>
      <c r="H998" s="986">
        <v>2.3999999999999998E-3</v>
      </c>
      <c r="I998" s="986"/>
      <c r="J998" s="988">
        <v>39814</v>
      </c>
    </row>
    <row r="999" spans="1:10">
      <c r="A999" s="987">
        <v>70</v>
      </c>
      <c r="B999" s="988">
        <v>39845</v>
      </c>
      <c r="H999" s="986">
        <v>3.0000000000000001E-3</v>
      </c>
      <c r="I999" s="986"/>
      <c r="J999" s="988">
        <v>39845</v>
      </c>
    </row>
    <row r="1000" spans="1:10">
      <c r="A1000" s="987">
        <v>70</v>
      </c>
      <c r="B1000" s="988">
        <v>39873</v>
      </c>
      <c r="H1000" s="986">
        <v>3.5000000000000001E-3</v>
      </c>
      <c r="I1000" s="986"/>
      <c r="J1000" s="988">
        <v>39873</v>
      </c>
    </row>
    <row r="1001" spans="1:10">
      <c r="A1001" s="987">
        <v>70</v>
      </c>
      <c r="B1001" s="988">
        <v>39904</v>
      </c>
      <c r="H1001" s="986">
        <v>2.8999999999999998E-3</v>
      </c>
      <c r="I1001" s="986"/>
      <c r="J1001" s="988">
        <v>39904</v>
      </c>
    </row>
    <row r="1002" spans="1:10">
      <c r="A1002" s="987">
        <v>70</v>
      </c>
      <c r="B1002" s="988">
        <v>39934</v>
      </c>
      <c r="H1002" s="986">
        <v>3.3E-3</v>
      </c>
      <c r="I1002" s="986"/>
      <c r="J1002" s="988">
        <v>39934</v>
      </c>
    </row>
    <row r="1003" spans="1:10">
      <c r="A1003" s="987">
        <v>70</v>
      </c>
      <c r="B1003" s="988">
        <v>39965</v>
      </c>
      <c r="H1003" s="986">
        <v>3.8E-3</v>
      </c>
      <c r="I1003" s="986"/>
      <c r="J1003" s="988">
        <v>39965</v>
      </c>
    </row>
    <row r="1004" spans="1:10">
      <c r="A1004" s="987">
        <v>70</v>
      </c>
      <c r="B1004" s="988">
        <v>39995</v>
      </c>
      <c r="H1004" s="986">
        <v>3.5999999999999999E-3</v>
      </c>
      <c r="I1004" s="986"/>
      <c r="J1004" s="988">
        <v>39995</v>
      </c>
    </row>
    <row r="1005" spans="1:10">
      <c r="A1005" s="987">
        <v>70</v>
      </c>
      <c r="B1005" s="988">
        <v>40026</v>
      </c>
      <c r="H1005" s="986">
        <v>3.5999999999999999E-3</v>
      </c>
      <c r="I1005" s="986"/>
      <c r="J1005" s="988">
        <v>40026</v>
      </c>
    </row>
    <row r="1006" spans="1:10">
      <c r="A1006" s="987">
        <v>70</v>
      </c>
      <c r="B1006" s="988">
        <v>40057</v>
      </c>
      <c r="H1006" s="986">
        <v>3.3999999999999998E-3</v>
      </c>
      <c r="I1006" s="986"/>
      <c r="J1006" s="988">
        <v>40057</v>
      </c>
    </row>
    <row r="1007" spans="1:10">
      <c r="A1007" s="987">
        <v>70</v>
      </c>
      <c r="B1007" s="988">
        <v>40087</v>
      </c>
      <c r="H1007" s="986">
        <v>3.3E-3</v>
      </c>
      <c r="I1007" s="986"/>
      <c r="J1007" s="988">
        <v>40087</v>
      </c>
    </row>
    <row r="1008" spans="1:10">
      <c r="A1008" s="987">
        <v>70</v>
      </c>
      <c r="B1008" s="988">
        <v>40118</v>
      </c>
      <c r="H1008" s="986">
        <v>3.5000000000000001E-3</v>
      </c>
      <c r="I1008" s="986"/>
      <c r="J1008" s="988">
        <v>40118</v>
      </c>
    </row>
    <row r="1009" spans="1:10">
      <c r="A1009" s="987">
        <v>70</v>
      </c>
      <c r="B1009" s="988">
        <v>40148</v>
      </c>
      <c r="H1009" s="986">
        <v>3.3999999999999998E-3</v>
      </c>
      <c r="I1009" s="986"/>
      <c r="J1009" s="988">
        <v>40148</v>
      </c>
    </row>
    <row r="1010" spans="1:10">
      <c r="A1010" s="987">
        <v>70</v>
      </c>
      <c r="B1010" s="988">
        <v>40179</v>
      </c>
      <c r="H1010" s="986">
        <v>3.5999999999999999E-3</v>
      </c>
      <c r="I1010" s="986"/>
      <c r="J1010" s="988">
        <v>40179</v>
      </c>
    </row>
    <row r="1011" spans="1:10">
      <c r="A1011" s="987">
        <v>70</v>
      </c>
      <c r="B1011" s="988">
        <v>40210</v>
      </c>
      <c r="H1011" s="986">
        <v>3.3E-3</v>
      </c>
      <c r="I1011" s="986"/>
      <c r="J1011" s="988">
        <v>40210</v>
      </c>
    </row>
    <row r="1012" spans="1:10">
      <c r="A1012" s="987">
        <v>70</v>
      </c>
      <c r="B1012" s="988">
        <v>40238</v>
      </c>
      <c r="H1012" s="986">
        <v>4.0000000000000001E-3</v>
      </c>
      <c r="I1012" s="986"/>
      <c r="J1012" s="988">
        <v>40238</v>
      </c>
    </row>
    <row r="1013" spans="1:10">
      <c r="A1013" s="987">
        <v>70</v>
      </c>
      <c r="B1013" s="988">
        <v>40269</v>
      </c>
      <c r="H1013" s="986">
        <v>3.8E-3</v>
      </c>
      <c r="I1013" s="986"/>
      <c r="J1013" s="988">
        <v>40269</v>
      </c>
    </row>
    <row r="1014" spans="1:10">
      <c r="A1014" s="987">
        <v>70</v>
      </c>
      <c r="B1014" s="988">
        <v>40299</v>
      </c>
      <c r="H1014" s="986">
        <v>3.3999999999999998E-3</v>
      </c>
      <c r="I1014" s="986"/>
      <c r="J1014" s="988">
        <v>40299</v>
      </c>
    </row>
    <row r="1015" spans="1:10">
      <c r="A1015" s="987">
        <v>70</v>
      </c>
      <c r="B1015" s="988">
        <v>40330</v>
      </c>
      <c r="H1015" s="986">
        <v>3.7000000000000002E-3</v>
      </c>
      <c r="I1015" s="986"/>
      <c r="J1015" s="988">
        <v>40330</v>
      </c>
    </row>
    <row r="1016" spans="1:10">
      <c r="A1016" s="987">
        <v>70</v>
      </c>
      <c r="B1016" s="988">
        <v>40360</v>
      </c>
      <c r="H1016" s="986">
        <v>3.0999999999999999E-3</v>
      </c>
      <c r="I1016" s="986"/>
      <c r="J1016" s="988">
        <v>40360</v>
      </c>
    </row>
    <row r="1017" spans="1:10">
      <c r="A1017" s="987">
        <v>70</v>
      </c>
      <c r="B1017" s="988">
        <v>40391</v>
      </c>
      <c r="H1017" s="986">
        <v>3.2000000000000002E-3</v>
      </c>
      <c r="I1017" s="986"/>
      <c r="J1017" s="988">
        <v>40391</v>
      </c>
    </row>
    <row r="1018" spans="1:10">
      <c r="A1018" s="987">
        <v>70</v>
      </c>
      <c r="B1018" s="988">
        <v>40422</v>
      </c>
      <c r="H1018" s="986">
        <v>2.5999999999999999E-3</v>
      </c>
      <c r="I1018" s="986"/>
      <c r="J1018" s="988">
        <v>40422</v>
      </c>
    </row>
    <row r="1019" spans="1:10">
      <c r="A1019" s="987">
        <v>70</v>
      </c>
      <c r="B1019" s="988">
        <v>40452</v>
      </c>
      <c r="H1019" s="986">
        <v>2.7000000000000001E-3</v>
      </c>
      <c r="I1019" s="986"/>
      <c r="J1019" s="988">
        <v>40452</v>
      </c>
    </row>
    <row r="1020" spans="1:10">
      <c r="A1020" s="987">
        <v>70</v>
      </c>
      <c r="B1020" s="988">
        <v>40483</v>
      </c>
      <c r="H1020" s="986">
        <v>3.2000000000000002E-3</v>
      </c>
      <c r="I1020" s="986"/>
      <c r="J1020" s="988">
        <v>40483</v>
      </c>
    </row>
    <row r="1021" spans="1:10">
      <c r="A1021" s="987">
        <v>70</v>
      </c>
      <c r="B1021" s="988">
        <v>40513</v>
      </c>
      <c r="H1021" s="986">
        <v>3.2000000000000002E-3</v>
      </c>
      <c r="I1021" s="986"/>
      <c r="J1021" s="988">
        <v>40513</v>
      </c>
    </row>
    <row r="1022" spans="1:10" ht="13.8">
      <c r="A1022" s="983">
        <v>70</v>
      </c>
      <c r="B1022" s="988">
        <v>40544</v>
      </c>
      <c r="C1022" s="983"/>
      <c r="D1022" s="983"/>
      <c r="E1022" s="983"/>
      <c r="F1022" s="983"/>
      <c r="G1022" s="983"/>
      <c r="H1022" s="987">
        <v>3.5666666699999999E-3</v>
      </c>
      <c r="I1022" s="986"/>
      <c r="J1022" s="988">
        <v>40544</v>
      </c>
    </row>
    <row r="1023" spans="1:10" ht="13.8">
      <c r="A1023" s="983">
        <v>70</v>
      </c>
      <c r="B1023" s="988">
        <v>40575</v>
      </c>
      <c r="C1023" s="983"/>
      <c r="D1023" s="983"/>
      <c r="E1023" s="983"/>
      <c r="F1023" s="983"/>
      <c r="G1023" s="983"/>
      <c r="H1023" s="987">
        <v>3.68333333E-3</v>
      </c>
      <c r="I1023" s="986"/>
      <c r="J1023" s="988">
        <v>40575</v>
      </c>
    </row>
    <row r="1024" spans="1:10" ht="13.8">
      <c r="A1024" s="983">
        <v>70</v>
      </c>
      <c r="B1024" s="988">
        <v>40603</v>
      </c>
      <c r="C1024" s="983"/>
      <c r="D1024" s="983"/>
      <c r="E1024" s="983"/>
      <c r="F1024" s="983"/>
      <c r="G1024" s="983"/>
      <c r="H1024" s="987">
        <v>3.5583333299999999E-3</v>
      </c>
      <c r="I1024" s="986"/>
      <c r="J1024" s="988">
        <v>40603</v>
      </c>
    </row>
    <row r="1025" spans="1:10" ht="13.8">
      <c r="A1025" s="983">
        <v>70</v>
      </c>
      <c r="B1025" s="988">
        <v>40634</v>
      </c>
      <c r="C1025" s="983"/>
      <c r="D1025" s="983"/>
      <c r="E1025" s="983"/>
      <c r="F1025" s="983"/>
      <c r="G1025" s="983"/>
      <c r="H1025" s="987">
        <v>3.5666666699999999E-3</v>
      </c>
      <c r="I1025" s="986"/>
      <c r="J1025" s="988">
        <v>40634</v>
      </c>
    </row>
    <row r="1026" spans="1:10" ht="13.8">
      <c r="A1026" s="983">
        <v>70</v>
      </c>
      <c r="B1026" s="988">
        <v>40664</v>
      </c>
      <c r="C1026" s="983"/>
      <c r="D1026" s="983"/>
      <c r="E1026" s="983"/>
      <c r="F1026" s="983"/>
      <c r="G1026" s="983"/>
      <c r="H1026" s="987">
        <v>3.3416666699999996E-3</v>
      </c>
      <c r="I1026" s="986"/>
      <c r="J1026" s="988">
        <v>40664</v>
      </c>
    </row>
    <row r="1027" spans="1:10" ht="13.8">
      <c r="A1027" s="983">
        <v>70</v>
      </c>
      <c r="B1027" s="988">
        <v>40695</v>
      </c>
      <c r="C1027" s="983"/>
      <c r="D1027" s="983"/>
      <c r="E1027" s="983"/>
      <c r="F1027" s="983"/>
      <c r="G1027" s="983"/>
      <c r="H1027" s="987">
        <v>3.25833333E-3</v>
      </c>
      <c r="I1027" s="986"/>
      <c r="J1027" s="988">
        <v>40695</v>
      </c>
    </row>
    <row r="1028" spans="1:10" ht="13.8">
      <c r="A1028" s="983">
        <v>70</v>
      </c>
      <c r="B1028" s="988">
        <v>40725</v>
      </c>
      <c r="C1028" s="983"/>
      <c r="D1028" s="983"/>
      <c r="E1028" s="983"/>
      <c r="F1028" s="983"/>
      <c r="G1028" s="983"/>
      <c r="H1028" s="987">
        <v>3.2916666700000003E-3</v>
      </c>
      <c r="I1028" s="986"/>
      <c r="J1028" s="988">
        <v>40725</v>
      </c>
    </row>
    <row r="1029" spans="1:10" ht="13.8">
      <c r="A1029" s="983">
        <v>70</v>
      </c>
      <c r="B1029" s="988">
        <v>40756</v>
      </c>
      <c r="C1029" s="983"/>
      <c r="D1029" s="983"/>
      <c r="E1029" s="983"/>
      <c r="F1029" s="983"/>
      <c r="G1029" s="983"/>
      <c r="H1029" s="987">
        <v>3.0416666666666665E-3</v>
      </c>
      <c r="I1029" s="986"/>
      <c r="J1029" s="988">
        <v>40756</v>
      </c>
    </row>
    <row r="1030" spans="1:10" ht="13.8">
      <c r="A1030" s="983">
        <v>70</v>
      </c>
      <c r="B1030" s="988">
        <v>40787</v>
      </c>
      <c r="C1030" s="983"/>
      <c r="D1030" s="983"/>
      <c r="E1030" s="983"/>
      <c r="F1030" s="983"/>
      <c r="G1030" s="983"/>
      <c r="H1030" s="987">
        <v>2.3583333300000002E-3</v>
      </c>
      <c r="I1030" s="986"/>
      <c r="J1030" s="988">
        <v>40787</v>
      </c>
    </row>
    <row r="1031" spans="1:10" ht="13.8">
      <c r="A1031" s="983">
        <v>70</v>
      </c>
      <c r="B1031" s="988">
        <v>40817</v>
      </c>
      <c r="C1031" s="983"/>
      <c r="D1031" s="983"/>
      <c r="E1031" s="983"/>
      <c r="F1031" s="983"/>
      <c r="G1031" s="983"/>
      <c r="H1031" s="987">
        <v>2.3916666700000001E-3</v>
      </c>
      <c r="I1031" s="986"/>
      <c r="J1031" s="988">
        <v>40817</v>
      </c>
    </row>
    <row r="1032" spans="1:10" ht="13.8">
      <c r="A1032" s="983">
        <v>70</v>
      </c>
      <c r="B1032" s="988">
        <v>40848</v>
      </c>
      <c r="C1032" s="983"/>
      <c r="D1032" s="983"/>
      <c r="E1032" s="983"/>
      <c r="F1032" s="983"/>
      <c r="G1032" s="983"/>
      <c r="H1032" s="987">
        <v>2.26666667E-3</v>
      </c>
      <c r="I1032" s="986"/>
      <c r="J1032" s="988">
        <v>40848</v>
      </c>
    </row>
    <row r="1033" spans="1:10" ht="13.8">
      <c r="A1033" s="983">
        <v>70</v>
      </c>
      <c r="B1033" s="988">
        <v>40878</v>
      </c>
      <c r="C1033" s="983"/>
      <c r="D1033" s="983"/>
      <c r="E1033" s="983"/>
      <c r="F1033" s="983"/>
      <c r="G1033" s="983"/>
      <c r="H1033" s="987">
        <v>2.4833333333333335E-3</v>
      </c>
      <c r="I1033" s="986"/>
      <c r="J1033" s="988">
        <v>40878</v>
      </c>
    </row>
    <row r="1034" spans="1:10" ht="13.8">
      <c r="A1034" s="983">
        <v>70</v>
      </c>
      <c r="B1034" s="988">
        <v>40909</v>
      </c>
      <c r="C1034" s="983"/>
      <c r="D1034" s="983"/>
      <c r="E1034" s="983"/>
      <c r="F1034" s="983"/>
      <c r="G1034" s="983"/>
      <c r="H1034" s="987">
        <v>2.0999999999999999E-3</v>
      </c>
      <c r="I1034" s="986"/>
      <c r="J1034" s="988">
        <v>40909</v>
      </c>
    </row>
    <row r="1035" spans="1:10" ht="13.8">
      <c r="A1035" s="983">
        <v>70</v>
      </c>
      <c r="B1035" s="988">
        <v>40940</v>
      </c>
      <c r="C1035" s="983"/>
      <c r="D1035" s="983"/>
      <c r="E1035" s="983"/>
      <c r="F1035" s="983"/>
      <c r="G1035" s="983"/>
      <c r="H1035" s="987">
        <v>2E-3</v>
      </c>
      <c r="I1035" s="986"/>
      <c r="J1035" s="988">
        <v>40940</v>
      </c>
    </row>
    <row r="1036" spans="1:10" ht="13.8">
      <c r="A1036" s="983">
        <v>70</v>
      </c>
      <c r="B1036" s="988">
        <v>40969</v>
      </c>
      <c r="C1036" s="983"/>
      <c r="D1036" s="983"/>
      <c r="E1036" s="983"/>
      <c r="F1036" s="983"/>
      <c r="G1036" s="983"/>
      <c r="H1036" s="987">
        <v>2.2000000000000001E-3</v>
      </c>
      <c r="I1036" s="986"/>
      <c r="J1036" s="988">
        <v>40969</v>
      </c>
    </row>
    <row r="1037" spans="1:10" ht="13.8">
      <c r="A1037" s="983">
        <v>70</v>
      </c>
      <c r="B1037" s="988">
        <v>41000</v>
      </c>
      <c r="C1037" s="983"/>
      <c r="D1037" s="983"/>
      <c r="E1037" s="983"/>
      <c r="F1037" s="983"/>
      <c r="G1037" s="983"/>
      <c r="H1037" s="987">
        <v>2.5000000000000001E-3</v>
      </c>
      <c r="I1037" s="986"/>
      <c r="J1037" s="988">
        <v>41000</v>
      </c>
    </row>
    <row r="1038" spans="1:10" ht="13.8">
      <c r="A1038" s="983">
        <v>70</v>
      </c>
      <c r="B1038" s="988">
        <v>41030</v>
      </c>
      <c r="C1038" s="983"/>
      <c r="D1038" s="983"/>
      <c r="E1038" s="983"/>
      <c r="F1038" s="983"/>
      <c r="G1038" s="983"/>
      <c r="H1038" s="987">
        <v>2.3E-3</v>
      </c>
      <c r="I1038" s="986"/>
      <c r="J1038" s="988">
        <v>41030</v>
      </c>
    </row>
    <row r="1039" spans="1:10" ht="13.8">
      <c r="A1039" s="983">
        <v>70</v>
      </c>
      <c r="B1039" s="988">
        <v>41061</v>
      </c>
      <c r="C1039" s="983"/>
      <c r="D1039" s="983"/>
      <c r="E1039" s="983"/>
      <c r="F1039" s="983"/>
      <c r="G1039" s="983"/>
      <c r="H1039" s="987">
        <v>1.8E-3</v>
      </c>
      <c r="I1039" s="986"/>
      <c r="J1039" s="988">
        <v>41061</v>
      </c>
    </row>
    <row r="1040" spans="1:10" ht="13.8">
      <c r="B1040" s="988">
        <v>41091</v>
      </c>
      <c r="C1040" s="983"/>
      <c r="D1040" s="983"/>
      <c r="E1040" s="983"/>
      <c r="H1040" s="987">
        <v>2E-3</v>
      </c>
      <c r="I1040" s="986"/>
      <c r="J1040" s="988">
        <v>41091</v>
      </c>
    </row>
    <row r="1041" spans="2:10" ht="13.8">
      <c r="B1041" s="988">
        <v>41122</v>
      </c>
      <c r="C1041" s="983"/>
      <c r="D1041" s="983"/>
      <c r="E1041" s="983"/>
      <c r="H1041" s="987">
        <v>1.8E-3</v>
      </c>
      <c r="I1041" s="986"/>
      <c r="J1041" s="988">
        <v>41122</v>
      </c>
    </row>
    <row r="1042" spans="2:10" ht="13.8">
      <c r="B1042" s="988">
        <v>41153</v>
      </c>
      <c r="C1042" s="983"/>
      <c r="D1042" s="983"/>
      <c r="H1042" s="987">
        <v>1.6999999999999999E-3</v>
      </c>
      <c r="I1042" s="986"/>
      <c r="J1042" s="988">
        <v>41153</v>
      </c>
    </row>
    <row r="1043" spans="2:10" ht="13.8">
      <c r="B1043" s="988">
        <v>41183</v>
      </c>
      <c r="C1043" s="983"/>
      <c r="D1043" s="983"/>
      <c r="H1043" s="987">
        <v>2.0999999999999999E-3</v>
      </c>
      <c r="I1043" s="986"/>
      <c r="J1043" s="988">
        <v>41183</v>
      </c>
    </row>
    <row r="1044" spans="2:10" ht="13.8">
      <c r="B1044" s="988">
        <v>41214</v>
      </c>
      <c r="C1044" s="983"/>
      <c r="D1044" s="983"/>
      <c r="H1044" s="987">
        <v>1.9E-3</v>
      </c>
      <c r="I1044" s="986"/>
      <c r="J1044" s="988">
        <v>41214</v>
      </c>
    </row>
    <row r="1045" spans="2:10" ht="13.8">
      <c r="B1045" s="988">
        <v>41244</v>
      </c>
      <c r="C1045" s="983"/>
      <c r="D1045" s="983"/>
      <c r="H1045" s="987">
        <v>1.9E-3</v>
      </c>
      <c r="I1045" s="986"/>
      <c r="J1045" s="988">
        <v>41244</v>
      </c>
    </row>
    <row r="1046" spans="2:10" ht="13.8">
      <c r="B1046" s="988">
        <v>41275</v>
      </c>
      <c r="C1046" s="983"/>
      <c r="D1046" s="983"/>
      <c r="H1046" s="987">
        <v>2.2000000000000001E-3</v>
      </c>
      <c r="I1046" s="986"/>
      <c r="J1046" s="988">
        <v>41275</v>
      </c>
    </row>
    <row r="1047" spans="2:10" ht="13.8">
      <c r="B1047" s="988">
        <v>41306</v>
      </c>
      <c r="C1047" s="983"/>
      <c r="D1047" s="983"/>
      <c r="H1047" s="987">
        <v>2.2000000000000001E-3</v>
      </c>
      <c r="I1047" s="986"/>
      <c r="J1047" s="988">
        <v>41306</v>
      </c>
    </row>
    <row r="1048" spans="2:10" ht="13.8">
      <c r="B1048" s="988">
        <v>41334</v>
      </c>
      <c r="C1048" s="983"/>
      <c r="D1048" s="983"/>
      <c r="H1048" s="987">
        <v>2.0999999999999999E-3</v>
      </c>
      <c r="I1048" s="986"/>
      <c r="J1048" s="988">
        <v>41334</v>
      </c>
    </row>
    <row r="1049" spans="2:10" ht="13.8">
      <c r="B1049" s="988">
        <v>41365</v>
      </c>
      <c r="C1049" s="983"/>
      <c r="D1049" s="983"/>
      <c r="H1049" s="987">
        <v>2.5999999999999999E-3</v>
      </c>
      <c r="I1049" s="986"/>
      <c r="J1049" s="988">
        <v>41365</v>
      </c>
    </row>
    <row r="1050" spans="2:10" ht="13.8">
      <c r="B1050" s="988">
        <v>41395</v>
      </c>
      <c r="C1050" s="983"/>
      <c r="D1050" s="983"/>
      <c r="H1050" s="987">
        <v>2.3E-3</v>
      </c>
      <c r="I1050" s="986"/>
      <c r="J1050" s="988">
        <v>41395</v>
      </c>
    </row>
    <row r="1051" spans="2:10" ht="13.8">
      <c r="B1051" s="988">
        <v>41426</v>
      </c>
      <c r="C1051" s="983"/>
      <c r="D1051" s="983"/>
      <c r="H1051" s="987">
        <v>2.3999999999999998E-3</v>
      </c>
      <c r="I1051" s="986"/>
      <c r="J1051" s="988">
        <v>41426</v>
      </c>
    </row>
    <row r="1052" spans="2:10" ht="13.8">
      <c r="B1052" s="988">
        <v>41456</v>
      </c>
      <c r="C1052" s="983"/>
      <c r="D1052" s="983"/>
      <c r="H1052" s="987">
        <v>3.0000000000000001E-3</v>
      </c>
      <c r="I1052" s="986"/>
      <c r="J1052" s="988">
        <v>41456</v>
      </c>
    </row>
    <row r="1053" spans="2:10" ht="13.8">
      <c r="B1053" s="988">
        <v>41487</v>
      </c>
      <c r="C1053" s="983"/>
      <c r="D1053" s="983"/>
      <c r="H1053" s="987">
        <v>2.8E-3</v>
      </c>
      <c r="I1053" s="986"/>
      <c r="J1053" s="988">
        <v>41487</v>
      </c>
    </row>
    <row r="1054" spans="2:10" ht="13.8">
      <c r="B1054" s="988">
        <v>41518</v>
      </c>
      <c r="C1054" s="983"/>
      <c r="D1054" s="983"/>
      <c r="H1054" s="987">
        <v>2.8999999999999998E-3</v>
      </c>
      <c r="I1054" s="986"/>
      <c r="J1054" s="988">
        <v>41518</v>
      </c>
    </row>
    <row r="1055" spans="2:10" ht="13.8">
      <c r="B1055" s="988">
        <v>41548</v>
      </c>
      <c r="C1055" s="983"/>
      <c r="D1055" s="983"/>
      <c r="H1055" s="987">
        <v>2.8999999999999998E-3</v>
      </c>
      <c r="I1055" s="986"/>
      <c r="J1055" s="988">
        <v>41548</v>
      </c>
    </row>
    <row r="1056" spans="2:10" ht="13.8">
      <c r="B1056" s="988">
        <v>41579</v>
      </c>
      <c r="C1056" s="983"/>
      <c r="D1056" s="983"/>
      <c r="H1056" s="987">
        <v>2.7000000000000001E-3</v>
      </c>
      <c r="I1056" s="986"/>
      <c r="J1056" s="988">
        <v>41579</v>
      </c>
    </row>
    <row r="1057" spans="2:10" ht="13.8">
      <c r="B1057" s="988">
        <v>41609</v>
      </c>
      <c r="C1057" s="983"/>
      <c r="D1057" s="983"/>
      <c r="H1057" s="987">
        <v>3.0999999999999999E-3</v>
      </c>
      <c r="I1057" s="986"/>
      <c r="J1057" s="988">
        <v>41609</v>
      </c>
    </row>
    <row r="1058" spans="2:10" ht="13.8">
      <c r="B1058" s="988">
        <v>41640</v>
      </c>
      <c r="C1058" s="983" t="s">
        <v>4648</v>
      </c>
      <c r="D1058" s="983" t="s">
        <v>3053</v>
      </c>
      <c r="E1058" s="987">
        <v>34.119999999999997</v>
      </c>
      <c r="H1058" s="987">
        <v>3.2000000000000002E-3</v>
      </c>
      <c r="I1058" s="986"/>
      <c r="J1058" s="988">
        <v>41640</v>
      </c>
    </row>
    <row r="1059" spans="2:10" ht="13.8">
      <c r="B1059" s="988">
        <v>41671</v>
      </c>
      <c r="C1059" s="983" t="s">
        <v>4648</v>
      </c>
      <c r="D1059" s="983" t="s">
        <v>3053</v>
      </c>
      <c r="E1059" s="987">
        <v>33.979999999999997</v>
      </c>
      <c r="F1059" s="987">
        <f t="shared" ref="F1059:F1122" si="0">((E1059-E1058)/E1058)+(G1059/E1058)</f>
        <v>-4.1031652989449172E-3</v>
      </c>
      <c r="G1059" s="987">
        <v>0</v>
      </c>
      <c r="H1059" s="987">
        <v>2.5999999999999999E-3</v>
      </c>
      <c r="I1059" s="986">
        <f t="shared" ref="I1059:I1122" si="1">F1059-H1059</f>
        <v>-6.7031652989449171E-3</v>
      </c>
      <c r="J1059" s="988">
        <v>41671</v>
      </c>
    </row>
    <row r="1060" spans="2:10" ht="13.8">
      <c r="B1060" s="988">
        <v>41699</v>
      </c>
      <c r="C1060" s="983" t="s">
        <v>4648</v>
      </c>
      <c r="D1060" s="983" t="s">
        <v>3053</v>
      </c>
      <c r="E1060" s="987">
        <v>35.93</v>
      </c>
      <c r="F1060" s="987">
        <f t="shared" si="0"/>
        <v>5.7386698057681075E-2</v>
      </c>
      <c r="G1060" s="987">
        <v>0</v>
      </c>
      <c r="H1060" s="987">
        <v>2.8999999999999998E-3</v>
      </c>
      <c r="I1060" s="986">
        <f t="shared" si="1"/>
        <v>5.4486698057681075E-2</v>
      </c>
      <c r="J1060" s="988">
        <v>41699</v>
      </c>
    </row>
    <row r="1061" spans="2:10" ht="13.8">
      <c r="B1061" s="988">
        <v>41730</v>
      </c>
      <c r="C1061" s="983" t="s">
        <v>4648</v>
      </c>
      <c r="D1061" s="983" t="s">
        <v>3053</v>
      </c>
      <c r="E1061" s="983">
        <v>36.58</v>
      </c>
      <c r="F1061" s="987">
        <f t="shared" si="0"/>
        <v>2.5883662677428296E-2</v>
      </c>
      <c r="G1061" s="987">
        <v>0.28000000000000003</v>
      </c>
      <c r="H1061" s="987">
        <v>2.8E-3</v>
      </c>
      <c r="I1061" s="986">
        <f t="shared" si="1"/>
        <v>2.3083662677428295E-2</v>
      </c>
      <c r="J1061" s="988">
        <v>41730</v>
      </c>
    </row>
    <row r="1062" spans="2:10" ht="13.8">
      <c r="B1062" s="988">
        <v>41760</v>
      </c>
      <c r="C1062" s="983" t="s">
        <v>4648</v>
      </c>
      <c r="D1062" s="983" t="s">
        <v>3053</v>
      </c>
      <c r="E1062" s="983">
        <v>36.630000000000003</v>
      </c>
      <c r="F1062" s="987">
        <f t="shared" si="0"/>
        <v>1.3668671405140586E-3</v>
      </c>
      <c r="G1062" s="987">
        <v>0</v>
      </c>
      <c r="H1062" s="987">
        <v>2.8E-3</v>
      </c>
      <c r="I1062" s="986">
        <f t="shared" si="1"/>
        <v>-1.4331328594859413E-3</v>
      </c>
      <c r="J1062" s="988">
        <v>41760</v>
      </c>
    </row>
    <row r="1063" spans="2:10" ht="13.8">
      <c r="B1063" s="988">
        <v>41791</v>
      </c>
      <c r="C1063" s="983" t="s">
        <v>4648</v>
      </c>
      <c r="D1063" s="983" t="s">
        <v>3053</v>
      </c>
      <c r="E1063" s="983">
        <v>37.75</v>
      </c>
      <c r="F1063" s="987">
        <f t="shared" si="0"/>
        <v>3.0576030576030505E-2</v>
      </c>
      <c r="G1063" s="987">
        <v>0</v>
      </c>
      <c r="H1063" s="987">
        <v>2.5000000000000001E-3</v>
      </c>
      <c r="I1063" s="986">
        <f t="shared" si="1"/>
        <v>2.8076030576030506E-2</v>
      </c>
      <c r="J1063" s="988">
        <v>41791</v>
      </c>
    </row>
    <row r="1064" spans="2:10" ht="14.4">
      <c r="B1064" s="988">
        <v>41821</v>
      </c>
      <c r="C1064" s="983" t="s">
        <v>4648</v>
      </c>
      <c r="D1064" s="983" t="s">
        <v>3053</v>
      </c>
      <c r="E1064" s="994">
        <v>36</v>
      </c>
      <c r="F1064" s="987">
        <f t="shared" si="0"/>
        <v>-3.8940397350993375E-2</v>
      </c>
      <c r="G1064" s="987">
        <v>0.28000000000000003</v>
      </c>
      <c r="H1064" s="987">
        <v>2.7000000000000001E-3</v>
      </c>
      <c r="I1064" s="986">
        <f t="shared" si="1"/>
        <v>-4.1640397350993376E-2</v>
      </c>
      <c r="J1064" s="988">
        <v>41821</v>
      </c>
    </row>
    <row r="1065" spans="2:10" ht="14.4">
      <c r="B1065" s="988">
        <v>41852</v>
      </c>
      <c r="C1065" s="983" t="s">
        <v>4648</v>
      </c>
      <c r="D1065" s="983" t="s">
        <v>3053</v>
      </c>
      <c r="E1065" s="994">
        <v>37.43</v>
      </c>
      <c r="F1065" s="987">
        <f t="shared" si="0"/>
        <v>3.9722222222222214E-2</v>
      </c>
      <c r="G1065" s="987">
        <v>0</v>
      </c>
      <c r="H1065" s="987">
        <v>2.5999999999999999E-3</v>
      </c>
      <c r="I1065" s="986">
        <f t="shared" si="1"/>
        <v>3.7122222222222216E-2</v>
      </c>
      <c r="J1065" s="988">
        <v>41852</v>
      </c>
    </row>
    <row r="1066" spans="2:10" ht="14.4">
      <c r="B1066" s="988">
        <v>41883</v>
      </c>
      <c r="C1066" s="983" t="s">
        <v>4648</v>
      </c>
      <c r="D1066" s="983" t="s">
        <v>3053</v>
      </c>
      <c r="E1066" s="994">
        <v>34.25</v>
      </c>
      <c r="F1066" s="987">
        <f t="shared" si="0"/>
        <v>-8.4958589366818049E-2</v>
      </c>
      <c r="G1066" s="987">
        <v>0</v>
      </c>
      <c r="H1066" s="987">
        <v>2.3E-3</v>
      </c>
      <c r="I1066" s="986">
        <f t="shared" si="1"/>
        <v>-8.7258589366818046E-2</v>
      </c>
      <c r="J1066" s="988">
        <v>41883</v>
      </c>
    </row>
    <row r="1067" spans="2:10" ht="14.4">
      <c r="B1067" s="988">
        <v>41913</v>
      </c>
      <c r="C1067" s="983" t="s">
        <v>4648</v>
      </c>
      <c r="D1067" s="983" t="s">
        <v>3053</v>
      </c>
      <c r="E1067" s="994">
        <v>37.950000000000003</v>
      </c>
      <c r="F1067" s="987">
        <f t="shared" si="0"/>
        <v>0.11620437956204388</v>
      </c>
      <c r="G1067" s="987">
        <v>0.28000000000000003</v>
      </c>
      <c r="H1067" s="987">
        <v>2.5000000000000001E-3</v>
      </c>
      <c r="I1067" s="986">
        <f t="shared" si="1"/>
        <v>0.11370437956204388</v>
      </c>
      <c r="J1067" s="988">
        <v>41913</v>
      </c>
    </row>
    <row r="1068" spans="2:10" ht="14.4">
      <c r="B1068" s="988">
        <v>41944</v>
      </c>
      <c r="C1068" s="983" t="s">
        <v>4648</v>
      </c>
      <c r="D1068" s="983" t="s">
        <v>3053</v>
      </c>
      <c r="E1068" s="994">
        <v>38.82</v>
      </c>
      <c r="F1068" s="987">
        <f t="shared" si="0"/>
        <v>2.2924901185770681E-2</v>
      </c>
      <c r="G1068" s="987">
        <v>0</v>
      </c>
      <c r="H1068" s="987">
        <v>2.3E-3</v>
      </c>
      <c r="I1068" s="986">
        <f t="shared" si="1"/>
        <v>2.0624901185770681E-2</v>
      </c>
      <c r="J1068" s="988">
        <v>41944</v>
      </c>
    </row>
    <row r="1069" spans="2:10" ht="14.4">
      <c r="B1069" s="988">
        <v>41974</v>
      </c>
      <c r="C1069" s="983" t="s">
        <v>4648</v>
      </c>
      <c r="D1069" s="983" t="s">
        <v>3053</v>
      </c>
      <c r="E1069" s="994">
        <v>41.22</v>
      </c>
      <c r="F1069" s="987">
        <f t="shared" si="0"/>
        <v>6.1823802163833042E-2</v>
      </c>
      <c r="G1069" s="987">
        <v>0</v>
      </c>
      <c r="H1069" s="987">
        <v>2.2000000000000001E-3</v>
      </c>
      <c r="I1069" s="986">
        <f t="shared" si="1"/>
        <v>5.9623802163833041E-2</v>
      </c>
      <c r="J1069" s="988">
        <v>41974</v>
      </c>
    </row>
    <row r="1070" spans="2:10" ht="14.4">
      <c r="B1070" s="988">
        <v>42005</v>
      </c>
      <c r="C1070" s="983" t="s">
        <v>4648</v>
      </c>
      <c r="D1070" s="983" t="s">
        <v>3053</v>
      </c>
      <c r="E1070" s="994">
        <v>44.19</v>
      </c>
      <c r="F1070" s="987">
        <f t="shared" si="0"/>
        <v>7.2052401746724865E-2</v>
      </c>
      <c r="G1070" s="987">
        <v>0</v>
      </c>
      <c r="H1070" s="987">
        <v>2E-3</v>
      </c>
      <c r="I1070" s="986">
        <f t="shared" si="1"/>
        <v>7.0052401746724863E-2</v>
      </c>
      <c r="J1070" s="988">
        <v>42005</v>
      </c>
    </row>
    <row r="1071" spans="2:10" ht="13.8">
      <c r="B1071" s="988">
        <v>42036</v>
      </c>
      <c r="C1071" s="983" t="s">
        <v>4648</v>
      </c>
      <c r="D1071" s="983" t="s">
        <v>3053</v>
      </c>
      <c r="E1071" s="983">
        <v>41.61</v>
      </c>
      <c r="F1071" s="987">
        <f t="shared" si="0"/>
        <v>-5.159538357094362E-2</v>
      </c>
      <c r="G1071" s="987">
        <v>0.3</v>
      </c>
      <c r="H1071" s="987">
        <v>1.5E-3</v>
      </c>
      <c r="I1071" s="986">
        <f t="shared" si="1"/>
        <v>-5.3095383570943622E-2</v>
      </c>
      <c r="J1071" s="988">
        <v>42036</v>
      </c>
    </row>
    <row r="1072" spans="2:10" ht="13.8">
      <c r="B1072" s="988">
        <v>42064</v>
      </c>
      <c r="C1072" s="983" t="s">
        <v>4648</v>
      </c>
      <c r="D1072" s="983" t="s">
        <v>3053</v>
      </c>
      <c r="E1072" s="983">
        <v>43.23</v>
      </c>
      <c r="F1072" s="987">
        <f t="shared" si="0"/>
        <v>3.8932948810382062E-2</v>
      </c>
      <c r="G1072" s="987">
        <v>0</v>
      </c>
      <c r="H1072" s="987">
        <v>2.0999999999999999E-3</v>
      </c>
      <c r="I1072" s="986">
        <f t="shared" si="1"/>
        <v>3.6832948810382064E-2</v>
      </c>
      <c r="J1072" s="988">
        <v>42064</v>
      </c>
    </row>
    <row r="1073" spans="2:10" ht="13.8">
      <c r="B1073" s="988">
        <v>42095</v>
      </c>
      <c r="C1073" s="983" t="s">
        <v>4648</v>
      </c>
      <c r="D1073" s="983" t="s">
        <v>3053</v>
      </c>
      <c r="E1073" s="987">
        <v>41.97</v>
      </c>
      <c r="F1073" s="987">
        <f t="shared" si="0"/>
        <v>-2.9146426092990934E-2</v>
      </c>
      <c r="G1073" s="987">
        <v>0</v>
      </c>
      <c r="H1073" s="987">
        <v>1.9E-3</v>
      </c>
      <c r="I1073" s="986">
        <f t="shared" si="1"/>
        <v>-3.1046426092990933E-2</v>
      </c>
      <c r="J1073" s="988">
        <v>42095</v>
      </c>
    </row>
    <row r="1074" spans="2:10" ht="13.8">
      <c r="B1074" s="988">
        <v>42125</v>
      </c>
      <c r="C1074" s="983" t="s">
        <v>4648</v>
      </c>
      <c r="D1074" s="983" t="s">
        <v>3053</v>
      </c>
      <c r="E1074" s="987">
        <v>44.33</v>
      </c>
      <c r="F1074" s="987">
        <f t="shared" si="0"/>
        <v>6.3378603764593741E-2</v>
      </c>
      <c r="G1074" s="987">
        <v>0.3</v>
      </c>
      <c r="H1074" s="987">
        <v>2E-3</v>
      </c>
      <c r="I1074" s="986">
        <f t="shared" si="1"/>
        <v>6.1378603764593739E-2</v>
      </c>
      <c r="J1074" s="988">
        <v>42125</v>
      </c>
    </row>
    <row r="1075" spans="2:10" ht="13.8">
      <c r="B1075" s="988">
        <v>42156</v>
      </c>
      <c r="C1075" s="983" t="s">
        <v>4648</v>
      </c>
      <c r="D1075" s="983" t="s">
        <v>3053</v>
      </c>
      <c r="E1075" s="987">
        <v>42.56</v>
      </c>
      <c r="F1075" s="987">
        <f t="shared" si="0"/>
        <v>-3.9927814121362419E-2</v>
      </c>
      <c r="G1075" s="987">
        <v>0</v>
      </c>
      <c r="H1075" s="987">
        <v>2.3E-3</v>
      </c>
      <c r="I1075" s="986">
        <f t="shared" si="1"/>
        <v>-4.2227814121362423E-2</v>
      </c>
      <c r="J1075" s="988">
        <f t="shared" ref="J1075:J1138" si="2">B1075</f>
        <v>42156</v>
      </c>
    </row>
    <row r="1076" spans="2:10" ht="13.8">
      <c r="B1076" s="988">
        <v>42186</v>
      </c>
      <c r="C1076" s="983" t="s">
        <v>4648</v>
      </c>
      <c r="D1076" s="983" t="s">
        <v>3053</v>
      </c>
      <c r="E1076" s="987">
        <v>45.03</v>
      </c>
      <c r="F1076" s="987">
        <f t="shared" si="0"/>
        <v>5.8035714285714253E-2</v>
      </c>
      <c r="G1076" s="987">
        <v>0</v>
      </c>
      <c r="H1076" s="987">
        <v>2.3999999999999998E-3</v>
      </c>
      <c r="I1076" s="986">
        <f t="shared" si="1"/>
        <v>5.5635714285714254E-2</v>
      </c>
      <c r="J1076" s="988">
        <f t="shared" si="2"/>
        <v>42186</v>
      </c>
    </row>
    <row r="1077" spans="2:10" ht="13.8">
      <c r="B1077" s="988">
        <v>42217</v>
      </c>
      <c r="C1077" s="983" t="s">
        <v>4648</v>
      </c>
      <c r="D1077" s="983" t="s">
        <v>3053</v>
      </c>
      <c r="E1077" s="987">
        <v>42.97</v>
      </c>
      <c r="F1077" s="987">
        <f t="shared" si="0"/>
        <v>-3.9085054408172379E-2</v>
      </c>
      <c r="G1077" s="987">
        <v>0.3</v>
      </c>
      <c r="H1077" s="987">
        <v>2.2000000000000001E-3</v>
      </c>
      <c r="I1077" s="986">
        <f t="shared" si="1"/>
        <v>-4.1285054408172379E-2</v>
      </c>
      <c r="J1077" s="988">
        <f t="shared" si="2"/>
        <v>42217</v>
      </c>
    </row>
    <row r="1078" spans="2:10" ht="13.8">
      <c r="B1078" s="988">
        <v>42248</v>
      </c>
      <c r="C1078" s="983" t="s">
        <v>4648</v>
      </c>
      <c r="D1078" s="983" t="s">
        <v>3053</v>
      </c>
      <c r="E1078" s="987">
        <v>45.33</v>
      </c>
      <c r="F1078" s="987">
        <f t="shared" si="0"/>
        <v>5.4922038631603436E-2</v>
      </c>
      <c r="G1078" s="987">
        <v>0</v>
      </c>
      <c r="H1078" s="987">
        <v>2.0999999999999999E-3</v>
      </c>
      <c r="I1078" s="987">
        <f t="shared" si="1"/>
        <v>5.2822038631603438E-2</v>
      </c>
      <c r="J1078" s="988">
        <f t="shared" si="2"/>
        <v>42248</v>
      </c>
    </row>
    <row r="1079" spans="2:10" ht="13.8">
      <c r="B1079" s="988">
        <v>42278</v>
      </c>
      <c r="C1079" s="983" t="s">
        <v>4648</v>
      </c>
      <c r="D1079" s="983" t="s">
        <v>3053</v>
      </c>
      <c r="E1079" s="987">
        <v>48.84</v>
      </c>
      <c r="F1079" s="987">
        <f t="shared" si="0"/>
        <v>7.7432164129715542E-2</v>
      </c>
      <c r="G1079" s="987">
        <v>0</v>
      </c>
      <c r="H1079" s="987">
        <v>2.0999999999999999E-3</v>
      </c>
      <c r="I1079" s="987">
        <f t="shared" si="1"/>
        <v>7.5332164129715537E-2</v>
      </c>
      <c r="J1079" s="988">
        <f t="shared" si="2"/>
        <v>42278</v>
      </c>
    </row>
    <row r="1080" spans="2:10" ht="13.8">
      <c r="B1080" s="988">
        <v>42309</v>
      </c>
      <c r="C1080" s="983" t="s">
        <v>4648</v>
      </c>
      <c r="D1080" s="983" t="s">
        <v>3053</v>
      </c>
      <c r="E1080" s="987">
        <v>48.75</v>
      </c>
      <c r="F1080" s="987">
        <f t="shared" si="0"/>
        <v>4.2997542997542295E-3</v>
      </c>
      <c r="G1080" s="987">
        <v>0.3</v>
      </c>
      <c r="H1080" s="987">
        <v>2.2000000000000001E-3</v>
      </c>
      <c r="I1080" s="987">
        <f t="shared" si="1"/>
        <v>2.0997542997542294E-3</v>
      </c>
      <c r="J1080" s="988">
        <f t="shared" si="2"/>
        <v>42309</v>
      </c>
    </row>
    <row r="1081" spans="2:10" ht="13.8">
      <c r="B1081" s="988">
        <v>42339</v>
      </c>
      <c r="C1081" s="983" t="s">
        <v>4648</v>
      </c>
      <c r="D1081" s="983" t="s">
        <v>3053</v>
      </c>
      <c r="E1081" s="987">
        <v>50.17</v>
      </c>
      <c r="F1081" s="987">
        <f t="shared" si="0"/>
        <v>2.9128205128205163E-2</v>
      </c>
      <c r="G1081" s="987">
        <v>0</v>
      </c>
      <c r="H1081" s="987">
        <v>2.2000000000000001E-3</v>
      </c>
      <c r="I1081" s="987">
        <f t="shared" si="1"/>
        <v>2.6928205128205162E-2</v>
      </c>
      <c r="J1081" s="988">
        <f t="shared" si="2"/>
        <v>42339</v>
      </c>
    </row>
    <row r="1082" spans="2:10" ht="13.8">
      <c r="B1082" s="988">
        <v>42370</v>
      </c>
      <c r="C1082" s="983" t="s">
        <v>4648</v>
      </c>
      <c r="D1082" s="983" t="s">
        <v>3053</v>
      </c>
      <c r="E1082" s="987">
        <v>56.56</v>
      </c>
      <c r="F1082" s="987">
        <f t="shared" si="0"/>
        <v>0.12736695236196932</v>
      </c>
      <c r="G1082" s="987">
        <v>0</v>
      </c>
      <c r="H1082" s="987">
        <v>2.0999999999999999E-3</v>
      </c>
      <c r="I1082" s="987">
        <f t="shared" si="1"/>
        <v>0.12526695236196933</v>
      </c>
      <c r="J1082" s="988">
        <f t="shared" si="2"/>
        <v>42370</v>
      </c>
    </row>
    <row r="1083" spans="2:10" ht="13.8">
      <c r="B1083" s="988">
        <v>42401</v>
      </c>
      <c r="C1083" s="983" t="s">
        <v>4648</v>
      </c>
      <c r="D1083" s="983" t="s">
        <v>3053</v>
      </c>
      <c r="E1083" s="987">
        <v>57.98</v>
      </c>
      <c r="F1083" s="987">
        <f t="shared" si="0"/>
        <v>3.1294200848656195E-2</v>
      </c>
      <c r="G1083" s="987">
        <v>0.35</v>
      </c>
      <c r="H1083" s="987">
        <v>2E-3</v>
      </c>
      <c r="I1083" s="987">
        <f t="shared" si="1"/>
        <v>2.9294200848656193E-2</v>
      </c>
      <c r="J1083" s="988">
        <f t="shared" si="2"/>
        <v>42401</v>
      </c>
    </row>
    <row r="1084" spans="2:10" ht="13.8">
      <c r="B1084" s="988">
        <v>42430</v>
      </c>
      <c r="C1084" s="983" t="s">
        <v>4648</v>
      </c>
      <c r="D1084" s="983" t="s">
        <v>3053</v>
      </c>
      <c r="E1084" s="987">
        <v>61.1</v>
      </c>
      <c r="F1084" s="987">
        <f t="shared" si="0"/>
        <v>5.3811659192825191E-2</v>
      </c>
      <c r="G1084" s="987">
        <v>0</v>
      </c>
      <c r="H1084" s="987">
        <v>1.8E-3</v>
      </c>
      <c r="I1084" s="987">
        <f t="shared" si="1"/>
        <v>5.2011659192825188E-2</v>
      </c>
      <c r="J1084" s="988">
        <f t="shared" si="2"/>
        <v>42430</v>
      </c>
    </row>
    <row r="1085" spans="2:10" ht="13.8">
      <c r="B1085" s="988">
        <v>42461</v>
      </c>
      <c r="C1085" s="983" t="s">
        <v>4648</v>
      </c>
      <c r="D1085" s="983" t="s">
        <v>3053</v>
      </c>
      <c r="E1085" s="987">
        <v>58.47</v>
      </c>
      <c r="F1085" s="987">
        <f t="shared" si="0"/>
        <v>-4.3044189852700532E-2</v>
      </c>
      <c r="G1085" s="987">
        <v>0</v>
      </c>
      <c r="H1085" s="987">
        <v>1.6999999999999999E-3</v>
      </c>
      <c r="I1085" s="987">
        <f t="shared" si="1"/>
        <v>-4.4744189852700532E-2</v>
      </c>
      <c r="J1085" s="988">
        <f t="shared" si="2"/>
        <v>42461</v>
      </c>
    </row>
    <row r="1086" spans="2:10" ht="13.8">
      <c r="B1086" s="988">
        <v>42491</v>
      </c>
      <c r="C1086" s="983" t="s">
        <v>4648</v>
      </c>
      <c r="D1086" s="983" t="s">
        <v>3053</v>
      </c>
      <c r="E1086" s="987">
        <v>58.65</v>
      </c>
      <c r="F1086" s="987">
        <f t="shared" si="0"/>
        <v>9.0644775098340982E-3</v>
      </c>
      <c r="G1086" s="987">
        <v>0.35</v>
      </c>
      <c r="H1086" s="987">
        <v>2E-3</v>
      </c>
      <c r="I1086" s="987">
        <f t="shared" si="1"/>
        <v>7.0644775098340981E-3</v>
      </c>
      <c r="J1086" s="988">
        <f t="shared" si="2"/>
        <v>42491</v>
      </c>
    </row>
    <row r="1087" spans="2:10" ht="13.8">
      <c r="B1087" s="988">
        <v>42522</v>
      </c>
      <c r="C1087" s="983" t="s">
        <v>4648</v>
      </c>
      <c r="D1087" s="983" t="s">
        <v>3053</v>
      </c>
      <c r="E1087" s="987">
        <v>66.59</v>
      </c>
      <c r="F1087" s="987">
        <f t="shared" si="0"/>
        <v>0.13537936913896001</v>
      </c>
      <c r="G1087" s="987">
        <v>0</v>
      </c>
      <c r="H1087" s="987">
        <v>1.8E-3</v>
      </c>
      <c r="I1087" s="987">
        <f t="shared" si="1"/>
        <v>0.13357936913896001</v>
      </c>
      <c r="J1087" s="988">
        <f t="shared" si="2"/>
        <v>42522</v>
      </c>
    </row>
    <row r="1088" spans="2:10" ht="13.8">
      <c r="B1088" s="988">
        <v>42552</v>
      </c>
      <c r="C1088" s="983" t="s">
        <v>4648</v>
      </c>
      <c r="D1088" s="983" t="s">
        <v>3053</v>
      </c>
      <c r="E1088" s="987">
        <v>64.959999999999994</v>
      </c>
      <c r="F1088" s="987">
        <f t="shared" si="0"/>
        <v>-2.447814987235335E-2</v>
      </c>
      <c r="G1088" s="987">
        <v>0</v>
      </c>
      <c r="H1088" s="987">
        <v>1.4E-3</v>
      </c>
      <c r="I1088" s="987">
        <f t="shared" si="1"/>
        <v>-2.5878149872353349E-2</v>
      </c>
      <c r="J1088" s="988">
        <f t="shared" si="2"/>
        <v>42552</v>
      </c>
    </row>
    <row r="1089" spans="2:10" ht="13.8">
      <c r="B1089" s="988">
        <v>42583</v>
      </c>
      <c r="C1089" s="983" t="s">
        <v>4648</v>
      </c>
      <c r="D1089" s="983" t="s">
        <v>3053</v>
      </c>
      <c r="E1089" s="987">
        <v>61.23</v>
      </c>
      <c r="F1089" s="987">
        <f t="shared" si="0"/>
        <v>-5.2032019704433455E-2</v>
      </c>
      <c r="G1089" s="987">
        <v>0.35</v>
      </c>
      <c r="H1089" s="987">
        <v>1.6000000000000001E-3</v>
      </c>
      <c r="I1089" s="987">
        <f t="shared" si="1"/>
        <v>-5.3632019704433452E-2</v>
      </c>
      <c r="J1089" s="988">
        <f t="shared" si="2"/>
        <v>42583</v>
      </c>
    </row>
    <row r="1090" spans="2:10" ht="13.8">
      <c r="B1090" s="988">
        <v>42614</v>
      </c>
      <c r="C1090" s="983" t="s">
        <v>4648</v>
      </c>
      <c r="D1090" s="983" t="s">
        <v>3053</v>
      </c>
      <c r="E1090" s="987">
        <v>61.84</v>
      </c>
      <c r="F1090" s="987">
        <f t="shared" si="0"/>
        <v>9.9624367140291777E-3</v>
      </c>
      <c r="G1090" s="987">
        <v>0</v>
      </c>
      <c r="H1090" s="987">
        <v>1.5E-3</v>
      </c>
      <c r="I1090" s="987">
        <f t="shared" si="1"/>
        <v>8.4624367140291781E-3</v>
      </c>
      <c r="J1090" s="988">
        <f t="shared" si="2"/>
        <v>42614</v>
      </c>
    </row>
    <row r="1091" spans="2:10" ht="13.8">
      <c r="B1091" s="988">
        <v>42644</v>
      </c>
      <c r="C1091" s="983" t="s">
        <v>4648</v>
      </c>
      <c r="D1091" s="983" t="s">
        <v>3053</v>
      </c>
      <c r="E1091" s="987">
        <v>61.28</v>
      </c>
      <c r="F1091" s="987">
        <f t="shared" si="0"/>
        <v>-9.0556274256145246E-3</v>
      </c>
      <c r="G1091" s="987">
        <v>0</v>
      </c>
      <c r="H1091" s="987">
        <v>1.6000000000000001E-3</v>
      </c>
      <c r="I1091" s="987">
        <f t="shared" si="1"/>
        <v>-1.0655627425614525E-2</v>
      </c>
      <c r="J1091" s="988">
        <f t="shared" si="2"/>
        <v>42644</v>
      </c>
    </row>
    <row r="1092" spans="2:10" ht="13.8">
      <c r="B1092" s="988">
        <v>42675</v>
      </c>
      <c r="C1092" s="983" t="s">
        <v>4648</v>
      </c>
      <c r="D1092" s="983" t="s">
        <v>3053</v>
      </c>
      <c r="E1092" s="987">
        <v>60.01</v>
      </c>
      <c r="F1092" s="987">
        <f t="shared" si="0"/>
        <v>-1.5013054830287257E-2</v>
      </c>
      <c r="G1092" s="987">
        <v>0.35</v>
      </c>
      <c r="H1092" s="987">
        <v>1.8E-3</v>
      </c>
      <c r="I1092" s="987">
        <f t="shared" si="1"/>
        <v>-1.6813054830287257E-2</v>
      </c>
      <c r="J1092" s="988">
        <f t="shared" si="2"/>
        <v>42675</v>
      </c>
    </row>
    <row r="1093" spans="2:10" ht="13.8">
      <c r="B1093" s="988">
        <v>42705</v>
      </c>
      <c r="C1093" s="983" t="s">
        <v>4648</v>
      </c>
      <c r="D1093" s="983" t="s">
        <v>3053</v>
      </c>
      <c r="E1093" s="987">
        <v>63.96</v>
      </c>
      <c r="F1093" s="987">
        <f t="shared" si="0"/>
        <v>6.5822362939510132E-2</v>
      </c>
      <c r="G1093" s="987">
        <v>0</v>
      </c>
      <c r="H1093" s="987">
        <v>2.2000000000000001E-3</v>
      </c>
      <c r="I1093" s="987">
        <f t="shared" si="1"/>
        <v>6.3622362939510138E-2</v>
      </c>
      <c r="J1093" s="988">
        <f t="shared" si="2"/>
        <v>42705</v>
      </c>
    </row>
    <row r="1094" spans="2:10" ht="13.8">
      <c r="B1094" s="988">
        <v>42736</v>
      </c>
      <c r="C1094" s="983" t="s">
        <v>4648</v>
      </c>
      <c r="D1094" s="983" t="s">
        <v>3053</v>
      </c>
      <c r="E1094" s="987">
        <v>64.62</v>
      </c>
      <c r="F1094" s="987">
        <f t="shared" si="0"/>
        <v>1.0318949343339644E-2</v>
      </c>
      <c r="G1094" s="987">
        <v>0</v>
      </c>
      <c r="H1094" s="987">
        <v>2.3999999999999998E-3</v>
      </c>
      <c r="I1094" s="987">
        <f t="shared" si="1"/>
        <v>7.9189493433396447E-3</v>
      </c>
      <c r="J1094" s="988">
        <f t="shared" si="2"/>
        <v>42736</v>
      </c>
    </row>
    <row r="1095" spans="2:10" ht="13.8">
      <c r="B1095" s="988">
        <v>42767</v>
      </c>
      <c r="C1095" s="983" t="s">
        <v>4648</v>
      </c>
      <c r="D1095" s="983" t="s">
        <v>3053</v>
      </c>
      <c r="E1095" s="987">
        <v>65.55</v>
      </c>
      <c r="F1095" s="987">
        <f t="shared" si="0"/>
        <v>2.089136490250685E-2</v>
      </c>
      <c r="G1095" s="987">
        <v>0.42</v>
      </c>
      <c r="H1095" s="987">
        <v>2.0999999999999999E-3</v>
      </c>
      <c r="I1095" s="987">
        <f t="shared" si="1"/>
        <v>1.8791364902506848E-2</v>
      </c>
      <c r="J1095" s="988">
        <f t="shared" si="2"/>
        <v>42767</v>
      </c>
    </row>
    <row r="1096" spans="2:10" ht="13.8">
      <c r="B1096" s="988">
        <v>42795</v>
      </c>
      <c r="C1096" s="983" t="s">
        <v>4648</v>
      </c>
      <c r="D1096" s="983" t="s">
        <v>3053</v>
      </c>
      <c r="E1096" s="987">
        <v>67.599999999999994</v>
      </c>
      <c r="F1096" s="987">
        <f t="shared" si="0"/>
        <v>3.1273836765827567E-2</v>
      </c>
      <c r="G1096" s="987">
        <v>0</v>
      </c>
      <c r="H1096" s="987">
        <v>2.3E-3</v>
      </c>
      <c r="I1096" s="987">
        <f t="shared" si="1"/>
        <v>2.8973836765827567E-2</v>
      </c>
      <c r="J1096" s="988">
        <f t="shared" si="2"/>
        <v>42795</v>
      </c>
    </row>
    <row r="1097" spans="2:10" ht="13.8">
      <c r="B1097" s="988">
        <v>42826</v>
      </c>
      <c r="C1097" s="983" t="s">
        <v>4648</v>
      </c>
      <c r="D1097" s="983" t="s">
        <v>3053</v>
      </c>
      <c r="E1097" s="987">
        <v>68.83</v>
      </c>
      <c r="F1097" s="987">
        <f t="shared" si="0"/>
        <v>1.8195266272189408E-2</v>
      </c>
      <c r="G1097" s="987">
        <v>0</v>
      </c>
      <c r="H1097" s="987">
        <v>2.0999999999999999E-3</v>
      </c>
      <c r="I1097" s="987">
        <f t="shared" si="1"/>
        <v>1.6095266272189407E-2</v>
      </c>
      <c r="J1097" s="988">
        <f t="shared" si="2"/>
        <v>42826</v>
      </c>
    </row>
    <row r="1098" spans="2:10" ht="13.8">
      <c r="B1098" s="988">
        <v>42856</v>
      </c>
      <c r="C1098" s="983" t="s">
        <v>4648</v>
      </c>
      <c r="D1098" s="983" t="s">
        <v>3053</v>
      </c>
      <c r="E1098" s="987">
        <v>70.650000000000006</v>
      </c>
      <c r="F1098" s="987">
        <f t="shared" si="0"/>
        <v>3.2543948859509043E-2</v>
      </c>
      <c r="G1098" s="987">
        <v>0.42</v>
      </c>
      <c r="H1098" s="987">
        <v>2.3999999999999998E-3</v>
      </c>
      <c r="I1098" s="987">
        <f t="shared" si="1"/>
        <v>3.0143948859509044E-2</v>
      </c>
      <c r="J1098" s="988">
        <f t="shared" si="2"/>
        <v>42856</v>
      </c>
    </row>
    <row r="1099" spans="2:10" ht="13.8">
      <c r="B1099" s="988">
        <v>42887</v>
      </c>
      <c r="C1099" s="983" t="s">
        <v>4648</v>
      </c>
      <c r="D1099" s="983" t="s">
        <v>3053</v>
      </c>
      <c r="E1099" s="987">
        <v>69.81</v>
      </c>
      <c r="F1099" s="987">
        <f t="shared" si="0"/>
        <v>-1.1889596602972447E-2</v>
      </c>
      <c r="G1099" s="987">
        <v>0</v>
      </c>
      <c r="H1099" s="987">
        <v>2.0999999999999999E-3</v>
      </c>
      <c r="I1099" s="987">
        <f t="shared" si="1"/>
        <v>-1.3989596602972446E-2</v>
      </c>
      <c r="J1099" s="988">
        <f t="shared" si="2"/>
        <v>42887</v>
      </c>
    </row>
    <row r="1100" spans="2:10" ht="13.8">
      <c r="B1100" s="988">
        <v>42917</v>
      </c>
      <c r="C1100" s="983" t="s">
        <v>4648</v>
      </c>
      <c r="D1100" s="983" t="s">
        <v>3053</v>
      </c>
      <c r="E1100" s="987">
        <v>72.78</v>
      </c>
      <c r="F1100" s="987">
        <f t="shared" si="0"/>
        <v>4.2544048130640291E-2</v>
      </c>
      <c r="G1100" s="987">
        <v>0</v>
      </c>
      <c r="H1100" s="987">
        <v>2.2000000000000001E-3</v>
      </c>
      <c r="I1100" s="987">
        <f t="shared" si="1"/>
        <v>4.0344048130640291E-2</v>
      </c>
      <c r="J1100" s="988">
        <f t="shared" si="2"/>
        <v>42917</v>
      </c>
    </row>
    <row r="1101" spans="2:10" ht="13.8">
      <c r="B1101" s="988">
        <v>42948</v>
      </c>
      <c r="C1101" s="983" t="s">
        <v>4648</v>
      </c>
      <c r="D1101" s="983" t="s">
        <v>3053</v>
      </c>
      <c r="E1101" s="987">
        <v>75.239999999999995</v>
      </c>
      <c r="F1101" s="987">
        <f t="shared" si="0"/>
        <v>3.9571310799670155E-2</v>
      </c>
      <c r="G1101" s="987">
        <v>0.42</v>
      </c>
      <c r="H1101" s="987">
        <v>2.2000000000000001E-3</v>
      </c>
      <c r="I1101" s="987">
        <f t="shared" si="1"/>
        <v>3.7371310799670154E-2</v>
      </c>
      <c r="J1101" s="988">
        <f t="shared" si="2"/>
        <v>42948</v>
      </c>
    </row>
    <row r="1102" spans="2:10">
      <c r="B1102" s="988">
        <v>42979</v>
      </c>
      <c r="C1102" s="987" t="s">
        <v>4648</v>
      </c>
      <c r="D1102" s="987" t="s">
        <v>3053</v>
      </c>
      <c r="E1102" s="987">
        <v>73.64</v>
      </c>
      <c r="F1102" s="987">
        <f t="shared" si="0"/>
        <v>-2.1265284423179084E-2</v>
      </c>
      <c r="G1102" s="987">
        <v>0</v>
      </c>
      <c r="H1102" s="987">
        <v>1.9E-3</v>
      </c>
      <c r="I1102" s="987">
        <f t="shared" si="1"/>
        <v>-2.3165284423179083E-2</v>
      </c>
      <c r="J1102" s="988">
        <f t="shared" si="2"/>
        <v>42979</v>
      </c>
    </row>
    <row r="1103" spans="2:10">
      <c r="B1103" s="988">
        <v>43009</v>
      </c>
      <c r="C1103" s="987" t="s">
        <v>4648</v>
      </c>
      <c r="D1103" s="987" t="s">
        <v>3053</v>
      </c>
      <c r="E1103" s="987">
        <v>76.98</v>
      </c>
      <c r="F1103" s="987">
        <f t="shared" si="0"/>
        <v>4.5355784899511184E-2</v>
      </c>
      <c r="G1103" s="987">
        <v>0</v>
      </c>
      <c r="H1103" s="987">
        <v>2.2000000000000001E-3</v>
      </c>
      <c r="I1103" s="987">
        <f t="shared" si="1"/>
        <v>4.3155784899511183E-2</v>
      </c>
      <c r="J1103" s="988">
        <f t="shared" si="2"/>
        <v>43009</v>
      </c>
    </row>
    <row r="1104" spans="2:10">
      <c r="B1104" s="988">
        <v>43040</v>
      </c>
      <c r="C1104" s="987" t="s">
        <v>4648</v>
      </c>
      <c r="D1104" s="987" t="s">
        <v>3053</v>
      </c>
      <c r="E1104" s="987">
        <v>79.25</v>
      </c>
      <c r="F1104" s="987">
        <f t="shared" si="0"/>
        <v>3.4944141335411738E-2</v>
      </c>
      <c r="G1104" s="987">
        <v>0.42</v>
      </c>
      <c r="H1104" s="987">
        <v>2.0999999999999999E-3</v>
      </c>
      <c r="I1104" s="987">
        <f t="shared" si="1"/>
        <v>3.284414133541174E-2</v>
      </c>
      <c r="J1104" s="988">
        <f t="shared" si="2"/>
        <v>43040</v>
      </c>
    </row>
    <row r="1105" spans="2:10">
      <c r="B1105" s="988">
        <v>43070</v>
      </c>
      <c r="C1105" s="987" t="s">
        <v>4648</v>
      </c>
      <c r="D1105" s="987" t="s">
        <v>3053</v>
      </c>
      <c r="E1105" s="987">
        <v>73.260000000000005</v>
      </c>
      <c r="F1105" s="987">
        <f t="shared" si="0"/>
        <v>-7.5583596214510981E-2</v>
      </c>
      <c r="G1105" s="987">
        <v>0</v>
      </c>
      <c r="H1105" s="987">
        <v>2E-3</v>
      </c>
      <c r="I1105" s="987">
        <f t="shared" si="1"/>
        <v>-7.7583596214510983E-2</v>
      </c>
      <c r="J1105" s="988">
        <f t="shared" si="2"/>
        <v>43070</v>
      </c>
    </row>
    <row r="1106" spans="2:10">
      <c r="B1106" s="988">
        <v>43101</v>
      </c>
      <c r="C1106" s="987" t="s">
        <v>4648</v>
      </c>
      <c r="D1106" s="987" t="s">
        <v>3053</v>
      </c>
      <c r="E1106" s="987">
        <v>70.83</v>
      </c>
      <c r="F1106" s="987">
        <f t="shared" si="0"/>
        <v>-3.3169533169533263E-2</v>
      </c>
      <c r="G1106" s="987">
        <v>0</v>
      </c>
      <c r="H1106" s="987">
        <v>2.3999999999999998E-3</v>
      </c>
      <c r="I1106" s="987">
        <f t="shared" si="1"/>
        <v>-3.5569533169533263E-2</v>
      </c>
      <c r="J1106" s="988">
        <f t="shared" si="2"/>
        <v>43101</v>
      </c>
    </row>
    <row r="1107" spans="2:10">
      <c r="B1107" s="988">
        <v>43132</v>
      </c>
      <c r="C1107" s="987" t="s">
        <v>4648</v>
      </c>
      <c r="D1107" s="987" t="s">
        <v>3053</v>
      </c>
      <c r="E1107" s="987">
        <v>63.59</v>
      </c>
      <c r="F1107" s="987">
        <f t="shared" si="0"/>
        <v>-9.5722151630664901E-2</v>
      </c>
      <c r="G1107" s="987">
        <v>0.46</v>
      </c>
      <c r="H1107" s="987">
        <v>2.2000000000000001E-3</v>
      </c>
      <c r="I1107" s="987">
        <f t="shared" si="1"/>
        <v>-9.7922151630664894E-2</v>
      </c>
      <c r="J1107" s="988">
        <f t="shared" si="2"/>
        <v>43132</v>
      </c>
    </row>
    <row r="1108" spans="2:10">
      <c r="B1108" s="988">
        <v>43160</v>
      </c>
      <c r="C1108" s="987" t="s">
        <v>4648</v>
      </c>
      <c r="D1108" s="987" t="s">
        <v>3053</v>
      </c>
      <c r="E1108" s="987">
        <v>66.02</v>
      </c>
      <c r="F1108" s="987">
        <f t="shared" si="0"/>
        <v>3.8213555590501533E-2</v>
      </c>
      <c r="G1108" s="987">
        <v>0</v>
      </c>
      <c r="H1108" s="987">
        <v>2.3999999999999998E-3</v>
      </c>
      <c r="I1108" s="987">
        <f t="shared" si="1"/>
        <v>3.5813555590501533E-2</v>
      </c>
      <c r="J1108" s="988">
        <f t="shared" si="2"/>
        <v>43160</v>
      </c>
    </row>
    <row r="1109" spans="2:10">
      <c r="B1109" s="988">
        <v>43191</v>
      </c>
      <c r="C1109" s="987" t="s">
        <v>4648</v>
      </c>
      <c r="D1109" s="987" t="s">
        <v>3053</v>
      </c>
      <c r="E1109" s="987">
        <v>69.72</v>
      </c>
      <c r="F1109" s="987">
        <f t="shared" si="0"/>
        <v>5.604362314450171E-2</v>
      </c>
      <c r="G1109" s="987">
        <v>0</v>
      </c>
      <c r="H1109" s="987">
        <v>2.5000000000000001E-3</v>
      </c>
      <c r="I1109" s="987">
        <f t="shared" si="1"/>
        <v>5.3543623144501708E-2</v>
      </c>
      <c r="J1109" s="988">
        <f t="shared" si="2"/>
        <v>43191</v>
      </c>
    </row>
    <row r="1110" spans="2:10">
      <c r="B1110" s="988">
        <v>43221</v>
      </c>
      <c r="C1110" s="987" t="s">
        <v>4648</v>
      </c>
      <c r="D1110" s="987" t="s">
        <v>3053</v>
      </c>
      <c r="E1110" s="987">
        <v>75.05</v>
      </c>
      <c r="F1110" s="987">
        <f t="shared" si="0"/>
        <v>8.304647160068844E-2</v>
      </c>
      <c r="G1110" s="987">
        <v>0.46</v>
      </c>
      <c r="H1110" s="987">
        <v>2.5000000000000001E-3</v>
      </c>
      <c r="I1110" s="987">
        <f t="shared" si="1"/>
        <v>8.0546471600688438E-2</v>
      </c>
      <c r="J1110" s="988">
        <f t="shared" si="2"/>
        <v>43221</v>
      </c>
    </row>
    <row r="1111" spans="2:10">
      <c r="B1111" s="988">
        <v>43252</v>
      </c>
      <c r="C1111" s="987" t="s">
        <v>4648</v>
      </c>
      <c r="D1111" s="987" t="s">
        <v>3053</v>
      </c>
      <c r="E1111" s="987">
        <v>74.739999999999995</v>
      </c>
      <c r="F1111" s="987">
        <f t="shared" si="0"/>
        <v>-4.1305796135909702E-3</v>
      </c>
      <c r="G1111" s="987">
        <v>0</v>
      </c>
      <c r="H1111" s="987">
        <v>2.3E-3</v>
      </c>
      <c r="I1111" s="987">
        <f t="shared" si="1"/>
        <v>-6.4305796135909702E-3</v>
      </c>
      <c r="J1111" s="988">
        <f t="shared" si="2"/>
        <v>43252</v>
      </c>
    </row>
    <row r="1112" spans="2:10">
      <c r="B1112" s="988">
        <v>43282</v>
      </c>
      <c r="C1112" s="987" t="s">
        <v>4648</v>
      </c>
      <c r="D1112" s="987" t="s">
        <v>3053</v>
      </c>
      <c r="E1112" s="987">
        <v>77.040000000000006</v>
      </c>
      <c r="F1112" s="987">
        <f t="shared" si="0"/>
        <v>3.0773347605030928E-2</v>
      </c>
      <c r="G1112" s="987">
        <v>0</v>
      </c>
      <c r="H1112" s="987">
        <v>2.5000000000000001E-3</v>
      </c>
      <c r="I1112" s="987">
        <f t="shared" si="1"/>
        <v>2.8273347605030929E-2</v>
      </c>
      <c r="J1112" s="988">
        <f t="shared" si="2"/>
        <v>43282</v>
      </c>
    </row>
    <row r="1113" spans="2:10">
      <c r="B1113" s="988">
        <v>43313</v>
      </c>
      <c r="C1113" s="987" t="s">
        <v>4648</v>
      </c>
      <c r="D1113" s="987" t="s">
        <v>3053</v>
      </c>
      <c r="E1113" s="987">
        <v>78.53</v>
      </c>
      <c r="F1113" s="987">
        <f t="shared" si="0"/>
        <v>2.5311526479750709E-2</v>
      </c>
      <c r="G1113" s="987">
        <v>0.46</v>
      </c>
      <c r="H1113" s="987">
        <v>2.5000000000000001E-3</v>
      </c>
      <c r="I1113" s="987">
        <f t="shared" si="1"/>
        <v>2.281152647975071E-2</v>
      </c>
      <c r="J1113" s="988">
        <f t="shared" si="2"/>
        <v>43313</v>
      </c>
    </row>
    <row r="1114" spans="2:10">
      <c r="B1114" s="988">
        <v>43344</v>
      </c>
      <c r="C1114" s="987" t="s">
        <v>4648</v>
      </c>
      <c r="D1114" s="987" t="s">
        <v>3053</v>
      </c>
      <c r="E1114" s="987">
        <v>82.28</v>
      </c>
      <c r="F1114" s="987">
        <f t="shared" si="0"/>
        <v>4.7752451292499679E-2</v>
      </c>
      <c r="G1114" s="987">
        <v>0</v>
      </c>
      <c r="H1114" s="987">
        <v>2.2000000000000001E-3</v>
      </c>
      <c r="I1114" s="987">
        <f t="shared" si="1"/>
        <v>4.5552451292499678E-2</v>
      </c>
      <c r="J1114" s="988">
        <f t="shared" si="2"/>
        <v>43344</v>
      </c>
    </row>
    <row r="1115" spans="2:10">
      <c r="B1115" s="988">
        <v>43374</v>
      </c>
      <c r="C1115" s="987" t="s">
        <v>4648</v>
      </c>
      <c r="D1115" s="987" t="s">
        <v>3053</v>
      </c>
      <c r="E1115" s="987">
        <v>78.91</v>
      </c>
      <c r="F1115" s="987">
        <f t="shared" si="0"/>
        <v>-4.0957705396208126E-2</v>
      </c>
      <c r="G1115" s="987">
        <v>0</v>
      </c>
      <c r="H1115" s="987">
        <v>3.0000000000000001E-3</v>
      </c>
      <c r="I1115" s="987">
        <f t="shared" si="1"/>
        <v>-4.3957705396208129E-2</v>
      </c>
      <c r="J1115" s="988">
        <f t="shared" si="2"/>
        <v>43374</v>
      </c>
    </row>
    <row r="1116" spans="2:10">
      <c r="B1116" s="988">
        <v>43405</v>
      </c>
      <c r="C1116" s="987" t="s">
        <v>4648</v>
      </c>
      <c r="D1116" s="987" t="s">
        <v>3053</v>
      </c>
      <c r="E1116" s="987">
        <v>85.09</v>
      </c>
      <c r="F1116" s="987">
        <f t="shared" si="0"/>
        <v>8.4146496008110597E-2</v>
      </c>
      <c r="G1116" s="987">
        <v>0.46</v>
      </c>
      <c r="H1116" s="987">
        <v>2.8E-3</v>
      </c>
      <c r="I1116" s="987">
        <f t="shared" si="1"/>
        <v>8.13464960081106E-2</v>
      </c>
      <c r="J1116" s="988">
        <f t="shared" si="2"/>
        <v>43405</v>
      </c>
    </row>
    <row r="1117" spans="2:10">
      <c r="B1117" s="988">
        <v>43435</v>
      </c>
      <c r="C1117" s="987" t="s">
        <v>4648</v>
      </c>
      <c r="D1117" s="987" t="s">
        <v>3053</v>
      </c>
      <c r="E1117" s="987">
        <v>79.599999999999994</v>
      </c>
      <c r="F1117" s="987">
        <f t="shared" si="0"/>
        <v>-6.4519920084616392E-2</v>
      </c>
      <c r="G1117" s="987">
        <v>0</v>
      </c>
      <c r="H1117" s="987">
        <v>2.7000000000000001E-3</v>
      </c>
      <c r="I1117" s="987">
        <f t="shared" si="1"/>
        <v>-6.7219920084616386E-2</v>
      </c>
      <c r="J1117" s="988">
        <f t="shared" si="2"/>
        <v>43435</v>
      </c>
    </row>
    <row r="1118" spans="2:10">
      <c r="B1118" s="988">
        <v>43466</v>
      </c>
      <c r="C1118" s="987" t="s">
        <v>4648</v>
      </c>
      <c r="D1118" s="987" t="s">
        <v>3053</v>
      </c>
      <c r="E1118" s="987">
        <v>82.15</v>
      </c>
      <c r="F1118" s="987">
        <f t="shared" si="0"/>
        <v>3.2035175879397131E-2</v>
      </c>
      <c r="G1118" s="987">
        <v>0</v>
      </c>
      <c r="H1118" s="987">
        <v>2.5000000000000001E-3</v>
      </c>
      <c r="I1118" s="987">
        <f t="shared" si="1"/>
        <v>2.9535175879397132E-2</v>
      </c>
      <c r="J1118" s="988">
        <f t="shared" si="2"/>
        <v>43466</v>
      </c>
    </row>
    <row r="1119" spans="2:10">
      <c r="B1119" s="988">
        <v>43497</v>
      </c>
      <c r="C1119" s="987" t="s">
        <v>4648</v>
      </c>
      <c r="D1119" s="987" t="s">
        <v>3053</v>
      </c>
      <c r="E1119" s="987">
        <v>86.45</v>
      </c>
      <c r="F1119" s="987">
        <f t="shared" si="0"/>
        <v>5.8429701765063867E-2</v>
      </c>
      <c r="G1119" s="987">
        <v>0.5</v>
      </c>
      <c r="H1119" s="987">
        <v>2.2000000000000001E-3</v>
      </c>
      <c r="I1119" s="987">
        <f t="shared" si="1"/>
        <v>5.6229701765063866E-2</v>
      </c>
      <c r="J1119" s="988">
        <f t="shared" si="2"/>
        <v>43497</v>
      </c>
    </row>
    <row r="1120" spans="2:10">
      <c r="B1120" s="988">
        <v>43525</v>
      </c>
      <c r="C1120" s="987" t="s">
        <v>4648</v>
      </c>
      <c r="D1120" s="987" t="s">
        <v>3053</v>
      </c>
      <c r="E1120" s="987">
        <v>89.03</v>
      </c>
      <c r="F1120" s="987">
        <f t="shared" si="0"/>
        <v>2.9843840370156138E-2</v>
      </c>
      <c r="G1120" s="987">
        <v>0</v>
      </c>
      <c r="H1120" s="987">
        <v>2.3E-3</v>
      </c>
      <c r="I1120" s="987">
        <f t="shared" si="1"/>
        <v>2.7543840370156138E-2</v>
      </c>
      <c r="J1120" s="988">
        <f t="shared" si="2"/>
        <v>43525</v>
      </c>
    </row>
    <row r="1121" spans="2:10">
      <c r="B1121" s="988">
        <v>43556</v>
      </c>
      <c r="C1121" s="987" t="s">
        <v>4648</v>
      </c>
      <c r="D1121" s="987" t="s">
        <v>3053</v>
      </c>
      <c r="E1121" s="987">
        <v>88.52</v>
      </c>
      <c r="F1121" s="987">
        <f t="shared" si="0"/>
        <v>-5.7284061552286322E-3</v>
      </c>
      <c r="G1121" s="987">
        <v>0</v>
      </c>
      <c r="H1121" s="987">
        <v>2.3E-3</v>
      </c>
      <c r="I1121" s="987">
        <f t="shared" si="1"/>
        <v>-8.0284061552286321E-3</v>
      </c>
      <c r="J1121" s="988">
        <f t="shared" si="2"/>
        <v>43556</v>
      </c>
    </row>
    <row r="1122" spans="2:10">
      <c r="B1122" s="988">
        <v>43586</v>
      </c>
      <c r="C1122" s="987" t="s">
        <v>4648</v>
      </c>
      <c r="D1122" s="987" t="s">
        <v>3053</v>
      </c>
      <c r="E1122" s="987">
        <v>87.56</v>
      </c>
      <c r="F1122" s="987">
        <f t="shared" si="0"/>
        <v>-5.1965657478535215E-3</v>
      </c>
      <c r="G1122" s="987">
        <v>0.5</v>
      </c>
      <c r="H1122" s="987">
        <v>2.3E-3</v>
      </c>
      <c r="I1122" s="987">
        <f t="shared" si="1"/>
        <v>-7.4965657478535215E-3</v>
      </c>
      <c r="J1122" s="988">
        <f t="shared" si="2"/>
        <v>43586</v>
      </c>
    </row>
    <row r="1123" spans="2:10">
      <c r="B1123" s="988">
        <v>43617</v>
      </c>
      <c r="C1123" s="987" t="s">
        <v>4648</v>
      </c>
      <c r="D1123" s="987" t="s">
        <v>3053</v>
      </c>
      <c r="E1123" s="987">
        <v>90.3</v>
      </c>
      <c r="F1123" s="987">
        <f t="shared" ref="F1123:F1165" si="3">((E1123-E1122)/E1122)+(G1123/E1122)</f>
        <v>3.1292827775239777E-2</v>
      </c>
      <c r="G1123" s="987">
        <v>0</v>
      </c>
      <c r="H1123" s="987">
        <v>1.8E-3</v>
      </c>
      <c r="I1123" s="987">
        <f t="shared" ref="I1123:I1165" si="4">F1123-H1123</f>
        <v>2.9492827775239778E-2</v>
      </c>
      <c r="J1123" s="988">
        <f t="shared" si="2"/>
        <v>43617</v>
      </c>
    </row>
    <row r="1124" spans="2:10">
      <c r="B1124" s="988">
        <v>43647</v>
      </c>
      <c r="C1124" s="987" t="s">
        <v>4648</v>
      </c>
      <c r="D1124" s="987" t="s">
        <v>3053</v>
      </c>
      <c r="E1124" s="987">
        <v>91.18</v>
      </c>
      <c r="F1124" s="987">
        <f t="shared" si="3"/>
        <v>9.7452934662238064E-3</v>
      </c>
      <c r="G1124" s="987">
        <v>0</v>
      </c>
      <c r="H1124" s="987">
        <v>2.0999999999999999E-3</v>
      </c>
      <c r="I1124" s="987">
        <f t="shared" si="4"/>
        <v>7.645293466223807E-3</v>
      </c>
      <c r="J1124" s="988">
        <f t="shared" si="2"/>
        <v>43647</v>
      </c>
    </row>
    <row r="1125" spans="2:10">
      <c r="B1125" s="988">
        <v>43678</v>
      </c>
      <c r="C1125" s="987" t="s">
        <v>4648</v>
      </c>
      <c r="D1125" s="987" t="s">
        <v>3053</v>
      </c>
      <c r="E1125" s="987">
        <v>91.61</v>
      </c>
      <c r="F1125" s="987">
        <f t="shared" si="3"/>
        <v>1.0199605176573728E-2</v>
      </c>
      <c r="G1125" s="987">
        <v>0.5</v>
      </c>
      <c r="H1125" s="987">
        <v>1.9E-3</v>
      </c>
      <c r="I1125" s="987">
        <f t="shared" si="4"/>
        <v>8.2996051765737277E-3</v>
      </c>
      <c r="J1125" s="988">
        <f t="shared" si="2"/>
        <v>43678</v>
      </c>
    </row>
    <row r="1126" spans="2:10">
      <c r="B1126" s="988">
        <v>43709</v>
      </c>
      <c r="C1126" s="987" t="s">
        <v>4648</v>
      </c>
      <c r="D1126" s="987" t="s">
        <v>3053</v>
      </c>
      <c r="E1126" s="987">
        <v>96.11</v>
      </c>
      <c r="F1126" s="987">
        <f t="shared" si="3"/>
        <v>4.9121274969981442E-2</v>
      </c>
      <c r="G1126" s="987">
        <v>0</v>
      </c>
      <c r="H1126" s="987">
        <v>1.5E-3</v>
      </c>
      <c r="I1126" s="987">
        <f t="shared" si="4"/>
        <v>4.7621274969981441E-2</v>
      </c>
      <c r="J1126" s="988">
        <f t="shared" si="2"/>
        <v>43709</v>
      </c>
    </row>
    <row r="1127" spans="2:10">
      <c r="B1127" s="988">
        <v>43739</v>
      </c>
      <c r="C1127" s="987" t="s">
        <v>4648</v>
      </c>
      <c r="D1127" s="987" t="s">
        <v>3053</v>
      </c>
      <c r="E1127" s="987">
        <v>92.84</v>
      </c>
      <c r="F1127" s="987">
        <f t="shared" si="3"/>
        <v>-3.4023514722713519E-2</v>
      </c>
      <c r="G1127" s="987">
        <v>0</v>
      </c>
      <c r="H1127" s="987">
        <v>1.6000000000000001E-3</v>
      </c>
      <c r="I1127" s="987">
        <f t="shared" si="4"/>
        <v>-3.5623514722713516E-2</v>
      </c>
      <c r="J1127" s="988">
        <f t="shared" si="2"/>
        <v>43739</v>
      </c>
    </row>
    <row r="1128" spans="2:10">
      <c r="B1128" s="988">
        <v>43770</v>
      </c>
      <c r="C1128" s="987" t="s">
        <v>4648</v>
      </c>
      <c r="D1128" s="987" t="s">
        <v>3053</v>
      </c>
      <c r="E1128" s="987">
        <v>88.87</v>
      </c>
      <c r="F1128" s="987">
        <f t="shared" si="3"/>
        <v>-3.7376130978026702E-2</v>
      </c>
      <c r="G1128" s="987">
        <v>0.5</v>
      </c>
      <c r="H1128" s="987">
        <v>1.6000000000000001E-3</v>
      </c>
      <c r="I1128" s="987">
        <f t="shared" si="4"/>
        <v>-3.8976130978026699E-2</v>
      </c>
      <c r="J1128" s="988">
        <f t="shared" si="2"/>
        <v>43770</v>
      </c>
    </row>
    <row r="1129" spans="2:10">
      <c r="B1129" s="988">
        <v>43800</v>
      </c>
      <c r="C1129" s="987" t="s">
        <v>4648</v>
      </c>
      <c r="D1129" s="987" t="s">
        <v>3053</v>
      </c>
      <c r="E1129" s="987">
        <v>93.57</v>
      </c>
      <c r="F1129" s="987">
        <f t="shared" si="3"/>
        <v>5.2886238325644069E-2</v>
      </c>
      <c r="G1129" s="987">
        <v>0</v>
      </c>
      <c r="H1129" s="987">
        <v>1.8E-3</v>
      </c>
      <c r="I1129" s="987">
        <f t="shared" si="4"/>
        <v>5.1086238325644066E-2</v>
      </c>
      <c r="J1129" s="988">
        <f t="shared" si="2"/>
        <v>43800</v>
      </c>
    </row>
    <row r="1130" spans="2:10">
      <c r="B1130" s="988">
        <v>43831</v>
      </c>
      <c r="C1130" s="987" t="s">
        <v>4648</v>
      </c>
      <c r="D1130" s="987" t="s">
        <v>3053</v>
      </c>
      <c r="E1130" s="987">
        <v>94.5</v>
      </c>
      <c r="F1130" s="987">
        <f t="shared" si="3"/>
        <v>9.939083039435791E-3</v>
      </c>
      <c r="G1130" s="987">
        <v>0</v>
      </c>
      <c r="H1130" s="987">
        <v>2E-3</v>
      </c>
      <c r="I1130" s="987">
        <f t="shared" si="4"/>
        <v>7.939083039435791E-3</v>
      </c>
      <c r="J1130" s="988">
        <f t="shared" si="2"/>
        <v>43831</v>
      </c>
    </row>
    <row r="1131" spans="2:10">
      <c r="B1131" s="988">
        <v>43862</v>
      </c>
      <c r="C1131" s="987" t="s">
        <v>4648</v>
      </c>
      <c r="D1131" s="987" t="s">
        <v>3053</v>
      </c>
      <c r="E1131" s="987">
        <v>82.14</v>
      </c>
      <c r="F1131" s="987">
        <f t="shared" si="3"/>
        <v>-0.12507936507936507</v>
      </c>
      <c r="G1131" s="987">
        <v>0.54</v>
      </c>
      <c r="H1131" s="987">
        <v>1.5E-3</v>
      </c>
      <c r="I1131" s="987">
        <f t="shared" si="4"/>
        <v>-0.12657936507936507</v>
      </c>
      <c r="J1131" s="988">
        <f t="shared" si="2"/>
        <v>43862</v>
      </c>
    </row>
    <row r="1132" spans="2:10">
      <c r="B1132" s="988">
        <v>43891</v>
      </c>
      <c r="C1132" s="987" t="s">
        <v>4648</v>
      </c>
      <c r="D1132" s="987" t="s">
        <v>3053</v>
      </c>
      <c r="E1132" s="987">
        <v>83.62</v>
      </c>
      <c r="F1132" s="987">
        <f t="shared" si="3"/>
        <v>1.8018018018018066E-2</v>
      </c>
      <c r="G1132" s="987">
        <v>0</v>
      </c>
      <c r="H1132" s="987">
        <v>1.23E-3</v>
      </c>
      <c r="I1132" s="987">
        <f t="shared" si="4"/>
        <v>1.6788018018018068E-2</v>
      </c>
      <c r="J1132" s="988">
        <f t="shared" si="2"/>
        <v>43891</v>
      </c>
    </row>
    <row r="1133" spans="2:10">
      <c r="B1133" s="988">
        <v>43922</v>
      </c>
      <c r="C1133" s="987" t="s">
        <v>4648</v>
      </c>
      <c r="D1133" s="987" t="s">
        <v>3053</v>
      </c>
      <c r="E1133" s="987">
        <v>79.709999999999994</v>
      </c>
      <c r="F1133" s="987">
        <f t="shared" si="3"/>
        <v>-4.6759148529060157E-2</v>
      </c>
      <c r="G1133" s="987">
        <v>0</v>
      </c>
      <c r="H1133" s="987">
        <v>8.9999999999999998E-4</v>
      </c>
      <c r="I1133" s="987">
        <f t="shared" si="4"/>
        <v>-4.7659148529060155E-2</v>
      </c>
      <c r="J1133" s="988">
        <f t="shared" si="2"/>
        <v>43922</v>
      </c>
    </row>
    <row r="1134" spans="2:10">
      <c r="B1134" s="988">
        <v>43952</v>
      </c>
      <c r="C1134" s="987" t="s">
        <v>4648</v>
      </c>
      <c r="D1134" s="987" t="s">
        <v>3053</v>
      </c>
      <c r="E1134" s="987">
        <v>83.97</v>
      </c>
      <c r="F1134" s="987">
        <f t="shared" si="3"/>
        <v>6.0218291305984259E-2</v>
      </c>
      <c r="G1134" s="987">
        <v>0.54</v>
      </c>
      <c r="H1134" s="987">
        <v>8.9999999999999998E-4</v>
      </c>
      <c r="I1134" s="987">
        <f t="shared" si="4"/>
        <v>5.9318291305984261E-2</v>
      </c>
      <c r="J1134" s="988">
        <f t="shared" si="2"/>
        <v>43952</v>
      </c>
    </row>
    <row r="1135" spans="2:10">
      <c r="B1135" s="988">
        <v>43983</v>
      </c>
      <c r="C1135" s="987" t="s">
        <v>4648</v>
      </c>
      <c r="D1135" s="987" t="s">
        <v>3053</v>
      </c>
      <c r="E1135" s="987">
        <v>77.05</v>
      </c>
      <c r="F1135" s="987">
        <f t="shared" si="3"/>
        <v>-8.2410384661188538E-2</v>
      </c>
      <c r="G1135" s="987">
        <v>0</v>
      </c>
      <c r="H1135" s="987">
        <v>8.9999999999999998E-4</v>
      </c>
      <c r="I1135" s="987">
        <f t="shared" si="4"/>
        <v>-8.3310384661188536E-2</v>
      </c>
      <c r="J1135" s="988">
        <f t="shared" si="2"/>
        <v>43983</v>
      </c>
    </row>
    <row r="1136" spans="2:10">
      <c r="B1136" s="988">
        <v>44013</v>
      </c>
      <c r="C1136" s="987" t="s">
        <v>4648</v>
      </c>
      <c r="D1136" s="987" t="s">
        <v>3053</v>
      </c>
      <c r="E1136" s="987">
        <v>75.7</v>
      </c>
      <c r="F1136" s="987">
        <f t="shared" si="3"/>
        <v>-1.7521090201167999E-2</v>
      </c>
      <c r="G1136" s="987">
        <v>0</v>
      </c>
      <c r="H1136" s="987">
        <v>1E-3</v>
      </c>
      <c r="I1136" s="987">
        <f t="shared" si="4"/>
        <v>-1.8521090201167999E-2</v>
      </c>
      <c r="J1136" s="988">
        <f t="shared" si="2"/>
        <v>44013</v>
      </c>
    </row>
    <row r="1137" spans="2:10">
      <c r="B1137" s="988">
        <v>44044</v>
      </c>
      <c r="C1137" s="987" t="s">
        <v>4648</v>
      </c>
      <c r="D1137" s="987" t="s">
        <v>3053</v>
      </c>
      <c r="E1137" s="987">
        <v>74.12</v>
      </c>
      <c r="F1137" s="987">
        <f t="shared" si="3"/>
        <v>-1.3738441215323621E-2</v>
      </c>
      <c r="G1137" s="987">
        <v>0.54</v>
      </c>
      <c r="H1137" s="987">
        <v>8.0000000000000004E-4</v>
      </c>
      <c r="I1137" s="987">
        <f t="shared" si="4"/>
        <v>-1.4538441215323621E-2</v>
      </c>
      <c r="J1137" s="988">
        <f t="shared" si="2"/>
        <v>44044</v>
      </c>
    </row>
    <row r="1138" spans="2:10">
      <c r="B1138" s="988">
        <v>44075</v>
      </c>
      <c r="C1138" s="987" t="s">
        <v>4648</v>
      </c>
      <c r="D1138" s="987" t="s">
        <v>3053</v>
      </c>
      <c r="E1138" s="987">
        <v>69.010000000000005</v>
      </c>
      <c r="F1138" s="987">
        <f t="shared" si="3"/>
        <v>-6.8942255801403118E-2</v>
      </c>
      <c r="G1138" s="987">
        <v>0</v>
      </c>
      <c r="H1138" s="987">
        <v>0</v>
      </c>
      <c r="I1138" s="987">
        <f t="shared" si="4"/>
        <v>-6.8942255801403118E-2</v>
      </c>
      <c r="J1138" s="988">
        <f t="shared" si="2"/>
        <v>44075</v>
      </c>
    </row>
    <row r="1139" spans="2:10">
      <c r="B1139" s="988">
        <v>44105</v>
      </c>
      <c r="C1139" s="987" t="s">
        <v>4648</v>
      </c>
      <c r="D1139" s="987" t="s">
        <v>3053</v>
      </c>
      <c r="E1139" s="987">
        <v>69.040000000000006</v>
      </c>
      <c r="F1139" s="987">
        <f t="shared" si="3"/>
        <v>4.3471960585424044E-4</v>
      </c>
      <c r="G1139" s="987">
        <v>0</v>
      </c>
      <c r="H1139" s="987">
        <v>8.9999999999999998E-4</v>
      </c>
      <c r="I1139" s="987">
        <f t="shared" si="4"/>
        <v>-4.6528039414575953E-4</v>
      </c>
      <c r="J1139" s="988">
        <f t="shared" ref="J1139:J1165" si="5">B1139</f>
        <v>44105</v>
      </c>
    </row>
    <row r="1140" spans="2:10">
      <c r="B1140" s="988">
        <v>44136</v>
      </c>
      <c r="C1140" s="987" t="s">
        <v>4648</v>
      </c>
      <c r="D1140" s="987" t="s">
        <v>3053</v>
      </c>
      <c r="E1140" s="987">
        <v>79.180000000000007</v>
      </c>
      <c r="F1140" s="987">
        <f t="shared" si="3"/>
        <v>0.15469293163383546</v>
      </c>
      <c r="G1140" s="987">
        <v>0.54</v>
      </c>
      <c r="H1140" s="987">
        <v>1.1000000000000001E-3</v>
      </c>
      <c r="I1140" s="987">
        <f t="shared" si="4"/>
        <v>0.15359293163383547</v>
      </c>
      <c r="J1140" s="988">
        <f t="shared" si="5"/>
        <v>44136</v>
      </c>
    </row>
    <row r="1141" spans="2:10">
      <c r="B1141" s="988">
        <v>44166</v>
      </c>
      <c r="C1141" s="987" t="s">
        <v>4648</v>
      </c>
      <c r="D1141" s="987" t="s">
        <v>3053</v>
      </c>
      <c r="E1141" s="987">
        <v>76.77</v>
      </c>
      <c r="F1141" s="987">
        <f t="shared" si="3"/>
        <v>-3.0436979035110012E-2</v>
      </c>
      <c r="G1141" s="987">
        <v>0</v>
      </c>
      <c r="H1141" s="987">
        <v>1.1000000000000001E-3</v>
      </c>
      <c r="I1141" s="987">
        <f t="shared" si="4"/>
        <v>-3.1536979035110012E-2</v>
      </c>
      <c r="J1141" s="988">
        <f t="shared" si="5"/>
        <v>44166</v>
      </c>
    </row>
    <row r="1142" spans="2:10">
      <c r="B1142" s="988">
        <v>44197</v>
      </c>
      <c r="C1142" s="987" t="s">
        <v>4648</v>
      </c>
      <c r="D1142" s="987" t="s">
        <v>3053</v>
      </c>
      <c r="E1142" s="987">
        <v>73.13</v>
      </c>
      <c r="F1142" s="987">
        <f t="shared" si="3"/>
        <v>-4.7414354565585522E-2</v>
      </c>
      <c r="G1142" s="987">
        <v>0</v>
      </c>
      <c r="H1142" s="987">
        <v>1.1000000000000001E-3</v>
      </c>
      <c r="I1142" s="987">
        <f t="shared" si="4"/>
        <v>-4.8514354565585519E-2</v>
      </c>
      <c r="J1142" s="988">
        <f t="shared" si="5"/>
        <v>44197</v>
      </c>
    </row>
    <row r="1143" spans="2:10">
      <c r="B1143" s="988">
        <v>44228</v>
      </c>
      <c r="C1143" s="987" t="s">
        <v>4648</v>
      </c>
      <c r="D1143" s="987" t="s">
        <v>3053</v>
      </c>
      <c r="E1143" s="987">
        <v>66.97</v>
      </c>
      <c r="F1143" s="987">
        <f t="shared" si="3"/>
        <v>-7.6302475044441362E-2</v>
      </c>
      <c r="G1143" s="987">
        <v>0.57999999999999996</v>
      </c>
      <c r="H1143" s="987">
        <v>1.1999999999999999E-3</v>
      </c>
      <c r="I1143" s="987">
        <f t="shared" si="4"/>
        <v>-7.7502475044441368E-2</v>
      </c>
      <c r="J1143" s="988">
        <f t="shared" si="5"/>
        <v>44228</v>
      </c>
    </row>
    <row r="1144" spans="2:10">
      <c r="B1144" s="988">
        <v>44256</v>
      </c>
      <c r="C1144" s="987" t="s">
        <v>4648</v>
      </c>
      <c r="D1144" s="987" t="s">
        <v>3053</v>
      </c>
      <c r="E1144" s="987">
        <v>76.91</v>
      </c>
      <c r="F1144" s="987">
        <f t="shared" si="3"/>
        <v>0.14842466776168431</v>
      </c>
      <c r="G1144" s="987">
        <v>0</v>
      </c>
      <c r="H1144" s="987">
        <v>1.8E-3</v>
      </c>
      <c r="I1144" s="987">
        <f t="shared" si="4"/>
        <v>0.14662466776168431</v>
      </c>
      <c r="J1144" s="988">
        <f t="shared" si="5"/>
        <v>44256</v>
      </c>
    </row>
    <row r="1145" spans="2:10">
      <c r="B1145" s="988">
        <v>44287</v>
      </c>
      <c r="C1145" s="987" t="s">
        <v>4648</v>
      </c>
      <c r="D1145" s="987" t="s">
        <v>3053</v>
      </c>
      <c r="E1145" s="987">
        <v>80.47</v>
      </c>
      <c r="F1145" s="987">
        <f t="shared" si="3"/>
        <v>4.6287868937719447E-2</v>
      </c>
      <c r="G1145" s="987">
        <v>0</v>
      </c>
      <c r="H1145" s="987">
        <v>1.9E-3</v>
      </c>
      <c r="I1145" s="987">
        <f t="shared" si="4"/>
        <v>4.4387868937719448E-2</v>
      </c>
      <c r="J1145" s="988">
        <f t="shared" si="5"/>
        <v>44287</v>
      </c>
    </row>
    <row r="1146" spans="2:10">
      <c r="B1146" s="988">
        <v>44317</v>
      </c>
      <c r="C1146" s="987" t="s">
        <v>4648</v>
      </c>
      <c r="D1146" s="987" t="s">
        <v>3053</v>
      </c>
      <c r="E1146" s="987">
        <v>74.319999999999993</v>
      </c>
      <c r="F1146" s="987">
        <f t="shared" si="3"/>
        <v>-6.9218342239343922E-2</v>
      </c>
      <c r="G1146" s="987">
        <v>0.57999999999999996</v>
      </c>
      <c r="H1146" s="987">
        <v>1.8E-3</v>
      </c>
      <c r="I1146" s="987">
        <f t="shared" si="4"/>
        <v>-7.1018342239343918E-2</v>
      </c>
      <c r="J1146" s="988">
        <f t="shared" si="5"/>
        <v>44317</v>
      </c>
    </row>
    <row r="1147" spans="2:10">
      <c r="B1147" s="988">
        <v>44348</v>
      </c>
      <c r="C1147" s="987" t="s">
        <v>4648</v>
      </c>
      <c r="D1147" s="987" t="s">
        <v>3053</v>
      </c>
      <c r="E1147" s="987">
        <v>74.12</v>
      </c>
      <c r="F1147" s="987">
        <f t="shared" si="3"/>
        <v>-2.691065662002E-3</v>
      </c>
      <c r="G1147" s="987">
        <v>0</v>
      </c>
      <c r="H1147" s="987">
        <v>1.6999999999999999E-3</v>
      </c>
      <c r="I1147" s="987">
        <f t="shared" si="4"/>
        <v>-4.3910656620019996E-3</v>
      </c>
      <c r="J1147" s="988">
        <f t="shared" si="5"/>
        <v>44348</v>
      </c>
    </row>
    <row r="1148" spans="2:10">
      <c r="B1148" s="988">
        <v>44378</v>
      </c>
      <c r="C1148" s="987" t="s">
        <v>4648</v>
      </c>
      <c r="D1148" s="987" t="s">
        <v>3053</v>
      </c>
      <c r="E1148" s="987">
        <v>73.78</v>
      </c>
      <c r="F1148" s="987">
        <f t="shared" si="3"/>
        <v>-4.5871559633027977E-3</v>
      </c>
      <c r="G1148" s="987">
        <v>0</v>
      </c>
      <c r="H1148" s="987">
        <v>1.6000000000000001E-3</v>
      </c>
      <c r="I1148" s="987">
        <f t="shared" si="4"/>
        <v>-6.1871559633027975E-3</v>
      </c>
      <c r="J1148" s="988">
        <f t="shared" si="5"/>
        <v>44378</v>
      </c>
    </row>
    <row r="1149" spans="2:10">
      <c r="B1149" s="988">
        <v>44409</v>
      </c>
      <c r="C1149" s="987" t="s">
        <v>4648</v>
      </c>
      <c r="D1149" s="987" t="s">
        <v>3053</v>
      </c>
      <c r="E1149" s="987">
        <v>71.819999999999993</v>
      </c>
      <c r="F1149" s="987">
        <f t="shared" si="3"/>
        <v>-1.8704255895906859E-2</v>
      </c>
      <c r="G1149" s="987">
        <v>0.57999999999999996</v>
      </c>
      <c r="H1149" s="987">
        <v>1.5E-3</v>
      </c>
      <c r="I1149" s="987">
        <f t="shared" si="4"/>
        <v>-2.020425589590686E-2</v>
      </c>
      <c r="J1149" s="988">
        <f t="shared" si="5"/>
        <v>44409</v>
      </c>
    </row>
    <row r="1150" spans="2:10">
      <c r="B1150" s="988">
        <v>44440</v>
      </c>
      <c r="C1150" s="987" t="s">
        <v>4648</v>
      </c>
      <c r="D1150" s="987" t="s">
        <v>3053</v>
      </c>
      <c r="E1150" s="987">
        <v>63.37</v>
      </c>
      <c r="F1150" s="987">
        <f t="shared" si="3"/>
        <v>-0.11765524923419655</v>
      </c>
      <c r="G1150" s="987">
        <v>0</v>
      </c>
      <c r="H1150" s="987">
        <v>1.4E-3</v>
      </c>
      <c r="I1150" s="987">
        <f t="shared" si="4"/>
        <v>-0.11905524923419655</v>
      </c>
      <c r="J1150" s="988">
        <f t="shared" si="5"/>
        <v>44440</v>
      </c>
    </row>
    <row r="1151" spans="2:10">
      <c r="B1151" s="988">
        <v>44470</v>
      </c>
      <c r="C1151" s="987" t="s">
        <v>4648</v>
      </c>
      <c r="D1151" s="987" t="s">
        <v>3053</v>
      </c>
      <c r="E1151" s="987">
        <v>67.3</v>
      </c>
      <c r="F1151" s="987">
        <f t="shared" si="3"/>
        <v>6.201672715796118E-2</v>
      </c>
      <c r="G1151" s="987">
        <v>0</v>
      </c>
      <c r="H1151" s="987">
        <v>1.5E-3</v>
      </c>
      <c r="I1151" s="987">
        <f t="shared" si="4"/>
        <v>6.0516727157961178E-2</v>
      </c>
      <c r="J1151" s="988">
        <f t="shared" si="5"/>
        <v>44470</v>
      </c>
    </row>
    <row r="1152" spans="2:10">
      <c r="B1152" s="988">
        <v>44501</v>
      </c>
      <c r="C1152" s="987" t="s">
        <v>4648</v>
      </c>
      <c r="D1152" s="987" t="s">
        <v>3053</v>
      </c>
      <c r="E1152" s="987">
        <v>64.84</v>
      </c>
      <c r="F1152" s="987">
        <f t="shared" si="3"/>
        <v>-2.7934621099554146E-2</v>
      </c>
      <c r="G1152" s="987">
        <v>0.57999999999999996</v>
      </c>
      <c r="H1152" s="987">
        <v>1.6999999999999999E-3</v>
      </c>
      <c r="I1152" s="987">
        <f t="shared" si="4"/>
        <v>-2.9634621099554146E-2</v>
      </c>
      <c r="J1152" s="988">
        <f t="shared" si="5"/>
        <v>44501</v>
      </c>
    </row>
    <row r="1153" spans="2:10">
      <c r="B1153" s="988">
        <v>44531</v>
      </c>
      <c r="C1153" s="987" t="s">
        <v>4648</v>
      </c>
      <c r="D1153" s="987" t="s">
        <v>3053</v>
      </c>
      <c r="E1153" s="987">
        <v>77.59</v>
      </c>
      <c r="F1153" s="987">
        <f t="shared" si="3"/>
        <v>0.19663787785317705</v>
      </c>
      <c r="G1153" s="987">
        <v>0</v>
      </c>
      <c r="H1153" s="987">
        <v>1.5E-3</v>
      </c>
      <c r="I1153" s="987">
        <f t="shared" si="4"/>
        <v>0.19513787785317704</v>
      </c>
      <c r="J1153" s="988">
        <f t="shared" si="5"/>
        <v>44531</v>
      </c>
    </row>
    <row r="1154" spans="2:10">
      <c r="B1154" s="988">
        <v>44562</v>
      </c>
      <c r="C1154" s="987" t="s">
        <v>4648</v>
      </c>
      <c r="D1154" s="987" t="s">
        <v>3053</v>
      </c>
      <c r="E1154" s="987">
        <v>77.89</v>
      </c>
      <c r="F1154" s="987">
        <f t="shared" si="3"/>
        <v>3.8664776388709519E-3</v>
      </c>
      <c r="G1154" s="987">
        <v>0</v>
      </c>
      <c r="H1154" s="987">
        <v>1.7500000000000003E-3</v>
      </c>
      <c r="I1154" s="987">
        <f t="shared" si="4"/>
        <v>2.1164776388709517E-3</v>
      </c>
      <c r="J1154" s="988">
        <f t="shared" si="5"/>
        <v>44562</v>
      </c>
    </row>
    <row r="1155" spans="2:10">
      <c r="B1155" s="988">
        <v>44593</v>
      </c>
      <c r="C1155" s="987" t="s">
        <v>4648</v>
      </c>
      <c r="D1155" s="987" t="s">
        <v>3053</v>
      </c>
      <c r="E1155" s="987">
        <v>83.09</v>
      </c>
      <c r="F1155" s="987">
        <f t="shared" si="3"/>
        <v>7.4720760046219054E-2</v>
      </c>
      <c r="G1155" s="987">
        <v>0.62</v>
      </c>
      <c r="H1155" s="987">
        <v>1.8749999999999999E-3</v>
      </c>
      <c r="I1155" s="987">
        <f t="shared" si="4"/>
        <v>7.2845760046219052E-2</v>
      </c>
      <c r="J1155" s="988">
        <f t="shared" si="5"/>
        <v>44593</v>
      </c>
    </row>
    <row r="1156" spans="2:10">
      <c r="B1156" s="988">
        <v>44621</v>
      </c>
      <c r="C1156" s="987" t="s">
        <v>4648</v>
      </c>
      <c r="D1156" s="987" t="s">
        <v>3053</v>
      </c>
      <c r="E1156" s="987">
        <v>88.24</v>
      </c>
      <c r="F1156" s="987">
        <f t="shared" si="3"/>
        <v>6.1980984474665921E-2</v>
      </c>
      <c r="G1156" s="987">
        <v>0</v>
      </c>
      <c r="H1156" s="987">
        <v>2.0083333333333333E-3</v>
      </c>
      <c r="I1156" s="987">
        <f t="shared" si="4"/>
        <v>5.9972651141332586E-2</v>
      </c>
      <c r="J1156" s="988">
        <f t="shared" si="5"/>
        <v>44621</v>
      </c>
    </row>
    <row r="1157" spans="2:10">
      <c r="B1157" s="988">
        <v>44652</v>
      </c>
      <c r="C1157" s="987" t="s">
        <v>4648</v>
      </c>
      <c r="D1157" s="987" t="s">
        <v>3053</v>
      </c>
      <c r="E1157" s="987">
        <v>84.37</v>
      </c>
      <c r="F1157" s="987">
        <f t="shared" si="3"/>
        <v>-4.3857660924750574E-2</v>
      </c>
      <c r="G1157" s="987">
        <v>0</v>
      </c>
      <c r="H1157" s="987">
        <v>2.3416666666666668E-3</v>
      </c>
      <c r="I1157" s="987">
        <f t="shared" si="4"/>
        <v>-4.619932759141724E-2</v>
      </c>
      <c r="J1157" s="988">
        <f t="shared" si="5"/>
        <v>44652</v>
      </c>
    </row>
    <row r="1158" spans="2:10">
      <c r="B1158" s="988">
        <v>44682</v>
      </c>
      <c r="C1158" s="987" t="s">
        <v>4648</v>
      </c>
      <c r="D1158" s="987" t="s">
        <v>3053</v>
      </c>
      <c r="E1158" s="987">
        <v>87.02</v>
      </c>
      <c r="F1158" s="987">
        <f t="shared" si="3"/>
        <v>3.8757852317174248E-2</v>
      </c>
      <c r="G1158" s="987">
        <v>0.62</v>
      </c>
      <c r="H1158" s="987">
        <v>2.558333333333333E-3</v>
      </c>
      <c r="I1158" s="987">
        <f t="shared" si="4"/>
        <v>3.6199518983840911E-2</v>
      </c>
      <c r="J1158" s="988">
        <f t="shared" si="5"/>
        <v>44682</v>
      </c>
    </row>
    <row r="1159" spans="2:10">
      <c r="B1159" s="988">
        <v>44713</v>
      </c>
      <c r="C1159" s="987" t="s">
        <v>4648</v>
      </c>
      <c r="D1159" s="987" t="s">
        <v>3053</v>
      </c>
      <c r="E1159" s="987">
        <v>81.19</v>
      </c>
      <c r="F1159" s="987">
        <f t="shared" si="3"/>
        <v>-6.6996092852217859E-2</v>
      </c>
      <c r="G1159" s="987">
        <v>0</v>
      </c>
      <c r="H1159" s="987">
        <v>2.708333333333333E-3</v>
      </c>
      <c r="I1159" s="987">
        <f t="shared" si="4"/>
        <v>-6.9704426185551185E-2</v>
      </c>
      <c r="J1159" s="988">
        <f t="shared" si="5"/>
        <v>44713</v>
      </c>
    </row>
    <row r="1160" spans="2:10">
      <c r="B1160" s="988">
        <v>44743</v>
      </c>
      <c r="C1160" s="987" t="s">
        <v>4648</v>
      </c>
      <c r="D1160" s="987" t="s">
        <v>3053</v>
      </c>
      <c r="E1160" s="987">
        <v>84.94</v>
      </c>
      <c r="F1160" s="987">
        <f t="shared" si="3"/>
        <v>4.6187954181549452E-2</v>
      </c>
      <c r="G1160" s="987">
        <v>0</v>
      </c>
      <c r="H1160" s="987">
        <v>2.5833333333333337E-3</v>
      </c>
      <c r="I1160" s="987">
        <f t="shared" si="4"/>
        <v>4.3604620848216119E-2</v>
      </c>
      <c r="J1160" s="988">
        <f t="shared" si="5"/>
        <v>44743</v>
      </c>
    </row>
    <row r="1161" spans="2:10">
      <c r="B1161" s="988">
        <v>44774</v>
      </c>
      <c r="C1161" s="987" t="s">
        <v>4648</v>
      </c>
      <c r="D1161" s="987" t="s">
        <v>3053</v>
      </c>
      <c r="E1161" s="987">
        <v>78.27</v>
      </c>
      <c r="F1161" s="987">
        <f t="shared" si="3"/>
        <v>-7.1226748292912659E-2</v>
      </c>
      <c r="G1161" s="987">
        <v>0.62</v>
      </c>
      <c r="H1161" s="987">
        <v>2.6083333333333332E-3</v>
      </c>
      <c r="I1161" s="987">
        <f t="shared" si="4"/>
        <v>-7.3835081626245996E-2</v>
      </c>
      <c r="J1161" s="988">
        <f t="shared" si="5"/>
        <v>44774</v>
      </c>
    </row>
    <row r="1162" spans="2:10">
      <c r="B1162" s="988">
        <v>44805</v>
      </c>
      <c r="C1162" s="987" t="s">
        <v>4648</v>
      </c>
      <c r="D1162" s="987" t="s">
        <v>3053</v>
      </c>
      <c r="E1162" s="987">
        <v>70.39</v>
      </c>
      <c r="F1162" s="987">
        <f t="shared" si="3"/>
        <v>-0.10067714322217958</v>
      </c>
      <c r="G1162" s="987">
        <v>0</v>
      </c>
      <c r="H1162" s="987">
        <v>2.9666666666666669E-3</v>
      </c>
      <c r="I1162" s="987">
        <f t="shared" si="4"/>
        <v>-0.10364380988884625</v>
      </c>
      <c r="J1162" s="988">
        <f t="shared" si="5"/>
        <v>44805</v>
      </c>
    </row>
    <row r="1163" spans="2:10">
      <c r="B1163" s="988">
        <v>44835</v>
      </c>
      <c r="C1163" s="987" t="s">
        <v>4648</v>
      </c>
      <c r="D1163" s="987" t="s">
        <v>3053</v>
      </c>
      <c r="E1163" s="987">
        <v>77.48</v>
      </c>
      <c r="F1163" s="987">
        <f t="shared" si="3"/>
        <v>0.10072453473504764</v>
      </c>
      <c r="G1163" s="987">
        <v>0</v>
      </c>
      <c r="H1163" s="987">
        <v>3.3666666666666667E-3</v>
      </c>
      <c r="I1163" s="987">
        <f t="shared" si="4"/>
        <v>9.7357868068380968E-2</v>
      </c>
      <c r="J1163" s="988">
        <f t="shared" si="5"/>
        <v>44835</v>
      </c>
    </row>
    <row r="1164" spans="2:10">
      <c r="B1164" s="988">
        <v>44866</v>
      </c>
      <c r="C1164" s="987" t="s">
        <v>4648</v>
      </c>
      <c r="D1164" s="987" t="s">
        <v>3053</v>
      </c>
      <c r="E1164" s="987">
        <v>86.95</v>
      </c>
      <c r="F1164" s="987">
        <f t="shared" si="3"/>
        <v>0.13022715539494062</v>
      </c>
      <c r="G1164" s="987">
        <v>0.62</v>
      </c>
      <c r="H1164" s="987">
        <v>3.3333333333333331E-3</v>
      </c>
      <c r="I1164" s="987">
        <f t="shared" si="4"/>
        <v>0.12689382206160729</v>
      </c>
      <c r="J1164" s="988">
        <f t="shared" si="5"/>
        <v>44866</v>
      </c>
    </row>
    <row r="1165" spans="2:10">
      <c r="B1165" s="988">
        <v>44896</v>
      </c>
      <c r="C1165" s="987" t="s">
        <v>4648</v>
      </c>
      <c r="D1165" s="987" t="s">
        <v>3053</v>
      </c>
      <c r="E1165" s="987">
        <v>75.72</v>
      </c>
      <c r="F1165" s="987">
        <f t="shared" si="3"/>
        <v>-0.12915468660149515</v>
      </c>
      <c r="G1165" s="987">
        <v>0</v>
      </c>
      <c r="H1165" s="987">
        <v>3.0499999999999998E-3</v>
      </c>
      <c r="I1165" s="987">
        <f t="shared" si="4"/>
        <v>-0.13220468660149515</v>
      </c>
      <c r="J1165" s="988">
        <f t="shared" si="5"/>
        <v>44896</v>
      </c>
    </row>
  </sheetData>
  <conditionalFormatting sqref="E565:E1037">
    <cfRule type="cellIs" dxfId="3" priority="1" stopIfTrue="1" operator="lessThan">
      <formula>0</formula>
    </cfRule>
  </conditionalFormatting>
  <conditionalFormatting sqref="F565:F1026">
    <cfRule type="cellIs" dxfId="2" priority="2" stopIfTrue="1" operator="lessThan">
      <formula>-1</formula>
    </cfRule>
  </conditionalFormatting>
  <pageMargins left="0.70000000000000007" right="0.70000000000000007" top="0.75" bottom="0.75" header="0.30000000000000004" footer="0.30000000000000004"/>
  <pageSetup paperSize="0" scale="93" fitToWidth="0" fitToHeight="0" orientation="portrait" horizontalDpi="0" verticalDpi="0" copie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5"/>
  <sheetViews>
    <sheetView tabSelected="1" workbookViewId="0"/>
  </sheetViews>
  <sheetFormatPr defaultColWidth="9" defaultRowHeight="13.2"/>
  <cols>
    <col min="1" max="1" width="10.5546875" style="987" customWidth="1"/>
    <col min="2" max="2" width="10.5546875" style="988" bestFit="1" customWidth="1"/>
    <col min="3" max="3" width="24" style="987" bestFit="1" customWidth="1"/>
    <col min="4" max="4" width="7.33203125" style="987" customWidth="1"/>
    <col min="5" max="5" width="8.33203125" style="987" bestFit="1" customWidth="1"/>
    <col min="6" max="6" width="9.109375" style="987" bestFit="1" customWidth="1"/>
    <col min="7" max="7" width="10.33203125" style="987" customWidth="1"/>
    <col min="8" max="9" width="9.6640625" style="987" bestFit="1" customWidth="1"/>
    <col min="10" max="10" width="10.109375" style="988" bestFit="1" customWidth="1"/>
    <col min="11" max="11" width="9.5546875" style="987" customWidth="1"/>
    <col min="12" max="16384" width="9" style="987"/>
  </cols>
  <sheetData>
    <row r="1" spans="1:10" ht="39.6">
      <c r="A1" s="984" t="s">
        <v>4619</v>
      </c>
      <c r="B1" s="985" t="s">
        <v>4620</v>
      </c>
      <c r="C1" s="984" t="s">
        <v>4621</v>
      </c>
      <c r="D1" s="984" t="s">
        <v>181</v>
      </c>
      <c r="E1" s="984" t="s">
        <v>4622</v>
      </c>
      <c r="F1" s="984" t="s">
        <v>4623</v>
      </c>
      <c r="G1" s="984" t="s">
        <v>4624</v>
      </c>
      <c r="H1" s="986" t="s">
        <v>4625</v>
      </c>
      <c r="I1" s="987" t="s">
        <v>1482</v>
      </c>
      <c r="J1" s="985" t="s">
        <v>4620</v>
      </c>
    </row>
    <row r="2" spans="1:10">
      <c r="A2" s="987">
        <v>66</v>
      </c>
      <c r="B2" s="988">
        <v>9498</v>
      </c>
      <c r="C2" s="987" t="s">
        <v>4649</v>
      </c>
      <c r="D2" s="987" t="s">
        <v>4650</v>
      </c>
      <c r="E2" s="987">
        <v>-162</v>
      </c>
      <c r="F2" s="987">
        <v>2.2082000000000001E-2</v>
      </c>
      <c r="G2" s="987">
        <v>0</v>
      </c>
      <c r="H2" s="986">
        <v>3.0999999999999999E-3</v>
      </c>
      <c r="I2" s="986">
        <f t="shared" ref="I2:I65" si="0">F2-H2</f>
        <v>1.8982000000000002E-2</v>
      </c>
      <c r="J2" s="988">
        <v>9498</v>
      </c>
    </row>
    <row r="3" spans="1:10">
      <c r="A3" s="987">
        <v>66</v>
      </c>
      <c r="B3" s="988">
        <v>9529</v>
      </c>
      <c r="C3" s="987" t="s">
        <v>4649</v>
      </c>
      <c r="D3" s="987" t="s">
        <v>4650</v>
      </c>
      <c r="E3" s="987">
        <v>162.5</v>
      </c>
      <c r="F3" s="987">
        <v>3.0860000000000002E-3</v>
      </c>
      <c r="G3" s="987">
        <v>0</v>
      </c>
      <c r="H3" s="986">
        <v>2.8E-3</v>
      </c>
      <c r="I3" s="986">
        <f t="shared" si="0"/>
        <v>2.8600000000000023E-4</v>
      </c>
      <c r="J3" s="988">
        <v>9529</v>
      </c>
    </row>
    <row r="4" spans="1:10">
      <c r="A4" s="987">
        <v>66</v>
      </c>
      <c r="B4" s="988">
        <v>9557</v>
      </c>
      <c r="C4" s="987" t="s">
        <v>4649</v>
      </c>
      <c r="D4" s="987" t="s">
        <v>4650</v>
      </c>
      <c r="E4" s="987">
        <v>155</v>
      </c>
      <c r="F4" s="987">
        <v>-3.3846000000000001E-2</v>
      </c>
      <c r="G4" s="987">
        <v>2</v>
      </c>
      <c r="H4" s="986">
        <v>3.2000000000000002E-3</v>
      </c>
      <c r="I4" s="986">
        <f t="shared" si="0"/>
        <v>-3.7046000000000003E-2</v>
      </c>
      <c r="J4" s="988">
        <v>9557</v>
      </c>
    </row>
    <row r="5" spans="1:10">
      <c r="A5" s="987">
        <v>66</v>
      </c>
      <c r="B5" s="988">
        <v>9588</v>
      </c>
      <c r="C5" s="987" t="s">
        <v>4649</v>
      </c>
      <c r="D5" s="987" t="s">
        <v>4650</v>
      </c>
      <c r="E5" s="987">
        <v>-154.25</v>
      </c>
      <c r="F5" s="987">
        <v>-4.8390000000000004E-3</v>
      </c>
      <c r="G5" s="987">
        <v>0</v>
      </c>
      <c r="H5" s="986">
        <v>3.0000000000000001E-3</v>
      </c>
      <c r="I5" s="986">
        <f t="shared" si="0"/>
        <v>-7.8390000000000005E-3</v>
      </c>
      <c r="J5" s="988">
        <v>9588</v>
      </c>
    </row>
    <row r="6" spans="1:10">
      <c r="A6" s="987">
        <v>66</v>
      </c>
      <c r="B6" s="988">
        <v>9618</v>
      </c>
      <c r="C6" s="987" t="s">
        <v>4649</v>
      </c>
      <c r="D6" s="987" t="s">
        <v>4650</v>
      </c>
      <c r="E6" s="987">
        <v>155</v>
      </c>
      <c r="F6" s="987">
        <v>4.862E-3</v>
      </c>
      <c r="G6" s="987">
        <v>0</v>
      </c>
      <c r="H6" s="986">
        <v>2.8E-3</v>
      </c>
      <c r="I6" s="986">
        <f t="shared" si="0"/>
        <v>2.062E-3</v>
      </c>
      <c r="J6" s="988">
        <v>9618</v>
      </c>
    </row>
    <row r="7" spans="1:10">
      <c r="A7" s="987">
        <v>66</v>
      </c>
      <c r="B7" s="988">
        <v>9649</v>
      </c>
      <c r="C7" s="987" t="s">
        <v>4649</v>
      </c>
      <c r="D7" s="987" t="s">
        <v>4650</v>
      </c>
      <c r="E7" s="987">
        <v>157</v>
      </c>
      <c r="F7" s="987">
        <v>2.5805999999999999E-2</v>
      </c>
      <c r="G7" s="987">
        <v>2</v>
      </c>
      <c r="H7" s="986">
        <v>3.3E-3</v>
      </c>
      <c r="I7" s="986">
        <f t="shared" si="0"/>
        <v>2.2505999999999998E-2</v>
      </c>
      <c r="J7" s="988">
        <v>9649</v>
      </c>
    </row>
    <row r="8" spans="1:10">
      <c r="A8" s="987">
        <v>66</v>
      </c>
      <c r="B8" s="988">
        <v>9679</v>
      </c>
      <c r="C8" s="987" t="s">
        <v>4649</v>
      </c>
      <c r="D8" s="987" t="s">
        <v>4650</v>
      </c>
      <c r="E8" s="987">
        <v>-166</v>
      </c>
      <c r="F8" s="987">
        <v>5.7325000000000001E-2</v>
      </c>
      <c r="G8" s="987">
        <v>0</v>
      </c>
      <c r="H8" s="986">
        <v>3.0999999999999999E-3</v>
      </c>
      <c r="I8" s="986">
        <f t="shared" si="0"/>
        <v>5.4225000000000002E-2</v>
      </c>
      <c r="J8" s="988">
        <v>9679</v>
      </c>
    </row>
    <row r="9" spans="1:10">
      <c r="A9" s="987">
        <v>66</v>
      </c>
      <c r="B9" s="988">
        <v>9710</v>
      </c>
      <c r="C9" s="987" t="s">
        <v>4649</v>
      </c>
      <c r="D9" s="987" t="s">
        <v>4650</v>
      </c>
      <c r="E9" s="987">
        <v>-166.5</v>
      </c>
      <c r="F9" s="987">
        <v>3.0119999999999999E-3</v>
      </c>
      <c r="G9" s="987">
        <v>0</v>
      </c>
      <c r="H9" s="986">
        <v>3.0999999999999999E-3</v>
      </c>
      <c r="I9" s="986">
        <f t="shared" si="0"/>
        <v>-8.7999999999999971E-5</v>
      </c>
      <c r="J9" s="988">
        <v>9710</v>
      </c>
    </row>
    <row r="10" spans="1:10">
      <c r="A10" s="987">
        <v>66</v>
      </c>
      <c r="B10" s="988">
        <v>9741</v>
      </c>
      <c r="C10" s="987" t="s">
        <v>4649</v>
      </c>
      <c r="D10" s="987" t="s">
        <v>4650</v>
      </c>
      <c r="E10" s="987">
        <v>-161</v>
      </c>
      <c r="F10" s="987">
        <v>-2.1021000000000001E-2</v>
      </c>
      <c r="G10" s="987">
        <v>2</v>
      </c>
      <c r="H10" s="986">
        <v>3.0000000000000001E-3</v>
      </c>
      <c r="I10" s="986">
        <f t="shared" si="0"/>
        <v>-2.4021000000000001E-2</v>
      </c>
      <c r="J10" s="988">
        <v>9741</v>
      </c>
    </row>
    <row r="11" spans="1:10">
      <c r="A11" s="987">
        <v>66</v>
      </c>
      <c r="B11" s="988">
        <v>9771</v>
      </c>
      <c r="C11" s="987" t="s">
        <v>4649</v>
      </c>
      <c r="D11" s="987" t="s">
        <v>4650</v>
      </c>
      <c r="E11" s="987">
        <v>-162.5</v>
      </c>
      <c r="F11" s="987">
        <v>9.3170000000000006E-3</v>
      </c>
      <c r="G11" s="987">
        <v>0</v>
      </c>
      <c r="H11" s="986">
        <v>3.0000000000000001E-3</v>
      </c>
      <c r="I11" s="986">
        <f t="shared" si="0"/>
        <v>6.3170000000000006E-3</v>
      </c>
      <c r="J11" s="988">
        <v>9771</v>
      </c>
    </row>
    <row r="12" spans="1:10">
      <c r="A12" s="987">
        <v>66</v>
      </c>
      <c r="B12" s="988">
        <v>9802</v>
      </c>
      <c r="C12" s="987" t="s">
        <v>4649</v>
      </c>
      <c r="D12" s="987" t="s">
        <v>4650</v>
      </c>
      <c r="E12" s="987">
        <v>175</v>
      </c>
      <c r="F12" s="987">
        <v>7.6923000000000005E-2</v>
      </c>
      <c r="G12" s="987">
        <v>0</v>
      </c>
      <c r="H12" s="986">
        <v>3.0999999999999999E-3</v>
      </c>
      <c r="I12" s="986">
        <f t="shared" si="0"/>
        <v>7.3823E-2</v>
      </c>
      <c r="J12" s="988">
        <v>9802</v>
      </c>
    </row>
    <row r="13" spans="1:10">
      <c r="A13" s="987">
        <v>66</v>
      </c>
      <c r="B13" s="988">
        <v>9832</v>
      </c>
      <c r="C13" s="987" t="s">
        <v>4649</v>
      </c>
      <c r="D13" s="987" t="s">
        <v>4650</v>
      </c>
      <c r="E13" s="987">
        <v>180</v>
      </c>
      <c r="F13" s="987">
        <v>5.1429000000000002E-2</v>
      </c>
      <c r="G13" s="987">
        <v>4</v>
      </c>
      <c r="H13" s="986">
        <v>3.0000000000000001E-3</v>
      </c>
      <c r="I13" s="986">
        <f t="shared" si="0"/>
        <v>4.8429E-2</v>
      </c>
      <c r="J13" s="988">
        <v>9832</v>
      </c>
    </row>
    <row r="14" spans="1:10">
      <c r="A14" s="987">
        <v>66</v>
      </c>
      <c r="B14" s="988">
        <v>9863</v>
      </c>
      <c r="C14" s="987" t="s">
        <v>4649</v>
      </c>
      <c r="D14" s="987" t="s">
        <v>4650</v>
      </c>
      <c r="E14" s="987">
        <v>174</v>
      </c>
      <c r="F14" s="987">
        <v>-1.111E-3</v>
      </c>
      <c r="G14" s="987">
        <v>0</v>
      </c>
      <c r="H14" s="986">
        <v>3.0000000000000001E-3</v>
      </c>
      <c r="I14" s="986">
        <f t="shared" si="0"/>
        <v>-4.1110000000000001E-3</v>
      </c>
      <c r="J14" s="988">
        <v>9863</v>
      </c>
    </row>
    <row r="15" spans="1:10">
      <c r="A15" s="987">
        <v>66</v>
      </c>
      <c r="B15" s="988">
        <v>9894</v>
      </c>
      <c r="C15" s="987" t="s">
        <v>4649</v>
      </c>
      <c r="D15" s="987" t="s">
        <v>4650</v>
      </c>
      <c r="E15" s="987">
        <v>186</v>
      </c>
      <c r="F15" s="987">
        <v>6.8966E-2</v>
      </c>
      <c r="G15" s="987">
        <v>0</v>
      </c>
      <c r="H15" s="986">
        <v>2.7000000000000001E-3</v>
      </c>
      <c r="I15" s="986">
        <f t="shared" si="0"/>
        <v>6.6266000000000005E-2</v>
      </c>
      <c r="J15" s="988">
        <v>9894</v>
      </c>
    </row>
    <row r="16" spans="1:10">
      <c r="A16" s="987">
        <v>66</v>
      </c>
      <c r="B16" s="988">
        <v>9922</v>
      </c>
      <c r="C16" s="987" t="s">
        <v>4649</v>
      </c>
      <c r="D16" s="987" t="s">
        <v>4650</v>
      </c>
      <c r="E16" s="987">
        <v>-181.5</v>
      </c>
      <c r="F16" s="987">
        <v>-8.0649999999999993E-3</v>
      </c>
      <c r="G16" s="987">
        <v>3</v>
      </c>
      <c r="H16" s="986">
        <v>2.8999999999999998E-3</v>
      </c>
      <c r="I16" s="986">
        <f t="shared" si="0"/>
        <v>-1.0964999999999999E-2</v>
      </c>
      <c r="J16" s="988">
        <v>9922</v>
      </c>
    </row>
    <row r="17" spans="1:10">
      <c r="A17" s="987">
        <v>66</v>
      </c>
      <c r="B17" s="988">
        <v>9953</v>
      </c>
      <c r="C17" s="987" t="s">
        <v>4649</v>
      </c>
      <c r="D17" s="987" t="s">
        <v>4650</v>
      </c>
      <c r="E17" s="987">
        <v>-198.5</v>
      </c>
      <c r="F17" s="987">
        <v>9.3663999999999997E-2</v>
      </c>
      <c r="G17" s="987">
        <v>0</v>
      </c>
      <c r="H17" s="986">
        <v>2.7000000000000001E-3</v>
      </c>
      <c r="I17" s="986">
        <f t="shared" si="0"/>
        <v>9.0964000000000003E-2</v>
      </c>
      <c r="J17" s="988">
        <v>9953</v>
      </c>
    </row>
    <row r="18" spans="1:10">
      <c r="A18" s="987">
        <v>66</v>
      </c>
      <c r="B18" s="988">
        <v>9983</v>
      </c>
      <c r="C18" s="987" t="s">
        <v>4649</v>
      </c>
      <c r="D18" s="987" t="s">
        <v>4650</v>
      </c>
      <c r="E18" s="987">
        <v>243.25</v>
      </c>
      <c r="F18" s="987">
        <v>0.225441</v>
      </c>
      <c r="G18" s="987">
        <v>0</v>
      </c>
      <c r="H18" s="986">
        <v>2.8E-3</v>
      </c>
      <c r="I18" s="986">
        <f t="shared" si="0"/>
        <v>0.22264100000000001</v>
      </c>
      <c r="J18" s="988">
        <v>9983</v>
      </c>
    </row>
    <row r="19" spans="1:10">
      <c r="A19" s="987">
        <v>66</v>
      </c>
      <c r="B19" s="988">
        <v>10014</v>
      </c>
      <c r="C19" s="987" t="s">
        <v>4649</v>
      </c>
      <c r="D19" s="987" t="s">
        <v>4650</v>
      </c>
      <c r="E19" s="987">
        <v>-231.5</v>
      </c>
      <c r="F19" s="987">
        <v>-3.5971000000000003E-2</v>
      </c>
      <c r="G19" s="987">
        <v>3</v>
      </c>
      <c r="H19" s="986">
        <v>2.7000000000000001E-3</v>
      </c>
      <c r="I19" s="986">
        <f t="shared" si="0"/>
        <v>-3.8671000000000004E-2</v>
      </c>
      <c r="J19" s="988">
        <v>10014</v>
      </c>
    </row>
    <row r="20" spans="1:10">
      <c r="A20" s="987">
        <v>66</v>
      </c>
      <c r="B20" s="988">
        <v>10044</v>
      </c>
      <c r="C20" s="987" t="s">
        <v>4649</v>
      </c>
      <c r="D20" s="987" t="s">
        <v>4650</v>
      </c>
      <c r="E20" s="987">
        <v>-237</v>
      </c>
      <c r="F20" s="987">
        <v>2.3758000000000001E-2</v>
      </c>
      <c r="G20" s="987">
        <v>0</v>
      </c>
      <c r="H20" s="986">
        <v>2.7000000000000001E-3</v>
      </c>
      <c r="I20" s="986">
        <f t="shared" si="0"/>
        <v>2.1058E-2</v>
      </c>
      <c r="J20" s="988">
        <v>10044</v>
      </c>
    </row>
    <row r="21" spans="1:10">
      <c r="A21" s="987">
        <v>66</v>
      </c>
      <c r="B21" s="988">
        <v>10075</v>
      </c>
      <c r="C21" s="987" t="s">
        <v>4649</v>
      </c>
      <c r="D21" s="987" t="s">
        <v>4650</v>
      </c>
      <c r="E21" s="987">
        <v>-237.5</v>
      </c>
      <c r="F21" s="987">
        <v>2.1099999999999999E-3</v>
      </c>
      <c r="G21" s="987">
        <v>0</v>
      </c>
      <c r="H21" s="986">
        <v>2.8999999999999998E-3</v>
      </c>
      <c r="I21" s="986">
        <f t="shared" si="0"/>
        <v>-7.899999999999999E-4</v>
      </c>
      <c r="J21" s="988">
        <v>10075</v>
      </c>
    </row>
    <row r="22" spans="1:10">
      <c r="A22" s="987">
        <v>66</v>
      </c>
      <c r="B22" s="988">
        <v>10106</v>
      </c>
      <c r="C22" s="987" t="s">
        <v>4649</v>
      </c>
      <c r="D22" s="987" t="s">
        <v>4650</v>
      </c>
      <c r="E22" s="987">
        <v>-210</v>
      </c>
      <c r="F22" s="987">
        <v>-0.103158</v>
      </c>
      <c r="G22" s="987">
        <v>3</v>
      </c>
      <c r="H22" s="986">
        <v>2.7000000000000001E-3</v>
      </c>
      <c r="I22" s="986">
        <f t="shared" si="0"/>
        <v>-0.10585799999999999</v>
      </c>
      <c r="J22" s="988">
        <v>10106</v>
      </c>
    </row>
    <row r="23" spans="1:10">
      <c r="A23" s="987">
        <v>66</v>
      </c>
      <c r="B23" s="988">
        <v>10136</v>
      </c>
      <c r="C23" s="987" t="s">
        <v>4649</v>
      </c>
      <c r="D23" s="987" t="s">
        <v>4650</v>
      </c>
      <c r="E23" s="987">
        <v>-212.5</v>
      </c>
      <c r="F23" s="987">
        <v>1.1905000000000001E-2</v>
      </c>
      <c r="G23" s="987">
        <v>0</v>
      </c>
      <c r="H23" s="986">
        <v>2.8E-3</v>
      </c>
      <c r="I23" s="986">
        <f t="shared" si="0"/>
        <v>9.1050000000000002E-3</v>
      </c>
      <c r="J23" s="988">
        <v>10136</v>
      </c>
    </row>
    <row r="24" spans="1:10">
      <c r="A24" s="987">
        <v>66</v>
      </c>
      <c r="B24" s="988">
        <v>10167</v>
      </c>
      <c r="C24" s="987" t="s">
        <v>4649</v>
      </c>
      <c r="D24" s="987" t="s">
        <v>4650</v>
      </c>
      <c r="E24" s="987">
        <v>-222.5</v>
      </c>
      <c r="F24" s="987">
        <v>4.7058999999999997E-2</v>
      </c>
      <c r="G24" s="987">
        <v>0</v>
      </c>
      <c r="H24" s="986">
        <v>2.7000000000000001E-3</v>
      </c>
      <c r="I24" s="986">
        <f t="shared" si="0"/>
        <v>4.4358999999999996E-2</v>
      </c>
      <c r="J24" s="988">
        <v>10167</v>
      </c>
    </row>
    <row r="25" spans="1:10">
      <c r="A25" s="987">
        <v>66</v>
      </c>
      <c r="B25" s="988">
        <v>10197</v>
      </c>
      <c r="C25" s="987" t="s">
        <v>4649</v>
      </c>
      <c r="D25" s="987" t="s">
        <v>4650</v>
      </c>
      <c r="E25" s="987">
        <v>-197.5</v>
      </c>
      <c r="F25" s="987">
        <v>-9.8876000000000006E-2</v>
      </c>
      <c r="G25" s="987">
        <v>3</v>
      </c>
      <c r="H25" s="986">
        <v>2.7000000000000001E-3</v>
      </c>
      <c r="I25" s="986">
        <f t="shared" si="0"/>
        <v>-0.101576</v>
      </c>
      <c r="J25" s="988">
        <v>10197</v>
      </c>
    </row>
    <row r="26" spans="1:10">
      <c r="A26" s="987">
        <v>66</v>
      </c>
      <c r="B26" s="988">
        <v>10228</v>
      </c>
      <c r="C26" s="987" t="s">
        <v>4649</v>
      </c>
      <c r="D26" s="987" t="s">
        <v>4650</v>
      </c>
      <c r="E26" s="987">
        <v>-245</v>
      </c>
      <c r="F26" s="987">
        <v>0.240506</v>
      </c>
      <c r="G26" s="987">
        <v>0</v>
      </c>
      <c r="H26" s="986">
        <v>2.7000000000000001E-3</v>
      </c>
      <c r="I26" s="986">
        <f t="shared" si="0"/>
        <v>0.23780599999999999</v>
      </c>
      <c r="J26" s="988">
        <v>10228</v>
      </c>
    </row>
    <row r="27" spans="1:10">
      <c r="A27" s="987">
        <v>66</v>
      </c>
      <c r="B27" s="988">
        <v>10259</v>
      </c>
      <c r="C27" s="987" t="s">
        <v>4649</v>
      </c>
      <c r="D27" s="987" t="s">
        <v>4650</v>
      </c>
      <c r="E27" s="987">
        <v>0</v>
      </c>
      <c r="F27" s="987">
        <v>0</v>
      </c>
      <c r="G27" s="987">
        <v>2.5</v>
      </c>
      <c r="H27" s="986">
        <v>2.5000000000000001E-3</v>
      </c>
      <c r="I27" s="986">
        <f t="shared" si="0"/>
        <v>-2.5000000000000001E-3</v>
      </c>
      <c r="J27" s="988">
        <v>10259</v>
      </c>
    </row>
    <row r="28" spans="1:10">
      <c r="A28" s="987">
        <v>66</v>
      </c>
      <c r="B28" s="988">
        <v>10288</v>
      </c>
      <c r="C28" s="987" t="s">
        <v>4649</v>
      </c>
      <c r="D28" s="987" t="s">
        <v>4650</v>
      </c>
      <c r="E28" s="987">
        <v>-225</v>
      </c>
      <c r="F28" s="987">
        <v>-7.1429000000000006E-2</v>
      </c>
      <c r="G28" s="987">
        <v>0</v>
      </c>
      <c r="H28" s="986">
        <v>2.7000000000000001E-3</v>
      </c>
      <c r="I28" s="986">
        <f t="shared" si="0"/>
        <v>-7.4129E-2</v>
      </c>
      <c r="J28" s="988">
        <v>10288</v>
      </c>
    </row>
    <row r="29" spans="1:10">
      <c r="A29" s="987">
        <v>66</v>
      </c>
      <c r="B29" s="988">
        <v>10319</v>
      </c>
      <c r="C29" s="987" t="s">
        <v>4649</v>
      </c>
      <c r="D29" s="987" t="s">
        <v>4650</v>
      </c>
      <c r="E29" s="987">
        <v>-225</v>
      </c>
      <c r="F29" s="987">
        <v>0</v>
      </c>
      <c r="G29" s="987">
        <v>0</v>
      </c>
      <c r="H29" s="986">
        <v>2.5999999999999999E-3</v>
      </c>
      <c r="I29" s="986">
        <f t="shared" si="0"/>
        <v>-2.5999999999999999E-3</v>
      </c>
      <c r="J29" s="988">
        <v>10319</v>
      </c>
    </row>
    <row r="30" spans="1:10">
      <c r="A30" s="987">
        <v>66</v>
      </c>
      <c r="B30" s="988">
        <v>10349</v>
      </c>
      <c r="C30" s="987" t="s">
        <v>4649</v>
      </c>
      <c r="D30" s="987" t="s">
        <v>4650</v>
      </c>
      <c r="E30" s="987">
        <v>-222.5</v>
      </c>
      <c r="F30" s="987">
        <v>0</v>
      </c>
      <c r="G30" s="987">
        <v>2.5</v>
      </c>
      <c r="H30" s="986">
        <v>2.7000000000000001E-3</v>
      </c>
      <c r="I30" s="986">
        <f t="shared" si="0"/>
        <v>-2.7000000000000001E-3</v>
      </c>
      <c r="J30" s="988">
        <v>10349</v>
      </c>
    </row>
    <row r="31" spans="1:10">
      <c r="A31" s="987">
        <v>66</v>
      </c>
      <c r="B31" s="988">
        <v>10380</v>
      </c>
      <c r="C31" s="987" t="s">
        <v>4649</v>
      </c>
      <c r="D31" s="987" t="s">
        <v>4650</v>
      </c>
      <c r="E31" s="987">
        <v>-235</v>
      </c>
      <c r="F31" s="987">
        <v>5.6180000000000001E-2</v>
      </c>
      <c r="G31" s="987">
        <v>0</v>
      </c>
      <c r="H31" s="986">
        <v>2.7000000000000001E-3</v>
      </c>
      <c r="I31" s="986">
        <f t="shared" si="0"/>
        <v>5.348E-2</v>
      </c>
      <c r="J31" s="988">
        <v>10380</v>
      </c>
    </row>
    <row r="32" spans="1:10">
      <c r="A32" s="987">
        <v>66</v>
      </c>
      <c r="B32" s="988">
        <v>10410</v>
      </c>
      <c r="C32" s="987" t="s">
        <v>4649</v>
      </c>
      <c r="D32" s="987" t="s">
        <v>4650</v>
      </c>
      <c r="E32" s="987">
        <v>-225</v>
      </c>
      <c r="F32" s="987">
        <v>-4.2553000000000001E-2</v>
      </c>
      <c r="G32" s="987">
        <v>0</v>
      </c>
      <c r="H32" s="986">
        <v>2.7000000000000001E-3</v>
      </c>
      <c r="I32" s="986">
        <f t="shared" si="0"/>
        <v>-4.5253000000000002E-2</v>
      </c>
      <c r="J32" s="988">
        <v>10410</v>
      </c>
    </row>
    <row r="33" spans="1:10">
      <c r="A33" s="987">
        <v>66</v>
      </c>
      <c r="B33" s="988">
        <v>10441</v>
      </c>
      <c r="C33" s="987" t="s">
        <v>4649</v>
      </c>
      <c r="D33" s="987" t="s">
        <v>4650</v>
      </c>
      <c r="E33" s="987">
        <v>-257.5</v>
      </c>
      <c r="F33" s="987">
        <v>0.155556</v>
      </c>
      <c r="G33" s="987">
        <v>2.5</v>
      </c>
      <c r="H33" s="986">
        <v>2.8999999999999998E-3</v>
      </c>
      <c r="I33" s="986">
        <f t="shared" si="0"/>
        <v>0.15265600000000001</v>
      </c>
      <c r="J33" s="988">
        <v>10441</v>
      </c>
    </row>
    <row r="34" spans="1:10">
      <c r="A34" s="987">
        <v>66</v>
      </c>
      <c r="B34" s="988">
        <v>10472</v>
      </c>
      <c r="C34" s="987" t="s">
        <v>4649</v>
      </c>
      <c r="D34" s="987" t="s">
        <v>4650</v>
      </c>
      <c r="E34" s="987">
        <v>-230</v>
      </c>
      <c r="F34" s="987">
        <v>-0.106796</v>
      </c>
      <c r="G34" s="987">
        <v>0</v>
      </c>
      <c r="H34" s="986">
        <v>2.7000000000000001E-3</v>
      </c>
      <c r="I34" s="986">
        <f t="shared" si="0"/>
        <v>-0.109496</v>
      </c>
      <c r="J34" s="988">
        <v>10472</v>
      </c>
    </row>
    <row r="35" spans="1:10">
      <c r="A35" s="987">
        <v>66</v>
      </c>
      <c r="B35" s="988">
        <v>10502</v>
      </c>
      <c r="C35" s="987" t="s">
        <v>4649</v>
      </c>
      <c r="D35" s="987" t="s">
        <v>4650</v>
      </c>
      <c r="E35" s="987">
        <v>-230</v>
      </c>
      <c r="F35" s="987">
        <v>0</v>
      </c>
      <c r="G35" s="987">
        <v>0</v>
      </c>
      <c r="H35" s="986">
        <v>3.0000000000000001E-3</v>
      </c>
      <c r="I35" s="986">
        <f t="shared" si="0"/>
        <v>-3.0000000000000001E-3</v>
      </c>
      <c r="J35" s="988">
        <v>10502</v>
      </c>
    </row>
    <row r="36" spans="1:10">
      <c r="A36" s="987">
        <v>66</v>
      </c>
      <c r="B36" s="988">
        <v>10533</v>
      </c>
      <c r="C36" s="987" t="s">
        <v>4649</v>
      </c>
      <c r="D36" s="987" t="s">
        <v>4650</v>
      </c>
      <c r="E36" s="987">
        <v>-230</v>
      </c>
      <c r="F36" s="987">
        <v>1.0869999999999999E-2</v>
      </c>
      <c r="G36" s="987">
        <v>2.5</v>
      </c>
      <c r="H36" s="986">
        <v>2.7000000000000001E-3</v>
      </c>
      <c r="I36" s="986">
        <f t="shared" si="0"/>
        <v>8.1700000000000002E-3</v>
      </c>
      <c r="J36" s="988">
        <v>10533</v>
      </c>
    </row>
    <row r="37" spans="1:10">
      <c r="A37" s="987">
        <v>66</v>
      </c>
      <c r="B37" s="988">
        <v>10563</v>
      </c>
      <c r="C37" s="987" t="s">
        <v>4649</v>
      </c>
      <c r="D37" s="987" t="s">
        <v>4650</v>
      </c>
      <c r="E37" s="987">
        <v>-230</v>
      </c>
      <c r="F37" s="987">
        <v>0</v>
      </c>
      <c r="G37" s="987">
        <v>0</v>
      </c>
      <c r="H37" s="986">
        <v>2.8999999999999998E-3</v>
      </c>
      <c r="I37" s="986">
        <f t="shared" si="0"/>
        <v>-2.8999999999999998E-3</v>
      </c>
      <c r="J37" s="988">
        <v>10563</v>
      </c>
    </row>
    <row r="38" spans="1:10">
      <c r="A38" s="987">
        <v>66</v>
      </c>
      <c r="B38" s="988">
        <v>10594</v>
      </c>
      <c r="C38" s="987" t="s">
        <v>4649</v>
      </c>
      <c r="D38" s="987" t="s">
        <v>4650</v>
      </c>
      <c r="E38" s="987">
        <v>-242.5</v>
      </c>
      <c r="F38" s="987">
        <v>5.4348E-2</v>
      </c>
      <c r="G38" s="987">
        <v>0</v>
      </c>
      <c r="H38" s="986">
        <v>2.8999999999999998E-3</v>
      </c>
      <c r="I38" s="986">
        <f t="shared" si="0"/>
        <v>5.1448000000000001E-2</v>
      </c>
      <c r="J38" s="988">
        <v>10594</v>
      </c>
    </row>
    <row r="39" spans="1:10">
      <c r="A39" s="987">
        <v>66</v>
      </c>
      <c r="B39" s="988">
        <v>10625</v>
      </c>
      <c r="C39" s="987" t="s">
        <v>4649</v>
      </c>
      <c r="D39" s="987" t="s">
        <v>4650</v>
      </c>
      <c r="E39" s="987">
        <v>240.25</v>
      </c>
      <c r="F39" s="987">
        <v>-9.2779999999999998E-3</v>
      </c>
      <c r="G39" s="987">
        <v>0</v>
      </c>
      <c r="H39" s="986">
        <v>2.7000000000000001E-3</v>
      </c>
      <c r="I39" s="986">
        <f t="shared" si="0"/>
        <v>-1.1977999999999999E-2</v>
      </c>
      <c r="J39" s="988">
        <v>10625</v>
      </c>
    </row>
    <row r="40" spans="1:10">
      <c r="A40" s="987">
        <v>66</v>
      </c>
      <c r="B40" s="988">
        <v>10653</v>
      </c>
      <c r="C40" s="987" t="s">
        <v>4649</v>
      </c>
      <c r="D40" s="987" t="s">
        <v>4650</v>
      </c>
      <c r="E40" s="987">
        <v>-242.5</v>
      </c>
      <c r="F40" s="987">
        <v>1.9771E-2</v>
      </c>
      <c r="G40" s="987">
        <v>2.5</v>
      </c>
      <c r="H40" s="986">
        <v>2.8E-3</v>
      </c>
      <c r="I40" s="986">
        <f t="shared" si="0"/>
        <v>1.6971E-2</v>
      </c>
      <c r="J40" s="988">
        <v>10653</v>
      </c>
    </row>
    <row r="41" spans="1:10">
      <c r="A41" s="987">
        <v>66</v>
      </c>
      <c r="B41" s="988">
        <v>10684</v>
      </c>
      <c r="C41" s="987" t="s">
        <v>4649</v>
      </c>
      <c r="D41" s="987" t="s">
        <v>4650</v>
      </c>
      <c r="E41" s="987">
        <v>-235</v>
      </c>
      <c r="F41" s="987">
        <v>-3.0928000000000001E-2</v>
      </c>
      <c r="G41" s="987">
        <v>0</v>
      </c>
      <c r="H41" s="986">
        <v>3.3999999999999998E-3</v>
      </c>
      <c r="I41" s="986">
        <f t="shared" si="0"/>
        <v>-3.4327999999999997E-2</v>
      </c>
      <c r="J41" s="988">
        <v>10684</v>
      </c>
    </row>
    <row r="42" spans="1:10">
      <c r="A42" s="987">
        <v>66</v>
      </c>
      <c r="B42" s="988">
        <v>10714</v>
      </c>
      <c r="C42" s="987" t="s">
        <v>4649</v>
      </c>
      <c r="D42" s="987" t="s">
        <v>4650</v>
      </c>
      <c r="E42" s="987">
        <v>-222.5</v>
      </c>
      <c r="F42" s="987">
        <v>-4.2553000000000001E-2</v>
      </c>
      <c r="G42" s="987">
        <v>2.5</v>
      </c>
      <c r="H42" s="986">
        <v>3.0000000000000001E-3</v>
      </c>
      <c r="I42" s="986">
        <f t="shared" si="0"/>
        <v>-4.5553000000000003E-2</v>
      </c>
      <c r="J42" s="988">
        <v>10714</v>
      </c>
    </row>
    <row r="43" spans="1:10">
      <c r="A43" s="987">
        <v>66</v>
      </c>
      <c r="B43" s="988">
        <v>10745</v>
      </c>
      <c r="C43" s="987" t="s">
        <v>4649</v>
      </c>
      <c r="D43" s="987" t="s">
        <v>4650</v>
      </c>
      <c r="E43" s="987">
        <v>-232.5</v>
      </c>
      <c r="F43" s="987">
        <v>4.4943999999999998E-2</v>
      </c>
      <c r="G43" s="987">
        <v>0</v>
      </c>
      <c r="H43" s="986">
        <v>2.8999999999999998E-3</v>
      </c>
      <c r="I43" s="986">
        <f t="shared" si="0"/>
        <v>4.2043999999999998E-2</v>
      </c>
      <c r="J43" s="988">
        <v>10745</v>
      </c>
    </row>
    <row r="44" spans="1:10">
      <c r="A44" s="987">
        <v>66</v>
      </c>
      <c r="B44" s="988">
        <v>10775</v>
      </c>
      <c r="C44" s="987" t="s">
        <v>4649</v>
      </c>
      <c r="D44" s="987" t="s">
        <v>4650</v>
      </c>
      <c r="E44" s="987">
        <v>0</v>
      </c>
      <c r="F44" s="987">
        <v>0</v>
      </c>
      <c r="G44" s="987">
        <v>0</v>
      </c>
      <c r="H44" s="986">
        <v>3.2000000000000002E-3</v>
      </c>
      <c r="I44" s="986">
        <f t="shared" si="0"/>
        <v>-3.2000000000000002E-3</v>
      </c>
      <c r="J44" s="988">
        <v>10775</v>
      </c>
    </row>
    <row r="45" spans="1:10">
      <c r="A45" s="987">
        <v>66</v>
      </c>
      <c r="B45" s="988">
        <v>10806</v>
      </c>
      <c r="C45" s="987" t="s">
        <v>4649</v>
      </c>
      <c r="D45" s="987" t="s">
        <v>4650</v>
      </c>
      <c r="E45" s="987">
        <v>-268.25</v>
      </c>
      <c r="F45" s="987">
        <v>0.164516</v>
      </c>
      <c r="G45" s="987">
        <v>2.5</v>
      </c>
      <c r="H45" s="986">
        <v>3.0000000000000001E-3</v>
      </c>
      <c r="I45" s="986">
        <f t="shared" si="0"/>
        <v>0.16151599999999999</v>
      </c>
      <c r="J45" s="988">
        <v>10806</v>
      </c>
    </row>
    <row r="46" spans="1:10">
      <c r="A46" s="987">
        <v>66</v>
      </c>
      <c r="B46" s="988">
        <v>10837</v>
      </c>
      <c r="C46" s="987" t="s">
        <v>4649</v>
      </c>
      <c r="D46" s="987" t="s">
        <v>4650</v>
      </c>
      <c r="E46" s="987">
        <v>-238</v>
      </c>
      <c r="F46" s="987">
        <v>-0.11276799999999999</v>
      </c>
      <c r="G46" s="987">
        <v>0</v>
      </c>
      <c r="H46" s="986">
        <v>3.2000000000000002E-3</v>
      </c>
      <c r="I46" s="986">
        <f t="shared" si="0"/>
        <v>-0.11596799999999999</v>
      </c>
      <c r="J46" s="988">
        <v>10837</v>
      </c>
    </row>
    <row r="47" spans="1:10">
      <c r="A47" s="987">
        <v>66</v>
      </c>
      <c r="B47" s="988">
        <v>10867</v>
      </c>
      <c r="C47" s="987" t="s">
        <v>4649</v>
      </c>
      <c r="D47" s="987" t="s">
        <v>4650</v>
      </c>
      <c r="E47" s="987">
        <v>-180</v>
      </c>
      <c r="F47" s="987">
        <v>-0.243697</v>
      </c>
      <c r="G47" s="987">
        <v>0</v>
      </c>
      <c r="H47" s="986">
        <v>3.0999999999999999E-3</v>
      </c>
      <c r="I47" s="986">
        <f t="shared" si="0"/>
        <v>-0.24679699999999999</v>
      </c>
      <c r="J47" s="988">
        <v>10867</v>
      </c>
    </row>
    <row r="48" spans="1:10">
      <c r="A48" s="987">
        <v>66</v>
      </c>
      <c r="B48" s="988">
        <v>10898</v>
      </c>
      <c r="C48" s="987" t="s">
        <v>4649</v>
      </c>
      <c r="D48" s="987" t="s">
        <v>4650</v>
      </c>
      <c r="E48" s="987">
        <v>-217.5</v>
      </c>
      <c r="F48" s="987">
        <v>0.20833299999999999</v>
      </c>
      <c r="G48" s="987">
        <v>0</v>
      </c>
      <c r="H48" s="986">
        <v>2.5999999999999999E-3</v>
      </c>
      <c r="I48" s="986">
        <f t="shared" si="0"/>
        <v>0.205733</v>
      </c>
      <c r="J48" s="988">
        <v>10898</v>
      </c>
    </row>
    <row r="49" spans="1:10">
      <c r="A49" s="987">
        <v>66</v>
      </c>
      <c r="B49" s="988">
        <v>10928</v>
      </c>
      <c r="C49" s="987" t="s">
        <v>4649</v>
      </c>
      <c r="D49" s="987" t="s">
        <v>4650</v>
      </c>
      <c r="E49" s="987">
        <v>-225</v>
      </c>
      <c r="F49" s="987">
        <v>4.5976999999999997E-2</v>
      </c>
      <c r="G49" s="987">
        <v>2.5</v>
      </c>
      <c r="H49" s="986">
        <v>3.0999999999999999E-3</v>
      </c>
      <c r="I49" s="986">
        <f t="shared" si="0"/>
        <v>4.2876999999999998E-2</v>
      </c>
      <c r="J49" s="988">
        <v>10928</v>
      </c>
    </row>
    <row r="50" spans="1:10">
      <c r="A50" s="987">
        <v>66</v>
      </c>
      <c r="B50" s="988">
        <v>10959</v>
      </c>
      <c r="C50" s="987" t="s">
        <v>4649</v>
      </c>
      <c r="D50" s="987" t="s">
        <v>4650</v>
      </c>
      <c r="E50" s="987">
        <v>215</v>
      </c>
      <c r="F50" s="987">
        <v>-4.4443999999999997E-2</v>
      </c>
      <c r="G50" s="987">
        <v>0</v>
      </c>
      <c r="H50" s="986">
        <v>2.8999999999999998E-3</v>
      </c>
      <c r="I50" s="986">
        <f t="shared" si="0"/>
        <v>-4.7343999999999997E-2</v>
      </c>
      <c r="J50" s="988">
        <v>10959</v>
      </c>
    </row>
    <row r="51" spans="1:10">
      <c r="A51" s="987">
        <v>66</v>
      </c>
      <c r="B51" s="988">
        <v>10990</v>
      </c>
      <c r="C51" s="987" t="s">
        <v>4649</v>
      </c>
      <c r="D51" s="987" t="s">
        <v>4650</v>
      </c>
      <c r="E51" s="987">
        <v>-215</v>
      </c>
      <c r="F51" s="987">
        <v>1.1627999999999999E-2</v>
      </c>
      <c r="G51" s="987">
        <v>2.5</v>
      </c>
      <c r="H51" s="986">
        <v>2.5999999999999999E-3</v>
      </c>
      <c r="I51" s="986">
        <f t="shared" si="0"/>
        <v>9.0279999999999996E-3</v>
      </c>
      <c r="J51" s="988">
        <v>10990</v>
      </c>
    </row>
    <row r="52" spans="1:10">
      <c r="A52" s="987">
        <v>66</v>
      </c>
      <c r="B52" s="988">
        <v>11018</v>
      </c>
      <c r="C52" s="987" t="s">
        <v>4649</v>
      </c>
      <c r="D52" s="987" t="s">
        <v>4650</v>
      </c>
      <c r="E52" s="987">
        <v>-225</v>
      </c>
      <c r="F52" s="987">
        <v>4.6511999999999998E-2</v>
      </c>
      <c r="G52" s="987">
        <v>0</v>
      </c>
      <c r="H52" s="986">
        <v>2.8999999999999998E-3</v>
      </c>
      <c r="I52" s="986">
        <f t="shared" si="0"/>
        <v>4.3611999999999998E-2</v>
      </c>
      <c r="J52" s="988">
        <v>11018</v>
      </c>
    </row>
    <row r="53" spans="1:10">
      <c r="A53" s="987">
        <v>66</v>
      </c>
      <c r="B53" s="988">
        <v>11049</v>
      </c>
      <c r="C53" s="987" t="s">
        <v>4649</v>
      </c>
      <c r="D53" s="987" t="s">
        <v>4650</v>
      </c>
      <c r="E53" s="987">
        <v>-225</v>
      </c>
      <c r="F53" s="987">
        <v>0</v>
      </c>
      <c r="G53" s="987">
        <v>0</v>
      </c>
      <c r="H53" s="986">
        <v>2.7000000000000001E-3</v>
      </c>
      <c r="I53" s="986">
        <f t="shared" si="0"/>
        <v>-2.7000000000000001E-3</v>
      </c>
      <c r="J53" s="988">
        <v>11049</v>
      </c>
    </row>
    <row r="54" spans="1:10">
      <c r="A54" s="987">
        <v>66</v>
      </c>
      <c r="B54" s="988">
        <v>11079</v>
      </c>
      <c r="C54" s="987" t="s">
        <v>4649</v>
      </c>
      <c r="D54" s="987" t="s">
        <v>4650</v>
      </c>
      <c r="E54" s="987">
        <v>-225</v>
      </c>
      <c r="F54" s="987">
        <v>0</v>
      </c>
      <c r="G54" s="987">
        <v>0</v>
      </c>
      <c r="H54" s="986">
        <v>2.7000000000000001E-3</v>
      </c>
      <c r="I54" s="986">
        <f t="shared" si="0"/>
        <v>-2.7000000000000001E-3</v>
      </c>
      <c r="J54" s="988">
        <v>11079</v>
      </c>
    </row>
    <row r="55" spans="1:10">
      <c r="A55" s="987">
        <v>66</v>
      </c>
      <c r="B55" s="988">
        <v>11110</v>
      </c>
      <c r="C55" s="987" t="s">
        <v>4649</v>
      </c>
      <c r="D55" s="987" t="s">
        <v>4650</v>
      </c>
      <c r="E55" s="987">
        <v>-225</v>
      </c>
      <c r="F55" s="987">
        <v>1.1110999999999999E-2</v>
      </c>
      <c r="G55" s="987">
        <v>2.5</v>
      </c>
      <c r="H55" s="986">
        <v>2.8999999999999998E-3</v>
      </c>
      <c r="I55" s="986">
        <f t="shared" si="0"/>
        <v>8.2109999999999995E-3</v>
      </c>
      <c r="J55" s="988">
        <v>11110</v>
      </c>
    </row>
    <row r="56" spans="1:10">
      <c r="A56" s="987">
        <v>66</v>
      </c>
      <c r="B56" s="988">
        <v>11140</v>
      </c>
      <c r="C56" s="987" t="s">
        <v>4649</v>
      </c>
      <c r="D56" s="987" t="s">
        <v>4650</v>
      </c>
      <c r="E56" s="987">
        <v>-216.5</v>
      </c>
      <c r="F56" s="987">
        <v>-3.7777999999999999E-2</v>
      </c>
      <c r="G56" s="987">
        <v>0</v>
      </c>
      <c r="H56" s="986">
        <v>2.8E-3</v>
      </c>
      <c r="I56" s="986">
        <f t="shared" si="0"/>
        <v>-4.0577999999999996E-2</v>
      </c>
      <c r="J56" s="988">
        <v>11140</v>
      </c>
    </row>
    <row r="57" spans="1:10">
      <c r="A57" s="987">
        <v>66</v>
      </c>
      <c r="B57" s="988">
        <v>11171</v>
      </c>
      <c r="C57" s="987" t="s">
        <v>4649</v>
      </c>
      <c r="D57" s="987" t="s">
        <v>4650</v>
      </c>
      <c r="E57" s="987">
        <v>-222.5</v>
      </c>
      <c r="F57" s="987">
        <v>3.9260999999999997E-2</v>
      </c>
      <c r="G57" s="987">
        <v>2.5</v>
      </c>
      <c r="H57" s="986">
        <v>2.5999999999999999E-3</v>
      </c>
      <c r="I57" s="986">
        <f t="shared" si="0"/>
        <v>3.6660999999999999E-2</v>
      </c>
      <c r="J57" s="988">
        <v>11171</v>
      </c>
    </row>
    <row r="58" spans="1:10">
      <c r="A58" s="987">
        <v>66</v>
      </c>
      <c r="B58" s="988">
        <v>11202</v>
      </c>
      <c r="C58" s="987" t="s">
        <v>4649</v>
      </c>
      <c r="D58" s="987" t="s">
        <v>4650</v>
      </c>
      <c r="E58" s="987">
        <v>-215</v>
      </c>
      <c r="F58" s="987">
        <v>-3.3708000000000002E-2</v>
      </c>
      <c r="G58" s="987">
        <v>0</v>
      </c>
      <c r="H58" s="986">
        <v>2.8999999999999998E-3</v>
      </c>
      <c r="I58" s="986">
        <f t="shared" si="0"/>
        <v>-3.6608000000000002E-2</v>
      </c>
      <c r="J58" s="988">
        <v>11202</v>
      </c>
    </row>
    <row r="59" spans="1:10">
      <c r="A59" s="987">
        <v>66</v>
      </c>
      <c r="B59" s="988">
        <v>11232</v>
      </c>
      <c r="C59" s="987" t="s">
        <v>4649</v>
      </c>
      <c r="D59" s="987" t="s">
        <v>4650</v>
      </c>
      <c r="E59" s="987">
        <v>-215</v>
      </c>
      <c r="F59" s="987">
        <v>0</v>
      </c>
      <c r="G59" s="987">
        <v>0</v>
      </c>
      <c r="H59" s="986">
        <v>2.7000000000000001E-3</v>
      </c>
      <c r="I59" s="986">
        <f t="shared" si="0"/>
        <v>-2.7000000000000001E-3</v>
      </c>
      <c r="J59" s="988">
        <v>11232</v>
      </c>
    </row>
    <row r="60" spans="1:10">
      <c r="A60" s="987">
        <v>66</v>
      </c>
      <c r="B60" s="988">
        <v>11263</v>
      </c>
      <c r="C60" s="987" t="s">
        <v>4649</v>
      </c>
      <c r="D60" s="987" t="s">
        <v>4650</v>
      </c>
      <c r="E60" s="987">
        <v>-215</v>
      </c>
      <c r="F60" s="987">
        <v>0</v>
      </c>
      <c r="G60" s="987">
        <v>0</v>
      </c>
      <c r="H60" s="986">
        <v>2.5999999999999999E-3</v>
      </c>
      <c r="I60" s="986">
        <f t="shared" si="0"/>
        <v>-2.5999999999999999E-3</v>
      </c>
      <c r="J60" s="988">
        <v>11263</v>
      </c>
    </row>
    <row r="61" spans="1:10">
      <c r="A61" s="987">
        <v>66</v>
      </c>
      <c r="B61" s="988">
        <v>11293</v>
      </c>
      <c r="C61" s="987" t="s">
        <v>4649</v>
      </c>
      <c r="D61" s="987" t="s">
        <v>4650</v>
      </c>
      <c r="E61" s="987">
        <v>-222.5</v>
      </c>
      <c r="F61" s="987">
        <v>4.6511999999999998E-2</v>
      </c>
      <c r="G61" s="987">
        <v>2.5</v>
      </c>
      <c r="H61" s="986">
        <v>2.8E-3</v>
      </c>
      <c r="I61" s="986">
        <f t="shared" si="0"/>
        <v>4.3712000000000001E-2</v>
      </c>
      <c r="J61" s="988">
        <v>11293</v>
      </c>
    </row>
    <row r="62" spans="1:10">
      <c r="A62" s="987">
        <v>66</v>
      </c>
      <c r="B62" s="988">
        <v>11324</v>
      </c>
      <c r="C62" s="987" t="s">
        <v>4649</v>
      </c>
      <c r="D62" s="987" t="s">
        <v>4650</v>
      </c>
      <c r="E62" s="987">
        <v>-222.5</v>
      </c>
      <c r="F62" s="987">
        <v>0</v>
      </c>
      <c r="G62" s="987">
        <v>0</v>
      </c>
      <c r="H62" s="986">
        <v>2.8E-3</v>
      </c>
      <c r="I62" s="986">
        <f t="shared" si="0"/>
        <v>-2.8E-3</v>
      </c>
      <c r="J62" s="988">
        <v>11324</v>
      </c>
    </row>
    <row r="63" spans="1:10">
      <c r="A63" s="987">
        <v>66</v>
      </c>
      <c r="B63" s="988">
        <v>11355</v>
      </c>
      <c r="C63" s="987" t="s">
        <v>4649</v>
      </c>
      <c r="D63" s="987" t="s">
        <v>4650</v>
      </c>
      <c r="E63" s="987">
        <v>-213.5</v>
      </c>
      <c r="F63" s="987">
        <v>-4.0448999999999999E-2</v>
      </c>
      <c r="G63" s="987">
        <v>0</v>
      </c>
      <c r="H63" s="986">
        <v>2.5999999999999999E-3</v>
      </c>
      <c r="I63" s="986">
        <f t="shared" si="0"/>
        <v>-4.3048999999999997E-2</v>
      </c>
      <c r="J63" s="988">
        <v>11355</v>
      </c>
    </row>
    <row r="64" spans="1:10">
      <c r="A64" s="987">
        <v>66</v>
      </c>
      <c r="B64" s="988">
        <v>11383</v>
      </c>
      <c r="C64" s="987" t="s">
        <v>4649</v>
      </c>
      <c r="D64" s="987" t="s">
        <v>4650</v>
      </c>
      <c r="E64" s="987">
        <v>-212.5</v>
      </c>
      <c r="F64" s="987">
        <v>4.6839999999999998E-3</v>
      </c>
      <c r="G64" s="987">
        <v>2</v>
      </c>
      <c r="H64" s="986">
        <v>2.8999999999999998E-3</v>
      </c>
      <c r="I64" s="986">
        <f t="shared" si="0"/>
        <v>1.784E-3</v>
      </c>
      <c r="J64" s="988">
        <v>11383</v>
      </c>
    </row>
    <row r="65" spans="1:10">
      <c r="A65" s="987">
        <v>66</v>
      </c>
      <c r="B65" s="988">
        <v>11414</v>
      </c>
      <c r="C65" s="987" t="s">
        <v>4649</v>
      </c>
      <c r="D65" s="987" t="s">
        <v>4650</v>
      </c>
      <c r="E65" s="987">
        <v>-212.5</v>
      </c>
      <c r="F65" s="987">
        <v>0</v>
      </c>
      <c r="G65" s="987">
        <v>0</v>
      </c>
      <c r="H65" s="986">
        <v>2.7000000000000001E-3</v>
      </c>
      <c r="I65" s="986">
        <f t="shared" si="0"/>
        <v>-2.7000000000000001E-3</v>
      </c>
      <c r="J65" s="988">
        <v>11414</v>
      </c>
    </row>
    <row r="66" spans="1:10">
      <c r="A66" s="987">
        <v>66</v>
      </c>
      <c r="B66" s="988">
        <v>11444</v>
      </c>
      <c r="C66" s="987" t="s">
        <v>4649</v>
      </c>
      <c r="D66" s="987" t="s">
        <v>4650</v>
      </c>
      <c r="E66" s="987">
        <v>-210</v>
      </c>
      <c r="F66" s="987">
        <v>-1.1764999999999999E-2</v>
      </c>
      <c r="G66" s="987">
        <v>0</v>
      </c>
      <c r="H66" s="986">
        <v>2.5999999999999999E-3</v>
      </c>
      <c r="I66" s="986">
        <f t="shared" ref="I66:I129" si="1">F66-H66</f>
        <v>-1.4364999999999999E-2</v>
      </c>
      <c r="J66" s="988">
        <v>11444</v>
      </c>
    </row>
    <row r="67" spans="1:10">
      <c r="A67" s="987">
        <v>66</v>
      </c>
      <c r="B67" s="988">
        <v>11475</v>
      </c>
      <c r="C67" s="987" t="s">
        <v>4649</v>
      </c>
      <c r="D67" s="987" t="s">
        <v>4650</v>
      </c>
      <c r="E67" s="987">
        <v>-216.5</v>
      </c>
      <c r="F67" s="987">
        <v>4.0475999999999998E-2</v>
      </c>
      <c r="G67" s="987">
        <v>2</v>
      </c>
      <c r="H67" s="986">
        <v>2.8E-3</v>
      </c>
      <c r="I67" s="986">
        <f t="shared" si="1"/>
        <v>3.7676000000000001E-2</v>
      </c>
      <c r="J67" s="988">
        <v>11475</v>
      </c>
    </row>
    <row r="68" spans="1:10">
      <c r="A68" s="987">
        <v>66</v>
      </c>
      <c r="B68" s="988">
        <v>11505</v>
      </c>
      <c r="C68" s="987" t="s">
        <v>4649</v>
      </c>
      <c r="D68" s="987" t="s">
        <v>4650</v>
      </c>
      <c r="E68" s="987">
        <v>-200</v>
      </c>
      <c r="F68" s="987">
        <v>-7.6212000000000002E-2</v>
      </c>
      <c r="G68" s="987">
        <v>0</v>
      </c>
      <c r="H68" s="986">
        <v>2.7000000000000001E-3</v>
      </c>
      <c r="I68" s="986">
        <f t="shared" si="1"/>
        <v>-7.8911999999999996E-2</v>
      </c>
      <c r="J68" s="988">
        <v>11505</v>
      </c>
    </row>
    <row r="69" spans="1:10">
      <c r="A69" s="987">
        <v>66</v>
      </c>
      <c r="B69" s="988">
        <v>11536</v>
      </c>
      <c r="C69" s="987" t="s">
        <v>4649</v>
      </c>
      <c r="D69" s="987" t="s">
        <v>4650</v>
      </c>
      <c r="E69" s="987">
        <v>-202.5</v>
      </c>
      <c r="F69" s="987">
        <v>2.2499999999999999E-2</v>
      </c>
      <c r="G69" s="987">
        <v>2</v>
      </c>
      <c r="H69" s="986">
        <v>2.7000000000000001E-3</v>
      </c>
      <c r="I69" s="986">
        <f t="shared" si="1"/>
        <v>1.9799999999999998E-2</v>
      </c>
      <c r="J69" s="988">
        <v>11536</v>
      </c>
    </row>
    <row r="70" spans="1:10">
      <c r="A70" s="987">
        <v>66</v>
      </c>
      <c r="B70" s="988">
        <v>11567</v>
      </c>
      <c r="C70" s="987" t="s">
        <v>4649</v>
      </c>
      <c r="D70" s="987" t="s">
        <v>4650</v>
      </c>
      <c r="E70" s="987">
        <v>-187.5</v>
      </c>
      <c r="F70" s="987">
        <v>-7.4074000000000001E-2</v>
      </c>
      <c r="G70" s="987">
        <v>0</v>
      </c>
      <c r="H70" s="986">
        <v>2.7000000000000001E-3</v>
      </c>
      <c r="I70" s="986">
        <f t="shared" si="1"/>
        <v>-7.6773999999999995E-2</v>
      </c>
      <c r="J70" s="988">
        <v>11567</v>
      </c>
    </row>
    <row r="71" spans="1:10">
      <c r="A71" s="987">
        <v>66</v>
      </c>
      <c r="B71" s="988">
        <v>11597</v>
      </c>
      <c r="C71" s="987" t="s">
        <v>4649</v>
      </c>
      <c r="D71" s="987" t="s">
        <v>4650</v>
      </c>
      <c r="E71" s="987">
        <v>-187.5</v>
      </c>
      <c r="F71" s="987">
        <v>0</v>
      </c>
      <c r="G71" s="987">
        <v>0</v>
      </c>
      <c r="H71" s="986">
        <v>2.8999999999999998E-3</v>
      </c>
      <c r="I71" s="986">
        <f t="shared" si="1"/>
        <v>-2.8999999999999998E-3</v>
      </c>
      <c r="J71" s="988">
        <v>11597</v>
      </c>
    </row>
    <row r="72" spans="1:10">
      <c r="A72" s="987">
        <v>66</v>
      </c>
      <c r="B72" s="988">
        <v>11628</v>
      </c>
      <c r="C72" s="987" t="s">
        <v>4649</v>
      </c>
      <c r="D72" s="987" t="s">
        <v>4650</v>
      </c>
      <c r="E72" s="987">
        <v>-180</v>
      </c>
      <c r="F72" s="987">
        <v>-0.04</v>
      </c>
      <c r="G72" s="987">
        <v>0</v>
      </c>
      <c r="H72" s="986">
        <v>3.0999999999999999E-3</v>
      </c>
      <c r="I72" s="986">
        <f t="shared" si="1"/>
        <v>-4.3099999999999999E-2</v>
      </c>
      <c r="J72" s="988">
        <v>11628</v>
      </c>
    </row>
    <row r="73" spans="1:10">
      <c r="A73" s="987">
        <v>66</v>
      </c>
      <c r="B73" s="988">
        <v>11658</v>
      </c>
      <c r="C73" s="987" t="s">
        <v>4649</v>
      </c>
      <c r="D73" s="987" t="s">
        <v>4650</v>
      </c>
      <c r="E73" s="987">
        <v>-130</v>
      </c>
      <c r="F73" s="987">
        <v>-0.26666699999999999</v>
      </c>
      <c r="G73" s="987">
        <v>2</v>
      </c>
      <c r="H73" s="986">
        <v>3.2000000000000002E-3</v>
      </c>
      <c r="I73" s="986">
        <f t="shared" si="1"/>
        <v>-0.26986699999999997</v>
      </c>
      <c r="J73" s="988">
        <v>11658</v>
      </c>
    </row>
    <row r="74" spans="1:10">
      <c r="A74" s="987">
        <v>66</v>
      </c>
      <c r="B74" s="988">
        <v>11689</v>
      </c>
      <c r="C74" s="987" t="s">
        <v>4649</v>
      </c>
      <c r="D74" s="987" t="s">
        <v>4650</v>
      </c>
      <c r="E74" s="987">
        <v>-130</v>
      </c>
      <c r="F74" s="987">
        <v>0</v>
      </c>
      <c r="G74" s="987">
        <v>0</v>
      </c>
      <c r="H74" s="986">
        <v>3.2000000000000002E-3</v>
      </c>
      <c r="I74" s="986">
        <f t="shared" si="1"/>
        <v>-3.2000000000000002E-3</v>
      </c>
      <c r="J74" s="988">
        <v>11689</v>
      </c>
    </row>
    <row r="75" spans="1:10">
      <c r="A75" s="987">
        <v>66</v>
      </c>
      <c r="B75" s="988">
        <v>11720</v>
      </c>
      <c r="C75" s="987" t="s">
        <v>4649</v>
      </c>
      <c r="D75" s="987" t="s">
        <v>4650</v>
      </c>
      <c r="E75" s="987">
        <v>-117.5</v>
      </c>
      <c r="F75" s="987">
        <v>-9.6154000000000003E-2</v>
      </c>
      <c r="G75" s="987">
        <v>0</v>
      </c>
      <c r="H75" s="986">
        <v>3.2000000000000002E-3</v>
      </c>
      <c r="I75" s="986">
        <f t="shared" si="1"/>
        <v>-9.9353999999999998E-2</v>
      </c>
      <c r="J75" s="988">
        <v>11720</v>
      </c>
    </row>
    <row r="76" spans="1:10">
      <c r="A76" s="987">
        <v>66</v>
      </c>
      <c r="B76" s="988">
        <v>11749</v>
      </c>
      <c r="C76" s="987" t="s">
        <v>4649</v>
      </c>
      <c r="D76" s="987" t="s">
        <v>4650</v>
      </c>
      <c r="E76" s="987">
        <v>-112.5</v>
      </c>
      <c r="F76" s="987">
        <v>-2.9787000000000001E-2</v>
      </c>
      <c r="G76" s="987">
        <v>1.5</v>
      </c>
      <c r="H76" s="986">
        <v>3.0999999999999999E-3</v>
      </c>
      <c r="I76" s="986">
        <f t="shared" si="1"/>
        <v>-3.2887E-2</v>
      </c>
      <c r="J76" s="988">
        <v>11749</v>
      </c>
    </row>
    <row r="77" spans="1:10">
      <c r="A77" s="987">
        <v>66</v>
      </c>
      <c r="B77" s="988">
        <v>11780</v>
      </c>
      <c r="C77" s="987" t="s">
        <v>4649</v>
      </c>
      <c r="D77" s="987" t="s">
        <v>4650</v>
      </c>
      <c r="E77" s="987">
        <v>-90</v>
      </c>
      <c r="F77" s="987">
        <v>-0.2</v>
      </c>
      <c r="G77" s="987">
        <v>0</v>
      </c>
      <c r="H77" s="986">
        <v>3.0000000000000001E-3</v>
      </c>
      <c r="I77" s="986">
        <f t="shared" si="1"/>
        <v>-0.20300000000000001</v>
      </c>
      <c r="J77" s="988">
        <v>11780</v>
      </c>
    </row>
    <row r="78" spans="1:10">
      <c r="A78" s="987">
        <v>66</v>
      </c>
      <c r="B78" s="988">
        <v>11810</v>
      </c>
      <c r="C78" s="987" t="s">
        <v>4649</v>
      </c>
      <c r="D78" s="987" t="s">
        <v>4650</v>
      </c>
      <c r="E78" s="987">
        <v>-70</v>
      </c>
      <c r="F78" s="987">
        <v>-0.222222</v>
      </c>
      <c r="G78" s="987">
        <v>0</v>
      </c>
      <c r="H78" s="986">
        <v>2.8E-3</v>
      </c>
      <c r="I78" s="986">
        <f t="shared" si="1"/>
        <v>-0.225022</v>
      </c>
      <c r="J78" s="988">
        <v>11810</v>
      </c>
    </row>
    <row r="79" spans="1:10">
      <c r="A79" s="987">
        <v>66</v>
      </c>
      <c r="B79" s="988">
        <v>11841</v>
      </c>
      <c r="C79" s="987" t="s">
        <v>4649</v>
      </c>
      <c r="D79" s="987" t="s">
        <v>4650</v>
      </c>
      <c r="E79" s="987">
        <v>-45</v>
      </c>
      <c r="F79" s="987">
        <v>-0.33571400000000001</v>
      </c>
      <c r="G79" s="987">
        <v>1.5</v>
      </c>
      <c r="H79" s="986">
        <v>2.8E-3</v>
      </c>
      <c r="I79" s="986">
        <f t="shared" si="1"/>
        <v>-0.33851400000000004</v>
      </c>
      <c r="J79" s="988">
        <v>11841</v>
      </c>
    </row>
    <row r="80" spans="1:10">
      <c r="A80" s="987">
        <v>66</v>
      </c>
      <c r="B80" s="988">
        <v>11871</v>
      </c>
      <c r="C80" s="987" t="s">
        <v>4649</v>
      </c>
      <c r="D80" s="987" t="s">
        <v>4650</v>
      </c>
      <c r="E80" s="987">
        <v>-47.5</v>
      </c>
      <c r="F80" s="987">
        <v>5.5556000000000001E-2</v>
      </c>
      <c r="G80" s="987">
        <v>0</v>
      </c>
      <c r="H80" s="986">
        <v>2.8E-3</v>
      </c>
      <c r="I80" s="986">
        <f t="shared" si="1"/>
        <v>5.2756000000000004E-2</v>
      </c>
      <c r="J80" s="988">
        <v>11871</v>
      </c>
    </row>
    <row r="81" spans="1:10">
      <c r="A81" s="987">
        <v>66</v>
      </c>
      <c r="B81" s="988">
        <v>11902</v>
      </c>
      <c r="C81" s="987" t="s">
        <v>4649</v>
      </c>
      <c r="D81" s="987" t="s">
        <v>4650</v>
      </c>
      <c r="E81" s="987">
        <v>-65</v>
      </c>
      <c r="F81" s="987">
        <v>0.368421</v>
      </c>
      <c r="G81" s="987">
        <v>0</v>
      </c>
      <c r="H81" s="986">
        <v>2.8E-3</v>
      </c>
      <c r="I81" s="986">
        <f t="shared" si="1"/>
        <v>0.36562099999999997</v>
      </c>
      <c r="J81" s="988">
        <v>11902</v>
      </c>
    </row>
    <row r="82" spans="1:10">
      <c r="A82" s="987">
        <v>66</v>
      </c>
      <c r="B82" s="988">
        <v>11933</v>
      </c>
      <c r="C82" s="987" t="s">
        <v>4649</v>
      </c>
      <c r="D82" s="987" t="s">
        <v>4650</v>
      </c>
      <c r="E82" s="987">
        <v>-61</v>
      </c>
      <c r="F82" s="987">
        <v>-3.8462000000000003E-2</v>
      </c>
      <c r="G82" s="987">
        <v>1.5</v>
      </c>
      <c r="H82" s="986">
        <v>2.5999999999999999E-3</v>
      </c>
      <c r="I82" s="986">
        <f t="shared" si="1"/>
        <v>-4.1062000000000001E-2</v>
      </c>
      <c r="J82" s="988">
        <v>11933</v>
      </c>
    </row>
    <row r="83" spans="1:10">
      <c r="A83" s="987">
        <v>66</v>
      </c>
      <c r="B83" s="988">
        <v>11963</v>
      </c>
      <c r="C83" s="987" t="s">
        <v>4649</v>
      </c>
      <c r="D83" s="987" t="s">
        <v>4650</v>
      </c>
      <c r="E83" s="987">
        <v>-65</v>
      </c>
      <c r="F83" s="987">
        <v>6.5573999999999993E-2</v>
      </c>
      <c r="G83" s="987">
        <v>0</v>
      </c>
      <c r="H83" s="986">
        <v>2.7000000000000001E-3</v>
      </c>
      <c r="I83" s="986">
        <f t="shared" si="1"/>
        <v>6.2873999999999999E-2</v>
      </c>
      <c r="J83" s="988">
        <v>11963</v>
      </c>
    </row>
    <row r="84" spans="1:10">
      <c r="A84" s="987">
        <v>66</v>
      </c>
      <c r="B84" s="988">
        <v>11994</v>
      </c>
      <c r="C84" s="987" t="s">
        <v>4649</v>
      </c>
      <c r="D84" s="987" t="s">
        <v>4650</v>
      </c>
      <c r="E84" s="987">
        <v>-66</v>
      </c>
      <c r="F84" s="987">
        <v>1.5384999999999999E-2</v>
      </c>
      <c r="G84" s="987">
        <v>0</v>
      </c>
      <c r="H84" s="986">
        <v>2.5999999999999999E-3</v>
      </c>
      <c r="I84" s="986">
        <f t="shared" si="1"/>
        <v>1.2784999999999999E-2</v>
      </c>
      <c r="J84" s="988">
        <v>11994</v>
      </c>
    </row>
    <row r="85" spans="1:10">
      <c r="A85" s="987">
        <v>66</v>
      </c>
      <c r="B85" s="988">
        <v>12024</v>
      </c>
      <c r="C85" s="987" t="s">
        <v>4649</v>
      </c>
      <c r="D85" s="987" t="s">
        <v>4650</v>
      </c>
      <c r="E85" s="987">
        <v>-59.5</v>
      </c>
      <c r="F85" s="987">
        <v>-7.5758000000000006E-2</v>
      </c>
      <c r="G85" s="987">
        <v>1.5</v>
      </c>
      <c r="H85" s="986">
        <v>2.7000000000000001E-3</v>
      </c>
      <c r="I85" s="986">
        <f t="shared" si="1"/>
        <v>-7.8458E-2</v>
      </c>
      <c r="J85" s="988">
        <v>12024</v>
      </c>
    </row>
    <row r="86" spans="1:10">
      <c r="A86" s="987">
        <v>66</v>
      </c>
      <c r="B86" s="988">
        <v>12055</v>
      </c>
      <c r="C86" s="987" t="s">
        <v>4649</v>
      </c>
      <c r="D86" s="987" t="s">
        <v>4650</v>
      </c>
      <c r="E86" s="987">
        <v>-66.75</v>
      </c>
      <c r="F86" s="987">
        <v>0.121849</v>
      </c>
      <c r="G86" s="987">
        <v>0</v>
      </c>
      <c r="H86" s="986">
        <v>2.7000000000000001E-3</v>
      </c>
      <c r="I86" s="986">
        <f t="shared" si="1"/>
        <v>0.119149</v>
      </c>
      <c r="J86" s="988">
        <v>12055</v>
      </c>
    </row>
    <row r="87" spans="1:10">
      <c r="A87" s="987">
        <v>66</v>
      </c>
      <c r="B87" s="988">
        <v>12086</v>
      </c>
      <c r="C87" s="987" t="s">
        <v>4649</v>
      </c>
      <c r="D87" s="987" t="s">
        <v>4650</v>
      </c>
      <c r="E87" s="987">
        <v>-57.5625</v>
      </c>
      <c r="F87" s="987">
        <v>-0.13764000000000001</v>
      </c>
      <c r="G87" s="987">
        <v>0</v>
      </c>
      <c r="H87" s="986">
        <v>2.3E-3</v>
      </c>
      <c r="I87" s="986">
        <f t="shared" si="1"/>
        <v>-0.13994000000000001</v>
      </c>
      <c r="J87" s="988">
        <v>12086</v>
      </c>
    </row>
    <row r="88" spans="1:10">
      <c r="A88" s="987">
        <v>66</v>
      </c>
      <c r="B88" s="988">
        <v>12114</v>
      </c>
      <c r="C88" s="987" t="s">
        <v>4649</v>
      </c>
      <c r="D88" s="987" t="s">
        <v>4650</v>
      </c>
      <c r="E88" s="987">
        <v>-60</v>
      </c>
      <c r="F88" s="987">
        <v>6.8404000000000006E-2</v>
      </c>
      <c r="G88" s="987">
        <v>1.5</v>
      </c>
      <c r="H88" s="986">
        <v>2.7000000000000001E-3</v>
      </c>
      <c r="I88" s="986">
        <f t="shared" si="1"/>
        <v>6.5704000000000012E-2</v>
      </c>
      <c r="J88" s="988">
        <v>12114</v>
      </c>
    </row>
    <row r="89" spans="1:10">
      <c r="A89" s="987">
        <v>66</v>
      </c>
      <c r="B89" s="988">
        <v>12145</v>
      </c>
      <c r="C89" s="987" t="s">
        <v>4649</v>
      </c>
      <c r="D89" s="987" t="s">
        <v>4650</v>
      </c>
      <c r="E89" s="987">
        <v>-40</v>
      </c>
      <c r="F89" s="987">
        <v>-0.33333299999999999</v>
      </c>
      <c r="G89" s="987">
        <v>0</v>
      </c>
      <c r="H89" s="986">
        <v>2.5000000000000001E-3</v>
      </c>
      <c r="I89" s="986">
        <f t="shared" si="1"/>
        <v>-0.33583299999999999</v>
      </c>
      <c r="J89" s="988">
        <v>12145</v>
      </c>
    </row>
    <row r="90" spans="1:10">
      <c r="A90" s="987">
        <v>66</v>
      </c>
      <c r="B90" s="988">
        <v>12175</v>
      </c>
      <c r="C90" s="987" t="s">
        <v>4649</v>
      </c>
      <c r="D90" s="987" t="s">
        <v>4650</v>
      </c>
      <c r="E90" s="987">
        <v>-58.5</v>
      </c>
      <c r="F90" s="987">
        <v>0.5</v>
      </c>
      <c r="G90" s="987">
        <v>1.5</v>
      </c>
      <c r="H90" s="986">
        <v>2.8E-3</v>
      </c>
      <c r="I90" s="986">
        <f t="shared" si="1"/>
        <v>0.49719999999999998</v>
      </c>
      <c r="J90" s="988">
        <v>12175</v>
      </c>
    </row>
    <row r="91" spans="1:10">
      <c r="A91" s="987">
        <v>66</v>
      </c>
      <c r="B91" s="988">
        <v>12206</v>
      </c>
      <c r="C91" s="987" t="s">
        <v>4649</v>
      </c>
      <c r="D91" s="987" t="s">
        <v>4650</v>
      </c>
      <c r="E91" s="987">
        <v>-80</v>
      </c>
      <c r="F91" s="987">
        <v>0.36752099999999999</v>
      </c>
      <c r="G91" s="987">
        <v>0</v>
      </c>
      <c r="H91" s="986">
        <v>2.5000000000000001E-3</v>
      </c>
      <c r="I91" s="986">
        <f t="shared" si="1"/>
        <v>0.36502099999999998</v>
      </c>
      <c r="J91" s="988">
        <v>12206</v>
      </c>
    </row>
    <row r="92" spans="1:10">
      <c r="A92" s="987">
        <v>66</v>
      </c>
      <c r="B92" s="988">
        <v>12236</v>
      </c>
      <c r="C92" s="987" t="s">
        <v>4649</v>
      </c>
      <c r="D92" s="987" t="s">
        <v>4650</v>
      </c>
      <c r="E92" s="987">
        <v>-65.5</v>
      </c>
      <c r="F92" s="987">
        <v>-0.18124999999999999</v>
      </c>
      <c r="G92" s="987">
        <v>0</v>
      </c>
      <c r="H92" s="986">
        <v>2.5999999999999999E-3</v>
      </c>
      <c r="I92" s="986">
        <f t="shared" si="1"/>
        <v>-0.18384999999999999</v>
      </c>
      <c r="J92" s="988">
        <v>12236</v>
      </c>
    </row>
    <row r="93" spans="1:10">
      <c r="A93" s="987">
        <v>66</v>
      </c>
      <c r="B93" s="988">
        <v>12267</v>
      </c>
      <c r="C93" s="987" t="s">
        <v>4649</v>
      </c>
      <c r="D93" s="987" t="s">
        <v>4650</v>
      </c>
      <c r="E93" s="987">
        <v>-72.5</v>
      </c>
      <c r="F93" s="987">
        <v>0.10687000000000001</v>
      </c>
      <c r="G93" s="987">
        <v>0</v>
      </c>
      <c r="H93" s="986">
        <v>2.5999999999999999E-3</v>
      </c>
      <c r="I93" s="986">
        <f t="shared" si="1"/>
        <v>0.10427</v>
      </c>
      <c r="J93" s="988">
        <v>12267</v>
      </c>
    </row>
    <row r="94" spans="1:10">
      <c r="A94" s="987">
        <v>66</v>
      </c>
      <c r="B94" s="988">
        <v>12298</v>
      </c>
      <c r="C94" s="987" t="s">
        <v>4649</v>
      </c>
      <c r="D94" s="987" t="s">
        <v>4650</v>
      </c>
      <c r="E94" s="987">
        <v>54</v>
      </c>
      <c r="F94" s="987">
        <v>-0.234483</v>
      </c>
      <c r="G94" s="987">
        <v>1.5</v>
      </c>
      <c r="H94" s="986">
        <v>2.5000000000000001E-3</v>
      </c>
      <c r="I94" s="986">
        <f t="shared" si="1"/>
        <v>-0.236983</v>
      </c>
      <c r="J94" s="988">
        <v>12298</v>
      </c>
    </row>
    <row r="95" spans="1:10">
      <c r="A95" s="987">
        <v>66</v>
      </c>
      <c r="B95" s="988">
        <v>12328</v>
      </c>
      <c r="C95" s="987" t="s">
        <v>4649</v>
      </c>
      <c r="D95" s="987" t="s">
        <v>4650</v>
      </c>
      <c r="E95" s="987">
        <v>-43.0625</v>
      </c>
      <c r="F95" s="987">
        <v>-0.202546</v>
      </c>
      <c r="G95" s="987">
        <v>0</v>
      </c>
      <c r="H95" s="986">
        <v>2.5999999999999999E-3</v>
      </c>
      <c r="I95" s="986">
        <f t="shared" si="1"/>
        <v>-0.205146</v>
      </c>
      <c r="J95" s="988">
        <v>12328</v>
      </c>
    </row>
    <row r="96" spans="1:10">
      <c r="A96" s="987">
        <v>66</v>
      </c>
      <c r="B96" s="988">
        <v>12359</v>
      </c>
      <c r="C96" s="987" t="s">
        <v>4649</v>
      </c>
      <c r="D96" s="987" t="s">
        <v>4650</v>
      </c>
      <c r="E96" s="987">
        <v>-47</v>
      </c>
      <c r="F96" s="987">
        <v>0.12626999999999999</v>
      </c>
      <c r="G96" s="987">
        <v>1.5</v>
      </c>
      <c r="H96" s="986">
        <v>2.5000000000000001E-3</v>
      </c>
      <c r="I96" s="986">
        <f t="shared" si="1"/>
        <v>0.12376999999999999</v>
      </c>
      <c r="J96" s="988">
        <v>12359</v>
      </c>
    </row>
    <row r="97" spans="1:10">
      <c r="A97" s="987">
        <v>66</v>
      </c>
      <c r="B97" s="988">
        <v>12389</v>
      </c>
      <c r="C97" s="987" t="s">
        <v>4649</v>
      </c>
      <c r="D97" s="987" t="s">
        <v>4650</v>
      </c>
      <c r="E97" s="987">
        <v>-45</v>
      </c>
      <c r="F97" s="987">
        <v>-4.2553000000000001E-2</v>
      </c>
      <c r="G97" s="987">
        <v>0</v>
      </c>
      <c r="H97" s="986">
        <v>2.8E-3</v>
      </c>
      <c r="I97" s="986">
        <f t="shared" si="1"/>
        <v>-4.5352999999999997E-2</v>
      </c>
      <c r="J97" s="988">
        <v>12389</v>
      </c>
    </row>
    <row r="98" spans="1:10">
      <c r="A98" s="987">
        <v>66</v>
      </c>
      <c r="B98" s="988">
        <v>12420</v>
      </c>
      <c r="C98" s="987" t="s">
        <v>4649</v>
      </c>
      <c r="D98" s="987" t="s">
        <v>4650</v>
      </c>
      <c r="E98" s="987">
        <v>-48.625</v>
      </c>
      <c r="F98" s="987">
        <v>8.0556000000000003E-2</v>
      </c>
      <c r="G98" s="987">
        <v>0</v>
      </c>
      <c r="H98" s="986">
        <v>2.8999999999999998E-3</v>
      </c>
      <c r="I98" s="986">
        <f t="shared" si="1"/>
        <v>7.7656000000000003E-2</v>
      </c>
      <c r="J98" s="988">
        <v>12420</v>
      </c>
    </row>
    <row r="99" spans="1:10">
      <c r="A99" s="987">
        <v>66</v>
      </c>
      <c r="B99" s="988">
        <v>12451</v>
      </c>
      <c r="C99" s="987" t="s">
        <v>4649</v>
      </c>
      <c r="D99" s="987" t="s">
        <v>4650</v>
      </c>
      <c r="E99" s="987">
        <v>-48.5625</v>
      </c>
      <c r="F99" s="987">
        <v>-1.2849999999999999E-3</v>
      </c>
      <c r="G99" s="987">
        <v>0</v>
      </c>
      <c r="H99" s="986">
        <v>2.3999999999999998E-3</v>
      </c>
      <c r="I99" s="986">
        <f t="shared" si="1"/>
        <v>-3.6849999999999999E-3</v>
      </c>
      <c r="J99" s="988">
        <v>12451</v>
      </c>
    </row>
    <row r="100" spans="1:10">
      <c r="A100" s="987">
        <v>66</v>
      </c>
      <c r="B100" s="988">
        <v>12479</v>
      </c>
      <c r="C100" s="987" t="s">
        <v>4649</v>
      </c>
      <c r="D100" s="987" t="s">
        <v>4650</v>
      </c>
      <c r="E100" s="987">
        <v>-38.75</v>
      </c>
      <c r="F100" s="987">
        <v>-0.20205899999999999</v>
      </c>
      <c r="G100" s="987">
        <v>0</v>
      </c>
      <c r="H100" s="986">
        <v>2.7000000000000001E-3</v>
      </c>
      <c r="I100" s="986">
        <f t="shared" si="1"/>
        <v>-0.204759</v>
      </c>
      <c r="J100" s="988">
        <v>12479</v>
      </c>
    </row>
    <row r="101" spans="1:10">
      <c r="A101" s="987">
        <v>66</v>
      </c>
      <c r="B101" s="988">
        <v>12510</v>
      </c>
      <c r="C101" s="987" t="s">
        <v>4649</v>
      </c>
      <c r="D101" s="987" t="s">
        <v>4650</v>
      </c>
      <c r="E101" s="987">
        <v>-42</v>
      </c>
      <c r="F101" s="987">
        <v>8.3871000000000001E-2</v>
      </c>
      <c r="G101" s="987">
        <v>0</v>
      </c>
      <c r="H101" s="986">
        <v>2.5000000000000001E-3</v>
      </c>
      <c r="I101" s="986">
        <f t="shared" si="1"/>
        <v>8.1370999999999999E-2</v>
      </c>
      <c r="J101" s="988">
        <v>12510</v>
      </c>
    </row>
    <row r="102" spans="1:10">
      <c r="A102" s="987">
        <v>66</v>
      </c>
      <c r="B102" s="988">
        <v>12540</v>
      </c>
      <c r="C102" s="987" t="s">
        <v>4649</v>
      </c>
      <c r="D102" s="987" t="s">
        <v>4650</v>
      </c>
      <c r="E102" s="987">
        <v>0</v>
      </c>
      <c r="F102" s="987">
        <v>0</v>
      </c>
      <c r="G102" s="987">
        <v>0</v>
      </c>
      <c r="H102" s="986">
        <v>2.5000000000000001E-3</v>
      </c>
      <c r="I102" s="986">
        <f t="shared" si="1"/>
        <v>-2.5000000000000001E-3</v>
      </c>
      <c r="J102" s="988">
        <v>12540</v>
      </c>
    </row>
    <row r="103" spans="1:10">
      <c r="A103" s="987">
        <v>66</v>
      </c>
      <c r="B103" s="988">
        <v>12571</v>
      </c>
      <c r="C103" s="987" t="s">
        <v>4649</v>
      </c>
      <c r="D103" s="987" t="s">
        <v>4650</v>
      </c>
      <c r="E103" s="987">
        <v>-32.25</v>
      </c>
      <c r="F103" s="987">
        <v>-0.23214299999999999</v>
      </c>
      <c r="G103" s="987">
        <v>0</v>
      </c>
      <c r="H103" s="986">
        <v>2.3999999999999998E-3</v>
      </c>
      <c r="I103" s="986">
        <f t="shared" si="1"/>
        <v>-0.234543</v>
      </c>
      <c r="J103" s="988">
        <v>12571</v>
      </c>
    </row>
    <row r="104" spans="1:10">
      <c r="A104" s="987">
        <v>66</v>
      </c>
      <c r="B104" s="988">
        <v>12601</v>
      </c>
      <c r="C104" s="987" t="s">
        <v>4649</v>
      </c>
      <c r="D104" s="987" t="s">
        <v>4650</v>
      </c>
      <c r="E104" s="987">
        <v>20</v>
      </c>
      <c r="F104" s="987">
        <v>-0.37984499999999999</v>
      </c>
      <c r="G104" s="987">
        <v>0</v>
      </c>
      <c r="H104" s="986">
        <v>2.3999999999999998E-3</v>
      </c>
      <c r="I104" s="986">
        <f t="shared" si="1"/>
        <v>-0.382245</v>
      </c>
      <c r="J104" s="988">
        <v>12601</v>
      </c>
    </row>
    <row r="105" spans="1:10">
      <c r="A105" s="987">
        <v>66</v>
      </c>
      <c r="B105" s="988">
        <v>12632</v>
      </c>
      <c r="C105" s="987" t="s">
        <v>4649</v>
      </c>
      <c r="D105" s="987" t="s">
        <v>4650</v>
      </c>
      <c r="E105" s="987">
        <v>-21.75</v>
      </c>
      <c r="F105" s="987">
        <v>8.7499999999999994E-2</v>
      </c>
      <c r="G105" s="987">
        <v>0</v>
      </c>
      <c r="H105" s="986">
        <v>2.3999999999999998E-3</v>
      </c>
      <c r="I105" s="986">
        <f t="shared" si="1"/>
        <v>8.5099999999999995E-2</v>
      </c>
      <c r="J105" s="988">
        <v>12632</v>
      </c>
    </row>
    <row r="106" spans="1:10">
      <c r="A106" s="987">
        <v>66</v>
      </c>
      <c r="B106" s="988">
        <v>12663</v>
      </c>
      <c r="C106" s="987" t="s">
        <v>4649</v>
      </c>
      <c r="D106" s="987" t="s">
        <v>4650</v>
      </c>
      <c r="E106" s="987">
        <v>-22.75</v>
      </c>
      <c r="F106" s="987">
        <v>4.5976999999999997E-2</v>
      </c>
      <c r="G106" s="987">
        <v>0</v>
      </c>
      <c r="H106" s="986">
        <v>2.3E-3</v>
      </c>
      <c r="I106" s="986">
        <f t="shared" si="1"/>
        <v>4.3676999999999994E-2</v>
      </c>
      <c r="J106" s="988">
        <v>12663</v>
      </c>
    </row>
    <row r="107" spans="1:10">
      <c r="A107" s="987">
        <v>66</v>
      </c>
      <c r="B107" s="988">
        <v>12693</v>
      </c>
      <c r="C107" s="987" t="s">
        <v>4649</v>
      </c>
      <c r="D107" s="987" t="s">
        <v>4650</v>
      </c>
      <c r="E107" s="987">
        <v>21.75</v>
      </c>
      <c r="F107" s="987">
        <v>-4.3956000000000002E-2</v>
      </c>
      <c r="G107" s="987">
        <v>0</v>
      </c>
      <c r="H107" s="986">
        <v>2.7000000000000001E-3</v>
      </c>
      <c r="I107" s="986">
        <f t="shared" si="1"/>
        <v>-4.6656000000000003E-2</v>
      </c>
      <c r="J107" s="988">
        <v>12693</v>
      </c>
    </row>
    <row r="108" spans="1:10">
      <c r="A108" s="987">
        <v>66</v>
      </c>
      <c r="B108" s="988">
        <v>12724</v>
      </c>
      <c r="C108" s="987" t="s">
        <v>4649</v>
      </c>
      <c r="D108" s="987" t="s">
        <v>4650</v>
      </c>
      <c r="E108" s="987">
        <v>-22.75</v>
      </c>
      <c r="F108" s="987">
        <v>4.5976999999999997E-2</v>
      </c>
      <c r="G108" s="987">
        <v>0</v>
      </c>
      <c r="H108" s="986">
        <v>2.5000000000000001E-3</v>
      </c>
      <c r="I108" s="986">
        <f t="shared" si="1"/>
        <v>4.3476999999999995E-2</v>
      </c>
      <c r="J108" s="988">
        <v>12724</v>
      </c>
    </row>
    <row r="109" spans="1:10">
      <c r="A109" s="987">
        <v>66</v>
      </c>
      <c r="B109" s="988">
        <v>12754</v>
      </c>
      <c r="C109" s="987" t="s">
        <v>4649</v>
      </c>
      <c r="D109" s="987" t="s">
        <v>4650</v>
      </c>
      <c r="E109" s="987">
        <v>-22</v>
      </c>
      <c r="F109" s="987">
        <v>-3.2967000000000003E-2</v>
      </c>
      <c r="G109" s="987">
        <v>0</v>
      </c>
      <c r="H109" s="986">
        <v>2.5000000000000001E-3</v>
      </c>
      <c r="I109" s="986">
        <f t="shared" si="1"/>
        <v>-3.5467000000000005E-2</v>
      </c>
      <c r="J109" s="988">
        <v>12754</v>
      </c>
    </row>
    <row r="110" spans="1:10">
      <c r="A110" s="987">
        <v>66</v>
      </c>
      <c r="B110" s="988">
        <v>12785</v>
      </c>
      <c r="C110" s="987" t="s">
        <v>4649</v>
      </c>
      <c r="D110" s="987" t="s">
        <v>4650</v>
      </c>
      <c r="E110" s="987">
        <v>-20.25</v>
      </c>
      <c r="F110" s="987">
        <v>-7.9545000000000005E-2</v>
      </c>
      <c r="G110" s="987">
        <v>0</v>
      </c>
      <c r="H110" s="986">
        <v>2.5000000000000001E-3</v>
      </c>
      <c r="I110" s="986">
        <f t="shared" si="1"/>
        <v>-8.2045000000000007E-2</v>
      </c>
      <c r="J110" s="988">
        <v>12785</v>
      </c>
    </row>
    <row r="111" spans="1:10">
      <c r="A111" s="987">
        <v>66</v>
      </c>
      <c r="B111" s="988">
        <v>12816</v>
      </c>
      <c r="C111" s="987" t="s">
        <v>4649</v>
      </c>
      <c r="D111" s="987" t="s">
        <v>4650</v>
      </c>
      <c r="E111" s="987">
        <v>15</v>
      </c>
      <c r="F111" s="987">
        <v>-0.25925900000000002</v>
      </c>
      <c r="G111" s="987">
        <v>0</v>
      </c>
      <c r="H111" s="986">
        <v>2.0999999999999999E-3</v>
      </c>
      <c r="I111" s="986">
        <f t="shared" si="1"/>
        <v>-0.26135900000000001</v>
      </c>
      <c r="J111" s="988">
        <v>12816</v>
      </c>
    </row>
    <row r="112" spans="1:10">
      <c r="A112" s="987">
        <v>66</v>
      </c>
      <c r="B112" s="988">
        <v>12844</v>
      </c>
      <c r="C112" s="987" t="s">
        <v>4649</v>
      </c>
      <c r="D112" s="987" t="s">
        <v>4650</v>
      </c>
      <c r="E112" s="987">
        <v>12</v>
      </c>
      <c r="F112" s="987">
        <v>-0.2</v>
      </c>
      <c r="G112" s="987">
        <v>0</v>
      </c>
      <c r="H112" s="986">
        <v>2.2000000000000001E-3</v>
      </c>
      <c r="I112" s="986">
        <f t="shared" si="1"/>
        <v>-0.20220000000000002</v>
      </c>
      <c r="J112" s="988">
        <v>12844</v>
      </c>
    </row>
    <row r="113" spans="1:10">
      <c r="A113" s="987">
        <v>66</v>
      </c>
      <c r="B113" s="988">
        <v>12875</v>
      </c>
      <c r="C113" s="987" t="s">
        <v>4649</v>
      </c>
      <c r="D113" s="987" t="s">
        <v>4650</v>
      </c>
      <c r="E113" s="987">
        <v>-16.5</v>
      </c>
      <c r="F113" s="987">
        <v>0.375</v>
      </c>
      <c r="G113" s="987">
        <v>0</v>
      </c>
      <c r="H113" s="986">
        <v>2.3E-3</v>
      </c>
      <c r="I113" s="986">
        <f t="shared" si="1"/>
        <v>0.37269999999999998</v>
      </c>
      <c r="J113" s="988">
        <v>12875</v>
      </c>
    </row>
    <row r="114" spans="1:10">
      <c r="A114" s="987">
        <v>66</v>
      </c>
      <c r="B114" s="988">
        <v>12905</v>
      </c>
      <c r="C114" s="987" t="s">
        <v>4649</v>
      </c>
      <c r="D114" s="987" t="s">
        <v>4650</v>
      </c>
      <c r="E114" s="987">
        <v>20</v>
      </c>
      <c r="F114" s="987">
        <v>0.212121</v>
      </c>
      <c r="G114" s="987">
        <v>0</v>
      </c>
      <c r="H114" s="986">
        <v>2.3E-3</v>
      </c>
      <c r="I114" s="986">
        <f t="shared" si="1"/>
        <v>0.20982100000000001</v>
      </c>
      <c r="J114" s="988">
        <v>12905</v>
      </c>
    </row>
    <row r="115" spans="1:10">
      <c r="A115" s="987">
        <v>66</v>
      </c>
      <c r="B115" s="988">
        <v>12936</v>
      </c>
      <c r="C115" s="987" t="s">
        <v>4649</v>
      </c>
      <c r="D115" s="987" t="s">
        <v>4650</v>
      </c>
      <c r="E115" s="987">
        <v>-14.75</v>
      </c>
      <c r="F115" s="987">
        <v>-0.26250000000000001</v>
      </c>
      <c r="G115" s="987">
        <v>0</v>
      </c>
      <c r="H115" s="986">
        <v>2.2000000000000001E-3</v>
      </c>
      <c r="I115" s="986">
        <f t="shared" si="1"/>
        <v>-0.26469999999999999</v>
      </c>
      <c r="J115" s="988">
        <v>12936</v>
      </c>
    </row>
    <row r="116" spans="1:10">
      <c r="A116" s="987">
        <v>66</v>
      </c>
      <c r="B116" s="988">
        <v>12966</v>
      </c>
      <c r="C116" s="987" t="s">
        <v>4649</v>
      </c>
      <c r="D116" s="987" t="s">
        <v>4650</v>
      </c>
      <c r="E116" s="987">
        <v>23.25</v>
      </c>
      <c r="F116" s="987">
        <v>0.57627099999999998</v>
      </c>
      <c r="G116" s="987">
        <v>0</v>
      </c>
      <c r="H116" s="986">
        <v>2.3999999999999998E-3</v>
      </c>
      <c r="I116" s="986">
        <f t="shared" si="1"/>
        <v>0.57387100000000002</v>
      </c>
      <c r="J116" s="988">
        <v>12966</v>
      </c>
    </row>
    <row r="117" spans="1:10">
      <c r="A117" s="987">
        <v>66</v>
      </c>
      <c r="B117" s="988">
        <v>12997</v>
      </c>
      <c r="C117" s="987" t="s">
        <v>4649</v>
      </c>
      <c r="D117" s="987" t="s">
        <v>4650</v>
      </c>
      <c r="E117" s="987">
        <v>22</v>
      </c>
      <c r="F117" s="987">
        <v>-5.3762999999999998E-2</v>
      </c>
      <c r="G117" s="987">
        <v>0</v>
      </c>
      <c r="H117" s="986">
        <v>2.3E-3</v>
      </c>
      <c r="I117" s="986">
        <f t="shared" si="1"/>
        <v>-5.6063000000000002E-2</v>
      </c>
      <c r="J117" s="988">
        <v>12997</v>
      </c>
    </row>
    <row r="118" spans="1:10">
      <c r="A118" s="987">
        <v>66</v>
      </c>
      <c r="B118" s="988">
        <v>13028</v>
      </c>
      <c r="C118" s="987" t="s">
        <v>4649</v>
      </c>
      <c r="D118" s="987" t="s">
        <v>4650</v>
      </c>
      <c r="E118" s="987">
        <v>18.25</v>
      </c>
      <c r="F118" s="987">
        <v>-0.170455</v>
      </c>
      <c r="G118" s="987">
        <v>0</v>
      </c>
      <c r="H118" s="986">
        <v>2.3E-3</v>
      </c>
      <c r="I118" s="986">
        <f t="shared" si="1"/>
        <v>-0.17275499999999999</v>
      </c>
      <c r="J118" s="988">
        <v>13028</v>
      </c>
    </row>
    <row r="119" spans="1:10">
      <c r="A119" s="987">
        <v>66</v>
      </c>
      <c r="B119" s="988">
        <v>13058</v>
      </c>
      <c r="C119" s="987" t="s">
        <v>4649</v>
      </c>
      <c r="D119" s="987" t="s">
        <v>4650</v>
      </c>
      <c r="E119" s="987">
        <v>-19.25</v>
      </c>
      <c r="F119" s="987">
        <v>5.4795000000000003E-2</v>
      </c>
      <c r="G119" s="987">
        <v>0</v>
      </c>
      <c r="H119" s="986">
        <v>2.3E-3</v>
      </c>
      <c r="I119" s="986">
        <f t="shared" si="1"/>
        <v>5.2495E-2</v>
      </c>
      <c r="J119" s="988">
        <v>13058</v>
      </c>
    </row>
    <row r="120" spans="1:10">
      <c r="A120" s="987">
        <v>66</v>
      </c>
      <c r="B120" s="988">
        <v>13089</v>
      </c>
      <c r="C120" s="987" t="s">
        <v>4649</v>
      </c>
      <c r="D120" s="987" t="s">
        <v>4650</v>
      </c>
      <c r="E120" s="987">
        <v>-21.0625</v>
      </c>
      <c r="F120" s="987">
        <v>9.4156000000000004E-2</v>
      </c>
      <c r="G120" s="987">
        <v>0</v>
      </c>
      <c r="H120" s="986">
        <v>2.3999999999999998E-3</v>
      </c>
      <c r="I120" s="986">
        <f t="shared" si="1"/>
        <v>9.1756000000000004E-2</v>
      </c>
      <c r="J120" s="988">
        <v>13089</v>
      </c>
    </row>
    <row r="121" spans="1:10">
      <c r="A121" s="987">
        <v>66</v>
      </c>
      <c r="B121" s="988">
        <v>13119</v>
      </c>
      <c r="C121" s="987" t="s">
        <v>4649</v>
      </c>
      <c r="D121" s="987" t="s">
        <v>4650</v>
      </c>
      <c r="E121" s="987">
        <v>-23.6875</v>
      </c>
      <c r="F121" s="987">
        <v>0.124629</v>
      </c>
      <c r="G121" s="987">
        <v>0</v>
      </c>
      <c r="H121" s="986">
        <v>2.3999999999999998E-3</v>
      </c>
      <c r="I121" s="986">
        <f t="shared" si="1"/>
        <v>0.122229</v>
      </c>
      <c r="J121" s="988">
        <v>13119</v>
      </c>
    </row>
    <row r="122" spans="1:10">
      <c r="A122" s="987">
        <v>66</v>
      </c>
      <c r="B122" s="988">
        <v>13150</v>
      </c>
      <c r="C122" s="987" t="s">
        <v>4649</v>
      </c>
      <c r="D122" s="987" t="s">
        <v>4650</v>
      </c>
      <c r="E122" s="987">
        <v>33</v>
      </c>
      <c r="F122" s="987">
        <v>0.39313999999999999</v>
      </c>
      <c r="G122" s="987">
        <v>0</v>
      </c>
      <c r="H122" s="986">
        <v>2.3999999999999998E-3</v>
      </c>
      <c r="I122" s="986">
        <f t="shared" si="1"/>
        <v>0.39073999999999998</v>
      </c>
      <c r="J122" s="988">
        <v>13150</v>
      </c>
    </row>
    <row r="123" spans="1:10">
      <c r="A123" s="987">
        <v>66</v>
      </c>
      <c r="B123" s="988">
        <v>13181</v>
      </c>
      <c r="C123" s="987" t="s">
        <v>4649</v>
      </c>
      <c r="D123" s="987" t="s">
        <v>4650</v>
      </c>
      <c r="E123" s="987">
        <v>-26.5</v>
      </c>
      <c r="F123" s="987">
        <v>-0.19697000000000001</v>
      </c>
      <c r="G123" s="987">
        <v>0</v>
      </c>
      <c r="H123" s="986">
        <v>2.3E-3</v>
      </c>
      <c r="I123" s="986">
        <f t="shared" si="1"/>
        <v>-0.19927</v>
      </c>
      <c r="J123" s="988">
        <v>13181</v>
      </c>
    </row>
    <row r="124" spans="1:10">
      <c r="A124" s="987">
        <v>66</v>
      </c>
      <c r="B124" s="988">
        <v>13210</v>
      </c>
      <c r="C124" s="987" t="s">
        <v>4649</v>
      </c>
      <c r="D124" s="987" t="s">
        <v>4650</v>
      </c>
      <c r="E124" s="987">
        <v>-27.5</v>
      </c>
      <c r="F124" s="987">
        <v>3.7735999999999999E-2</v>
      </c>
      <c r="G124" s="987">
        <v>0</v>
      </c>
      <c r="H124" s="986">
        <v>2.3999999999999998E-3</v>
      </c>
      <c r="I124" s="986">
        <f t="shared" si="1"/>
        <v>3.5335999999999999E-2</v>
      </c>
      <c r="J124" s="988">
        <v>13210</v>
      </c>
    </row>
    <row r="125" spans="1:10">
      <c r="A125" s="987">
        <v>66</v>
      </c>
      <c r="B125" s="988">
        <v>13241</v>
      </c>
      <c r="C125" s="987" t="s">
        <v>4649</v>
      </c>
      <c r="D125" s="987" t="s">
        <v>4650</v>
      </c>
      <c r="E125" s="987">
        <v>-22.125</v>
      </c>
      <c r="F125" s="987">
        <v>-0.19545499999999999</v>
      </c>
      <c r="G125" s="987">
        <v>0</v>
      </c>
      <c r="H125" s="986">
        <v>2.2000000000000001E-3</v>
      </c>
      <c r="I125" s="986">
        <f t="shared" si="1"/>
        <v>-0.197655</v>
      </c>
      <c r="J125" s="988">
        <v>13241</v>
      </c>
    </row>
    <row r="126" spans="1:10">
      <c r="A126" s="987">
        <v>66</v>
      </c>
      <c r="B126" s="988">
        <v>13271</v>
      </c>
      <c r="C126" s="987" t="s">
        <v>4649</v>
      </c>
      <c r="D126" s="987" t="s">
        <v>4650</v>
      </c>
      <c r="E126" s="987">
        <v>-24.375</v>
      </c>
      <c r="F126" s="987">
        <v>0.10169499999999999</v>
      </c>
      <c r="G126" s="987">
        <v>0</v>
      </c>
      <c r="H126" s="986">
        <v>2.2000000000000001E-3</v>
      </c>
      <c r="I126" s="986">
        <f t="shared" si="1"/>
        <v>9.9495E-2</v>
      </c>
      <c r="J126" s="988">
        <v>13271</v>
      </c>
    </row>
    <row r="127" spans="1:10">
      <c r="A127" s="987">
        <v>66</v>
      </c>
      <c r="B127" s="988">
        <v>13302</v>
      </c>
      <c r="C127" s="987" t="s">
        <v>4649</v>
      </c>
      <c r="D127" s="987" t="s">
        <v>4650</v>
      </c>
      <c r="E127" s="987">
        <v>-23.5</v>
      </c>
      <c r="F127" s="987">
        <v>-3.5896999999999998E-2</v>
      </c>
      <c r="G127" s="987">
        <v>0</v>
      </c>
      <c r="H127" s="986">
        <v>2.3999999999999998E-3</v>
      </c>
      <c r="I127" s="986">
        <f t="shared" si="1"/>
        <v>-3.8296999999999998E-2</v>
      </c>
      <c r="J127" s="988">
        <v>13302</v>
      </c>
    </row>
    <row r="128" spans="1:10">
      <c r="A128" s="987">
        <v>66</v>
      </c>
      <c r="B128" s="988">
        <v>13332</v>
      </c>
      <c r="C128" s="987" t="s">
        <v>4649</v>
      </c>
      <c r="D128" s="987" t="s">
        <v>4650</v>
      </c>
      <c r="E128" s="987">
        <v>27</v>
      </c>
      <c r="F128" s="987">
        <v>0.14893600000000001</v>
      </c>
      <c r="G128" s="987">
        <v>0</v>
      </c>
      <c r="H128" s="986">
        <v>2.3E-3</v>
      </c>
      <c r="I128" s="986">
        <f t="shared" si="1"/>
        <v>0.14663600000000002</v>
      </c>
      <c r="J128" s="988">
        <v>13332</v>
      </c>
    </row>
    <row r="129" spans="1:10">
      <c r="A129" s="987">
        <v>66</v>
      </c>
      <c r="B129" s="988">
        <v>13363</v>
      </c>
      <c r="C129" s="987" t="s">
        <v>4649</v>
      </c>
      <c r="D129" s="987" t="s">
        <v>4650</v>
      </c>
      <c r="E129" s="987">
        <v>-26.8125</v>
      </c>
      <c r="F129" s="987">
        <v>-6.9439999999999997E-3</v>
      </c>
      <c r="G129" s="987">
        <v>0</v>
      </c>
      <c r="H129" s="986">
        <v>2.3E-3</v>
      </c>
      <c r="I129" s="986">
        <f t="shared" si="1"/>
        <v>-9.2439999999999987E-3</v>
      </c>
      <c r="J129" s="988">
        <v>13363</v>
      </c>
    </row>
    <row r="130" spans="1:10">
      <c r="A130" s="987">
        <v>66</v>
      </c>
      <c r="B130" s="988">
        <v>13394</v>
      </c>
      <c r="C130" s="987" t="s">
        <v>4649</v>
      </c>
      <c r="D130" s="987" t="s">
        <v>4650</v>
      </c>
      <c r="E130" s="987">
        <v>28.5</v>
      </c>
      <c r="F130" s="987">
        <v>6.2937000000000007E-2</v>
      </c>
      <c r="G130" s="987">
        <v>0</v>
      </c>
      <c r="H130" s="986">
        <v>2.0999999999999999E-3</v>
      </c>
      <c r="I130" s="986">
        <f t="shared" ref="I130:I193" si="2">F130-H130</f>
        <v>6.0837000000000009E-2</v>
      </c>
      <c r="J130" s="988">
        <v>13394</v>
      </c>
    </row>
    <row r="131" spans="1:10">
      <c r="A131" s="987">
        <v>66</v>
      </c>
      <c r="B131" s="988">
        <v>13424</v>
      </c>
      <c r="C131" s="987" t="s">
        <v>4649</v>
      </c>
      <c r="D131" s="987" t="s">
        <v>4650</v>
      </c>
      <c r="E131" s="987">
        <v>27</v>
      </c>
      <c r="F131" s="987">
        <v>-5.2631999999999998E-2</v>
      </c>
      <c r="G131" s="987">
        <v>0</v>
      </c>
      <c r="H131" s="986">
        <v>2.3E-3</v>
      </c>
      <c r="I131" s="986">
        <f t="shared" si="2"/>
        <v>-5.4931999999999995E-2</v>
      </c>
      <c r="J131" s="988">
        <v>13424</v>
      </c>
    </row>
    <row r="132" spans="1:10">
      <c r="A132" s="987">
        <v>66</v>
      </c>
      <c r="B132" s="988">
        <v>13455</v>
      </c>
      <c r="C132" s="987" t="s">
        <v>4649</v>
      </c>
      <c r="D132" s="987" t="s">
        <v>4650</v>
      </c>
      <c r="E132" s="987">
        <v>28.5</v>
      </c>
      <c r="F132" s="987">
        <v>5.5556000000000001E-2</v>
      </c>
      <c r="G132" s="987">
        <v>0</v>
      </c>
      <c r="H132" s="986">
        <v>2.2000000000000001E-3</v>
      </c>
      <c r="I132" s="986">
        <f t="shared" si="2"/>
        <v>5.3356000000000001E-2</v>
      </c>
      <c r="J132" s="988">
        <v>13455</v>
      </c>
    </row>
    <row r="133" spans="1:10">
      <c r="A133" s="987">
        <v>66</v>
      </c>
      <c r="B133" s="988">
        <v>13485</v>
      </c>
      <c r="C133" s="987" t="s">
        <v>4649</v>
      </c>
      <c r="D133" s="987" t="s">
        <v>4650</v>
      </c>
      <c r="E133" s="987">
        <v>23</v>
      </c>
      <c r="F133" s="987">
        <v>-0.19298199999999999</v>
      </c>
      <c r="G133" s="987">
        <v>0</v>
      </c>
      <c r="H133" s="986">
        <v>2.2000000000000001E-3</v>
      </c>
      <c r="I133" s="986">
        <f t="shared" si="2"/>
        <v>-0.19518199999999999</v>
      </c>
      <c r="J133" s="988">
        <v>13485</v>
      </c>
    </row>
    <row r="134" spans="1:10">
      <c r="A134" s="987">
        <v>66</v>
      </c>
      <c r="B134" s="988">
        <v>13516</v>
      </c>
      <c r="C134" s="987" t="s">
        <v>4649</v>
      </c>
      <c r="D134" s="987" t="s">
        <v>4650</v>
      </c>
      <c r="E134" s="987">
        <v>25</v>
      </c>
      <c r="F134" s="987">
        <v>8.6957000000000007E-2</v>
      </c>
      <c r="G134" s="987">
        <v>0</v>
      </c>
      <c r="H134" s="986">
        <v>2.0999999999999999E-3</v>
      </c>
      <c r="I134" s="986">
        <f t="shared" si="2"/>
        <v>8.4857000000000002E-2</v>
      </c>
      <c r="J134" s="988">
        <v>13516</v>
      </c>
    </row>
    <row r="135" spans="1:10">
      <c r="A135" s="987">
        <v>66</v>
      </c>
      <c r="B135" s="988">
        <v>13547</v>
      </c>
      <c r="C135" s="987" t="s">
        <v>4649</v>
      </c>
      <c r="D135" s="987" t="s">
        <v>4650</v>
      </c>
      <c r="E135" s="987">
        <v>22.125</v>
      </c>
      <c r="F135" s="987">
        <v>-0.115</v>
      </c>
      <c r="G135" s="987">
        <v>0</v>
      </c>
      <c r="H135" s="986">
        <v>2E-3</v>
      </c>
      <c r="I135" s="986">
        <f t="shared" si="2"/>
        <v>-0.11700000000000001</v>
      </c>
      <c r="J135" s="988">
        <v>13547</v>
      </c>
    </row>
    <row r="136" spans="1:10">
      <c r="A136" s="987">
        <v>66</v>
      </c>
      <c r="B136" s="988">
        <v>13575</v>
      </c>
      <c r="C136" s="987" t="s">
        <v>4649</v>
      </c>
      <c r="D136" s="987" t="s">
        <v>4650</v>
      </c>
      <c r="E136" s="987">
        <v>21.125</v>
      </c>
      <c r="F136" s="987">
        <v>-4.5198000000000002E-2</v>
      </c>
      <c r="G136" s="987">
        <v>0</v>
      </c>
      <c r="H136" s="986">
        <v>2.2000000000000001E-3</v>
      </c>
      <c r="I136" s="986">
        <f t="shared" si="2"/>
        <v>-4.7398000000000003E-2</v>
      </c>
      <c r="J136" s="988">
        <v>13575</v>
      </c>
    </row>
    <row r="137" spans="1:10">
      <c r="A137" s="987">
        <v>66</v>
      </c>
      <c r="B137" s="988">
        <v>13606</v>
      </c>
      <c r="C137" s="987" t="s">
        <v>4649</v>
      </c>
      <c r="D137" s="987" t="s">
        <v>4650</v>
      </c>
      <c r="E137" s="987">
        <v>-18.9375</v>
      </c>
      <c r="F137" s="987">
        <v>-0.10355</v>
      </c>
      <c r="G137" s="987">
        <v>0</v>
      </c>
      <c r="H137" s="986">
        <v>2.3E-3</v>
      </c>
      <c r="I137" s="986">
        <f t="shared" si="2"/>
        <v>-0.10585</v>
      </c>
      <c r="J137" s="988">
        <v>13606</v>
      </c>
    </row>
    <row r="138" spans="1:10">
      <c r="A138" s="987">
        <v>66</v>
      </c>
      <c r="B138" s="988">
        <v>13636</v>
      </c>
      <c r="C138" s="987" t="s">
        <v>4649</v>
      </c>
      <c r="D138" s="987" t="s">
        <v>4650</v>
      </c>
      <c r="E138" s="987">
        <v>-18.625</v>
      </c>
      <c r="F138" s="987">
        <v>-1.6501999999999999E-2</v>
      </c>
      <c r="G138" s="987">
        <v>0</v>
      </c>
      <c r="H138" s="986">
        <v>2.2000000000000001E-3</v>
      </c>
      <c r="I138" s="986">
        <f t="shared" si="2"/>
        <v>-1.8702E-2</v>
      </c>
      <c r="J138" s="988">
        <v>13636</v>
      </c>
    </row>
    <row r="139" spans="1:10">
      <c r="A139" s="987">
        <v>66</v>
      </c>
      <c r="B139" s="988">
        <v>13667</v>
      </c>
      <c r="C139" s="987" t="s">
        <v>4649</v>
      </c>
      <c r="D139" s="987" t="s">
        <v>4650</v>
      </c>
      <c r="E139" s="987">
        <v>-15.5</v>
      </c>
      <c r="F139" s="987">
        <v>-0.16778499999999999</v>
      </c>
      <c r="G139" s="987">
        <v>0</v>
      </c>
      <c r="H139" s="986">
        <v>2.5000000000000001E-3</v>
      </c>
      <c r="I139" s="986">
        <f t="shared" si="2"/>
        <v>-0.17028499999999999</v>
      </c>
      <c r="J139" s="988">
        <v>13667</v>
      </c>
    </row>
    <row r="140" spans="1:10">
      <c r="A140" s="987">
        <v>66</v>
      </c>
      <c r="B140" s="988">
        <v>13697</v>
      </c>
      <c r="C140" s="987" t="s">
        <v>4649</v>
      </c>
      <c r="D140" s="987" t="s">
        <v>4650</v>
      </c>
      <c r="E140" s="987">
        <v>-17.75</v>
      </c>
      <c r="F140" s="987">
        <v>0.14516100000000001</v>
      </c>
      <c r="G140" s="987">
        <v>0</v>
      </c>
      <c r="H140" s="986">
        <v>2.3999999999999998E-3</v>
      </c>
      <c r="I140" s="986">
        <f t="shared" si="2"/>
        <v>0.142761</v>
      </c>
      <c r="J140" s="988">
        <v>13697</v>
      </c>
    </row>
    <row r="141" spans="1:10">
      <c r="A141" s="987">
        <v>66</v>
      </c>
      <c r="B141" s="988">
        <v>13728</v>
      </c>
      <c r="C141" s="987" t="s">
        <v>4649</v>
      </c>
      <c r="D141" s="987" t="s">
        <v>4650</v>
      </c>
      <c r="E141" s="987">
        <v>-17.5</v>
      </c>
      <c r="F141" s="987">
        <v>-1.4085E-2</v>
      </c>
      <c r="G141" s="987">
        <v>0</v>
      </c>
      <c r="H141" s="986">
        <v>2.3E-3</v>
      </c>
      <c r="I141" s="986">
        <f t="shared" si="2"/>
        <v>-1.6385E-2</v>
      </c>
      <c r="J141" s="988">
        <v>13728</v>
      </c>
    </row>
    <row r="142" spans="1:10">
      <c r="A142" s="987">
        <v>66</v>
      </c>
      <c r="B142" s="988">
        <v>13759</v>
      </c>
      <c r="C142" s="987" t="s">
        <v>4649</v>
      </c>
      <c r="D142" s="987" t="s">
        <v>4650</v>
      </c>
      <c r="E142" s="987">
        <v>11.875</v>
      </c>
      <c r="F142" s="987">
        <v>-0.32142900000000002</v>
      </c>
      <c r="G142" s="987">
        <v>0</v>
      </c>
      <c r="H142" s="986">
        <v>2.3E-3</v>
      </c>
      <c r="I142" s="986">
        <f t="shared" si="2"/>
        <v>-0.32372900000000004</v>
      </c>
      <c r="J142" s="988">
        <v>13759</v>
      </c>
    </row>
    <row r="143" spans="1:10">
      <c r="A143" s="987">
        <v>66</v>
      </c>
      <c r="B143" s="988">
        <v>13789</v>
      </c>
      <c r="C143" s="987" t="s">
        <v>4649</v>
      </c>
      <c r="D143" s="987" t="s">
        <v>4650</v>
      </c>
      <c r="E143" s="987">
        <v>13</v>
      </c>
      <c r="F143" s="987">
        <v>9.4737000000000002E-2</v>
      </c>
      <c r="G143" s="987">
        <v>0</v>
      </c>
      <c r="H143" s="986">
        <v>2.3E-3</v>
      </c>
      <c r="I143" s="986">
        <f t="shared" si="2"/>
        <v>9.2437000000000005E-2</v>
      </c>
      <c r="J143" s="988">
        <v>13789</v>
      </c>
    </row>
    <row r="144" spans="1:10">
      <c r="A144" s="987">
        <v>66</v>
      </c>
      <c r="B144" s="988">
        <v>13820</v>
      </c>
      <c r="C144" s="987" t="s">
        <v>4649</v>
      </c>
      <c r="D144" s="987" t="s">
        <v>4650</v>
      </c>
      <c r="E144" s="987">
        <v>-12</v>
      </c>
      <c r="F144" s="987">
        <v>-7.6923000000000005E-2</v>
      </c>
      <c r="G144" s="987">
        <v>0</v>
      </c>
      <c r="H144" s="986">
        <v>2.3999999999999998E-3</v>
      </c>
      <c r="I144" s="986">
        <f t="shared" si="2"/>
        <v>-7.9323000000000005E-2</v>
      </c>
      <c r="J144" s="988">
        <v>13820</v>
      </c>
    </row>
    <row r="145" spans="1:10">
      <c r="A145" s="987">
        <v>66</v>
      </c>
      <c r="B145" s="988">
        <v>13850</v>
      </c>
      <c r="C145" s="987" t="s">
        <v>4649</v>
      </c>
      <c r="D145" s="987" t="s">
        <v>4650</v>
      </c>
      <c r="E145" s="987">
        <v>14.5</v>
      </c>
      <c r="F145" s="987">
        <v>0.20833299999999999</v>
      </c>
      <c r="G145" s="987">
        <v>0</v>
      </c>
      <c r="H145" s="986">
        <v>2.3E-3</v>
      </c>
      <c r="I145" s="986">
        <f t="shared" si="2"/>
        <v>0.20603299999999999</v>
      </c>
      <c r="J145" s="988">
        <v>13850</v>
      </c>
    </row>
    <row r="146" spans="1:10">
      <c r="A146" s="987">
        <v>66</v>
      </c>
      <c r="B146" s="988">
        <v>13881</v>
      </c>
      <c r="C146" s="987" t="s">
        <v>4649</v>
      </c>
      <c r="D146" s="987" t="s">
        <v>4650</v>
      </c>
      <c r="E146" s="987">
        <v>13</v>
      </c>
      <c r="F146" s="987">
        <v>-0.103448</v>
      </c>
      <c r="G146" s="987">
        <v>0</v>
      </c>
      <c r="H146" s="986">
        <v>2.3E-3</v>
      </c>
      <c r="I146" s="986">
        <f t="shared" si="2"/>
        <v>-0.10574799999999999</v>
      </c>
      <c r="J146" s="988">
        <v>13881</v>
      </c>
    </row>
    <row r="147" spans="1:10">
      <c r="A147" s="987">
        <v>66</v>
      </c>
      <c r="B147" s="988">
        <v>13912</v>
      </c>
      <c r="C147" s="987" t="s">
        <v>4649</v>
      </c>
      <c r="D147" s="987" t="s">
        <v>4650</v>
      </c>
      <c r="E147" s="987">
        <v>-14.75</v>
      </c>
      <c r="F147" s="987">
        <v>0.13461500000000001</v>
      </c>
      <c r="G147" s="987">
        <v>0</v>
      </c>
      <c r="H147" s="986">
        <v>2.0999999999999999E-3</v>
      </c>
      <c r="I147" s="986">
        <f t="shared" si="2"/>
        <v>0.13251500000000002</v>
      </c>
      <c r="J147" s="988">
        <v>13912</v>
      </c>
    </row>
    <row r="148" spans="1:10">
      <c r="A148" s="987">
        <v>66</v>
      </c>
      <c r="B148" s="988">
        <v>13940</v>
      </c>
      <c r="C148" s="987" t="s">
        <v>4649</v>
      </c>
      <c r="D148" s="987" t="s">
        <v>4650</v>
      </c>
      <c r="E148" s="987">
        <v>9</v>
      </c>
      <c r="F148" s="987">
        <v>-0.38983000000000001</v>
      </c>
      <c r="G148" s="987">
        <v>0</v>
      </c>
      <c r="H148" s="986">
        <v>2.3E-3</v>
      </c>
      <c r="I148" s="986">
        <f t="shared" si="2"/>
        <v>-0.39213000000000003</v>
      </c>
      <c r="J148" s="988">
        <v>13940</v>
      </c>
    </row>
    <row r="149" spans="1:10">
      <c r="A149" s="987">
        <v>66</v>
      </c>
      <c r="B149" s="988">
        <v>13971</v>
      </c>
      <c r="C149" s="987" t="s">
        <v>4649</v>
      </c>
      <c r="D149" s="987" t="s">
        <v>4650</v>
      </c>
      <c r="E149" s="987">
        <v>-10.625</v>
      </c>
      <c r="F149" s="987">
        <v>0.18055599999999999</v>
      </c>
      <c r="G149" s="987">
        <v>0</v>
      </c>
      <c r="H149" s="986">
        <v>2.2000000000000001E-3</v>
      </c>
      <c r="I149" s="986">
        <f t="shared" si="2"/>
        <v>0.17835599999999999</v>
      </c>
      <c r="J149" s="988">
        <v>13971</v>
      </c>
    </row>
    <row r="150" spans="1:10">
      <c r="A150" s="987">
        <v>66</v>
      </c>
      <c r="B150" s="988">
        <v>14001</v>
      </c>
      <c r="C150" s="987" t="s">
        <v>4649</v>
      </c>
      <c r="D150" s="987" t="s">
        <v>4650</v>
      </c>
      <c r="E150" s="987">
        <v>11.5</v>
      </c>
      <c r="F150" s="987">
        <v>8.2352999999999996E-2</v>
      </c>
      <c r="G150" s="987">
        <v>0</v>
      </c>
      <c r="H150" s="986">
        <v>2.2000000000000001E-3</v>
      </c>
      <c r="I150" s="986">
        <f t="shared" si="2"/>
        <v>8.0153000000000002E-2</v>
      </c>
      <c r="J150" s="988">
        <v>14001</v>
      </c>
    </row>
    <row r="151" spans="1:10">
      <c r="A151" s="987">
        <v>66</v>
      </c>
      <c r="B151" s="988">
        <v>14032</v>
      </c>
      <c r="C151" s="987" t="s">
        <v>4649</v>
      </c>
      <c r="D151" s="987" t="s">
        <v>4650</v>
      </c>
      <c r="E151" s="987">
        <v>15</v>
      </c>
      <c r="F151" s="987">
        <v>0.30434800000000001</v>
      </c>
      <c r="G151" s="987">
        <v>0</v>
      </c>
      <c r="H151" s="986">
        <v>2.0999999999999999E-3</v>
      </c>
      <c r="I151" s="986">
        <f t="shared" si="2"/>
        <v>0.30224800000000002</v>
      </c>
      <c r="J151" s="988">
        <v>14032</v>
      </c>
    </row>
    <row r="152" spans="1:10">
      <c r="A152" s="987">
        <v>66</v>
      </c>
      <c r="B152" s="988">
        <v>14062</v>
      </c>
      <c r="C152" s="987" t="s">
        <v>4649</v>
      </c>
      <c r="D152" s="987" t="s">
        <v>4650</v>
      </c>
      <c r="E152" s="987">
        <v>-14.75</v>
      </c>
      <c r="F152" s="987">
        <v>-1.6667000000000001E-2</v>
      </c>
      <c r="G152" s="987">
        <v>0</v>
      </c>
      <c r="H152" s="986">
        <v>2.0999999999999999E-3</v>
      </c>
      <c r="I152" s="986">
        <f t="shared" si="2"/>
        <v>-1.8767000000000002E-2</v>
      </c>
      <c r="J152" s="988">
        <v>14062</v>
      </c>
    </row>
    <row r="153" spans="1:10">
      <c r="A153" s="987">
        <v>66</v>
      </c>
      <c r="B153" s="988">
        <v>14093</v>
      </c>
      <c r="C153" s="987" t="s">
        <v>4649</v>
      </c>
      <c r="D153" s="987" t="s">
        <v>4650</v>
      </c>
      <c r="E153" s="987">
        <v>12</v>
      </c>
      <c r="F153" s="987">
        <v>-0.186441</v>
      </c>
      <c r="G153" s="987">
        <v>0</v>
      </c>
      <c r="H153" s="986">
        <v>2.2000000000000001E-3</v>
      </c>
      <c r="I153" s="986">
        <f t="shared" si="2"/>
        <v>-0.188641</v>
      </c>
      <c r="J153" s="988">
        <v>14093</v>
      </c>
    </row>
    <row r="154" spans="1:10">
      <c r="A154" s="987">
        <v>66</v>
      </c>
      <c r="B154" s="988">
        <v>14124</v>
      </c>
      <c r="C154" s="987" t="s">
        <v>4649</v>
      </c>
      <c r="D154" s="987" t="s">
        <v>4650</v>
      </c>
      <c r="E154" s="987">
        <v>-13.125</v>
      </c>
      <c r="F154" s="987">
        <v>9.375E-2</v>
      </c>
      <c r="G154" s="987">
        <v>0</v>
      </c>
      <c r="H154" s="986">
        <v>2.0999999999999999E-3</v>
      </c>
      <c r="I154" s="986">
        <f t="shared" si="2"/>
        <v>9.1649999999999995E-2</v>
      </c>
      <c r="J154" s="988">
        <v>14124</v>
      </c>
    </row>
    <row r="155" spans="1:10">
      <c r="A155" s="987">
        <v>66</v>
      </c>
      <c r="B155" s="988">
        <v>14154</v>
      </c>
      <c r="C155" s="987" t="s">
        <v>4649</v>
      </c>
      <c r="D155" s="987" t="s">
        <v>4650</v>
      </c>
      <c r="E155" s="987">
        <v>-14.125</v>
      </c>
      <c r="F155" s="987">
        <v>7.6189999999999994E-2</v>
      </c>
      <c r="G155" s="987">
        <v>0</v>
      </c>
      <c r="H155" s="986">
        <v>2.2000000000000001E-3</v>
      </c>
      <c r="I155" s="986">
        <f t="shared" si="2"/>
        <v>7.399E-2</v>
      </c>
      <c r="J155" s="988">
        <v>14154</v>
      </c>
    </row>
    <row r="156" spans="1:10">
      <c r="A156" s="987">
        <v>66</v>
      </c>
      <c r="B156" s="988">
        <v>14185</v>
      </c>
      <c r="C156" s="987" t="s">
        <v>4649</v>
      </c>
      <c r="D156" s="987" t="s">
        <v>4650</v>
      </c>
      <c r="E156" s="987">
        <v>11.75</v>
      </c>
      <c r="F156" s="987">
        <v>-0.16814200000000001</v>
      </c>
      <c r="G156" s="987">
        <v>0</v>
      </c>
      <c r="H156" s="986">
        <v>2.0999999999999999E-3</v>
      </c>
      <c r="I156" s="986">
        <f t="shared" si="2"/>
        <v>-0.170242</v>
      </c>
      <c r="J156" s="988">
        <v>14185</v>
      </c>
    </row>
    <row r="157" spans="1:10">
      <c r="A157" s="987">
        <v>66</v>
      </c>
      <c r="B157" s="988">
        <v>14215</v>
      </c>
      <c r="C157" s="987" t="s">
        <v>4649</v>
      </c>
      <c r="D157" s="987" t="s">
        <v>4650</v>
      </c>
      <c r="E157" s="987">
        <v>-11.5</v>
      </c>
      <c r="F157" s="987">
        <v>-2.1277000000000001E-2</v>
      </c>
      <c r="G157" s="987">
        <v>0</v>
      </c>
      <c r="H157" s="986">
        <v>2.2000000000000001E-3</v>
      </c>
      <c r="I157" s="986">
        <f t="shared" si="2"/>
        <v>-2.3477000000000001E-2</v>
      </c>
      <c r="J157" s="988">
        <v>14215</v>
      </c>
    </row>
    <row r="158" spans="1:10">
      <c r="A158" s="987">
        <v>66</v>
      </c>
      <c r="B158" s="988">
        <v>14246</v>
      </c>
      <c r="C158" s="987" t="s">
        <v>4649</v>
      </c>
      <c r="D158" s="987" t="s">
        <v>4650</v>
      </c>
      <c r="E158" s="987">
        <v>-11.25</v>
      </c>
      <c r="F158" s="987">
        <v>-2.1739000000000001E-2</v>
      </c>
      <c r="G158" s="987">
        <v>0</v>
      </c>
      <c r="H158" s="986">
        <v>2.0999999999999999E-3</v>
      </c>
      <c r="I158" s="986">
        <f t="shared" si="2"/>
        <v>-2.3839000000000003E-2</v>
      </c>
      <c r="J158" s="988">
        <v>14246</v>
      </c>
    </row>
    <row r="159" spans="1:10">
      <c r="A159" s="987">
        <v>66</v>
      </c>
      <c r="B159" s="988">
        <v>14277</v>
      </c>
      <c r="C159" s="987" t="s">
        <v>4649</v>
      </c>
      <c r="D159" s="987" t="s">
        <v>4650</v>
      </c>
      <c r="E159" s="987">
        <v>12.375</v>
      </c>
      <c r="F159" s="987">
        <v>0.1</v>
      </c>
      <c r="G159" s="987">
        <v>0</v>
      </c>
      <c r="H159" s="986">
        <v>1.9E-3</v>
      </c>
      <c r="I159" s="986">
        <f t="shared" si="2"/>
        <v>9.8100000000000007E-2</v>
      </c>
      <c r="J159" s="988">
        <v>14277</v>
      </c>
    </row>
    <row r="160" spans="1:10">
      <c r="A160" s="987">
        <v>66</v>
      </c>
      <c r="B160" s="988">
        <v>14305</v>
      </c>
      <c r="C160" s="987" t="s">
        <v>4649</v>
      </c>
      <c r="D160" s="987" t="s">
        <v>4650</v>
      </c>
      <c r="E160" s="987">
        <v>9</v>
      </c>
      <c r="F160" s="987">
        <v>-0.272727</v>
      </c>
      <c r="G160" s="987">
        <v>0</v>
      </c>
      <c r="H160" s="986">
        <v>2.0999999999999999E-3</v>
      </c>
      <c r="I160" s="986">
        <f t="shared" si="2"/>
        <v>-0.27482699999999999</v>
      </c>
      <c r="J160" s="988">
        <v>14305</v>
      </c>
    </row>
    <row r="161" spans="1:10">
      <c r="A161" s="987">
        <v>66</v>
      </c>
      <c r="B161" s="988">
        <v>14336</v>
      </c>
      <c r="C161" s="987" t="s">
        <v>4649</v>
      </c>
      <c r="D161" s="987" t="s">
        <v>4650</v>
      </c>
      <c r="E161" s="987">
        <v>-8.75</v>
      </c>
      <c r="F161" s="987">
        <v>-2.7778000000000001E-2</v>
      </c>
      <c r="G161" s="987">
        <v>0</v>
      </c>
      <c r="H161" s="986">
        <v>1.9E-3</v>
      </c>
      <c r="I161" s="986">
        <f t="shared" si="2"/>
        <v>-2.9678E-2</v>
      </c>
      <c r="J161" s="988">
        <v>14336</v>
      </c>
    </row>
    <row r="162" spans="1:10">
      <c r="A162" s="987">
        <v>66</v>
      </c>
      <c r="B162" s="988">
        <v>14366</v>
      </c>
      <c r="C162" s="987" t="s">
        <v>4649</v>
      </c>
      <c r="D162" s="987" t="s">
        <v>4650</v>
      </c>
      <c r="E162" s="987">
        <v>10.25</v>
      </c>
      <c r="F162" s="987">
        <v>0.171429</v>
      </c>
      <c r="G162" s="987">
        <v>0</v>
      </c>
      <c r="H162" s="986">
        <v>2E-3</v>
      </c>
      <c r="I162" s="986">
        <f t="shared" si="2"/>
        <v>0.169429</v>
      </c>
      <c r="J162" s="988">
        <v>14366</v>
      </c>
    </row>
    <row r="163" spans="1:10">
      <c r="A163" s="987">
        <v>66</v>
      </c>
      <c r="B163" s="988">
        <v>14397</v>
      </c>
      <c r="C163" s="987" t="s">
        <v>4649</v>
      </c>
      <c r="D163" s="987" t="s">
        <v>4650</v>
      </c>
      <c r="E163" s="987">
        <v>-8.75</v>
      </c>
      <c r="F163" s="987">
        <v>-0.146341</v>
      </c>
      <c r="G163" s="987">
        <v>0</v>
      </c>
      <c r="H163" s="986">
        <v>1.8E-3</v>
      </c>
      <c r="I163" s="986">
        <f t="shared" si="2"/>
        <v>-0.14814099999999999</v>
      </c>
      <c r="J163" s="988">
        <v>14397</v>
      </c>
    </row>
    <row r="164" spans="1:10">
      <c r="A164" s="987">
        <v>66</v>
      </c>
      <c r="B164" s="988">
        <v>14427</v>
      </c>
      <c r="C164" s="987" t="s">
        <v>4649</v>
      </c>
      <c r="D164" s="987" t="s">
        <v>4650</v>
      </c>
      <c r="E164" s="987">
        <v>9</v>
      </c>
      <c r="F164" s="987">
        <v>2.8570999999999999E-2</v>
      </c>
      <c r="G164" s="987">
        <v>0</v>
      </c>
      <c r="H164" s="986">
        <v>1.9E-3</v>
      </c>
      <c r="I164" s="986">
        <f t="shared" si="2"/>
        <v>2.6671E-2</v>
      </c>
      <c r="J164" s="988">
        <v>14427</v>
      </c>
    </row>
    <row r="165" spans="1:10">
      <c r="A165" s="987">
        <v>66</v>
      </c>
      <c r="B165" s="988">
        <v>14458</v>
      </c>
      <c r="C165" s="987" t="s">
        <v>4649</v>
      </c>
      <c r="D165" s="987" t="s">
        <v>4650</v>
      </c>
      <c r="E165" s="987">
        <v>-8.9375</v>
      </c>
      <c r="F165" s="987">
        <v>-6.9439999999999997E-3</v>
      </c>
      <c r="G165" s="987">
        <v>0</v>
      </c>
      <c r="H165" s="986">
        <v>1.8E-3</v>
      </c>
      <c r="I165" s="986">
        <f t="shared" si="2"/>
        <v>-8.744E-3</v>
      </c>
      <c r="J165" s="988">
        <v>14458</v>
      </c>
    </row>
    <row r="166" spans="1:10">
      <c r="A166" s="987">
        <v>66</v>
      </c>
      <c r="B166" s="988">
        <v>14489</v>
      </c>
      <c r="C166" s="987" t="s">
        <v>4649</v>
      </c>
      <c r="D166" s="987" t="s">
        <v>4650</v>
      </c>
      <c r="E166" s="987">
        <v>-10.375</v>
      </c>
      <c r="F166" s="987">
        <v>0.16083900000000001</v>
      </c>
      <c r="G166" s="987">
        <v>0</v>
      </c>
      <c r="H166" s="986">
        <v>1.9E-3</v>
      </c>
      <c r="I166" s="986">
        <f t="shared" si="2"/>
        <v>0.158939</v>
      </c>
      <c r="J166" s="988">
        <v>14489</v>
      </c>
    </row>
    <row r="167" spans="1:10">
      <c r="A167" s="987">
        <v>66</v>
      </c>
      <c r="B167" s="988">
        <v>14519</v>
      </c>
      <c r="C167" s="987" t="s">
        <v>4649</v>
      </c>
      <c r="D167" s="987" t="s">
        <v>4650</v>
      </c>
      <c r="E167" s="987">
        <v>10</v>
      </c>
      <c r="F167" s="987">
        <v>-3.6144999999999997E-2</v>
      </c>
      <c r="G167" s="987">
        <v>0</v>
      </c>
      <c r="H167" s="986">
        <v>2.3E-3</v>
      </c>
      <c r="I167" s="986">
        <f t="shared" si="2"/>
        <v>-3.8444999999999993E-2</v>
      </c>
      <c r="J167" s="988">
        <v>14519</v>
      </c>
    </row>
    <row r="168" spans="1:10">
      <c r="A168" s="987">
        <v>66</v>
      </c>
      <c r="B168" s="988">
        <v>14550</v>
      </c>
      <c r="C168" s="987" t="s">
        <v>4649</v>
      </c>
      <c r="D168" s="987" t="s">
        <v>4650</v>
      </c>
      <c r="E168" s="987">
        <v>8</v>
      </c>
      <c r="F168" s="987">
        <v>-0.2</v>
      </c>
      <c r="G168" s="987">
        <v>0</v>
      </c>
      <c r="H168" s="986">
        <v>2E-3</v>
      </c>
      <c r="I168" s="986">
        <f t="shared" si="2"/>
        <v>-0.20200000000000001</v>
      </c>
      <c r="J168" s="988">
        <v>14550</v>
      </c>
    </row>
    <row r="169" spans="1:10">
      <c r="A169" s="987">
        <v>66</v>
      </c>
      <c r="B169" s="988">
        <v>14580</v>
      </c>
      <c r="C169" s="987" t="s">
        <v>4649</v>
      </c>
      <c r="D169" s="987" t="s">
        <v>4650</v>
      </c>
      <c r="E169" s="987">
        <v>-8.125</v>
      </c>
      <c r="F169" s="987">
        <v>1.5625E-2</v>
      </c>
      <c r="G169" s="987">
        <v>0</v>
      </c>
      <c r="H169" s="986">
        <v>1.9E-3</v>
      </c>
      <c r="I169" s="986">
        <f t="shared" si="2"/>
        <v>1.3724999999999999E-2</v>
      </c>
      <c r="J169" s="988">
        <v>14580</v>
      </c>
    </row>
    <row r="170" spans="1:10">
      <c r="A170" s="987">
        <v>66</v>
      </c>
      <c r="B170" s="988">
        <v>14611</v>
      </c>
      <c r="C170" s="987" t="s">
        <v>4649</v>
      </c>
      <c r="D170" s="987" t="s">
        <v>4650</v>
      </c>
      <c r="E170" s="987">
        <v>8</v>
      </c>
      <c r="F170" s="987">
        <v>-1.5384999999999999E-2</v>
      </c>
      <c r="G170" s="987">
        <v>0</v>
      </c>
      <c r="H170" s="986">
        <v>2E-3</v>
      </c>
      <c r="I170" s="986">
        <f t="shared" si="2"/>
        <v>-1.7384999999999998E-2</v>
      </c>
      <c r="J170" s="988">
        <v>14611</v>
      </c>
    </row>
    <row r="171" spans="1:10">
      <c r="A171" s="987">
        <v>66</v>
      </c>
      <c r="B171" s="988">
        <v>14642</v>
      </c>
      <c r="C171" s="987" t="s">
        <v>4649</v>
      </c>
      <c r="D171" s="987" t="s">
        <v>4650</v>
      </c>
      <c r="E171" s="987">
        <v>7.875</v>
      </c>
      <c r="F171" s="987">
        <v>-1.5625E-2</v>
      </c>
      <c r="G171" s="987">
        <v>0</v>
      </c>
      <c r="H171" s="986">
        <v>1.8E-3</v>
      </c>
      <c r="I171" s="986">
        <f t="shared" si="2"/>
        <v>-1.7425E-2</v>
      </c>
      <c r="J171" s="988">
        <v>14642</v>
      </c>
    </row>
    <row r="172" spans="1:10">
      <c r="A172" s="987">
        <v>66</v>
      </c>
      <c r="B172" s="988">
        <v>14671</v>
      </c>
      <c r="C172" s="987" t="s">
        <v>4649</v>
      </c>
      <c r="D172" s="987" t="s">
        <v>4650</v>
      </c>
      <c r="E172" s="987">
        <v>-8.6875</v>
      </c>
      <c r="F172" s="987">
        <v>0.103175</v>
      </c>
      <c r="G172" s="987">
        <v>0</v>
      </c>
      <c r="H172" s="986">
        <v>1.9E-3</v>
      </c>
      <c r="I172" s="986">
        <f t="shared" si="2"/>
        <v>0.101275</v>
      </c>
      <c r="J172" s="988">
        <v>14671</v>
      </c>
    </row>
    <row r="173" spans="1:10">
      <c r="A173" s="987">
        <v>66</v>
      </c>
      <c r="B173" s="988">
        <v>14702</v>
      </c>
      <c r="C173" s="987" t="s">
        <v>4649</v>
      </c>
      <c r="D173" s="987" t="s">
        <v>4650</v>
      </c>
      <c r="E173" s="987">
        <v>-7.4375</v>
      </c>
      <c r="F173" s="987">
        <v>-0.14388500000000001</v>
      </c>
      <c r="G173" s="987">
        <v>0</v>
      </c>
      <c r="H173" s="986">
        <v>1.8E-3</v>
      </c>
      <c r="I173" s="986">
        <f t="shared" si="2"/>
        <v>-0.14568500000000001</v>
      </c>
      <c r="J173" s="988">
        <v>14702</v>
      </c>
    </row>
    <row r="174" spans="1:10">
      <c r="A174" s="987">
        <v>66</v>
      </c>
      <c r="B174" s="988">
        <v>14732</v>
      </c>
      <c r="C174" s="987" t="s">
        <v>4649</v>
      </c>
      <c r="D174" s="987" t="s">
        <v>4650</v>
      </c>
      <c r="E174" s="987">
        <v>-4.75</v>
      </c>
      <c r="F174" s="987">
        <v>-0.36134500000000003</v>
      </c>
      <c r="G174" s="987">
        <v>0</v>
      </c>
      <c r="H174" s="986">
        <v>1.9E-3</v>
      </c>
      <c r="I174" s="986">
        <f t="shared" si="2"/>
        <v>-0.36324500000000004</v>
      </c>
      <c r="J174" s="988">
        <v>14732</v>
      </c>
    </row>
    <row r="175" spans="1:10">
      <c r="A175" s="987">
        <v>66</v>
      </c>
      <c r="B175" s="988">
        <v>14763</v>
      </c>
      <c r="C175" s="987" t="s">
        <v>4649</v>
      </c>
      <c r="D175" s="987" t="s">
        <v>4650</v>
      </c>
      <c r="E175" s="987">
        <v>7</v>
      </c>
      <c r="F175" s="987">
        <v>0.47368399999999999</v>
      </c>
      <c r="G175" s="987">
        <v>0</v>
      </c>
      <c r="H175" s="986">
        <v>1.9E-3</v>
      </c>
      <c r="I175" s="986">
        <f t="shared" si="2"/>
        <v>0.47178399999999998</v>
      </c>
      <c r="J175" s="988">
        <v>14763</v>
      </c>
    </row>
    <row r="176" spans="1:10">
      <c r="A176" s="987">
        <v>66</v>
      </c>
      <c r="B176" s="988">
        <v>14793</v>
      </c>
      <c r="C176" s="987" t="s">
        <v>4649</v>
      </c>
      <c r="D176" s="987" t="s">
        <v>4650</v>
      </c>
      <c r="E176" s="987">
        <v>-6.8125</v>
      </c>
      <c r="F176" s="987">
        <v>-2.6786000000000001E-2</v>
      </c>
      <c r="G176" s="987">
        <v>0</v>
      </c>
      <c r="H176" s="986">
        <v>2E-3</v>
      </c>
      <c r="I176" s="986">
        <f t="shared" si="2"/>
        <v>-2.8785999999999999E-2</v>
      </c>
      <c r="J176" s="988">
        <v>14793</v>
      </c>
    </row>
    <row r="177" spans="1:10">
      <c r="A177" s="987">
        <v>66</v>
      </c>
      <c r="B177" s="988">
        <v>14824</v>
      </c>
      <c r="C177" s="987" t="s">
        <v>4649</v>
      </c>
      <c r="D177" s="987" t="s">
        <v>4650</v>
      </c>
      <c r="E177" s="987">
        <v>-6.25</v>
      </c>
      <c r="F177" s="987">
        <v>-8.2569000000000004E-2</v>
      </c>
      <c r="G177" s="987">
        <v>0</v>
      </c>
      <c r="H177" s="986">
        <v>1.9E-3</v>
      </c>
      <c r="I177" s="986">
        <f t="shared" si="2"/>
        <v>-8.4469000000000002E-2</v>
      </c>
      <c r="J177" s="988">
        <v>14824</v>
      </c>
    </row>
    <row r="178" spans="1:10">
      <c r="A178" s="987">
        <v>66</v>
      </c>
      <c r="B178" s="988">
        <v>14855</v>
      </c>
      <c r="C178" s="987" t="s">
        <v>4649</v>
      </c>
      <c r="D178" s="987" t="s">
        <v>4650</v>
      </c>
      <c r="E178" s="987">
        <v>-6.5</v>
      </c>
      <c r="F178" s="987">
        <v>0.04</v>
      </c>
      <c r="G178" s="987">
        <v>0</v>
      </c>
      <c r="H178" s="986">
        <v>1.8E-3</v>
      </c>
      <c r="I178" s="986">
        <f t="shared" si="2"/>
        <v>3.8199999999999998E-2</v>
      </c>
      <c r="J178" s="988">
        <v>14855</v>
      </c>
    </row>
    <row r="179" spans="1:10">
      <c r="A179" s="987">
        <v>66</v>
      </c>
      <c r="B179" s="988">
        <v>14885</v>
      </c>
      <c r="C179" s="987" t="s">
        <v>4649</v>
      </c>
      <c r="D179" s="987" t="s">
        <v>4650</v>
      </c>
      <c r="E179" s="987">
        <v>-7.25</v>
      </c>
      <c r="F179" s="987">
        <v>0.115385</v>
      </c>
      <c r="G179" s="987">
        <v>0</v>
      </c>
      <c r="H179" s="986">
        <v>1.8E-3</v>
      </c>
      <c r="I179" s="986">
        <f t="shared" si="2"/>
        <v>0.11358500000000001</v>
      </c>
      <c r="J179" s="988">
        <v>14885</v>
      </c>
    </row>
    <row r="180" spans="1:10">
      <c r="A180" s="987">
        <v>66</v>
      </c>
      <c r="B180" s="988">
        <v>14916</v>
      </c>
      <c r="C180" s="987" t="s">
        <v>4649</v>
      </c>
      <c r="D180" s="987" t="s">
        <v>4650</v>
      </c>
      <c r="E180" s="987">
        <v>-6.625</v>
      </c>
      <c r="F180" s="987">
        <v>-8.6207000000000006E-2</v>
      </c>
      <c r="G180" s="987">
        <v>0</v>
      </c>
      <c r="H180" s="986">
        <v>1.8E-3</v>
      </c>
      <c r="I180" s="986">
        <f t="shared" si="2"/>
        <v>-8.8007000000000002E-2</v>
      </c>
      <c r="J180" s="988">
        <v>14916</v>
      </c>
    </row>
    <row r="181" spans="1:10">
      <c r="A181" s="987">
        <v>66</v>
      </c>
      <c r="B181" s="988">
        <v>14946</v>
      </c>
      <c r="C181" s="987" t="s">
        <v>4649</v>
      </c>
      <c r="D181" s="987" t="s">
        <v>4650</v>
      </c>
      <c r="E181" s="987">
        <v>6</v>
      </c>
      <c r="F181" s="987">
        <v>-9.4339999999999993E-2</v>
      </c>
      <c r="G181" s="987">
        <v>0</v>
      </c>
      <c r="H181" s="986">
        <v>1.6999999999999999E-3</v>
      </c>
      <c r="I181" s="986">
        <f t="shared" si="2"/>
        <v>-9.6039999999999986E-2</v>
      </c>
      <c r="J181" s="988">
        <v>14946</v>
      </c>
    </row>
    <row r="182" spans="1:10">
      <c r="A182" s="987">
        <v>66</v>
      </c>
      <c r="B182" s="988">
        <v>14977</v>
      </c>
      <c r="C182" s="987" t="s">
        <v>4649</v>
      </c>
      <c r="D182" s="987" t="s">
        <v>4650</v>
      </c>
      <c r="E182" s="987">
        <v>-6.625</v>
      </c>
      <c r="F182" s="987">
        <v>0.104167</v>
      </c>
      <c r="G182" s="987">
        <v>0</v>
      </c>
      <c r="H182" s="986">
        <v>1.6000000000000001E-3</v>
      </c>
      <c r="I182" s="986">
        <f t="shared" si="2"/>
        <v>0.10256699999999999</v>
      </c>
      <c r="J182" s="988">
        <v>14977</v>
      </c>
    </row>
    <row r="183" spans="1:10">
      <c r="A183" s="987">
        <v>66</v>
      </c>
      <c r="B183" s="988">
        <v>15008</v>
      </c>
      <c r="C183" s="987" t="s">
        <v>4649</v>
      </c>
      <c r="D183" s="987" t="s">
        <v>4650</v>
      </c>
      <c r="E183" s="987">
        <v>-6.5</v>
      </c>
      <c r="F183" s="987">
        <v>-1.8867999999999999E-2</v>
      </c>
      <c r="G183" s="987">
        <v>0</v>
      </c>
      <c r="H183" s="986">
        <v>1.6000000000000001E-3</v>
      </c>
      <c r="I183" s="986">
        <f t="shared" si="2"/>
        <v>-2.0468E-2</v>
      </c>
      <c r="J183" s="988">
        <v>15008</v>
      </c>
    </row>
    <row r="184" spans="1:10">
      <c r="A184" s="987">
        <v>66</v>
      </c>
      <c r="B184" s="988">
        <v>15036</v>
      </c>
      <c r="C184" s="987" t="s">
        <v>4649</v>
      </c>
      <c r="D184" s="987" t="s">
        <v>4650</v>
      </c>
      <c r="E184" s="987">
        <v>6.875</v>
      </c>
      <c r="F184" s="987">
        <v>5.7692E-2</v>
      </c>
      <c r="G184" s="987">
        <v>0</v>
      </c>
      <c r="H184" s="986">
        <v>1.8E-3</v>
      </c>
      <c r="I184" s="986">
        <f t="shared" si="2"/>
        <v>5.5891999999999997E-2</v>
      </c>
      <c r="J184" s="988">
        <v>15036</v>
      </c>
    </row>
    <row r="185" spans="1:10">
      <c r="A185" s="987">
        <v>66</v>
      </c>
      <c r="B185" s="988">
        <v>15067</v>
      </c>
      <c r="C185" s="987" t="s">
        <v>4649</v>
      </c>
      <c r="D185" s="987" t="s">
        <v>4650</v>
      </c>
      <c r="E185" s="987">
        <v>6.5</v>
      </c>
      <c r="F185" s="987">
        <v>-5.4545000000000003E-2</v>
      </c>
      <c r="G185" s="987">
        <v>0</v>
      </c>
      <c r="H185" s="986">
        <v>1.6999999999999999E-3</v>
      </c>
      <c r="I185" s="986">
        <f t="shared" si="2"/>
        <v>-5.6245000000000003E-2</v>
      </c>
      <c r="J185" s="988">
        <v>15067</v>
      </c>
    </row>
    <row r="186" spans="1:10">
      <c r="A186" s="987">
        <v>66</v>
      </c>
      <c r="B186" s="988">
        <v>15097</v>
      </c>
      <c r="C186" s="987" t="s">
        <v>4649</v>
      </c>
      <c r="D186" s="987" t="s">
        <v>4650</v>
      </c>
      <c r="E186" s="987">
        <v>-6.4375</v>
      </c>
      <c r="F186" s="987">
        <v>-9.6150000000000003E-3</v>
      </c>
      <c r="G186" s="987">
        <v>0</v>
      </c>
      <c r="H186" s="986">
        <v>1.6999999999999999E-3</v>
      </c>
      <c r="I186" s="986">
        <f t="shared" si="2"/>
        <v>-1.1315E-2</v>
      </c>
      <c r="J186" s="988">
        <v>15097</v>
      </c>
    </row>
    <row r="187" spans="1:10">
      <c r="A187" s="987">
        <v>66</v>
      </c>
      <c r="B187" s="988">
        <v>15128</v>
      </c>
      <c r="C187" s="987" t="s">
        <v>4649</v>
      </c>
      <c r="D187" s="987" t="s">
        <v>4650</v>
      </c>
      <c r="E187" s="987">
        <v>-7.1875</v>
      </c>
      <c r="F187" s="987">
        <v>0.116505</v>
      </c>
      <c r="G187" s="987">
        <v>0</v>
      </c>
      <c r="H187" s="986">
        <v>1.6000000000000001E-3</v>
      </c>
      <c r="I187" s="986">
        <f t="shared" si="2"/>
        <v>0.11490499999999999</v>
      </c>
      <c r="J187" s="988">
        <v>15128</v>
      </c>
    </row>
    <row r="188" spans="1:10">
      <c r="A188" s="987">
        <v>66</v>
      </c>
      <c r="B188" s="988">
        <v>15158</v>
      </c>
      <c r="C188" s="987" t="s">
        <v>4649</v>
      </c>
      <c r="D188" s="987" t="s">
        <v>4650</v>
      </c>
      <c r="E188" s="987">
        <v>12.5</v>
      </c>
      <c r="F188" s="987">
        <v>0.73912999999999995</v>
      </c>
      <c r="G188" s="987">
        <v>0</v>
      </c>
      <c r="H188" s="986">
        <v>1.6000000000000001E-3</v>
      </c>
      <c r="I188" s="986">
        <f t="shared" si="2"/>
        <v>0.73752999999999991</v>
      </c>
      <c r="J188" s="988">
        <v>15158</v>
      </c>
    </row>
    <row r="189" spans="1:10">
      <c r="A189" s="987">
        <v>66</v>
      </c>
      <c r="B189" s="988">
        <v>15189</v>
      </c>
      <c r="C189" s="987" t="s">
        <v>4649</v>
      </c>
      <c r="D189" s="987" t="s">
        <v>4650</v>
      </c>
      <c r="E189" s="987">
        <v>-14.0625</v>
      </c>
      <c r="F189" s="987">
        <v>0.125</v>
      </c>
      <c r="G189" s="987">
        <v>0</v>
      </c>
      <c r="H189" s="986">
        <v>1.6000000000000001E-3</v>
      </c>
      <c r="I189" s="986">
        <f t="shared" si="2"/>
        <v>0.1234</v>
      </c>
      <c r="J189" s="988">
        <v>15189</v>
      </c>
    </row>
    <row r="190" spans="1:10">
      <c r="A190" s="987">
        <v>66</v>
      </c>
      <c r="B190" s="988">
        <v>15220</v>
      </c>
      <c r="C190" s="987" t="s">
        <v>4649</v>
      </c>
      <c r="D190" s="987" t="s">
        <v>4650</v>
      </c>
      <c r="E190" s="987">
        <v>-12.75</v>
      </c>
      <c r="F190" s="987">
        <v>-9.3332999999999999E-2</v>
      </c>
      <c r="G190" s="987">
        <v>0</v>
      </c>
      <c r="H190" s="986">
        <v>1.6000000000000001E-3</v>
      </c>
      <c r="I190" s="986">
        <f t="shared" si="2"/>
        <v>-9.4933000000000003E-2</v>
      </c>
      <c r="J190" s="988">
        <v>15220</v>
      </c>
    </row>
    <row r="191" spans="1:10">
      <c r="A191" s="987">
        <v>66</v>
      </c>
      <c r="B191" s="988">
        <v>15250</v>
      </c>
      <c r="C191" s="987" t="s">
        <v>4649</v>
      </c>
      <c r="D191" s="987" t="s">
        <v>4650</v>
      </c>
      <c r="E191" s="987">
        <v>-12.875</v>
      </c>
      <c r="F191" s="987">
        <v>9.8040000000000002E-3</v>
      </c>
      <c r="G191" s="987">
        <v>0</v>
      </c>
      <c r="H191" s="986">
        <v>1.6000000000000001E-3</v>
      </c>
      <c r="I191" s="986">
        <f t="shared" si="2"/>
        <v>8.2039999999999995E-3</v>
      </c>
      <c r="J191" s="988">
        <v>15250</v>
      </c>
    </row>
    <row r="192" spans="1:10">
      <c r="A192" s="987">
        <v>66</v>
      </c>
      <c r="B192" s="988">
        <v>15281</v>
      </c>
      <c r="C192" s="987" t="s">
        <v>4649</v>
      </c>
      <c r="D192" s="987" t="s">
        <v>4650</v>
      </c>
      <c r="E192" s="987">
        <v>11.75</v>
      </c>
      <c r="F192" s="987">
        <v>-8.7378999999999998E-2</v>
      </c>
      <c r="G192" s="987">
        <v>0</v>
      </c>
      <c r="H192" s="986">
        <v>1.4E-3</v>
      </c>
      <c r="I192" s="986">
        <f t="shared" si="2"/>
        <v>-8.8778999999999997E-2</v>
      </c>
      <c r="J192" s="988">
        <v>15281</v>
      </c>
    </row>
    <row r="193" spans="1:10">
      <c r="A193" s="987">
        <v>66</v>
      </c>
      <c r="B193" s="988">
        <v>15311</v>
      </c>
      <c r="C193" s="987" t="s">
        <v>4649</v>
      </c>
      <c r="D193" s="987" t="s">
        <v>4650</v>
      </c>
      <c r="E193" s="987">
        <v>8.25</v>
      </c>
      <c r="F193" s="987">
        <v>-0.29787200000000003</v>
      </c>
      <c r="G193" s="987">
        <v>0</v>
      </c>
      <c r="H193" s="986">
        <v>1.6000000000000001E-3</v>
      </c>
      <c r="I193" s="986">
        <f t="shared" si="2"/>
        <v>-0.29947200000000002</v>
      </c>
      <c r="J193" s="988">
        <v>15311</v>
      </c>
    </row>
    <row r="194" spans="1:10">
      <c r="A194" s="987">
        <v>66</v>
      </c>
      <c r="B194" s="988">
        <v>15342</v>
      </c>
      <c r="C194" s="987" t="s">
        <v>4649</v>
      </c>
      <c r="D194" s="987" t="s">
        <v>4650</v>
      </c>
      <c r="E194" s="987">
        <v>-9.25</v>
      </c>
      <c r="F194" s="987">
        <v>0.121212</v>
      </c>
      <c r="G194" s="987">
        <v>0</v>
      </c>
      <c r="H194" s="986">
        <v>2.0999999999999999E-3</v>
      </c>
      <c r="I194" s="986">
        <f t="shared" ref="I194:I257" si="3">F194-H194</f>
        <v>0.119112</v>
      </c>
      <c r="J194" s="988">
        <v>15342</v>
      </c>
    </row>
    <row r="195" spans="1:10">
      <c r="A195" s="987">
        <v>66</v>
      </c>
      <c r="B195" s="988">
        <v>15373</v>
      </c>
      <c r="C195" s="987" t="s">
        <v>4649</v>
      </c>
      <c r="D195" s="987" t="s">
        <v>4650</v>
      </c>
      <c r="E195" s="987">
        <v>-9.75</v>
      </c>
      <c r="F195" s="987">
        <v>5.4053999999999998E-2</v>
      </c>
      <c r="G195" s="987">
        <v>0</v>
      </c>
      <c r="H195" s="986">
        <v>1.9E-3</v>
      </c>
      <c r="I195" s="986">
        <f t="shared" si="3"/>
        <v>5.2153999999999999E-2</v>
      </c>
      <c r="J195" s="988">
        <v>15373</v>
      </c>
    </row>
    <row r="196" spans="1:10">
      <c r="A196" s="987">
        <v>66</v>
      </c>
      <c r="B196" s="988">
        <v>15401</v>
      </c>
      <c r="C196" s="987" t="s">
        <v>4649</v>
      </c>
      <c r="D196" s="987" t="s">
        <v>4650</v>
      </c>
      <c r="E196" s="987">
        <v>-9.1875</v>
      </c>
      <c r="F196" s="987">
        <v>-5.7692E-2</v>
      </c>
      <c r="G196" s="987">
        <v>0</v>
      </c>
      <c r="H196" s="986">
        <v>2.0999999999999999E-3</v>
      </c>
      <c r="I196" s="986">
        <f t="shared" si="3"/>
        <v>-5.9791999999999998E-2</v>
      </c>
      <c r="J196" s="988">
        <v>15401</v>
      </c>
    </row>
    <row r="197" spans="1:10">
      <c r="A197" s="987">
        <v>66</v>
      </c>
      <c r="B197" s="988">
        <v>15432</v>
      </c>
      <c r="C197" s="987" t="s">
        <v>4649</v>
      </c>
      <c r="D197" s="987" t="s">
        <v>4650</v>
      </c>
      <c r="E197" s="987">
        <v>-8.125</v>
      </c>
      <c r="F197" s="987">
        <v>-0.115646</v>
      </c>
      <c r="G197" s="987">
        <v>0</v>
      </c>
      <c r="H197" s="986">
        <v>2E-3</v>
      </c>
      <c r="I197" s="986">
        <f t="shared" si="3"/>
        <v>-0.117646</v>
      </c>
      <c r="J197" s="988">
        <v>15432</v>
      </c>
    </row>
    <row r="198" spans="1:10">
      <c r="A198" s="987">
        <v>66</v>
      </c>
      <c r="B198" s="988">
        <v>15462</v>
      </c>
      <c r="C198" s="987" t="s">
        <v>4649</v>
      </c>
      <c r="D198" s="987" t="s">
        <v>4650</v>
      </c>
      <c r="E198" s="987">
        <v>10.25</v>
      </c>
      <c r="F198" s="987">
        <v>0.26153799999999999</v>
      </c>
      <c r="G198" s="987">
        <v>0</v>
      </c>
      <c r="H198" s="986">
        <v>1.9E-3</v>
      </c>
      <c r="I198" s="986">
        <f t="shared" si="3"/>
        <v>0.25963799999999998</v>
      </c>
      <c r="J198" s="988">
        <v>15462</v>
      </c>
    </row>
    <row r="199" spans="1:10">
      <c r="A199" s="987">
        <v>66</v>
      </c>
      <c r="B199" s="988">
        <v>15493</v>
      </c>
      <c r="C199" s="987" t="s">
        <v>4649</v>
      </c>
      <c r="D199" s="987" t="s">
        <v>4650</v>
      </c>
      <c r="E199" s="987">
        <v>12</v>
      </c>
      <c r="F199" s="987">
        <v>0.17073199999999999</v>
      </c>
      <c r="G199" s="987">
        <v>0</v>
      </c>
      <c r="H199" s="986">
        <v>2.0999999999999999E-3</v>
      </c>
      <c r="I199" s="986">
        <f t="shared" si="3"/>
        <v>0.168632</v>
      </c>
      <c r="J199" s="988">
        <v>15493</v>
      </c>
    </row>
    <row r="200" spans="1:10">
      <c r="A200" s="987">
        <v>66</v>
      </c>
      <c r="B200" s="988">
        <v>15523</v>
      </c>
      <c r="C200" s="987" t="s">
        <v>4649</v>
      </c>
      <c r="D200" s="987" t="s">
        <v>4650</v>
      </c>
      <c r="E200" s="987">
        <v>-11.5625</v>
      </c>
      <c r="F200" s="987">
        <v>-3.6457999999999997E-2</v>
      </c>
      <c r="G200" s="987">
        <v>0</v>
      </c>
      <c r="H200" s="986">
        <v>2.0999999999999999E-3</v>
      </c>
      <c r="I200" s="986">
        <f t="shared" si="3"/>
        <v>-3.8557999999999995E-2</v>
      </c>
      <c r="J200" s="988">
        <v>15523</v>
      </c>
    </row>
    <row r="201" spans="1:10">
      <c r="A201" s="987">
        <v>66</v>
      </c>
      <c r="B201" s="988">
        <v>15554</v>
      </c>
      <c r="C201" s="987" t="s">
        <v>4649</v>
      </c>
      <c r="D201" s="987" t="s">
        <v>4650</v>
      </c>
      <c r="E201" s="987">
        <v>-11.375</v>
      </c>
      <c r="F201" s="987">
        <v>-1.6216000000000001E-2</v>
      </c>
      <c r="G201" s="987">
        <v>0</v>
      </c>
      <c r="H201" s="986">
        <v>2.0999999999999999E-3</v>
      </c>
      <c r="I201" s="986">
        <f t="shared" si="3"/>
        <v>-1.8316000000000002E-2</v>
      </c>
      <c r="J201" s="988">
        <v>15554</v>
      </c>
    </row>
    <row r="202" spans="1:10">
      <c r="A202" s="987">
        <v>66</v>
      </c>
      <c r="B202" s="988">
        <v>15585</v>
      </c>
      <c r="C202" s="987" t="s">
        <v>4649</v>
      </c>
      <c r="D202" s="987" t="s">
        <v>4650</v>
      </c>
      <c r="E202" s="987">
        <v>9.75</v>
      </c>
      <c r="F202" s="987">
        <v>-0.14285700000000001</v>
      </c>
      <c r="G202" s="987">
        <v>0</v>
      </c>
      <c r="H202" s="986">
        <v>2E-3</v>
      </c>
      <c r="I202" s="986">
        <f t="shared" si="3"/>
        <v>-0.14485700000000001</v>
      </c>
      <c r="J202" s="988">
        <v>15585</v>
      </c>
    </row>
    <row r="203" spans="1:10">
      <c r="A203" s="987">
        <v>66</v>
      </c>
      <c r="B203" s="988">
        <v>15615</v>
      </c>
      <c r="C203" s="987" t="s">
        <v>4649</v>
      </c>
      <c r="D203" s="987" t="s">
        <v>4650</v>
      </c>
      <c r="E203" s="987">
        <v>10.375</v>
      </c>
      <c r="F203" s="987">
        <v>6.4102999999999993E-2</v>
      </c>
      <c r="G203" s="987">
        <v>0</v>
      </c>
      <c r="H203" s="986">
        <v>2.0999999999999999E-3</v>
      </c>
      <c r="I203" s="986">
        <f t="shared" si="3"/>
        <v>6.2002999999999996E-2</v>
      </c>
      <c r="J203" s="988">
        <v>15615</v>
      </c>
    </row>
    <row r="204" spans="1:10">
      <c r="A204" s="987">
        <v>66</v>
      </c>
      <c r="B204" s="988">
        <v>15646</v>
      </c>
      <c r="C204" s="987" t="s">
        <v>4649</v>
      </c>
      <c r="D204" s="987" t="s">
        <v>4650</v>
      </c>
      <c r="E204" s="987">
        <v>-9.25</v>
      </c>
      <c r="F204" s="987">
        <v>-0.108434</v>
      </c>
      <c r="G204" s="987">
        <v>0</v>
      </c>
      <c r="H204" s="986">
        <v>2E-3</v>
      </c>
      <c r="I204" s="986">
        <f t="shared" si="3"/>
        <v>-0.110434</v>
      </c>
      <c r="J204" s="988">
        <v>15646</v>
      </c>
    </row>
    <row r="205" spans="1:10">
      <c r="A205" s="987">
        <v>66</v>
      </c>
      <c r="B205" s="988">
        <v>15676</v>
      </c>
      <c r="C205" s="987" t="s">
        <v>4649</v>
      </c>
      <c r="D205" s="987" t="s">
        <v>4650</v>
      </c>
      <c r="E205" s="987">
        <v>9.75</v>
      </c>
      <c r="F205" s="987">
        <v>5.4053999999999998E-2</v>
      </c>
      <c r="G205" s="987">
        <v>0</v>
      </c>
      <c r="H205" s="986">
        <v>2.0999999999999999E-3</v>
      </c>
      <c r="I205" s="986">
        <f t="shared" si="3"/>
        <v>5.1954E-2</v>
      </c>
      <c r="J205" s="988">
        <v>15676</v>
      </c>
    </row>
    <row r="206" spans="1:10">
      <c r="A206" s="987">
        <v>66</v>
      </c>
      <c r="B206" s="988">
        <v>15707</v>
      </c>
      <c r="C206" s="987" t="s">
        <v>4649</v>
      </c>
      <c r="D206" s="987" t="s">
        <v>4650</v>
      </c>
      <c r="E206" s="987">
        <v>-10.75</v>
      </c>
      <c r="F206" s="987">
        <v>0.102564</v>
      </c>
      <c r="G206" s="987">
        <v>0</v>
      </c>
      <c r="H206" s="986">
        <v>2E-3</v>
      </c>
      <c r="I206" s="986">
        <f t="shared" si="3"/>
        <v>0.100564</v>
      </c>
      <c r="J206" s="988">
        <v>15707</v>
      </c>
    </row>
    <row r="207" spans="1:10">
      <c r="A207" s="987">
        <v>66</v>
      </c>
      <c r="B207" s="988">
        <v>15738</v>
      </c>
      <c r="C207" s="987" t="s">
        <v>4649</v>
      </c>
      <c r="D207" s="987" t="s">
        <v>4650</v>
      </c>
      <c r="E207" s="987">
        <v>11.75</v>
      </c>
      <c r="F207" s="987">
        <v>9.3022999999999995E-2</v>
      </c>
      <c r="G207" s="987">
        <v>0</v>
      </c>
      <c r="H207" s="986">
        <v>1.9E-3</v>
      </c>
      <c r="I207" s="986">
        <f t="shared" si="3"/>
        <v>9.1122999999999996E-2</v>
      </c>
      <c r="J207" s="988">
        <v>15738</v>
      </c>
    </row>
    <row r="208" spans="1:10">
      <c r="A208" s="987">
        <v>66</v>
      </c>
      <c r="B208" s="988">
        <v>15766</v>
      </c>
      <c r="C208" s="987" t="s">
        <v>4649</v>
      </c>
      <c r="D208" s="987" t="s">
        <v>4650</v>
      </c>
      <c r="E208" s="987">
        <v>14.875</v>
      </c>
      <c r="F208" s="987">
        <v>0.265957</v>
      </c>
      <c r="G208" s="987">
        <v>0</v>
      </c>
      <c r="H208" s="986">
        <v>2.0999999999999999E-3</v>
      </c>
      <c r="I208" s="986">
        <f t="shared" si="3"/>
        <v>0.26385700000000001</v>
      </c>
      <c r="J208" s="988">
        <v>15766</v>
      </c>
    </row>
    <row r="209" spans="1:10">
      <c r="A209" s="987">
        <v>66</v>
      </c>
      <c r="B209" s="988">
        <v>15797</v>
      </c>
      <c r="C209" s="987" t="s">
        <v>4649</v>
      </c>
      <c r="D209" s="987" t="s">
        <v>4650</v>
      </c>
      <c r="E209" s="987">
        <v>14.75</v>
      </c>
      <c r="F209" s="987">
        <v>-8.4030000000000007E-3</v>
      </c>
      <c r="G209" s="987">
        <v>0</v>
      </c>
      <c r="H209" s="986">
        <v>2E-3</v>
      </c>
      <c r="I209" s="986">
        <f t="shared" si="3"/>
        <v>-1.0403000000000001E-2</v>
      </c>
      <c r="J209" s="988">
        <v>15797</v>
      </c>
    </row>
    <row r="210" spans="1:10">
      <c r="A210" s="987">
        <v>66</v>
      </c>
      <c r="B210" s="988">
        <v>15827</v>
      </c>
      <c r="C210" s="987" t="s">
        <v>4649</v>
      </c>
      <c r="D210" s="987" t="s">
        <v>4650</v>
      </c>
      <c r="E210" s="987">
        <v>16</v>
      </c>
      <c r="F210" s="987">
        <v>8.4746000000000002E-2</v>
      </c>
      <c r="G210" s="987">
        <v>0</v>
      </c>
      <c r="H210" s="986">
        <v>1.9E-3</v>
      </c>
      <c r="I210" s="986">
        <f t="shared" si="3"/>
        <v>8.2846000000000003E-2</v>
      </c>
      <c r="J210" s="988">
        <v>15827</v>
      </c>
    </row>
    <row r="211" spans="1:10">
      <c r="A211" s="987">
        <v>66</v>
      </c>
      <c r="B211" s="988">
        <v>15858</v>
      </c>
      <c r="C211" s="987" t="s">
        <v>4649</v>
      </c>
      <c r="D211" s="987" t="s">
        <v>4650</v>
      </c>
      <c r="E211" s="987">
        <v>15.5</v>
      </c>
      <c r="F211" s="987">
        <v>-3.125E-2</v>
      </c>
      <c r="G211" s="987">
        <v>0</v>
      </c>
      <c r="H211" s="986">
        <v>2.0999999999999999E-3</v>
      </c>
      <c r="I211" s="986">
        <f t="shared" si="3"/>
        <v>-3.3349999999999998E-2</v>
      </c>
      <c r="J211" s="988">
        <v>15858</v>
      </c>
    </row>
    <row r="212" spans="1:10">
      <c r="A212" s="987">
        <v>66</v>
      </c>
      <c r="B212" s="988">
        <v>15888</v>
      </c>
      <c r="C212" s="987" t="s">
        <v>4649</v>
      </c>
      <c r="D212" s="987" t="s">
        <v>4650</v>
      </c>
      <c r="E212" s="987">
        <v>-13.5</v>
      </c>
      <c r="F212" s="987">
        <v>-0.12903200000000001</v>
      </c>
      <c r="G212" s="987">
        <v>0</v>
      </c>
      <c r="H212" s="986">
        <v>2.0999999999999999E-3</v>
      </c>
      <c r="I212" s="986">
        <f t="shared" si="3"/>
        <v>-0.131132</v>
      </c>
      <c r="J212" s="988">
        <v>15888</v>
      </c>
    </row>
    <row r="213" spans="1:10">
      <c r="A213" s="987">
        <v>66</v>
      </c>
      <c r="B213" s="988">
        <v>15919</v>
      </c>
      <c r="C213" s="987" t="s">
        <v>4649</v>
      </c>
      <c r="D213" s="987" t="s">
        <v>4650</v>
      </c>
      <c r="E213" s="987">
        <v>13.125</v>
      </c>
      <c r="F213" s="987">
        <v>-2.7778000000000001E-2</v>
      </c>
      <c r="G213" s="987">
        <v>0</v>
      </c>
      <c r="H213" s="986">
        <v>2.0999999999999999E-3</v>
      </c>
      <c r="I213" s="986">
        <f t="shared" si="3"/>
        <v>-2.9878000000000002E-2</v>
      </c>
      <c r="J213" s="988">
        <v>15919</v>
      </c>
    </row>
    <row r="214" spans="1:10">
      <c r="A214" s="987">
        <v>66</v>
      </c>
      <c r="B214" s="988">
        <v>15950</v>
      </c>
      <c r="C214" s="987" t="s">
        <v>4649</v>
      </c>
      <c r="D214" s="987" t="s">
        <v>4650</v>
      </c>
      <c r="E214" s="987">
        <v>14.5</v>
      </c>
      <c r="F214" s="987">
        <v>0.10476199999999999</v>
      </c>
      <c r="G214" s="987">
        <v>0</v>
      </c>
      <c r="H214" s="986">
        <v>2E-3</v>
      </c>
      <c r="I214" s="986">
        <f t="shared" si="3"/>
        <v>0.10276199999999999</v>
      </c>
      <c r="J214" s="988">
        <v>15950</v>
      </c>
    </row>
    <row r="215" spans="1:10">
      <c r="A215" s="987">
        <v>66</v>
      </c>
      <c r="B215" s="988">
        <v>15980</v>
      </c>
      <c r="C215" s="987" t="s">
        <v>4649</v>
      </c>
      <c r="D215" s="987" t="s">
        <v>4650</v>
      </c>
      <c r="E215" s="987">
        <v>13.125</v>
      </c>
      <c r="F215" s="987">
        <v>-9.4827999999999996E-2</v>
      </c>
      <c r="G215" s="987">
        <v>0</v>
      </c>
      <c r="H215" s="986">
        <v>2E-3</v>
      </c>
      <c r="I215" s="986">
        <f t="shared" si="3"/>
        <v>-9.6827999999999997E-2</v>
      </c>
      <c r="J215" s="988">
        <v>15980</v>
      </c>
    </row>
    <row r="216" spans="1:10">
      <c r="A216" s="987">
        <v>66</v>
      </c>
      <c r="B216" s="988">
        <v>16011</v>
      </c>
      <c r="C216" s="987" t="s">
        <v>4649</v>
      </c>
      <c r="D216" s="987" t="s">
        <v>4650</v>
      </c>
      <c r="E216" s="987">
        <v>10.875</v>
      </c>
      <c r="F216" s="987">
        <v>-0.171429</v>
      </c>
      <c r="G216" s="987">
        <v>0</v>
      </c>
      <c r="H216" s="986">
        <v>2.0999999999999999E-3</v>
      </c>
      <c r="I216" s="986">
        <f t="shared" si="3"/>
        <v>-0.17352899999999999</v>
      </c>
      <c r="J216" s="988">
        <v>16011</v>
      </c>
    </row>
    <row r="217" spans="1:10">
      <c r="A217" s="987">
        <v>66</v>
      </c>
      <c r="B217" s="988">
        <v>16041</v>
      </c>
      <c r="C217" s="987" t="s">
        <v>4649</v>
      </c>
      <c r="D217" s="987" t="s">
        <v>4650</v>
      </c>
      <c r="E217" s="987">
        <v>11.5</v>
      </c>
      <c r="F217" s="987">
        <v>5.7471000000000001E-2</v>
      </c>
      <c r="G217" s="987">
        <v>0</v>
      </c>
      <c r="H217" s="986">
        <v>2.0999999999999999E-3</v>
      </c>
      <c r="I217" s="986">
        <f t="shared" si="3"/>
        <v>5.5371000000000004E-2</v>
      </c>
      <c r="J217" s="988">
        <v>16041</v>
      </c>
    </row>
    <row r="218" spans="1:10">
      <c r="A218" s="987">
        <v>66</v>
      </c>
      <c r="B218" s="988">
        <v>16072</v>
      </c>
      <c r="C218" s="987" t="s">
        <v>4649</v>
      </c>
      <c r="D218" s="987" t="s">
        <v>4650</v>
      </c>
      <c r="E218" s="987">
        <v>12.25</v>
      </c>
      <c r="F218" s="987">
        <v>6.5216999999999997E-2</v>
      </c>
      <c r="G218" s="987">
        <v>0</v>
      </c>
      <c r="H218" s="986">
        <v>2.0999999999999999E-3</v>
      </c>
      <c r="I218" s="986">
        <f t="shared" si="3"/>
        <v>6.3116999999999993E-2</v>
      </c>
      <c r="J218" s="988">
        <v>16072</v>
      </c>
    </row>
    <row r="219" spans="1:10">
      <c r="A219" s="987">
        <v>66</v>
      </c>
      <c r="B219" s="988">
        <v>16103</v>
      </c>
      <c r="C219" s="987" t="s">
        <v>4649</v>
      </c>
      <c r="D219" s="987" t="s">
        <v>4650</v>
      </c>
      <c r="E219" s="987">
        <v>11.75</v>
      </c>
      <c r="F219" s="987">
        <v>-4.0815999999999998E-2</v>
      </c>
      <c r="G219" s="987">
        <v>0</v>
      </c>
      <c r="H219" s="986">
        <v>2E-3</v>
      </c>
      <c r="I219" s="986">
        <f t="shared" si="3"/>
        <v>-4.2816E-2</v>
      </c>
      <c r="J219" s="988">
        <v>16103</v>
      </c>
    </row>
    <row r="220" spans="1:10">
      <c r="A220" s="987">
        <v>66</v>
      </c>
      <c r="B220" s="988">
        <v>16132</v>
      </c>
      <c r="C220" s="987" t="s">
        <v>4649</v>
      </c>
      <c r="D220" s="987" t="s">
        <v>4650</v>
      </c>
      <c r="E220" s="987">
        <v>12.5</v>
      </c>
      <c r="F220" s="987">
        <v>6.3829999999999998E-2</v>
      </c>
      <c r="G220" s="987">
        <v>0</v>
      </c>
      <c r="H220" s="986">
        <v>2.0999999999999999E-3</v>
      </c>
      <c r="I220" s="986">
        <f t="shared" si="3"/>
        <v>6.173E-2</v>
      </c>
      <c r="J220" s="988">
        <v>16132</v>
      </c>
    </row>
    <row r="221" spans="1:10">
      <c r="A221" s="987">
        <v>66</v>
      </c>
      <c r="B221" s="988">
        <v>16163</v>
      </c>
      <c r="C221" s="987" t="s">
        <v>4649</v>
      </c>
      <c r="D221" s="987" t="s">
        <v>4650</v>
      </c>
      <c r="E221" s="987">
        <v>-11.6875</v>
      </c>
      <c r="F221" s="987">
        <v>-6.5000000000000002E-2</v>
      </c>
      <c r="G221" s="987">
        <v>0</v>
      </c>
      <c r="H221" s="986">
        <v>2E-3</v>
      </c>
      <c r="I221" s="986">
        <f t="shared" si="3"/>
        <v>-6.7000000000000004E-2</v>
      </c>
      <c r="J221" s="988">
        <v>16163</v>
      </c>
    </row>
    <row r="222" spans="1:10">
      <c r="A222" s="987">
        <v>66</v>
      </c>
      <c r="B222" s="988">
        <v>16193</v>
      </c>
      <c r="C222" s="987" t="s">
        <v>4649</v>
      </c>
      <c r="D222" s="987" t="s">
        <v>4650</v>
      </c>
      <c r="E222" s="987">
        <v>10.25</v>
      </c>
      <c r="F222" s="987">
        <v>-0.12299499999999999</v>
      </c>
      <c r="G222" s="987">
        <v>0</v>
      </c>
      <c r="H222" s="986">
        <v>2.2000000000000001E-3</v>
      </c>
      <c r="I222" s="986">
        <f t="shared" si="3"/>
        <v>-0.125195</v>
      </c>
      <c r="J222" s="988">
        <v>16193</v>
      </c>
    </row>
    <row r="223" spans="1:10">
      <c r="A223" s="987">
        <v>66</v>
      </c>
      <c r="B223" s="988">
        <v>16224</v>
      </c>
      <c r="C223" s="987" t="s">
        <v>4649</v>
      </c>
      <c r="D223" s="987" t="s">
        <v>4650</v>
      </c>
      <c r="E223" s="987">
        <v>11</v>
      </c>
      <c r="F223" s="987">
        <v>7.3171E-2</v>
      </c>
      <c r="G223" s="987">
        <v>0</v>
      </c>
      <c r="H223" s="986">
        <v>2E-3</v>
      </c>
      <c r="I223" s="986">
        <f t="shared" si="3"/>
        <v>7.1170999999999998E-2</v>
      </c>
      <c r="J223" s="988">
        <v>16224</v>
      </c>
    </row>
    <row r="224" spans="1:10">
      <c r="A224" s="987">
        <v>66</v>
      </c>
      <c r="B224" s="988">
        <v>16254</v>
      </c>
      <c r="C224" s="987" t="s">
        <v>4649</v>
      </c>
      <c r="D224" s="987" t="s">
        <v>4650</v>
      </c>
      <c r="E224" s="987">
        <v>-9.875</v>
      </c>
      <c r="F224" s="987">
        <v>-0.102273</v>
      </c>
      <c r="G224" s="987">
        <v>0</v>
      </c>
      <c r="H224" s="986">
        <v>2.0999999999999999E-3</v>
      </c>
      <c r="I224" s="986">
        <f t="shared" si="3"/>
        <v>-0.10437300000000001</v>
      </c>
      <c r="J224" s="988">
        <v>16254</v>
      </c>
    </row>
    <row r="225" spans="1:10">
      <c r="A225" s="987">
        <v>66</v>
      </c>
      <c r="B225" s="988">
        <v>16285</v>
      </c>
      <c r="C225" s="987" t="s">
        <v>4649</v>
      </c>
      <c r="D225" s="987" t="s">
        <v>4650</v>
      </c>
      <c r="E225" s="987">
        <v>-9.8125</v>
      </c>
      <c r="F225" s="987">
        <v>-6.3290000000000004E-3</v>
      </c>
      <c r="G225" s="987">
        <v>0</v>
      </c>
      <c r="H225" s="986">
        <v>2.0999999999999999E-3</v>
      </c>
      <c r="I225" s="986">
        <f t="shared" si="3"/>
        <v>-8.4290000000000007E-3</v>
      </c>
      <c r="J225" s="988">
        <v>16285</v>
      </c>
    </row>
    <row r="226" spans="1:10">
      <c r="A226" s="987">
        <v>66</v>
      </c>
      <c r="B226" s="988">
        <v>16316</v>
      </c>
      <c r="C226" s="987" t="s">
        <v>4649</v>
      </c>
      <c r="D226" s="987" t="s">
        <v>4650</v>
      </c>
      <c r="E226" s="987">
        <v>10</v>
      </c>
      <c r="F226" s="987">
        <v>1.9108E-2</v>
      </c>
      <c r="G226" s="987">
        <v>0</v>
      </c>
      <c r="H226" s="986">
        <v>2E-3</v>
      </c>
      <c r="I226" s="986">
        <f t="shared" si="3"/>
        <v>1.7107999999999998E-2</v>
      </c>
      <c r="J226" s="988">
        <v>16316</v>
      </c>
    </row>
    <row r="227" spans="1:10">
      <c r="A227" s="987">
        <v>66</v>
      </c>
      <c r="B227" s="988">
        <v>16346</v>
      </c>
      <c r="C227" s="987" t="s">
        <v>4649</v>
      </c>
      <c r="D227" s="987" t="s">
        <v>4650</v>
      </c>
      <c r="E227" s="987">
        <v>-10.1875</v>
      </c>
      <c r="F227" s="987">
        <v>1.8749999999999999E-2</v>
      </c>
      <c r="G227" s="987">
        <v>0</v>
      </c>
      <c r="H227" s="986">
        <v>2.0999999999999999E-3</v>
      </c>
      <c r="I227" s="986">
        <f t="shared" si="3"/>
        <v>1.6649999999999998E-2</v>
      </c>
      <c r="J227" s="988">
        <v>16346</v>
      </c>
    </row>
    <row r="228" spans="1:10">
      <c r="A228" s="987">
        <v>66</v>
      </c>
      <c r="B228" s="988">
        <v>16377</v>
      </c>
      <c r="C228" s="987" t="s">
        <v>4649</v>
      </c>
      <c r="D228" s="987" t="s">
        <v>4650</v>
      </c>
      <c r="E228" s="987">
        <v>9.75</v>
      </c>
      <c r="F228" s="987">
        <v>-4.2944999999999997E-2</v>
      </c>
      <c r="G228" s="987">
        <v>0</v>
      </c>
      <c r="H228" s="986">
        <v>2E-3</v>
      </c>
      <c r="I228" s="986">
        <f t="shared" si="3"/>
        <v>-4.4944999999999999E-2</v>
      </c>
      <c r="J228" s="988">
        <v>16377</v>
      </c>
    </row>
    <row r="229" spans="1:10">
      <c r="A229" s="987">
        <v>66</v>
      </c>
      <c r="B229" s="988">
        <v>16407</v>
      </c>
      <c r="C229" s="987" t="s">
        <v>4649</v>
      </c>
      <c r="D229" s="987" t="s">
        <v>4650</v>
      </c>
      <c r="E229" s="987">
        <v>9.375</v>
      </c>
      <c r="F229" s="987">
        <v>-3.8462000000000003E-2</v>
      </c>
      <c r="G229" s="987">
        <v>0</v>
      </c>
      <c r="H229" s="986">
        <v>2E-3</v>
      </c>
      <c r="I229" s="986">
        <f t="shared" si="3"/>
        <v>-4.0462000000000005E-2</v>
      </c>
      <c r="J229" s="988">
        <v>16407</v>
      </c>
    </row>
    <row r="230" spans="1:10">
      <c r="A230" s="987">
        <v>66</v>
      </c>
      <c r="B230" s="988">
        <v>16438</v>
      </c>
      <c r="C230" s="987" t="s">
        <v>4649</v>
      </c>
      <c r="D230" s="987" t="s">
        <v>4650</v>
      </c>
      <c r="E230" s="987">
        <v>7.375</v>
      </c>
      <c r="F230" s="987">
        <v>-0.21333299999999999</v>
      </c>
      <c r="G230" s="987">
        <v>0</v>
      </c>
      <c r="H230" s="986">
        <v>2.0999999999999999E-3</v>
      </c>
      <c r="I230" s="986">
        <f t="shared" si="3"/>
        <v>-0.21543299999999999</v>
      </c>
      <c r="J230" s="988">
        <v>16438</v>
      </c>
    </row>
    <row r="231" spans="1:10">
      <c r="A231" s="987">
        <v>66</v>
      </c>
      <c r="B231" s="988">
        <v>16469</v>
      </c>
      <c r="C231" s="987" t="s">
        <v>4649</v>
      </c>
      <c r="D231" s="987" t="s">
        <v>4650</v>
      </c>
      <c r="E231" s="987">
        <v>-7.5625</v>
      </c>
      <c r="F231" s="987">
        <v>2.5423999999999999E-2</v>
      </c>
      <c r="G231" s="987">
        <v>0</v>
      </c>
      <c r="H231" s="986">
        <v>1.8E-3</v>
      </c>
      <c r="I231" s="986">
        <f t="shared" si="3"/>
        <v>2.3623999999999999E-2</v>
      </c>
      <c r="J231" s="988">
        <v>16469</v>
      </c>
    </row>
    <row r="232" spans="1:10">
      <c r="A232" s="987">
        <v>66</v>
      </c>
      <c r="B232" s="988">
        <v>16497</v>
      </c>
      <c r="C232" s="987" t="s">
        <v>4649</v>
      </c>
      <c r="D232" s="987" t="s">
        <v>4650</v>
      </c>
      <c r="E232" s="987">
        <v>5.125</v>
      </c>
      <c r="F232" s="987">
        <v>-0.32231399999999999</v>
      </c>
      <c r="G232" s="987">
        <v>0</v>
      </c>
      <c r="H232" s="986">
        <v>2E-3</v>
      </c>
      <c r="I232" s="986">
        <f t="shared" si="3"/>
        <v>-0.32431399999999999</v>
      </c>
      <c r="J232" s="988">
        <v>16497</v>
      </c>
    </row>
    <row r="233" spans="1:10">
      <c r="A233" s="987">
        <v>66</v>
      </c>
      <c r="B233" s="988">
        <v>16528</v>
      </c>
      <c r="C233" s="987" t="s">
        <v>4649</v>
      </c>
      <c r="D233" s="987" t="s">
        <v>4650</v>
      </c>
      <c r="E233" s="987">
        <v>5</v>
      </c>
      <c r="F233" s="987">
        <v>-2.4389999999999998E-2</v>
      </c>
      <c r="G233" s="987">
        <v>0</v>
      </c>
      <c r="H233" s="986">
        <v>1.9E-3</v>
      </c>
      <c r="I233" s="986">
        <f t="shared" si="3"/>
        <v>-2.6289999999999997E-2</v>
      </c>
      <c r="J233" s="988">
        <v>16528</v>
      </c>
    </row>
    <row r="234" spans="1:10">
      <c r="A234" s="987">
        <v>66</v>
      </c>
      <c r="B234" s="988">
        <v>16558</v>
      </c>
      <c r="C234" s="987" t="s">
        <v>4649</v>
      </c>
      <c r="D234" s="987" t="s">
        <v>4650</v>
      </c>
      <c r="E234" s="987">
        <v>5.375</v>
      </c>
      <c r="F234" s="987">
        <v>7.4999999999999997E-2</v>
      </c>
      <c r="G234" s="987">
        <v>0</v>
      </c>
      <c r="H234" s="986">
        <v>1.9E-3</v>
      </c>
      <c r="I234" s="986">
        <f t="shared" si="3"/>
        <v>7.3099999999999998E-2</v>
      </c>
      <c r="J234" s="988">
        <v>16558</v>
      </c>
    </row>
    <row r="235" spans="1:10">
      <c r="A235" s="987">
        <v>66</v>
      </c>
      <c r="B235" s="988">
        <v>16589</v>
      </c>
      <c r="C235" s="987" t="s">
        <v>4649</v>
      </c>
      <c r="D235" s="987" t="s">
        <v>4650</v>
      </c>
      <c r="E235" s="987">
        <v>5.75</v>
      </c>
      <c r="F235" s="987">
        <v>6.9766999999999996E-2</v>
      </c>
      <c r="G235" s="987">
        <v>0</v>
      </c>
      <c r="H235" s="986">
        <v>1.9E-3</v>
      </c>
      <c r="I235" s="986">
        <f t="shared" si="3"/>
        <v>6.7866999999999997E-2</v>
      </c>
      <c r="J235" s="988">
        <v>16589</v>
      </c>
    </row>
    <row r="236" spans="1:10">
      <c r="A236" s="987">
        <v>66</v>
      </c>
      <c r="B236" s="988">
        <v>16619</v>
      </c>
      <c r="C236" s="987" t="s">
        <v>4649</v>
      </c>
      <c r="D236" s="987" t="s">
        <v>4650</v>
      </c>
      <c r="E236" s="987">
        <v>5.75</v>
      </c>
      <c r="F236" s="987">
        <v>0</v>
      </c>
      <c r="G236" s="987">
        <v>0</v>
      </c>
      <c r="H236" s="986">
        <v>1.8E-3</v>
      </c>
      <c r="I236" s="986">
        <f t="shared" si="3"/>
        <v>-1.8E-3</v>
      </c>
      <c r="J236" s="988">
        <v>16619</v>
      </c>
    </row>
    <row r="237" spans="1:10">
      <c r="A237" s="987">
        <v>66</v>
      </c>
      <c r="B237" s="988">
        <v>16650</v>
      </c>
      <c r="C237" s="987" t="s">
        <v>4649</v>
      </c>
      <c r="D237" s="987" t="s">
        <v>4650</v>
      </c>
      <c r="E237" s="987">
        <v>5.625</v>
      </c>
      <c r="F237" s="987">
        <v>-2.1739000000000001E-2</v>
      </c>
      <c r="G237" s="987">
        <v>0</v>
      </c>
      <c r="H237" s="986">
        <v>1.9E-3</v>
      </c>
      <c r="I237" s="986">
        <f t="shared" si="3"/>
        <v>-2.3639E-2</v>
      </c>
      <c r="J237" s="988">
        <v>16650</v>
      </c>
    </row>
    <row r="238" spans="1:10">
      <c r="A238" s="987">
        <v>66</v>
      </c>
      <c r="B238" s="988">
        <v>16681</v>
      </c>
      <c r="C238" s="987" t="s">
        <v>4649</v>
      </c>
      <c r="D238" s="987" t="s">
        <v>4650</v>
      </c>
      <c r="E238" s="987">
        <v>6</v>
      </c>
      <c r="F238" s="987">
        <v>6.6667000000000004E-2</v>
      </c>
      <c r="G238" s="987">
        <v>0</v>
      </c>
      <c r="H238" s="986">
        <v>1.8E-3</v>
      </c>
      <c r="I238" s="986">
        <f t="shared" si="3"/>
        <v>6.4867000000000008E-2</v>
      </c>
      <c r="J238" s="988">
        <v>16681</v>
      </c>
    </row>
    <row r="239" spans="1:10">
      <c r="A239" s="987">
        <v>66</v>
      </c>
      <c r="B239" s="988">
        <v>16711</v>
      </c>
      <c r="C239" s="987" t="s">
        <v>4649</v>
      </c>
      <c r="D239" s="987" t="s">
        <v>4650</v>
      </c>
      <c r="E239" s="987">
        <v>6.5</v>
      </c>
      <c r="F239" s="987">
        <v>8.3333000000000004E-2</v>
      </c>
      <c r="G239" s="987">
        <v>0</v>
      </c>
      <c r="H239" s="986">
        <v>1.9E-3</v>
      </c>
      <c r="I239" s="986">
        <f t="shared" si="3"/>
        <v>8.1433000000000005E-2</v>
      </c>
      <c r="J239" s="988">
        <v>16711</v>
      </c>
    </row>
    <row r="240" spans="1:10">
      <c r="A240" s="987">
        <v>66</v>
      </c>
      <c r="B240" s="988">
        <v>16742</v>
      </c>
      <c r="C240" s="987" t="s">
        <v>4649</v>
      </c>
      <c r="D240" s="987" t="s">
        <v>4650</v>
      </c>
      <c r="E240" s="987">
        <v>7.375</v>
      </c>
      <c r="F240" s="987">
        <v>0.13461500000000001</v>
      </c>
      <c r="G240" s="987">
        <v>0</v>
      </c>
      <c r="H240" s="986">
        <v>1.8E-3</v>
      </c>
      <c r="I240" s="986">
        <f t="shared" si="3"/>
        <v>0.13281500000000002</v>
      </c>
      <c r="J240" s="988">
        <v>16742</v>
      </c>
    </row>
    <row r="241" spans="1:10">
      <c r="A241" s="987">
        <v>66</v>
      </c>
      <c r="B241" s="988">
        <v>16772</v>
      </c>
      <c r="C241" s="987" t="s">
        <v>4649</v>
      </c>
      <c r="D241" s="987" t="s">
        <v>4650</v>
      </c>
      <c r="E241" s="987">
        <v>6.875</v>
      </c>
      <c r="F241" s="987">
        <v>-5.4237E-2</v>
      </c>
      <c r="G241" s="987">
        <v>0.1</v>
      </c>
      <c r="H241" s="986">
        <v>1.8E-3</v>
      </c>
      <c r="I241" s="986">
        <f t="shared" si="3"/>
        <v>-5.6037000000000003E-2</v>
      </c>
      <c r="J241" s="988">
        <v>16772</v>
      </c>
    </row>
    <row r="242" spans="1:10">
      <c r="A242" s="987">
        <v>66</v>
      </c>
      <c r="B242" s="988">
        <v>16803</v>
      </c>
      <c r="C242" s="987" t="s">
        <v>4649</v>
      </c>
      <c r="D242" s="987" t="s">
        <v>4650</v>
      </c>
      <c r="E242" s="987">
        <v>8.875</v>
      </c>
      <c r="F242" s="987">
        <v>0.29090899999999997</v>
      </c>
      <c r="G242" s="987">
        <v>0</v>
      </c>
      <c r="H242" s="986">
        <v>1.6999999999999999E-3</v>
      </c>
      <c r="I242" s="986">
        <f t="shared" si="3"/>
        <v>0.28920899999999999</v>
      </c>
      <c r="J242" s="988">
        <v>16803</v>
      </c>
    </row>
    <row r="243" spans="1:10">
      <c r="A243" s="987">
        <v>66</v>
      </c>
      <c r="B243" s="988">
        <v>16834</v>
      </c>
      <c r="C243" s="987" t="s">
        <v>4649</v>
      </c>
      <c r="D243" s="987" t="s">
        <v>4650</v>
      </c>
      <c r="E243" s="987">
        <v>7.75</v>
      </c>
      <c r="F243" s="987">
        <v>-0.12676100000000001</v>
      </c>
      <c r="G243" s="987">
        <v>0</v>
      </c>
      <c r="H243" s="986">
        <v>1.5E-3</v>
      </c>
      <c r="I243" s="986">
        <f t="shared" si="3"/>
        <v>-0.12826100000000001</v>
      </c>
      <c r="J243" s="988">
        <v>16834</v>
      </c>
    </row>
    <row r="244" spans="1:10">
      <c r="A244" s="987">
        <v>66</v>
      </c>
      <c r="B244" s="988">
        <v>16862</v>
      </c>
      <c r="C244" s="987" t="s">
        <v>4649</v>
      </c>
      <c r="D244" s="987" t="s">
        <v>4650</v>
      </c>
      <c r="E244" s="987">
        <v>7.75</v>
      </c>
      <c r="F244" s="987">
        <v>6.4520000000000003E-3</v>
      </c>
      <c r="G244" s="987">
        <v>0.05</v>
      </c>
      <c r="H244" s="986">
        <v>1.6000000000000001E-3</v>
      </c>
      <c r="I244" s="986">
        <f t="shared" si="3"/>
        <v>4.8520000000000004E-3</v>
      </c>
      <c r="J244" s="988">
        <v>16862</v>
      </c>
    </row>
    <row r="245" spans="1:10">
      <c r="A245" s="987">
        <v>66</v>
      </c>
      <c r="B245" s="988">
        <v>16893</v>
      </c>
      <c r="C245" s="987" t="s">
        <v>4649</v>
      </c>
      <c r="D245" s="987" t="s">
        <v>4650</v>
      </c>
      <c r="E245" s="987">
        <v>7.5</v>
      </c>
      <c r="F245" s="987">
        <v>-3.2258000000000002E-2</v>
      </c>
      <c r="G245" s="987">
        <v>0</v>
      </c>
      <c r="H245" s="986">
        <v>1.6999999999999999E-3</v>
      </c>
      <c r="I245" s="986">
        <f t="shared" si="3"/>
        <v>-3.3958000000000002E-2</v>
      </c>
      <c r="J245" s="988">
        <v>16893</v>
      </c>
    </row>
    <row r="246" spans="1:10">
      <c r="A246" s="987">
        <v>66</v>
      </c>
      <c r="B246" s="988">
        <v>16923</v>
      </c>
      <c r="C246" s="987" t="s">
        <v>4649</v>
      </c>
      <c r="D246" s="987" t="s">
        <v>4650</v>
      </c>
      <c r="E246" s="987">
        <v>8.75</v>
      </c>
      <c r="F246" s="987">
        <v>0.16666700000000001</v>
      </c>
      <c r="G246" s="987">
        <v>0</v>
      </c>
      <c r="H246" s="986">
        <v>1.8E-3</v>
      </c>
      <c r="I246" s="986">
        <f t="shared" si="3"/>
        <v>0.16486700000000001</v>
      </c>
      <c r="J246" s="988">
        <v>16923</v>
      </c>
    </row>
    <row r="247" spans="1:10">
      <c r="A247" s="987">
        <v>66</v>
      </c>
      <c r="B247" s="988">
        <v>16954</v>
      </c>
      <c r="C247" s="987" t="s">
        <v>4649</v>
      </c>
      <c r="D247" s="987" t="s">
        <v>4650</v>
      </c>
      <c r="E247" s="987">
        <v>7.75</v>
      </c>
      <c r="F247" s="987">
        <v>-0.108571</v>
      </c>
      <c r="G247" s="987">
        <v>0.05</v>
      </c>
      <c r="H247" s="986">
        <v>1.6000000000000001E-3</v>
      </c>
      <c r="I247" s="986">
        <f t="shared" si="3"/>
        <v>-0.11017100000000001</v>
      </c>
      <c r="J247" s="988">
        <v>16954</v>
      </c>
    </row>
    <row r="248" spans="1:10">
      <c r="A248" s="987">
        <v>66</v>
      </c>
      <c r="B248" s="988">
        <v>16984</v>
      </c>
      <c r="C248" s="987" t="s">
        <v>4649</v>
      </c>
      <c r="D248" s="987" t="s">
        <v>4650</v>
      </c>
      <c r="E248" s="987">
        <v>7.25</v>
      </c>
      <c r="F248" s="987">
        <v>-6.4516000000000004E-2</v>
      </c>
      <c r="G248" s="987">
        <v>0</v>
      </c>
      <c r="H248" s="986">
        <v>1.9E-3</v>
      </c>
      <c r="I248" s="986">
        <f t="shared" si="3"/>
        <v>-6.6416000000000003E-2</v>
      </c>
      <c r="J248" s="988">
        <v>16984</v>
      </c>
    </row>
    <row r="249" spans="1:10">
      <c r="A249" s="987">
        <v>66</v>
      </c>
      <c r="B249" s="988">
        <v>17015</v>
      </c>
      <c r="C249" s="987" t="s">
        <v>4649</v>
      </c>
      <c r="D249" s="987" t="s">
        <v>4650</v>
      </c>
      <c r="E249" s="987">
        <v>7</v>
      </c>
      <c r="F249" s="987">
        <v>-3.4483E-2</v>
      </c>
      <c r="G249" s="987">
        <v>0</v>
      </c>
      <c r="H249" s="986">
        <v>1.6999999999999999E-3</v>
      </c>
      <c r="I249" s="986">
        <f t="shared" si="3"/>
        <v>-3.6183E-2</v>
      </c>
      <c r="J249" s="988">
        <v>17015</v>
      </c>
    </row>
    <row r="250" spans="1:10">
      <c r="A250" s="987">
        <v>66</v>
      </c>
      <c r="B250" s="988">
        <v>17046</v>
      </c>
      <c r="C250" s="987" t="s">
        <v>4649</v>
      </c>
      <c r="D250" s="987" t="s">
        <v>4650</v>
      </c>
      <c r="E250" s="987">
        <v>6.125</v>
      </c>
      <c r="F250" s="987">
        <v>-0.117857</v>
      </c>
      <c r="G250" s="987">
        <v>0.05</v>
      </c>
      <c r="H250" s="986">
        <v>1.8E-3</v>
      </c>
      <c r="I250" s="986">
        <f t="shared" si="3"/>
        <v>-0.119657</v>
      </c>
      <c r="J250" s="988">
        <v>17046</v>
      </c>
    </row>
    <row r="251" spans="1:10">
      <c r="A251" s="987">
        <v>66</v>
      </c>
      <c r="B251" s="988">
        <v>17076</v>
      </c>
      <c r="C251" s="987" t="s">
        <v>4649</v>
      </c>
      <c r="D251" s="987" t="s">
        <v>4650</v>
      </c>
      <c r="E251" s="987">
        <v>6</v>
      </c>
      <c r="F251" s="987">
        <v>-2.0407999999999999E-2</v>
      </c>
      <c r="G251" s="987">
        <v>0</v>
      </c>
      <c r="H251" s="986">
        <v>1.9E-3</v>
      </c>
      <c r="I251" s="986">
        <f t="shared" si="3"/>
        <v>-2.2307999999999998E-2</v>
      </c>
      <c r="J251" s="988">
        <v>17076</v>
      </c>
    </row>
    <row r="252" spans="1:10">
      <c r="A252" s="987">
        <v>66</v>
      </c>
      <c r="B252" s="988">
        <v>17107</v>
      </c>
      <c r="C252" s="987" t="s">
        <v>4649</v>
      </c>
      <c r="D252" s="987" t="s">
        <v>4650</v>
      </c>
      <c r="E252" s="987">
        <v>6.625</v>
      </c>
      <c r="F252" s="987">
        <v>0.104167</v>
      </c>
      <c r="G252" s="987">
        <v>0</v>
      </c>
      <c r="H252" s="986">
        <v>1.8E-3</v>
      </c>
      <c r="I252" s="986">
        <f t="shared" si="3"/>
        <v>0.102367</v>
      </c>
      <c r="J252" s="988">
        <v>17107</v>
      </c>
    </row>
    <row r="253" spans="1:10">
      <c r="A253" s="987">
        <v>66</v>
      </c>
      <c r="B253" s="988">
        <v>17137</v>
      </c>
      <c r="C253" s="987" t="s">
        <v>4649</v>
      </c>
      <c r="D253" s="987" t="s">
        <v>4650</v>
      </c>
      <c r="E253" s="987">
        <v>6.25</v>
      </c>
      <c r="F253" s="987">
        <v>-4.9057000000000003E-2</v>
      </c>
      <c r="G253" s="987">
        <v>0.05</v>
      </c>
      <c r="H253" s="986">
        <v>1.9E-3</v>
      </c>
      <c r="I253" s="986">
        <f t="shared" si="3"/>
        <v>-5.0957000000000002E-2</v>
      </c>
      <c r="J253" s="988">
        <v>17137</v>
      </c>
    </row>
    <row r="254" spans="1:10">
      <c r="A254" s="987">
        <v>66</v>
      </c>
      <c r="B254" s="988">
        <v>17168</v>
      </c>
      <c r="C254" s="987" t="s">
        <v>4649</v>
      </c>
      <c r="D254" s="987" t="s">
        <v>4650</v>
      </c>
      <c r="E254" s="987">
        <v>6.625</v>
      </c>
      <c r="F254" s="987">
        <v>0.06</v>
      </c>
      <c r="G254" s="987">
        <v>0</v>
      </c>
      <c r="H254" s="986">
        <v>1.8E-3</v>
      </c>
      <c r="I254" s="986">
        <f t="shared" si="3"/>
        <v>5.8199999999999995E-2</v>
      </c>
      <c r="J254" s="988">
        <v>17168</v>
      </c>
    </row>
    <row r="255" spans="1:10">
      <c r="A255" s="987">
        <v>66</v>
      </c>
      <c r="B255" s="988">
        <v>17199</v>
      </c>
      <c r="C255" s="987" t="s">
        <v>4649</v>
      </c>
      <c r="D255" s="987" t="s">
        <v>4650</v>
      </c>
      <c r="E255" s="987">
        <v>6</v>
      </c>
      <c r="F255" s="987">
        <v>-9.4339999999999993E-2</v>
      </c>
      <c r="G255" s="987">
        <v>0</v>
      </c>
      <c r="H255" s="986">
        <v>1.6000000000000001E-3</v>
      </c>
      <c r="I255" s="986">
        <f t="shared" si="3"/>
        <v>-9.5939999999999998E-2</v>
      </c>
      <c r="J255" s="988">
        <v>17199</v>
      </c>
    </row>
    <row r="256" spans="1:10">
      <c r="A256" s="987">
        <v>66</v>
      </c>
      <c r="B256" s="988">
        <v>17227</v>
      </c>
      <c r="C256" s="987" t="s">
        <v>4649</v>
      </c>
      <c r="D256" s="987" t="s">
        <v>4650</v>
      </c>
      <c r="E256" s="987">
        <v>5.625</v>
      </c>
      <c r="F256" s="987">
        <v>-5.4167E-2</v>
      </c>
      <c r="G256" s="987">
        <v>0.05</v>
      </c>
      <c r="H256" s="986">
        <v>1.8E-3</v>
      </c>
      <c r="I256" s="986">
        <f t="shared" si="3"/>
        <v>-5.5967000000000003E-2</v>
      </c>
      <c r="J256" s="988">
        <v>17227</v>
      </c>
    </row>
    <row r="257" spans="1:10">
      <c r="A257" s="987">
        <v>66</v>
      </c>
      <c r="B257" s="988">
        <v>17258</v>
      </c>
      <c r="C257" s="987" t="s">
        <v>4649</v>
      </c>
      <c r="D257" s="987" t="s">
        <v>4650</v>
      </c>
      <c r="E257" s="987">
        <v>5.125</v>
      </c>
      <c r="F257" s="987">
        <v>-8.8888999999999996E-2</v>
      </c>
      <c r="G257" s="987">
        <v>0</v>
      </c>
      <c r="H257" s="986">
        <v>1.6999999999999999E-3</v>
      </c>
      <c r="I257" s="986">
        <f t="shared" si="3"/>
        <v>-9.0588999999999989E-2</v>
      </c>
      <c r="J257" s="988">
        <v>17258</v>
      </c>
    </row>
    <row r="258" spans="1:10">
      <c r="A258" s="987">
        <v>66</v>
      </c>
      <c r="B258" s="988">
        <v>17288</v>
      </c>
      <c r="C258" s="987" t="s">
        <v>4649</v>
      </c>
      <c r="D258" s="987" t="s">
        <v>4650</v>
      </c>
      <c r="E258" s="987">
        <v>5</v>
      </c>
      <c r="F258" s="987">
        <v>-2.4389999999999998E-2</v>
      </c>
      <c r="G258" s="987">
        <v>0</v>
      </c>
      <c r="H258" s="986">
        <v>1.6999999999999999E-3</v>
      </c>
      <c r="I258" s="986">
        <f t="shared" ref="I258:I321" si="4">F258-H258</f>
        <v>-2.6089999999999999E-2</v>
      </c>
      <c r="J258" s="988">
        <v>17288</v>
      </c>
    </row>
    <row r="259" spans="1:10">
      <c r="A259" s="987">
        <v>66</v>
      </c>
      <c r="B259" s="988">
        <v>17319</v>
      </c>
      <c r="C259" s="987" t="s">
        <v>4649</v>
      </c>
      <c r="D259" s="987" t="s">
        <v>4650</v>
      </c>
      <c r="E259" s="987">
        <v>5</v>
      </c>
      <c r="F259" s="987">
        <v>0.01</v>
      </c>
      <c r="G259" s="987">
        <v>0.05</v>
      </c>
      <c r="H259" s="986">
        <v>1.9E-3</v>
      </c>
      <c r="I259" s="986">
        <f t="shared" si="4"/>
        <v>8.0999999999999996E-3</v>
      </c>
      <c r="J259" s="988">
        <v>17319</v>
      </c>
    </row>
    <row r="260" spans="1:10">
      <c r="A260" s="987">
        <v>66</v>
      </c>
      <c r="B260" s="988">
        <v>17349</v>
      </c>
      <c r="C260" s="987" t="s">
        <v>4649</v>
      </c>
      <c r="D260" s="987" t="s">
        <v>4650</v>
      </c>
      <c r="E260" s="987">
        <v>5.25</v>
      </c>
      <c r="F260" s="987">
        <v>0.05</v>
      </c>
      <c r="G260" s="987">
        <v>0</v>
      </c>
      <c r="H260" s="986">
        <v>1.8E-3</v>
      </c>
      <c r="I260" s="986">
        <f t="shared" si="4"/>
        <v>4.82E-2</v>
      </c>
      <c r="J260" s="988">
        <v>17349</v>
      </c>
    </row>
    <row r="261" spans="1:10">
      <c r="A261" s="987">
        <v>66</v>
      </c>
      <c r="B261" s="988">
        <v>17380</v>
      </c>
      <c r="C261" s="987" t="s">
        <v>4649</v>
      </c>
      <c r="D261" s="987" t="s">
        <v>4650</v>
      </c>
      <c r="E261" s="987">
        <v>6.125</v>
      </c>
      <c r="F261" s="987">
        <v>0.16666700000000001</v>
      </c>
      <c r="G261" s="987">
        <v>0</v>
      </c>
      <c r="H261" s="986">
        <v>1.6999999999999999E-3</v>
      </c>
      <c r="I261" s="986">
        <f t="shared" si="4"/>
        <v>0.164967</v>
      </c>
      <c r="J261" s="988">
        <v>17380</v>
      </c>
    </row>
    <row r="262" spans="1:10">
      <c r="A262" s="987">
        <v>66</v>
      </c>
      <c r="B262" s="988">
        <v>17411</v>
      </c>
      <c r="C262" s="987" t="s">
        <v>4649</v>
      </c>
      <c r="D262" s="987" t="s">
        <v>4650</v>
      </c>
      <c r="E262" s="987">
        <v>5.625</v>
      </c>
      <c r="F262" s="987">
        <v>-7.3469000000000007E-2</v>
      </c>
      <c r="G262" s="987">
        <v>0.05</v>
      </c>
      <c r="H262" s="986">
        <v>1.8E-3</v>
      </c>
      <c r="I262" s="986">
        <f t="shared" si="4"/>
        <v>-7.5269000000000003E-2</v>
      </c>
      <c r="J262" s="988">
        <v>17411</v>
      </c>
    </row>
    <row r="263" spans="1:10">
      <c r="A263" s="987">
        <v>66</v>
      </c>
      <c r="B263" s="988">
        <v>17441</v>
      </c>
      <c r="C263" s="987" t="s">
        <v>4649</v>
      </c>
      <c r="D263" s="987" t="s">
        <v>4650</v>
      </c>
      <c r="E263" s="987">
        <v>5.375</v>
      </c>
      <c r="F263" s="987">
        <v>-4.4443999999999997E-2</v>
      </c>
      <c r="G263" s="987">
        <v>0</v>
      </c>
      <c r="H263" s="986">
        <v>1.8E-3</v>
      </c>
      <c r="I263" s="986">
        <f t="shared" si="4"/>
        <v>-4.6244E-2</v>
      </c>
      <c r="J263" s="988">
        <v>17441</v>
      </c>
    </row>
    <row r="264" spans="1:10">
      <c r="A264" s="987">
        <v>66</v>
      </c>
      <c r="B264" s="988">
        <v>17472</v>
      </c>
      <c r="C264" s="987" t="s">
        <v>4649</v>
      </c>
      <c r="D264" s="987" t="s">
        <v>4650</v>
      </c>
      <c r="E264" s="987">
        <v>5</v>
      </c>
      <c r="F264" s="987">
        <v>-6.9766999999999996E-2</v>
      </c>
      <c r="G264" s="987">
        <v>0</v>
      </c>
      <c r="H264" s="986">
        <v>1.6999999999999999E-3</v>
      </c>
      <c r="I264" s="986">
        <f t="shared" si="4"/>
        <v>-7.1466999999999989E-2</v>
      </c>
      <c r="J264" s="988">
        <v>17472</v>
      </c>
    </row>
    <row r="265" spans="1:10">
      <c r="A265" s="987">
        <v>66</v>
      </c>
      <c r="B265" s="988">
        <v>17502</v>
      </c>
      <c r="C265" s="987" t="s">
        <v>4649</v>
      </c>
      <c r="D265" s="987" t="s">
        <v>4650</v>
      </c>
      <c r="E265" s="987">
        <v>4.875</v>
      </c>
      <c r="F265" s="987">
        <v>-1.4999999999999999E-2</v>
      </c>
      <c r="G265" s="987">
        <v>0.05</v>
      </c>
      <c r="H265" s="986">
        <v>2.0999999999999999E-3</v>
      </c>
      <c r="I265" s="986">
        <f t="shared" si="4"/>
        <v>-1.7100000000000001E-2</v>
      </c>
      <c r="J265" s="988">
        <v>17502</v>
      </c>
    </row>
    <row r="266" spans="1:10">
      <c r="A266" s="987">
        <v>66</v>
      </c>
      <c r="B266" s="988">
        <v>17533</v>
      </c>
      <c r="C266" s="987" t="s">
        <v>4649</v>
      </c>
      <c r="D266" s="987" t="s">
        <v>4650</v>
      </c>
      <c r="E266" s="987">
        <v>5.125</v>
      </c>
      <c r="F266" s="987">
        <v>5.1282000000000001E-2</v>
      </c>
      <c r="G266" s="987">
        <v>0</v>
      </c>
      <c r="H266" s="986">
        <v>2E-3</v>
      </c>
      <c r="I266" s="986">
        <f t="shared" si="4"/>
        <v>4.9281999999999999E-2</v>
      </c>
      <c r="J266" s="988">
        <v>17533</v>
      </c>
    </row>
    <row r="267" spans="1:10">
      <c r="A267" s="987">
        <v>66</v>
      </c>
      <c r="B267" s="988">
        <v>17564</v>
      </c>
      <c r="C267" s="987" t="s">
        <v>4649</v>
      </c>
      <c r="D267" s="987" t="s">
        <v>4650</v>
      </c>
      <c r="E267" s="987">
        <v>5</v>
      </c>
      <c r="F267" s="987">
        <v>-2.4389999999999998E-2</v>
      </c>
      <c r="G267" s="987">
        <v>0</v>
      </c>
      <c r="H267" s="986">
        <v>1.9E-3</v>
      </c>
      <c r="I267" s="986">
        <f t="shared" si="4"/>
        <v>-2.6289999999999997E-2</v>
      </c>
      <c r="J267" s="988">
        <v>17564</v>
      </c>
    </row>
    <row r="268" spans="1:10">
      <c r="A268" s="987">
        <v>66</v>
      </c>
      <c r="B268" s="988">
        <v>17593</v>
      </c>
      <c r="C268" s="987" t="s">
        <v>4649</v>
      </c>
      <c r="D268" s="987" t="s">
        <v>4650</v>
      </c>
      <c r="E268" s="987">
        <v>5.125</v>
      </c>
      <c r="F268" s="987">
        <v>3.7426000000000001E-2</v>
      </c>
      <c r="G268" s="987">
        <v>5.0119999999999998E-2</v>
      </c>
      <c r="H268" s="986">
        <v>2.2000000000000001E-3</v>
      </c>
      <c r="I268" s="986">
        <f t="shared" si="4"/>
        <v>3.5226E-2</v>
      </c>
      <c r="J268" s="988">
        <v>17593</v>
      </c>
    </row>
    <row r="269" spans="1:10">
      <c r="A269" s="987">
        <v>66</v>
      </c>
      <c r="B269" s="988">
        <v>17624</v>
      </c>
      <c r="C269" s="987" t="s">
        <v>4649</v>
      </c>
      <c r="D269" s="987" t="s">
        <v>4650</v>
      </c>
      <c r="E269" s="987">
        <v>5.5</v>
      </c>
      <c r="F269" s="987">
        <v>7.3171E-2</v>
      </c>
      <c r="G269" s="987">
        <v>0</v>
      </c>
      <c r="H269" s="986">
        <v>2E-3</v>
      </c>
      <c r="I269" s="986">
        <f t="shared" si="4"/>
        <v>7.1170999999999998E-2</v>
      </c>
      <c r="J269" s="988">
        <v>17624</v>
      </c>
    </row>
    <row r="270" spans="1:10">
      <c r="A270" s="987">
        <v>66</v>
      </c>
      <c r="B270" s="988">
        <v>17654</v>
      </c>
      <c r="C270" s="987" t="s">
        <v>4649</v>
      </c>
      <c r="D270" s="987" t="s">
        <v>4650</v>
      </c>
      <c r="E270" s="987">
        <v>6.125</v>
      </c>
      <c r="F270" s="987">
        <v>0.113636</v>
      </c>
      <c r="G270" s="987">
        <v>0</v>
      </c>
      <c r="H270" s="986">
        <v>1.8E-3</v>
      </c>
      <c r="I270" s="986">
        <f t="shared" si="4"/>
        <v>0.111836</v>
      </c>
      <c r="J270" s="988">
        <v>17654</v>
      </c>
    </row>
    <row r="271" spans="1:10">
      <c r="A271" s="987">
        <v>66</v>
      </c>
      <c r="B271" s="988">
        <v>17685</v>
      </c>
      <c r="C271" s="987" t="s">
        <v>4649</v>
      </c>
      <c r="D271" s="987" t="s">
        <v>4650</v>
      </c>
      <c r="E271" s="987">
        <v>6</v>
      </c>
      <c r="F271" s="987">
        <v>-1.2245000000000001E-2</v>
      </c>
      <c r="G271" s="987">
        <v>0.05</v>
      </c>
      <c r="H271" s="986">
        <v>2.0999999999999999E-3</v>
      </c>
      <c r="I271" s="986">
        <f t="shared" si="4"/>
        <v>-1.4345E-2</v>
      </c>
      <c r="J271" s="988">
        <v>17685</v>
      </c>
    </row>
    <row r="272" spans="1:10">
      <c r="A272" s="987">
        <v>66</v>
      </c>
      <c r="B272" s="988">
        <v>17715</v>
      </c>
      <c r="C272" s="987" t="s">
        <v>4649</v>
      </c>
      <c r="D272" s="987" t="s">
        <v>4650</v>
      </c>
      <c r="E272" s="987">
        <v>5.875</v>
      </c>
      <c r="F272" s="987">
        <v>-2.0833000000000001E-2</v>
      </c>
      <c r="G272" s="987">
        <v>0</v>
      </c>
      <c r="H272" s="986">
        <v>1.9E-3</v>
      </c>
      <c r="I272" s="986">
        <f t="shared" si="4"/>
        <v>-2.2733E-2</v>
      </c>
      <c r="J272" s="988">
        <v>17715</v>
      </c>
    </row>
    <row r="273" spans="1:10">
      <c r="A273" s="987">
        <v>66</v>
      </c>
      <c r="B273" s="988">
        <v>17746</v>
      </c>
      <c r="C273" s="987" t="s">
        <v>4649</v>
      </c>
      <c r="D273" s="987" t="s">
        <v>4650</v>
      </c>
      <c r="E273" s="987">
        <v>5.75</v>
      </c>
      <c r="F273" s="987">
        <v>-2.1277000000000001E-2</v>
      </c>
      <c r="G273" s="987">
        <v>0</v>
      </c>
      <c r="H273" s="986">
        <v>2.0999999999999999E-3</v>
      </c>
      <c r="I273" s="986">
        <f t="shared" si="4"/>
        <v>-2.3377000000000002E-2</v>
      </c>
      <c r="J273" s="988">
        <v>17746</v>
      </c>
    </row>
    <row r="274" spans="1:10">
      <c r="A274" s="987">
        <v>66</v>
      </c>
      <c r="B274" s="988">
        <v>17777</v>
      </c>
      <c r="C274" s="987" t="s">
        <v>4649</v>
      </c>
      <c r="D274" s="987" t="s">
        <v>4650</v>
      </c>
      <c r="E274" s="987">
        <v>5.75</v>
      </c>
      <c r="F274" s="987">
        <v>8.6960000000000006E-3</v>
      </c>
      <c r="G274" s="987">
        <v>0.05</v>
      </c>
      <c r="H274" s="986">
        <v>2E-3</v>
      </c>
      <c r="I274" s="986">
        <f t="shared" si="4"/>
        <v>6.6960000000000006E-3</v>
      </c>
      <c r="J274" s="988">
        <v>17777</v>
      </c>
    </row>
    <row r="275" spans="1:10">
      <c r="A275" s="987">
        <v>66</v>
      </c>
      <c r="B275" s="988">
        <v>17807</v>
      </c>
      <c r="C275" s="987" t="s">
        <v>4649</v>
      </c>
      <c r="D275" s="987" t="s">
        <v>4650</v>
      </c>
      <c r="E275" s="987">
        <v>6</v>
      </c>
      <c r="F275" s="987">
        <v>4.3478000000000003E-2</v>
      </c>
      <c r="G275" s="987">
        <v>0</v>
      </c>
      <c r="H275" s="986">
        <v>1.9E-3</v>
      </c>
      <c r="I275" s="986">
        <f t="shared" si="4"/>
        <v>4.1578000000000004E-2</v>
      </c>
      <c r="J275" s="988">
        <v>17807</v>
      </c>
    </row>
    <row r="276" spans="1:10">
      <c r="A276" s="987">
        <v>66</v>
      </c>
      <c r="B276" s="988">
        <v>17838</v>
      </c>
      <c r="C276" s="987" t="s">
        <v>4649</v>
      </c>
      <c r="D276" s="987" t="s">
        <v>4650</v>
      </c>
      <c r="E276" s="987">
        <v>5.125</v>
      </c>
      <c r="F276" s="987">
        <v>-0.14583299999999999</v>
      </c>
      <c r="G276" s="987">
        <v>0</v>
      </c>
      <c r="H276" s="986">
        <v>2.0999999999999999E-3</v>
      </c>
      <c r="I276" s="986">
        <f t="shared" si="4"/>
        <v>-0.14793299999999998</v>
      </c>
      <c r="J276" s="988">
        <v>17838</v>
      </c>
    </row>
    <row r="277" spans="1:10">
      <c r="A277" s="987">
        <v>66</v>
      </c>
      <c r="B277" s="988">
        <v>17868</v>
      </c>
      <c r="C277" s="987" t="s">
        <v>4649</v>
      </c>
      <c r="D277" s="987" t="s">
        <v>4650</v>
      </c>
      <c r="E277" s="987">
        <v>5</v>
      </c>
      <c r="F277" s="987">
        <v>-1.4633999999999999E-2</v>
      </c>
      <c r="G277" s="987">
        <v>0.05</v>
      </c>
      <c r="H277" s="986">
        <v>2E-3</v>
      </c>
      <c r="I277" s="986">
        <f t="shared" si="4"/>
        <v>-1.6633999999999999E-2</v>
      </c>
      <c r="J277" s="988">
        <v>17868</v>
      </c>
    </row>
    <row r="278" spans="1:10">
      <c r="A278" s="987">
        <v>66</v>
      </c>
      <c r="B278" s="988">
        <v>17899</v>
      </c>
      <c r="C278" s="987" t="s">
        <v>4649</v>
      </c>
      <c r="D278" s="987" t="s">
        <v>4650</v>
      </c>
      <c r="E278" s="987">
        <v>5.625</v>
      </c>
      <c r="F278" s="987">
        <v>0.125</v>
      </c>
      <c r="G278" s="987">
        <v>0</v>
      </c>
      <c r="H278" s="986">
        <v>2E-3</v>
      </c>
      <c r="I278" s="986">
        <f t="shared" si="4"/>
        <v>0.123</v>
      </c>
      <c r="J278" s="988">
        <v>17899</v>
      </c>
    </row>
    <row r="279" spans="1:10">
      <c r="A279" s="987">
        <v>66</v>
      </c>
      <c r="B279" s="988">
        <v>17930</v>
      </c>
      <c r="C279" s="987" t="s">
        <v>4649</v>
      </c>
      <c r="D279" s="987" t="s">
        <v>4650</v>
      </c>
      <c r="E279" s="987">
        <v>5.75</v>
      </c>
      <c r="F279" s="987">
        <v>2.2221999999999999E-2</v>
      </c>
      <c r="G279" s="987">
        <v>0</v>
      </c>
      <c r="H279" s="986">
        <v>1.8E-3</v>
      </c>
      <c r="I279" s="986">
        <f t="shared" si="4"/>
        <v>2.0421999999999999E-2</v>
      </c>
      <c r="J279" s="988">
        <v>17930</v>
      </c>
    </row>
    <row r="280" spans="1:10">
      <c r="A280" s="987">
        <v>66</v>
      </c>
      <c r="B280" s="988">
        <v>17958</v>
      </c>
      <c r="C280" s="987" t="s">
        <v>4649</v>
      </c>
      <c r="D280" s="987" t="s">
        <v>4650</v>
      </c>
      <c r="E280" s="987">
        <v>6.75</v>
      </c>
      <c r="F280" s="987">
        <v>0.18260899999999999</v>
      </c>
      <c r="G280" s="987">
        <v>0.05</v>
      </c>
      <c r="H280" s="986">
        <v>1.9E-3</v>
      </c>
      <c r="I280" s="986">
        <f t="shared" si="4"/>
        <v>0.18070899999999998</v>
      </c>
      <c r="J280" s="988">
        <v>17958</v>
      </c>
    </row>
    <row r="281" spans="1:10">
      <c r="A281" s="987">
        <v>66</v>
      </c>
      <c r="B281" s="988">
        <v>17989</v>
      </c>
      <c r="C281" s="987" t="s">
        <v>4649</v>
      </c>
      <c r="D281" s="987" t="s">
        <v>4650</v>
      </c>
      <c r="E281" s="987">
        <v>6.5</v>
      </c>
      <c r="F281" s="987">
        <v>-3.7037E-2</v>
      </c>
      <c r="G281" s="987">
        <v>0</v>
      </c>
      <c r="H281" s="986">
        <v>1.8E-3</v>
      </c>
      <c r="I281" s="986">
        <f t="shared" si="4"/>
        <v>-3.8837000000000003E-2</v>
      </c>
      <c r="J281" s="988">
        <v>17989</v>
      </c>
    </row>
    <row r="282" spans="1:10">
      <c r="A282" s="987">
        <v>66</v>
      </c>
      <c r="B282" s="988">
        <v>18019</v>
      </c>
      <c r="C282" s="987" t="s">
        <v>4649</v>
      </c>
      <c r="D282" s="987" t="s">
        <v>4650</v>
      </c>
      <c r="E282" s="987">
        <v>6.625</v>
      </c>
      <c r="F282" s="987">
        <v>1.9231000000000002E-2</v>
      </c>
      <c r="G282" s="987">
        <v>0</v>
      </c>
      <c r="H282" s="986">
        <v>2E-3</v>
      </c>
      <c r="I282" s="986">
        <f t="shared" si="4"/>
        <v>1.7231000000000003E-2</v>
      </c>
      <c r="J282" s="988">
        <v>18019</v>
      </c>
    </row>
    <row r="283" spans="1:10">
      <c r="A283" s="987">
        <v>66</v>
      </c>
      <c r="B283" s="988">
        <v>18050</v>
      </c>
      <c r="C283" s="987" t="s">
        <v>4649</v>
      </c>
      <c r="D283" s="987" t="s">
        <v>4650</v>
      </c>
      <c r="E283" s="987">
        <v>6.375</v>
      </c>
      <c r="F283" s="987">
        <v>-3.0189000000000001E-2</v>
      </c>
      <c r="G283" s="987">
        <v>0.05</v>
      </c>
      <c r="H283" s="986">
        <v>1.9E-3</v>
      </c>
      <c r="I283" s="986">
        <f t="shared" si="4"/>
        <v>-3.2088999999999999E-2</v>
      </c>
      <c r="J283" s="988">
        <v>18050</v>
      </c>
    </row>
    <row r="284" spans="1:10">
      <c r="A284" s="987">
        <v>66</v>
      </c>
      <c r="B284" s="988">
        <v>18080</v>
      </c>
      <c r="C284" s="987" t="s">
        <v>4649</v>
      </c>
      <c r="D284" s="987" t="s">
        <v>4650</v>
      </c>
      <c r="E284" s="987">
        <v>6.625</v>
      </c>
      <c r="F284" s="987">
        <v>3.9216000000000001E-2</v>
      </c>
      <c r="G284" s="987">
        <v>0</v>
      </c>
      <c r="H284" s="986">
        <v>1.6999999999999999E-3</v>
      </c>
      <c r="I284" s="986">
        <f t="shared" si="4"/>
        <v>3.7516000000000001E-2</v>
      </c>
      <c r="J284" s="988">
        <v>18080</v>
      </c>
    </row>
    <row r="285" spans="1:10">
      <c r="A285" s="987">
        <v>66</v>
      </c>
      <c r="B285" s="988">
        <v>18111</v>
      </c>
      <c r="C285" s="987" t="s">
        <v>4649</v>
      </c>
      <c r="D285" s="987" t="s">
        <v>4650</v>
      </c>
      <c r="E285" s="987">
        <v>7.125</v>
      </c>
      <c r="F285" s="987">
        <v>7.5471999999999997E-2</v>
      </c>
      <c r="G285" s="987">
        <v>0</v>
      </c>
      <c r="H285" s="986">
        <v>1.9E-3</v>
      </c>
      <c r="I285" s="986">
        <f t="shared" si="4"/>
        <v>7.3571999999999999E-2</v>
      </c>
      <c r="J285" s="988">
        <v>18111</v>
      </c>
    </row>
    <row r="286" spans="1:10">
      <c r="A286" s="987">
        <v>66</v>
      </c>
      <c r="B286" s="988">
        <v>18142</v>
      </c>
      <c r="C286" s="987" t="s">
        <v>4649</v>
      </c>
      <c r="D286" s="987" t="s">
        <v>4650</v>
      </c>
      <c r="E286" s="987">
        <v>7.125</v>
      </c>
      <c r="F286" s="987">
        <v>7.0179999999999999E-3</v>
      </c>
      <c r="G286" s="987">
        <v>0.05</v>
      </c>
      <c r="H286" s="986">
        <v>1.6999999999999999E-3</v>
      </c>
      <c r="I286" s="986">
        <f t="shared" si="4"/>
        <v>5.3179999999999998E-3</v>
      </c>
      <c r="J286" s="988">
        <v>18142</v>
      </c>
    </row>
    <row r="287" spans="1:10">
      <c r="A287" s="987">
        <v>66</v>
      </c>
      <c r="B287" s="988">
        <v>18172</v>
      </c>
      <c r="C287" s="987" t="s">
        <v>4649</v>
      </c>
      <c r="D287" s="987" t="s">
        <v>4650</v>
      </c>
      <c r="E287" s="987">
        <v>7.625</v>
      </c>
      <c r="F287" s="987">
        <v>7.0175000000000001E-2</v>
      </c>
      <c r="G287" s="987">
        <v>0</v>
      </c>
      <c r="H287" s="986">
        <v>1.8E-3</v>
      </c>
      <c r="I287" s="986">
        <f t="shared" si="4"/>
        <v>6.8375000000000005E-2</v>
      </c>
      <c r="J287" s="988">
        <v>18172</v>
      </c>
    </row>
    <row r="288" spans="1:10">
      <c r="A288" s="987">
        <v>66</v>
      </c>
      <c r="B288" s="988">
        <v>18203</v>
      </c>
      <c r="C288" s="987" t="s">
        <v>4649</v>
      </c>
      <c r="D288" s="987" t="s">
        <v>4650</v>
      </c>
      <c r="E288" s="987">
        <v>7.5</v>
      </c>
      <c r="F288" s="987">
        <v>-1.6393000000000001E-2</v>
      </c>
      <c r="G288" s="987">
        <v>0</v>
      </c>
      <c r="H288" s="986">
        <v>1.6999999999999999E-3</v>
      </c>
      <c r="I288" s="986">
        <f t="shared" si="4"/>
        <v>-1.8093000000000001E-2</v>
      </c>
      <c r="J288" s="988">
        <v>18203</v>
      </c>
    </row>
    <row r="289" spans="1:10">
      <c r="A289" s="987">
        <v>66</v>
      </c>
      <c r="B289" s="988">
        <v>18233</v>
      </c>
      <c r="C289" s="987" t="s">
        <v>4649</v>
      </c>
      <c r="D289" s="987" t="s">
        <v>4650</v>
      </c>
      <c r="E289" s="987">
        <v>7.5</v>
      </c>
      <c r="F289" s="987">
        <v>6.6670000000000002E-3</v>
      </c>
      <c r="G289" s="987">
        <v>0.05</v>
      </c>
      <c r="H289" s="986">
        <v>1.6999999999999999E-3</v>
      </c>
      <c r="I289" s="986">
        <f t="shared" si="4"/>
        <v>4.9670000000000001E-3</v>
      </c>
      <c r="J289" s="988">
        <v>18233</v>
      </c>
    </row>
    <row r="290" spans="1:10">
      <c r="A290" s="987">
        <v>66</v>
      </c>
      <c r="B290" s="988">
        <v>18264</v>
      </c>
      <c r="C290" s="987" t="s">
        <v>4649</v>
      </c>
      <c r="D290" s="987" t="s">
        <v>4650</v>
      </c>
      <c r="E290" s="987">
        <v>6.875</v>
      </c>
      <c r="F290" s="987">
        <v>-8.3333000000000004E-2</v>
      </c>
      <c r="G290" s="987">
        <v>0</v>
      </c>
      <c r="H290" s="986">
        <v>1.8E-3</v>
      </c>
      <c r="I290" s="986">
        <f t="shared" si="4"/>
        <v>-8.5133E-2</v>
      </c>
      <c r="J290" s="988">
        <v>18264</v>
      </c>
    </row>
    <row r="291" spans="1:10">
      <c r="A291" s="987">
        <v>66</v>
      </c>
      <c r="B291" s="988">
        <v>18295</v>
      </c>
      <c r="C291" s="987" t="s">
        <v>4649</v>
      </c>
      <c r="D291" s="987" t="s">
        <v>4650</v>
      </c>
      <c r="E291" s="987">
        <v>6.75</v>
      </c>
      <c r="F291" s="987">
        <v>-1.8182E-2</v>
      </c>
      <c r="G291" s="987">
        <v>0</v>
      </c>
      <c r="H291" s="986">
        <v>1.6000000000000001E-3</v>
      </c>
      <c r="I291" s="986">
        <f t="shared" si="4"/>
        <v>-1.9782000000000001E-2</v>
      </c>
      <c r="J291" s="988">
        <v>18295</v>
      </c>
    </row>
    <row r="292" spans="1:10">
      <c r="A292" s="987">
        <v>66</v>
      </c>
      <c r="B292" s="988">
        <v>18323</v>
      </c>
      <c r="C292" s="987" t="s">
        <v>4649</v>
      </c>
      <c r="D292" s="987" t="s">
        <v>4650</v>
      </c>
      <c r="E292" s="987">
        <v>7</v>
      </c>
      <c r="F292" s="987">
        <v>4.4443999999999997E-2</v>
      </c>
      <c r="G292" s="987">
        <v>0.05</v>
      </c>
      <c r="H292" s="986">
        <v>1.8E-3</v>
      </c>
      <c r="I292" s="986">
        <f t="shared" si="4"/>
        <v>4.2643999999999994E-2</v>
      </c>
      <c r="J292" s="988">
        <v>18323</v>
      </c>
    </row>
    <row r="293" spans="1:10">
      <c r="A293" s="987">
        <v>66</v>
      </c>
      <c r="B293" s="988">
        <v>18354</v>
      </c>
      <c r="C293" s="987" t="s">
        <v>4651</v>
      </c>
      <c r="D293" s="987" t="s">
        <v>4650</v>
      </c>
      <c r="E293" s="987">
        <v>7</v>
      </c>
      <c r="F293" s="987">
        <v>0</v>
      </c>
      <c r="G293" s="987">
        <v>0</v>
      </c>
      <c r="H293" s="986">
        <v>1.6000000000000001E-3</v>
      </c>
      <c r="I293" s="986">
        <f t="shared" si="4"/>
        <v>-1.6000000000000001E-3</v>
      </c>
      <c r="J293" s="988">
        <v>18354</v>
      </c>
    </row>
    <row r="294" spans="1:10">
      <c r="A294" s="987">
        <v>66</v>
      </c>
      <c r="B294" s="988">
        <v>18384</v>
      </c>
      <c r="C294" s="987" t="s">
        <v>4651</v>
      </c>
      <c r="D294" s="987" t="s">
        <v>4650</v>
      </c>
      <c r="E294" s="987">
        <v>7.25</v>
      </c>
      <c r="F294" s="987">
        <v>3.5714000000000003E-2</v>
      </c>
      <c r="G294" s="987">
        <v>0</v>
      </c>
      <c r="H294" s="986">
        <v>1.9E-3</v>
      </c>
      <c r="I294" s="986">
        <f t="shared" si="4"/>
        <v>3.3814000000000004E-2</v>
      </c>
      <c r="J294" s="988">
        <v>18384</v>
      </c>
    </row>
    <row r="295" spans="1:10">
      <c r="A295" s="987">
        <v>66</v>
      </c>
      <c r="B295" s="988">
        <v>18415</v>
      </c>
      <c r="C295" s="987" t="s">
        <v>4651</v>
      </c>
      <c r="D295" s="987" t="s">
        <v>4650</v>
      </c>
      <c r="E295" s="987">
        <v>6.5</v>
      </c>
      <c r="F295" s="987">
        <v>-9.6551999999999999E-2</v>
      </c>
      <c r="G295" s="987">
        <v>0.05</v>
      </c>
      <c r="H295" s="986">
        <v>1.6999999999999999E-3</v>
      </c>
      <c r="I295" s="986">
        <f t="shared" si="4"/>
        <v>-9.8251999999999992E-2</v>
      </c>
      <c r="J295" s="988">
        <v>18415</v>
      </c>
    </row>
    <row r="296" spans="1:10">
      <c r="A296" s="987">
        <v>66</v>
      </c>
      <c r="B296" s="988">
        <v>18445</v>
      </c>
      <c r="C296" s="987" t="s">
        <v>4651</v>
      </c>
      <c r="D296" s="987" t="s">
        <v>4650</v>
      </c>
      <c r="E296" s="987">
        <v>6.25</v>
      </c>
      <c r="F296" s="987">
        <v>-3.8462000000000003E-2</v>
      </c>
      <c r="G296" s="987">
        <v>0</v>
      </c>
      <c r="H296" s="986">
        <v>1.8E-3</v>
      </c>
      <c r="I296" s="986">
        <f t="shared" si="4"/>
        <v>-4.0262000000000006E-2</v>
      </c>
      <c r="J296" s="988">
        <v>18445</v>
      </c>
    </row>
    <row r="297" spans="1:10">
      <c r="A297" s="987">
        <v>66</v>
      </c>
      <c r="B297" s="988">
        <v>18476</v>
      </c>
      <c r="C297" s="987" t="s">
        <v>4651</v>
      </c>
      <c r="D297" s="987" t="s">
        <v>4650</v>
      </c>
      <c r="E297" s="987">
        <v>6.5</v>
      </c>
      <c r="F297" s="987">
        <v>0.04</v>
      </c>
      <c r="G297" s="987">
        <v>0</v>
      </c>
      <c r="H297" s="986">
        <v>1.8E-3</v>
      </c>
      <c r="I297" s="986">
        <f t="shared" si="4"/>
        <v>3.8199999999999998E-2</v>
      </c>
      <c r="J297" s="988">
        <v>18476</v>
      </c>
    </row>
    <row r="298" spans="1:10">
      <c r="A298" s="987">
        <v>66</v>
      </c>
      <c r="B298" s="988">
        <v>18507</v>
      </c>
      <c r="C298" s="987" t="s">
        <v>4651</v>
      </c>
      <c r="D298" s="987" t="s">
        <v>4650</v>
      </c>
      <c r="E298" s="987">
        <v>6.75</v>
      </c>
      <c r="F298" s="987">
        <v>4.6154000000000001E-2</v>
      </c>
      <c r="G298" s="987">
        <v>0.05</v>
      </c>
      <c r="H298" s="986">
        <v>1.6999999999999999E-3</v>
      </c>
      <c r="I298" s="986">
        <f t="shared" si="4"/>
        <v>4.4454E-2</v>
      </c>
      <c r="J298" s="988">
        <v>18507</v>
      </c>
    </row>
    <row r="299" spans="1:10">
      <c r="A299" s="987">
        <v>66</v>
      </c>
      <c r="B299" s="988">
        <v>18537</v>
      </c>
      <c r="C299" s="987" t="s">
        <v>4651</v>
      </c>
      <c r="D299" s="987" t="s">
        <v>4650</v>
      </c>
      <c r="E299" s="987">
        <v>6.75</v>
      </c>
      <c r="F299" s="987">
        <v>0</v>
      </c>
      <c r="G299" s="987">
        <v>0</v>
      </c>
      <c r="H299" s="986">
        <v>1.9E-3</v>
      </c>
      <c r="I299" s="986">
        <f t="shared" si="4"/>
        <v>-1.9E-3</v>
      </c>
      <c r="J299" s="988">
        <v>18537</v>
      </c>
    </row>
    <row r="300" spans="1:10">
      <c r="A300" s="987">
        <v>66</v>
      </c>
      <c r="B300" s="988">
        <v>18568</v>
      </c>
      <c r="C300" s="987" t="s">
        <v>4651</v>
      </c>
      <c r="D300" s="987" t="s">
        <v>4650</v>
      </c>
      <c r="E300" s="987">
        <v>7.375</v>
      </c>
      <c r="F300" s="987">
        <v>9.2592999999999995E-2</v>
      </c>
      <c r="G300" s="987">
        <v>0</v>
      </c>
      <c r="H300" s="986">
        <v>1.8E-3</v>
      </c>
      <c r="I300" s="986">
        <f t="shared" si="4"/>
        <v>9.0792999999999999E-2</v>
      </c>
      <c r="J300" s="988">
        <v>18568</v>
      </c>
    </row>
    <row r="301" spans="1:10">
      <c r="A301" s="987">
        <v>66</v>
      </c>
      <c r="B301" s="988">
        <v>18598</v>
      </c>
      <c r="C301" s="987" t="s">
        <v>4651</v>
      </c>
      <c r="D301" s="987" t="s">
        <v>4650</v>
      </c>
      <c r="E301" s="987">
        <v>7.125</v>
      </c>
      <c r="F301" s="987">
        <v>-2.0338999999999999E-2</v>
      </c>
      <c r="G301" s="987">
        <v>0.1</v>
      </c>
      <c r="H301" s="986">
        <v>1.8E-3</v>
      </c>
      <c r="I301" s="986">
        <f t="shared" si="4"/>
        <v>-2.2138999999999999E-2</v>
      </c>
      <c r="J301" s="988">
        <v>18598</v>
      </c>
    </row>
    <row r="302" spans="1:10">
      <c r="A302" s="987">
        <v>66</v>
      </c>
      <c r="B302" s="988">
        <v>18629</v>
      </c>
      <c r="C302" s="987" t="s">
        <v>4651</v>
      </c>
      <c r="D302" s="987" t="s">
        <v>4650</v>
      </c>
      <c r="E302" s="987">
        <v>7.375</v>
      </c>
      <c r="F302" s="987">
        <v>3.5088000000000001E-2</v>
      </c>
      <c r="G302" s="987">
        <v>0</v>
      </c>
      <c r="H302" s="986">
        <v>2E-3</v>
      </c>
      <c r="I302" s="986">
        <f t="shared" si="4"/>
        <v>3.3087999999999999E-2</v>
      </c>
      <c r="J302" s="988">
        <v>18629</v>
      </c>
    </row>
    <row r="303" spans="1:10">
      <c r="A303" s="987">
        <v>66</v>
      </c>
      <c r="B303" s="988">
        <v>18660</v>
      </c>
      <c r="C303" s="987" t="s">
        <v>4651</v>
      </c>
      <c r="D303" s="987" t="s">
        <v>4650</v>
      </c>
      <c r="E303" s="987">
        <v>7.5</v>
      </c>
      <c r="F303" s="987">
        <v>1.6948999999999999E-2</v>
      </c>
      <c r="G303" s="987">
        <v>0</v>
      </c>
      <c r="H303" s="986">
        <v>1.6999999999999999E-3</v>
      </c>
      <c r="I303" s="986">
        <f t="shared" si="4"/>
        <v>1.5248999999999999E-2</v>
      </c>
      <c r="J303" s="988">
        <v>18660</v>
      </c>
    </row>
    <row r="304" spans="1:10">
      <c r="A304" s="987">
        <v>66</v>
      </c>
      <c r="B304" s="988">
        <v>18688</v>
      </c>
      <c r="C304" s="987" t="s">
        <v>4651</v>
      </c>
      <c r="D304" s="987" t="s">
        <v>4650</v>
      </c>
      <c r="E304" s="987">
        <v>7.25</v>
      </c>
      <c r="F304" s="987">
        <v>-0.02</v>
      </c>
      <c r="G304" s="987">
        <v>0.1</v>
      </c>
      <c r="H304" s="986">
        <v>1.9E-3</v>
      </c>
      <c r="I304" s="986">
        <f t="shared" si="4"/>
        <v>-2.1899999999999999E-2</v>
      </c>
      <c r="J304" s="988">
        <v>18688</v>
      </c>
    </row>
    <row r="305" spans="1:10">
      <c r="A305" s="987">
        <v>66</v>
      </c>
      <c r="B305" s="988">
        <v>18719</v>
      </c>
      <c r="C305" s="987" t="s">
        <v>4651</v>
      </c>
      <c r="D305" s="987" t="s">
        <v>4650</v>
      </c>
      <c r="E305" s="987">
        <v>7.125</v>
      </c>
      <c r="F305" s="987">
        <v>-1.7240999999999999E-2</v>
      </c>
      <c r="G305" s="987">
        <v>0</v>
      </c>
      <c r="H305" s="986">
        <v>2E-3</v>
      </c>
      <c r="I305" s="986">
        <f t="shared" si="4"/>
        <v>-1.9241000000000001E-2</v>
      </c>
      <c r="J305" s="988">
        <v>18719</v>
      </c>
    </row>
    <row r="306" spans="1:10">
      <c r="A306" s="987">
        <v>66</v>
      </c>
      <c r="B306" s="988">
        <v>18749</v>
      </c>
      <c r="C306" s="987" t="s">
        <v>4651</v>
      </c>
      <c r="D306" s="987" t="s">
        <v>4650</v>
      </c>
      <c r="E306" s="987">
        <v>7.25</v>
      </c>
      <c r="F306" s="987">
        <v>1.7544000000000001E-2</v>
      </c>
      <c r="G306" s="987">
        <v>0</v>
      </c>
      <c r="H306" s="986">
        <v>2.0999999999999999E-3</v>
      </c>
      <c r="I306" s="986">
        <f t="shared" si="4"/>
        <v>1.5444000000000001E-2</v>
      </c>
      <c r="J306" s="988">
        <v>18749</v>
      </c>
    </row>
    <row r="307" spans="1:10">
      <c r="A307" s="987">
        <v>66</v>
      </c>
      <c r="B307" s="988">
        <v>18780</v>
      </c>
      <c r="C307" s="987" t="s">
        <v>4651</v>
      </c>
      <c r="D307" s="987" t="s">
        <v>4650</v>
      </c>
      <c r="E307" s="987">
        <v>7</v>
      </c>
      <c r="F307" s="987">
        <v>-2.069E-2</v>
      </c>
      <c r="G307" s="987">
        <v>0.1</v>
      </c>
      <c r="H307" s="986">
        <v>2E-3</v>
      </c>
      <c r="I307" s="986">
        <f t="shared" si="4"/>
        <v>-2.2690000000000002E-2</v>
      </c>
      <c r="J307" s="988">
        <v>18780</v>
      </c>
    </row>
    <row r="308" spans="1:10">
      <c r="A308" s="987">
        <v>66</v>
      </c>
      <c r="B308" s="988">
        <v>18810</v>
      </c>
      <c r="C308" s="987" t="s">
        <v>4651</v>
      </c>
      <c r="D308" s="987" t="s">
        <v>4650</v>
      </c>
      <c r="E308" s="987">
        <v>7.125</v>
      </c>
      <c r="F308" s="987">
        <v>1.7857000000000001E-2</v>
      </c>
      <c r="G308" s="987">
        <v>0</v>
      </c>
      <c r="H308" s="986">
        <v>2.3E-3</v>
      </c>
      <c r="I308" s="986">
        <f t="shared" si="4"/>
        <v>1.5557000000000001E-2</v>
      </c>
      <c r="J308" s="988">
        <v>18810</v>
      </c>
    </row>
    <row r="309" spans="1:10">
      <c r="A309" s="987">
        <v>66</v>
      </c>
      <c r="B309" s="988">
        <v>18841</v>
      </c>
      <c r="C309" s="987" t="s">
        <v>4651</v>
      </c>
      <c r="D309" s="987" t="s">
        <v>4650</v>
      </c>
      <c r="E309" s="987">
        <v>7.375</v>
      </c>
      <c r="F309" s="987">
        <v>3.5088000000000001E-2</v>
      </c>
      <c r="G309" s="987">
        <v>0</v>
      </c>
      <c r="H309" s="986">
        <v>2.0999999999999999E-3</v>
      </c>
      <c r="I309" s="986">
        <f t="shared" si="4"/>
        <v>3.2988000000000003E-2</v>
      </c>
      <c r="J309" s="988">
        <v>18841</v>
      </c>
    </row>
    <row r="310" spans="1:10">
      <c r="A310" s="987">
        <v>66</v>
      </c>
      <c r="B310" s="988">
        <v>18872</v>
      </c>
      <c r="C310" s="987" t="s">
        <v>4651</v>
      </c>
      <c r="D310" s="987" t="s">
        <v>4650</v>
      </c>
      <c r="E310" s="987">
        <v>7.75</v>
      </c>
      <c r="F310" s="987">
        <v>6.7796999999999996E-2</v>
      </c>
      <c r="G310" s="987">
        <v>0.125</v>
      </c>
      <c r="H310" s="986">
        <v>1.9E-3</v>
      </c>
      <c r="I310" s="986">
        <f t="shared" si="4"/>
        <v>6.5896999999999997E-2</v>
      </c>
      <c r="J310" s="988">
        <v>18872</v>
      </c>
    </row>
    <row r="311" spans="1:10">
      <c r="A311" s="987">
        <v>66</v>
      </c>
      <c r="B311" s="988">
        <v>18902</v>
      </c>
      <c r="C311" s="987" t="s">
        <v>4651</v>
      </c>
      <c r="D311" s="987" t="s">
        <v>4650</v>
      </c>
      <c r="E311" s="987">
        <v>7.875</v>
      </c>
      <c r="F311" s="987">
        <v>1.6129000000000001E-2</v>
      </c>
      <c r="G311" s="987">
        <v>0</v>
      </c>
      <c r="H311" s="986">
        <v>2.3E-3</v>
      </c>
      <c r="I311" s="986">
        <f t="shared" si="4"/>
        <v>1.3829000000000001E-2</v>
      </c>
      <c r="J311" s="988">
        <v>18902</v>
      </c>
    </row>
    <row r="312" spans="1:10">
      <c r="A312" s="987">
        <v>66</v>
      </c>
      <c r="B312" s="988">
        <v>18933</v>
      </c>
      <c r="C312" s="987" t="s">
        <v>4651</v>
      </c>
      <c r="D312" s="987" t="s">
        <v>4650</v>
      </c>
      <c r="E312" s="987">
        <v>8.125</v>
      </c>
      <c r="F312" s="987">
        <v>3.1746000000000003E-2</v>
      </c>
      <c r="G312" s="987">
        <v>0</v>
      </c>
      <c r="H312" s="986">
        <v>2.0999999999999999E-3</v>
      </c>
      <c r="I312" s="986">
        <f t="shared" si="4"/>
        <v>2.9646000000000002E-2</v>
      </c>
      <c r="J312" s="988">
        <v>18933</v>
      </c>
    </row>
    <row r="313" spans="1:10">
      <c r="A313" s="987">
        <v>66</v>
      </c>
      <c r="B313" s="988">
        <v>18963</v>
      </c>
      <c r="C313" s="987" t="s">
        <v>4651</v>
      </c>
      <c r="D313" s="987" t="s">
        <v>4650</v>
      </c>
      <c r="E313" s="987">
        <v>8.625</v>
      </c>
      <c r="F313" s="987">
        <v>7.6923000000000005E-2</v>
      </c>
      <c r="G313" s="987">
        <v>0.125</v>
      </c>
      <c r="H313" s="986">
        <v>2.2000000000000001E-3</v>
      </c>
      <c r="I313" s="986">
        <f t="shared" si="4"/>
        <v>7.4723000000000012E-2</v>
      </c>
      <c r="J313" s="988">
        <v>18963</v>
      </c>
    </row>
    <row r="314" spans="1:10">
      <c r="A314" s="987">
        <v>66</v>
      </c>
      <c r="B314" s="988">
        <v>18994</v>
      </c>
      <c r="C314" s="987" t="s">
        <v>4651</v>
      </c>
      <c r="D314" s="987" t="s">
        <v>4650</v>
      </c>
      <c r="E314" s="987">
        <v>8.625</v>
      </c>
      <c r="F314" s="987">
        <v>0</v>
      </c>
      <c r="G314" s="987">
        <v>0</v>
      </c>
      <c r="H314" s="986">
        <v>2.3E-3</v>
      </c>
      <c r="I314" s="986">
        <f t="shared" si="4"/>
        <v>-2.3E-3</v>
      </c>
      <c r="J314" s="988">
        <v>18994</v>
      </c>
    </row>
    <row r="315" spans="1:10">
      <c r="A315" s="987">
        <v>66</v>
      </c>
      <c r="B315" s="988">
        <v>19025</v>
      </c>
      <c r="C315" s="987" t="s">
        <v>4651</v>
      </c>
      <c r="D315" s="987" t="s">
        <v>4650</v>
      </c>
      <c r="E315" s="987">
        <v>8.375</v>
      </c>
      <c r="F315" s="987">
        <v>-2.8986000000000001E-2</v>
      </c>
      <c r="G315" s="987">
        <v>0</v>
      </c>
      <c r="H315" s="986">
        <v>2.0999999999999999E-3</v>
      </c>
      <c r="I315" s="986">
        <f t="shared" si="4"/>
        <v>-3.1086000000000003E-2</v>
      </c>
      <c r="J315" s="988">
        <v>19025</v>
      </c>
    </row>
    <row r="316" spans="1:10">
      <c r="A316" s="987">
        <v>66</v>
      </c>
      <c r="B316" s="988">
        <v>19054</v>
      </c>
      <c r="C316" s="987" t="s">
        <v>4651</v>
      </c>
      <c r="D316" s="987" t="s">
        <v>4650</v>
      </c>
      <c r="E316" s="987">
        <v>8.375</v>
      </c>
      <c r="F316" s="987">
        <v>1.4925000000000001E-2</v>
      </c>
      <c r="G316" s="987">
        <v>0.125</v>
      </c>
      <c r="H316" s="986">
        <v>2.3E-3</v>
      </c>
      <c r="I316" s="986">
        <f t="shared" si="4"/>
        <v>1.2625000000000001E-2</v>
      </c>
      <c r="J316" s="988">
        <v>19054</v>
      </c>
    </row>
    <row r="317" spans="1:10">
      <c r="A317" s="987">
        <v>66</v>
      </c>
      <c r="B317" s="988">
        <v>19085</v>
      </c>
      <c r="C317" s="987" t="s">
        <v>4651</v>
      </c>
      <c r="D317" s="987" t="s">
        <v>4650</v>
      </c>
      <c r="E317" s="987">
        <v>8.125</v>
      </c>
      <c r="F317" s="987">
        <v>-2.9850999999999999E-2</v>
      </c>
      <c r="G317" s="987">
        <v>0</v>
      </c>
      <c r="H317" s="986">
        <v>2.2000000000000001E-3</v>
      </c>
      <c r="I317" s="986">
        <f t="shared" si="4"/>
        <v>-3.2050999999999996E-2</v>
      </c>
      <c r="J317" s="988">
        <v>19085</v>
      </c>
    </row>
    <row r="318" spans="1:10">
      <c r="A318" s="987">
        <v>66</v>
      </c>
      <c r="B318" s="988">
        <v>19115</v>
      </c>
      <c r="C318" s="987" t="s">
        <v>4651</v>
      </c>
      <c r="D318" s="987" t="s">
        <v>4650</v>
      </c>
      <c r="E318" s="987">
        <v>8.875</v>
      </c>
      <c r="F318" s="987">
        <v>9.2308000000000001E-2</v>
      </c>
      <c r="G318" s="987">
        <v>0</v>
      </c>
      <c r="H318" s="986">
        <v>2E-3</v>
      </c>
      <c r="I318" s="986">
        <f t="shared" si="4"/>
        <v>9.0307999999999999E-2</v>
      </c>
      <c r="J318" s="988">
        <v>19115</v>
      </c>
    </row>
    <row r="319" spans="1:10">
      <c r="A319" s="987">
        <v>66</v>
      </c>
      <c r="B319" s="988">
        <v>19146</v>
      </c>
      <c r="C319" s="987" t="s">
        <v>4651</v>
      </c>
      <c r="D319" s="987" t="s">
        <v>4650</v>
      </c>
      <c r="E319" s="987">
        <v>8.375</v>
      </c>
      <c r="F319" s="987">
        <v>-4.2254E-2</v>
      </c>
      <c r="G319" s="987">
        <v>0.125</v>
      </c>
      <c r="H319" s="986">
        <v>2.2000000000000001E-3</v>
      </c>
      <c r="I319" s="986">
        <f t="shared" si="4"/>
        <v>-4.4454E-2</v>
      </c>
      <c r="J319" s="988">
        <v>19146</v>
      </c>
    </row>
    <row r="320" spans="1:10">
      <c r="A320" s="987">
        <v>66</v>
      </c>
      <c r="B320" s="988">
        <v>19176</v>
      </c>
      <c r="C320" s="987" t="s">
        <v>4651</v>
      </c>
      <c r="D320" s="987" t="s">
        <v>4650</v>
      </c>
      <c r="E320" s="987">
        <v>8.625</v>
      </c>
      <c r="F320" s="987">
        <v>2.9850999999999999E-2</v>
      </c>
      <c r="G320" s="987">
        <v>0</v>
      </c>
      <c r="H320" s="986">
        <v>2.2000000000000001E-3</v>
      </c>
      <c r="I320" s="986">
        <f t="shared" si="4"/>
        <v>2.7650999999999998E-2</v>
      </c>
      <c r="J320" s="988">
        <v>19176</v>
      </c>
    </row>
    <row r="321" spans="1:10">
      <c r="A321" s="987">
        <v>66</v>
      </c>
      <c r="B321" s="988">
        <v>19207</v>
      </c>
      <c r="C321" s="987" t="s">
        <v>4651</v>
      </c>
      <c r="D321" s="987" t="s">
        <v>4650</v>
      </c>
      <c r="E321" s="987">
        <v>8.75</v>
      </c>
      <c r="F321" s="987">
        <v>1.4493000000000001E-2</v>
      </c>
      <c r="G321" s="987">
        <v>0</v>
      </c>
      <c r="H321" s="986">
        <v>2.0999999999999999E-3</v>
      </c>
      <c r="I321" s="986">
        <f t="shared" si="4"/>
        <v>1.2393000000000001E-2</v>
      </c>
      <c r="J321" s="988">
        <v>19207</v>
      </c>
    </row>
    <row r="322" spans="1:10">
      <c r="A322" s="987">
        <v>66</v>
      </c>
      <c r="B322" s="988">
        <v>19238</v>
      </c>
      <c r="C322" s="987" t="s">
        <v>4651</v>
      </c>
      <c r="D322" s="987" t="s">
        <v>4650</v>
      </c>
      <c r="E322" s="987">
        <v>8.75</v>
      </c>
      <c r="F322" s="987">
        <v>1.4286E-2</v>
      </c>
      <c r="G322" s="987">
        <v>0.125</v>
      </c>
      <c r="H322" s="986">
        <v>2.3E-3</v>
      </c>
      <c r="I322" s="986">
        <f t="shared" ref="I322:I385" si="5">F322-H322</f>
        <v>1.1986E-2</v>
      </c>
      <c r="J322" s="988">
        <v>19238</v>
      </c>
    </row>
    <row r="323" spans="1:10">
      <c r="A323" s="987">
        <v>66</v>
      </c>
      <c r="B323" s="988">
        <v>19268</v>
      </c>
      <c r="C323" s="987" t="s">
        <v>4651</v>
      </c>
      <c r="D323" s="987" t="s">
        <v>4650</v>
      </c>
      <c r="E323" s="987">
        <v>8.875</v>
      </c>
      <c r="F323" s="987">
        <v>1.4286E-2</v>
      </c>
      <c r="G323" s="987">
        <v>0</v>
      </c>
      <c r="H323" s="986">
        <v>2.3E-3</v>
      </c>
      <c r="I323" s="986">
        <f t="shared" si="5"/>
        <v>1.1986E-2</v>
      </c>
      <c r="J323" s="988">
        <v>19268</v>
      </c>
    </row>
    <row r="324" spans="1:10">
      <c r="A324" s="987">
        <v>66</v>
      </c>
      <c r="B324" s="988">
        <v>19299</v>
      </c>
      <c r="C324" s="987" t="s">
        <v>4651</v>
      </c>
      <c r="D324" s="987" t="s">
        <v>4650</v>
      </c>
      <c r="E324" s="987">
        <v>8.875</v>
      </c>
      <c r="F324" s="987">
        <v>0</v>
      </c>
      <c r="G324" s="987">
        <v>0</v>
      </c>
      <c r="H324" s="986">
        <v>2.0999999999999999E-3</v>
      </c>
      <c r="I324" s="986">
        <f t="shared" si="5"/>
        <v>-2.0999999999999999E-3</v>
      </c>
      <c r="J324" s="988">
        <v>19299</v>
      </c>
    </row>
    <row r="325" spans="1:10">
      <c r="A325" s="987">
        <v>66</v>
      </c>
      <c r="B325" s="988">
        <v>19329</v>
      </c>
      <c r="C325" s="987" t="s">
        <v>4651</v>
      </c>
      <c r="D325" s="987" t="s">
        <v>4650</v>
      </c>
      <c r="E325" s="987">
        <v>9.5</v>
      </c>
      <c r="F325" s="987">
        <v>8.4506999999999999E-2</v>
      </c>
      <c r="G325" s="987">
        <v>0.125</v>
      </c>
      <c r="H325" s="986">
        <v>2.3999999999999998E-3</v>
      </c>
      <c r="I325" s="986">
        <f t="shared" si="5"/>
        <v>8.2106999999999999E-2</v>
      </c>
      <c r="J325" s="988">
        <v>19329</v>
      </c>
    </row>
    <row r="326" spans="1:10">
      <c r="A326" s="987">
        <v>66</v>
      </c>
      <c r="B326" s="988">
        <v>19360</v>
      </c>
      <c r="C326" s="987" t="s">
        <v>4651</v>
      </c>
      <c r="D326" s="987" t="s">
        <v>4650</v>
      </c>
      <c r="E326" s="987">
        <v>9.625</v>
      </c>
      <c r="F326" s="987">
        <v>1.3158E-2</v>
      </c>
      <c r="G326" s="987">
        <v>0</v>
      </c>
      <c r="H326" s="986">
        <v>2.3E-3</v>
      </c>
      <c r="I326" s="986">
        <f t="shared" si="5"/>
        <v>1.0858E-2</v>
      </c>
      <c r="J326" s="988">
        <v>19360</v>
      </c>
    </row>
    <row r="327" spans="1:10">
      <c r="A327" s="987">
        <v>66</v>
      </c>
      <c r="B327" s="988">
        <v>19391</v>
      </c>
      <c r="C327" s="987" t="s">
        <v>4651</v>
      </c>
      <c r="D327" s="987" t="s">
        <v>4650</v>
      </c>
      <c r="E327" s="987">
        <v>9</v>
      </c>
      <c r="F327" s="987">
        <v>-6.4935000000000007E-2</v>
      </c>
      <c r="G327" s="987">
        <v>0</v>
      </c>
      <c r="H327" s="986">
        <v>2.0999999999999999E-3</v>
      </c>
      <c r="I327" s="986">
        <f t="shared" si="5"/>
        <v>-6.7035000000000011E-2</v>
      </c>
      <c r="J327" s="988">
        <v>19391</v>
      </c>
    </row>
    <row r="328" spans="1:10">
      <c r="A328" s="987">
        <v>66</v>
      </c>
      <c r="B328" s="988">
        <v>19419</v>
      </c>
      <c r="C328" s="987" t="s">
        <v>4651</v>
      </c>
      <c r="D328" s="987" t="s">
        <v>4650</v>
      </c>
      <c r="E328" s="987">
        <v>9.125</v>
      </c>
      <c r="F328" s="987">
        <v>2.7778000000000001E-2</v>
      </c>
      <c r="G328" s="987">
        <v>0.125</v>
      </c>
      <c r="H328" s="986">
        <v>2.5000000000000001E-3</v>
      </c>
      <c r="I328" s="986">
        <f t="shared" si="5"/>
        <v>2.5278000000000002E-2</v>
      </c>
      <c r="J328" s="988">
        <v>19419</v>
      </c>
    </row>
    <row r="329" spans="1:10">
      <c r="A329" s="987">
        <v>66</v>
      </c>
      <c r="B329" s="988">
        <v>19450</v>
      </c>
      <c r="C329" s="987" t="s">
        <v>4651</v>
      </c>
      <c r="D329" s="987" t="s">
        <v>4650</v>
      </c>
      <c r="E329" s="987">
        <v>8.75</v>
      </c>
      <c r="F329" s="987">
        <v>-4.1096000000000001E-2</v>
      </c>
      <c r="G329" s="987">
        <v>0</v>
      </c>
      <c r="H329" s="986">
        <v>2.3999999999999998E-3</v>
      </c>
      <c r="I329" s="986">
        <f t="shared" si="5"/>
        <v>-4.3496E-2</v>
      </c>
      <c r="J329" s="988">
        <v>19450</v>
      </c>
    </row>
    <row r="330" spans="1:10">
      <c r="A330" s="987">
        <v>66</v>
      </c>
      <c r="B330" s="988">
        <v>19480</v>
      </c>
      <c r="C330" s="987" t="s">
        <v>4651</v>
      </c>
      <c r="D330" s="987" t="s">
        <v>4650</v>
      </c>
      <c r="E330" s="987">
        <v>8.75</v>
      </c>
      <c r="F330" s="987">
        <v>0</v>
      </c>
      <c r="G330" s="987">
        <v>0</v>
      </c>
      <c r="H330" s="986">
        <v>2.3999999999999998E-3</v>
      </c>
      <c r="I330" s="986">
        <f t="shared" si="5"/>
        <v>-2.3999999999999998E-3</v>
      </c>
      <c r="J330" s="988">
        <v>19480</v>
      </c>
    </row>
    <row r="331" spans="1:10">
      <c r="A331" s="987">
        <v>66</v>
      </c>
      <c r="B331" s="988">
        <v>19511</v>
      </c>
      <c r="C331" s="987" t="s">
        <v>4651</v>
      </c>
      <c r="D331" s="987" t="s">
        <v>4650</v>
      </c>
      <c r="E331" s="987">
        <v>8.5</v>
      </c>
      <c r="F331" s="987">
        <v>-1.4286E-2</v>
      </c>
      <c r="G331" s="987">
        <v>0.125</v>
      </c>
      <c r="H331" s="986">
        <v>2.7000000000000001E-3</v>
      </c>
      <c r="I331" s="986">
        <f t="shared" si="5"/>
        <v>-1.6986000000000001E-2</v>
      </c>
      <c r="J331" s="988">
        <v>19511</v>
      </c>
    </row>
    <row r="332" spans="1:10">
      <c r="A332" s="987">
        <v>66</v>
      </c>
      <c r="B332" s="988">
        <v>19541</v>
      </c>
      <c r="C332" s="987" t="s">
        <v>4651</v>
      </c>
      <c r="D332" s="987" t="s">
        <v>4650</v>
      </c>
      <c r="E332" s="987">
        <v>8.625</v>
      </c>
      <c r="F332" s="987">
        <v>1.4706E-2</v>
      </c>
      <c r="G332" s="987">
        <v>0</v>
      </c>
      <c r="H332" s="986">
        <v>2.5000000000000001E-3</v>
      </c>
      <c r="I332" s="986">
        <f t="shared" si="5"/>
        <v>1.2206E-2</v>
      </c>
      <c r="J332" s="988">
        <v>19541</v>
      </c>
    </row>
    <row r="333" spans="1:10">
      <c r="A333" s="987">
        <v>66</v>
      </c>
      <c r="B333" s="988">
        <v>19572</v>
      </c>
      <c r="C333" s="987" t="s">
        <v>4651</v>
      </c>
      <c r="D333" s="987" t="s">
        <v>4650</v>
      </c>
      <c r="E333" s="987">
        <v>8.5</v>
      </c>
      <c r="F333" s="987">
        <v>-1.4493000000000001E-2</v>
      </c>
      <c r="G333" s="987">
        <v>0</v>
      </c>
      <c r="H333" s="986">
        <v>2.5000000000000001E-3</v>
      </c>
      <c r="I333" s="986">
        <f t="shared" si="5"/>
        <v>-1.6993000000000001E-2</v>
      </c>
      <c r="J333" s="988">
        <v>19572</v>
      </c>
    </row>
    <row r="334" spans="1:10">
      <c r="A334" s="987">
        <v>66</v>
      </c>
      <c r="B334" s="988">
        <v>19603</v>
      </c>
      <c r="C334" s="987" t="s">
        <v>4651</v>
      </c>
      <c r="D334" s="987" t="s">
        <v>4650</v>
      </c>
      <c r="E334" s="987">
        <v>8.625</v>
      </c>
      <c r="F334" s="987">
        <v>2.9412000000000001E-2</v>
      </c>
      <c r="G334" s="987">
        <v>0.125</v>
      </c>
      <c r="H334" s="986">
        <v>2.5000000000000001E-3</v>
      </c>
      <c r="I334" s="986">
        <f t="shared" si="5"/>
        <v>2.6912000000000002E-2</v>
      </c>
      <c r="J334" s="988">
        <v>19603</v>
      </c>
    </row>
    <row r="335" spans="1:10">
      <c r="A335" s="987">
        <v>66</v>
      </c>
      <c r="B335" s="988">
        <v>19633</v>
      </c>
      <c r="C335" s="987" t="s">
        <v>4651</v>
      </c>
      <c r="D335" s="987" t="s">
        <v>4650</v>
      </c>
      <c r="E335" s="987">
        <v>9.5</v>
      </c>
      <c r="F335" s="987">
        <v>0.101449</v>
      </c>
      <c r="G335" s="987">
        <v>0</v>
      </c>
      <c r="H335" s="986">
        <v>2.3E-3</v>
      </c>
      <c r="I335" s="986">
        <f t="shared" si="5"/>
        <v>9.9149000000000001E-2</v>
      </c>
      <c r="J335" s="988">
        <v>19633</v>
      </c>
    </row>
    <row r="336" spans="1:10">
      <c r="A336" s="987">
        <v>66</v>
      </c>
      <c r="B336" s="988">
        <v>19664</v>
      </c>
      <c r="C336" s="987" t="s">
        <v>4651</v>
      </c>
      <c r="D336" s="987" t="s">
        <v>4650</v>
      </c>
      <c r="E336" s="987">
        <v>9.75</v>
      </c>
      <c r="F336" s="987">
        <v>2.6315999999999999E-2</v>
      </c>
      <c r="G336" s="987">
        <v>0</v>
      </c>
      <c r="H336" s="986">
        <v>2.3999999999999998E-3</v>
      </c>
      <c r="I336" s="986">
        <f t="shared" si="5"/>
        <v>2.3916E-2</v>
      </c>
      <c r="J336" s="988">
        <v>19664</v>
      </c>
    </row>
    <row r="337" spans="1:10">
      <c r="A337" s="987">
        <v>66</v>
      </c>
      <c r="B337" s="988">
        <v>19694</v>
      </c>
      <c r="C337" s="987" t="s">
        <v>4651</v>
      </c>
      <c r="D337" s="987" t="s">
        <v>4650</v>
      </c>
      <c r="E337" s="987">
        <v>9.875</v>
      </c>
      <c r="F337" s="987">
        <v>2.8205000000000001E-2</v>
      </c>
      <c r="G337" s="987">
        <v>0.15</v>
      </c>
      <c r="H337" s="986">
        <v>2.3999999999999998E-3</v>
      </c>
      <c r="I337" s="986">
        <f t="shared" si="5"/>
        <v>2.5805000000000002E-2</v>
      </c>
      <c r="J337" s="988">
        <v>19694</v>
      </c>
    </row>
    <row r="338" spans="1:10">
      <c r="A338" s="987">
        <v>66</v>
      </c>
      <c r="B338" s="988">
        <v>19725</v>
      </c>
      <c r="C338" s="987" t="s">
        <v>4651</v>
      </c>
      <c r="D338" s="987" t="s">
        <v>4650</v>
      </c>
      <c r="E338" s="987">
        <v>10.125</v>
      </c>
      <c r="F338" s="987">
        <v>2.5316000000000002E-2</v>
      </c>
      <c r="G338" s="987">
        <v>0</v>
      </c>
      <c r="H338" s="986">
        <v>2.3E-3</v>
      </c>
      <c r="I338" s="986">
        <f t="shared" si="5"/>
        <v>2.3016000000000002E-2</v>
      </c>
      <c r="J338" s="988">
        <v>19725</v>
      </c>
    </row>
    <row r="339" spans="1:10">
      <c r="A339" s="987">
        <v>66</v>
      </c>
      <c r="B339" s="988">
        <v>19756</v>
      </c>
      <c r="C339" s="987" t="s">
        <v>4651</v>
      </c>
      <c r="D339" s="987" t="s">
        <v>4650</v>
      </c>
      <c r="E339" s="987">
        <v>10.625</v>
      </c>
      <c r="F339" s="987">
        <v>4.9383000000000003E-2</v>
      </c>
      <c r="G339" s="987">
        <v>0</v>
      </c>
      <c r="H339" s="986">
        <v>2.2000000000000001E-3</v>
      </c>
      <c r="I339" s="986">
        <f t="shared" si="5"/>
        <v>4.7183000000000003E-2</v>
      </c>
      <c r="J339" s="988">
        <v>19756</v>
      </c>
    </row>
    <row r="340" spans="1:10">
      <c r="A340" s="987">
        <v>66</v>
      </c>
      <c r="B340" s="988">
        <v>19784</v>
      </c>
      <c r="C340" s="987" t="s">
        <v>4651</v>
      </c>
      <c r="D340" s="987" t="s">
        <v>4650</v>
      </c>
      <c r="E340" s="987">
        <v>10.75</v>
      </c>
      <c r="F340" s="987">
        <v>2.5881999999999999E-2</v>
      </c>
      <c r="G340" s="987">
        <v>0.15</v>
      </c>
      <c r="H340" s="986">
        <v>2.5000000000000001E-3</v>
      </c>
      <c r="I340" s="986">
        <f t="shared" si="5"/>
        <v>2.3382E-2</v>
      </c>
      <c r="J340" s="988">
        <v>19784</v>
      </c>
    </row>
    <row r="341" spans="1:10">
      <c r="A341" s="987">
        <v>66</v>
      </c>
      <c r="B341" s="988">
        <v>19815</v>
      </c>
      <c r="C341" s="987" t="s">
        <v>4651</v>
      </c>
      <c r="D341" s="987" t="s">
        <v>4650</v>
      </c>
      <c r="E341" s="987">
        <v>10.75</v>
      </c>
      <c r="F341" s="987">
        <v>0</v>
      </c>
      <c r="G341" s="987">
        <v>0</v>
      </c>
      <c r="H341" s="986">
        <v>2.2000000000000001E-3</v>
      </c>
      <c r="I341" s="986">
        <f t="shared" si="5"/>
        <v>-2.2000000000000001E-3</v>
      </c>
      <c r="J341" s="988">
        <v>19815</v>
      </c>
    </row>
    <row r="342" spans="1:10">
      <c r="A342" s="987">
        <v>66</v>
      </c>
      <c r="B342" s="988">
        <v>19845</v>
      </c>
      <c r="C342" s="987" t="s">
        <v>4651</v>
      </c>
      <c r="D342" s="987" t="s">
        <v>4650</v>
      </c>
      <c r="E342" s="987">
        <v>11.75</v>
      </c>
      <c r="F342" s="987">
        <v>9.3022999999999995E-2</v>
      </c>
      <c r="G342" s="987">
        <v>0</v>
      </c>
      <c r="H342" s="986">
        <v>2E-3</v>
      </c>
      <c r="I342" s="986">
        <f t="shared" si="5"/>
        <v>9.1022999999999993E-2</v>
      </c>
      <c r="J342" s="988">
        <v>19845</v>
      </c>
    </row>
    <row r="343" spans="1:10">
      <c r="A343" s="987">
        <v>66</v>
      </c>
      <c r="B343" s="988">
        <v>19876</v>
      </c>
      <c r="C343" s="987" t="s">
        <v>4651</v>
      </c>
      <c r="D343" s="987" t="s">
        <v>4650</v>
      </c>
      <c r="E343" s="987">
        <v>11.5</v>
      </c>
      <c r="F343" s="987">
        <v>-8.5109999999999995E-3</v>
      </c>
      <c r="G343" s="987">
        <v>0.15</v>
      </c>
      <c r="H343" s="986">
        <v>2.5000000000000001E-3</v>
      </c>
      <c r="I343" s="986">
        <f t="shared" si="5"/>
        <v>-1.1011E-2</v>
      </c>
      <c r="J343" s="988">
        <v>19876</v>
      </c>
    </row>
    <row r="344" spans="1:10">
      <c r="A344" s="987">
        <v>66</v>
      </c>
      <c r="B344" s="988">
        <v>19906</v>
      </c>
      <c r="C344" s="987" t="s">
        <v>4651</v>
      </c>
      <c r="D344" s="987" t="s">
        <v>4650</v>
      </c>
      <c r="E344" s="987">
        <v>11.5</v>
      </c>
      <c r="F344" s="987">
        <v>0</v>
      </c>
      <c r="G344" s="987">
        <v>0</v>
      </c>
      <c r="H344" s="986">
        <v>2.2000000000000001E-3</v>
      </c>
      <c r="I344" s="986">
        <f t="shared" si="5"/>
        <v>-2.2000000000000001E-3</v>
      </c>
      <c r="J344" s="988">
        <v>19906</v>
      </c>
    </row>
    <row r="345" spans="1:10">
      <c r="A345" s="987">
        <v>66</v>
      </c>
      <c r="B345" s="988">
        <v>19937</v>
      </c>
      <c r="C345" s="987" t="s">
        <v>4651</v>
      </c>
      <c r="D345" s="987" t="s">
        <v>4650</v>
      </c>
      <c r="E345" s="987">
        <v>11.875</v>
      </c>
      <c r="F345" s="987">
        <v>3.2608999999999999E-2</v>
      </c>
      <c r="G345" s="987">
        <v>0</v>
      </c>
      <c r="H345" s="986">
        <v>2.3E-3</v>
      </c>
      <c r="I345" s="986">
        <f t="shared" si="5"/>
        <v>3.0308999999999999E-2</v>
      </c>
      <c r="J345" s="988">
        <v>19937</v>
      </c>
    </row>
    <row r="346" spans="1:10">
      <c r="A346" s="987">
        <v>66</v>
      </c>
      <c r="B346" s="988">
        <v>19968</v>
      </c>
      <c r="C346" s="987" t="s">
        <v>4651</v>
      </c>
      <c r="D346" s="987" t="s">
        <v>4650</v>
      </c>
      <c r="E346" s="987">
        <v>11.625</v>
      </c>
      <c r="F346" s="987">
        <v>-8.4209999999999997E-3</v>
      </c>
      <c r="G346" s="987">
        <v>0.15</v>
      </c>
      <c r="H346" s="986">
        <v>2.2000000000000001E-3</v>
      </c>
      <c r="I346" s="986">
        <f t="shared" si="5"/>
        <v>-1.0621E-2</v>
      </c>
      <c r="J346" s="988">
        <v>19968</v>
      </c>
    </row>
    <row r="347" spans="1:10">
      <c r="A347" s="987">
        <v>66</v>
      </c>
      <c r="B347" s="988">
        <v>19998</v>
      </c>
      <c r="C347" s="987" t="s">
        <v>4651</v>
      </c>
      <c r="D347" s="987" t="s">
        <v>4650</v>
      </c>
      <c r="E347" s="987">
        <v>11.25</v>
      </c>
      <c r="F347" s="987">
        <v>-3.2258000000000002E-2</v>
      </c>
      <c r="G347" s="987">
        <v>0</v>
      </c>
      <c r="H347" s="986">
        <v>2.0999999999999999E-3</v>
      </c>
      <c r="I347" s="986">
        <f t="shared" si="5"/>
        <v>-3.4358E-2</v>
      </c>
      <c r="J347" s="988">
        <v>19998</v>
      </c>
    </row>
    <row r="348" spans="1:10">
      <c r="A348" s="987">
        <v>66</v>
      </c>
      <c r="B348" s="988">
        <v>20029</v>
      </c>
      <c r="C348" s="987" t="s">
        <v>4651</v>
      </c>
      <c r="D348" s="987" t="s">
        <v>4650</v>
      </c>
      <c r="E348" s="987">
        <v>12.375</v>
      </c>
      <c r="F348" s="987">
        <v>0.1</v>
      </c>
      <c r="G348" s="987">
        <v>0</v>
      </c>
      <c r="H348" s="986">
        <v>2.3E-3</v>
      </c>
      <c r="I348" s="986">
        <f t="shared" si="5"/>
        <v>9.7700000000000009E-2</v>
      </c>
      <c r="J348" s="988">
        <v>20029</v>
      </c>
    </row>
    <row r="349" spans="1:10">
      <c r="A349" s="987">
        <v>66</v>
      </c>
      <c r="B349" s="988">
        <v>20059</v>
      </c>
      <c r="C349" s="987" t="s">
        <v>4651</v>
      </c>
      <c r="D349" s="987" t="s">
        <v>4650</v>
      </c>
      <c r="E349" s="987">
        <v>13.375</v>
      </c>
      <c r="F349" s="987">
        <v>9.2928999999999998E-2</v>
      </c>
      <c r="G349" s="987">
        <v>0.15</v>
      </c>
      <c r="H349" s="986">
        <v>2.3E-3</v>
      </c>
      <c r="I349" s="986">
        <f t="shared" si="5"/>
        <v>9.0629000000000001E-2</v>
      </c>
      <c r="J349" s="988">
        <v>20059</v>
      </c>
    </row>
    <row r="350" spans="1:10">
      <c r="A350" s="987">
        <v>66</v>
      </c>
      <c r="B350" s="988">
        <v>20090</v>
      </c>
      <c r="C350" s="987" t="s">
        <v>4651</v>
      </c>
      <c r="D350" s="987" t="s">
        <v>4650</v>
      </c>
      <c r="E350" s="987">
        <v>13.875</v>
      </c>
      <c r="F350" s="987">
        <v>3.7383E-2</v>
      </c>
      <c r="G350" s="987">
        <v>0</v>
      </c>
      <c r="H350" s="986">
        <v>2.2000000000000001E-3</v>
      </c>
      <c r="I350" s="986">
        <f t="shared" si="5"/>
        <v>3.5182999999999999E-2</v>
      </c>
      <c r="J350" s="988">
        <v>20090</v>
      </c>
    </row>
    <row r="351" spans="1:10">
      <c r="A351" s="987">
        <v>66</v>
      </c>
      <c r="B351" s="988">
        <v>20121</v>
      </c>
      <c r="C351" s="987" t="s">
        <v>4651</v>
      </c>
      <c r="D351" s="987" t="s">
        <v>4650</v>
      </c>
      <c r="E351" s="987">
        <v>13.125</v>
      </c>
      <c r="F351" s="987">
        <v>-5.4053999999999998E-2</v>
      </c>
      <c r="G351" s="987">
        <v>0</v>
      </c>
      <c r="H351" s="986">
        <v>2.2000000000000001E-3</v>
      </c>
      <c r="I351" s="986">
        <f t="shared" si="5"/>
        <v>-5.6253999999999998E-2</v>
      </c>
      <c r="J351" s="988">
        <v>20121</v>
      </c>
    </row>
    <row r="352" spans="1:10">
      <c r="A352" s="987">
        <v>66</v>
      </c>
      <c r="B352" s="988">
        <v>20149</v>
      </c>
      <c r="C352" s="987" t="s">
        <v>4651</v>
      </c>
      <c r="D352" s="987" t="s">
        <v>4650</v>
      </c>
      <c r="E352" s="987">
        <v>13</v>
      </c>
      <c r="F352" s="987">
        <v>1.905E-3</v>
      </c>
      <c r="G352" s="987">
        <v>0.15</v>
      </c>
      <c r="H352" s="986">
        <v>2.3999999999999998E-3</v>
      </c>
      <c r="I352" s="986">
        <f t="shared" si="5"/>
        <v>-4.9499999999999978E-4</v>
      </c>
      <c r="J352" s="988">
        <v>20149</v>
      </c>
    </row>
    <row r="353" spans="1:10">
      <c r="A353" s="987">
        <v>66</v>
      </c>
      <c r="B353" s="988">
        <v>20180</v>
      </c>
      <c r="C353" s="987" t="s">
        <v>4651</v>
      </c>
      <c r="D353" s="987" t="s">
        <v>4650</v>
      </c>
      <c r="E353" s="987">
        <v>13.125</v>
      </c>
      <c r="F353" s="987">
        <v>9.6150000000000003E-3</v>
      </c>
      <c r="G353" s="987">
        <v>0</v>
      </c>
      <c r="H353" s="986">
        <v>2.2000000000000001E-3</v>
      </c>
      <c r="I353" s="986">
        <f t="shared" si="5"/>
        <v>7.4149999999999997E-3</v>
      </c>
      <c r="J353" s="988">
        <v>20180</v>
      </c>
    </row>
    <row r="354" spans="1:10">
      <c r="A354" s="987">
        <v>66</v>
      </c>
      <c r="B354" s="988">
        <v>20210</v>
      </c>
      <c r="C354" s="987" t="s">
        <v>4651</v>
      </c>
      <c r="D354" s="987" t="s">
        <v>4650</v>
      </c>
      <c r="E354" s="987">
        <v>13.25</v>
      </c>
      <c r="F354" s="987">
        <v>9.5239999999999995E-3</v>
      </c>
      <c r="G354" s="987">
        <v>0</v>
      </c>
      <c r="H354" s="986">
        <v>2.5000000000000001E-3</v>
      </c>
      <c r="I354" s="986">
        <f t="shared" si="5"/>
        <v>7.023999999999999E-3</v>
      </c>
      <c r="J354" s="988">
        <v>20210</v>
      </c>
    </row>
    <row r="355" spans="1:10">
      <c r="A355" s="987">
        <v>66</v>
      </c>
      <c r="B355" s="988">
        <v>20241</v>
      </c>
      <c r="C355" s="987" t="s">
        <v>4651</v>
      </c>
      <c r="D355" s="987" t="s">
        <v>4650</v>
      </c>
      <c r="E355" s="987">
        <v>13.125</v>
      </c>
      <c r="F355" s="987">
        <v>1.887E-3</v>
      </c>
      <c r="G355" s="987">
        <v>0.15</v>
      </c>
      <c r="H355" s="986">
        <v>2.3E-3</v>
      </c>
      <c r="I355" s="986">
        <f t="shared" si="5"/>
        <v>-4.1299999999999996E-4</v>
      </c>
      <c r="J355" s="988">
        <v>20241</v>
      </c>
    </row>
    <row r="356" spans="1:10">
      <c r="A356" s="987">
        <v>66</v>
      </c>
      <c r="B356" s="988">
        <v>20271</v>
      </c>
      <c r="C356" s="987" t="s">
        <v>4651</v>
      </c>
      <c r="D356" s="987" t="s">
        <v>4650</v>
      </c>
      <c r="E356" s="987">
        <v>14</v>
      </c>
      <c r="F356" s="987">
        <v>6.6667000000000004E-2</v>
      </c>
      <c r="G356" s="987">
        <v>0</v>
      </c>
      <c r="H356" s="986">
        <v>2.3E-3</v>
      </c>
      <c r="I356" s="986">
        <f t="shared" si="5"/>
        <v>6.4367000000000008E-2</v>
      </c>
      <c r="J356" s="988">
        <v>20271</v>
      </c>
    </row>
    <row r="357" spans="1:10">
      <c r="A357" s="987">
        <v>66</v>
      </c>
      <c r="B357" s="988">
        <v>20302</v>
      </c>
      <c r="C357" s="987" t="s">
        <v>4651</v>
      </c>
      <c r="D357" s="987" t="s">
        <v>4650</v>
      </c>
      <c r="E357" s="987">
        <v>14.5</v>
      </c>
      <c r="F357" s="987">
        <v>3.5714000000000003E-2</v>
      </c>
      <c r="G357" s="987">
        <v>0</v>
      </c>
      <c r="H357" s="986">
        <v>2.7000000000000001E-3</v>
      </c>
      <c r="I357" s="986">
        <f t="shared" si="5"/>
        <v>3.3014000000000002E-2</v>
      </c>
      <c r="J357" s="988">
        <v>20302</v>
      </c>
    </row>
    <row r="358" spans="1:10">
      <c r="A358" s="987">
        <v>66</v>
      </c>
      <c r="B358" s="988">
        <v>20333</v>
      </c>
      <c r="C358" s="987" t="s">
        <v>4651</v>
      </c>
      <c r="D358" s="987" t="s">
        <v>4650</v>
      </c>
      <c r="E358" s="987">
        <v>14.875</v>
      </c>
      <c r="F358" s="987">
        <v>3.8275999999999998E-2</v>
      </c>
      <c r="G358" s="987">
        <v>0.18</v>
      </c>
      <c r="H358" s="986">
        <v>2.3999999999999998E-3</v>
      </c>
      <c r="I358" s="986">
        <f t="shared" si="5"/>
        <v>3.5875999999999998E-2</v>
      </c>
      <c r="J358" s="988">
        <v>20333</v>
      </c>
    </row>
    <row r="359" spans="1:10">
      <c r="A359" s="987">
        <v>66</v>
      </c>
      <c r="B359" s="988">
        <v>20363</v>
      </c>
      <c r="C359" s="987" t="s">
        <v>4651</v>
      </c>
      <c r="D359" s="987" t="s">
        <v>4650</v>
      </c>
      <c r="E359" s="987">
        <v>14.625</v>
      </c>
      <c r="F359" s="987">
        <v>-1.6806999999999999E-2</v>
      </c>
      <c r="G359" s="987">
        <v>0</v>
      </c>
      <c r="H359" s="986">
        <v>2.5000000000000001E-3</v>
      </c>
      <c r="I359" s="986">
        <f t="shared" si="5"/>
        <v>-1.9306999999999998E-2</v>
      </c>
      <c r="J359" s="988">
        <v>20363</v>
      </c>
    </row>
    <row r="360" spans="1:10">
      <c r="A360" s="987">
        <v>66</v>
      </c>
      <c r="B360" s="988">
        <v>20394</v>
      </c>
      <c r="C360" s="987" t="s">
        <v>4651</v>
      </c>
      <c r="D360" s="987" t="s">
        <v>4650</v>
      </c>
      <c r="E360" s="987">
        <v>14.625</v>
      </c>
      <c r="F360" s="987">
        <v>0</v>
      </c>
      <c r="G360" s="987">
        <v>0</v>
      </c>
      <c r="H360" s="986">
        <v>2.3999999999999998E-3</v>
      </c>
      <c r="I360" s="986">
        <f t="shared" si="5"/>
        <v>-2.3999999999999998E-3</v>
      </c>
      <c r="J360" s="988">
        <v>20394</v>
      </c>
    </row>
    <row r="361" spans="1:10">
      <c r="A361" s="987">
        <v>66</v>
      </c>
      <c r="B361" s="988">
        <v>20424</v>
      </c>
      <c r="C361" s="987" t="s">
        <v>4651</v>
      </c>
      <c r="D361" s="987" t="s">
        <v>4650</v>
      </c>
      <c r="E361" s="987">
        <v>15.5</v>
      </c>
      <c r="F361" s="987">
        <v>7.2137000000000007E-2</v>
      </c>
      <c r="G361" s="987">
        <v>0.18</v>
      </c>
      <c r="H361" s="986">
        <v>2.3999999999999998E-3</v>
      </c>
      <c r="I361" s="986">
        <f t="shared" si="5"/>
        <v>6.9737000000000007E-2</v>
      </c>
      <c r="J361" s="988">
        <v>20424</v>
      </c>
    </row>
    <row r="362" spans="1:10">
      <c r="A362" s="987">
        <v>66</v>
      </c>
      <c r="B362" s="988">
        <v>20455</v>
      </c>
      <c r="C362" s="987" t="s">
        <v>4651</v>
      </c>
      <c r="D362" s="987" t="s">
        <v>4650</v>
      </c>
      <c r="E362" s="987">
        <v>15.375</v>
      </c>
      <c r="F362" s="987">
        <v>-8.0649999999999993E-3</v>
      </c>
      <c r="G362" s="987">
        <v>0</v>
      </c>
      <c r="H362" s="986">
        <v>2.5000000000000001E-3</v>
      </c>
      <c r="I362" s="986">
        <f t="shared" si="5"/>
        <v>-1.0565E-2</v>
      </c>
      <c r="J362" s="988">
        <v>20455</v>
      </c>
    </row>
    <row r="363" spans="1:10">
      <c r="A363" s="987">
        <v>66</v>
      </c>
      <c r="B363" s="988">
        <v>20486</v>
      </c>
      <c r="C363" s="987" t="s">
        <v>4651</v>
      </c>
      <c r="D363" s="987" t="s">
        <v>4650</v>
      </c>
      <c r="E363" s="987">
        <v>15.875</v>
      </c>
      <c r="F363" s="987">
        <v>3.252E-2</v>
      </c>
      <c r="G363" s="987">
        <v>0</v>
      </c>
      <c r="H363" s="986">
        <v>2.3E-3</v>
      </c>
      <c r="I363" s="986">
        <f t="shared" si="5"/>
        <v>3.022E-2</v>
      </c>
      <c r="J363" s="988">
        <v>20486</v>
      </c>
    </row>
    <row r="364" spans="1:10">
      <c r="A364" s="987">
        <v>66</v>
      </c>
      <c r="B364" s="988">
        <v>20515</v>
      </c>
      <c r="C364" s="987" t="s">
        <v>4651</v>
      </c>
      <c r="D364" s="987" t="s">
        <v>4650</v>
      </c>
      <c r="E364" s="987">
        <v>15</v>
      </c>
      <c r="F364" s="987">
        <v>-3.7218000000000001E-2</v>
      </c>
      <c r="G364" s="987">
        <v>0.18</v>
      </c>
      <c r="H364" s="986">
        <v>2.3E-3</v>
      </c>
      <c r="I364" s="986">
        <f t="shared" si="5"/>
        <v>-3.9517999999999998E-2</v>
      </c>
      <c r="J364" s="988">
        <v>20515</v>
      </c>
    </row>
    <row r="365" spans="1:10">
      <c r="A365" s="987">
        <v>66</v>
      </c>
      <c r="B365" s="988">
        <v>20546</v>
      </c>
      <c r="C365" s="987" t="s">
        <v>4651</v>
      </c>
      <c r="D365" s="987" t="s">
        <v>4650</v>
      </c>
      <c r="E365" s="987">
        <v>15.375</v>
      </c>
      <c r="F365" s="987">
        <v>2.5000000000000001E-2</v>
      </c>
      <c r="G365" s="987">
        <v>0</v>
      </c>
      <c r="H365" s="986">
        <v>2.5999999999999999E-3</v>
      </c>
      <c r="I365" s="986">
        <f t="shared" si="5"/>
        <v>2.2400000000000003E-2</v>
      </c>
      <c r="J365" s="988">
        <v>20546</v>
      </c>
    </row>
    <row r="366" spans="1:10">
      <c r="A366" s="987">
        <v>66</v>
      </c>
      <c r="B366" s="988">
        <v>20576</v>
      </c>
      <c r="C366" s="987" t="s">
        <v>4651</v>
      </c>
      <c r="D366" s="987" t="s">
        <v>4650</v>
      </c>
      <c r="E366" s="987">
        <v>15.5</v>
      </c>
      <c r="F366" s="987">
        <v>8.1300000000000001E-3</v>
      </c>
      <c r="G366" s="987">
        <v>0</v>
      </c>
      <c r="H366" s="986">
        <v>2.5999999999999999E-3</v>
      </c>
      <c r="I366" s="986">
        <f t="shared" si="5"/>
        <v>5.5300000000000002E-3</v>
      </c>
      <c r="J366" s="988">
        <v>20576</v>
      </c>
    </row>
    <row r="367" spans="1:10">
      <c r="A367" s="987">
        <v>66</v>
      </c>
      <c r="B367" s="988">
        <v>20607</v>
      </c>
      <c r="C367" s="987" t="s">
        <v>4651</v>
      </c>
      <c r="D367" s="987" t="s">
        <v>4650</v>
      </c>
      <c r="E367" s="987">
        <v>15.75</v>
      </c>
      <c r="F367" s="987">
        <v>2.7741999999999999E-2</v>
      </c>
      <c r="G367" s="987">
        <v>0.18</v>
      </c>
      <c r="H367" s="986">
        <v>2.3E-3</v>
      </c>
      <c r="I367" s="986">
        <f t="shared" si="5"/>
        <v>2.5441999999999999E-2</v>
      </c>
      <c r="J367" s="988">
        <v>20607</v>
      </c>
    </row>
    <row r="368" spans="1:10">
      <c r="A368" s="987">
        <v>66</v>
      </c>
      <c r="B368" s="988">
        <v>20637</v>
      </c>
      <c r="C368" s="987" t="s">
        <v>4651</v>
      </c>
      <c r="D368" s="987" t="s">
        <v>4650</v>
      </c>
      <c r="E368" s="987">
        <v>16</v>
      </c>
      <c r="F368" s="987">
        <v>1.5873000000000002E-2</v>
      </c>
      <c r="G368" s="987">
        <v>0</v>
      </c>
      <c r="H368" s="986">
        <v>2.5999999999999999E-3</v>
      </c>
      <c r="I368" s="986">
        <f t="shared" si="5"/>
        <v>1.3273000000000002E-2</v>
      </c>
      <c r="J368" s="988">
        <v>20637</v>
      </c>
    </row>
    <row r="369" spans="1:10">
      <c r="A369" s="987">
        <v>66</v>
      </c>
      <c r="B369" s="988">
        <v>20668</v>
      </c>
      <c r="C369" s="987" t="s">
        <v>4651</v>
      </c>
      <c r="D369" s="987" t="s">
        <v>4650</v>
      </c>
      <c r="E369" s="987">
        <v>16</v>
      </c>
      <c r="F369" s="987">
        <v>0</v>
      </c>
      <c r="G369" s="987">
        <v>0</v>
      </c>
      <c r="H369" s="986">
        <v>2.5999999999999999E-3</v>
      </c>
      <c r="I369" s="986">
        <f t="shared" si="5"/>
        <v>-2.5999999999999999E-3</v>
      </c>
      <c r="J369" s="988">
        <v>20668</v>
      </c>
    </row>
    <row r="370" spans="1:10">
      <c r="A370" s="987">
        <v>66</v>
      </c>
      <c r="B370" s="988">
        <v>20699</v>
      </c>
      <c r="C370" s="987" t="s">
        <v>4651</v>
      </c>
      <c r="D370" s="987" t="s">
        <v>4650</v>
      </c>
      <c r="E370" s="987">
        <v>16</v>
      </c>
      <c r="F370" s="987">
        <v>1.2500000000000001E-2</v>
      </c>
      <c r="G370" s="987">
        <v>0.2</v>
      </c>
      <c r="H370" s="986">
        <v>2.5000000000000001E-3</v>
      </c>
      <c r="I370" s="986">
        <f t="shared" si="5"/>
        <v>0.01</v>
      </c>
      <c r="J370" s="988">
        <v>20699</v>
      </c>
    </row>
    <row r="371" spans="1:10">
      <c r="A371" s="987">
        <v>66</v>
      </c>
      <c r="B371" s="988">
        <v>20729</v>
      </c>
      <c r="C371" s="987" t="s">
        <v>4651</v>
      </c>
      <c r="D371" s="987" t="s">
        <v>4650</v>
      </c>
      <c r="E371" s="987">
        <v>16</v>
      </c>
      <c r="F371" s="987">
        <v>0</v>
      </c>
      <c r="G371" s="987">
        <v>0</v>
      </c>
      <c r="H371" s="986">
        <v>2.8999999999999998E-3</v>
      </c>
      <c r="I371" s="986">
        <f t="shared" si="5"/>
        <v>-2.8999999999999998E-3</v>
      </c>
      <c r="J371" s="988">
        <v>20729</v>
      </c>
    </row>
    <row r="372" spans="1:10">
      <c r="A372" s="987">
        <v>66</v>
      </c>
      <c r="B372" s="988">
        <v>20760</v>
      </c>
      <c r="C372" s="987" t="s">
        <v>4651</v>
      </c>
      <c r="D372" s="987" t="s">
        <v>4650</v>
      </c>
      <c r="E372" s="987">
        <v>16</v>
      </c>
      <c r="F372" s="987">
        <v>0</v>
      </c>
      <c r="G372" s="987">
        <v>0</v>
      </c>
      <c r="H372" s="986">
        <v>2.7000000000000001E-3</v>
      </c>
      <c r="I372" s="986">
        <f t="shared" si="5"/>
        <v>-2.7000000000000001E-3</v>
      </c>
      <c r="J372" s="988">
        <v>20760</v>
      </c>
    </row>
    <row r="373" spans="1:10">
      <c r="A373" s="987">
        <v>66</v>
      </c>
      <c r="B373" s="988">
        <v>20790</v>
      </c>
      <c r="C373" s="987" t="s">
        <v>4651</v>
      </c>
      <c r="D373" s="987" t="s">
        <v>4650</v>
      </c>
      <c r="E373" s="987">
        <v>15.625</v>
      </c>
      <c r="F373" s="987">
        <v>-1.0937000000000001E-2</v>
      </c>
      <c r="G373" s="987">
        <v>0.2</v>
      </c>
      <c r="H373" s="986">
        <v>2.8E-3</v>
      </c>
      <c r="I373" s="986">
        <f t="shared" si="5"/>
        <v>-1.3737000000000001E-2</v>
      </c>
      <c r="J373" s="988">
        <v>20790</v>
      </c>
    </row>
    <row r="374" spans="1:10">
      <c r="A374" s="987">
        <v>66</v>
      </c>
      <c r="B374" s="988">
        <v>20821</v>
      </c>
      <c r="C374" s="987" t="s">
        <v>4651</v>
      </c>
      <c r="D374" s="987" t="s">
        <v>4650</v>
      </c>
      <c r="E374" s="987">
        <v>15</v>
      </c>
      <c r="F374" s="987">
        <v>-0.04</v>
      </c>
      <c r="G374" s="987">
        <v>0</v>
      </c>
      <c r="H374" s="986">
        <v>2.8999999999999998E-3</v>
      </c>
      <c r="I374" s="986">
        <f t="shared" si="5"/>
        <v>-4.2900000000000001E-2</v>
      </c>
      <c r="J374" s="988">
        <v>20821</v>
      </c>
    </row>
    <row r="375" spans="1:10">
      <c r="A375" s="987">
        <v>66</v>
      </c>
      <c r="B375" s="988">
        <v>20852</v>
      </c>
      <c r="C375" s="987" t="s">
        <v>4651</v>
      </c>
      <c r="D375" s="987" t="s">
        <v>4650</v>
      </c>
      <c r="E375" s="987">
        <v>15.375</v>
      </c>
      <c r="F375" s="987">
        <v>2.5000000000000001E-2</v>
      </c>
      <c r="G375" s="987">
        <v>0</v>
      </c>
      <c r="H375" s="986">
        <v>2.5000000000000001E-3</v>
      </c>
      <c r="I375" s="986">
        <f t="shared" si="5"/>
        <v>2.2500000000000003E-2</v>
      </c>
      <c r="J375" s="988">
        <v>20852</v>
      </c>
    </row>
    <row r="376" spans="1:10">
      <c r="A376" s="987">
        <v>66</v>
      </c>
      <c r="B376" s="988">
        <v>20880</v>
      </c>
      <c r="C376" s="987" t="s">
        <v>4651</v>
      </c>
      <c r="D376" s="987" t="s">
        <v>4650</v>
      </c>
      <c r="E376" s="987">
        <v>15.25</v>
      </c>
      <c r="F376" s="987">
        <v>4.8780000000000004E-3</v>
      </c>
      <c r="G376" s="987">
        <v>0.2</v>
      </c>
      <c r="H376" s="986">
        <v>2.5999999999999999E-3</v>
      </c>
      <c r="I376" s="986">
        <f t="shared" si="5"/>
        <v>2.2780000000000005E-3</v>
      </c>
      <c r="J376" s="988">
        <v>20880</v>
      </c>
    </row>
    <row r="377" spans="1:10">
      <c r="A377" s="987">
        <v>66</v>
      </c>
      <c r="B377" s="988">
        <v>20911</v>
      </c>
      <c r="C377" s="987" t="s">
        <v>4651</v>
      </c>
      <c r="D377" s="987" t="s">
        <v>4650</v>
      </c>
      <c r="E377" s="987">
        <v>15</v>
      </c>
      <c r="F377" s="987">
        <v>-1.6393000000000001E-2</v>
      </c>
      <c r="G377" s="987">
        <v>0</v>
      </c>
      <c r="H377" s="986">
        <v>2.8999999999999998E-3</v>
      </c>
      <c r="I377" s="986">
        <f t="shared" si="5"/>
        <v>-1.9293000000000001E-2</v>
      </c>
      <c r="J377" s="988">
        <v>20911</v>
      </c>
    </row>
    <row r="378" spans="1:10">
      <c r="A378" s="987">
        <v>66</v>
      </c>
      <c r="B378" s="988">
        <v>20941</v>
      </c>
      <c r="C378" s="987" t="s">
        <v>4651</v>
      </c>
      <c r="D378" s="987" t="s">
        <v>4650</v>
      </c>
      <c r="E378" s="987">
        <v>14.75</v>
      </c>
      <c r="F378" s="987">
        <v>-1.6667000000000001E-2</v>
      </c>
      <c r="G378" s="987">
        <v>0</v>
      </c>
      <c r="H378" s="986">
        <v>2.8999999999999998E-3</v>
      </c>
      <c r="I378" s="986">
        <f t="shared" si="5"/>
        <v>-1.9567000000000001E-2</v>
      </c>
      <c r="J378" s="988">
        <v>20941</v>
      </c>
    </row>
    <row r="379" spans="1:10">
      <c r="A379" s="987">
        <v>66</v>
      </c>
      <c r="B379" s="988">
        <v>20972</v>
      </c>
      <c r="C379" s="987" t="s">
        <v>4651</v>
      </c>
      <c r="D379" s="987" t="s">
        <v>4650</v>
      </c>
      <c r="E379" s="987">
        <v>14</v>
      </c>
      <c r="F379" s="987">
        <v>-3.7288000000000002E-2</v>
      </c>
      <c r="G379" s="987">
        <v>0.2</v>
      </c>
      <c r="H379" s="986">
        <v>2.5000000000000001E-3</v>
      </c>
      <c r="I379" s="986">
        <f t="shared" si="5"/>
        <v>-3.9788000000000004E-2</v>
      </c>
      <c r="J379" s="988">
        <v>20972</v>
      </c>
    </row>
    <row r="380" spans="1:10">
      <c r="A380" s="987">
        <v>66</v>
      </c>
      <c r="B380" s="988">
        <v>21002</v>
      </c>
      <c r="C380" s="987" t="s">
        <v>4651</v>
      </c>
      <c r="D380" s="987" t="s">
        <v>4650</v>
      </c>
      <c r="E380" s="987">
        <v>14.25</v>
      </c>
      <c r="F380" s="987">
        <v>1.7857000000000001E-2</v>
      </c>
      <c r="G380" s="987">
        <v>0</v>
      </c>
      <c r="H380" s="986">
        <v>3.3E-3</v>
      </c>
      <c r="I380" s="986">
        <f t="shared" si="5"/>
        <v>1.4557E-2</v>
      </c>
      <c r="J380" s="988">
        <v>21002</v>
      </c>
    </row>
    <row r="381" spans="1:10">
      <c r="A381" s="987">
        <v>66</v>
      </c>
      <c r="B381" s="988">
        <v>21033</v>
      </c>
      <c r="C381" s="987" t="s">
        <v>4651</v>
      </c>
      <c r="D381" s="987" t="s">
        <v>4650</v>
      </c>
      <c r="E381" s="987">
        <v>14</v>
      </c>
      <c r="F381" s="987">
        <v>-1.7544000000000001E-2</v>
      </c>
      <c r="G381" s="987">
        <v>0</v>
      </c>
      <c r="H381" s="986">
        <v>3.0000000000000001E-3</v>
      </c>
      <c r="I381" s="986">
        <f t="shared" si="5"/>
        <v>-2.0544E-2</v>
      </c>
      <c r="J381" s="988">
        <v>21033</v>
      </c>
    </row>
    <row r="382" spans="1:10">
      <c r="A382" s="987">
        <v>66</v>
      </c>
      <c r="B382" s="988">
        <v>21064</v>
      </c>
      <c r="C382" s="987" t="s">
        <v>4651</v>
      </c>
      <c r="D382" s="987" t="s">
        <v>4650</v>
      </c>
      <c r="E382" s="987">
        <v>13.875</v>
      </c>
      <c r="F382" s="987">
        <v>5.3569999999999998E-3</v>
      </c>
      <c r="G382" s="987">
        <v>0.2</v>
      </c>
      <c r="H382" s="986">
        <v>3.0999999999999999E-3</v>
      </c>
      <c r="I382" s="986">
        <f t="shared" si="5"/>
        <v>2.2569999999999999E-3</v>
      </c>
      <c r="J382" s="988">
        <v>21064</v>
      </c>
    </row>
    <row r="383" spans="1:10">
      <c r="A383" s="987">
        <v>66</v>
      </c>
      <c r="B383" s="988">
        <v>21094</v>
      </c>
      <c r="C383" s="987" t="s">
        <v>4651</v>
      </c>
      <c r="D383" s="987" t="s">
        <v>4650</v>
      </c>
      <c r="E383" s="987">
        <v>12.875</v>
      </c>
      <c r="F383" s="987">
        <v>-7.2071999999999997E-2</v>
      </c>
      <c r="G383" s="987">
        <v>0</v>
      </c>
      <c r="H383" s="986">
        <v>3.0999999999999999E-3</v>
      </c>
      <c r="I383" s="986">
        <f t="shared" si="5"/>
        <v>-7.5172000000000003E-2</v>
      </c>
      <c r="J383" s="988">
        <v>21094</v>
      </c>
    </row>
    <row r="384" spans="1:10">
      <c r="A384" s="987">
        <v>66</v>
      </c>
      <c r="B384" s="988">
        <v>21125</v>
      </c>
      <c r="C384" s="987" t="s">
        <v>4651</v>
      </c>
      <c r="D384" s="987" t="s">
        <v>4650</v>
      </c>
      <c r="E384" s="987">
        <v>13.875</v>
      </c>
      <c r="F384" s="987">
        <v>7.7670000000000003E-2</v>
      </c>
      <c r="G384" s="987">
        <v>0</v>
      </c>
      <c r="H384" s="986">
        <v>2.8999999999999998E-3</v>
      </c>
      <c r="I384" s="986">
        <f t="shared" si="5"/>
        <v>7.4770000000000003E-2</v>
      </c>
      <c r="J384" s="988">
        <v>21125</v>
      </c>
    </row>
    <row r="385" spans="1:10">
      <c r="A385" s="987">
        <v>66</v>
      </c>
      <c r="B385" s="988">
        <v>21155</v>
      </c>
      <c r="C385" s="987" t="s">
        <v>4651</v>
      </c>
      <c r="D385" s="987" t="s">
        <v>4650</v>
      </c>
      <c r="E385" s="987">
        <v>13.75</v>
      </c>
      <c r="F385" s="987">
        <v>5.4050000000000001E-3</v>
      </c>
      <c r="G385" s="987">
        <v>0.2</v>
      </c>
      <c r="H385" s="986">
        <v>2.8999999999999998E-3</v>
      </c>
      <c r="I385" s="986">
        <f t="shared" si="5"/>
        <v>2.5050000000000003E-3</v>
      </c>
      <c r="J385" s="988">
        <v>21155</v>
      </c>
    </row>
    <row r="386" spans="1:10">
      <c r="A386" s="987">
        <v>66</v>
      </c>
      <c r="B386" s="988">
        <v>21186</v>
      </c>
      <c r="C386" s="987" t="s">
        <v>4651</v>
      </c>
      <c r="D386" s="987" t="s">
        <v>4650</v>
      </c>
      <c r="E386" s="987">
        <v>15.125</v>
      </c>
      <c r="F386" s="987">
        <v>0.1</v>
      </c>
      <c r="G386" s="987">
        <v>0</v>
      </c>
      <c r="H386" s="986">
        <v>2.7000000000000001E-3</v>
      </c>
      <c r="I386" s="986">
        <f t="shared" ref="I386:I449" si="6">F386-H386</f>
        <v>9.7300000000000011E-2</v>
      </c>
      <c r="J386" s="988">
        <v>21186</v>
      </c>
    </row>
    <row r="387" spans="1:10">
      <c r="A387" s="987">
        <v>66</v>
      </c>
      <c r="B387" s="988">
        <v>21217</v>
      </c>
      <c r="C387" s="987" t="s">
        <v>4651</v>
      </c>
      <c r="D387" s="987" t="s">
        <v>4650</v>
      </c>
      <c r="E387" s="987">
        <v>16.375</v>
      </c>
      <c r="F387" s="987">
        <v>8.2644999999999996E-2</v>
      </c>
      <c r="G387" s="987">
        <v>0</v>
      </c>
      <c r="H387" s="986">
        <v>2.5000000000000001E-3</v>
      </c>
      <c r="I387" s="986">
        <f t="shared" si="6"/>
        <v>8.0144999999999994E-2</v>
      </c>
      <c r="J387" s="988">
        <v>21217</v>
      </c>
    </row>
    <row r="388" spans="1:10">
      <c r="A388" s="987">
        <v>66</v>
      </c>
      <c r="B388" s="988">
        <v>21245</v>
      </c>
      <c r="C388" s="987" t="s">
        <v>4651</v>
      </c>
      <c r="D388" s="987" t="s">
        <v>4650</v>
      </c>
      <c r="E388" s="987">
        <v>16.75</v>
      </c>
      <c r="F388" s="987">
        <v>3.6641E-2</v>
      </c>
      <c r="G388" s="987">
        <v>0.22500000000000001</v>
      </c>
      <c r="H388" s="986">
        <v>2.7000000000000001E-3</v>
      </c>
      <c r="I388" s="986">
        <f t="shared" si="6"/>
        <v>3.3940999999999999E-2</v>
      </c>
      <c r="J388" s="988">
        <v>21245</v>
      </c>
    </row>
    <row r="389" spans="1:10">
      <c r="A389" s="987">
        <v>66</v>
      </c>
      <c r="B389" s="988">
        <v>21276</v>
      </c>
      <c r="C389" s="987" t="s">
        <v>4651</v>
      </c>
      <c r="D389" s="987" t="s">
        <v>4650</v>
      </c>
      <c r="E389" s="987">
        <v>17.5</v>
      </c>
      <c r="F389" s="987">
        <v>4.4776000000000003E-2</v>
      </c>
      <c r="G389" s="987">
        <v>0</v>
      </c>
      <c r="H389" s="986">
        <v>2.5999999999999999E-3</v>
      </c>
      <c r="I389" s="986">
        <f t="shared" si="6"/>
        <v>4.2176000000000005E-2</v>
      </c>
      <c r="J389" s="988">
        <v>21276</v>
      </c>
    </row>
    <row r="390" spans="1:10">
      <c r="A390" s="987">
        <v>66</v>
      </c>
      <c r="B390" s="988">
        <v>21306</v>
      </c>
      <c r="C390" s="987" t="s">
        <v>4651</v>
      </c>
      <c r="D390" s="987" t="s">
        <v>4650</v>
      </c>
      <c r="E390" s="987">
        <v>-18.375</v>
      </c>
      <c r="F390" s="987">
        <v>0.05</v>
      </c>
      <c r="G390" s="987">
        <v>0</v>
      </c>
      <c r="H390" s="986">
        <v>2.3999999999999998E-3</v>
      </c>
      <c r="I390" s="986">
        <f t="shared" si="6"/>
        <v>4.7600000000000003E-2</v>
      </c>
      <c r="J390" s="988">
        <v>21306</v>
      </c>
    </row>
    <row r="391" spans="1:10">
      <c r="A391" s="987">
        <v>66</v>
      </c>
      <c r="B391" s="988">
        <v>21337</v>
      </c>
      <c r="C391" s="987" t="s">
        <v>4651</v>
      </c>
      <c r="D391" s="987" t="s">
        <v>4650</v>
      </c>
      <c r="E391" s="987">
        <v>18.75</v>
      </c>
      <c r="F391" s="987">
        <v>3.2653000000000001E-2</v>
      </c>
      <c r="G391" s="987">
        <v>0.22500000000000001</v>
      </c>
      <c r="H391" s="986">
        <v>2.7000000000000001E-3</v>
      </c>
      <c r="I391" s="986">
        <f t="shared" si="6"/>
        <v>2.9953E-2</v>
      </c>
      <c r="J391" s="988">
        <v>21337</v>
      </c>
    </row>
    <row r="392" spans="1:10">
      <c r="A392" s="987">
        <v>66</v>
      </c>
      <c r="B392" s="988">
        <v>21367</v>
      </c>
      <c r="C392" s="987" t="s">
        <v>4651</v>
      </c>
      <c r="D392" s="987" t="s">
        <v>4650</v>
      </c>
      <c r="E392" s="987">
        <v>19.375</v>
      </c>
      <c r="F392" s="987">
        <v>3.3333000000000002E-2</v>
      </c>
      <c r="G392" s="987">
        <v>0</v>
      </c>
      <c r="H392" s="986">
        <v>2.7000000000000001E-3</v>
      </c>
      <c r="I392" s="986">
        <f t="shared" si="6"/>
        <v>3.0633000000000001E-2</v>
      </c>
      <c r="J392" s="988">
        <v>21367</v>
      </c>
    </row>
    <row r="393" spans="1:10">
      <c r="A393" s="987">
        <v>66</v>
      </c>
      <c r="B393" s="988">
        <v>21398</v>
      </c>
      <c r="C393" s="987" t="s">
        <v>4651</v>
      </c>
      <c r="D393" s="987" t="s">
        <v>4650</v>
      </c>
      <c r="E393" s="987">
        <v>19.25</v>
      </c>
      <c r="F393" s="987">
        <v>-6.4520000000000003E-3</v>
      </c>
      <c r="G393" s="987">
        <v>0</v>
      </c>
      <c r="H393" s="986">
        <v>2.7000000000000001E-3</v>
      </c>
      <c r="I393" s="986">
        <f t="shared" si="6"/>
        <v>-9.1520000000000004E-3</v>
      </c>
      <c r="J393" s="988">
        <v>21398</v>
      </c>
    </row>
    <row r="394" spans="1:10">
      <c r="A394" s="987">
        <v>66</v>
      </c>
      <c r="B394" s="988">
        <v>21429</v>
      </c>
      <c r="C394" s="987" t="s">
        <v>4651</v>
      </c>
      <c r="D394" s="987" t="s">
        <v>4650</v>
      </c>
      <c r="E394" s="987">
        <v>19.25</v>
      </c>
      <c r="F394" s="987">
        <v>1.1688E-2</v>
      </c>
      <c r="G394" s="987">
        <v>0.22500000000000001</v>
      </c>
      <c r="H394" s="986">
        <v>3.2000000000000002E-3</v>
      </c>
      <c r="I394" s="986">
        <f t="shared" si="6"/>
        <v>8.4880000000000008E-3</v>
      </c>
      <c r="J394" s="988">
        <v>21429</v>
      </c>
    </row>
    <row r="395" spans="1:10">
      <c r="A395" s="987">
        <v>66</v>
      </c>
      <c r="B395" s="988">
        <v>21459</v>
      </c>
      <c r="C395" s="987" t="s">
        <v>4651</v>
      </c>
      <c r="D395" s="987" t="s">
        <v>4650</v>
      </c>
      <c r="E395" s="987">
        <v>19.75</v>
      </c>
      <c r="F395" s="987">
        <v>2.5974000000000001E-2</v>
      </c>
      <c r="G395" s="987">
        <v>0</v>
      </c>
      <c r="H395" s="986">
        <v>3.2000000000000002E-3</v>
      </c>
      <c r="I395" s="986">
        <f t="shared" si="6"/>
        <v>2.2773999999999999E-2</v>
      </c>
      <c r="J395" s="988">
        <v>21459</v>
      </c>
    </row>
    <row r="396" spans="1:10">
      <c r="A396" s="987">
        <v>66</v>
      </c>
      <c r="B396" s="988">
        <v>21490</v>
      </c>
      <c r="C396" s="987" t="s">
        <v>4651</v>
      </c>
      <c r="D396" s="987" t="s">
        <v>4650</v>
      </c>
      <c r="E396" s="987">
        <v>19.875</v>
      </c>
      <c r="F396" s="987">
        <v>6.3290000000000004E-3</v>
      </c>
      <c r="G396" s="987">
        <v>0</v>
      </c>
      <c r="H396" s="986">
        <v>2.8E-3</v>
      </c>
      <c r="I396" s="986">
        <f t="shared" si="6"/>
        <v>3.5290000000000005E-3</v>
      </c>
      <c r="J396" s="988">
        <v>21490</v>
      </c>
    </row>
    <row r="397" spans="1:10">
      <c r="A397" s="987">
        <v>66</v>
      </c>
      <c r="B397" s="988">
        <v>21520</v>
      </c>
      <c r="C397" s="987" t="s">
        <v>4651</v>
      </c>
      <c r="D397" s="987" t="s">
        <v>4650</v>
      </c>
      <c r="E397" s="987">
        <v>22.25</v>
      </c>
      <c r="F397" s="987">
        <v>0.13081799999999999</v>
      </c>
      <c r="G397" s="987">
        <v>0.22500000000000001</v>
      </c>
      <c r="H397" s="986">
        <v>3.3E-3</v>
      </c>
      <c r="I397" s="986">
        <f t="shared" si="6"/>
        <v>0.12751799999999999</v>
      </c>
      <c r="J397" s="988">
        <v>21520</v>
      </c>
    </row>
    <row r="398" spans="1:10">
      <c r="A398" s="987">
        <v>66</v>
      </c>
      <c r="B398" s="988">
        <v>21551</v>
      </c>
      <c r="C398" s="987" t="s">
        <v>4651</v>
      </c>
      <c r="D398" s="987" t="s">
        <v>4650</v>
      </c>
      <c r="E398" s="987">
        <v>22.5</v>
      </c>
      <c r="F398" s="987">
        <v>1.1235999999999999E-2</v>
      </c>
      <c r="G398" s="987">
        <v>0</v>
      </c>
      <c r="H398" s="986">
        <v>3.0999999999999999E-3</v>
      </c>
      <c r="I398" s="986">
        <f t="shared" si="6"/>
        <v>8.1359999999999991E-3</v>
      </c>
      <c r="J398" s="988">
        <v>21551</v>
      </c>
    </row>
    <row r="399" spans="1:10">
      <c r="A399" s="987">
        <v>66</v>
      </c>
      <c r="B399" s="988">
        <v>21582</v>
      </c>
      <c r="C399" s="987" t="s">
        <v>4651</v>
      </c>
      <c r="D399" s="987" t="s">
        <v>4650</v>
      </c>
      <c r="E399" s="987">
        <v>21.875</v>
      </c>
      <c r="F399" s="987">
        <v>-2.7778000000000001E-2</v>
      </c>
      <c r="G399" s="987">
        <v>0</v>
      </c>
      <c r="H399" s="986">
        <v>3.0999999999999999E-3</v>
      </c>
      <c r="I399" s="986">
        <f t="shared" si="6"/>
        <v>-3.0877999999999999E-2</v>
      </c>
      <c r="J399" s="988">
        <v>21582</v>
      </c>
    </row>
    <row r="400" spans="1:10">
      <c r="A400" s="987">
        <v>66</v>
      </c>
      <c r="B400" s="988">
        <v>21610</v>
      </c>
      <c r="C400" s="987" t="s">
        <v>4651</v>
      </c>
      <c r="D400" s="987" t="s">
        <v>4650</v>
      </c>
      <c r="E400" s="987">
        <v>21.25</v>
      </c>
      <c r="F400" s="987">
        <v>-1.8286E-2</v>
      </c>
      <c r="G400" s="987">
        <v>0.22500000000000001</v>
      </c>
      <c r="H400" s="986">
        <v>3.5000000000000001E-3</v>
      </c>
      <c r="I400" s="986">
        <f t="shared" si="6"/>
        <v>-2.1786E-2</v>
      </c>
      <c r="J400" s="988">
        <v>21610</v>
      </c>
    </row>
    <row r="401" spans="1:10">
      <c r="A401" s="987">
        <v>66</v>
      </c>
      <c r="B401" s="988">
        <v>21641</v>
      </c>
      <c r="C401" s="987" t="s">
        <v>4651</v>
      </c>
      <c r="D401" s="987" t="s">
        <v>4650</v>
      </c>
      <c r="E401" s="987">
        <v>19.875</v>
      </c>
      <c r="F401" s="987">
        <v>-6.4706E-2</v>
      </c>
      <c r="G401" s="987">
        <v>0</v>
      </c>
      <c r="H401" s="986">
        <v>3.3E-3</v>
      </c>
      <c r="I401" s="986">
        <f t="shared" si="6"/>
        <v>-6.8005999999999997E-2</v>
      </c>
      <c r="J401" s="988">
        <v>21641</v>
      </c>
    </row>
    <row r="402" spans="1:10">
      <c r="A402" s="987">
        <v>66</v>
      </c>
      <c r="B402" s="988">
        <v>21671</v>
      </c>
      <c r="C402" s="987" t="s">
        <v>4651</v>
      </c>
      <c r="D402" s="987" t="s">
        <v>4650</v>
      </c>
      <c r="E402" s="987">
        <v>21.5</v>
      </c>
      <c r="F402" s="987">
        <v>8.1761E-2</v>
      </c>
      <c r="G402" s="987">
        <v>0</v>
      </c>
      <c r="H402" s="986">
        <v>3.3E-3</v>
      </c>
      <c r="I402" s="986">
        <f t="shared" si="6"/>
        <v>7.8461000000000003E-2</v>
      </c>
      <c r="J402" s="988">
        <v>21671</v>
      </c>
    </row>
    <row r="403" spans="1:10">
      <c r="A403" s="987">
        <v>66</v>
      </c>
      <c r="B403" s="988">
        <v>21702</v>
      </c>
      <c r="C403" s="987" t="s">
        <v>4651</v>
      </c>
      <c r="D403" s="987" t="s">
        <v>4650</v>
      </c>
      <c r="E403" s="987">
        <v>20.375</v>
      </c>
      <c r="F403" s="987">
        <v>-4.1860000000000001E-2</v>
      </c>
      <c r="G403" s="987">
        <v>0.22500000000000001</v>
      </c>
      <c r="H403" s="986">
        <v>3.5999999999999999E-3</v>
      </c>
      <c r="I403" s="986">
        <f t="shared" si="6"/>
        <v>-4.546E-2</v>
      </c>
      <c r="J403" s="988">
        <v>21702</v>
      </c>
    </row>
    <row r="404" spans="1:10">
      <c r="A404" s="987">
        <v>66</v>
      </c>
      <c r="B404" s="988">
        <v>21732</v>
      </c>
      <c r="C404" s="987" t="s">
        <v>4651</v>
      </c>
      <c r="D404" s="987" t="s">
        <v>4650</v>
      </c>
      <c r="E404" s="987">
        <v>20.625</v>
      </c>
      <c r="F404" s="987">
        <v>1.227E-2</v>
      </c>
      <c r="G404" s="987">
        <v>0</v>
      </c>
      <c r="H404" s="986">
        <v>3.5000000000000001E-3</v>
      </c>
      <c r="I404" s="986">
        <f t="shared" si="6"/>
        <v>8.77E-3</v>
      </c>
      <c r="J404" s="988">
        <v>21732</v>
      </c>
    </row>
    <row r="405" spans="1:10">
      <c r="A405" s="987">
        <v>66</v>
      </c>
      <c r="B405" s="988">
        <v>21763</v>
      </c>
      <c r="C405" s="987" t="s">
        <v>4651</v>
      </c>
      <c r="D405" s="987" t="s">
        <v>4650</v>
      </c>
      <c r="E405" s="987">
        <v>20.5</v>
      </c>
      <c r="F405" s="987">
        <v>-6.0610000000000004E-3</v>
      </c>
      <c r="G405" s="987">
        <v>0</v>
      </c>
      <c r="H405" s="986">
        <v>3.5000000000000001E-3</v>
      </c>
      <c r="I405" s="986">
        <f t="shared" si="6"/>
        <v>-9.5610000000000001E-3</v>
      </c>
      <c r="J405" s="988">
        <v>21763</v>
      </c>
    </row>
    <row r="406" spans="1:10">
      <c r="A406" s="987">
        <v>66</v>
      </c>
      <c r="B406" s="988">
        <v>21794</v>
      </c>
      <c r="C406" s="987" t="s">
        <v>4651</v>
      </c>
      <c r="D406" s="987" t="s">
        <v>4650</v>
      </c>
      <c r="E406" s="987">
        <v>19.625</v>
      </c>
      <c r="F406" s="987">
        <v>-3.1706999999999999E-2</v>
      </c>
      <c r="G406" s="987">
        <v>0.22500000000000001</v>
      </c>
      <c r="H406" s="986">
        <v>3.3999999999999998E-3</v>
      </c>
      <c r="I406" s="986">
        <f t="shared" si="6"/>
        <v>-3.5106999999999999E-2</v>
      </c>
      <c r="J406" s="988">
        <v>21794</v>
      </c>
    </row>
    <row r="407" spans="1:10">
      <c r="A407" s="987">
        <v>66</v>
      </c>
      <c r="B407" s="988">
        <v>21824</v>
      </c>
      <c r="C407" s="987" t="s">
        <v>4651</v>
      </c>
      <c r="D407" s="987" t="s">
        <v>4650</v>
      </c>
      <c r="E407" s="987">
        <v>-19.25</v>
      </c>
      <c r="F407" s="987">
        <v>-1.9108E-2</v>
      </c>
      <c r="G407" s="987">
        <v>0</v>
      </c>
      <c r="H407" s="986">
        <v>3.5000000000000001E-3</v>
      </c>
      <c r="I407" s="986">
        <f t="shared" si="6"/>
        <v>-2.2608E-2</v>
      </c>
      <c r="J407" s="988">
        <v>21824</v>
      </c>
    </row>
    <row r="408" spans="1:10">
      <c r="A408" s="987">
        <v>66</v>
      </c>
      <c r="B408" s="988">
        <v>21855</v>
      </c>
      <c r="C408" s="987" t="s">
        <v>4651</v>
      </c>
      <c r="D408" s="987" t="s">
        <v>4650</v>
      </c>
      <c r="E408" s="987">
        <v>19.75</v>
      </c>
      <c r="F408" s="987">
        <v>2.5974000000000001E-2</v>
      </c>
      <c r="G408" s="987">
        <v>0</v>
      </c>
      <c r="H408" s="986">
        <v>3.5000000000000001E-3</v>
      </c>
      <c r="I408" s="986">
        <f t="shared" si="6"/>
        <v>2.2474000000000001E-2</v>
      </c>
      <c r="J408" s="988">
        <v>21855</v>
      </c>
    </row>
    <row r="409" spans="1:10">
      <c r="A409" s="987">
        <v>66</v>
      </c>
      <c r="B409" s="988">
        <v>21885</v>
      </c>
      <c r="C409" s="987" t="s">
        <v>4651</v>
      </c>
      <c r="D409" s="987" t="s">
        <v>4650</v>
      </c>
      <c r="E409" s="987">
        <v>21</v>
      </c>
      <c r="F409" s="987">
        <v>7.4684E-2</v>
      </c>
      <c r="G409" s="987">
        <v>0.22500000000000001</v>
      </c>
      <c r="H409" s="986">
        <v>3.5999999999999999E-3</v>
      </c>
      <c r="I409" s="986">
        <f t="shared" si="6"/>
        <v>7.1083999999999994E-2</v>
      </c>
      <c r="J409" s="988">
        <v>21885</v>
      </c>
    </row>
    <row r="410" spans="1:10">
      <c r="A410" s="987">
        <v>66</v>
      </c>
      <c r="B410" s="988">
        <v>21916</v>
      </c>
      <c r="C410" s="987" t="s">
        <v>4651</v>
      </c>
      <c r="D410" s="987" t="s">
        <v>4650</v>
      </c>
      <c r="E410" s="987">
        <v>19.375</v>
      </c>
      <c r="F410" s="987">
        <v>-7.7381000000000005E-2</v>
      </c>
      <c r="G410" s="987">
        <v>0</v>
      </c>
      <c r="H410" s="986">
        <v>3.5000000000000001E-3</v>
      </c>
      <c r="I410" s="986">
        <f t="shared" si="6"/>
        <v>-8.0881000000000008E-2</v>
      </c>
      <c r="J410" s="988">
        <v>21916</v>
      </c>
    </row>
    <row r="411" spans="1:10">
      <c r="A411" s="987">
        <v>66</v>
      </c>
      <c r="B411" s="988">
        <v>21947</v>
      </c>
      <c r="C411" s="987" t="s">
        <v>4651</v>
      </c>
      <c r="D411" s="987" t="s">
        <v>4650</v>
      </c>
      <c r="E411" s="987">
        <v>18.875</v>
      </c>
      <c r="F411" s="987">
        <v>-2.5805999999999999E-2</v>
      </c>
      <c r="G411" s="987">
        <v>0</v>
      </c>
      <c r="H411" s="986">
        <v>3.7000000000000002E-3</v>
      </c>
      <c r="I411" s="986">
        <f t="shared" si="6"/>
        <v>-2.9505999999999998E-2</v>
      </c>
      <c r="J411" s="988">
        <v>21947</v>
      </c>
    </row>
    <row r="412" spans="1:10">
      <c r="A412" s="987">
        <v>66</v>
      </c>
      <c r="B412" s="988">
        <v>21976</v>
      </c>
      <c r="C412" s="987" t="s">
        <v>4651</v>
      </c>
      <c r="D412" s="987" t="s">
        <v>4650</v>
      </c>
      <c r="E412" s="987">
        <v>20</v>
      </c>
      <c r="F412" s="987">
        <v>7.1523000000000003E-2</v>
      </c>
      <c r="G412" s="987">
        <v>0.22500000000000001</v>
      </c>
      <c r="H412" s="986">
        <v>3.5999999999999999E-3</v>
      </c>
      <c r="I412" s="986">
        <f t="shared" si="6"/>
        <v>6.7922999999999997E-2</v>
      </c>
      <c r="J412" s="988">
        <v>21976</v>
      </c>
    </row>
    <row r="413" spans="1:10">
      <c r="A413" s="987">
        <v>66</v>
      </c>
      <c r="B413" s="988">
        <v>22007</v>
      </c>
      <c r="C413" s="987" t="s">
        <v>4651</v>
      </c>
      <c r="D413" s="987" t="s">
        <v>4650</v>
      </c>
      <c r="E413" s="987">
        <v>22</v>
      </c>
      <c r="F413" s="987">
        <v>0.1</v>
      </c>
      <c r="G413" s="987">
        <v>0</v>
      </c>
      <c r="H413" s="986">
        <v>3.2000000000000002E-3</v>
      </c>
      <c r="I413" s="986">
        <f t="shared" si="6"/>
        <v>9.6800000000000011E-2</v>
      </c>
      <c r="J413" s="988">
        <v>22007</v>
      </c>
    </row>
    <row r="414" spans="1:10">
      <c r="A414" s="987">
        <v>66</v>
      </c>
      <c r="B414" s="988">
        <v>22037</v>
      </c>
      <c r="C414" s="987" t="s">
        <v>4651</v>
      </c>
      <c r="D414" s="987" t="s">
        <v>4650</v>
      </c>
      <c r="E414" s="987">
        <v>22</v>
      </c>
      <c r="F414" s="987">
        <v>0</v>
      </c>
      <c r="G414" s="987">
        <v>0</v>
      </c>
      <c r="H414" s="986">
        <v>3.7000000000000002E-3</v>
      </c>
      <c r="I414" s="986">
        <f t="shared" si="6"/>
        <v>-3.7000000000000002E-3</v>
      </c>
      <c r="J414" s="988">
        <v>22037</v>
      </c>
    </row>
    <row r="415" spans="1:10">
      <c r="A415" s="987">
        <v>66</v>
      </c>
      <c r="B415" s="988">
        <v>22068</v>
      </c>
      <c r="C415" s="987" t="s">
        <v>4651</v>
      </c>
      <c r="D415" s="987" t="s">
        <v>4650</v>
      </c>
      <c r="E415" s="987">
        <v>22.5</v>
      </c>
      <c r="F415" s="987">
        <v>3.4659000000000002E-2</v>
      </c>
      <c r="G415" s="987">
        <v>0.26250000000000001</v>
      </c>
      <c r="H415" s="986">
        <v>3.3999999999999998E-3</v>
      </c>
      <c r="I415" s="986">
        <f t="shared" si="6"/>
        <v>3.1259000000000002E-2</v>
      </c>
      <c r="J415" s="988">
        <v>22068</v>
      </c>
    </row>
    <row r="416" spans="1:10">
      <c r="A416" s="987">
        <v>66</v>
      </c>
      <c r="B416" s="988">
        <v>22098</v>
      </c>
      <c r="C416" s="987" t="s">
        <v>4651</v>
      </c>
      <c r="D416" s="987" t="s">
        <v>4650</v>
      </c>
      <c r="E416" s="987">
        <v>22.25</v>
      </c>
      <c r="F416" s="987">
        <v>-3.6809999999999998E-3</v>
      </c>
      <c r="G416" s="987">
        <v>0</v>
      </c>
      <c r="H416" s="986">
        <v>3.2000000000000002E-3</v>
      </c>
      <c r="I416" s="986">
        <f t="shared" si="6"/>
        <v>-6.881E-3</v>
      </c>
      <c r="J416" s="988">
        <v>22098</v>
      </c>
    </row>
    <row r="417" spans="1:10">
      <c r="A417" s="987">
        <v>66</v>
      </c>
      <c r="B417" s="988">
        <v>22129</v>
      </c>
      <c r="C417" s="987" t="s">
        <v>4651</v>
      </c>
      <c r="D417" s="987" t="s">
        <v>4650</v>
      </c>
      <c r="E417" s="987">
        <v>24.5</v>
      </c>
      <c r="F417" s="987">
        <v>0.10112400000000001</v>
      </c>
      <c r="G417" s="987">
        <v>0</v>
      </c>
      <c r="H417" s="986">
        <v>3.3999999999999998E-3</v>
      </c>
      <c r="I417" s="986">
        <f t="shared" si="6"/>
        <v>9.7724000000000005E-2</v>
      </c>
      <c r="J417" s="988">
        <v>22129</v>
      </c>
    </row>
    <row r="418" spans="1:10">
      <c r="A418" s="987">
        <v>66</v>
      </c>
      <c r="B418" s="988">
        <v>22160</v>
      </c>
      <c r="C418" s="987" t="s">
        <v>4651</v>
      </c>
      <c r="D418" s="987" t="s">
        <v>4650</v>
      </c>
      <c r="E418" s="987">
        <v>23.125</v>
      </c>
      <c r="F418" s="987">
        <v>-4.5407999999999997E-2</v>
      </c>
      <c r="G418" s="987">
        <v>0.26250000000000001</v>
      </c>
      <c r="H418" s="986">
        <v>3.2000000000000002E-3</v>
      </c>
      <c r="I418" s="986">
        <f t="shared" si="6"/>
        <v>-4.8607999999999998E-2</v>
      </c>
      <c r="J418" s="988">
        <v>22160</v>
      </c>
    </row>
    <row r="419" spans="1:10">
      <c r="A419" s="987">
        <v>66</v>
      </c>
      <c r="B419" s="988">
        <v>22190</v>
      </c>
      <c r="C419" s="987" t="s">
        <v>4651</v>
      </c>
      <c r="D419" s="987" t="s">
        <v>4650</v>
      </c>
      <c r="E419" s="987">
        <v>21.875</v>
      </c>
      <c r="F419" s="987">
        <v>-5.4053999999999998E-2</v>
      </c>
      <c r="G419" s="987">
        <v>0</v>
      </c>
      <c r="H419" s="986">
        <v>3.3E-3</v>
      </c>
      <c r="I419" s="986">
        <f t="shared" si="6"/>
        <v>-5.7353999999999995E-2</v>
      </c>
      <c r="J419" s="988">
        <v>22190</v>
      </c>
    </row>
    <row r="420" spans="1:10">
      <c r="A420" s="987">
        <v>66</v>
      </c>
      <c r="B420" s="988">
        <v>22221</v>
      </c>
      <c r="C420" s="987" t="s">
        <v>4651</v>
      </c>
      <c r="D420" s="987" t="s">
        <v>4650</v>
      </c>
      <c r="E420" s="987">
        <v>24.375</v>
      </c>
      <c r="F420" s="987">
        <v>0.114286</v>
      </c>
      <c r="G420" s="987">
        <v>0</v>
      </c>
      <c r="H420" s="986">
        <v>3.2000000000000002E-3</v>
      </c>
      <c r="I420" s="986">
        <f t="shared" si="6"/>
        <v>0.111086</v>
      </c>
      <c r="J420" s="988">
        <v>22221</v>
      </c>
    </row>
    <row r="421" spans="1:10">
      <c r="A421" s="987">
        <v>66</v>
      </c>
      <c r="B421" s="988">
        <v>22251</v>
      </c>
      <c r="C421" s="987" t="s">
        <v>4651</v>
      </c>
      <c r="D421" s="987" t="s">
        <v>4650</v>
      </c>
      <c r="E421" s="987">
        <v>25.375</v>
      </c>
      <c r="F421" s="987">
        <v>5.1795000000000001E-2</v>
      </c>
      <c r="G421" s="987">
        <v>0.26250000000000001</v>
      </c>
      <c r="H421" s="986">
        <v>3.3E-3</v>
      </c>
      <c r="I421" s="986">
        <f t="shared" si="6"/>
        <v>4.8495000000000003E-2</v>
      </c>
      <c r="J421" s="988">
        <v>22251</v>
      </c>
    </row>
    <row r="422" spans="1:10">
      <c r="A422" s="987">
        <v>66</v>
      </c>
      <c r="B422" s="988">
        <v>22282</v>
      </c>
      <c r="C422" s="987" t="s">
        <v>4651</v>
      </c>
      <c r="D422" s="987" t="s">
        <v>4650</v>
      </c>
      <c r="E422" s="987">
        <v>26.5</v>
      </c>
      <c r="F422" s="987">
        <v>4.4334999999999999E-2</v>
      </c>
      <c r="G422" s="987">
        <v>0</v>
      </c>
      <c r="H422" s="986">
        <v>3.3E-3</v>
      </c>
      <c r="I422" s="986">
        <f t="shared" si="6"/>
        <v>4.1035000000000002E-2</v>
      </c>
      <c r="J422" s="988">
        <v>22282</v>
      </c>
    </row>
    <row r="423" spans="1:10">
      <c r="A423" s="987">
        <v>66</v>
      </c>
      <c r="B423" s="988">
        <v>22313</v>
      </c>
      <c r="C423" s="987" t="s">
        <v>4651</v>
      </c>
      <c r="D423" s="987" t="s">
        <v>4650</v>
      </c>
      <c r="E423" s="987">
        <v>28.5</v>
      </c>
      <c r="F423" s="987">
        <v>7.5471999999999997E-2</v>
      </c>
      <c r="G423" s="987">
        <v>0</v>
      </c>
      <c r="H423" s="986">
        <v>3.0000000000000001E-3</v>
      </c>
      <c r="I423" s="986">
        <f t="shared" si="6"/>
        <v>7.2471999999999995E-2</v>
      </c>
      <c r="J423" s="988">
        <v>22313</v>
      </c>
    </row>
    <row r="424" spans="1:10">
      <c r="A424" s="987">
        <v>66</v>
      </c>
      <c r="B424" s="988">
        <v>22341</v>
      </c>
      <c r="C424" s="987" t="s">
        <v>4651</v>
      </c>
      <c r="D424" s="987" t="s">
        <v>4650</v>
      </c>
      <c r="E424" s="987">
        <v>30</v>
      </c>
      <c r="F424" s="987">
        <v>6.1842000000000001E-2</v>
      </c>
      <c r="G424" s="987">
        <v>0.26250000000000001</v>
      </c>
      <c r="H424" s="986">
        <v>3.0999999999999999E-3</v>
      </c>
      <c r="I424" s="986">
        <f t="shared" si="6"/>
        <v>5.8742000000000003E-2</v>
      </c>
      <c r="J424" s="988">
        <v>22341</v>
      </c>
    </row>
    <row r="425" spans="1:10">
      <c r="A425" s="987">
        <v>66</v>
      </c>
      <c r="B425" s="988">
        <v>22372</v>
      </c>
      <c r="C425" s="987" t="s">
        <v>4651</v>
      </c>
      <c r="D425" s="987" t="s">
        <v>4650</v>
      </c>
      <c r="E425" s="987">
        <v>30</v>
      </c>
      <c r="F425" s="987">
        <v>0</v>
      </c>
      <c r="G425" s="987">
        <v>0</v>
      </c>
      <c r="H425" s="986">
        <v>3.0999999999999999E-3</v>
      </c>
      <c r="I425" s="986">
        <f t="shared" si="6"/>
        <v>-3.0999999999999999E-3</v>
      </c>
      <c r="J425" s="988">
        <v>22372</v>
      </c>
    </row>
    <row r="426" spans="1:10">
      <c r="A426" s="987">
        <v>66</v>
      </c>
      <c r="B426" s="988">
        <v>22402</v>
      </c>
      <c r="C426" s="987" t="s">
        <v>4651</v>
      </c>
      <c r="D426" s="987" t="s">
        <v>4650</v>
      </c>
      <c r="E426" s="987">
        <v>32.5</v>
      </c>
      <c r="F426" s="987">
        <v>8.3333000000000004E-2</v>
      </c>
      <c r="G426" s="987">
        <v>0</v>
      </c>
      <c r="H426" s="986">
        <v>3.3999999999999998E-3</v>
      </c>
      <c r="I426" s="986">
        <f t="shared" si="6"/>
        <v>7.9933000000000004E-2</v>
      </c>
      <c r="J426" s="988">
        <v>22402</v>
      </c>
    </row>
    <row r="427" spans="1:10">
      <c r="A427" s="987">
        <v>66</v>
      </c>
      <c r="B427" s="988">
        <v>22433</v>
      </c>
      <c r="C427" s="987" t="s">
        <v>4651</v>
      </c>
      <c r="D427" s="987" t="s">
        <v>4650</v>
      </c>
      <c r="E427" s="987">
        <v>29.5</v>
      </c>
      <c r="F427" s="987">
        <v>-8.4231E-2</v>
      </c>
      <c r="G427" s="987">
        <v>0.26250000000000001</v>
      </c>
      <c r="H427" s="986">
        <v>3.2000000000000002E-3</v>
      </c>
      <c r="I427" s="986">
        <f t="shared" si="6"/>
        <v>-8.7430999999999995E-2</v>
      </c>
      <c r="J427" s="988">
        <v>22433</v>
      </c>
    </row>
    <row r="428" spans="1:10">
      <c r="A428" s="987">
        <v>66</v>
      </c>
      <c r="B428" s="988">
        <v>22463</v>
      </c>
      <c r="C428" s="987" t="s">
        <v>4651</v>
      </c>
      <c r="D428" s="987" t="s">
        <v>4650</v>
      </c>
      <c r="E428" s="987">
        <v>29.875</v>
      </c>
      <c r="F428" s="987">
        <v>1.2711999999999999E-2</v>
      </c>
      <c r="G428" s="987">
        <v>0</v>
      </c>
      <c r="H428" s="986">
        <v>3.3E-3</v>
      </c>
      <c r="I428" s="986">
        <f t="shared" si="6"/>
        <v>9.4120000000000002E-3</v>
      </c>
      <c r="J428" s="988">
        <v>22463</v>
      </c>
    </row>
    <row r="429" spans="1:10">
      <c r="A429" s="987">
        <v>66</v>
      </c>
      <c r="B429" s="988">
        <v>22494</v>
      </c>
      <c r="C429" s="987" t="s">
        <v>4651</v>
      </c>
      <c r="D429" s="987" t="s">
        <v>4650</v>
      </c>
      <c r="E429" s="987">
        <v>30.5</v>
      </c>
      <c r="F429" s="987">
        <v>2.0920999999999999E-2</v>
      </c>
      <c r="G429" s="987">
        <v>0</v>
      </c>
      <c r="H429" s="986">
        <v>3.3E-3</v>
      </c>
      <c r="I429" s="986">
        <f t="shared" si="6"/>
        <v>1.7620999999999998E-2</v>
      </c>
      <c r="J429" s="988">
        <v>22494</v>
      </c>
    </row>
    <row r="430" spans="1:10">
      <c r="A430" s="987">
        <v>66</v>
      </c>
      <c r="B430" s="988">
        <v>22525</v>
      </c>
      <c r="C430" s="987" t="s">
        <v>4651</v>
      </c>
      <c r="D430" s="987" t="s">
        <v>4650</v>
      </c>
      <c r="E430" s="987">
        <v>31.875</v>
      </c>
      <c r="F430" s="987">
        <v>5.3689000000000001E-2</v>
      </c>
      <c r="G430" s="987">
        <v>0.26250000000000001</v>
      </c>
      <c r="H430" s="986">
        <v>3.2000000000000002E-3</v>
      </c>
      <c r="I430" s="986">
        <f t="shared" si="6"/>
        <v>5.0488999999999999E-2</v>
      </c>
      <c r="J430" s="988">
        <v>22525</v>
      </c>
    </row>
    <row r="431" spans="1:10">
      <c r="A431" s="987">
        <v>66</v>
      </c>
      <c r="B431" s="988">
        <v>22555</v>
      </c>
      <c r="C431" s="987" t="s">
        <v>4651</v>
      </c>
      <c r="D431" s="987" t="s">
        <v>4650</v>
      </c>
      <c r="E431" s="987">
        <v>32.75</v>
      </c>
      <c r="F431" s="987">
        <v>2.7451E-2</v>
      </c>
      <c r="G431" s="987">
        <v>0</v>
      </c>
      <c r="H431" s="986">
        <v>3.3999999999999998E-3</v>
      </c>
      <c r="I431" s="986">
        <f t="shared" si="6"/>
        <v>2.4050999999999999E-2</v>
      </c>
      <c r="J431" s="988">
        <v>22555</v>
      </c>
    </row>
    <row r="432" spans="1:10">
      <c r="A432" s="987">
        <v>66</v>
      </c>
      <c r="B432" s="988">
        <v>22586</v>
      </c>
      <c r="C432" s="987" t="s">
        <v>4651</v>
      </c>
      <c r="D432" s="987" t="s">
        <v>4650</v>
      </c>
      <c r="E432" s="987">
        <v>32.75</v>
      </c>
      <c r="F432" s="987">
        <v>0</v>
      </c>
      <c r="G432" s="987">
        <v>0</v>
      </c>
      <c r="H432" s="986">
        <v>3.2000000000000002E-3</v>
      </c>
      <c r="I432" s="986">
        <f t="shared" si="6"/>
        <v>-3.2000000000000002E-3</v>
      </c>
      <c r="J432" s="988">
        <v>22586</v>
      </c>
    </row>
    <row r="433" spans="1:10">
      <c r="A433" s="987">
        <v>66</v>
      </c>
      <c r="B433" s="988">
        <v>22616</v>
      </c>
      <c r="C433" s="987" t="s">
        <v>4651</v>
      </c>
      <c r="D433" s="987" t="s">
        <v>4650</v>
      </c>
      <c r="E433" s="987">
        <v>30.75</v>
      </c>
      <c r="F433" s="987">
        <v>-5.3053000000000003E-2</v>
      </c>
      <c r="G433" s="987">
        <v>0.26250000000000001</v>
      </c>
      <c r="H433" s="986">
        <v>3.0999999999999999E-3</v>
      </c>
      <c r="I433" s="986">
        <f t="shared" si="6"/>
        <v>-5.6153000000000002E-2</v>
      </c>
      <c r="J433" s="988">
        <v>22616</v>
      </c>
    </row>
    <row r="434" spans="1:10">
      <c r="A434" s="987">
        <v>66</v>
      </c>
      <c r="B434" s="988">
        <v>22647</v>
      </c>
      <c r="C434" s="987" t="s">
        <v>4651</v>
      </c>
      <c r="D434" s="987" t="s">
        <v>4650</v>
      </c>
      <c r="E434" s="987">
        <v>28.5</v>
      </c>
      <c r="F434" s="987">
        <v>-7.3171E-2</v>
      </c>
      <c r="G434" s="987">
        <v>0</v>
      </c>
      <c r="H434" s="986">
        <v>3.7000000000000002E-3</v>
      </c>
      <c r="I434" s="986">
        <f t="shared" si="6"/>
        <v>-7.6870999999999995E-2</v>
      </c>
      <c r="J434" s="988">
        <v>22647</v>
      </c>
    </row>
    <row r="435" spans="1:10">
      <c r="A435" s="987">
        <v>66</v>
      </c>
      <c r="B435" s="988">
        <v>22678</v>
      </c>
      <c r="C435" s="987" t="s">
        <v>4651</v>
      </c>
      <c r="D435" s="987" t="s">
        <v>4650</v>
      </c>
      <c r="E435" s="987">
        <v>28.25</v>
      </c>
      <c r="F435" s="987">
        <v>-8.7720000000000003E-3</v>
      </c>
      <c r="G435" s="987">
        <v>0</v>
      </c>
      <c r="H435" s="986">
        <v>3.2000000000000002E-3</v>
      </c>
      <c r="I435" s="986">
        <f t="shared" si="6"/>
        <v>-1.1972E-2</v>
      </c>
      <c r="J435" s="988">
        <v>22678</v>
      </c>
    </row>
    <row r="436" spans="1:10">
      <c r="A436" s="987">
        <v>66</v>
      </c>
      <c r="B436" s="988">
        <v>22706</v>
      </c>
      <c r="C436" s="987" t="s">
        <v>4651</v>
      </c>
      <c r="D436" s="987" t="s">
        <v>4650</v>
      </c>
      <c r="E436" s="987">
        <v>28.375</v>
      </c>
      <c r="F436" s="987">
        <v>1.3717E-2</v>
      </c>
      <c r="G436" s="987">
        <v>0.26250000000000001</v>
      </c>
      <c r="H436" s="986">
        <v>3.3E-3</v>
      </c>
      <c r="I436" s="986">
        <f t="shared" si="6"/>
        <v>1.0416999999999999E-2</v>
      </c>
      <c r="J436" s="988">
        <v>22706</v>
      </c>
    </row>
    <row r="437" spans="1:10">
      <c r="A437" s="987">
        <v>66</v>
      </c>
      <c r="B437" s="988">
        <v>22737</v>
      </c>
      <c r="C437" s="987" t="s">
        <v>4651</v>
      </c>
      <c r="D437" s="987" t="s">
        <v>4650</v>
      </c>
      <c r="E437" s="987">
        <v>27.625</v>
      </c>
      <c r="F437" s="987">
        <v>-2.6432000000000001E-2</v>
      </c>
      <c r="G437" s="987">
        <v>0</v>
      </c>
      <c r="H437" s="986">
        <v>3.3E-3</v>
      </c>
      <c r="I437" s="986">
        <f t="shared" si="6"/>
        <v>-2.9732000000000001E-2</v>
      </c>
      <c r="J437" s="988">
        <v>22737</v>
      </c>
    </row>
    <row r="438" spans="1:10">
      <c r="A438" s="987">
        <v>66</v>
      </c>
      <c r="B438" s="988">
        <v>22767</v>
      </c>
      <c r="C438" s="987" t="s">
        <v>4651</v>
      </c>
      <c r="D438" s="987" t="s">
        <v>4650</v>
      </c>
      <c r="E438" s="987">
        <v>24.75</v>
      </c>
      <c r="F438" s="987">
        <v>-0.104072</v>
      </c>
      <c r="G438" s="987">
        <v>0</v>
      </c>
      <c r="H438" s="986">
        <v>3.2000000000000002E-3</v>
      </c>
      <c r="I438" s="986">
        <f t="shared" si="6"/>
        <v>-0.10727199999999999</v>
      </c>
      <c r="J438" s="988">
        <v>22767</v>
      </c>
    </row>
    <row r="439" spans="1:10">
      <c r="A439" s="987">
        <v>66</v>
      </c>
      <c r="B439" s="988">
        <v>22798</v>
      </c>
      <c r="C439" s="987" t="s">
        <v>4651</v>
      </c>
      <c r="D439" s="987" t="s">
        <v>4650</v>
      </c>
      <c r="E439" s="987">
        <v>24.25</v>
      </c>
      <c r="F439" s="987">
        <v>-9.5960000000000004E-3</v>
      </c>
      <c r="G439" s="987">
        <v>0.26250000000000001</v>
      </c>
      <c r="H439" s="986">
        <v>3.0000000000000001E-3</v>
      </c>
      <c r="I439" s="986">
        <f t="shared" si="6"/>
        <v>-1.2596E-2</v>
      </c>
      <c r="J439" s="988">
        <v>22798</v>
      </c>
    </row>
    <row r="440" spans="1:10">
      <c r="A440" s="987">
        <v>66</v>
      </c>
      <c r="B440" s="988">
        <v>22828</v>
      </c>
      <c r="C440" s="987" t="s">
        <v>4651</v>
      </c>
      <c r="D440" s="987" t="s">
        <v>4652</v>
      </c>
      <c r="E440" s="987">
        <v>24.875</v>
      </c>
      <c r="F440" s="987">
        <v>2.5773000000000001E-2</v>
      </c>
      <c r="G440" s="987">
        <v>0</v>
      </c>
      <c r="H440" s="986">
        <v>3.3999999999999998E-3</v>
      </c>
      <c r="I440" s="986">
        <f t="shared" si="6"/>
        <v>2.2373000000000001E-2</v>
      </c>
      <c r="J440" s="988">
        <v>22828</v>
      </c>
    </row>
    <row r="441" spans="1:10">
      <c r="A441" s="987">
        <v>66</v>
      </c>
      <c r="B441" s="988">
        <v>22859</v>
      </c>
      <c r="C441" s="987" t="s">
        <v>4651</v>
      </c>
      <c r="D441" s="987" t="s">
        <v>4652</v>
      </c>
      <c r="E441" s="987">
        <v>25.125</v>
      </c>
      <c r="F441" s="987">
        <v>1.005E-2</v>
      </c>
      <c r="G441" s="987">
        <v>0</v>
      </c>
      <c r="H441" s="986">
        <v>3.3999999999999998E-3</v>
      </c>
      <c r="I441" s="986">
        <f t="shared" si="6"/>
        <v>6.6499999999999997E-3</v>
      </c>
      <c r="J441" s="988">
        <v>22859</v>
      </c>
    </row>
    <row r="442" spans="1:10">
      <c r="A442" s="987">
        <v>66</v>
      </c>
      <c r="B442" s="988">
        <v>22890</v>
      </c>
      <c r="C442" s="987" t="s">
        <v>4651</v>
      </c>
      <c r="D442" s="987" t="s">
        <v>4652</v>
      </c>
      <c r="E442" s="987">
        <v>24.375</v>
      </c>
      <c r="F442" s="987">
        <v>-1.9403E-2</v>
      </c>
      <c r="G442" s="987">
        <v>0.26250000000000001</v>
      </c>
      <c r="H442" s="986">
        <v>3.0000000000000001E-3</v>
      </c>
      <c r="I442" s="986">
        <f t="shared" si="6"/>
        <v>-2.2402999999999999E-2</v>
      </c>
      <c r="J442" s="988">
        <v>22890</v>
      </c>
    </row>
    <row r="443" spans="1:10">
      <c r="A443" s="987">
        <v>66</v>
      </c>
      <c r="B443" s="988">
        <v>22920</v>
      </c>
      <c r="C443" s="987" t="s">
        <v>4651</v>
      </c>
      <c r="D443" s="987" t="s">
        <v>4652</v>
      </c>
      <c r="E443" s="987">
        <v>24.875</v>
      </c>
      <c r="F443" s="987">
        <v>2.0513E-2</v>
      </c>
      <c r="G443" s="987">
        <v>0</v>
      </c>
      <c r="H443" s="986">
        <v>3.5000000000000001E-3</v>
      </c>
      <c r="I443" s="986">
        <f t="shared" si="6"/>
        <v>1.7013E-2</v>
      </c>
      <c r="J443" s="988">
        <v>22920</v>
      </c>
    </row>
    <row r="444" spans="1:10">
      <c r="A444" s="987">
        <v>66</v>
      </c>
      <c r="B444" s="988">
        <v>22951</v>
      </c>
      <c r="C444" s="987" t="s">
        <v>4651</v>
      </c>
      <c r="D444" s="987" t="s">
        <v>4652</v>
      </c>
      <c r="E444" s="987">
        <v>26.5</v>
      </c>
      <c r="F444" s="987">
        <v>6.5326999999999996E-2</v>
      </c>
      <c r="G444" s="987">
        <v>0</v>
      </c>
      <c r="H444" s="986">
        <v>3.0999999999999999E-3</v>
      </c>
      <c r="I444" s="986">
        <f t="shared" si="6"/>
        <v>6.2226999999999998E-2</v>
      </c>
      <c r="J444" s="988">
        <v>22951</v>
      </c>
    </row>
    <row r="445" spans="1:10">
      <c r="A445" s="987">
        <v>66</v>
      </c>
      <c r="B445" s="988">
        <v>22981</v>
      </c>
      <c r="C445" s="987" t="s">
        <v>4651</v>
      </c>
      <c r="D445" s="987" t="s">
        <v>4652</v>
      </c>
      <c r="E445" s="987">
        <v>27.875</v>
      </c>
      <c r="F445" s="987">
        <v>6.1792E-2</v>
      </c>
      <c r="G445" s="987">
        <v>0.26250000000000001</v>
      </c>
      <c r="H445" s="986">
        <v>3.2000000000000002E-3</v>
      </c>
      <c r="I445" s="986">
        <f t="shared" si="6"/>
        <v>5.8591999999999998E-2</v>
      </c>
      <c r="J445" s="988">
        <v>22981</v>
      </c>
    </row>
    <row r="446" spans="1:10">
      <c r="A446" s="987">
        <v>66</v>
      </c>
      <c r="B446" s="988">
        <v>23012</v>
      </c>
      <c r="C446" s="987" t="s">
        <v>4651</v>
      </c>
      <c r="D446" s="987" t="s">
        <v>4652</v>
      </c>
      <c r="E446" s="987">
        <v>31.25</v>
      </c>
      <c r="F446" s="987">
        <v>0.121076</v>
      </c>
      <c r="G446" s="987">
        <v>0</v>
      </c>
      <c r="H446" s="986">
        <v>3.2000000000000002E-3</v>
      </c>
      <c r="I446" s="986">
        <f t="shared" si="6"/>
        <v>0.11787600000000001</v>
      </c>
      <c r="J446" s="988">
        <v>23012</v>
      </c>
    </row>
    <row r="447" spans="1:10">
      <c r="A447" s="987">
        <v>66</v>
      </c>
      <c r="B447" s="988">
        <v>23043</v>
      </c>
      <c r="C447" s="987" t="s">
        <v>4651</v>
      </c>
      <c r="D447" s="987" t="s">
        <v>4652</v>
      </c>
      <c r="E447" s="987">
        <v>30</v>
      </c>
      <c r="F447" s="987">
        <v>-0.04</v>
      </c>
      <c r="G447" s="987">
        <v>0</v>
      </c>
      <c r="H447" s="986">
        <v>2.8999999999999998E-3</v>
      </c>
      <c r="I447" s="986">
        <f t="shared" si="6"/>
        <v>-4.2900000000000001E-2</v>
      </c>
      <c r="J447" s="988">
        <v>23043</v>
      </c>
    </row>
    <row r="448" spans="1:10">
      <c r="A448" s="987">
        <v>66</v>
      </c>
      <c r="B448" s="988">
        <v>23071</v>
      </c>
      <c r="C448" s="987" t="s">
        <v>4651</v>
      </c>
      <c r="D448" s="987" t="s">
        <v>4652</v>
      </c>
      <c r="E448" s="987">
        <v>32.625</v>
      </c>
      <c r="F448" s="987">
        <v>9.6250000000000002E-2</v>
      </c>
      <c r="G448" s="987">
        <v>0.26250000000000001</v>
      </c>
      <c r="H448" s="986">
        <v>3.0999999999999999E-3</v>
      </c>
      <c r="I448" s="986">
        <f t="shared" si="6"/>
        <v>9.3149999999999997E-2</v>
      </c>
      <c r="J448" s="988">
        <v>23071</v>
      </c>
    </row>
    <row r="449" spans="1:10">
      <c r="A449" s="987">
        <v>66</v>
      </c>
      <c r="B449" s="988">
        <v>23102</v>
      </c>
      <c r="C449" s="987" t="s">
        <v>4651</v>
      </c>
      <c r="D449" s="987" t="s">
        <v>4652</v>
      </c>
      <c r="E449" s="987">
        <v>34.25</v>
      </c>
      <c r="F449" s="987">
        <v>4.9807999999999998E-2</v>
      </c>
      <c r="G449" s="987">
        <v>0</v>
      </c>
      <c r="H449" s="986">
        <v>3.3999999999999998E-3</v>
      </c>
      <c r="I449" s="986">
        <f t="shared" si="6"/>
        <v>4.6407999999999998E-2</v>
      </c>
      <c r="J449" s="988">
        <v>23102</v>
      </c>
    </row>
    <row r="450" spans="1:10">
      <c r="A450" s="987">
        <v>66</v>
      </c>
      <c r="B450" s="988">
        <v>23132</v>
      </c>
      <c r="C450" s="987" t="s">
        <v>4651</v>
      </c>
      <c r="D450" s="987" t="s">
        <v>4652</v>
      </c>
      <c r="E450" s="987">
        <v>30</v>
      </c>
      <c r="F450" s="987">
        <v>-3.6496000000000001E-2</v>
      </c>
      <c r="G450" s="987">
        <v>0</v>
      </c>
      <c r="H450" s="986">
        <v>3.3E-3</v>
      </c>
      <c r="I450" s="986">
        <f t="shared" ref="I450:I513" si="7">F450-H450</f>
        <v>-3.9795999999999998E-2</v>
      </c>
      <c r="J450" s="988">
        <v>23132</v>
      </c>
    </row>
    <row r="451" spans="1:10">
      <c r="A451" s="987">
        <v>66</v>
      </c>
      <c r="B451" s="988">
        <v>23163</v>
      </c>
      <c r="C451" s="987" t="s">
        <v>4651</v>
      </c>
      <c r="D451" s="987" t="s">
        <v>4652</v>
      </c>
      <c r="E451" s="987">
        <v>29.75</v>
      </c>
      <c r="F451" s="987">
        <v>4.17E-4</v>
      </c>
      <c r="G451" s="987">
        <v>0.26250000000000001</v>
      </c>
      <c r="H451" s="986">
        <v>3.0000000000000001E-3</v>
      </c>
      <c r="I451" s="986">
        <f t="shared" si="7"/>
        <v>-2.5830000000000002E-3</v>
      </c>
      <c r="J451" s="988">
        <v>23163</v>
      </c>
    </row>
    <row r="452" spans="1:10">
      <c r="A452" s="987">
        <v>66</v>
      </c>
      <c r="B452" s="988">
        <v>23193</v>
      </c>
      <c r="C452" s="987" t="s">
        <v>4651</v>
      </c>
      <c r="D452" s="987" t="s">
        <v>4652</v>
      </c>
      <c r="E452" s="987">
        <v>30</v>
      </c>
      <c r="F452" s="987">
        <v>8.4030000000000007E-3</v>
      </c>
      <c r="G452" s="987">
        <v>0</v>
      </c>
      <c r="H452" s="986">
        <v>3.5999999999999999E-3</v>
      </c>
      <c r="I452" s="986">
        <f t="shared" si="7"/>
        <v>4.8030000000000008E-3</v>
      </c>
      <c r="J452" s="988">
        <v>23193</v>
      </c>
    </row>
    <row r="453" spans="1:10">
      <c r="A453" s="987">
        <v>66</v>
      </c>
      <c r="B453" s="988">
        <v>23224</v>
      </c>
      <c r="C453" s="987" t="s">
        <v>4651</v>
      </c>
      <c r="D453" s="987" t="s">
        <v>4652</v>
      </c>
      <c r="E453" s="987">
        <v>29.25</v>
      </c>
      <c r="F453" s="987">
        <v>-2.5000000000000001E-2</v>
      </c>
      <c r="G453" s="987">
        <v>0</v>
      </c>
      <c r="H453" s="986">
        <v>3.3E-3</v>
      </c>
      <c r="I453" s="986">
        <f t="shared" si="7"/>
        <v>-2.8300000000000002E-2</v>
      </c>
      <c r="J453" s="988">
        <v>23224</v>
      </c>
    </row>
    <row r="454" spans="1:10">
      <c r="A454" s="987">
        <v>66</v>
      </c>
      <c r="B454" s="988">
        <v>23255</v>
      </c>
      <c r="C454" s="987" t="s">
        <v>4651</v>
      </c>
      <c r="D454" s="987" t="s">
        <v>4652</v>
      </c>
      <c r="E454" s="987">
        <v>27.625</v>
      </c>
      <c r="F454" s="987">
        <v>-4.6580999999999997E-2</v>
      </c>
      <c r="G454" s="987">
        <v>0.26250000000000001</v>
      </c>
      <c r="H454" s="986">
        <v>3.3999999999999998E-3</v>
      </c>
      <c r="I454" s="986">
        <f t="shared" si="7"/>
        <v>-4.9980999999999998E-2</v>
      </c>
      <c r="J454" s="988">
        <v>23255</v>
      </c>
    </row>
    <row r="455" spans="1:10">
      <c r="A455" s="987">
        <v>66</v>
      </c>
      <c r="B455" s="988">
        <v>23285</v>
      </c>
      <c r="C455" s="987" t="s">
        <v>4651</v>
      </c>
      <c r="D455" s="987" t="s">
        <v>4652</v>
      </c>
      <c r="E455" s="987">
        <v>27.25</v>
      </c>
      <c r="F455" s="987">
        <v>-1.3575E-2</v>
      </c>
      <c r="G455" s="987">
        <v>0</v>
      </c>
      <c r="H455" s="986">
        <v>3.3999999999999998E-3</v>
      </c>
      <c r="I455" s="986">
        <f t="shared" si="7"/>
        <v>-1.6975000000000001E-2</v>
      </c>
      <c r="J455" s="988">
        <v>23285</v>
      </c>
    </row>
    <row r="456" spans="1:10">
      <c r="A456" s="987">
        <v>66</v>
      </c>
      <c r="B456" s="988">
        <v>23316</v>
      </c>
      <c r="C456" s="987" t="s">
        <v>4651</v>
      </c>
      <c r="D456" s="987" t="s">
        <v>4652</v>
      </c>
      <c r="E456" s="987">
        <v>26.375</v>
      </c>
      <c r="F456" s="987">
        <v>-3.211E-2</v>
      </c>
      <c r="G456" s="987">
        <v>0</v>
      </c>
      <c r="H456" s="986">
        <v>3.2000000000000002E-3</v>
      </c>
      <c r="I456" s="986">
        <f t="shared" si="7"/>
        <v>-3.5310000000000001E-2</v>
      </c>
      <c r="J456" s="988">
        <v>23316</v>
      </c>
    </row>
    <row r="457" spans="1:10">
      <c r="A457" s="987">
        <v>66</v>
      </c>
      <c r="B457" s="988">
        <v>23346</v>
      </c>
      <c r="C457" s="987" t="s">
        <v>4651</v>
      </c>
      <c r="D457" s="987" t="s">
        <v>4652</v>
      </c>
      <c r="E457" s="987">
        <v>27</v>
      </c>
      <c r="F457" s="987">
        <v>3.3648999999999998E-2</v>
      </c>
      <c r="G457" s="987">
        <v>0.26250000000000001</v>
      </c>
      <c r="H457" s="986">
        <v>3.5999999999999999E-3</v>
      </c>
      <c r="I457" s="986">
        <f t="shared" si="7"/>
        <v>3.0048999999999999E-2</v>
      </c>
      <c r="J457" s="988">
        <v>23346</v>
      </c>
    </row>
    <row r="458" spans="1:10">
      <c r="A458" s="987">
        <v>66</v>
      </c>
      <c r="B458" s="988">
        <v>23377</v>
      </c>
      <c r="C458" s="987" t="s">
        <v>4651</v>
      </c>
      <c r="D458" s="987" t="s">
        <v>4652</v>
      </c>
      <c r="E458" s="987">
        <v>26</v>
      </c>
      <c r="F458" s="987">
        <v>-3.7037E-2</v>
      </c>
      <c r="G458" s="987">
        <v>0</v>
      </c>
      <c r="H458" s="986">
        <v>3.5000000000000001E-3</v>
      </c>
      <c r="I458" s="986">
        <f t="shared" si="7"/>
        <v>-4.0537000000000004E-2</v>
      </c>
      <c r="J458" s="988">
        <v>23377</v>
      </c>
    </row>
    <row r="459" spans="1:10">
      <c r="A459" s="987">
        <v>66</v>
      </c>
      <c r="B459" s="988">
        <v>23408</v>
      </c>
      <c r="C459" s="987" t="s">
        <v>4651</v>
      </c>
      <c r="D459" s="987" t="s">
        <v>4652</v>
      </c>
      <c r="E459" s="987">
        <v>24.875</v>
      </c>
      <c r="F459" s="987">
        <v>-4.3269000000000002E-2</v>
      </c>
      <c r="G459" s="987">
        <v>0</v>
      </c>
      <c r="H459" s="986">
        <v>3.2000000000000002E-3</v>
      </c>
      <c r="I459" s="986">
        <f t="shared" si="7"/>
        <v>-4.6469000000000003E-2</v>
      </c>
      <c r="J459" s="988">
        <v>23408</v>
      </c>
    </row>
    <row r="460" spans="1:10">
      <c r="A460" s="987">
        <v>66</v>
      </c>
      <c r="B460" s="988">
        <v>23437</v>
      </c>
      <c r="C460" s="987" t="s">
        <v>4651</v>
      </c>
      <c r="D460" s="987" t="s">
        <v>4652</v>
      </c>
      <c r="E460" s="987">
        <v>24.75</v>
      </c>
      <c r="F460" s="987">
        <v>5.5279999999999999E-3</v>
      </c>
      <c r="G460" s="987">
        <v>0.26250000000000001</v>
      </c>
      <c r="H460" s="986">
        <v>3.7000000000000002E-3</v>
      </c>
      <c r="I460" s="986">
        <f t="shared" si="7"/>
        <v>1.8279999999999998E-3</v>
      </c>
      <c r="J460" s="988">
        <v>23437</v>
      </c>
    </row>
    <row r="461" spans="1:10">
      <c r="A461" s="987">
        <v>66</v>
      </c>
      <c r="B461" s="988">
        <v>23468</v>
      </c>
      <c r="C461" s="987" t="s">
        <v>4651</v>
      </c>
      <c r="D461" s="987" t="s">
        <v>4652</v>
      </c>
      <c r="E461" s="987">
        <v>24</v>
      </c>
      <c r="F461" s="987">
        <v>-3.0303E-2</v>
      </c>
      <c r="G461" s="987">
        <v>0</v>
      </c>
      <c r="H461" s="986">
        <v>3.5000000000000001E-3</v>
      </c>
      <c r="I461" s="986">
        <f t="shared" si="7"/>
        <v>-3.3803E-2</v>
      </c>
      <c r="J461" s="988">
        <v>23468</v>
      </c>
    </row>
    <row r="462" spans="1:10">
      <c r="A462" s="987">
        <v>66</v>
      </c>
      <c r="B462" s="988">
        <v>23498</v>
      </c>
      <c r="C462" s="987" t="s">
        <v>4651</v>
      </c>
      <c r="D462" s="987" t="s">
        <v>4652</v>
      </c>
      <c r="E462" s="987">
        <v>24.5</v>
      </c>
      <c r="F462" s="987">
        <v>2.0833000000000001E-2</v>
      </c>
      <c r="G462" s="987">
        <v>0</v>
      </c>
      <c r="H462" s="986">
        <v>3.2000000000000002E-3</v>
      </c>
      <c r="I462" s="986">
        <f t="shared" si="7"/>
        <v>1.7632999999999999E-2</v>
      </c>
      <c r="J462" s="988">
        <v>23498</v>
      </c>
    </row>
    <row r="463" spans="1:10">
      <c r="A463" s="987">
        <v>66</v>
      </c>
      <c r="B463" s="988">
        <v>23529</v>
      </c>
      <c r="C463" s="987" t="s">
        <v>4651</v>
      </c>
      <c r="D463" s="987" t="s">
        <v>4652</v>
      </c>
      <c r="E463" s="987">
        <v>24.75</v>
      </c>
      <c r="F463" s="987">
        <v>2.0917999999999999E-2</v>
      </c>
      <c r="G463" s="987">
        <v>0.26250000000000001</v>
      </c>
      <c r="H463" s="986">
        <v>3.8E-3</v>
      </c>
      <c r="I463" s="986">
        <f t="shared" si="7"/>
        <v>1.7117999999999998E-2</v>
      </c>
      <c r="J463" s="988">
        <v>23529</v>
      </c>
    </row>
    <row r="464" spans="1:10">
      <c r="A464" s="987">
        <v>66</v>
      </c>
      <c r="B464" s="988">
        <v>23559</v>
      </c>
      <c r="C464" s="987" t="s">
        <v>4651</v>
      </c>
      <c r="D464" s="987" t="s">
        <v>4652</v>
      </c>
      <c r="E464" s="987">
        <v>24.25</v>
      </c>
      <c r="F464" s="987">
        <v>-2.0202000000000001E-2</v>
      </c>
      <c r="G464" s="987">
        <v>0</v>
      </c>
      <c r="H464" s="986">
        <v>3.5000000000000001E-3</v>
      </c>
      <c r="I464" s="986">
        <f t="shared" si="7"/>
        <v>-2.3702000000000001E-2</v>
      </c>
      <c r="J464" s="988">
        <v>23559</v>
      </c>
    </row>
    <row r="465" spans="1:10">
      <c r="A465" s="987">
        <v>66</v>
      </c>
      <c r="B465" s="988">
        <v>23590</v>
      </c>
      <c r="C465" s="987" t="s">
        <v>4651</v>
      </c>
      <c r="D465" s="987" t="s">
        <v>4652</v>
      </c>
      <c r="E465" s="987">
        <v>25.625</v>
      </c>
      <c r="F465" s="987">
        <v>5.6701000000000001E-2</v>
      </c>
      <c r="G465" s="987">
        <v>0</v>
      </c>
      <c r="H465" s="986">
        <v>3.5000000000000001E-3</v>
      </c>
      <c r="I465" s="986">
        <f t="shared" si="7"/>
        <v>5.3200999999999998E-2</v>
      </c>
      <c r="J465" s="988">
        <v>23590</v>
      </c>
    </row>
    <row r="466" spans="1:10">
      <c r="A466" s="987">
        <v>66</v>
      </c>
      <c r="B466" s="988">
        <v>23621</v>
      </c>
      <c r="C466" s="987" t="s">
        <v>4651</v>
      </c>
      <c r="D466" s="987" t="s">
        <v>4652</v>
      </c>
      <c r="E466" s="987">
        <v>25.625</v>
      </c>
      <c r="F466" s="987">
        <v>1.0244E-2</v>
      </c>
      <c r="G466" s="987">
        <v>0.26250000000000001</v>
      </c>
      <c r="H466" s="986">
        <v>3.3999999999999998E-3</v>
      </c>
      <c r="I466" s="986">
        <f t="shared" si="7"/>
        <v>6.8439999999999994E-3</v>
      </c>
      <c r="J466" s="988">
        <v>23621</v>
      </c>
    </row>
    <row r="467" spans="1:10">
      <c r="A467" s="987">
        <v>66</v>
      </c>
      <c r="B467" s="988">
        <v>23651</v>
      </c>
      <c r="C467" s="987" t="s">
        <v>4651</v>
      </c>
      <c r="D467" s="987" t="s">
        <v>4652</v>
      </c>
      <c r="E467" s="987">
        <v>26</v>
      </c>
      <c r="F467" s="987">
        <v>1.4633999999999999E-2</v>
      </c>
      <c r="G467" s="987">
        <v>0</v>
      </c>
      <c r="H467" s="986">
        <v>3.3999999999999998E-3</v>
      </c>
      <c r="I467" s="986">
        <f t="shared" si="7"/>
        <v>1.1233999999999999E-2</v>
      </c>
      <c r="J467" s="988">
        <v>23651</v>
      </c>
    </row>
    <row r="468" spans="1:10">
      <c r="A468" s="987">
        <v>66</v>
      </c>
      <c r="B468" s="988">
        <v>23682</v>
      </c>
      <c r="C468" s="987" t="s">
        <v>4651</v>
      </c>
      <c r="D468" s="987" t="s">
        <v>4652</v>
      </c>
      <c r="E468" s="987">
        <v>26.25</v>
      </c>
      <c r="F468" s="987">
        <v>9.6150000000000003E-3</v>
      </c>
      <c r="G468" s="987">
        <v>0</v>
      </c>
      <c r="H468" s="986">
        <v>3.5000000000000001E-3</v>
      </c>
      <c r="I468" s="986">
        <f t="shared" si="7"/>
        <v>6.1150000000000006E-3</v>
      </c>
      <c r="J468" s="988">
        <v>23682</v>
      </c>
    </row>
    <row r="469" spans="1:10">
      <c r="A469" s="987">
        <v>66</v>
      </c>
      <c r="B469" s="988">
        <v>23712</v>
      </c>
      <c r="C469" s="987" t="s">
        <v>4651</v>
      </c>
      <c r="D469" s="987" t="s">
        <v>4652</v>
      </c>
      <c r="E469" s="987">
        <v>26</v>
      </c>
      <c r="F469" s="987">
        <v>1.4289999999999999E-3</v>
      </c>
      <c r="G469" s="987">
        <v>0.28749999999999998</v>
      </c>
      <c r="H469" s="986">
        <v>3.5000000000000001E-3</v>
      </c>
      <c r="I469" s="986">
        <f t="shared" si="7"/>
        <v>-2.0709999999999999E-3</v>
      </c>
      <c r="J469" s="988">
        <v>23712</v>
      </c>
    </row>
    <row r="470" spans="1:10">
      <c r="A470" s="987">
        <v>66</v>
      </c>
      <c r="B470" s="988">
        <v>23743</v>
      </c>
      <c r="C470" s="987" t="s">
        <v>4651</v>
      </c>
      <c r="D470" s="987" t="s">
        <v>4652</v>
      </c>
      <c r="E470" s="987">
        <v>26.25</v>
      </c>
      <c r="F470" s="987">
        <v>9.6150000000000003E-3</v>
      </c>
      <c r="G470" s="987">
        <v>0</v>
      </c>
      <c r="H470" s="986">
        <v>3.3E-3</v>
      </c>
      <c r="I470" s="986">
        <f t="shared" si="7"/>
        <v>6.3150000000000003E-3</v>
      </c>
      <c r="J470" s="988">
        <v>23743</v>
      </c>
    </row>
    <row r="471" spans="1:10">
      <c r="A471" s="987">
        <v>66</v>
      </c>
      <c r="B471" s="988">
        <v>23774</v>
      </c>
      <c r="C471" s="987" t="s">
        <v>4651</v>
      </c>
      <c r="D471" s="987" t="s">
        <v>4652</v>
      </c>
      <c r="E471" s="987">
        <v>27.875</v>
      </c>
      <c r="F471" s="987">
        <v>6.1905000000000002E-2</v>
      </c>
      <c r="G471" s="987">
        <v>0</v>
      </c>
      <c r="H471" s="986">
        <v>3.2000000000000002E-3</v>
      </c>
      <c r="I471" s="986">
        <f t="shared" si="7"/>
        <v>5.8705E-2</v>
      </c>
      <c r="J471" s="988">
        <v>23774</v>
      </c>
    </row>
    <row r="472" spans="1:10">
      <c r="A472" s="987">
        <v>66</v>
      </c>
      <c r="B472" s="988">
        <v>23802</v>
      </c>
      <c r="C472" s="987" t="s">
        <v>4651</v>
      </c>
      <c r="D472" s="987" t="s">
        <v>4652</v>
      </c>
      <c r="E472" s="987">
        <v>26.5</v>
      </c>
      <c r="F472" s="987">
        <v>-3.9012999999999999E-2</v>
      </c>
      <c r="G472" s="987">
        <v>0.28749999999999998</v>
      </c>
      <c r="H472" s="986">
        <v>3.8E-3</v>
      </c>
      <c r="I472" s="986">
        <f t="shared" si="7"/>
        <v>-4.2812999999999997E-2</v>
      </c>
      <c r="J472" s="988">
        <v>23802</v>
      </c>
    </row>
    <row r="473" spans="1:10">
      <c r="A473" s="987">
        <v>66</v>
      </c>
      <c r="B473" s="988">
        <v>23833</v>
      </c>
      <c r="C473" s="987" t="s">
        <v>4651</v>
      </c>
      <c r="D473" s="987" t="s">
        <v>4652</v>
      </c>
      <c r="E473" s="987">
        <v>26.625</v>
      </c>
      <c r="F473" s="987">
        <v>4.7169999999999998E-3</v>
      </c>
      <c r="G473" s="987">
        <v>0</v>
      </c>
      <c r="H473" s="986">
        <v>3.3E-3</v>
      </c>
      <c r="I473" s="986">
        <f t="shared" si="7"/>
        <v>1.4169999999999999E-3</v>
      </c>
      <c r="J473" s="988">
        <v>23833</v>
      </c>
    </row>
    <row r="474" spans="1:10">
      <c r="A474" s="987">
        <v>66</v>
      </c>
      <c r="B474" s="988">
        <v>23863</v>
      </c>
      <c r="C474" s="987" t="s">
        <v>4651</v>
      </c>
      <c r="D474" s="987" t="s">
        <v>4652</v>
      </c>
      <c r="E474" s="987">
        <v>27</v>
      </c>
      <c r="F474" s="987">
        <v>1.4085E-2</v>
      </c>
      <c r="G474" s="987">
        <v>0</v>
      </c>
      <c r="H474" s="986">
        <v>3.3E-3</v>
      </c>
      <c r="I474" s="986">
        <f t="shared" si="7"/>
        <v>1.0784999999999999E-2</v>
      </c>
      <c r="J474" s="988">
        <v>23863</v>
      </c>
    </row>
    <row r="475" spans="1:10">
      <c r="A475" s="987">
        <v>66</v>
      </c>
      <c r="B475" s="988">
        <v>23894</v>
      </c>
      <c r="C475" s="987" t="s">
        <v>4651</v>
      </c>
      <c r="D475" s="987" t="s">
        <v>4652</v>
      </c>
      <c r="E475" s="987">
        <v>25.75</v>
      </c>
      <c r="F475" s="987">
        <v>-3.5647999999999999E-2</v>
      </c>
      <c r="G475" s="987">
        <v>0.28749999999999998</v>
      </c>
      <c r="H475" s="986">
        <v>3.8E-3</v>
      </c>
      <c r="I475" s="986">
        <f t="shared" si="7"/>
        <v>-3.9447999999999997E-2</v>
      </c>
      <c r="J475" s="988">
        <v>23894</v>
      </c>
    </row>
    <row r="476" spans="1:10">
      <c r="A476" s="987">
        <v>66</v>
      </c>
      <c r="B476" s="988">
        <v>23924</v>
      </c>
      <c r="C476" s="987" t="s">
        <v>4651</v>
      </c>
      <c r="D476" s="987" t="s">
        <v>4652</v>
      </c>
      <c r="E476" s="987">
        <v>26</v>
      </c>
      <c r="F476" s="987">
        <v>9.7090000000000006E-3</v>
      </c>
      <c r="G476" s="987">
        <v>0</v>
      </c>
      <c r="H476" s="986">
        <v>3.3999999999999998E-3</v>
      </c>
      <c r="I476" s="986">
        <f t="shared" si="7"/>
        <v>6.3090000000000004E-3</v>
      </c>
      <c r="J476" s="988">
        <v>23924</v>
      </c>
    </row>
    <row r="477" spans="1:10">
      <c r="A477" s="987">
        <v>66</v>
      </c>
      <c r="B477" s="988">
        <v>23955</v>
      </c>
      <c r="C477" s="987" t="s">
        <v>4651</v>
      </c>
      <c r="D477" s="987" t="s">
        <v>4652</v>
      </c>
      <c r="E477" s="987">
        <v>25.625</v>
      </c>
      <c r="F477" s="987">
        <v>-1.4423E-2</v>
      </c>
      <c r="G477" s="987">
        <v>0</v>
      </c>
      <c r="H477" s="986">
        <v>3.7000000000000002E-3</v>
      </c>
      <c r="I477" s="986">
        <f t="shared" si="7"/>
        <v>-1.8123E-2</v>
      </c>
      <c r="J477" s="988">
        <v>23955</v>
      </c>
    </row>
    <row r="478" spans="1:10">
      <c r="A478" s="987">
        <v>66</v>
      </c>
      <c r="B478" s="988">
        <v>23986</v>
      </c>
      <c r="C478" s="987" t="s">
        <v>4651</v>
      </c>
      <c r="D478" s="987" t="s">
        <v>4652</v>
      </c>
      <c r="E478" s="987">
        <v>25.375</v>
      </c>
      <c r="F478" s="987">
        <v>1.4630000000000001E-3</v>
      </c>
      <c r="G478" s="987">
        <v>0.28749999999999998</v>
      </c>
      <c r="H478" s="986">
        <v>3.5000000000000001E-3</v>
      </c>
      <c r="I478" s="986">
        <f t="shared" si="7"/>
        <v>-2.0369999999999997E-3</v>
      </c>
      <c r="J478" s="988">
        <v>23986</v>
      </c>
    </row>
    <row r="479" spans="1:10">
      <c r="A479" s="987">
        <v>66</v>
      </c>
      <c r="B479" s="988">
        <v>24016</v>
      </c>
      <c r="C479" s="987" t="s">
        <v>4651</v>
      </c>
      <c r="D479" s="987" t="s">
        <v>4652</v>
      </c>
      <c r="E479" s="987">
        <v>26.25</v>
      </c>
      <c r="F479" s="987">
        <v>3.4483E-2</v>
      </c>
      <c r="G479" s="987">
        <v>0</v>
      </c>
      <c r="H479" s="986">
        <v>3.3999999999999998E-3</v>
      </c>
      <c r="I479" s="986">
        <f t="shared" si="7"/>
        <v>3.1083E-2</v>
      </c>
      <c r="J479" s="988">
        <v>24016</v>
      </c>
    </row>
    <row r="480" spans="1:10">
      <c r="A480" s="987">
        <v>66</v>
      </c>
      <c r="B480" s="988">
        <v>24047</v>
      </c>
      <c r="C480" s="987" t="s">
        <v>4651</v>
      </c>
      <c r="D480" s="987" t="s">
        <v>4652</v>
      </c>
      <c r="E480" s="987">
        <v>25.75</v>
      </c>
      <c r="F480" s="987">
        <v>-1.9047999999999999E-2</v>
      </c>
      <c r="G480" s="987">
        <v>0</v>
      </c>
      <c r="H480" s="986">
        <v>3.7000000000000002E-3</v>
      </c>
      <c r="I480" s="986">
        <f t="shared" si="7"/>
        <v>-2.2747999999999997E-2</v>
      </c>
      <c r="J480" s="988">
        <v>24047</v>
      </c>
    </row>
    <row r="481" spans="1:10">
      <c r="A481" s="987">
        <v>66</v>
      </c>
      <c r="B481" s="988">
        <v>24077</v>
      </c>
      <c r="C481" s="987" t="s">
        <v>4651</v>
      </c>
      <c r="D481" s="987" t="s">
        <v>4652</v>
      </c>
      <c r="E481" s="987">
        <v>27.125</v>
      </c>
      <c r="F481" s="987">
        <v>6.5533999999999995E-2</v>
      </c>
      <c r="G481" s="987">
        <v>0.3125</v>
      </c>
      <c r="H481" s="986">
        <v>3.7000000000000002E-3</v>
      </c>
      <c r="I481" s="986">
        <f t="shared" si="7"/>
        <v>6.1833999999999993E-2</v>
      </c>
      <c r="J481" s="988">
        <v>24077</v>
      </c>
    </row>
    <row r="482" spans="1:10">
      <c r="A482" s="987">
        <v>66</v>
      </c>
      <c r="B482" s="988">
        <v>24108</v>
      </c>
      <c r="C482" s="987" t="s">
        <v>4651</v>
      </c>
      <c r="D482" s="987" t="s">
        <v>4652</v>
      </c>
      <c r="E482" s="987">
        <v>26</v>
      </c>
      <c r="F482" s="987">
        <v>-4.1474999999999998E-2</v>
      </c>
      <c r="G482" s="987">
        <v>0</v>
      </c>
      <c r="H482" s="986">
        <v>3.8E-3</v>
      </c>
      <c r="I482" s="986">
        <f t="shared" si="7"/>
        <v>-4.5274999999999996E-2</v>
      </c>
      <c r="J482" s="988">
        <v>24108</v>
      </c>
    </row>
    <row r="483" spans="1:10">
      <c r="A483" s="987">
        <v>66</v>
      </c>
      <c r="B483" s="988">
        <v>24139</v>
      </c>
      <c r="C483" s="987" t="s">
        <v>4651</v>
      </c>
      <c r="D483" s="987" t="s">
        <v>4652</v>
      </c>
      <c r="E483" s="987">
        <v>25</v>
      </c>
      <c r="F483" s="987">
        <v>-3.8462000000000003E-2</v>
      </c>
      <c r="G483" s="987">
        <v>0</v>
      </c>
      <c r="H483" s="986">
        <v>3.3999999999999998E-3</v>
      </c>
      <c r="I483" s="986">
        <f t="shared" si="7"/>
        <v>-4.1862000000000003E-2</v>
      </c>
      <c r="J483" s="988">
        <v>24139</v>
      </c>
    </row>
    <row r="484" spans="1:10">
      <c r="A484" s="987">
        <v>66</v>
      </c>
      <c r="B484" s="988">
        <v>24167</v>
      </c>
      <c r="C484" s="987" t="s">
        <v>4651</v>
      </c>
      <c r="D484" s="987" t="s">
        <v>4652</v>
      </c>
      <c r="E484" s="987">
        <v>24.75</v>
      </c>
      <c r="F484" s="987">
        <v>2.5000000000000001E-3</v>
      </c>
      <c r="G484" s="987">
        <v>0.3125</v>
      </c>
      <c r="H484" s="986">
        <v>4.0000000000000001E-3</v>
      </c>
      <c r="I484" s="986">
        <f t="shared" si="7"/>
        <v>-1.5E-3</v>
      </c>
      <c r="J484" s="988">
        <v>24167</v>
      </c>
    </row>
    <row r="485" spans="1:10">
      <c r="A485" s="987">
        <v>66</v>
      </c>
      <c r="B485" s="988">
        <v>24198</v>
      </c>
      <c r="C485" s="987" t="s">
        <v>4651</v>
      </c>
      <c r="D485" s="987" t="s">
        <v>4652</v>
      </c>
      <c r="E485" s="987">
        <v>24.125</v>
      </c>
      <c r="F485" s="987">
        <v>-2.5253000000000001E-2</v>
      </c>
      <c r="G485" s="987">
        <v>0</v>
      </c>
      <c r="H485" s="986">
        <v>3.5999999999999999E-3</v>
      </c>
      <c r="I485" s="986">
        <f t="shared" si="7"/>
        <v>-2.8853E-2</v>
      </c>
      <c r="J485" s="988">
        <v>24198</v>
      </c>
    </row>
    <row r="486" spans="1:10">
      <c r="A486" s="987">
        <v>66</v>
      </c>
      <c r="B486" s="988">
        <v>24228</v>
      </c>
      <c r="C486" s="987" t="s">
        <v>4651</v>
      </c>
      <c r="D486" s="987" t="s">
        <v>4652</v>
      </c>
      <c r="E486" s="987">
        <v>23.875</v>
      </c>
      <c r="F486" s="987">
        <v>-1.0363000000000001E-2</v>
      </c>
      <c r="G486" s="987">
        <v>0</v>
      </c>
      <c r="H486" s="986">
        <v>4.1000000000000003E-3</v>
      </c>
      <c r="I486" s="986">
        <f t="shared" si="7"/>
        <v>-1.4463E-2</v>
      </c>
      <c r="J486" s="988">
        <v>24228</v>
      </c>
    </row>
    <row r="487" spans="1:10">
      <c r="A487" s="987">
        <v>66</v>
      </c>
      <c r="B487" s="988">
        <v>24259</v>
      </c>
      <c r="C487" s="987" t="s">
        <v>4651</v>
      </c>
      <c r="D487" s="987" t="s">
        <v>4652</v>
      </c>
      <c r="E487" s="987">
        <v>23.875</v>
      </c>
      <c r="F487" s="987">
        <v>1.3089E-2</v>
      </c>
      <c r="G487" s="987">
        <v>0.3125</v>
      </c>
      <c r="H487" s="986">
        <v>3.8999999999999998E-3</v>
      </c>
      <c r="I487" s="986">
        <f t="shared" si="7"/>
        <v>9.1889999999999993E-3</v>
      </c>
      <c r="J487" s="988">
        <v>24259</v>
      </c>
    </row>
    <row r="488" spans="1:10">
      <c r="A488" s="987">
        <v>66</v>
      </c>
      <c r="B488" s="988">
        <v>24289</v>
      </c>
      <c r="C488" s="987" t="s">
        <v>4651</v>
      </c>
      <c r="D488" s="987" t="s">
        <v>4652</v>
      </c>
      <c r="E488" s="987">
        <v>23.375</v>
      </c>
      <c r="F488" s="987">
        <v>-2.0941999999999999E-2</v>
      </c>
      <c r="G488" s="987">
        <v>0</v>
      </c>
      <c r="H488" s="986">
        <v>3.8E-3</v>
      </c>
      <c r="I488" s="986">
        <f t="shared" si="7"/>
        <v>-2.4742E-2</v>
      </c>
      <c r="J488" s="988">
        <v>24289</v>
      </c>
    </row>
    <row r="489" spans="1:10">
      <c r="A489" s="987">
        <v>66</v>
      </c>
      <c r="B489" s="988">
        <v>24320</v>
      </c>
      <c r="C489" s="987" t="s">
        <v>4651</v>
      </c>
      <c r="D489" s="987" t="s">
        <v>4652</v>
      </c>
      <c r="E489" s="987">
        <v>22.625</v>
      </c>
      <c r="F489" s="987">
        <v>-3.2086000000000003E-2</v>
      </c>
      <c r="G489" s="987">
        <v>0</v>
      </c>
      <c r="H489" s="986">
        <v>4.3E-3</v>
      </c>
      <c r="I489" s="986">
        <f t="shared" si="7"/>
        <v>-3.6386000000000002E-2</v>
      </c>
      <c r="J489" s="988">
        <v>24320</v>
      </c>
    </row>
    <row r="490" spans="1:10">
      <c r="A490" s="987">
        <v>66</v>
      </c>
      <c r="B490" s="988">
        <v>24351</v>
      </c>
      <c r="C490" s="987" t="s">
        <v>4651</v>
      </c>
      <c r="D490" s="987" t="s">
        <v>4652</v>
      </c>
      <c r="E490" s="987">
        <v>22.25</v>
      </c>
      <c r="F490" s="987">
        <v>-2.7620000000000001E-3</v>
      </c>
      <c r="G490" s="987">
        <v>0.3125</v>
      </c>
      <c r="H490" s="986">
        <v>4.1000000000000003E-3</v>
      </c>
      <c r="I490" s="986">
        <f t="shared" si="7"/>
        <v>-6.862E-3</v>
      </c>
      <c r="J490" s="988">
        <v>24351</v>
      </c>
    </row>
    <row r="491" spans="1:10">
      <c r="A491" s="987">
        <v>66</v>
      </c>
      <c r="B491" s="988">
        <v>24381</v>
      </c>
      <c r="C491" s="987" t="s">
        <v>4651</v>
      </c>
      <c r="D491" s="987" t="s">
        <v>4652</v>
      </c>
      <c r="E491" s="987">
        <v>22</v>
      </c>
      <c r="F491" s="987">
        <v>-1.1235999999999999E-2</v>
      </c>
      <c r="G491" s="987">
        <v>0</v>
      </c>
      <c r="H491" s="986">
        <v>4.0000000000000001E-3</v>
      </c>
      <c r="I491" s="986">
        <f t="shared" si="7"/>
        <v>-1.5236E-2</v>
      </c>
      <c r="J491" s="988">
        <v>24381</v>
      </c>
    </row>
    <row r="492" spans="1:10">
      <c r="A492" s="987">
        <v>66</v>
      </c>
      <c r="B492" s="988">
        <v>24412</v>
      </c>
      <c r="C492" s="987" t="s">
        <v>4651</v>
      </c>
      <c r="D492" s="987" t="s">
        <v>4652</v>
      </c>
      <c r="E492" s="987">
        <v>22.125</v>
      </c>
      <c r="F492" s="987">
        <v>5.6820000000000004E-3</v>
      </c>
      <c r="G492" s="987">
        <v>0</v>
      </c>
      <c r="H492" s="986">
        <v>3.8E-3</v>
      </c>
      <c r="I492" s="986">
        <f t="shared" si="7"/>
        <v>1.8820000000000004E-3</v>
      </c>
      <c r="J492" s="988">
        <v>24412</v>
      </c>
    </row>
    <row r="493" spans="1:10">
      <c r="A493" s="987">
        <v>66</v>
      </c>
      <c r="B493" s="988">
        <v>24442</v>
      </c>
      <c r="C493" s="987" t="s">
        <v>4651</v>
      </c>
      <c r="D493" s="987" t="s">
        <v>4652</v>
      </c>
      <c r="E493" s="987">
        <v>21.125</v>
      </c>
      <c r="F493" s="987">
        <v>-3.1073E-2</v>
      </c>
      <c r="G493" s="987">
        <v>0.3125</v>
      </c>
      <c r="H493" s="986">
        <v>3.8999999999999998E-3</v>
      </c>
      <c r="I493" s="986">
        <f t="shared" si="7"/>
        <v>-3.4972999999999997E-2</v>
      </c>
      <c r="J493" s="988">
        <v>24442</v>
      </c>
    </row>
    <row r="494" spans="1:10">
      <c r="A494" s="987">
        <v>66</v>
      </c>
      <c r="B494" s="988">
        <v>24473</v>
      </c>
      <c r="C494" s="987" t="s">
        <v>4651</v>
      </c>
      <c r="D494" s="987" t="s">
        <v>4652</v>
      </c>
      <c r="E494" s="987">
        <v>23.875</v>
      </c>
      <c r="F494" s="987">
        <v>0.13017799999999999</v>
      </c>
      <c r="G494" s="987">
        <v>0</v>
      </c>
      <c r="H494" s="986">
        <v>4.0000000000000001E-3</v>
      </c>
      <c r="I494" s="986">
        <f t="shared" si="7"/>
        <v>0.12617799999999998</v>
      </c>
      <c r="J494" s="988">
        <v>24473</v>
      </c>
    </row>
    <row r="495" spans="1:10">
      <c r="A495" s="987">
        <v>66</v>
      </c>
      <c r="B495" s="988">
        <v>24504</v>
      </c>
      <c r="C495" s="987" t="s">
        <v>4651</v>
      </c>
      <c r="D495" s="987" t="s">
        <v>4652</v>
      </c>
      <c r="E495" s="987">
        <v>23.375</v>
      </c>
      <c r="F495" s="987">
        <v>-2.0941999999999999E-2</v>
      </c>
      <c r="G495" s="987">
        <v>0</v>
      </c>
      <c r="H495" s="986">
        <v>3.3999999999999998E-3</v>
      </c>
      <c r="I495" s="986">
        <f t="shared" si="7"/>
        <v>-2.4341999999999999E-2</v>
      </c>
      <c r="J495" s="988">
        <v>24504</v>
      </c>
    </row>
    <row r="496" spans="1:10">
      <c r="A496" s="987">
        <v>66</v>
      </c>
      <c r="B496" s="988">
        <v>24532</v>
      </c>
      <c r="C496" s="987" t="s">
        <v>4651</v>
      </c>
      <c r="D496" s="987" t="s">
        <v>4652</v>
      </c>
      <c r="E496" s="987">
        <v>23.375</v>
      </c>
      <c r="F496" s="987">
        <v>1.3369000000000001E-2</v>
      </c>
      <c r="G496" s="987">
        <v>0.3125</v>
      </c>
      <c r="H496" s="986">
        <v>3.8999999999999998E-3</v>
      </c>
      <c r="I496" s="986">
        <f t="shared" si="7"/>
        <v>9.4690000000000017E-3</v>
      </c>
      <c r="J496" s="988">
        <v>24532</v>
      </c>
    </row>
    <row r="497" spans="1:10">
      <c r="A497" s="987">
        <v>66</v>
      </c>
      <c r="B497" s="988">
        <v>24563</v>
      </c>
      <c r="C497" s="987" t="s">
        <v>4651</v>
      </c>
      <c r="D497" s="987" t="s">
        <v>4652</v>
      </c>
      <c r="E497" s="987">
        <v>22.875</v>
      </c>
      <c r="F497" s="987">
        <v>-2.1389999999999999E-2</v>
      </c>
      <c r="G497" s="987">
        <v>0</v>
      </c>
      <c r="H497" s="986">
        <v>3.5000000000000001E-3</v>
      </c>
      <c r="I497" s="986">
        <f t="shared" si="7"/>
        <v>-2.4889999999999999E-2</v>
      </c>
      <c r="J497" s="988">
        <v>24563</v>
      </c>
    </row>
    <row r="498" spans="1:10">
      <c r="A498" s="987">
        <v>66</v>
      </c>
      <c r="B498" s="988">
        <v>24593</v>
      </c>
      <c r="C498" s="987" t="s">
        <v>4651</v>
      </c>
      <c r="D498" s="987" t="s">
        <v>4652</v>
      </c>
      <c r="E498" s="987">
        <v>23.25</v>
      </c>
      <c r="F498" s="987">
        <v>1.6393000000000001E-2</v>
      </c>
      <c r="G498" s="987">
        <v>0</v>
      </c>
      <c r="H498" s="986">
        <v>4.3E-3</v>
      </c>
      <c r="I498" s="986">
        <f t="shared" si="7"/>
        <v>1.2093000000000001E-2</v>
      </c>
      <c r="J498" s="988">
        <v>24593</v>
      </c>
    </row>
    <row r="499" spans="1:10">
      <c r="A499" s="987">
        <v>66</v>
      </c>
      <c r="B499" s="988">
        <v>24624</v>
      </c>
      <c r="C499" s="987" t="s">
        <v>4651</v>
      </c>
      <c r="D499" s="987" t="s">
        <v>4652</v>
      </c>
      <c r="E499" s="987">
        <v>23.5</v>
      </c>
      <c r="F499" s="987">
        <v>2.4731E-2</v>
      </c>
      <c r="G499" s="987">
        <v>0.32500000000000001</v>
      </c>
      <c r="H499" s="986">
        <v>3.8999999999999998E-3</v>
      </c>
      <c r="I499" s="986">
        <f t="shared" si="7"/>
        <v>2.0830999999999999E-2</v>
      </c>
      <c r="J499" s="988">
        <v>24624</v>
      </c>
    </row>
    <row r="500" spans="1:10">
      <c r="A500" s="987">
        <v>66</v>
      </c>
      <c r="B500" s="988">
        <v>24654</v>
      </c>
      <c r="C500" s="987" t="s">
        <v>4651</v>
      </c>
      <c r="D500" s="987" t="s">
        <v>4652</v>
      </c>
      <c r="E500" s="987">
        <v>23.75</v>
      </c>
      <c r="F500" s="987">
        <v>1.0638E-2</v>
      </c>
      <c r="G500" s="987">
        <v>0</v>
      </c>
      <c r="H500" s="986">
        <v>4.3E-3</v>
      </c>
      <c r="I500" s="986">
        <f t="shared" si="7"/>
        <v>6.3379999999999999E-3</v>
      </c>
      <c r="J500" s="988">
        <v>24654</v>
      </c>
    </row>
    <row r="501" spans="1:10">
      <c r="A501" s="987">
        <v>66</v>
      </c>
      <c r="B501" s="988">
        <v>24685</v>
      </c>
      <c r="C501" s="987" t="s">
        <v>4651</v>
      </c>
      <c r="D501" s="987" t="s">
        <v>4652</v>
      </c>
      <c r="E501" s="987">
        <v>23.5</v>
      </c>
      <c r="F501" s="987">
        <v>-1.0526000000000001E-2</v>
      </c>
      <c r="G501" s="987">
        <v>0</v>
      </c>
      <c r="H501" s="986">
        <v>4.1999999999999997E-3</v>
      </c>
      <c r="I501" s="986">
        <f t="shared" si="7"/>
        <v>-1.4726E-2</v>
      </c>
      <c r="J501" s="988">
        <v>24685</v>
      </c>
    </row>
    <row r="502" spans="1:10">
      <c r="A502" s="987">
        <v>66</v>
      </c>
      <c r="B502" s="988">
        <v>24716</v>
      </c>
      <c r="C502" s="987" t="s">
        <v>4651</v>
      </c>
      <c r="D502" s="987" t="s">
        <v>4652</v>
      </c>
      <c r="E502" s="987">
        <v>23.375</v>
      </c>
      <c r="F502" s="987">
        <v>8.5109999999999995E-3</v>
      </c>
      <c r="G502" s="987">
        <v>0.32500000000000001</v>
      </c>
      <c r="H502" s="986">
        <v>4.0000000000000001E-3</v>
      </c>
      <c r="I502" s="986">
        <f t="shared" si="7"/>
        <v>4.5109999999999994E-3</v>
      </c>
      <c r="J502" s="988">
        <v>24716</v>
      </c>
    </row>
    <row r="503" spans="1:10">
      <c r="A503" s="987">
        <v>66</v>
      </c>
      <c r="B503" s="988">
        <v>24746</v>
      </c>
      <c r="C503" s="987" t="s">
        <v>4651</v>
      </c>
      <c r="D503" s="987" t="s">
        <v>4652</v>
      </c>
      <c r="E503" s="987">
        <v>23</v>
      </c>
      <c r="F503" s="987">
        <v>-1.6043000000000002E-2</v>
      </c>
      <c r="G503" s="987">
        <v>0</v>
      </c>
      <c r="H503" s="986">
        <v>4.4999999999999997E-3</v>
      </c>
      <c r="I503" s="986">
        <f t="shared" si="7"/>
        <v>-2.0543000000000002E-2</v>
      </c>
      <c r="J503" s="988">
        <v>24746</v>
      </c>
    </row>
    <row r="504" spans="1:10">
      <c r="A504" s="987">
        <v>66</v>
      </c>
      <c r="B504" s="988">
        <v>24777</v>
      </c>
      <c r="C504" s="987" t="s">
        <v>4651</v>
      </c>
      <c r="D504" s="987" t="s">
        <v>4652</v>
      </c>
      <c r="E504" s="987">
        <v>22.625</v>
      </c>
      <c r="F504" s="987">
        <v>-1.6303999999999999E-2</v>
      </c>
      <c r="G504" s="987">
        <v>0</v>
      </c>
      <c r="H504" s="986">
        <v>4.4999999999999997E-3</v>
      </c>
      <c r="I504" s="986">
        <f t="shared" si="7"/>
        <v>-2.0804E-2</v>
      </c>
      <c r="J504" s="988">
        <v>24777</v>
      </c>
    </row>
    <row r="505" spans="1:10">
      <c r="A505" s="987">
        <v>66</v>
      </c>
      <c r="B505" s="988">
        <v>24807</v>
      </c>
      <c r="C505" s="987" t="s">
        <v>4651</v>
      </c>
      <c r="D505" s="987" t="s">
        <v>4652</v>
      </c>
      <c r="E505" s="987">
        <v>21.875</v>
      </c>
      <c r="F505" s="987">
        <v>-1.8785E-2</v>
      </c>
      <c r="G505" s="987">
        <v>0.32500000000000001</v>
      </c>
      <c r="H505" s="986">
        <v>4.4000000000000003E-3</v>
      </c>
      <c r="I505" s="986">
        <f t="shared" si="7"/>
        <v>-2.3185000000000001E-2</v>
      </c>
      <c r="J505" s="988">
        <v>24807</v>
      </c>
    </row>
    <row r="506" spans="1:10">
      <c r="A506" s="987">
        <v>66</v>
      </c>
      <c r="B506" s="988">
        <v>24838</v>
      </c>
      <c r="C506" s="987" t="s">
        <v>4651</v>
      </c>
      <c r="D506" s="987" t="s">
        <v>4652</v>
      </c>
      <c r="E506" s="987">
        <v>23.375</v>
      </c>
      <c r="F506" s="987">
        <v>6.8570999999999993E-2</v>
      </c>
      <c r="G506" s="987">
        <v>0</v>
      </c>
      <c r="H506" s="986">
        <v>5.0000000000000001E-3</v>
      </c>
      <c r="I506" s="986">
        <f t="shared" si="7"/>
        <v>6.3570999999999989E-2</v>
      </c>
      <c r="J506" s="988">
        <v>24838</v>
      </c>
    </row>
    <row r="507" spans="1:10">
      <c r="A507" s="987">
        <v>66</v>
      </c>
      <c r="B507" s="988">
        <v>24869</v>
      </c>
      <c r="C507" s="987" t="s">
        <v>4651</v>
      </c>
      <c r="D507" s="987" t="s">
        <v>4652</v>
      </c>
      <c r="E507" s="987">
        <v>22.375</v>
      </c>
      <c r="F507" s="987">
        <v>-4.2781E-2</v>
      </c>
      <c r="G507" s="987">
        <v>0</v>
      </c>
      <c r="H507" s="986">
        <v>4.1999999999999997E-3</v>
      </c>
      <c r="I507" s="986">
        <f t="shared" si="7"/>
        <v>-4.6981000000000002E-2</v>
      </c>
      <c r="J507" s="988">
        <v>24869</v>
      </c>
    </row>
    <row r="508" spans="1:10">
      <c r="A508" s="987">
        <v>66</v>
      </c>
      <c r="B508" s="988">
        <v>24898</v>
      </c>
      <c r="C508" s="987" t="s">
        <v>4651</v>
      </c>
      <c r="D508" s="987" t="s">
        <v>4652</v>
      </c>
      <c r="E508" s="987">
        <v>21.625</v>
      </c>
      <c r="F508" s="987">
        <v>-1.8994E-2</v>
      </c>
      <c r="G508" s="987">
        <v>0.32500000000000001</v>
      </c>
      <c r="H508" s="986">
        <v>4.3E-3</v>
      </c>
      <c r="I508" s="986">
        <f t="shared" si="7"/>
        <v>-2.3294000000000002E-2</v>
      </c>
      <c r="J508" s="988">
        <v>24898</v>
      </c>
    </row>
    <row r="509" spans="1:10">
      <c r="A509" s="987">
        <v>66</v>
      </c>
      <c r="B509" s="988">
        <v>24929</v>
      </c>
      <c r="C509" s="987" t="s">
        <v>4651</v>
      </c>
      <c r="D509" s="987" t="s">
        <v>4652</v>
      </c>
      <c r="E509" s="987">
        <v>21.625</v>
      </c>
      <c r="F509" s="987">
        <v>0</v>
      </c>
      <c r="G509" s="987">
        <v>0</v>
      </c>
      <c r="H509" s="986">
        <v>4.8999999999999998E-3</v>
      </c>
      <c r="I509" s="986">
        <f t="shared" si="7"/>
        <v>-4.8999999999999998E-3</v>
      </c>
      <c r="J509" s="988">
        <v>24929</v>
      </c>
    </row>
    <row r="510" spans="1:10">
      <c r="A510" s="987">
        <v>66</v>
      </c>
      <c r="B510" s="988">
        <v>24959</v>
      </c>
      <c r="C510" s="987" t="s">
        <v>4651</v>
      </c>
      <c r="D510" s="987" t="s">
        <v>4652</v>
      </c>
      <c r="E510" s="987">
        <v>22</v>
      </c>
      <c r="F510" s="987">
        <v>1.7340999999999999E-2</v>
      </c>
      <c r="G510" s="987">
        <v>0</v>
      </c>
      <c r="H510" s="986">
        <v>4.5999999999999999E-3</v>
      </c>
      <c r="I510" s="986">
        <f t="shared" si="7"/>
        <v>1.2740999999999999E-2</v>
      </c>
      <c r="J510" s="988">
        <v>24959</v>
      </c>
    </row>
    <row r="511" spans="1:10">
      <c r="A511" s="987">
        <v>66</v>
      </c>
      <c r="B511" s="988">
        <v>24990</v>
      </c>
      <c r="C511" s="987" t="s">
        <v>4651</v>
      </c>
      <c r="D511" s="987" t="s">
        <v>4652</v>
      </c>
      <c r="E511" s="987">
        <v>23</v>
      </c>
      <c r="F511" s="987">
        <v>6.0227000000000003E-2</v>
      </c>
      <c r="G511" s="987">
        <v>0.32500000000000001</v>
      </c>
      <c r="H511" s="986">
        <v>4.1999999999999997E-3</v>
      </c>
      <c r="I511" s="986">
        <f t="shared" si="7"/>
        <v>5.6027E-2</v>
      </c>
      <c r="J511" s="988">
        <v>24990</v>
      </c>
    </row>
    <row r="512" spans="1:10">
      <c r="A512" s="987">
        <v>66</v>
      </c>
      <c r="B512" s="988">
        <v>25020</v>
      </c>
      <c r="C512" s="987" t="s">
        <v>4651</v>
      </c>
      <c r="D512" s="987" t="s">
        <v>4652</v>
      </c>
      <c r="E512" s="987">
        <v>23.625</v>
      </c>
      <c r="F512" s="987">
        <v>2.7174E-2</v>
      </c>
      <c r="G512" s="987">
        <v>0</v>
      </c>
      <c r="H512" s="986">
        <v>4.7999999999999996E-3</v>
      </c>
      <c r="I512" s="986">
        <f t="shared" si="7"/>
        <v>2.2374000000000002E-2</v>
      </c>
      <c r="J512" s="988">
        <v>25020</v>
      </c>
    </row>
    <row r="513" spans="1:10">
      <c r="A513" s="987">
        <v>66</v>
      </c>
      <c r="B513" s="988">
        <v>25051</v>
      </c>
      <c r="C513" s="987" t="s">
        <v>4651</v>
      </c>
      <c r="D513" s="987" t="s">
        <v>4652</v>
      </c>
      <c r="E513" s="987">
        <v>22.75</v>
      </c>
      <c r="F513" s="987">
        <v>-3.7037E-2</v>
      </c>
      <c r="G513" s="987">
        <v>0</v>
      </c>
      <c r="H513" s="986">
        <v>4.1999999999999997E-3</v>
      </c>
      <c r="I513" s="986">
        <f t="shared" si="7"/>
        <v>-4.1237000000000003E-2</v>
      </c>
      <c r="J513" s="988">
        <v>25051</v>
      </c>
    </row>
    <row r="514" spans="1:10">
      <c r="A514" s="987">
        <v>66</v>
      </c>
      <c r="B514" s="988">
        <v>25082</v>
      </c>
      <c r="C514" s="987" t="s">
        <v>4651</v>
      </c>
      <c r="D514" s="987" t="s">
        <v>4652</v>
      </c>
      <c r="E514" s="987">
        <v>22.875</v>
      </c>
      <c r="F514" s="987">
        <v>1.9779999999999999E-2</v>
      </c>
      <c r="G514" s="987">
        <v>0.32500000000000001</v>
      </c>
      <c r="H514" s="986">
        <v>4.4000000000000003E-3</v>
      </c>
      <c r="I514" s="986">
        <f t="shared" ref="I514:I577" si="8">F514-H514</f>
        <v>1.5379999999999998E-2</v>
      </c>
      <c r="J514" s="988">
        <v>25082</v>
      </c>
    </row>
    <row r="515" spans="1:10">
      <c r="A515" s="987">
        <v>66</v>
      </c>
      <c r="B515" s="988">
        <v>25112</v>
      </c>
      <c r="C515" s="987" t="s">
        <v>4651</v>
      </c>
      <c r="D515" s="987" t="s">
        <v>4652</v>
      </c>
      <c r="E515" s="987">
        <v>22.875</v>
      </c>
      <c r="F515" s="987">
        <v>0</v>
      </c>
      <c r="G515" s="987">
        <v>0</v>
      </c>
      <c r="H515" s="986">
        <v>4.4999999999999997E-3</v>
      </c>
      <c r="I515" s="986">
        <f t="shared" si="8"/>
        <v>-4.4999999999999997E-3</v>
      </c>
      <c r="J515" s="988">
        <v>25112</v>
      </c>
    </row>
    <row r="516" spans="1:10">
      <c r="A516" s="987">
        <v>66</v>
      </c>
      <c r="B516" s="988">
        <v>25143</v>
      </c>
      <c r="C516" s="987" t="s">
        <v>4651</v>
      </c>
      <c r="D516" s="987" t="s">
        <v>4652</v>
      </c>
      <c r="E516" s="987">
        <v>25.5</v>
      </c>
      <c r="F516" s="987">
        <v>0.11475399999999999</v>
      </c>
      <c r="G516" s="987">
        <v>0</v>
      </c>
      <c r="H516" s="986">
        <v>4.3E-3</v>
      </c>
      <c r="I516" s="986">
        <f t="shared" si="8"/>
        <v>0.110454</v>
      </c>
      <c r="J516" s="988">
        <v>25143</v>
      </c>
    </row>
    <row r="517" spans="1:10">
      <c r="A517" s="987">
        <v>66</v>
      </c>
      <c r="B517" s="988">
        <v>25173</v>
      </c>
      <c r="C517" s="987" t="s">
        <v>4651</v>
      </c>
      <c r="D517" s="987" t="s">
        <v>4652</v>
      </c>
      <c r="E517" s="987">
        <v>23.625</v>
      </c>
      <c r="F517" s="987">
        <v>-6.0783999999999998E-2</v>
      </c>
      <c r="G517" s="987">
        <v>0.32500000000000001</v>
      </c>
      <c r="H517" s="986">
        <v>4.8999999999999998E-3</v>
      </c>
      <c r="I517" s="986">
        <f t="shared" si="8"/>
        <v>-6.5683999999999992E-2</v>
      </c>
      <c r="J517" s="988">
        <v>25173</v>
      </c>
    </row>
    <row r="518" spans="1:10">
      <c r="A518" s="987">
        <v>66</v>
      </c>
      <c r="B518" s="988">
        <v>25204</v>
      </c>
      <c r="C518" s="987" t="s">
        <v>4651</v>
      </c>
      <c r="D518" s="987" t="s">
        <v>4652</v>
      </c>
      <c r="E518" s="987">
        <v>24.5</v>
      </c>
      <c r="F518" s="987">
        <v>3.7037E-2</v>
      </c>
      <c r="G518" s="987">
        <v>0</v>
      </c>
      <c r="H518" s="986">
        <v>5.0000000000000001E-3</v>
      </c>
      <c r="I518" s="986">
        <f t="shared" si="8"/>
        <v>3.2037000000000003E-2</v>
      </c>
      <c r="J518" s="988">
        <v>25204</v>
      </c>
    </row>
    <row r="519" spans="1:10">
      <c r="A519" s="987">
        <v>66</v>
      </c>
      <c r="B519" s="988">
        <v>25235</v>
      </c>
      <c r="C519" s="987" t="s">
        <v>4651</v>
      </c>
      <c r="D519" s="987" t="s">
        <v>4652</v>
      </c>
      <c r="E519" s="987">
        <v>23.125</v>
      </c>
      <c r="F519" s="987">
        <v>-5.6121999999999998E-2</v>
      </c>
      <c r="G519" s="987">
        <v>0</v>
      </c>
      <c r="H519" s="986">
        <v>4.5999999999999999E-3</v>
      </c>
      <c r="I519" s="986">
        <f t="shared" si="8"/>
        <v>-6.0721999999999998E-2</v>
      </c>
      <c r="J519" s="988">
        <v>25235</v>
      </c>
    </row>
    <row r="520" spans="1:10">
      <c r="A520" s="987">
        <v>66</v>
      </c>
      <c r="B520" s="988">
        <v>25263</v>
      </c>
      <c r="C520" s="987" t="s">
        <v>4651</v>
      </c>
      <c r="D520" s="987" t="s">
        <v>4652</v>
      </c>
      <c r="E520" s="987">
        <v>22.5</v>
      </c>
      <c r="F520" s="987">
        <v>-1.2973E-2</v>
      </c>
      <c r="G520" s="987">
        <v>0.32500000000000001</v>
      </c>
      <c r="H520" s="986">
        <v>4.7000000000000002E-3</v>
      </c>
      <c r="I520" s="986">
        <f t="shared" si="8"/>
        <v>-1.7673000000000001E-2</v>
      </c>
      <c r="J520" s="988">
        <v>25263</v>
      </c>
    </row>
    <row r="521" spans="1:10">
      <c r="A521" s="987">
        <v>66</v>
      </c>
      <c r="B521" s="988">
        <v>25294</v>
      </c>
      <c r="C521" s="987" t="s">
        <v>4651</v>
      </c>
      <c r="D521" s="987" t="s">
        <v>4652</v>
      </c>
      <c r="E521" s="987">
        <v>22.25</v>
      </c>
      <c r="F521" s="987">
        <v>-1.1110999999999999E-2</v>
      </c>
      <c r="G521" s="987">
        <v>0</v>
      </c>
      <c r="H521" s="986">
        <v>5.4999999999999997E-3</v>
      </c>
      <c r="I521" s="986">
        <f t="shared" si="8"/>
        <v>-1.6611000000000001E-2</v>
      </c>
      <c r="J521" s="988">
        <v>25294</v>
      </c>
    </row>
    <row r="522" spans="1:10">
      <c r="A522" s="987">
        <v>66</v>
      </c>
      <c r="B522" s="988">
        <v>25324</v>
      </c>
      <c r="C522" s="987" t="s">
        <v>4651</v>
      </c>
      <c r="D522" s="987" t="s">
        <v>4652</v>
      </c>
      <c r="E522" s="987">
        <v>22.5</v>
      </c>
      <c r="F522" s="987">
        <v>1.1235999999999999E-2</v>
      </c>
      <c r="G522" s="987">
        <v>0</v>
      </c>
      <c r="H522" s="986">
        <v>4.7000000000000002E-3</v>
      </c>
      <c r="I522" s="986">
        <f t="shared" si="8"/>
        <v>6.5359999999999993E-3</v>
      </c>
      <c r="J522" s="988">
        <v>25324</v>
      </c>
    </row>
    <row r="523" spans="1:10">
      <c r="A523" s="987">
        <v>66</v>
      </c>
      <c r="B523" s="988">
        <v>25355</v>
      </c>
      <c r="C523" s="987" t="s">
        <v>4651</v>
      </c>
      <c r="D523" s="987" t="s">
        <v>4652</v>
      </c>
      <c r="E523" s="987">
        <v>21</v>
      </c>
      <c r="F523" s="987">
        <v>-5.2221999999999998E-2</v>
      </c>
      <c r="G523" s="987">
        <v>0.32500000000000001</v>
      </c>
      <c r="H523" s="986">
        <v>5.4999999999999997E-3</v>
      </c>
      <c r="I523" s="986">
        <f t="shared" si="8"/>
        <v>-5.7721999999999996E-2</v>
      </c>
      <c r="J523" s="988">
        <v>25355</v>
      </c>
    </row>
    <row r="524" spans="1:10">
      <c r="A524" s="987">
        <v>66</v>
      </c>
      <c r="B524" s="988">
        <v>25385</v>
      </c>
      <c r="C524" s="987" t="s">
        <v>4651</v>
      </c>
      <c r="D524" s="987" t="s">
        <v>4652</v>
      </c>
      <c r="E524" s="987">
        <v>20.375</v>
      </c>
      <c r="F524" s="987">
        <v>-2.9762E-2</v>
      </c>
      <c r="G524" s="987">
        <v>0</v>
      </c>
      <c r="H524" s="986">
        <v>5.1999999999999998E-3</v>
      </c>
      <c r="I524" s="986">
        <f t="shared" si="8"/>
        <v>-3.4962E-2</v>
      </c>
      <c r="J524" s="988">
        <v>25385</v>
      </c>
    </row>
    <row r="525" spans="1:10">
      <c r="A525" s="987">
        <v>66</v>
      </c>
      <c r="B525" s="988">
        <v>25416</v>
      </c>
      <c r="C525" s="987" t="s">
        <v>4651</v>
      </c>
      <c r="D525" s="987" t="s">
        <v>4652</v>
      </c>
      <c r="E525" s="987">
        <v>20.875</v>
      </c>
      <c r="F525" s="987">
        <v>2.4539999999999999E-2</v>
      </c>
      <c r="G525" s="987">
        <v>0</v>
      </c>
      <c r="H525" s="986">
        <v>4.7999999999999996E-3</v>
      </c>
      <c r="I525" s="986">
        <f t="shared" si="8"/>
        <v>1.9740000000000001E-2</v>
      </c>
      <c r="J525" s="988">
        <v>25416</v>
      </c>
    </row>
    <row r="526" spans="1:10">
      <c r="A526" s="987">
        <v>66</v>
      </c>
      <c r="B526" s="988">
        <v>25447</v>
      </c>
      <c r="C526" s="987" t="s">
        <v>4651</v>
      </c>
      <c r="D526" s="987" t="s">
        <v>4652</v>
      </c>
      <c r="E526" s="987">
        <v>20.25</v>
      </c>
      <c r="F526" s="987">
        <v>-1.4371E-2</v>
      </c>
      <c r="G526" s="987">
        <v>0.32500000000000001</v>
      </c>
      <c r="H526" s="986">
        <v>5.4999999999999997E-3</v>
      </c>
      <c r="I526" s="986">
        <f t="shared" si="8"/>
        <v>-1.9871E-2</v>
      </c>
      <c r="J526" s="988">
        <v>25447</v>
      </c>
    </row>
    <row r="527" spans="1:10">
      <c r="A527" s="987">
        <v>66</v>
      </c>
      <c r="B527" s="988">
        <v>25477</v>
      </c>
      <c r="C527" s="987" t="s">
        <v>4651</v>
      </c>
      <c r="D527" s="987" t="s">
        <v>4652</v>
      </c>
      <c r="E527" s="987">
        <v>20.375</v>
      </c>
      <c r="F527" s="987">
        <v>6.1729999999999997E-3</v>
      </c>
      <c r="G527" s="987">
        <v>0</v>
      </c>
      <c r="H527" s="986">
        <v>5.7000000000000002E-3</v>
      </c>
      <c r="I527" s="986">
        <f t="shared" si="8"/>
        <v>4.7299999999999946E-4</v>
      </c>
      <c r="J527" s="988">
        <v>25477</v>
      </c>
    </row>
    <row r="528" spans="1:10">
      <c r="A528" s="987">
        <v>66</v>
      </c>
      <c r="B528" s="988">
        <v>25508</v>
      </c>
      <c r="C528" s="987" t="s">
        <v>4651</v>
      </c>
      <c r="D528" s="987" t="s">
        <v>4652</v>
      </c>
      <c r="E528" s="987">
        <v>20.75</v>
      </c>
      <c r="F528" s="987">
        <v>1.8405000000000001E-2</v>
      </c>
      <c r="G528" s="987">
        <v>0</v>
      </c>
      <c r="H528" s="986">
        <v>4.8999999999999998E-3</v>
      </c>
      <c r="I528" s="986">
        <f t="shared" si="8"/>
        <v>1.3505000000000001E-2</v>
      </c>
      <c r="J528" s="988">
        <v>25508</v>
      </c>
    </row>
    <row r="529" spans="1:10">
      <c r="A529" s="987">
        <v>66</v>
      </c>
      <c r="B529" s="988">
        <v>25538</v>
      </c>
      <c r="C529" s="987" t="s">
        <v>4651</v>
      </c>
      <c r="D529" s="987" t="s">
        <v>4652</v>
      </c>
      <c r="E529" s="987">
        <v>20.25</v>
      </c>
      <c r="F529" s="987">
        <v>-7.2290000000000002E-3</v>
      </c>
      <c r="G529" s="987">
        <v>0.35</v>
      </c>
      <c r="H529" s="986">
        <v>6.0000000000000001E-3</v>
      </c>
      <c r="I529" s="986">
        <f t="shared" si="8"/>
        <v>-1.3229000000000001E-2</v>
      </c>
      <c r="J529" s="988">
        <v>25538</v>
      </c>
    </row>
    <row r="530" spans="1:10">
      <c r="A530" s="987">
        <v>66</v>
      </c>
      <c r="B530" s="988">
        <v>25569</v>
      </c>
      <c r="C530" s="987" t="s">
        <v>4651</v>
      </c>
      <c r="D530" s="987" t="s">
        <v>4652</v>
      </c>
      <c r="E530" s="987">
        <v>19.75</v>
      </c>
      <c r="F530" s="987">
        <v>-2.4691000000000001E-2</v>
      </c>
      <c r="G530" s="987">
        <v>0</v>
      </c>
      <c r="H530" s="986">
        <v>5.5999999999999999E-3</v>
      </c>
      <c r="I530" s="986">
        <f t="shared" si="8"/>
        <v>-3.0291000000000002E-2</v>
      </c>
      <c r="J530" s="988">
        <v>25569</v>
      </c>
    </row>
    <row r="531" spans="1:10">
      <c r="A531" s="987">
        <v>66</v>
      </c>
      <c r="B531" s="988">
        <v>25600</v>
      </c>
      <c r="C531" s="987" t="s">
        <v>4651</v>
      </c>
      <c r="D531" s="987" t="s">
        <v>4652</v>
      </c>
      <c r="E531" s="987">
        <v>20.75</v>
      </c>
      <c r="F531" s="987">
        <v>5.0632999999999997E-2</v>
      </c>
      <c r="G531" s="987">
        <v>0</v>
      </c>
      <c r="H531" s="986">
        <v>5.1999999999999998E-3</v>
      </c>
      <c r="I531" s="986">
        <f t="shared" si="8"/>
        <v>4.5433000000000001E-2</v>
      </c>
      <c r="J531" s="988">
        <v>25600</v>
      </c>
    </row>
    <row r="532" spans="1:10">
      <c r="A532" s="987">
        <v>66</v>
      </c>
      <c r="B532" s="988">
        <v>25628</v>
      </c>
      <c r="C532" s="987" t="s">
        <v>4651</v>
      </c>
      <c r="D532" s="987" t="s">
        <v>4652</v>
      </c>
      <c r="E532" s="987">
        <v>21.5</v>
      </c>
      <c r="F532" s="987">
        <v>5.3011999999999997E-2</v>
      </c>
      <c r="G532" s="987">
        <v>0.35</v>
      </c>
      <c r="H532" s="986">
        <v>5.5999999999999999E-3</v>
      </c>
      <c r="I532" s="986">
        <f t="shared" si="8"/>
        <v>4.7411999999999996E-2</v>
      </c>
      <c r="J532" s="988">
        <v>25628</v>
      </c>
    </row>
    <row r="533" spans="1:10">
      <c r="A533" s="987">
        <v>66</v>
      </c>
      <c r="B533" s="988">
        <v>25659</v>
      </c>
      <c r="C533" s="987" t="s">
        <v>4651</v>
      </c>
      <c r="D533" s="987" t="s">
        <v>4652</v>
      </c>
      <c r="E533" s="987">
        <v>20</v>
      </c>
      <c r="F533" s="987">
        <v>-6.9766999999999996E-2</v>
      </c>
      <c r="G533" s="987">
        <v>0</v>
      </c>
      <c r="H533" s="986">
        <v>5.4000000000000003E-3</v>
      </c>
      <c r="I533" s="986">
        <f t="shared" si="8"/>
        <v>-7.5166999999999998E-2</v>
      </c>
      <c r="J533" s="988">
        <v>25659</v>
      </c>
    </row>
    <row r="534" spans="1:10">
      <c r="A534" s="987">
        <v>66</v>
      </c>
      <c r="B534" s="988">
        <v>25689</v>
      </c>
      <c r="C534" s="987" t="s">
        <v>4651</v>
      </c>
      <c r="D534" s="987" t="s">
        <v>4652</v>
      </c>
      <c r="E534" s="987">
        <v>20.75</v>
      </c>
      <c r="F534" s="987">
        <v>3.7499999999999999E-2</v>
      </c>
      <c r="G534" s="987">
        <v>0</v>
      </c>
      <c r="H534" s="986">
        <v>5.4999999999999997E-3</v>
      </c>
      <c r="I534" s="986">
        <f t="shared" si="8"/>
        <v>3.2000000000000001E-2</v>
      </c>
      <c r="J534" s="988">
        <v>25689</v>
      </c>
    </row>
    <row r="535" spans="1:10">
      <c r="A535" s="987">
        <v>66</v>
      </c>
      <c r="B535" s="988">
        <v>25720</v>
      </c>
      <c r="C535" s="987" t="s">
        <v>4651</v>
      </c>
      <c r="D535" s="987" t="s">
        <v>4652</v>
      </c>
      <c r="E535" s="987">
        <v>19.75</v>
      </c>
      <c r="F535" s="987">
        <v>-3.1324999999999999E-2</v>
      </c>
      <c r="G535" s="987">
        <v>0.35</v>
      </c>
      <c r="H535" s="986">
        <v>6.4000000000000003E-3</v>
      </c>
      <c r="I535" s="986">
        <f t="shared" si="8"/>
        <v>-3.7725000000000002E-2</v>
      </c>
      <c r="J535" s="988">
        <v>25720</v>
      </c>
    </row>
    <row r="536" spans="1:10">
      <c r="A536" s="987">
        <v>66</v>
      </c>
      <c r="B536" s="988">
        <v>25750</v>
      </c>
      <c r="C536" s="987" t="s">
        <v>4651</v>
      </c>
      <c r="D536" s="987" t="s">
        <v>4652</v>
      </c>
      <c r="E536" s="987">
        <v>20.125</v>
      </c>
      <c r="F536" s="987">
        <v>1.8987E-2</v>
      </c>
      <c r="G536" s="987">
        <v>0</v>
      </c>
      <c r="H536" s="986">
        <v>5.8999999999999999E-3</v>
      </c>
      <c r="I536" s="986">
        <f t="shared" si="8"/>
        <v>1.3087000000000001E-2</v>
      </c>
      <c r="J536" s="988">
        <v>25750</v>
      </c>
    </row>
    <row r="537" spans="1:10">
      <c r="A537" s="987">
        <v>66</v>
      </c>
      <c r="B537" s="988">
        <v>25781</v>
      </c>
      <c r="C537" s="987" t="s">
        <v>4651</v>
      </c>
      <c r="D537" s="987" t="s">
        <v>4652</v>
      </c>
      <c r="E537" s="987">
        <v>21.875</v>
      </c>
      <c r="F537" s="987">
        <v>8.6957000000000007E-2</v>
      </c>
      <c r="G537" s="987">
        <v>0</v>
      </c>
      <c r="H537" s="986">
        <v>5.7000000000000002E-3</v>
      </c>
      <c r="I537" s="986">
        <f t="shared" si="8"/>
        <v>8.125700000000001E-2</v>
      </c>
      <c r="J537" s="988">
        <v>25781</v>
      </c>
    </row>
    <row r="538" spans="1:10">
      <c r="A538" s="987">
        <v>66</v>
      </c>
      <c r="B538" s="988">
        <v>25812</v>
      </c>
      <c r="C538" s="987" t="s">
        <v>4651</v>
      </c>
      <c r="D538" s="987" t="s">
        <v>4652</v>
      </c>
      <c r="E538" s="987">
        <v>-21.625</v>
      </c>
      <c r="F538" s="987">
        <v>4.5710000000000004E-3</v>
      </c>
      <c r="G538" s="987">
        <v>0.35</v>
      </c>
      <c r="H538" s="986">
        <v>5.5999999999999999E-3</v>
      </c>
      <c r="I538" s="986">
        <f t="shared" si="8"/>
        <v>-1.0289999999999995E-3</v>
      </c>
      <c r="J538" s="988">
        <v>25812</v>
      </c>
    </row>
    <row r="539" spans="1:10">
      <c r="A539" s="987">
        <v>66</v>
      </c>
      <c r="B539" s="988">
        <v>25842</v>
      </c>
      <c r="C539" s="987" t="s">
        <v>4651</v>
      </c>
      <c r="D539" s="987" t="s">
        <v>4652</v>
      </c>
      <c r="E539" s="987">
        <v>22.375</v>
      </c>
      <c r="F539" s="987">
        <v>3.4681999999999998E-2</v>
      </c>
      <c r="G539" s="987">
        <v>0</v>
      </c>
      <c r="H539" s="986">
        <v>5.4999999999999997E-3</v>
      </c>
      <c r="I539" s="986">
        <f t="shared" si="8"/>
        <v>2.9182E-2</v>
      </c>
      <c r="J539" s="988">
        <v>25842</v>
      </c>
    </row>
    <row r="540" spans="1:10">
      <c r="A540" s="987">
        <v>66</v>
      </c>
      <c r="B540" s="988">
        <v>25873</v>
      </c>
      <c r="C540" s="987" t="s">
        <v>4651</v>
      </c>
      <c r="D540" s="987" t="s">
        <v>4652</v>
      </c>
      <c r="E540" s="987">
        <v>25</v>
      </c>
      <c r="F540" s="987">
        <v>0.11731800000000001</v>
      </c>
      <c r="G540" s="987">
        <v>0</v>
      </c>
      <c r="H540" s="986">
        <v>5.7999999999999996E-3</v>
      </c>
      <c r="I540" s="986">
        <f t="shared" si="8"/>
        <v>0.11151800000000001</v>
      </c>
      <c r="J540" s="988">
        <v>25873</v>
      </c>
    </row>
    <row r="541" spans="1:10">
      <c r="A541" s="987">
        <v>66</v>
      </c>
      <c r="B541" s="988">
        <v>25903</v>
      </c>
      <c r="C541" s="987" t="s">
        <v>4651</v>
      </c>
      <c r="D541" s="987" t="s">
        <v>4652</v>
      </c>
      <c r="E541" s="987">
        <v>24</v>
      </c>
      <c r="F541" s="987">
        <v>-2.5499999999999998E-2</v>
      </c>
      <c r="G541" s="987">
        <v>0.36249999999999999</v>
      </c>
      <c r="H541" s="986">
        <v>5.3E-3</v>
      </c>
      <c r="I541" s="986">
        <f t="shared" si="8"/>
        <v>-3.0799999999999998E-2</v>
      </c>
      <c r="J541" s="988">
        <v>25903</v>
      </c>
    </row>
    <row r="542" spans="1:10">
      <c r="A542" s="987">
        <v>66</v>
      </c>
      <c r="B542" s="988">
        <v>25934</v>
      </c>
      <c r="C542" s="987" t="s">
        <v>4651</v>
      </c>
      <c r="D542" s="987" t="s">
        <v>4652</v>
      </c>
      <c r="E542" s="987">
        <v>24</v>
      </c>
      <c r="F542" s="987">
        <v>0</v>
      </c>
      <c r="G542" s="987">
        <v>0</v>
      </c>
      <c r="H542" s="986">
        <v>5.1000000000000004E-3</v>
      </c>
      <c r="I542" s="986">
        <f t="shared" si="8"/>
        <v>-5.1000000000000004E-3</v>
      </c>
      <c r="J542" s="988">
        <v>25934</v>
      </c>
    </row>
    <row r="543" spans="1:10">
      <c r="A543" s="987">
        <v>66</v>
      </c>
      <c r="B543" s="988">
        <v>25965</v>
      </c>
      <c r="C543" s="987" t="s">
        <v>4651</v>
      </c>
      <c r="D543" s="987" t="s">
        <v>4652</v>
      </c>
      <c r="E543" s="987">
        <v>24.25</v>
      </c>
      <c r="F543" s="987">
        <v>1.0416999999999999E-2</v>
      </c>
      <c r="G543" s="987">
        <v>0</v>
      </c>
      <c r="H543" s="986">
        <v>4.5999999999999999E-3</v>
      </c>
      <c r="I543" s="986">
        <f t="shared" si="8"/>
        <v>5.8169999999999993E-3</v>
      </c>
      <c r="J543" s="988">
        <v>25965</v>
      </c>
    </row>
    <row r="544" spans="1:10">
      <c r="A544" s="987">
        <v>66</v>
      </c>
      <c r="B544" s="988">
        <v>25993</v>
      </c>
      <c r="C544" s="987" t="s">
        <v>4651</v>
      </c>
      <c r="D544" s="987" t="s">
        <v>4652</v>
      </c>
      <c r="E544" s="987">
        <v>23.75</v>
      </c>
      <c r="F544" s="987">
        <v>-5.6699999999999997E-3</v>
      </c>
      <c r="G544" s="987">
        <v>0.36249999999999999</v>
      </c>
      <c r="H544" s="986">
        <v>5.5999999999999999E-3</v>
      </c>
      <c r="I544" s="986">
        <f t="shared" si="8"/>
        <v>-1.1269999999999999E-2</v>
      </c>
      <c r="J544" s="988">
        <v>25993</v>
      </c>
    </row>
    <row r="545" spans="1:10">
      <c r="A545" s="987">
        <v>66</v>
      </c>
      <c r="B545" s="988">
        <v>26024</v>
      </c>
      <c r="C545" s="987" t="s">
        <v>4651</v>
      </c>
      <c r="D545" s="987" t="s">
        <v>4652</v>
      </c>
      <c r="E545" s="987">
        <v>24</v>
      </c>
      <c r="F545" s="987">
        <v>1.0526000000000001E-2</v>
      </c>
      <c r="G545" s="987">
        <v>0</v>
      </c>
      <c r="H545" s="986">
        <v>4.7999999999999996E-3</v>
      </c>
      <c r="I545" s="986">
        <f t="shared" si="8"/>
        <v>5.7260000000000011E-3</v>
      </c>
      <c r="J545" s="988">
        <v>26024</v>
      </c>
    </row>
    <row r="546" spans="1:10">
      <c r="A546" s="987">
        <v>66</v>
      </c>
      <c r="B546" s="988">
        <v>26054</v>
      </c>
      <c r="C546" s="987" t="s">
        <v>4651</v>
      </c>
      <c r="D546" s="987" t="s">
        <v>4652</v>
      </c>
      <c r="E546" s="987">
        <v>21.75</v>
      </c>
      <c r="F546" s="987">
        <v>-9.375E-2</v>
      </c>
      <c r="G546" s="987">
        <v>0</v>
      </c>
      <c r="H546" s="986">
        <v>4.7000000000000002E-3</v>
      </c>
      <c r="I546" s="986">
        <f t="shared" si="8"/>
        <v>-9.8449999999999996E-2</v>
      </c>
      <c r="J546" s="988">
        <v>26054</v>
      </c>
    </row>
    <row r="547" spans="1:10">
      <c r="A547" s="987">
        <v>66</v>
      </c>
      <c r="B547" s="988">
        <v>26085</v>
      </c>
      <c r="C547" s="987" t="s">
        <v>4651</v>
      </c>
      <c r="D547" s="987" t="s">
        <v>4652</v>
      </c>
      <c r="E547" s="987">
        <v>21.625</v>
      </c>
      <c r="F547" s="987">
        <v>1.0919999999999999E-2</v>
      </c>
      <c r="G547" s="987">
        <v>0.36249999999999999</v>
      </c>
      <c r="H547" s="986">
        <v>5.5999999999999999E-3</v>
      </c>
      <c r="I547" s="986">
        <f t="shared" si="8"/>
        <v>5.3199999999999992E-3</v>
      </c>
      <c r="J547" s="988">
        <v>26085</v>
      </c>
    </row>
    <row r="548" spans="1:10">
      <c r="A548" s="987">
        <v>66</v>
      </c>
      <c r="B548" s="988">
        <v>26115</v>
      </c>
      <c r="C548" s="987" t="s">
        <v>4651</v>
      </c>
      <c r="D548" s="987" t="s">
        <v>4652</v>
      </c>
      <c r="E548" s="987">
        <v>21.625</v>
      </c>
      <c r="F548" s="987">
        <v>0</v>
      </c>
      <c r="G548" s="987">
        <v>0</v>
      </c>
      <c r="H548" s="986">
        <v>5.1999999999999998E-3</v>
      </c>
      <c r="I548" s="986">
        <f t="shared" si="8"/>
        <v>-5.1999999999999998E-3</v>
      </c>
      <c r="J548" s="988">
        <v>26115</v>
      </c>
    </row>
    <row r="549" spans="1:10">
      <c r="A549" s="987">
        <v>66</v>
      </c>
      <c r="B549" s="988">
        <v>26146</v>
      </c>
      <c r="C549" s="987" t="s">
        <v>4651</v>
      </c>
      <c r="D549" s="987" t="s">
        <v>4652</v>
      </c>
      <c r="E549" s="987">
        <v>-22.5625</v>
      </c>
      <c r="F549" s="987">
        <v>4.3353000000000003E-2</v>
      </c>
      <c r="G549" s="987">
        <v>0</v>
      </c>
      <c r="H549" s="986">
        <v>5.4999999999999997E-3</v>
      </c>
      <c r="I549" s="986">
        <f t="shared" si="8"/>
        <v>3.7853000000000005E-2</v>
      </c>
      <c r="J549" s="988">
        <v>26146</v>
      </c>
    </row>
    <row r="550" spans="1:10">
      <c r="A550" s="987">
        <v>66</v>
      </c>
      <c r="B550" s="988">
        <v>26177</v>
      </c>
      <c r="C550" s="987" t="s">
        <v>4651</v>
      </c>
      <c r="D550" s="987" t="s">
        <v>4652</v>
      </c>
      <c r="E550" s="987">
        <v>21.75</v>
      </c>
      <c r="F550" s="987">
        <v>-1.9945000000000001E-2</v>
      </c>
      <c r="G550" s="987">
        <v>0.36249999999999999</v>
      </c>
      <c r="H550" s="986">
        <v>4.8999999999999998E-3</v>
      </c>
      <c r="I550" s="986">
        <f t="shared" si="8"/>
        <v>-2.4844999999999999E-2</v>
      </c>
      <c r="J550" s="988">
        <v>26177</v>
      </c>
    </row>
    <row r="551" spans="1:10">
      <c r="A551" s="987">
        <v>66</v>
      </c>
      <c r="B551" s="988">
        <v>26207</v>
      </c>
      <c r="C551" s="987" t="s">
        <v>4651</v>
      </c>
      <c r="D551" s="987" t="s">
        <v>4652</v>
      </c>
      <c r="E551" s="987">
        <v>22.375</v>
      </c>
      <c r="F551" s="987">
        <v>2.8736000000000001E-2</v>
      </c>
      <c r="G551" s="987">
        <v>0</v>
      </c>
      <c r="H551" s="986">
        <v>4.7000000000000002E-3</v>
      </c>
      <c r="I551" s="986">
        <f t="shared" si="8"/>
        <v>2.4036000000000002E-2</v>
      </c>
      <c r="J551" s="988">
        <v>26207</v>
      </c>
    </row>
    <row r="552" spans="1:10">
      <c r="A552" s="987">
        <v>66</v>
      </c>
      <c r="B552" s="988">
        <v>26238</v>
      </c>
      <c r="C552" s="987" t="s">
        <v>4651</v>
      </c>
      <c r="D552" s="987" t="s">
        <v>4652</v>
      </c>
      <c r="E552" s="987">
        <v>22.25</v>
      </c>
      <c r="F552" s="987">
        <v>-5.587E-3</v>
      </c>
      <c r="G552" s="987">
        <v>0</v>
      </c>
      <c r="H552" s="986">
        <v>5.1000000000000004E-3</v>
      </c>
      <c r="I552" s="986">
        <f t="shared" si="8"/>
        <v>-1.0687E-2</v>
      </c>
      <c r="J552" s="988">
        <v>26238</v>
      </c>
    </row>
    <row r="553" spans="1:10">
      <c r="A553" s="987">
        <v>66</v>
      </c>
      <c r="B553" s="988">
        <v>26268</v>
      </c>
      <c r="C553" s="987" t="s">
        <v>4651</v>
      </c>
      <c r="D553" s="987" t="s">
        <v>4652</v>
      </c>
      <c r="E553" s="987">
        <v>22.125</v>
      </c>
      <c r="F553" s="987">
        <v>1.0673999999999999E-2</v>
      </c>
      <c r="G553" s="987">
        <v>0.36249999999999999</v>
      </c>
      <c r="H553" s="986">
        <v>5.0000000000000001E-3</v>
      </c>
      <c r="I553" s="986">
        <f t="shared" si="8"/>
        <v>5.6739999999999994E-3</v>
      </c>
      <c r="J553" s="988">
        <v>26268</v>
      </c>
    </row>
    <row r="554" spans="1:10">
      <c r="A554" s="987">
        <v>66</v>
      </c>
      <c r="B554" s="988">
        <v>26299</v>
      </c>
      <c r="C554" s="987" t="s">
        <v>4651</v>
      </c>
      <c r="D554" s="987" t="s">
        <v>4652</v>
      </c>
      <c r="E554" s="987">
        <v>22.125</v>
      </c>
      <c r="F554" s="987">
        <v>0</v>
      </c>
      <c r="G554" s="987">
        <v>0</v>
      </c>
      <c r="H554" s="986">
        <v>5.0000000000000001E-3</v>
      </c>
      <c r="I554" s="986">
        <f t="shared" si="8"/>
        <v>-5.0000000000000001E-3</v>
      </c>
      <c r="J554" s="988">
        <v>26299</v>
      </c>
    </row>
    <row r="555" spans="1:10">
      <c r="A555" s="987">
        <v>66</v>
      </c>
      <c r="B555" s="988">
        <v>26330</v>
      </c>
      <c r="C555" s="987" t="s">
        <v>4651</v>
      </c>
      <c r="D555" s="987" t="s">
        <v>4652</v>
      </c>
      <c r="E555" s="987">
        <v>21.875</v>
      </c>
      <c r="F555" s="987">
        <v>-1.1299E-2</v>
      </c>
      <c r="G555" s="987">
        <v>0</v>
      </c>
      <c r="H555" s="986">
        <v>4.7000000000000002E-3</v>
      </c>
      <c r="I555" s="986">
        <f t="shared" si="8"/>
        <v>-1.5998999999999999E-2</v>
      </c>
      <c r="J555" s="988">
        <v>26330</v>
      </c>
    </row>
    <row r="556" spans="1:10">
      <c r="A556" s="987">
        <v>66</v>
      </c>
      <c r="B556" s="988">
        <v>26359</v>
      </c>
      <c r="C556" s="987" t="s">
        <v>4651</v>
      </c>
      <c r="D556" s="987" t="s">
        <v>4652</v>
      </c>
      <c r="E556" s="987">
        <v>21.625</v>
      </c>
      <c r="F556" s="987">
        <v>5.143E-3</v>
      </c>
      <c r="G556" s="987">
        <v>0.36249999999999999</v>
      </c>
      <c r="H556" s="986">
        <v>4.8999999999999998E-3</v>
      </c>
      <c r="I556" s="986">
        <f t="shared" si="8"/>
        <v>2.4300000000000016E-4</v>
      </c>
      <c r="J556" s="988">
        <v>26359</v>
      </c>
    </row>
    <row r="557" spans="1:10">
      <c r="A557" s="987">
        <v>66</v>
      </c>
      <c r="B557" s="988">
        <v>26390</v>
      </c>
      <c r="C557" s="987" t="s">
        <v>4651</v>
      </c>
      <c r="D557" s="987" t="s">
        <v>4652</v>
      </c>
      <c r="E557" s="987">
        <v>21.125</v>
      </c>
      <c r="F557" s="987">
        <v>-2.3120999999999999E-2</v>
      </c>
      <c r="G557" s="987">
        <v>0</v>
      </c>
      <c r="H557" s="986">
        <v>4.7999999999999996E-3</v>
      </c>
      <c r="I557" s="986">
        <f t="shared" si="8"/>
        <v>-2.7920999999999998E-2</v>
      </c>
      <c r="J557" s="988">
        <v>26390</v>
      </c>
    </row>
    <row r="558" spans="1:10">
      <c r="A558" s="987">
        <v>66</v>
      </c>
      <c r="B558" s="988">
        <v>26420</v>
      </c>
      <c r="C558" s="987" t="s">
        <v>4651</v>
      </c>
      <c r="D558" s="987" t="s">
        <v>4652</v>
      </c>
      <c r="E558" s="987">
        <v>20.625</v>
      </c>
      <c r="F558" s="987">
        <v>-2.3668999999999999E-2</v>
      </c>
      <c r="G558" s="987">
        <v>0</v>
      </c>
      <c r="H558" s="986">
        <v>5.4999999999999997E-3</v>
      </c>
      <c r="I558" s="986">
        <f t="shared" si="8"/>
        <v>-2.9169E-2</v>
      </c>
      <c r="J558" s="988">
        <v>26420</v>
      </c>
    </row>
    <row r="559" spans="1:10">
      <c r="A559" s="987">
        <v>66</v>
      </c>
      <c r="B559" s="988">
        <v>26451</v>
      </c>
      <c r="C559" s="987" t="s">
        <v>4651</v>
      </c>
      <c r="D559" s="987" t="s">
        <v>4652</v>
      </c>
      <c r="E559" s="987">
        <v>20.125</v>
      </c>
      <c r="F559" s="987">
        <v>-6.6670000000000002E-3</v>
      </c>
      <c r="G559" s="987">
        <v>0.36249999999999999</v>
      </c>
      <c r="H559" s="986">
        <v>4.8999999999999998E-3</v>
      </c>
      <c r="I559" s="986">
        <f t="shared" si="8"/>
        <v>-1.1567000000000001E-2</v>
      </c>
      <c r="J559" s="988">
        <v>26451</v>
      </c>
    </row>
    <row r="560" spans="1:10">
      <c r="A560" s="987">
        <v>66</v>
      </c>
      <c r="B560" s="988">
        <v>26481</v>
      </c>
      <c r="C560" s="987" t="s">
        <v>4651</v>
      </c>
      <c r="D560" s="987" t="s">
        <v>4652</v>
      </c>
      <c r="E560" s="987">
        <v>20.25</v>
      </c>
      <c r="F560" s="987">
        <v>6.2110000000000004E-3</v>
      </c>
      <c r="G560" s="987">
        <v>0</v>
      </c>
      <c r="H560" s="986">
        <v>5.1000000000000004E-3</v>
      </c>
      <c r="I560" s="986">
        <f t="shared" si="8"/>
        <v>1.111E-3</v>
      </c>
      <c r="J560" s="988">
        <v>26481</v>
      </c>
    </row>
    <row r="561" spans="1:10">
      <c r="A561" s="987">
        <v>66</v>
      </c>
      <c r="B561" s="988">
        <v>26512</v>
      </c>
      <c r="C561" s="987" t="s">
        <v>4651</v>
      </c>
      <c r="D561" s="987" t="s">
        <v>4652</v>
      </c>
      <c r="E561" s="987">
        <v>20.375</v>
      </c>
      <c r="F561" s="987">
        <v>6.1729999999999997E-3</v>
      </c>
      <c r="G561" s="987">
        <v>0</v>
      </c>
      <c r="H561" s="986">
        <v>4.8999999999999998E-3</v>
      </c>
      <c r="I561" s="986">
        <f t="shared" si="8"/>
        <v>1.2729999999999998E-3</v>
      </c>
      <c r="J561" s="988">
        <v>26512</v>
      </c>
    </row>
    <row r="562" spans="1:10">
      <c r="A562" s="987">
        <v>66</v>
      </c>
      <c r="B562" s="988">
        <v>26543</v>
      </c>
      <c r="C562" s="987" t="s">
        <v>4651</v>
      </c>
      <c r="D562" s="987" t="s">
        <v>4652</v>
      </c>
      <c r="E562" s="987">
        <v>20</v>
      </c>
      <c r="F562" s="987">
        <v>-6.1300000000000005E-4</v>
      </c>
      <c r="G562" s="987">
        <v>0.36249999999999999</v>
      </c>
      <c r="H562" s="986">
        <v>4.7000000000000002E-3</v>
      </c>
      <c r="I562" s="986">
        <f t="shared" si="8"/>
        <v>-5.313E-3</v>
      </c>
      <c r="J562" s="988">
        <v>26543</v>
      </c>
    </row>
    <row r="563" spans="1:10">
      <c r="A563" s="987">
        <v>66</v>
      </c>
      <c r="B563" s="988">
        <v>26573</v>
      </c>
      <c r="C563" s="987" t="s">
        <v>4651</v>
      </c>
      <c r="D563" s="987" t="s">
        <v>4652</v>
      </c>
      <c r="E563" s="987">
        <v>21.25</v>
      </c>
      <c r="F563" s="987">
        <v>6.25E-2</v>
      </c>
      <c r="G563" s="987">
        <v>0</v>
      </c>
      <c r="H563" s="986">
        <v>5.1999999999999998E-3</v>
      </c>
      <c r="I563" s="986">
        <f t="shared" si="8"/>
        <v>5.7300000000000004E-2</v>
      </c>
      <c r="J563" s="988">
        <v>26573</v>
      </c>
    </row>
    <row r="564" spans="1:10">
      <c r="A564" s="987">
        <v>66</v>
      </c>
      <c r="B564" s="988">
        <v>26604</v>
      </c>
      <c r="C564" s="987" t="s">
        <v>4651</v>
      </c>
      <c r="D564" s="987" t="s">
        <v>4652</v>
      </c>
      <c r="E564" s="987">
        <v>21.75</v>
      </c>
      <c r="F564" s="987">
        <v>2.3529000000000001E-2</v>
      </c>
      <c r="G564" s="987">
        <v>0</v>
      </c>
      <c r="H564" s="986">
        <v>4.7999999999999996E-3</v>
      </c>
      <c r="I564" s="986">
        <f t="shared" si="8"/>
        <v>1.8729000000000003E-2</v>
      </c>
      <c r="J564" s="988">
        <v>26604</v>
      </c>
    </row>
    <row r="565" spans="1:10">
      <c r="A565" s="987">
        <v>66</v>
      </c>
      <c r="B565" s="988">
        <v>26634</v>
      </c>
      <c r="C565" s="987" t="s">
        <v>4651</v>
      </c>
      <c r="D565" s="987" t="s">
        <v>4652</v>
      </c>
      <c r="E565" s="987">
        <v>20.625</v>
      </c>
      <c r="F565" s="987">
        <v>-3.5056999999999998E-2</v>
      </c>
      <c r="G565" s="987">
        <v>0.36249999999999999</v>
      </c>
      <c r="H565" s="986">
        <v>4.4999999999999997E-3</v>
      </c>
      <c r="I565" s="986">
        <f t="shared" si="8"/>
        <v>-3.9556999999999995E-2</v>
      </c>
      <c r="J565" s="988">
        <v>26634</v>
      </c>
    </row>
    <row r="566" spans="1:10">
      <c r="A566" s="987">
        <v>66</v>
      </c>
      <c r="B566" s="988">
        <v>26665</v>
      </c>
      <c r="C566" s="987" t="s">
        <v>4651</v>
      </c>
      <c r="D566" s="987" t="s">
        <v>4652</v>
      </c>
      <c r="E566" s="987">
        <v>22.125</v>
      </c>
      <c r="F566" s="987">
        <v>7.2727E-2</v>
      </c>
      <c r="G566" s="987">
        <v>0</v>
      </c>
      <c r="H566" s="986">
        <v>5.4000000000000003E-3</v>
      </c>
      <c r="I566" s="986">
        <f t="shared" si="8"/>
        <v>6.7326999999999998E-2</v>
      </c>
      <c r="J566" s="988">
        <v>26665</v>
      </c>
    </row>
    <row r="567" spans="1:10">
      <c r="A567" s="987">
        <v>66</v>
      </c>
      <c r="B567" s="988">
        <v>26696</v>
      </c>
      <c r="C567" s="987" t="s">
        <v>4651</v>
      </c>
      <c r="D567" s="987" t="s">
        <v>4652</v>
      </c>
      <c r="E567" s="987">
        <v>22</v>
      </c>
      <c r="F567" s="987">
        <v>-5.6499999999999996E-3</v>
      </c>
      <c r="G567" s="987">
        <v>0</v>
      </c>
      <c r="H567" s="986">
        <v>5.1000000000000004E-3</v>
      </c>
      <c r="I567" s="986">
        <f t="shared" si="8"/>
        <v>-1.0749999999999999E-2</v>
      </c>
      <c r="J567" s="988">
        <v>26696</v>
      </c>
    </row>
    <row r="568" spans="1:10">
      <c r="A568" s="987">
        <v>66</v>
      </c>
      <c r="B568" s="988">
        <v>26724</v>
      </c>
      <c r="C568" s="987" t="s">
        <v>4651</v>
      </c>
      <c r="D568" s="987" t="s">
        <v>4652</v>
      </c>
      <c r="E568" s="987">
        <v>21.625</v>
      </c>
      <c r="F568" s="987">
        <v>0</v>
      </c>
      <c r="G568" s="987">
        <v>0.375</v>
      </c>
      <c r="H568" s="986">
        <v>5.5999999999999999E-3</v>
      </c>
      <c r="I568" s="986">
        <f t="shared" si="8"/>
        <v>-5.5999999999999999E-3</v>
      </c>
      <c r="J568" s="988">
        <v>26724</v>
      </c>
    </row>
    <row r="569" spans="1:10">
      <c r="A569" s="987">
        <v>66</v>
      </c>
      <c r="B569" s="988">
        <v>26755</v>
      </c>
      <c r="C569" s="987" t="s">
        <v>4651</v>
      </c>
      <c r="D569" s="987" t="s">
        <v>4652</v>
      </c>
      <c r="E569" s="987">
        <v>21.5</v>
      </c>
      <c r="F569" s="987">
        <v>-5.7800000000000004E-3</v>
      </c>
      <c r="G569" s="987">
        <v>0</v>
      </c>
      <c r="H569" s="986">
        <v>5.7000000000000002E-3</v>
      </c>
      <c r="I569" s="986">
        <f t="shared" si="8"/>
        <v>-1.1480000000000001E-2</v>
      </c>
      <c r="J569" s="988">
        <v>26755</v>
      </c>
    </row>
    <row r="570" spans="1:10">
      <c r="A570" s="987">
        <v>66</v>
      </c>
      <c r="B570" s="988">
        <v>26785</v>
      </c>
      <c r="C570" s="987" t="s">
        <v>4651</v>
      </c>
      <c r="D570" s="987" t="s">
        <v>4652</v>
      </c>
      <c r="E570" s="987">
        <v>-20.5</v>
      </c>
      <c r="F570" s="987">
        <v>-4.6511999999999998E-2</v>
      </c>
      <c r="G570" s="987">
        <v>0</v>
      </c>
      <c r="H570" s="986">
        <v>5.7999999999999996E-3</v>
      </c>
      <c r="I570" s="986">
        <f t="shared" si="8"/>
        <v>-5.2311999999999997E-2</v>
      </c>
      <c r="J570" s="988">
        <v>26785</v>
      </c>
    </row>
    <row r="571" spans="1:10">
      <c r="A571" s="987">
        <v>66</v>
      </c>
      <c r="B571" s="988">
        <v>26816</v>
      </c>
      <c r="C571" s="987" t="s">
        <v>4651</v>
      </c>
      <c r="D571" s="987" t="s">
        <v>4652</v>
      </c>
      <c r="E571" s="987">
        <v>19.75</v>
      </c>
      <c r="F571" s="987">
        <v>-1.8293E-2</v>
      </c>
      <c r="G571" s="987">
        <v>0.375</v>
      </c>
      <c r="H571" s="986">
        <v>5.4999999999999997E-3</v>
      </c>
      <c r="I571" s="986">
        <f t="shared" si="8"/>
        <v>-2.3793000000000002E-2</v>
      </c>
      <c r="J571" s="988">
        <v>26816</v>
      </c>
    </row>
    <row r="572" spans="1:10">
      <c r="A572" s="987">
        <v>66</v>
      </c>
      <c r="B572" s="988">
        <v>26846</v>
      </c>
      <c r="C572" s="987" t="s">
        <v>4651</v>
      </c>
      <c r="D572" s="987" t="s">
        <v>4652</v>
      </c>
      <c r="E572" s="987">
        <v>19.25</v>
      </c>
      <c r="F572" s="987">
        <v>-2.5316000000000002E-2</v>
      </c>
      <c r="G572" s="987">
        <v>0</v>
      </c>
      <c r="H572" s="986">
        <v>6.1000000000000004E-3</v>
      </c>
      <c r="I572" s="986">
        <f t="shared" si="8"/>
        <v>-3.1415999999999999E-2</v>
      </c>
      <c r="J572" s="988">
        <v>26846</v>
      </c>
    </row>
    <row r="573" spans="1:10">
      <c r="A573" s="987">
        <v>66</v>
      </c>
      <c r="B573" s="988">
        <v>26877</v>
      </c>
      <c r="C573" s="987" t="s">
        <v>4651</v>
      </c>
      <c r="D573" s="987" t="s">
        <v>4652</v>
      </c>
      <c r="E573" s="987">
        <v>19.5</v>
      </c>
      <c r="F573" s="987">
        <v>1.2987E-2</v>
      </c>
      <c r="G573" s="987">
        <v>0</v>
      </c>
      <c r="H573" s="986">
        <v>6.1999999999999998E-3</v>
      </c>
      <c r="I573" s="986">
        <f t="shared" si="8"/>
        <v>6.7870000000000005E-3</v>
      </c>
      <c r="J573" s="988">
        <v>26877</v>
      </c>
    </row>
    <row r="574" spans="1:10">
      <c r="A574" s="987">
        <v>66</v>
      </c>
      <c r="B574" s="988">
        <v>26908</v>
      </c>
      <c r="C574" s="987" t="s">
        <v>4651</v>
      </c>
      <c r="D574" s="987" t="s">
        <v>4652</v>
      </c>
      <c r="E574" s="987">
        <v>19.5</v>
      </c>
      <c r="F574" s="987">
        <v>1.9231000000000002E-2</v>
      </c>
      <c r="G574" s="987">
        <v>0.375</v>
      </c>
      <c r="H574" s="986">
        <v>5.4999999999999997E-3</v>
      </c>
      <c r="I574" s="986">
        <f t="shared" si="8"/>
        <v>1.3731000000000002E-2</v>
      </c>
      <c r="J574" s="988">
        <v>26908</v>
      </c>
    </row>
    <row r="575" spans="1:10">
      <c r="A575" s="987">
        <v>66</v>
      </c>
      <c r="B575" s="988">
        <v>26938</v>
      </c>
      <c r="C575" s="987" t="s">
        <v>4651</v>
      </c>
      <c r="D575" s="987" t="s">
        <v>4652</v>
      </c>
      <c r="E575" s="987">
        <v>19.25</v>
      </c>
      <c r="F575" s="987">
        <v>-1.2821000000000001E-2</v>
      </c>
      <c r="G575" s="987">
        <v>0</v>
      </c>
      <c r="H575" s="986">
        <v>6.3E-3</v>
      </c>
      <c r="I575" s="986">
        <f t="shared" si="8"/>
        <v>-1.9120999999999999E-2</v>
      </c>
      <c r="J575" s="988">
        <v>26938</v>
      </c>
    </row>
    <row r="576" spans="1:10">
      <c r="A576" s="987">
        <v>66</v>
      </c>
      <c r="B576" s="988">
        <v>26969</v>
      </c>
      <c r="C576" s="987" t="s">
        <v>4651</v>
      </c>
      <c r="D576" s="987" t="s">
        <v>4652</v>
      </c>
      <c r="E576" s="987">
        <v>18.375</v>
      </c>
      <c r="F576" s="987">
        <v>-4.5455000000000002E-2</v>
      </c>
      <c r="G576" s="987">
        <v>0</v>
      </c>
      <c r="H576" s="986">
        <v>5.5999999999999999E-3</v>
      </c>
      <c r="I576" s="986">
        <f t="shared" si="8"/>
        <v>-5.1055000000000003E-2</v>
      </c>
      <c r="J576" s="988">
        <v>26969</v>
      </c>
    </row>
    <row r="577" spans="1:10">
      <c r="A577" s="987">
        <v>66</v>
      </c>
      <c r="B577" s="988">
        <v>26999</v>
      </c>
      <c r="C577" s="987" t="s">
        <v>4651</v>
      </c>
      <c r="D577" s="987" t="s">
        <v>4652</v>
      </c>
      <c r="E577" s="987">
        <v>17.75</v>
      </c>
      <c r="F577" s="987">
        <v>-1.2789E-2</v>
      </c>
      <c r="G577" s="987">
        <v>0.39</v>
      </c>
      <c r="H577" s="986">
        <v>6.0000000000000001E-3</v>
      </c>
      <c r="I577" s="986">
        <f t="shared" si="8"/>
        <v>-1.8789E-2</v>
      </c>
      <c r="J577" s="988">
        <v>26999</v>
      </c>
    </row>
    <row r="578" spans="1:10">
      <c r="A578" s="987">
        <v>66</v>
      </c>
      <c r="B578" s="988">
        <v>27030</v>
      </c>
      <c r="C578" s="987" t="s">
        <v>4651</v>
      </c>
      <c r="D578" s="987" t="s">
        <v>4652</v>
      </c>
      <c r="E578" s="987">
        <v>18.25</v>
      </c>
      <c r="F578" s="987">
        <v>2.8169E-2</v>
      </c>
      <c r="G578" s="987">
        <v>0</v>
      </c>
      <c r="H578" s="986">
        <v>6.1000000000000004E-3</v>
      </c>
      <c r="I578" s="986">
        <f t="shared" ref="I578:I641" si="9">F578-H578</f>
        <v>2.2068999999999998E-2</v>
      </c>
      <c r="J578" s="988">
        <v>27030</v>
      </c>
    </row>
    <row r="579" spans="1:10">
      <c r="A579" s="987">
        <v>66</v>
      </c>
      <c r="B579" s="988">
        <v>27061</v>
      </c>
      <c r="C579" s="987" t="s">
        <v>4651</v>
      </c>
      <c r="D579" s="987" t="s">
        <v>4652</v>
      </c>
      <c r="E579" s="987">
        <v>19.25</v>
      </c>
      <c r="F579" s="987">
        <v>5.4795000000000003E-2</v>
      </c>
      <c r="G579" s="987">
        <v>0</v>
      </c>
      <c r="H579" s="986">
        <v>5.4999999999999997E-3</v>
      </c>
      <c r="I579" s="986">
        <f t="shared" si="9"/>
        <v>4.9295000000000005E-2</v>
      </c>
      <c r="J579" s="988">
        <v>27061</v>
      </c>
    </row>
    <row r="580" spans="1:10">
      <c r="A580" s="987">
        <v>66</v>
      </c>
      <c r="B580" s="988">
        <v>27089</v>
      </c>
      <c r="C580" s="987" t="s">
        <v>4651</v>
      </c>
      <c r="D580" s="987" t="s">
        <v>4652</v>
      </c>
      <c r="E580" s="987">
        <v>18.125</v>
      </c>
      <c r="F580" s="987">
        <v>-3.8182000000000001E-2</v>
      </c>
      <c r="G580" s="987">
        <v>0.39</v>
      </c>
      <c r="H580" s="986">
        <v>5.7999999999999996E-3</v>
      </c>
      <c r="I580" s="986">
        <f t="shared" si="9"/>
        <v>-4.3982E-2</v>
      </c>
      <c r="J580" s="988">
        <v>27089</v>
      </c>
    </row>
    <row r="581" spans="1:10">
      <c r="A581" s="987">
        <v>66</v>
      </c>
      <c r="B581" s="988">
        <v>27120</v>
      </c>
      <c r="C581" s="987" t="s">
        <v>4651</v>
      </c>
      <c r="D581" s="987" t="s">
        <v>4652</v>
      </c>
      <c r="E581" s="987">
        <v>17.5</v>
      </c>
      <c r="F581" s="987">
        <v>-3.4483E-2</v>
      </c>
      <c r="G581" s="987">
        <v>0</v>
      </c>
      <c r="H581" s="986">
        <v>6.7999999999999996E-3</v>
      </c>
      <c r="I581" s="986">
        <f t="shared" si="9"/>
        <v>-4.1283E-2</v>
      </c>
      <c r="J581" s="988">
        <v>27120</v>
      </c>
    </row>
    <row r="582" spans="1:10">
      <c r="A582" s="987">
        <v>66</v>
      </c>
      <c r="B582" s="988">
        <v>27150</v>
      </c>
      <c r="C582" s="987" t="s">
        <v>4651</v>
      </c>
      <c r="D582" s="987" t="s">
        <v>4652</v>
      </c>
      <c r="E582" s="987">
        <v>15.875</v>
      </c>
      <c r="F582" s="987">
        <v>-9.2856999999999995E-2</v>
      </c>
      <c r="G582" s="987">
        <v>0</v>
      </c>
      <c r="H582" s="986">
        <v>6.7999999999999996E-3</v>
      </c>
      <c r="I582" s="986">
        <f t="shared" si="9"/>
        <v>-9.9656999999999996E-2</v>
      </c>
      <c r="J582" s="988">
        <v>27150</v>
      </c>
    </row>
    <row r="583" spans="1:10">
      <c r="A583" s="987">
        <v>66</v>
      </c>
      <c r="B583" s="988">
        <v>27181</v>
      </c>
      <c r="C583" s="987" t="s">
        <v>4651</v>
      </c>
      <c r="D583" s="987" t="s">
        <v>4652</v>
      </c>
      <c r="E583" s="987">
        <v>15.25</v>
      </c>
      <c r="F583" s="987">
        <v>-1.4803E-2</v>
      </c>
      <c r="G583" s="987">
        <v>0.39</v>
      </c>
      <c r="H583" s="986">
        <v>6.1000000000000004E-3</v>
      </c>
      <c r="I583" s="986">
        <f t="shared" si="9"/>
        <v>-2.0903000000000001E-2</v>
      </c>
      <c r="J583" s="988">
        <v>27181</v>
      </c>
    </row>
    <row r="584" spans="1:10">
      <c r="A584" s="987">
        <v>66</v>
      </c>
      <c r="B584" s="988">
        <v>27211</v>
      </c>
      <c r="C584" s="987" t="s">
        <v>4651</v>
      </c>
      <c r="D584" s="987" t="s">
        <v>4652</v>
      </c>
      <c r="E584" s="987">
        <v>15.625</v>
      </c>
      <c r="F584" s="987">
        <v>2.4590000000000001E-2</v>
      </c>
      <c r="G584" s="987">
        <v>0</v>
      </c>
      <c r="H584" s="986">
        <v>7.1999999999999998E-3</v>
      </c>
      <c r="I584" s="986">
        <f t="shared" si="9"/>
        <v>1.7390000000000003E-2</v>
      </c>
      <c r="J584" s="988">
        <v>27211</v>
      </c>
    </row>
    <row r="585" spans="1:10">
      <c r="A585" s="987">
        <v>66</v>
      </c>
      <c r="B585" s="988">
        <v>27242</v>
      </c>
      <c r="C585" s="987" t="s">
        <v>4651</v>
      </c>
      <c r="D585" s="987" t="s">
        <v>4652</v>
      </c>
      <c r="E585" s="987">
        <v>14.25</v>
      </c>
      <c r="F585" s="987">
        <v>-8.7999999999999995E-2</v>
      </c>
      <c r="G585" s="987">
        <v>0</v>
      </c>
      <c r="H585" s="986">
        <v>6.4999999999999997E-3</v>
      </c>
      <c r="I585" s="986">
        <f t="shared" si="9"/>
        <v>-9.4500000000000001E-2</v>
      </c>
      <c r="J585" s="988">
        <v>27242</v>
      </c>
    </row>
    <row r="586" spans="1:10">
      <c r="A586" s="987">
        <v>66</v>
      </c>
      <c r="B586" s="988">
        <v>27273</v>
      </c>
      <c r="C586" s="987" t="s">
        <v>4651</v>
      </c>
      <c r="D586" s="987" t="s">
        <v>4652</v>
      </c>
      <c r="E586" s="987">
        <v>13.375</v>
      </c>
      <c r="F586" s="987">
        <v>-3.4035000000000003E-2</v>
      </c>
      <c r="G586" s="987">
        <v>0.39</v>
      </c>
      <c r="H586" s="986">
        <v>7.1000000000000004E-3</v>
      </c>
      <c r="I586" s="986">
        <f t="shared" si="9"/>
        <v>-4.1135000000000005E-2</v>
      </c>
      <c r="J586" s="988">
        <v>27273</v>
      </c>
    </row>
    <row r="587" spans="1:10">
      <c r="A587" s="987">
        <v>66</v>
      </c>
      <c r="B587" s="988">
        <v>27303</v>
      </c>
      <c r="C587" s="987" t="s">
        <v>4651</v>
      </c>
      <c r="D587" s="987" t="s">
        <v>4652</v>
      </c>
      <c r="E587" s="987">
        <v>-15.0625</v>
      </c>
      <c r="F587" s="987">
        <v>0.126168</v>
      </c>
      <c r="G587" s="987">
        <v>0</v>
      </c>
      <c r="H587" s="986">
        <v>7.0000000000000001E-3</v>
      </c>
      <c r="I587" s="986">
        <f t="shared" si="9"/>
        <v>0.119168</v>
      </c>
      <c r="J587" s="988">
        <v>27303</v>
      </c>
    </row>
    <row r="588" spans="1:10">
      <c r="A588" s="987">
        <v>66</v>
      </c>
      <c r="B588" s="988">
        <v>27334</v>
      </c>
      <c r="C588" s="987" t="s">
        <v>4651</v>
      </c>
      <c r="D588" s="987" t="s">
        <v>4652</v>
      </c>
      <c r="E588" s="987">
        <v>13.25</v>
      </c>
      <c r="F588" s="987">
        <v>-0.12033199999999999</v>
      </c>
      <c r="G588" s="987">
        <v>0</v>
      </c>
      <c r="H588" s="986">
        <v>6.1999999999999998E-3</v>
      </c>
      <c r="I588" s="986">
        <f t="shared" si="9"/>
        <v>-0.12653200000000001</v>
      </c>
      <c r="J588" s="988">
        <v>27334</v>
      </c>
    </row>
    <row r="589" spans="1:10">
      <c r="A589" s="987">
        <v>66</v>
      </c>
      <c r="B589" s="988">
        <v>27364</v>
      </c>
      <c r="C589" s="987" t="s">
        <v>4651</v>
      </c>
      <c r="D589" s="987" t="s">
        <v>4652</v>
      </c>
      <c r="E589" s="987">
        <v>12.375</v>
      </c>
      <c r="F589" s="987">
        <v>-3.6603999999999998E-2</v>
      </c>
      <c r="G589" s="987">
        <v>0.39</v>
      </c>
      <c r="H589" s="986">
        <v>6.7000000000000002E-3</v>
      </c>
      <c r="I589" s="986">
        <f t="shared" si="9"/>
        <v>-4.3303999999999995E-2</v>
      </c>
      <c r="J589" s="988">
        <v>27364</v>
      </c>
    </row>
    <row r="590" spans="1:10">
      <c r="A590" s="987">
        <v>66</v>
      </c>
      <c r="B590" s="988">
        <v>27395</v>
      </c>
      <c r="C590" s="987" t="s">
        <v>4651</v>
      </c>
      <c r="D590" s="987" t="s">
        <v>4652</v>
      </c>
      <c r="E590" s="987">
        <v>17</v>
      </c>
      <c r="F590" s="987">
        <v>0.37373699999999999</v>
      </c>
      <c r="G590" s="987">
        <v>0</v>
      </c>
      <c r="H590" s="986">
        <v>6.7999999999999996E-3</v>
      </c>
      <c r="I590" s="986">
        <f t="shared" si="9"/>
        <v>0.36693700000000001</v>
      </c>
      <c r="J590" s="988">
        <v>27395</v>
      </c>
    </row>
    <row r="591" spans="1:10">
      <c r="A591" s="987">
        <v>66</v>
      </c>
      <c r="B591" s="988">
        <v>27426</v>
      </c>
      <c r="C591" s="987" t="s">
        <v>4651</v>
      </c>
      <c r="D591" s="987" t="s">
        <v>4652</v>
      </c>
      <c r="E591" s="987">
        <v>16.125</v>
      </c>
      <c r="F591" s="987">
        <v>-5.1471000000000003E-2</v>
      </c>
      <c r="G591" s="987">
        <v>0</v>
      </c>
      <c r="H591" s="986">
        <v>6.0000000000000001E-3</v>
      </c>
      <c r="I591" s="986">
        <f t="shared" si="9"/>
        <v>-5.7471000000000001E-2</v>
      </c>
      <c r="J591" s="988">
        <v>27426</v>
      </c>
    </row>
    <row r="592" spans="1:10">
      <c r="A592" s="987">
        <v>66</v>
      </c>
      <c r="B592" s="988">
        <v>27454</v>
      </c>
      <c r="C592" s="987" t="s">
        <v>4651</v>
      </c>
      <c r="D592" s="987" t="s">
        <v>4652</v>
      </c>
      <c r="E592" s="987">
        <v>16</v>
      </c>
      <c r="F592" s="987">
        <v>1.6434000000000001E-2</v>
      </c>
      <c r="G592" s="987">
        <v>0.39</v>
      </c>
      <c r="H592" s="986">
        <v>6.6E-3</v>
      </c>
      <c r="I592" s="986">
        <f t="shared" si="9"/>
        <v>9.8340000000000007E-3</v>
      </c>
      <c r="J592" s="988">
        <v>27454</v>
      </c>
    </row>
    <row r="593" spans="1:10">
      <c r="A593" s="987">
        <v>66</v>
      </c>
      <c r="B593" s="988">
        <v>27485</v>
      </c>
      <c r="C593" s="987" t="s">
        <v>4651</v>
      </c>
      <c r="D593" s="987" t="s">
        <v>4652</v>
      </c>
      <c r="E593" s="987">
        <v>16</v>
      </c>
      <c r="F593" s="987">
        <v>0</v>
      </c>
      <c r="G593" s="987">
        <v>0</v>
      </c>
      <c r="H593" s="986">
        <v>6.7000000000000002E-3</v>
      </c>
      <c r="I593" s="986">
        <f t="shared" si="9"/>
        <v>-6.7000000000000002E-3</v>
      </c>
      <c r="J593" s="988">
        <v>27485</v>
      </c>
    </row>
    <row r="594" spans="1:10">
      <c r="A594" s="987">
        <v>66</v>
      </c>
      <c r="B594" s="988">
        <v>27515</v>
      </c>
      <c r="C594" s="987" t="s">
        <v>4651</v>
      </c>
      <c r="D594" s="987" t="s">
        <v>4652</v>
      </c>
      <c r="E594" s="987">
        <v>18.25</v>
      </c>
      <c r="F594" s="987">
        <v>0.140625</v>
      </c>
      <c r="G594" s="987">
        <v>0</v>
      </c>
      <c r="H594" s="986">
        <v>6.7000000000000002E-3</v>
      </c>
      <c r="I594" s="986">
        <f t="shared" si="9"/>
        <v>0.13392499999999999</v>
      </c>
      <c r="J594" s="988">
        <v>27515</v>
      </c>
    </row>
    <row r="595" spans="1:10">
      <c r="A595" s="987">
        <v>66</v>
      </c>
      <c r="B595" s="988">
        <v>27546</v>
      </c>
      <c r="C595" s="987" t="s">
        <v>4651</v>
      </c>
      <c r="D595" s="987" t="s">
        <v>4652</v>
      </c>
      <c r="E595" s="987">
        <v>17.75</v>
      </c>
      <c r="F595" s="987">
        <v>-5.4790000000000004E-3</v>
      </c>
      <c r="G595" s="987">
        <v>0.4</v>
      </c>
      <c r="H595" s="986">
        <v>7.0000000000000001E-3</v>
      </c>
      <c r="I595" s="986">
        <f t="shared" si="9"/>
        <v>-1.2479000000000001E-2</v>
      </c>
      <c r="J595" s="988">
        <v>27546</v>
      </c>
    </row>
    <row r="596" spans="1:10">
      <c r="A596" s="987">
        <v>66</v>
      </c>
      <c r="B596" s="988">
        <v>27576</v>
      </c>
      <c r="C596" s="987" t="s">
        <v>4651</v>
      </c>
      <c r="D596" s="987" t="s">
        <v>4652</v>
      </c>
      <c r="E596" s="987">
        <v>17.125</v>
      </c>
      <c r="F596" s="987">
        <v>-3.5210999999999999E-2</v>
      </c>
      <c r="G596" s="987">
        <v>0</v>
      </c>
      <c r="H596" s="986">
        <v>6.7999999999999996E-3</v>
      </c>
      <c r="I596" s="986">
        <f t="shared" si="9"/>
        <v>-4.2011E-2</v>
      </c>
      <c r="J596" s="988">
        <v>27576</v>
      </c>
    </row>
    <row r="597" spans="1:10">
      <c r="A597" s="987">
        <v>66</v>
      </c>
      <c r="B597" s="988">
        <v>27607</v>
      </c>
      <c r="C597" s="987" t="s">
        <v>4651</v>
      </c>
      <c r="D597" s="987" t="s">
        <v>4652</v>
      </c>
      <c r="E597" s="987">
        <v>16.5</v>
      </c>
      <c r="F597" s="987">
        <v>-3.6496000000000001E-2</v>
      </c>
      <c r="G597" s="987">
        <v>0</v>
      </c>
      <c r="H597" s="986">
        <v>6.4999999999999997E-3</v>
      </c>
      <c r="I597" s="986">
        <f t="shared" si="9"/>
        <v>-4.2995999999999999E-2</v>
      </c>
      <c r="J597" s="988">
        <v>27607</v>
      </c>
    </row>
    <row r="598" spans="1:10">
      <c r="A598" s="987">
        <v>66</v>
      </c>
      <c r="B598" s="988">
        <v>27638</v>
      </c>
      <c r="C598" s="987" t="s">
        <v>4651</v>
      </c>
      <c r="D598" s="987" t="s">
        <v>4652</v>
      </c>
      <c r="E598" s="987">
        <v>16.625</v>
      </c>
      <c r="F598" s="987">
        <v>3.1817999999999999E-2</v>
      </c>
      <c r="G598" s="987">
        <v>0.4</v>
      </c>
      <c r="H598" s="986">
        <v>7.3000000000000001E-3</v>
      </c>
      <c r="I598" s="986">
        <f t="shared" si="9"/>
        <v>2.4517999999999998E-2</v>
      </c>
      <c r="J598" s="988">
        <v>27638</v>
      </c>
    </row>
    <row r="599" spans="1:10">
      <c r="A599" s="987">
        <v>66</v>
      </c>
      <c r="B599" s="988">
        <v>27668</v>
      </c>
      <c r="C599" s="987" t="s">
        <v>4651</v>
      </c>
      <c r="D599" s="987" t="s">
        <v>4652</v>
      </c>
      <c r="E599" s="987">
        <v>17.25</v>
      </c>
      <c r="F599" s="987">
        <v>3.7594000000000002E-2</v>
      </c>
      <c r="G599" s="987">
        <v>0</v>
      </c>
      <c r="H599" s="986">
        <v>7.1999999999999998E-3</v>
      </c>
      <c r="I599" s="986">
        <f t="shared" si="9"/>
        <v>3.0394000000000004E-2</v>
      </c>
      <c r="J599" s="988">
        <v>27668</v>
      </c>
    </row>
    <row r="600" spans="1:10">
      <c r="A600" s="987">
        <v>66</v>
      </c>
      <c r="B600" s="988">
        <v>27699</v>
      </c>
      <c r="C600" s="987" t="s">
        <v>4651</v>
      </c>
      <c r="D600" s="987" t="s">
        <v>4652</v>
      </c>
      <c r="E600" s="987">
        <v>17.625</v>
      </c>
      <c r="F600" s="987">
        <v>2.1739000000000001E-2</v>
      </c>
      <c r="G600" s="987">
        <v>0</v>
      </c>
      <c r="H600" s="986">
        <v>6.1000000000000004E-3</v>
      </c>
      <c r="I600" s="986">
        <f t="shared" si="9"/>
        <v>1.5639E-2</v>
      </c>
      <c r="J600" s="988">
        <v>27699</v>
      </c>
    </row>
    <row r="601" spans="1:10">
      <c r="A601" s="987">
        <v>66</v>
      </c>
      <c r="B601" s="988">
        <v>27729</v>
      </c>
      <c r="C601" s="987" t="s">
        <v>4651</v>
      </c>
      <c r="D601" s="987" t="s">
        <v>4652</v>
      </c>
      <c r="E601" s="987">
        <v>17.5</v>
      </c>
      <c r="F601" s="987">
        <v>1.5603000000000001E-2</v>
      </c>
      <c r="G601" s="987">
        <v>0.4</v>
      </c>
      <c r="H601" s="986">
        <v>7.4000000000000003E-3</v>
      </c>
      <c r="I601" s="986">
        <f t="shared" si="9"/>
        <v>8.2030000000000002E-3</v>
      </c>
      <c r="J601" s="988">
        <v>27729</v>
      </c>
    </row>
    <row r="602" spans="1:10">
      <c r="A602" s="987">
        <v>66</v>
      </c>
      <c r="B602" s="988">
        <v>27760</v>
      </c>
      <c r="C602" s="987" t="s">
        <v>4651</v>
      </c>
      <c r="D602" s="987" t="s">
        <v>4652</v>
      </c>
      <c r="E602" s="987">
        <v>18.25</v>
      </c>
      <c r="F602" s="987">
        <v>4.2856999999999999E-2</v>
      </c>
      <c r="G602" s="987">
        <v>0</v>
      </c>
      <c r="H602" s="986">
        <v>6.4999999999999997E-3</v>
      </c>
      <c r="I602" s="986">
        <f t="shared" si="9"/>
        <v>3.6357E-2</v>
      </c>
      <c r="J602" s="988">
        <v>27760</v>
      </c>
    </row>
    <row r="603" spans="1:10">
      <c r="A603" s="987">
        <v>66</v>
      </c>
      <c r="B603" s="988">
        <v>27791</v>
      </c>
      <c r="C603" s="987" t="s">
        <v>4651</v>
      </c>
      <c r="D603" s="987" t="s">
        <v>4652</v>
      </c>
      <c r="E603" s="987">
        <v>19.25</v>
      </c>
      <c r="F603" s="987">
        <v>5.4795000000000003E-2</v>
      </c>
      <c r="G603" s="987">
        <v>0</v>
      </c>
      <c r="H603" s="986">
        <v>6.0000000000000001E-3</v>
      </c>
      <c r="I603" s="986">
        <f t="shared" si="9"/>
        <v>4.8795000000000005E-2</v>
      </c>
      <c r="J603" s="988">
        <v>27791</v>
      </c>
    </row>
    <row r="604" spans="1:10">
      <c r="A604" s="987">
        <v>66</v>
      </c>
      <c r="B604" s="988">
        <v>27820</v>
      </c>
      <c r="C604" s="987" t="s">
        <v>4651</v>
      </c>
      <c r="D604" s="987" t="s">
        <v>4652</v>
      </c>
      <c r="E604" s="987">
        <v>17.875</v>
      </c>
      <c r="F604" s="987">
        <v>-4.9869999999999998E-2</v>
      </c>
      <c r="G604" s="987">
        <v>0.41499999999999998</v>
      </c>
      <c r="H604" s="986">
        <v>7.1000000000000004E-3</v>
      </c>
      <c r="I604" s="986">
        <f t="shared" si="9"/>
        <v>-5.697E-2</v>
      </c>
      <c r="J604" s="988">
        <v>27820</v>
      </c>
    </row>
    <row r="605" spans="1:10">
      <c r="A605" s="987">
        <v>66</v>
      </c>
      <c r="B605" s="988">
        <v>27851</v>
      </c>
      <c r="C605" s="987" t="s">
        <v>4651</v>
      </c>
      <c r="D605" s="987" t="s">
        <v>4652</v>
      </c>
      <c r="E605" s="987">
        <v>18.25</v>
      </c>
      <c r="F605" s="987">
        <v>2.0979000000000001E-2</v>
      </c>
      <c r="G605" s="987">
        <v>0</v>
      </c>
      <c r="H605" s="986">
        <v>6.4000000000000003E-3</v>
      </c>
      <c r="I605" s="986">
        <f t="shared" si="9"/>
        <v>1.4579000000000002E-2</v>
      </c>
      <c r="J605" s="988">
        <v>27851</v>
      </c>
    </row>
    <row r="606" spans="1:10">
      <c r="A606" s="987">
        <v>66</v>
      </c>
      <c r="B606" s="988">
        <v>27881</v>
      </c>
      <c r="C606" s="987" t="s">
        <v>4651</v>
      </c>
      <c r="D606" s="987" t="s">
        <v>4652</v>
      </c>
      <c r="E606" s="987">
        <v>17.875</v>
      </c>
      <c r="F606" s="987">
        <v>-2.0548E-2</v>
      </c>
      <c r="G606" s="987">
        <v>0</v>
      </c>
      <c r="H606" s="986">
        <v>5.8999999999999999E-3</v>
      </c>
      <c r="I606" s="986">
        <f t="shared" si="9"/>
        <v>-2.6447999999999999E-2</v>
      </c>
      <c r="J606" s="988">
        <v>27881</v>
      </c>
    </row>
    <row r="607" spans="1:10">
      <c r="A607" s="987">
        <v>66</v>
      </c>
      <c r="B607" s="988">
        <v>27912</v>
      </c>
      <c r="C607" s="987" t="s">
        <v>4651</v>
      </c>
      <c r="D607" s="987" t="s">
        <v>4652</v>
      </c>
      <c r="E607" s="987">
        <v>18</v>
      </c>
      <c r="F607" s="987">
        <v>3.0210000000000001E-2</v>
      </c>
      <c r="G607" s="987">
        <v>0.41499999999999998</v>
      </c>
      <c r="H607" s="986">
        <v>7.3000000000000001E-3</v>
      </c>
      <c r="I607" s="986">
        <f t="shared" si="9"/>
        <v>2.291E-2</v>
      </c>
      <c r="J607" s="988">
        <v>27912</v>
      </c>
    </row>
    <row r="608" spans="1:10">
      <c r="A608" s="987">
        <v>66</v>
      </c>
      <c r="B608" s="988">
        <v>27942</v>
      </c>
      <c r="C608" s="987" t="s">
        <v>4651</v>
      </c>
      <c r="D608" s="987" t="s">
        <v>4652</v>
      </c>
      <c r="E608" s="987">
        <v>19.125</v>
      </c>
      <c r="F608" s="987">
        <v>6.25E-2</v>
      </c>
      <c r="G608" s="987">
        <v>0</v>
      </c>
      <c r="H608" s="986">
        <v>6.4999999999999997E-3</v>
      </c>
      <c r="I608" s="986">
        <f t="shared" si="9"/>
        <v>5.6000000000000001E-2</v>
      </c>
      <c r="J608" s="988">
        <v>27942</v>
      </c>
    </row>
    <row r="609" spans="1:10">
      <c r="A609" s="987">
        <v>66</v>
      </c>
      <c r="B609" s="988">
        <v>27973</v>
      </c>
      <c r="C609" s="987" t="s">
        <v>4651</v>
      </c>
      <c r="D609" s="987" t="s">
        <v>4652</v>
      </c>
      <c r="E609" s="987">
        <v>18.75</v>
      </c>
      <c r="F609" s="987">
        <v>-1.9608E-2</v>
      </c>
      <c r="G609" s="987">
        <v>0</v>
      </c>
      <c r="H609" s="986">
        <v>6.8999999999999999E-3</v>
      </c>
      <c r="I609" s="986">
        <f t="shared" si="9"/>
        <v>-2.6508E-2</v>
      </c>
      <c r="J609" s="988">
        <v>27973</v>
      </c>
    </row>
    <row r="610" spans="1:10">
      <c r="A610" s="987">
        <v>66</v>
      </c>
      <c r="B610" s="988">
        <v>28004</v>
      </c>
      <c r="C610" s="987" t="s">
        <v>4651</v>
      </c>
      <c r="D610" s="987" t="s">
        <v>4652</v>
      </c>
      <c r="E610" s="987">
        <v>18.875</v>
      </c>
      <c r="F610" s="987">
        <v>2.8799999999999999E-2</v>
      </c>
      <c r="G610" s="987">
        <v>0.41499999999999998</v>
      </c>
      <c r="H610" s="986">
        <v>6.4000000000000003E-3</v>
      </c>
      <c r="I610" s="986">
        <f t="shared" si="9"/>
        <v>2.24E-2</v>
      </c>
      <c r="J610" s="988">
        <v>28004</v>
      </c>
    </row>
    <row r="611" spans="1:10">
      <c r="A611" s="987">
        <v>66</v>
      </c>
      <c r="B611" s="988">
        <v>28034</v>
      </c>
      <c r="C611" s="987" t="s">
        <v>4651</v>
      </c>
      <c r="D611" s="987" t="s">
        <v>4652</v>
      </c>
      <c r="E611" s="987">
        <v>18.875</v>
      </c>
      <c r="F611" s="987">
        <v>0</v>
      </c>
      <c r="G611" s="987">
        <v>0</v>
      </c>
      <c r="H611" s="986">
        <v>6.1000000000000004E-3</v>
      </c>
      <c r="I611" s="986">
        <f t="shared" si="9"/>
        <v>-6.1000000000000004E-3</v>
      </c>
      <c r="J611" s="988">
        <v>28034</v>
      </c>
    </row>
    <row r="612" spans="1:10">
      <c r="A612" s="987">
        <v>66</v>
      </c>
      <c r="B612" s="988">
        <v>28065</v>
      </c>
      <c r="C612" s="987" t="s">
        <v>4651</v>
      </c>
      <c r="D612" s="987" t="s">
        <v>4652</v>
      </c>
      <c r="E612" s="987">
        <v>19.5</v>
      </c>
      <c r="F612" s="987">
        <v>3.3112999999999997E-2</v>
      </c>
      <c r="G612" s="987">
        <v>0</v>
      </c>
      <c r="H612" s="986">
        <v>6.6E-3</v>
      </c>
      <c r="I612" s="986">
        <f t="shared" si="9"/>
        <v>2.6512999999999995E-2</v>
      </c>
      <c r="J612" s="988">
        <v>28065</v>
      </c>
    </row>
    <row r="613" spans="1:10">
      <c r="A613" s="987">
        <v>66</v>
      </c>
      <c r="B613" s="988">
        <v>28095</v>
      </c>
      <c r="C613" s="987" t="s">
        <v>4651</v>
      </c>
      <c r="D613" s="987" t="s">
        <v>4652</v>
      </c>
      <c r="E613" s="987">
        <v>20.25</v>
      </c>
      <c r="F613" s="987">
        <v>5.9743999999999998E-2</v>
      </c>
      <c r="G613" s="987">
        <v>0.41499999999999998</v>
      </c>
      <c r="H613" s="986">
        <v>6.3E-3</v>
      </c>
      <c r="I613" s="986">
        <f t="shared" si="9"/>
        <v>5.3443999999999998E-2</v>
      </c>
      <c r="J613" s="988">
        <v>28095</v>
      </c>
    </row>
    <row r="614" spans="1:10">
      <c r="A614" s="987">
        <v>66</v>
      </c>
      <c r="B614" s="988">
        <v>28126</v>
      </c>
      <c r="C614" s="987" t="s">
        <v>4651</v>
      </c>
      <c r="D614" s="987" t="s">
        <v>4652</v>
      </c>
      <c r="E614" s="987">
        <v>24</v>
      </c>
      <c r="F614" s="987">
        <v>0.18518499999999999</v>
      </c>
      <c r="G614" s="987">
        <v>0</v>
      </c>
      <c r="H614" s="986">
        <v>5.8999999999999999E-3</v>
      </c>
      <c r="I614" s="986">
        <f t="shared" si="9"/>
        <v>0.179285</v>
      </c>
      <c r="J614" s="988">
        <v>28126</v>
      </c>
    </row>
    <row r="615" spans="1:10">
      <c r="A615" s="987">
        <v>66</v>
      </c>
      <c r="B615" s="988">
        <v>28157</v>
      </c>
      <c r="C615" s="987" t="s">
        <v>4651</v>
      </c>
      <c r="D615" s="987" t="s">
        <v>4652</v>
      </c>
      <c r="E615" s="987">
        <v>20.75</v>
      </c>
      <c r="F615" s="987">
        <v>-0.13541700000000001</v>
      </c>
      <c r="G615" s="987">
        <v>0</v>
      </c>
      <c r="H615" s="986">
        <v>5.7000000000000002E-3</v>
      </c>
      <c r="I615" s="986">
        <f t="shared" si="9"/>
        <v>-0.14111700000000002</v>
      </c>
      <c r="J615" s="988">
        <v>28157</v>
      </c>
    </row>
    <row r="616" spans="1:10">
      <c r="A616" s="987">
        <v>66</v>
      </c>
      <c r="B616" s="988">
        <v>28185</v>
      </c>
      <c r="C616" s="987" t="s">
        <v>4651</v>
      </c>
      <c r="D616" s="987" t="s">
        <v>4652</v>
      </c>
      <c r="E616" s="987">
        <v>20.125</v>
      </c>
      <c r="F616" s="987">
        <v>-1.0120000000000001E-2</v>
      </c>
      <c r="G616" s="987">
        <v>0.41499999999999998</v>
      </c>
      <c r="H616" s="986">
        <v>6.4999999999999997E-3</v>
      </c>
      <c r="I616" s="986">
        <f t="shared" si="9"/>
        <v>-1.6619999999999999E-2</v>
      </c>
      <c r="J616" s="988">
        <v>28185</v>
      </c>
    </row>
    <row r="617" spans="1:10">
      <c r="A617" s="987">
        <v>66</v>
      </c>
      <c r="B617" s="988">
        <v>28216</v>
      </c>
      <c r="C617" s="987" t="s">
        <v>4651</v>
      </c>
      <c r="D617" s="987" t="s">
        <v>4652</v>
      </c>
      <c r="E617" s="987">
        <v>20.125</v>
      </c>
      <c r="F617" s="987">
        <v>0</v>
      </c>
      <c r="G617" s="987">
        <v>0</v>
      </c>
      <c r="H617" s="986">
        <v>6.1000000000000004E-3</v>
      </c>
      <c r="I617" s="986">
        <f t="shared" si="9"/>
        <v>-6.1000000000000004E-3</v>
      </c>
      <c r="J617" s="988">
        <v>28216</v>
      </c>
    </row>
    <row r="618" spans="1:10">
      <c r="A618" s="987">
        <v>66</v>
      </c>
      <c r="B618" s="988">
        <v>28246</v>
      </c>
      <c r="C618" s="987" t="s">
        <v>4651</v>
      </c>
      <c r="D618" s="987" t="s">
        <v>4652</v>
      </c>
      <c r="E618" s="987">
        <v>21.625</v>
      </c>
      <c r="F618" s="987">
        <v>7.4534000000000003E-2</v>
      </c>
      <c r="G618" s="987">
        <v>0</v>
      </c>
      <c r="H618" s="986">
        <v>6.7000000000000002E-3</v>
      </c>
      <c r="I618" s="986">
        <f t="shared" si="9"/>
        <v>6.7834000000000005E-2</v>
      </c>
      <c r="J618" s="988">
        <v>28246</v>
      </c>
    </row>
    <row r="619" spans="1:10">
      <c r="A619" s="987">
        <v>66</v>
      </c>
      <c r="B619" s="988">
        <v>28277</v>
      </c>
      <c r="C619" s="987" t="s">
        <v>4651</v>
      </c>
      <c r="D619" s="987" t="s">
        <v>4652</v>
      </c>
      <c r="E619" s="987">
        <v>23.125</v>
      </c>
      <c r="F619" s="987">
        <v>8.8554999999999995E-2</v>
      </c>
      <c r="G619" s="987">
        <v>0.41499999999999998</v>
      </c>
      <c r="H619" s="986">
        <v>6.1999999999999998E-3</v>
      </c>
      <c r="I619" s="986">
        <f t="shared" si="9"/>
        <v>8.2354999999999998E-2</v>
      </c>
      <c r="J619" s="988">
        <v>28277</v>
      </c>
    </row>
    <row r="620" spans="1:10">
      <c r="A620" s="987">
        <v>66</v>
      </c>
      <c r="B620" s="988">
        <v>28307</v>
      </c>
      <c r="C620" s="987" t="s">
        <v>4651</v>
      </c>
      <c r="D620" s="987" t="s">
        <v>4652</v>
      </c>
      <c r="E620" s="987">
        <v>22.75</v>
      </c>
      <c r="F620" s="987">
        <v>-1.6216000000000001E-2</v>
      </c>
      <c r="G620" s="987">
        <v>0</v>
      </c>
      <c r="H620" s="986">
        <v>5.8999999999999999E-3</v>
      </c>
      <c r="I620" s="986">
        <f t="shared" si="9"/>
        <v>-2.2116E-2</v>
      </c>
      <c r="J620" s="988">
        <v>28307</v>
      </c>
    </row>
    <row r="621" spans="1:10">
      <c r="A621" s="987">
        <v>66</v>
      </c>
      <c r="B621" s="988">
        <v>28338</v>
      </c>
      <c r="C621" s="987" t="s">
        <v>4651</v>
      </c>
      <c r="D621" s="987" t="s">
        <v>4652</v>
      </c>
      <c r="E621" s="987">
        <v>21.625</v>
      </c>
      <c r="F621" s="987">
        <v>-4.9451000000000002E-2</v>
      </c>
      <c r="G621" s="987">
        <v>0</v>
      </c>
      <c r="H621" s="986">
        <v>6.7000000000000002E-3</v>
      </c>
      <c r="I621" s="986">
        <f t="shared" si="9"/>
        <v>-5.6151E-2</v>
      </c>
      <c r="J621" s="988">
        <v>28338</v>
      </c>
    </row>
    <row r="622" spans="1:10">
      <c r="A622" s="987">
        <v>66</v>
      </c>
      <c r="B622" s="988">
        <v>28369</v>
      </c>
      <c r="C622" s="987" t="s">
        <v>4651</v>
      </c>
      <c r="D622" s="987" t="s">
        <v>4652</v>
      </c>
      <c r="E622" s="987">
        <v>21.25</v>
      </c>
      <c r="F622" s="987">
        <v>1.8500000000000001E-3</v>
      </c>
      <c r="G622" s="987">
        <v>0.41499999999999998</v>
      </c>
      <c r="H622" s="986">
        <v>6.1000000000000004E-3</v>
      </c>
      <c r="I622" s="986">
        <f t="shared" si="9"/>
        <v>-4.2500000000000003E-3</v>
      </c>
      <c r="J622" s="988">
        <v>28369</v>
      </c>
    </row>
    <row r="623" spans="1:10">
      <c r="A623" s="987">
        <v>66</v>
      </c>
      <c r="B623" s="988">
        <v>28399</v>
      </c>
      <c r="C623" s="987" t="s">
        <v>4651</v>
      </c>
      <c r="D623" s="987" t="s">
        <v>4652</v>
      </c>
      <c r="E623" s="987">
        <v>20.375</v>
      </c>
      <c r="F623" s="987">
        <v>-4.1175999999999997E-2</v>
      </c>
      <c r="G623" s="987">
        <v>0</v>
      </c>
      <c r="H623" s="986">
        <v>6.3E-3</v>
      </c>
      <c r="I623" s="986">
        <f t="shared" si="9"/>
        <v>-4.7475999999999997E-2</v>
      </c>
      <c r="J623" s="988">
        <v>28399</v>
      </c>
    </row>
    <row r="624" spans="1:10">
      <c r="A624" s="987">
        <v>66</v>
      </c>
      <c r="B624" s="988">
        <v>28430</v>
      </c>
      <c r="C624" s="987" t="s">
        <v>4651</v>
      </c>
      <c r="D624" s="987" t="s">
        <v>4652</v>
      </c>
      <c r="E624" s="987">
        <v>21.25</v>
      </c>
      <c r="F624" s="987">
        <v>4.2944999999999997E-2</v>
      </c>
      <c r="G624" s="987">
        <v>0</v>
      </c>
      <c r="H624" s="986">
        <v>6.3E-3</v>
      </c>
      <c r="I624" s="986">
        <f t="shared" si="9"/>
        <v>3.6644999999999997E-2</v>
      </c>
      <c r="J624" s="988">
        <v>28430</v>
      </c>
    </row>
    <row r="625" spans="1:10">
      <c r="A625" s="987">
        <v>66</v>
      </c>
      <c r="B625" s="988">
        <v>28460</v>
      </c>
      <c r="C625" s="987" t="s">
        <v>4651</v>
      </c>
      <c r="D625" s="987" t="s">
        <v>4652</v>
      </c>
      <c r="E625" s="987">
        <v>20.125</v>
      </c>
      <c r="F625" s="987">
        <v>-3.2940999999999998E-2</v>
      </c>
      <c r="G625" s="987">
        <v>0.42499999999999999</v>
      </c>
      <c r="H625" s="986">
        <v>6.1999999999999998E-3</v>
      </c>
      <c r="I625" s="986">
        <f t="shared" si="9"/>
        <v>-3.9140999999999995E-2</v>
      </c>
      <c r="J625" s="988">
        <v>28460</v>
      </c>
    </row>
    <row r="626" spans="1:10">
      <c r="A626" s="987">
        <v>66</v>
      </c>
      <c r="B626" s="988">
        <v>28491</v>
      </c>
      <c r="C626" s="987" t="s">
        <v>4651</v>
      </c>
      <c r="D626" s="987" t="s">
        <v>4652</v>
      </c>
      <c r="E626" s="987">
        <v>20</v>
      </c>
      <c r="F626" s="987">
        <v>-6.2110000000000004E-3</v>
      </c>
      <c r="G626" s="987">
        <v>0</v>
      </c>
      <c r="H626" s="986">
        <v>6.8999999999999999E-3</v>
      </c>
      <c r="I626" s="986">
        <f t="shared" si="9"/>
        <v>-1.3111000000000001E-2</v>
      </c>
      <c r="J626" s="988">
        <v>28491</v>
      </c>
    </row>
    <row r="627" spans="1:10">
      <c r="A627" s="987">
        <v>66</v>
      </c>
      <c r="B627" s="988">
        <v>28522</v>
      </c>
      <c r="C627" s="987" t="s">
        <v>4651</v>
      </c>
      <c r="D627" s="987" t="s">
        <v>4652</v>
      </c>
      <c r="E627" s="987">
        <v>20</v>
      </c>
      <c r="F627" s="987">
        <v>0</v>
      </c>
      <c r="G627" s="987">
        <v>0</v>
      </c>
      <c r="H627" s="986">
        <v>6.0000000000000001E-3</v>
      </c>
      <c r="I627" s="986">
        <f t="shared" si="9"/>
        <v>-6.0000000000000001E-3</v>
      </c>
      <c r="J627" s="988">
        <v>28522</v>
      </c>
    </row>
    <row r="628" spans="1:10">
      <c r="A628" s="987">
        <v>66</v>
      </c>
      <c r="B628" s="988">
        <v>28550</v>
      </c>
      <c r="C628" s="987" t="s">
        <v>4651</v>
      </c>
      <c r="D628" s="987" t="s">
        <v>4652</v>
      </c>
      <c r="E628" s="987">
        <v>20</v>
      </c>
      <c r="F628" s="987">
        <v>2.1250000000000002E-2</v>
      </c>
      <c r="G628" s="987">
        <v>0.42499999999999999</v>
      </c>
      <c r="H628" s="986">
        <v>6.8999999999999999E-3</v>
      </c>
      <c r="I628" s="986">
        <f t="shared" si="9"/>
        <v>1.4350000000000002E-2</v>
      </c>
      <c r="J628" s="988">
        <v>28550</v>
      </c>
    </row>
    <row r="629" spans="1:10">
      <c r="A629" s="987">
        <v>66</v>
      </c>
      <c r="B629" s="988">
        <v>28581</v>
      </c>
      <c r="C629" s="987" t="s">
        <v>4651</v>
      </c>
      <c r="D629" s="987" t="s">
        <v>4652</v>
      </c>
      <c r="E629" s="987">
        <v>19.5</v>
      </c>
      <c r="F629" s="987">
        <v>-2.5000000000000001E-2</v>
      </c>
      <c r="G629" s="987">
        <v>0</v>
      </c>
      <c r="H629" s="986">
        <v>6.3E-3</v>
      </c>
      <c r="I629" s="986">
        <f t="shared" si="9"/>
        <v>-3.1300000000000001E-2</v>
      </c>
      <c r="J629" s="988">
        <v>28581</v>
      </c>
    </row>
    <row r="630" spans="1:10">
      <c r="A630" s="987">
        <v>66</v>
      </c>
      <c r="B630" s="988">
        <v>28611</v>
      </c>
      <c r="C630" s="987" t="s">
        <v>4651</v>
      </c>
      <c r="D630" s="987" t="s">
        <v>4652</v>
      </c>
      <c r="E630" s="987">
        <v>19.125</v>
      </c>
      <c r="F630" s="987">
        <v>-1.9231000000000002E-2</v>
      </c>
      <c r="G630" s="987">
        <v>0</v>
      </c>
      <c r="H630" s="986">
        <v>7.4999999999999997E-3</v>
      </c>
      <c r="I630" s="986">
        <f t="shared" si="9"/>
        <v>-2.6731000000000001E-2</v>
      </c>
      <c r="J630" s="988">
        <v>28611</v>
      </c>
    </row>
    <row r="631" spans="1:10">
      <c r="A631" s="987">
        <v>66</v>
      </c>
      <c r="B631" s="988">
        <v>28642</v>
      </c>
      <c r="C631" s="987" t="s">
        <v>4651</v>
      </c>
      <c r="D631" s="987" t="s">
        <v>4652</v>
      </c>
      <c r="E631" s="987">
        <v>18.875</v>
      </c>
      <c r="F631" s="987">
        <v>9.1500000000000001E-3</v>
      </c>
      <c r="G631" s="987">
        <v>0.42499999999999999</v>
      </c>
      <c r="H631" s="986">
        <v>6.8999999999999999E-3</v>
      </c>
      <c r="I631" s="986">
        <f t="shared" si="9"/>
        <v>2.2500000000000003E-3</v>
      </c>
      <c r="J631" s="988">
        <v>28642</v>
      </c>
    </row>
    <row r="632" spans="1:10">
      <c r="A632" s="987">
        <v>66</v>
      </c>
      <c r="B632" s="988">
        <v>28672</v>
      </c>
      <c r="C632" s="987" t="s">
        <v>4651</v>
      </c>
      <c r="D632" s="987" t="s">
        <v>4652</v>
      </c>
      <c r="E632" s="987">
        <v>18.875</v>
      </c>
      <c r="F632" s="987">
        <v>0</v>
      </c>
      <c r="G632" s="987">
        <v>0</v>
      </c>
      <c r="H632" s="986">
        <v>7.3000000000000001E-3</v>
      </c>
      <c r="I632" s="986">
        <f t="shared" si="9"/>
        <v>-7.3000000000000001E-3</v>
      </c>
      <c r="J632" s="988">
        <v>28672</v>
      </c>
    </row>
    <row r="633" spans="1:10">
      <c r="A633" s="987">
        <v>66</v>
      </c>
      <c r="B633" s="988">
        <v>28703</v>
      </c>
      <c r="C633" s="987" t="s">
        <v>4651</v>
      </c>
      <c r="D633" s="987" t="s">
        <v>4652</v>
      </c>
      <c r="E633" s="987">
        <v>19.125</v>
      </c>
      <c r="F633" s="987">
        <v>1.3245E-2</v>
      </c>
      <c r="G633" s="987">
        <v>0</v>
      </c>
      <c r="H633" s="986">
        <v>7.0000000000000001E-3</v>
      </c>
      <c r="I633" s="986">
        <f t="shared" si="9"/>
        <v>6.2449999999999997E-3</v>
      </c>
      <c r="J633" s="988">
        <v>28703</v>
      </c>
    </row>
    <row r="634" spans="1:10">
      <c r="A634" s="987">
        <v>66</v>
      </c>
      <c r="B634" s="988">
        <v>28734</v>
      </c>
      <c r="C634" s="987" t="s">
        <v>4651</v>
      </c>
      <c r="D634" s="987" t="s">
        <v>4652</v>
      </c>
      <c r="E634" s="987">
        <v>19.375</v>
      </c>
      <c r="F634" s="987">
        <v>3.5293999999999999E-2</v>
      </c>
      <c r="G634" s="987">
        <v>0.42499999999999999</v>
      </c>
      <c r="H634" s="986">
        <v>6.4999999999999997E-3</v>
      </c>
      <c r="I634" s="986">
        <f t="shared" si="9"/>
        <v>2.8794E-2</v>
      </c>
      <c r="J634" s="988">
        <v>28734</v>
      </c>
    </row>
    <row r="635" spans="1:10">
      <c r="A635" s="987">
        <v>66</v>
      </c>
      <c r="B635" s="988">
        <v>28764</v>
      </c>
      <c r="C635" s="987" t="s">
        <v>4651</v>
      </c>
      <c r="D635" s="987" t="s">
        <v>4652</v>
      </c>
      <c r="E635" s="987">
        <v>17.875</v>
      </c>
      <c r="F635" s="987">
        <v>-7.7419000000000002E-2</v>
      </c>
      <c r="G635" s="987">
        <v>0</v>
      </c>
      <c r="H635" s="986">
        <v>7.3000000000000001E-3</v>
      </c>
      <c r="I635" s="986">
        <f t="shared" si="9"/>
        <v>-8.4719000000000003E-2</v>
      </c>
      <c r="J635" s="988">
        <v>28764</v>
      </c>
    </row>
    <row r="636" spans="1:10">
      <c r="A636" s="987">
        <v>66</v>
      </c>
      <c r="B636" s="988">
        <v>28795</v>
      </c>
      <c r="C636" s="987" t="s">
        <v>4651</v>
      </c>
      <c r="D636" s="987" t="s">
        <v>4652</v>
      </c>
      <c r="E636" s="987">
        <v>18.75</v>
      </c>
      <c r="F636" s="987">
        <v>4.8951000000000001E-2</v>
      </c>
      <c r="G636" s="987">
        <v>0</v>
      </c>
      <c r="H636" s="986">
        <v>7.1000000000000004E-3</v>
      </c>
      <c r="I636" s="986">
        <f t="shared" si="9"/>
        <v>4.1850999999999999E-2</v>
      </c>
      <c r="J636" s="988">
        <v>28795</v>
      </c>
    </row>
    <row r="637" spans="1:10">
      <c r="A637" s="987">
        <v>66</v>
      </c>
      <c r="B637" s="988">
        <v>28825</v>
      </c>
      <c r="C637" s="987" t="s">
        <v>4651</v>
      </c>
      <c r="D637" s="987" t="s">
        <v>4652</v>
      </c>
      <c r="E637" s="987">
        <v>18.125</v>
      </c>
      <c r="F637" s="987">
        <v>-8.5330000000000007E-3</v>
      </c>
      <c r="G637" s="987">
        <v>0.46500000000000002</v>
      </c>
      <c r="H637" s="986">
        <v>6.7999999999999996E-3</v>
      </c>
      <c r="I637" s="986">
        <f t="shared" si="9"/>
        <v>-1.5332999999999999E-2</v>
      </c>
      <c r="J637" s="988">
        <v>28825</v>
      </c>
    </row>
    <row r="638" spans="1:10">
      <c r="A638" s="987">
        <v>66</v>
      </c>
      <c r="B638" s="988">
        <v>28856</v>
      </c>
      <c r="C638" s="987" t="s">
        <v>4651</v>
      </c>
      <c r="D638" s="987" t="s">
        <v>4652</v>
      </c>
      <c r="E638" s="987">
        <v>19.875</v>
      </c>
      <c r="F638" s="987">
        <v>9.6551999999999999E-2</v>
      </c>
      <c r="G638" s="987">
        <v>0</v>
      </c>
      <c r="H638" s="986">
        <v>7.9000000000000008E-3</v>
      </c>
      <c r="I638" s="986">
        <f t="shared" si="9"/>
        <v>8.8651999999999995E-2</v>
      </c>
      <c r="J638" s="988">
        <v>28856</v>
      </c>
    </row>
    <row r="639" spans="1:10">
      <c r="A639" s="987">
        <v>66</v>
      </c>
      <c r="B639" s="988">
        <v>28887</v>
      </c>
      <c r="C639" s="987" t="s">
        <v>4651</v>
      </c>
      <c r="D639" s="987" t="s">
        <v>4652</v>
      </c>
      <c r="E639" s="987">
        <v>22.125</v>
      </c>
      <c r="F639" s="987">
        <v>0.113208</v>
      </c>
      <c r="G639" s="987">
        <v>0</v>
      </c>
      <c r="H639" s="986">
        <v>6.4999999999999997E-3</v>
      </c>
      <c r="I639" s="986">
        <f t="shared" si="9"/>
        <v>0.106708</v>
      </c>
      <c r="J639" s="988">
        <v>28887</v>
      </c>
    </row>
    <row r="640" spans="1:10">
      <c r="A640" s="987">
        <v>66</v>
      </c>
      <c r="B640" s="988">
        <v>28915</v>
      </c>
      <c r="C640" s="987" t="s">
        <v>4651</v>
      </c>
      <c r="D640" s="987" t="s">
        <v>4652</v>
      </c>
      <c r="E640" s="987">
        <v>21.625</v>
      </c>
      <c r="F640" s="987">
        <v>-1.5820000000000001E-3</v>
      </c>
      <c r="G640" s="987">
        <v>0.46500000000000002</v>
      </c>
      <c r="H640" s="986">
        <v>7.4000000000000003E-3</v>
      </c>
      <c r="I640" s="986">
        <f t="shared" si="9"/>
        <v>-8.9820000000000004E-3</v>
      </c>
      <c r="J640" s="988">
        <v>28915</v>
      </c>
    </row>
    <row r="641" spans="1:10">
      <c r="A641" s="987">
        <v>66</v>
      </c>
      <c r="B641" s="988">
        <v>28946</v>
      </c>
      <c r="C641" s="987" t="s">
        <v>4651</v>
      </c>
      <c r="D641" s="987" t="s">
        <v>4652</v>
      </c>
      <c r="E641" s="987">
        <v>20.75</v>
      </c>
      <c r="F641" s="987">
        <v>-4.0461999999999998E-2</v>
      </c>
      <c r="G641" s="987">
        <v>0</v>
      </c>
      <c r="H641" s="986">
        <v>7.6E-3</v>
      </c>
      <c r="I641" s="986">
        <f t="shared" si="9"/>
        <v>-4.8062000000000001E-2</v>
      </c>
      <c r="J641" s="988">
        <v>28946</v>
      </c>
    </row>
    <row r="642" spans="1:10">
      <c r="A642" s="987">
        <v>66</v>
      </c>
      <c r="B642" s="988">
        <v>28976</v>
      </c>
      <c r="C642" s="987" t="s">
        <v>4651</v>
      </c>
      <c r="D642" s="987" t="s">
        <v>4652</v>
      </c>
      <c r="E642" s="987">
        <v>22.25</v>
      </c>
      <c r="F642" s="987">
        <v>7.2289000000000006E-2</v>
      </c>
      <c r="G642" s="987">
        <v>0</v>
      </c>
      <c r="H642" s="986">
        <v>7.7000000000000002E-3</v>
      </c>
      <c r="I642" s="986">
        <f t="shared" ref="I642:I705" si="10">F642-H642</f>
        <v>6.4589000000000008E-2</v>
      </c>
      <c r="J642" s="988">
        <v>28976</v>
      </c>
    </row>
    <row r="643" spans="1:10">
      <c r="A643" s="987">
        <v>66</v>
      </c>
      <c r="B643" s="988">
        <v>29007</v>
      </c>
      <c r="C643" s="987" t="s">
        <v>4651</v>
      </c>
      <c r="D643" s="987" t="s">
        <v>4652</v>
      </c>
      <c r="E643" s="987">
        <v>23</v>
      </c>
      <c r="F643" s="987">
        <v>5.4607000000000003E-2</v>
      </c>
      <c r="G643" s="987">
        <v>0.46500000000000002</v>
      </c>
      <c r="H643" s="986">
        <v>7.1000000000000004E-3</v>
      </c>
      <c r="I643" s="986">
        <f t="shared" si="10"/>
        <v>4.7507000000000001E-2</v>
      </c>
      <c r="J643" s="988">
        <v>29007</v>
      </c>
    </row>
    <row r="644" spans="1:10">
      <c r="A644" s="987">
        <v>66</v>
      </c>
      <c r="B644" s="988">
        <v>29037</v>
      </c>
      <c r="C644" s="987" t="s">
        <v>4651</v>
      </c>
      <c r="D644" s="987" t="s">
        <v>4652</v>
      </c>
      <c r="E644" s="987">
        <v>22.625</v>
      </c>
      <c r="F644" s="987">
        <v>-1.6303999999999999E-2</v>
      </c>
      <c r="G644" s="987">
        <v>0</v>
      </c>
      <c r="H644" s="986">
        <v>7.6E-3</v>
      </c>
      <c r="I644" s="986">
        <f t="shared" si="10"/>
        <v>-2.3903999999999998E-2</v>
      </c>
      <c r="J644" s="988">
        <v>29037</v>
      </c>
    </row>
    <row r="645" spans="1:10">
      <c r="A645" s="987">
        <v>66</v>
      </c>
      <c r="B645" s="988">
        <v>29068</v>
      </c>
      <c r="C645" s="987" t="s">
        <v>4651</v>
      </c>
      <c r="D645" s="987" t="s">
        <v>4652</v>
      </c>
      <c r="E645" s="987">
        <v>22.75</v>
      </c>
      <c r="F645" s="987">
        <v>5.5250000000000004E-3</v>
      </c>
      <c r="G645" s="987">
        <v>0</v>
      </c>
      <c r="H645" s="986">
        <v>7.3000000000000001E-3</v>
      </c>
      <c r="I645" s="986">
        <f t="shared" si="10"/>
        <v>-1.7749999999999997E-3</v>
      </c>
      <c r="J645" s="988">
        <v>29068</v>
      </c>
    </row>
    <row r="646" spans="1:10">
      <c r="A646" s="987">
        <v>66</v>
      </c>
      <c r="B646" s="988">
        <v>29099</v>
      </c>
      <c r="C646" s="987" t="s">
        <v>4651</v>
      </c>
      <c r="D646" s="987" t="s">
        <v>4652</v>
      </c>
      <c r="E646" s="987">
        <v>22.5</v>
      </c>
      <c r="F646" s="987">
        <v>9.4509999999999993E-3</v>
      </c>
      <c r="G646" s="987">
        <v>0.46500000000000002</v>
      </c>
      <c r="H646" s="986">
        <v>6.7999999999999996E-3</v>
      </c>
      <c r="I646" s="986">
        <f t="shared" si="10"/>
        <v>2.6509999999999997E-3</v>
      </c>
      <c r="J646" s="988">
        <v>29099</v>
      </c>
    </row>
    <row r="647" spans="1:10">
      <c r="A647" s="987">
        <v>66</v>
      </c>
      <c r="B647" s="988">
        <v>29129</v>
      </c>
      <c r="C647" s="987" t="s">
        <v>4651</v>
      </c>
      <c r="D647" s="987" t="s">
        <v>4652</v>
      </c>
      <c r="E647" s="987">
        <v>19.75</v>
      </c>
      <c r="F647" s="987">
        <v>-0.122222</v>
      </c>
      <c r="G647" s="987">
        <v>0</v>
      </c>
      <c r="H647" s="986">
        <v>8.2000000000000007E-3</v>
      </c>
      <c r="I647" s="986">
        <f t="shared" si="10"/>
        <v>-0.13042200000000001</v>
      </c>
      <c r="J647" s="988">
        <v>29129</v>
      </c>
    </row>
    <row r="648" spans="1:10">
      <c r="A648" s="987">
        <v>66</v>
      </c>
      <c r="B648" s="988">
        <v>29160</v>
      </c>
      <c r="C648" s="987" t="s">
        <v>4651</v>
      </c>
      <c r="D648" s="987" t="s">
        <v>4652</v>
      </c>
      <c r="E648" s="987">
        <v>20.25</v>
      </c>
      <c r="F648" s="987">
        <v>2.5316000000000002E-2</v>
      </c>
      <c r="G648" s="987">
        <v>0</v>
      </c>
      <c r="H648" s="986">
        <v>8.3000000000000001E-3</v>
      </c>
      <c r="I648" s="986">
        <f t="shared" si="10"/>
        <v>1.7016000000000003E-2</v>
      </c>
      <c r="J648" s="988">
        <v>29160</v>
      </c>
    </row>
    <row r="649" spans="1:10">
      <c r="A649" s="987">
        <v>66</v>
      </c>
      <c r="B649" s="988">
        <v>29190</v>
      </c>
      <c r="C649" s="987" t="s">
        <v>4651</v>
      </c>
      <c r="D649" s="987" t="s">
        <v>4652</v>
      </c>
      <c r="E649" s="987">
        <v>19.5</v>
      </c>
      <c r="F649" s="987">
        <v>-1.4074E-2</v>
      </c>
      <c r="G649" s="987">
        <v>0.46500000000000002</v>
      </c>
      <c r="H649" s="986">
        <v>8.3000000000000001E-3</v>
      </c>
      <c r="I649" s="986">
        <f t="shared" si="10"/>
        <v>-2.2373999999999998E-2</v>
      </c>
      <c r="J649" s="988">
        <v>29190</v>
      </c>
    </row>
    <row r="650" spans="1:10">
      <c r="A650" s="987">
        <v>66</v>
      </c>
      <c r="B650" s="988">
        <v>29221</v>
      </c>
      <c r="C650" s="987" t="s">
        <v>4651</v>
      </c>
      <c r="D650" s="987" t="s">
        <v>4652</v>
      </c>
      <c r="E650" s="987">
        <v>21.625</v>
      </c>
      <c r="F650" s="987">
        <v>0.108974</v>
      </c>
      <c r="G650" s="987">
        <v>0</v>
      </c>
      <c r="H650" s="986">
        <v>8.3000000000000001E-3</v>
      </c>
      <c r="I650" s="986">
        <f t="shared" si="10"/>
        <v>0.100674</v>
      </c>
      <c r="J650" s="988">
        <v>29221</v>
      </c>
    </row>
    <row r="651" spans="1:10">
      <c r="A651" s="987">
        <v>66</v>
      </c>
      <c r="B651" s="988">
        <v>29252</v>
      </c>
      <c r="C651" s="987" t="s">
        <v>4651</v>
      </c>
      <c r="D651" s="987" t="s">
        <v>4652</v>
      </c>
      <c r="E651" s="987">
        <v>19</v>
      </c>
      <c r="F651" s="987">
        <v>-0.12138699999999999</v>
      </c>
      <c r="G651" s="987">
        <v>0</v>
      </c>
      <c r="H651" s="986">
        <v>8.3999999999999995E-3</v>
      </c>
      <c r="I651" s="986">
        <f t="shared" si="10"/>
        <v>-0.12978699999999999</v>
      </c>
      <c r="J651" s="988">
        <v>29252</v>
      </c>
    </row>
    <row r="652" spans="1:10">
      <c r="A652" s="987">
        <v>66</v>
      </c>
      <c r="B652" s="988">
        <v>29281</v>
      </c>
      <c r="C652" s="987" t="s">
        <v>4651</v>
      </c>
      <c r="D652" s="987" t="s">
        <v>4652</v>
      </c>
      <c r="E652" s="987">
        <v>15.75</v>
      </c>
      <c r="F652" s="987">
        <v>-0.14657899999999999</v>
      </c>
      <c r="G652" s="987">
        <v>0.46500000000000002</v>
      </c>
      <c r="H652" s="986">
        <v>9.9000000000000008E-3</v>
      </c>
      <c r="I652" s="986">
        <f t="shared" si="10"/>
        <v>-0.15647899999999998</v>
      </c>
      <c r="J652" s="988">
        <v>29281</v>
      </c>
    </row>
    <row r="653" spans="1:10">
      <c r="A653" s="987">
        <v>66</v>
      </c>
      <c r="B653" s="988">
        <v>29312</v>
      </c>
      <c r="C653" s="987" t="s">
        <v>4651</v>
      </c>
      <c r="D653" s="987" t="s">
        <v>4652</v>
      </c>
      <c r="E653" s="987">
        <v>18</v>
      </c>
      <c r="F653" s="987">
        <v>0.14285700000000001</v>
      </c>
      <c r="G653" s="987">
        <v>0</v>
      </c>
      <c r="H653" s="986">
        <v>0.01</v>
      </c>
      <c r="I653" s="986">
        <f t="shared" si="10"/>
        <v>0.132857</v>
      </c>
      <c r="J653" s="988">
        <v>29312</v>
      </c>
    </row>
    <row r="654" spans="1:10">
      <c r="A654" s="987">
        <v>66</v>
      </c>
      <c r="B654" s="988">
        <v>29342</v>
      </c>
      <c r="C654" s="987" t="s">
        <v>4651</v>
      </c>
      <c r="D654" s="987" t="s">
        <v>4652</v>
      </c>
      <c r="E654" s="987">
        <v>19.125</v>
      </c>
      <c r="F654" s="987">
        <v>6.25E-2</v>
      </c>
      <c r="G654" s="987">
        <v>0</v>
      </c>
      <c r="H654" s="986">
        <v>8.6999999999999994E-3</v>
      </c>
      <c r="I654" s="986">
        <f t="shared" si="10"/>
        <v>5.3800000000000001E-2</v>
      </c>
      <c r="J654" s="988">
        <v>29342</v>
      </c>
    </row>
    <row r="655" spans="1:10">
      <c r="A655" s="987">
        <v>66</v>
      </c>
      <c r="B655" s="988">
        <v>29373</v>
      </c>
      <c r="C655" s="987" t="s">
        <v>4651</v>
      </c>
      <c r="D655" s="987" t="s">
        <v>4652</v>
      </c>
      <c r="E655" s="987">
        <v>19.875</v>
      </c>
      <c r="F655" s="987">
        <v>6.3529000000000002E-2</v>
      </c>
      <c r="G655" s="987">
        <v>0.46500000000000002</v>
      </c>
      <c r="H655" s="986">
        <v>8.6E-3</v>
      </c>
      <c r="I655" s="986">
        <f t="shared" si="10"/>
        <v>5.4929000000000006E-2</v>
      </c>
      <c r="J655" s="988">
        <v>29373</v>
      </c>
    </row>
    <row r="656" spans="1:10">
      <c r="A656" s="987">
        <v>66</v>
      </c>
      <c r="B656" s="988">
        <v>29403</v>
      </c>
      <c r="C656" s="987" t="s">
        <v>4651</v>
      </c>
      <c r="D656" s="987" t="s">
        <v>4652</v>
      </c>
      <c r="E656" s="987">
        <v>19.5</v>
      </c>
      <c r="F656" s="987">
        <v>-1.8867999999999999E-2</v>
      </c>
      <c r="G656" s="987">
        <v>0</v>
      </c>
      <c r="H656" s="986">
        <v>8.3999999999999995E-3</v>
      </c>
      <c r="I656" s="986">
        <f t="shared" si="10"/>
        <v>-2.7268000000000001E-2</v>
      </c>
      <c r="J656" s="988">
        <v>29403</v>
      </c>
    </row>
    <row r="657" spans="1:10">
      <c r="A657" s="987">
        <v>66</v>
      </c>
      <c r="B657" s="988">
        <v>29434</v>
      </c>
      <c r="C657" s="987" t="s">
        <v>4651</v>
      </c>
      <c r="D657" s="987" t="s">
        <v>4652</v>
      </c>
      <c r="E657" s="987">
        <v>18.375</v>
      </c>
      <c r="F657" s="987">
        <v>-5.7692E-2</v>
      </c>
      <c r="G657" s="987">
        <v>0</v>
      </c>
      <c r="H657" s="986">
        <v>8.0999999999999996E-3</v>
      </c>
      <c r="I657" s="986">
        <f t="shared" si="10"/>
        <v>-6.5792000000000003E-2</v>
      </c>
      <c r="J657" s="988">
        <v>29434</v>
      </c>
    </row>
    <row r="658" spans="1:10">
      <c r="A658" s="987">
        <v>66</v>
      </c>
      <c r="B658" s="988">
        <v>29465</v>
      </c>
      <c r="C658" s="987" t="s">
        <v>4651</v>
      </c>
      <c r="D658" s="987" t="s">
        <v>4652</v>
      </c>
      <c r="E658" s="987">
        <v>20.375</v>
      </c>
      <c r="F658" s="987">
        <v>0.13414999999999999</v>
      </c>
      <c r="G658" s="987">
        <v>0.46500000000000002</v>
      </c>
      <c r="H658" s="986">
        <v>9.7000000000000003E-3</v>
      </c>
      <c r="I658" s="986">
        <f t="shared" si="10"/>
        <v>0.12444999999999999</v>
      </c>
      <c r="J658" s="988">
        <v>29465</v>
      </c>
    </row>
    <row r="659" spans="1:10">
      <c r="A659" s="987">
        <v>66</v>
      </c>
      <c r="B659" s="988">
        <v>29495</v>
      </c>
      <c r="C659" s="987" t="s">
        <v>4651</v>
      </c>
      <c r="D659" s="987" t="s">
        <v>4652</v>
      </c>
      <c r="E659" s="987">
        <v>20.25</v>
      </c>
      <c r="F659" s="987">
        <v>-6.1349999999999998E-3</v>
      </c>
      <c r="G659" s="987">
        <v>0</v>
      </c>
      <c r="H659" s="986">
        <v>9.7000000000000003E-3</v>
      </c>
      <c r="I659" s="986">
        <f t="shared" si="10"/>
        <v>-1.5835000000000002E-2</v>
      </c>
      <c r="J659" s="988">
        <v>29495</v>
      </c>
    </row>
    <row r="660" spans="1:10">
      <c r="A660" s="987">
        <v>66</v>
      </c>
      <c r="B660" s="988">
        <v>29526</v>
      </c>
      <c r="C660" s="987" t="s">
        <v>4651</v>
      </c>
      <c r="D660" s="987" t="s">
        <v>4652</v>
      </c>
      <c r="E660" s="987">
        <v>23.375</v>
      </c>
      <c r="F660" s="987">
        <v>0.15432100000000001</v>
      </c>
      <c r="G660" s="987">
        <v>0</v>
      </c>
      <c r="H660" s="986">
        <v>9.1000000000000004E-3</v>
      </c>
      <c r="I660" s="986">
        <f t="shared" si="10"/>
        <v>0.14522100000000002</v>
      </c>
      <c r="J660" s="988">
        <v>29526</v>
      </c>
    </row>
    <row r="661" spans="1:10">
      <c r="A661" s="987">
        <v>66</v>
      </c>
      <c r="B661" s="988">
        <v>29556</v>
      </c>
      <c r="C661" s="987" t="s">
        <v>4651</v>
      </c>
      <c r="D661" s="987" t="s">
        <v>4652</v>
      </c>
      <c r="E661" s="987">
        <v>23.625</v>
      </c>
      <c r="F661" s="987">
        <v>3.3583000000000002E-2</v>
      </c>
      <c r="G661" s="987">
        <v>0.53500000000000003</v>
      </c>
      <c r="H661" s="986">
        <v>1.0800000000000001E-2</v>
      </c>
      <c r="I661" s="986">
        <f t="shared" si="10"/>
        <v>2.2783000000000001E-2</v>
      </c>
      <c r="J661" s="988">
        <v>29556</v>
      </c>
    </row>
    <row r="662" spans="1:10">
      <c r="A662" s="987">
        <v>66</v>
      </c>
      <c r="B662" s="988">
        <v>29587</v>
      </c>
      <c r="C662" s="987" t="s">
        <v>4651</v>
      </c>
      <c r="D662" s="987" t="s">
        <v>4652</v>
      </c>
      <c r="E662" s="987">
        <v>21.25</v>
      </c>
      <c r="F662" s="987">
        <v>-0.10052899999999999</v>
      </c>
      <c r="G662" s="987">
        <v>0</v>
      </c>
      <c r="H662" s="986">
        <v>9.4000000000000004E-3</v>
      </c>
      <c r="I662" s="986">
        <f t="shared" si="10"/>
        <v>-0.109929</v>
      </c>
      <c r="J662" s="988">
        <v>29587</v>
      </c>
    </row>
    <row r="663" spans="1:10">
      <c r="A663" s="987">
        <v>66</v>
      </c>
      <c r="B663" s="988">
        <v>29618</v>
      </c>
      <c r="C663" s="987" t="s">
        <v>4651</v>
      </c>
      <c r="D663" s="987" t="s">
        <v>4652</v>
      </c>
      <c r="E663" s="987">
        <v>21</v>
      </c>
      <c r="F663" s="987">
        <v>-1.1764999999999999E-2</v>
      </c>
      <c r="G663" s="987">
        <v>0</v>
      </c>
      <c r="H663" s="986">
        <v>8.8000000000000005E-3</v>
      </c>
      <c r="I663" s="986">
        <f t="shared" si="10"/>
        <v>-2.0565E-2</v>
      </c>
      <c r="J663" s="988">
        <v>29618</v>
      </c>
    </row>
    <row r="664" spans="1:10">
      <c r="A664" s="987">
        <v>66</v>
      </c>
      <c r="B664" s="988">
        <v>29646</v>
      </c>
      <c r="C664" s="987" t="s">
        <v>4651</v>
      </c>
      <c r="D664" s="987" t="s">
        <v>4652</v>
      </c>
      <c r="E664" s="987">
        <v>19.875</v>
      </c>
      <c r="F664" s="987">
        <v>-2.8094999999999998E-2</v>
      </c>
      <c r="G664" s="987">
        <v>0.53500000000000003</v>
      </c>
      <c r="H664" s="986">
        <v>1.11E-2</v>
      </c>
      <c r="I664" s="986">
        <f t="shared" si="10"/>
        <v>-3.9195000000000001E-2</v>
      </c>
      <c r="J664" s="988">
        <v>29646</v>
      </c>
    </row>
    <row r="665" spans="1:10">
      <c r="A665" s="987">
        <v>66</v>
      </c>
      <c r="B665" s="988">
        <v>29677</v>
      </c>
      <c r="C665" s="987" t="s">
        <v>4651</v>
      </c>
      <c r="D665" s="987" t="s">
        <v>4652</v>
      </c>
      <c r="E665" s="987">
        <v>19.375</v>
      </c>
      <c r="F665" s="987">
        <v>-2.5156999999999999E-2</v>
      </c>
      <c r="G665" s="987">
        <v>0</v>
      </c>
      <c r="H665" s="986">
        <v>1.01E-2</v>
      </c>
      <c r="I665" s="986">
        <f t="shared" si="10"/>
        <v>-3.5256999999999997E-2</v>
      </c>
      <c r="J665" s="988">
        <v>29677</v>
      </c>
    </row>
    <row r="666" spans="1:10">
      <c r="A666" s="987">
        <v>66</v>
      </c>
      <c r="B666" s="988">
        <v>29707</v>
      </c>
      <c r="C666" s="987" t="s">
        <v>4651</v>
      </c>
      <c r="D666" s="987" t="s">
        <v>4652</v>
      </c>
      <c r="E666" s="987">
        <v>19.25</v>
      </c>
      <c r="F666" s="987">
        <v>-6.4520000000000003E-3</v>
      </c>
      <c r="G666" s="987">
        <v>0</v>
      </c>
      <c r="H666" s="986">
        <v>1.04E-2</v>
      </c>
      <c r="I666" s="986">
        <f t="shared" si="10"/>
        <v>-1.6851999999999999E-2</v>
      </c>
      <c r="J666" s="988">
        <v>29707</v>
      </c>
    </row>
    <row r="667" spans="1:10">
      <c r="A667" s="987">
        <v>66</v>
      </c>
      <c r="B667" s="988">
        <v>29738</v>
      </c>
      <c r="C667" s="987" t="s">
        <v>4651</v>
      </c>
      <c r="D667" s="987" t="s">
        <v>4652</v>
      </c>
      <c r="E667" s="987">
        <v>19.125</v>
      </c>
      <c r="F667" s="987">
        <v>2.1298999999999998E-2</v>
      </c>
      <c r="G667" s="987">
        <v>0.53500000000000003</v>
      </c>
      <c r="H667" s="986">
        <v>1.09E-2</v>
      </c>
      <c r="I667" s="986">
        <f t="shared" si="10"/>
        <v>1.0398999999999999E-2</v>
      </c>
      <c r="J667" s="988">
        <v>29738</v>
      </c>
    </row>
    <row r="668" spans="1:10">
      <c r="A668" s="987">
        <v>66</v>
      </c>
      <c r="B668" s="988">
        <v>29768</v>
      </c>
      <c r="C668" s="987" t="s">
        <v>4651</v>
      </c>
      <c r="D668" s="987" t="s">
        <v>4652</v>
      </c>
      <c r="E668" s="987">
        <v>18.125</v>
      </c>
      <c r="F668" s="987">
        <v>-5.2288000000000001E-2</v>
      </c>
      <c r="G668" s="987">
        <v>0</v>
      </c>
      <c r="H668" s="986">
        <v>1.09E-2</v>
      </c>
      <c r="I668" s="986">
        <f t="shared" si="10"/>
        <v>-6.3187999999999994E-2</v>
      </c>
      <c r="J668" s="988">
        <v>29768</v>
      </c>
    </row>
    <row r="669" spans="1:10">
      <c r="A669" s="987">
        <v>66</v>
      </c>
      <c r="B669" s="988">
        <v>29799</v>
      </c>
      <c r="C669" s="987" t="s">
        <v>4651</v>
      </c>
      <c r="D669" s="987" t="s">
        <v>4652</v>
      </c>
      <c r="E669" s="987">
        <v>18.25</v>
      </c>
      <c r="F669" s="987">
        <v>6.8970000000000004E-3</v>
      </c>
      <c r="G669" s="987">
        <v>0</v>
      </c>
      <c r="H669" s="986">
        <v>1.0999999999999999E-2</v>
      </c>
      <c r="I669" s="986">
        <f t="shared" si="10"/>
        <v>-4.102999999999999E-3</v>
      </c>
      <c r="J669" s="988">
        <v>29799</v>
      </c>
    </row>
    <row r="670" spans="1:10">
      <c r="A670" s="987">
        <v>66</v>
      </c>
      <c r="B670" s="988">
        <v>29830</v>
      </c>
      <c r="C670" s="987" t="s">
        <v>4651</v>
      </c>
      <c r="D670" s="987" t="s">
        <v>4652</v>
      </c>
      <c r="E670" s="987">
        <v>16.875</v>
      </c>
      <c r="F670" s="987">
        <v>-4.6026999999999998E-2</v>
      </c>
      <c r="G670" s="987">
        <v>0.53500000000000003</v>
      </c>
      <c r="H670" s="986">
        <v>1.14E-2</v>
      </c>
      <c r="I670" s="986">
        <f t="shared" si="10"/>
        <v>-5.7426999999999999E-2</v>
      </c>
      <c r="J670" s="988">
        <v>29830</v>
      </c>
    </row>
    <row r="671" spans="1:10">
      <c r="A671" s="987">
        <v>66</v>
      </c>
      <c r="B671" s="988">
        <v>29860</v>
      </c>
      <c r="C671" s="987" t="s">
        <v>4651</v>
      </c>
      <c r="D671" s="987" t="s">
        <v>4652</v>
      </c>
      <c r="E671" s="987">
        <v>16.875</v>
      </c>
      <c r="F671" s="987">
        <v>0</v>
      </c>
      <c r="G671" s="987">
        <v>0</v>
      </c>
      <c r="H671" s="986">
        <v>1.17E-2</v>
      </c>
      <c r="I671" s="986">
        <f t="shared" si="10"/>
        <v>-1.17E-2</v>
      </c>
      <c r="J671" s="988">
        <v>29860</v>
      </c>
    </row>
    <row r="672" spans="1:10">
      <c r="A672" s="987">
        <v>66</v>
      </c>
      <c r="B672" s="988">
        <v>29891</v>
      </c>
      <c r="C672" s="987" t="s">
        <v>4651</v>
      </c>
      <c r="D672" s="987" t="s">
        <v>4652</v>
      </c>
      <c r="E672" s="987">
        <v>20.875</v>
      </c>
      <c r="F672" s="987">
        <v>0.237037</v>
      </c>
      <c r="G672" s="987">
        <v>0</v>
      </c>
      <c r="H672" s="986">
        <v>1.1299999999999999E-2</v>
      </c>
      <c r="I672" s="986">
        <f t="shared" si="10"/>
        <v>0.22573699999999999</v>
      </c>
      <c r="J672" s="988">
        <v>29891</v>
      </c>
    </row>
    <row r="673" spans="1:10">
      <c r="A673" s="987">
        <v>66</v>
      </c>
      <c r="B673" s="988">
        <v>29921</v>
      </c>
      <c r="C673" s="987" t="s">
        <v>4651</v>
      </c>
      <c r="D673" s="987" t="s">
        <v>4652</v>
      </c>
      <c r="E673" s="987">
        <v>20</v>
      </c>
      <c r="F673" s="987">
        <v>-1.3174E-2</v>
      </c>
      <c r="G673" s="987">
        <v>0.6</v>
      </c>
      <c r="H673" s="986">
        <v>0.01</v>
      </c>
      <c r="I673" s="986">
        <f t="shared" si="10"/>
        <v>-2.3174E-2</v>
      </c>
      <c r="J673" s="988">
        <v>29921</v>
      </c>
    </row>
    <row r="674" spans="1:10">
      <c r="A674" s="987">
        <v>66</v>
      </c>
      <c r="B674" s="988">
        <v>29952</v>
      </c>
      <c r="C674" s="987" t="s">
        <v>4651</v>
      </c>
      <c r="D674" s="987" t="s">
        <v>4652</v>
      </c>
      <c r="E674" s="987">
        <v>18.875</v>
      </c>
      <c r="F674" s="987">
        <v>-5.6250000000000001E-2</v>
      </c>
      <c r="G674" s="987">
        <v>0</v>
      </c>
      <c r="H674" s="986">
        <v>1.0800000000000001E-2</v>
      </c>
      <c r="I674" s="986">
        <f t="shared" si="10"/>
        <v>-6.7049999999999998E-2</v>
      </c>
      <c r="J674" s="988">
        <v>29952</v>
      </c>
    </row>
    <row r="675" spans="1:10">
      <c r="A675" s="987">
        <v>66</v>
      </c>
      <c r="B675" s="988">
        <v>29983</v>
      </c>
      <c r="C675" s="987" t="s">
        <v>4651</v>
      </c>
      <c r="D675" s="987" t="s">
        <v>4652</v>
      </c>
      <c r="E675" s="987">
        <v>19</v>
      </c>
      <c r="F675" s="987">
        <v>6.6230000000000004E-3</v>
      </c>
      <c r="G675" s="987">
        <v>0</v>
      </c>
      <c r="H675" s="986">
        <v>1.03E-2</v>
      </c>
      <c r="I675" s="986">
        <f t="shared" si="10"/>
        <v>-3.6769999999999997E-3</v>
      </c>
      <c r="J675" s="988">
        <v>29983</v>
      </c>
    </row>
    <row r="676" spans="1:10">
      <c r="A676" s="987">
        <v>66</v>
      </c>
      <c r="B676" s="988">
        <v>30011</v>
      </c>
      <c r="C676" s="987" t="s">
        <v>4651</v>
      </c>
      <c r="D676" s="987" t="s">
        <v>4652</v>
      </c>
      <c r="E676" s="987">
        <v>19.375</v>
      </c>
      <c r="F676" s="987">
        <v>5.1316000000000001E-2</v>
      </c>
      <c r="G676" s="987">
        <v>0.6</v>
      </c>
      <c r="H676" s="986">
        <v>1.24E-2</v>
      </c>
      <c r="I676" s="986">
        <f t="shared" si="10"/>
        <v>3.8915999999999999E-2</v>
      </c>
      <c r="J676" s="988">
        <v>30011</v>
      </c>
    </row>
    <row r="677" spans="1:10">
      <c r="A677" s="987">
        <v>66</v>
      </c>
      <c r="B677" s="988">
        <v>30042</v>
      </c>
      <c r="C677" s="987" t="s">
        <v>4651</v>
      </c>
      <c r="D677" s="987" t="s">
        <v>4652</v>
      </c>
      <c r="E677" s="987">
        <v>19.75</v>
      </c>
      <c r="F677" s="987">
        <v>1.9355000000000001E-2</v>
      </c>
      <c r="G677" s="987">
        <v>0</v>
      </c>
      <c r="H677" s="986">
        <v>1.12E-2</v>
      </c>
      <c r="I677" s="986">
        <f t="shared" si="10"/>
        <v>8.1550000000000008E-3</v>
      </c>
      <c r="J677" s="988">
        <v>30042</v>
      </c>
    </row>
    <row r="678" spans="1:10">
      <c r="A678" s="987">
        <v>66</v>
      </c>
      <c r="B678" s="988">
        <v>30072</v>
      </c>
      <c r="C678" s="987" t="s">
        <v>4651</v>
      </c>
      <c r="D678" s="987" t="s">
        <v>4652</v>
      </c>
      <c r="E678" s="987">
        <v>21</v>
      </c>
      <c r="F678" s="987">
        <v>6.3291E-2</v>
      </c>
      <c r="G678" s="987">
        <v>0</v>
      </c>
      <c r="H678" s="986">
        <v>1.01E-2</v>
      </c>
      <c r="I678" s="986">
        <f t="shared" si="10"/>
        <v>5.3191000000000002E-2</v>
      </c>
      <c r="J678" s="988">
        <v>30072</v>
      </c>
    </row>
    <row r="679" spans="1:10">
      <c r="A679" s="987">
        <v>66</v>
      </c>
      <c r="B679" s="988">
        <v>30103</v>
      </c>
      <c r="C679" s="987" t="s">
        <v>4651</v>
      </c>
      <c r="D679" s="987" t="s">
        <v>4652</v>
      </c>
      <c r="E679" s="987">
        <v>20.75</v>
      </c>
      <c r="F679" s="987">
        <v>1.6667000000000001E-2</v>
      </c>
      <c r="G679" s="987">
        <v>0.6</v>
      </c>
      <c r="H679" s="986">
        <v>1.2E-2</v>
      </c>
      <c r="I679" s="986">
        <f t="shared" si="10"/>
        <v>4.667000000000001E-3</v>
      </c>
      <c r="J679" s="988">
        <v>30103</v>
      </c>
    </row>
    <row r="680" spans="1:10">
      <c r="A680" s="987">
        <v>66</v>
      </c>
      <c r="B680" s="988">
        <v>30133</v>
      </c>
      <c r="C680" s="987" t="s">
        <v>4651</v>
      </c>
      <c r="D680" s="987" t="s">
        <v>4652</v>
      </c>
      <c r="E680" s="987">
        <v>20.5</v>
      </c>
      <c r="F680" s="987">
        <v>-1.2048E-2</v>
      </c>
      <c r="G680" s="987">
        <v>0</v>
      </c>
      <c r="H680" s="986">
        <v>1.14E-2</v>
      </c>
      <c r="I680" s="986">
        <f t="shared" si="10"/>
        <v>-2.3448E-2</v>
      </c>
      <c r="J680" s="988">
        <v>30133</v>
      </c>
    </row>
    <row r="681" spans="1:10">
      <c r="A681" s="987">
        <v>66</v>
      </c>
      <c r="B681" s="988">
        <v>30164</v>
      </c>
      <c r="C681" s="987" t="s">
        <v>4651</v>
      </c>
      <c r="D681" s="987" t="s">
        <v>4652</v>
      </c>
      <c r="E681" s="987">
        <v>21</v>
      </c>
      <c r="F681" s="987">
        <v>2.4389999999999998E-2</v>
      </c>
      <c r="G681" s="987">
        <v>0</v>
      </c>
      <c r="H681" s="986">
        <v>1.12E-2</v>
      </c>
      <c r="I681" s="986">
        <f t="shared" si="10"/>
        <v>1.3189999999999999E-2</v>
      </c>
      <c r="J681" s="988">
        <v>30164</v>
      </c>
    </row>
    <row r="682" spans="1:10">
      <c r="A682" s="987">
        <v>66</v>
      </c>
      <c r="B682" s="988">
        <v>30195</v>
      </c>
      <c r="C682" s="987" t="s">
        <v>4651</v>
      </c>
      <c r="D682" s="987" t="s">
        <v>4652</v>
      </c>
      <c r="E682" s="987">
        <v>21.5</v>
      </c>
      <c r="F682" s="987">
        <v>5.2380999999999997E-2</v>
      </c>
      <c r="G682" s="987">
        <v>0.6</v>
      </c>
      <c r="H682" s="986">
        <v>0.01</v>
      </c>
      <c r="I682" s="986">
        <f t="shared" si="10"/>
        <v>4.2380999999999995E-2</v>
      </c>
      <c r="J682" s="988">
        <v>30195</v>
      </c>
    </row>
    <row r="683" spans="1:10">
      <c r="A683" s="987">
        <v>66</v>
      </c>
      <c r="B683" s="988">
        <v>30225</v>
      </c>
      <c r="C683" s="987" t="s">
        <v>4651</v>
      </c>
      <c r="D683" s="987" t="s">
        <v>4652</v>
      </c>
      <c r="E683" s="987">
        <v>22.625</v>
      </c>
      <c r="F683" s="987">
        <v>5.2325999999999998E-2</v>
      </c>
      <c r="G683" s="987">
        <v>0</v>
      </c>
      <c r="H683" s="986">
        <v>9.1000000000000004E-3</v>
      </c>
      <c r="I683" s="986">
        <f t="shared" si="10"/>
        <v>4.3226000000000001E-2</v>
      </c>
      <c r="J683" s="988">
        <v>30225</v>
      </c>
    </row>
    <row r="684" spans="1:10">
      <c r="A684" s="987">
        <v>66</v>
      </c>
      <c r="B684" s="988">
        <v>30256</v>
      </c>
      <c r="C684" s="987" t="s">
        <v>4651</v>
      </c>
      <c r="D684" s="987" t="s">
        <v>4652</v>
      </c>
      <c r="E684" s="987">
        <v>24.375</v>
      </c>
      <c r="F684" s="987">
        <v>7.7348E-2</v>
      </c>
      <c r="G684" s="987">
        <v>0</v>
      </c>
      <c r="H684" s="986">
        <v>9.4000000000000004E-3</v>
      </c>
      <c r="I684" s="986">
        <f t="shared" si="10"/>
        <v>6.7947999999999995E-2</v>
      </c>
      <c r="J684" s="988">
        <v>30256</v>
      </c>
    </row>
    <row r="685" spans="1:10">
      <c r="A685" s="987">
        <v>66</v>
      </c>
      <c r="B685" s="988">
        <v>30286</v>
      </c>
      <c r="C685" s="987" t="s">
        <v>4651</v>
      </c>
      <c r="D685" s="987" t="s">
        <v>4652</v>
      </c>
      <c r="E685" s="987">
        <v>25.125</v>
      </c>
      <c r="F685" s="987">
        <v>5.7436000000000001E-2</v>
      </c>
      <c r="G685" s="987">
        <v>0.65</v>
      </c>
      <c r="H685" s="986">
        <v>9.2999999999999992E-3</v>
      </c>
      <c r="I685" s="986">
        <f t="shared" si="10"/>
        <v>4.8135999999999998E-2</v>
      </c>
      <c r="J685" s="988">
        <v>30286</v>
      </c>
    </row>
    <row r="686" spans="1:10">
      <c r="A686" s="987">
        <v>66</v>
      </c>
      <c r="B686" s="988">
        <v>30317</v>
      </c>
      <c r="C686" s="987" t="s">
        <v>4651</v>
      </c>
      <c r="D686" s="987" t="s">
        <v>4652</v>
      </c>
      <c r="E686" s="987">
        <v>25.375</v>
      </c>
      <c r="F686" s="987">
        <v>9.9500000000000005E-3</v>
      </c>
      <c r="G686" s="987">
        <v>0</v>
      </c>
      <c r="H686" s="986">
        <v>8.6999999999999994E-3</v>
      </c>
      <c r="I686" s="986">
        <f t="shared" si="10"/>
        <v>1.2500000000000011E-3</v>
      </c>
      <c r="J686" s="988">
        <v>30317</v>
      </c>
    </row>
    <row r="687" spans="1:10">
      <c r="A687" s="987">
        <v>66</v>
      </c>
      <c r="B687" s="988">
        <v>30348</v>
      </c>
      <c r="C687" s="987" t="s">
        <v>4651</v>
      </c>
      <c r="D687" s="987" t="s">
        <v>4652</v>
      </c>
      <c r="E687" s="987">
        <v>26</v>
      </c>
      <c r="F687" s="987">
        <v>2.4631E-2</v>
      </c>
      <c r="G687" s="987">
        <v>0</v>
      </c>
      <c r="H687" s="986">
        <v>8.0999999999999996E-3</v>
      </c>
      <c r="I687" s="986">
        <f t="shared" si="10"/>
        <v>1.6531000000000001E-2</v>
      </c>
      <c r="J687" s="988">
        <v>30348</v>
      </c>
    </row>
    <row r="688" spans="1:10">
      <c r="A688" s="987">
        <v>66</v>
      </c>
      <c r="B688" s="988">
        <v>30376</v>
      </c>
      <c r="C688" s="987" t="s">
        <v>4651</v>
      </c>
      <c r="D688" s="987" t="s">
        <v>4652</v>
      </c>
      <c r="E688" s="987">
        <v>25.875</v>
      </c>
      <c r="F688" s="987">
        <v>2.0192000000000002E-2</v>
      </c>
      <c r="G688" s="987">
        <v>0.65</v>
      </c>
      <c r="H688" s="986">
        <v>8.8999999999999999E-3</v>
      </c>
      <c r="I688" s="986">
        <f t="shared" si="10"/>
        <v>1.1292000000000002E-2</v>
      </c>
      <c r="J688" s="988">
        <v>30376</v>
      </c>
    </row>
    <row r="689" spans="1:10">
      <c r="A689" s="987">
        <v>66</v>
      </c>
      <c r="B689" s="988">
        <v>30407</v>
      </c>
      <c r="C689" s="987" t="s">
        <v>4651</v>
      </c>
      <c r="D689" s="987" t="s">
        <v>4652</v>
      </c>
      <c r="E689" s="987">
        <v>26.625</v>
      </c>
      <c r="F689" s="987">
        <v>2.8986000000000001E-2</v>
      </c>
      <c r="G689" s="987">
        <v>0</v>
      </c>
      <c r="H689" s="986">
        <v>8.5000000000000006E-3</v>
      </c>
      <c r="I689" s="986">
        <f t="shared" si="10"/>
        <v>2.0486000000000001E-2</v>
      </c>
      <c r="J689" s="988">
        <v>30407</v>
      </c>
    </row>
    <row r="690" spans="1:10">
      <c r="A690" s="987">
        <v>66</v>
      </c>
      <c r="B690" s="988">
        <v>30437</v>
      </c>
      <c r="C690" s="987" t="s">
        <v>4651</v>
      </c>
      <c r="D690" s="987" t="s">
        <v>4652</v>
      </c>
      <c r="E690" s="987">
        <v>26.375</v>
      </c>
      <c r="F690" s="987">
        <v>-9.3900000000000008E-3</v>
      </c>
      <c r="G690" s="987">
        <v>0</v>
      </c>
      <c r="H690" s="986">
        <v>9.1000000000000004E-3</v>
      </c>
      <c r="I690" s="986">
        <f t="shared" si="10"/>
        <v>-1.8489999999999999E-2</v>
      </c>
      <c r="J690" s="988">
        <v>30437</v>
      </c>
    </row>
    <row r="691" spans="1:10">
      <c r="A691" s="987">
        <v>66</v>
      </c>
      <c r="B691" s="988">
        <v>30468</v>
      </c>
      <c r="C691" s="987" t="s">
        <v>4651</v>
      </c>
      <c r="D691" s="987" t="s">
        <v>4652</v>
      </c>
      <c r="E691" s="987">
        <v>26.625</v>
      </c>
      <c r="F691" s="987">
        <v>3.4123000000000001E-2</v>
      </c>
      <c r="G691" s="987">
        <v>0.65</v>
      </c>
      <c r="H691" s="986">
        <v>8.9999999999999993E-3</v>
      </c>
      <c r="I691" s="986">
        <f t="shared" si="10"/>
        <v>2.5122999999999999E-2</v>
      </c>
      <c r="J691" s="988">
        <v>30468</v>
      </c>
    </row>
    <row r="692" spans="1:10">
      <c r="A692" s="987">
        <v>66</v>
      </c>
      <c r="B692" s="988">
        <v>30498</v>
      </c>
      <c r="C692" s="987" t="s">
        <v>4651</v>
      </c>
      <c r="D692" s="987" t="s">
        <v>4652</v>
      </c>
      <c r="E692" s="987">
        <v>28</v>
      </c>
      <c r="F692" s="987">
        <v>5.1643000000000001E-2</v>
      </c>
      <c r="G692" s="987">
        <v>0</v>
      </c>
      <c r="H692" s="986">
        <v>8.8000000000000005E-3</v>
      </c>
      <c r="I692" s="986">
        <f t="shared" si="10"/>
        <v>4.2842999999999999E-2</v>
      </c>
      <c r="J692" s="988">
        <v>30498</v>
      </c>
    </row>
    <row r="693" spans="1:10">
      <c r="A693" s="987">
        <v>66</v>
      </c>
      <c r="B693" s="988">
        <v>30529</v>
      </c>
      <c r="C693" s="987" t="s">
        <v>4651</v>
      </c>
      <c r="D693" s="987" t="s">
        <v>4652</v>
      </c>
      <c r="E693" s="987">
        <v>26.375</v>
      </c>
      <c r="F693" s="987">
        <v>-5.8035999999999997E-2</v>
      </c>
      <c r="G693" s="987">
        <v>0</v>
      </c>
      <c r="H693" s="986">
        <v>1.03E-2</v>
      </c>
      <c r="I693" s="986">
        <f t="shared" si="10"/>
        <v>-6.8335999999999994E-2</v>
      </c>
      <c r="J693" s="988">
        <v>30529</v>
      </c>
    </row>
    <row r="694" spans="1:10">
      <c r="A694" s="987">
        <v>66</v>
      </c>
      <c r="B694" s="988">
        <v>30560</v>
      </c>
      <c r="C694" s="987" t="s">
        <v>4651</v>
      </c>
      <c r="D694" s="987" t="s">
        <v>4652</v>
      </c>
      <c r="E694" s="987">
        <v>27.25</v>
      </c>
      <c r="F694" s="987">
        <v>5.7820000000000003E-2</v>
      </c>
      <c r="G694" s="987">
        <v>0.65</v>
      </c>
      <c r="H694" s="986">
        <v>9.5999999999999992E-3</v>
      </c>
      <c r="I694" s="986">
        <f t="shared" si="10"/>
        <v>4.8220000000000006E-2</v>
      </c>
      <c r="J694" s="988">
        <v>30560</v>
      </c>
    </row>
    <row r="695" spans="1:10">
      <c r="A695" s="987">
        <v>66</v>
      </c>
      <c r="B695" s="988">
        <v>30590</v>
      </c>
      <c r="C695" s="987" t="s">
        <v>4651</v>
      </c>
      <c r="D695" s="987" t="s">
        <v>4652</v>
      </c>
      <c r="E695" s="987">
        <v>29.125</v>
      </c>
      <c r="F695" s="987">
        <v>6.8806999999999993E-2</v>
      </c>
      <c r="G695" s="987">
        <v>0</v>
      </c>
      <c r="H695" s="986">
        <v>9.4999999999999998E-3</v>
      </c>
      <c r="I695" s="986">
        <f t="shared" si="10"/>
        <v>5.9306999999999992E-2</v>
      </c>
      <c r="J695" s="988">
        <v>30590</v>
      </c>
    </row>
    <row r="696" spans="1:10">
      <c r="A696" s="987">
        <v>66</v>
      </c>
      <c r="B696" s="988">
        <v>30621</v>
      </c>
      <c r="C696" s="987" t="s">
        <v>4651</v>
      </c>
      <c r="D696" s="987" t="s">
        <v>4652</v>
      </c>
      <c r="E696" s="987">
        <v>32.75</v>
      </c>
      <c r="F696" s="987">
        <v>0.12446400000000001</v>
      </c>
      <c r="G696" s="987">
        <v>0</v>
      </c>
      <c r="H696" s="986">
        <v>9.4000000000000004E-3</v>
      </c>
      <c r="I696" s="986">
        <f t="shared" si="10"/>
        <v>0.115064</v>
      </c>
      <c r="J696" s="988">
        <v>30621</v>
      </c>
    </row>
    <row r="697" spans="1:10">
      <c r="A697" s="987">
        <v>66</v>
      </c>
      <c r="B697" s="988">
        <v>30651</v>
      </c>
      <c r="C697" s="987" t="s">
        <v>4651</v>
      </c>
      <c r="D697" s="987" t="s">
        <v>4652</v>
      </c>
      <c r="E697" s="987">
        <v>31.375</v>
      </c>
      <c r="F697" s="987">
        <v>-1.9084E-2</v>
      </c>
      <c r="G697" s="987">
        <v>0.75</v>
      </c>
      <c r="H697" s="986">
        <v>9.4000000000000004E-3</v>
      </c>
      <c r="I697" s="986">
        <f t="shared" si="10"/>
        <v>-2.8484000000000002E-2</v>
      </c>
      <c r="J697" s="988">
        <v>30651</v>
      </c>
    </row>
    <row r="698" spans="1:10">
      <c r="A698" s="987">
        <v>66</v>
      </c>
      <c r="B698" s="988">
        <v>30682</v>
      </c>
      <c r="C698" s="987" t="s">
        <v>4651</v>
      </c>
      <c r="D698" s="987" t="s">
        <v>4652</v>
      </c>
      <c r="E698" s="987">
        <v>32</v>
      </c>
      <c r="F698" s="987">
        <v>1.992E-2</v>
      </c>
      <c r="G698" s="987">
        <v>0</v>
      </c>
      <c r="H698" s="986">
        <v>1.03E-2</v>
      </c>
      <c r="I698" s="986">
        <f t="shared" si="10"/>
        <v>9.6200000000000001E-3</v>
      </c>
      <c r="J698" s="988">
        <v>30682</v>
      </c>
    </row>
    <row r="699" spans="1:10">
      <c r="A699" s="987">
        <v>66</v>
      </c>
      <c r="B699" s="988">
        <v>30713</v>
      </c>
      <c r="C699" s="987" t="s">
        <v>4651</v>
      </c>
      <c r="D699" s="987" t="s">
        <v>4652</v>
      </c>
      <c r="E699" s="987">
        <v>33.25</v>
      </c>
      <c r="F699" s="987">
        <v>3.9061999999999999E-2</v>
      </c>
      <c r="G699" s="987">
        <v>0</v>
      </c>
      <c r="H699" s="986">
        <v>9.1999999999999998E-3</v>
      </c>
      <c r="I699" s="986">
        <f t="shared" si="10"/>
        <v>2.9862E-2</v>
      </c>
      <c r="J699" s="988">
        <v>30713</v>
      </c>
    </row>
    <row r="700" spans="1:10">
      <c r="A700" s="987">
        <v>66</v>
      </c>
      <c r="B700" s="988">
        <v>30742</v>
      </c>
      <c r="C700" s="987" t="s">
        <v>4651</v>
      </c>
      <c r="D700" s="987" t="s">
        <v>4652</v>
      </c>
      <c r="E700" s="987">
        <v>17.5</v>
      </c>
      <c r="F700" s="987">
        <v>7.5188000000000005E-2</v>
      </c>
      <c r="G700" s="987">
        <v>0.75</v>
      </c>
      <c r="H700" s="986">
        <v>9.7999999999999997E-3</v>
      </c>
      <c r="I700" s="986">
        <f t="shared" si="10"/>
        <v>6.5388000000000002E-2</v>
      </c>
      <c r="J700" s="988">
        <v>30742</v>
      </c>
    </row>
    <row r="701" spans="1:10">
      <c r="A701" s="987">
        <v>66</v>
      </c>
      <c r="B701" s="988">
        <v>30773</v>
      </c>
      <c r="C701" s="987" t="s">
        <v>4651</v>
      </c>
      <c r="D701" s="987" t="s">
        <v>4652</v>
      </c>
      <c r="E701" s="987">
        <v>18.75</v>
      </c>
      <c r="F701" s="987">
        <v>7.1429000000000006E-2</v>
      </c>
      <c r="G701" s="987">
        <v>0</v>
      </c>
      <c r="H701" s="986">
        <v>1.04E-2</v>
      </c>
      <c r="I701" s="986">
        <f t="shared" si="10"/>
        <v>6.1029000000000007E-2</v>
      </c>
      <c r="J701" s="988">
        <v>30773</v>
      </c>
    </row>
    <row r="702" spans="1:10">
      <c r="A702" s="987">
        <v>66</v>
      </c>
      <c r="B702" s="988">
        <v>30803</v>
      </c>
      <c r="C702" s="987" t="s">
        <v>4651</v>
      </c>
      <c r="D702" s="987" t="s">
        <v>4652</v>
      </c>
      <c r="E702" s="987">
        <v>17.75</v>
      </c>
      <c r="F702" s="987">
        <v>-5.3332999999999998E-2</v>
      </c>
      <c r="G702" s="987">
        <v>0</v>
      </c>
      <c r="H702" s="986">
        <v>1.03E-2</v>
      </c>
      <c r="I702" s="986">
        <f t="shared" si="10"/>
        <v>-6.3632999999999995E-2</v>
      </c>
      <c r="J702" s="988">
        <v>30803</v>
      </c>
    </row>
    <row r="703" spans="1:10">
      <c r="A703" s="987">
        <v>66</v>
      </c>
      <c r="B703" s="988">
        <v>30834</v>
      </c>
      <c r="C703" s="987" t="s">
        <v>4651</v>
      </c>
      <c r="D703" s="987" t="s">
        <v>4652</v>
      </c>
      <c r="E703" s="987">
        <v>17.625</v>
      </c>
      <c r="F703" s="987">
        <v>1.4085E-2</v>
      </c>
      <c r="G703" s="987">
        <v>0.375</v>
      </c>
      <c r="H703" s="986">
        <v>1.06E-2</v>
      </c>
      <c r="I703" s="986">
        <f t="shared" si="10"/>
        <v>3.4850000000000003E-3</v>
      </c>
      <c r="J703" s="988">
        <v>30834</v>
      </c>
    </row>
    <row r="704" spans="1:10">
      <c r="A704" s="987">
        <v>66</v>
      </c>
      <c r="B704" s="988">
        <v>30864</v>
      </c>
      <c r="C704" s="987" t="s">
        <v>4651</v>
      </c>
      <c r="D704" s="987" t="s">
        <v>4652</v>
      </c>
      <c r="E704" s="987">
        <v>17.625</v>
      </c>
      <c r="F704" s="987">
        <v>0</v>
      </c>
      <c r="G704" s="987">
        <v>0</v>
      </c>
      <c r="H704" s="986">
        <v>1.1599999999999999E-2</v>
      </c>
      <c r="I704" s="986">
        <f t="shared" si="10"/>
        <v>-1.1599999999999999E-2</v>
      </c>
      <c r="J704" s="988">
        <v>30864</v>
      </c>
    </row>
    <row r="705" spans="1:10">
      <c r="A705" s="987">
        <v>66</v>
      </c>
      <c r="B705" s="988">
        <v>30895</v>
      </c>
      <c r="C705" s="987" t="s">
        <v>4651</v>
      </c>
      <c r="D705" s="987" t="s">
        <v>4652</v>
      </c>
      <c r="E705" s="987">
        <v>17.375</v>
      </c>
      <c r="F705" s="987">
        <v>-1.4184E-2</v>
      </c>
      <c r="G705" s="987">
        <v>0</v>
      </c>
      <c r="H705" s="986">
        <v>1.06E-2</v>
      </c>
      <c r="I705" s="986">
        <f t="shared" si="10"/>
        <v>-2.4784E-2</v>
      </c>
      <c r="J705" s="988">
        <v>30895</v>
      </c>
    </row>
    <row r="706" spans="1:10">
      <c r="A706" s="987">
        <v>66</v>
      </c>
      <c r="B706" s="988">
        <v>30926</v>
      </c>
      <c r="C706" s="987" t="s">
        <v>4651</v>
      </c>
      <c r="D706" s="987" t="s">
        <v>4652</v>
      </c>
      <c r="E706" s="987">
        <v>19.875</v>
      </c>
      <c r="F706" s="987">
        <v>0.165468</v>
      </c>
      <c r="G706" s="987">
        <v>0.375</v>
      </c>
      <c r="H706" s="986">
        <v>9.4000000000000004E-3</v>
      </c>
      <c r="I706" s="986">
        <f t="shared" ref="I706:I769" si="11">F706-H706</f>
        <v>0.15606800000000001</v>
      </c>
      <c r="J706" s="988">
        <v>30926</v>
      </c>
    </row>
    <row r="707" spans="1:10">
      <c r="A707" s="987">
        <v>66</v>
      </c>
      <c r="B707" s="988">
        <v>30956</v>
      </c>
      <c r="C707" s="987" t="s">
        <v>4651</v>
      </c>
      <c r="D707" s="987" t="s">
        <v>4652</v>
      </c>
      <c r="E707" s="987">
        <v>22.25</v>
      </c>
      <c r="F707" s="987">
        <v>0.11949700000000001</v>
      </c>
      <c r="G707" s="987">
        <v>0</v>
      </c>
      <c r="H707" s="986">
        <v>1.0800000000000001E-2</v>
      </c>
      <c r="I707" s="986">
        <f t="shared" si="11"/>
        <v>0.108697</v>
      </c>
      <c r="J707" s="988">
        <v>30956</v>
      </c>
    </row>
    <row r="708" spans="1:10">
      <c r="A708" s="987">
        <v>66</v>
      </c>
      <c r="B708" s="988">
        <v>30987</v>
      </c>
      <c r="C708" s="987" t="s">
        <v>4651</v>
      </c>
      <c r="D708" s="987" t="s">
        <v>4652</v>
      </c>
      <c r="E708" s="987">
        <v>23</v>
      </c>
      <c r="F708" s="987">
        <v>3.3708000000000002E-2</v>
      </c>
      <c r="G708" s="987">
        <v>0</v>
      </c>
      <c r="H708" s="986">
        <v>9.1000000000000004E-3</v>
      </c>
      <c r="I708" s="986">
        <f t="shared" si="11"/>
        <v>2.4608000000000001E-2</v>
      </c>
      <c r="J708" s="988">
        <v>30987</v>
      </c>
    </row>
    <row r="709" spans="1:10">
      <c r="A709" s="987">
        <v>66</v>
      </c>
      <c r="B709" s="988">
        <v>31017</v>
      </c>
      <c r="C709" s="987" t="s">
        <v>4651</v>
      </c>
      <c r="D709" s="987" t="s">
        <v>4652</v>
      </c>
      <c r="E709" s="987">
        <v>24</v>
      </c>
      <c r="F709" s="987">
        <v>6.1956999999999998E-2</v>
      </c>
      <c r="G709" s="987">
        <v>0.42499999999999999</v>
      </c>
      <c r="H709" s="986">
        <v>9.7999999999999997E-3</v>
      </c>
      <c r="I709" s="986">
        <f t="shared" si="11"/>
        <v>5.2156999999999995E-2</v>
      </c>
      <c r="J709" s="988">
        <v>31017</v>
      </c>
    </row>
    <row r="710" spans="1:10">
      <c r="A710" s="987">
        <v>66</v>
      </c>
      <c r="B710" s="988">
        <v>31048</v>
      </c>
      <c r="C710" s="987" t="s">
        <v>4651</v>
      </c>
      <c r="D710" s="987" t="s">
        <v>4652</v>
      </c>
      <c r="E710" s="987">
        <v>24.125</v>
      </c>
      <c r="F710" s="987">
        <v>5.208E-3</v>
      </c>
      <c r="G710" s="987">
        <v>0</v>
      </c>
      <c r="H710" s="986">
        <v>9.5999999999999992E-3</v>
      </c>
      <c r="I710" s="986">
        <f t="shared" si="11"/>
        <v>-4.3919999999999992E-3</v>
      </c>
      <c r="J710" s="988">
        <v>31048</v>
      </c>
    </row>
    <row r="711" spans="1:10">
      <c r="A711" s="987">
        <v>66</v>
      </c>
      <c r="B711" s="988">
        <v>31079</v>
      </c>
      <c r="C711" s="987" t="s">
        <v>4651</v>
      </c>
      <c r="D711" s="987" t="s">
        <v>4652</v>
      </c>
      <c r="E711" s="987">
        <v>24.25</v>
      </c>
      <c r="F711" s="987">
        <v>5.1809999999999998E-3</v>
      </c>
      <c r="G711" s="987">
        <v>0</v>
      </c>
      <c r="H711" s="986">
        <v>8.2000000000000007E-3</v>
      </c>
      <c r="I711" s="986">
        <f t="shared" si="11"/>
        <v>-3.0190000000000008E-3</v>
      </c>
      <c r="J711" s="988">
        <v>31079</v>
      </c>
    </row>
    <row r="712" spans="1:10">
      <c r="A712" s="987">
        <v>66</v>
      </c>
      <c r="B712" s="988">
        <v>31107</v>
      </c>
      <c r="C712" s="987" t="s">
        <v>4651</v>
      </c>
      <c r="D712" s="987" t="s">
        <v>4652</v>
      </c>
      <c r="E712" s="987">
        <v>23.5</v>
      </c>
      <c r="F712" s="987">
        <v>-1.3402000000000001E-2</v>
      </c>
      <c r="G712" s="987">
        <v>0.42499999999999999</v>
      </c>
      <c r="H712" s="986">
        <v>9.4000000000000004E-3</v>
      </c>
      <c r="I712" s="986">
        <f t="shared" si="11"/>
        <v>-2.2802000000000003E-2</v>
      </c>
      <c r="J712" s="988">
        <v>31107</v>
      </c>
    </row>
    <row r="713" spans="1:10">
      <c r="A713" s="987">
        <v>66</v>
      </c>
      <c r="B713" s="988">
        <v>31138</v>
      </c>
      <c r="C713" s="987" t="s">
        <v>4651</v>
      </c>
      <c r="D713" s="987" t="s">
        <v>4652</v>
      </c>
      <c r="E713" s="987">
        <v>21.75</v>
      </c>
      <c r="F713" s="987">
        <v>-7.4468000000000006E-2</v>
      </c>
      <c r="G713" s="987">
        <v>0</v>
      </c>
      <c r="H713" s="986">
        <v>1.0200000000000001E-2</v>
      </c>
      <c r="I713" s="986">
        <f t="shared" si="11"/>
        <v>-8.4668000000000007E-2</v>
      </c>
      <c r="J713" s="988">
        <v>31138</v>
      </c>
    </row>
    <row r="714" spans="1:10">
      <c r="A714" s="987">
        <v>66</v>
      </c>
      <c r="B714" s="988">
        <v>31168</v>
      </c>
      <c r="C714" s="987" t="s">
        <v>4651</v>
      </c>
      <c r="D714" s="987" t="s">
        <v>4652</v>
      </c>
      <c r="E714" s="987">
        <v>24.25</v>
      </c>
      <c r="F714" s="987">
        <v>0.114943</v>
      </c>
      <c r="G714" s="987">
        <v>0</v>
      </c>
      <c r="H714" s="986">
        <v>9.7000000000000003E-3</v>
      </c>
      <c r="I714" s="986">
        <f t="shared" si="11"/>
        <v>0.105243</v>
      </c>
      <c r="J714" s="988">
        <v>31168</v>
      </c>
    </row>
    <row r="715" spans="1:10">
      <c r="A715" s="987">
        <v>66</v>
      </c>
      <c r="B715" s="988">
        <v>31199</v>
      </c>
      <c r="C715" s="987" t="s">
        <v>4651</v>
      </c>
      <c r="D715" s="987" t="s">
        <v>4652</v>
      </c>
      <c r="E715" s="987">
        <v>23.75</v>
      </c>
      <c r="F715" s="987">
        <v>-3.0929999999999998E-3</v>
      </c>
      <c r="G715" s="987">
        <v>0.42499999999999999</v>
      </c>
      <c r="H715" s="986">
        <v>8.0000000000000002E-3</v>
      </c>
      <c r="I715" s="986">
        <f t="shared" si="11"/>
        <v>-1.1093E-2</v>
      </c>
      <c r="J715" s="988">
        <v>31199</v>
      </c>
    </row>
    <row r="716" spans="1:10">
      <c r="A716" s="987">
        <v>66</v>
      </c>
      <c r="B716" s="988">
        <v>31229</v>
      </c>
      <c r="C716" s="987" t="s">
        <v>4651</v>
      </c>
      <c r="D716" s="987" t="s">
        <v>4652</v>
      </c>
      <c r="E716" s="987">
        <v>22.625</v>
      </c>
      <c r="F716" s="987">
        <v>-4.7368E-2</v>
      </c>
      <c r="G716" s="987">
        <v>0</v>
      </c>
      <c r="H716" s="986">
        <v>9.4000000000000004E-3</v>
      </c>
      <c r="I716" s="986">
        <f t="shared" si="11"/>
        <v>-5.6767999999999999E-2</v>
      </c>
      <c r="J716" s="988">
        <v>31229</v>
      </c>
    </row>
    <row r="717" spans="1:10">
      <c r="A717" s="987">
        <v>66</v>
      </c>
      <c r="B717" s="988">
        <v>31260</v>
      </c>
      <c r="C717" s="987" t="s">
        <v>4651</v>
      </c>
      <c r="D717" s="987" t="s">
        <v>4652</v>
      </c>
      <c r="E717" s="987">
        <v>22.625</v>
      </c>
      <c r="F717" s="987">
        <v>0</v>
      </c>
      <c r="G717" s="987">
        <v>0</v>
      </c>
      <c r="H717" s="986">
        <v>8.5000000000000006E-3</v>
      </c>
      <c r="I717" s="986">
        <f t="shared" si="11"/>
        <v>-8.5000000000000006E-3</v>
      </c>
      <c r="J717" s="988">
        <v>31260</v>
      </c>
    </row>
    <row r="718" spans="1:10">
      <c r="A718" s="987">
        <v>66</v>
      </c>
      <c r="B718" s="988">
        <v>31291</v>
      </c>
      <c r="C718" s="987" t="s">
        <v>4651</v>
      </c>
      <c r="D718" s="987" t="s">
        <v>4652</v>
      </c>
      <c r="E718" s="987">
        <v>24.375</v>
      </c>
      <c r="F718" s="987">
        <v>9.6132999999999996E-2</v>
      </c>
      <c r="G718" s="987">
        <v>0.42499999999999999</v>
      </c>
      <c r="H718" s="986">
        <v>8.8000000000000005E-3</v>
      </c>
      <c r="I718" s="986">
        <f t="shared" si="11"/>
        <v>8.7332999999999994E-2</v>
      </c>
      <c r="J718" s="988">
        <v>31291</v>
      </c>
    </row>
    <row r="719" spans="1:10">
      <c r="A719" s="987">
        <v>66</v>
      </c>
      <c r="B719" s="988">
        <v>31321</v>
      </c>
      <c r="C719" s="987" t="s">
        <v>4651</v>
      </c>
      <c r="D719" s="987" t="s">
        <v>4652</v>
      </c>
      <c r="E719" s="987">
        <v>25.25</v>
      </c>
      <c r="F719" s="987">
        <v>3.5896999999999998E-2</v>
      </c>
      <c r="G719" s="987">
        <v>0</v>
      </c>
      <c r="H719" s="986">
        <v>8.8999999999999999E-3</v>
      </c>
      <c r="I719" s="986">
        <f t="shared" si="11"/>
        <v>2.6997E-2</v>
      </c>
      <c r="J719" s="988">
        <v>31321</v>
      </c>
    </row>
    <row r="720" spans="1:10">
      <c r="A720" s="987">
        <v>66</v>
      </c>
      <c r="B720" s="988">
        <v>31352</v>
      </c>
      <c r="C720" s="987" t="s">
        <v>4651</v>
      </c>
      <c r="D720" s="987" t="s">
        <v>4652</v>
      </c>
      <c r="E720" s="987">
        <v>28.25</v>
      </c>
      <c r="F720" s="987">
        <v>0.118812</v>
      </c>
      <c r="G720" s="987">
        <v>0</v>
      </c>
      <c r="H720" s="986">
        <v>8.0999999999999996E-3</v>
      </c>
      <c r="I720" s="986">
        <f t="shared" si="11"/>
        <v>0.110712</v>
      </c>
      <c r="J720" s="988">
        <v>31352</v>
      </c>
    </row>
    <row r="721" spans="1:10">
      <c r="A721" s="987">
        <v>66</v>
      </c>
      <c r="B721" s="988">
        <v>31382</v>
      </c>
      <c r="C721" s="987" t="s">
        <v>4651</v>
      </c>
      <c r="D721" s="987" t="s">
        <v>4652</v>
      </c>
      <c r="E721" s="987">
        <v>29.875</v>
      </c>
      <c r="F721" s="987">
        <v>7.4335999999999999E-2</v>
      </c>
      <c r="G721" s="987">
        <v>0.47499999999999998</v>
      </c>
      <c r="H721" s="986">
        <v>8.6E-3</v>
      </c>
      <c r="I721" s="986">
        <f t="shared" si="11"/>
        <v>6.5736000000000003E-2</v>
      </c>
      <c r="J721" s="988">
        <v>31382</v>
      </c>
    </row>
    <row r="722" spans="1:10">
      <c r="A722" s="987">
        <v>66</v>
      </c>
      <c r="B722" s="988">
        <v>31413</v>
      </c>
      <c r="C722" s="987" t="s">
        <v>4651</v>
      </c>
      <c r="D722" s="987" t="s">
        <v>4652</v>
      </c>
      <c r="E722" s="987">
        <v>29.125</v>
      </c>
      <c r="F722" s="987">
        <v>-2.5104999999999999E-2</v>
      </c>
      <c r="G722" s="987">
        <v>0</v>
      </c>
      <c r="H722" s="986">
        <v>7.9000000000000008E-3</v>
      </c>
      <c r="I722" s="986">
        <f t="shared" si="11"/>
        <v>-3.3005E-2</v>
      </c>
      <c r="J722" s="988">
        <v>31413</v>
      </c>
    </row>
    <row r="723" spans="1:10">
      <c r="A723" s="987">
        <v>66</v>
      </c>
      <c r="B723" s="988">
        <v>31444</v>
      </c>
      <c r="C723" s="987" t="s">
        <v>4651</v>
      </c>
      <c r="D723" s="987" t="s">
        <v>4652</v>
      </c>
      <c r="E723" s="987">
        <v>32.75</v>
      </c>
      <c r="F723" s="987">
        <v>0.12446400000000001</v>
      </c>
      <c r="G723" s="987">
        <v>0</v>
      </c>
      <c r="H723" s="986">
        <v>7.3000000000000001E-3</v>
      </c>
      <c r="I723" s="986">
        <f t="shared" si="11"/>
        <v>0.117164</v>
      </c>
      <c r="J723" s="988">
        <v>31444</v>
      </c>
    </row>
    <row r="724" spans="1:10">
      <c r="A724" s="987">
        <v>66</v>
      </c>
      <c r="B724" s="988">
        <v>31472</v>
      </c>
      <c r="C724" s="987" t="s">
        <v>4651</v>
      </c>
      <c r="D724" s="987" t="s">
        <v>4652</v>
      </c>
      <c r="E724" s="987">
        <v>33.875</v>
      </c>
      <c r="F724" s="987">
        <v>4.8855000000000003E-2</v>
      </c>
      <c r="G724" s="987">
        <v>0.47499999999999998</v>
      </c>
      <c r="H724" s="986">
        <v>7.1000000000000004E-3</v>
      </c>
      <c r="I724" s="986">
        <f t="shared" si="11"/>
        <v>4.1755E-2</v>
      </c>
      <c r="J724" s="988">
        <v>31472</v>
      </c>
    </row>
    <row r="725" spans="1:10">
      <c r="A725" s="987">
        <v>66</v>
      </c>
      <c r="B725" s="988">
        <v>31503</v>
      </c>
      <c r="C725" s="987" t="s">
        <v>4651</v>
      </c>
      <c r="D725" s="987" t="s">
        <v>4652</v>
      </c>
      <c r="E725" s="987">
        <v>35.5</v>
      </c>
      <c r="F725" s="987">
        <v>4.7969999999999999E-2</v>
      </c>
      <c r="G725" s="987">
        <v>0</v>
      </c>
      <c r="H725" s="986">
        <v>6.3E-3</v>
      </c>
      <c r="I725" s="986">
        <f t="shared" si="11"/>
        <v>4.1669999999999999E-2</v>
      </c>
      <c r="J725" s="988">
        <v>31503</v>
      </c>
    </row>
    <row r="726" spans="1:10">
      <c r="A726" s="987">
        <v>66</v>
      </c>
      <c r="B726" s="988">
        <v>31533</v>
      </c>
      <c r="C726" s="987" t="s">
        <v>4651</v>
      </c>
      <c r="D726" s="987" t="s">
        <v>4652</v>
      </c>
      <c r="E726" s="987">
        <v>36.625</v>
      </c>
      <c r="F726" s="987">
        <v>3.1690000000000003E-2</v>
      </c>
      <c r="G726" s="987">
        <v>0</v>
      </c>
      <c r="H726" s="986">
        <v>6.1999999999999998E-3</v>
      </c>
      <c r="I726" s="986">
        <f t="shared" si="11"/>
        <v>2.5490000000000002E-2</v>
      </c>
      <c r="J726" s="988">
        <v>31533</v>
      </c>
    </row>
    <row r="727" spans="1:10">
      <c r="A727" s="987">
        <v>66</v>
      </c>
      <c r="B727" s="988">
        <v>31564</v>
      </c>
      <c r="C727" s="987" t="s">
        <v>4651</v>
      </c>
      <c r="D727" s="987" t="s">
        <v>4652</v>
      </c>
      <c r="E727" s="987">
        <v>39.25</v>
      </c>
      <c r="F727" s="987">
        <v>8.4641999999999995E-2</v>
      </c>
      <c r="G727" s="987">
        <v>0.47499999999999998</v>
      </c>
      <c r="H727" s="986">
        <v>7.0000000000000001E-3</v>
      </c>
      <c r="I727" s="986">
        <f t="shared" si="11"/>
        <v>7.7641999999999989E-2</v>
      </c>
      <c r="J727" s="988">
        <v>31564</v>
      </c>
    </row>
    <row r="728" spans="1:10">
      <c r="A728" s="987">
        <v>66</v>
      </c>
      <c r="B728" s="988">
        <v>31594</v>
      </c>
      <c r="C728" s="987" t="s">
        <v>4651</v>
      </c>
      <c r="D728" s="987" t="s">
        <v>4652</v>
      </c>
      <c r="E728" s="987">
        <v>38.5</v>
      </c>
      <c r="F728" s="987">
        <v>-1.9108E-2</v>
      </c>
      <c r="G728" s="987">
        <v>0</v>
      </c>
      <c r="H728" s="986">
        <v>6.6E-3</v>
      </c>
      <c r="I728" s="986">
        <f t="shared" si="11"/>
        <v>-2.5708000000000002E-2</v>
      </c>
      <c r="J728" s="988">
        <v>31594</v>
      </c>
    </row>
    <row r="729" spans="1:10">
      <c r="A729" s="987">
        <v>66</v>
      </c>
      <c r="B729" s="988">
        <v>31625</v>
      </c>
      <c r="C729" s="987" t="s">
        <v>4651</v>
      </c>
      <c r="D729" s="987" t="s">
        <v>4652</v>
      </c>
      <c r="E729" s="987">
        <v>36.375</v>
      </c>
      <c r="F729" s="987">
        <v>-5.5195000000000001E-2</v>
      </c>
      <c r="G729" s="987">
        <v>0</v>
      </c>
      <c r="H729" s="986">
        <v>6.3E-3</v>
      </c>
      <c r="I729" s="986">
        <f t="shared" si="11"/>
        <v>-6.1495000000000001E-2</v>
      </c>
      <c r="J729" s="988">
        <v>31625</v>
      </c>
    </row>
    <row r="730" spans="1:10">
      <c r="A730" s="987">
        <v>66</v>
      </c>
      <c r="B730" s="988">
        <v>31656</v>
      </c>
      <c r="C730" s="987" t="s">
        <v>4651</v>
      </c>
      <c r="D730" s="987" t="s">
        <v>4652</v>
      </c>
      <c r="E730" s="987">
        <v>35.125</v>
      </c>
      <c r="F730" s="987">
        <v>-2.1305999999999999E-2</v>
      </c>
      <c r="G730" s="987">
        <v>0.47499999999999998</v>
      </c>
      <c r="H730" s="986">
        <v>6.4999999999999997E-3</v>
      </c>
      <c r="I730" s="986">
        <f t="shared" si="11"/>
        <v>-2.7805999999999997E-2</v>
      </c>
      <c r="J730" s="988">
        <v>31656</v>
      </c>
    </row>
    <row r="731" spans="1:10">
      <c r="A731" s="987">
        <v>66</v>
      </c>
      <c r="B731" s="988">
        <v>31686</v>
      </c>
      <c r="C731" s="987" t="s">
        <v>4651</v>
      </c>
      <c r="D731" s="987" t="s">
        <v>4652</v>
      </c>
      <c r="E731" s="987">
        <v>35.25</v>
      </c>
      <c r="F731" s="987">
        <v>3.5590000000000001E-3</v>
      </c>
      <c r="G731" s="987">
        <v>0</v>
      </c>
      <c r="H731" s="986">
        <v>6.8999999999999999E-3</v>
      </c>
      <c r="I731" s="986">
        <f t="shared" si="11"/>
        <v>-3.3409999999999998E-3</v>
      </c>
      <c r="J731" s="988">
        <v>31686</v>
      </c>
    </row>
    <row r="732" spans="1:10">
      <c r="A732" s="987">
        <v>66</v>
      </c>
      <c r="B732" s="988">
        <v>31717</v>
      </c>
      <c r="C732" s="987" t="s">
        <v>4651</v>
      </c>
      <c r="D732" s="987" t="s">
        <v>4652</v>
      </c>
      <c r="E732" s="987">
        <v>37.375</v>
      </c>
      <c r="F732" s="987">
        <v>6.0283999999999997E-2</v>
      </c>
      <c r="G732" s="987">
        <v>0</v>
      </c>
      <c r="H732" s="986">
        <v>5.8999999999999999E-3</v>
      </c>
      <c r="I732" s="986">
        <f t="shared" si="11"/>
        <v>5.4383999999999995E-2</v>
      </c>
      <c r="J732" s="988">
        <v>31717</v>
      </c>
    </row>
    <row r="733" spans="1:10">
      <c r="A733" s="987">
        <v>66</v>
      </c>
      <c r="B733" s="988">
        <v>31747</v>
      </c>
      <c r="C733" s="987" t="s">
        <v>4651</v>
      </c>
      <c r="D733" s="987" t="s">
        <v>4652</v>
      </c>
      <c r="E733" s="987">
        <v>36</v>
      </c>
      <c r="F733" s="987">
        <v>-2.2741999999999998E-2</v>
      </c>
      <c r="G733" s="987">
        <v>0.52500000000000002</v>
      </c>
      <c r="H733" s="986">
        <v>7.0000000000000001E-3</v>
      </c>
      <c r="I733" s="986">
        <f t="shared" si="11"/>
        <v>-2.9741999999999998E-2</v>
      </c>
      <c r="J733" s="988">
        <v>31747</v>
      </c>
    </row>
    <row r="734" spans="1:10">
      <c r="A734" s="987">
        <v>66</v>
      </c>
      <c r="B734" s="988">
        <v>31778</v>
      </c>
      <c r="C734" s="987" t="s">
        <v>4651</v>
      </c>
      <c r="D734" s="987" t="s">
        <v>4652</v>
      </c>
      <c r="E734" s="987">
        <v>36.75</v>
      </c>
      <c r="F734" s="987">
        <v>2.0833000000000001E-2</v>
      </c>
      <c r="G734" s="987">
        <v>0</v>
      </c>
      <c r="H734" s="986">
        <v>6.4000000000000003E-3</v>
      </c>
      <c r="I734" s="986">
        <f t="shared" si="11"/>
        <v>1.4433000000000001E-2</v>
      </c>
      <c r="J734" s="988">
        <v>31778</v>
      </c>
    </row>
    <row r="735" spans="1:10">
      <c r="A735" s="987">
        <v>66</v>
      </c>
      <c r="B735" s="988">
        <v>31809</v>
      </c>
      <c r="C735" s="987" t="s">
        <v>4651</v>
      </c>
      <c r="D735" s="987" t="s">
        <v>4652</v>
      </c>
      <c r="E735" s="987">
        <v>37</v>
      </c>
      <c r="F735" s="987">
        <v>6.803E-3</v>
      </c>
      <c r="G735" s="987">
        <v>0</v>
      </c>
      <c r="H735" s="986">
        <v>5.8999999999999999E-3</v>
      </c>
      <c r="I735" s="986">
        <f t="shared" si="11"/>
        <v>9.0300000000000016E-4</v>
      </c>
      <c r="J735" s="988">
        <v>31809</v>
      </c>
    </row>
    <row r="736" spans="1:10">
      <c r="A736" s="987">
        <v>66</v>
      </c>
      <c r="B736" s="988">
        <v>31837</v>
      </c>
      <c r="C736" s="987" t="s">
        <v>4651</v>
      </c>
      <c r="D736" s="987" t="s">
        <v>4652</v>
      </c>
      <c r="E736" s="987">
        <v>37.75</v>
      </c>
      <c r="F736" s="987">
        <v>3.4458999999999997E-2</v>
      </c>
      <c r="G736" s="987">
        <v>0.52500000000000002</v>
      </c>
      <c r="H736" s="986">
        <v>6.6E-3</v>
      </c>
      <c r="I736" s="986">
        <f t="shared" si="11"/>
        <v>2.7858999999999995E-2</v>
      </c>
      <c r="J736" s="988">
        <v>31837</v>
      </c>
    </row>
    <row r="737" spans="1:10">
      <c r="A737" s="987">
        <v>66</v>
      </c>
      <c r="B737" s="988">
        <v>31868</v>
      </c>
      <c r="C737" s="987" t="s">
        <v>4651</v>
      </c>
      <c r="D737" s="987" t="s">
        <v>4652</v>
      </c>
      <c r="E737" s="987">
        <v>33.625</v>
      </c>
      <c r="F737" s="987">
        <v>-0.10927199999999999</v>
      </c>
      <c r="G737" s="987">
        <v>0</v>
      </c>
      <c r="H737" s="986">
        <v>6.4999999999999997E-3</v>
      </c>
      <c r="I737" s="986">
        <f t="shared" si="11"/>
        <v>-0.115772</v>
      </c>
      <c r="J737" s="988">
        <v>31868</v>
      </c>
    </row>
    <row r="738" spans="1:10">
      <c r="A738" s="987">
        <v>66</v>
      </c>
      <c r="B738" s="988">
        <v>31898</v>
      </c>
      <c r="C738" s="987" t="s">
        <v>4651</v>
      </c>
      <c r="D738" s="987" t="s">
        <v>4652</v>
      </c>
      <c r="E738" s="987">
        <v>32.125</v>
      </c>
      <c r="F738" s="987">
        <v>-4.4609999999999997E-2</v>
      </c>
      <c r="G738" s="987">
        <v>0</v>
      </c>
      <c r="H738" s="986">
        <v>6.6E-3</v>
      </c>
      <c r="I738" s="986">
        <f t="shared" si="11"/>
        <v>-5.1209999999999999E-2</v>
      </c>
      <c r="J738" s="988">
        <v>31898</v>
      </c>
    </row>
    <row r="739" spans="1:10">
      <c r="A739" s="987">
        <v>66</v>
      </c>
      <c r="B739" s="988">
        <v>31929</v>
      </c>
      <c r="C739" s="987" t="s">
        <v>4651</v>
      </c>
      <c r="D739" s="987" t="s">
        <v>4652</v>
      </c>
      <c r="E739" s="987">
        <v>31.125</v>
      </c>
      <c r="F739" s="987">
        <v>-1.4786000000000001E-2</v>
      </c>
      <c r="G739" s="987">
        <v>0.52500000000000002</v>
      </c>
      <c r="H739" s="986">
        <v>7.4999999999999997E-3</v>
      </c>
      <c r="I739" s="986">
        <f t="shared" si="11"/>
        <v>-2.2286E-2</v>
      </c>
      <c r="J739" s="988">
        <v>31929</v>
      </c>
    </row>
    <row r="740" spans="1:10">
      <c r="A740" s="987">
        <v>66</v>
      </c>
      <c r="B740" s="988">
        <v>31959</v>
      </c>
      <c r="C740" s="987" t="s">
        <v>4651</v>
      </c>
      <c r="D740" s="987" t="s">
        <v>4652</v>
      </c>
      <c r="E740" s="987">
        <v>31.375</v>
      </c>
      <c r="F740" s="987">
        <v>8.0319999999999992E-3</v>
      </c>
      <c r="G740" s="987">
        <v>0</v>
      </c>
      <c r="H740" s="986">
        <v>7.3000000000000001E-3</v>
      </c>
      <c r="I740" s="986">
        <f t="shared" si="11"/>
        <v>7.3199999999999914E-4</v>
      </c>
      <c r="J740" s="988">
        <v>31959</v>
      </c>
    </row>
    <row r="741" spans="1:10">
      <c r="A741" s="987">
        <v>66</v>
      </c>
      <c r="B741" s="988">
        <v>31990</v>
      </c>
      <c r="C741" s="987" t="s">
        <v>4651</v>
      </c>
      <c r="D741" s="987" t="s">
        <v>4652</v>
      </c>
      <c r="E741" s="987">
        <v>31.5</v>
      </c>
      <c r="F741" s="987">
        <v>3.9839999999999997E-3</v>
      </c>
      <c r="G741" s="987">
        <v>0</v>
      </c>
      <c r="H741" s="986">
        <v>7.4999999999999997E-3</v>
      </c>
      <c r="I741" s="986">
        <f t="shared" si="11"/>
        <v>-3.516E-3</v>
      </c>
      <c r="J741" s="988">
        <v>31990</v>
      </c>
    </row>
    <row r="742" spans="1:10">
      <c r="A742" s="987">
        <v>66</v>
      </c>
      <c r="B742" s="988">
        <v>32021</v>
      </c>
      <c r="C742" s="987" t="s">
        <v>4651</v>
      </c>
      <c r="D742" s="987" t="s">
        <v>4652</v>
      </c>
      <c r="E742" s="987">
        <v>32.75</v>
      </c>
      <c r="F742" s="987">
        <v>5.6349000000000003E-2</v>
      </c>
      <c r="G742" s="987">
        <v>0.52500000000000002</v>
      </c>
      <c r="H742" s="986">
        <v>7.4999999999999997E-3</v>
      </c>
      <c r="I742" s="986">
        <f t="shared" si="11"/>
        <v>4.8849000000000004E-2</v>
      </c>
      <c r="J742" s="988">
        <v>32021</v>
      </c>
    </row>
    <row r="743" spans="1:10">
      <c r="A743" s="987">
        <v>66</v>
      </c>
      <c r="B743" s="988">
        <v>32051</v>
      </c>
      <c r="C743" s="987" t="s">
        <v>4651</v>
      </c>
      <c r="D743" s="987" t="s">
        <v>4652</v>
      </c>
      <c r="E743" s="987">
        <v>28.875</v>
      </c>
      <c r="F743" s="987">
        <v>-0.118321</v>
      </c>
      <c r="G743" s="987">
        <v>0</v>
      </c>
      <c r="H743" s="986">
        <v>7.9000000000000008E-3</v>
      </c>
      <c r="I743" s="986">
        <f t="shared" si="11"/>
        <v>-0.126221</v>
      </c>
      <c r="J743" s="988">
        <v>32051</v>
      </c>
    </row>
    <row r="744" spans="1:10">
      <c r="A744" s="987">
        <v>66</v>
      </c>
      <c r="B744" s="988">
        <v>32082</v>
      </c>
      <c r="C744" s="987" t="s">
        <v>4651</v>
      </c>
      <c r="D744" s="987" t="s">
        <v>4652</v>
      </c>
      <c r="E744" s="987">
        <v>28.25</v>
      </c>
      <c r="F744" s="987">
        <v>-2.1645000000000001E-2</v>
      </c>
      <c r="G744" s="987">
        <v>0</v>
      </c>
      <c r="H744" s="986">
        <v>7.4999999999999997E-3</v>
      </c>
      <c r="I744" s="986">
        <f t="shared" si="11"/>
        <v>-2.9145000000000001E-2</v>
      </c>
      <c r="J744" s="988">
        <v>32082</v>
      </c>
    </row>
    <row r="745" spans="1:10">
      <c r="A745" s="987">
        <v>66</v>
      </c>
      <c r="B745" s="988">
        <v>32112</v>
      </c>
      <c r="C745" s="987" t="s">
        <v>4651</v>
      </c>
      <c r="D745" s="987" t="s">
        <v>4652</v>
      </c>
      <c r="E745" s="987">
        <v>28.125</v>
      </c>
      <c r="F745" s="987">
        <v>1.5044E-2</v>
      </c>
      <c r="G745" s="987">
        <v>0.55000000000000004</v>
      </c>
      <c r="H745" s="986">
        <v>7.7999999999999996E-3</v>
      </c>
      <c r="I745" s="986">
        <f t="shared" si="11"/>
        <v>7.2440000000000004E-3</v>
      </c>
      <c r="J745" s="988">
        <v>32112</v>
      </c>
    </row>
    <row r="746" spans="1:10">
      <c r="A746" s="987">
        <v>66</v>
      </c>
      <c r="B746" s="988">
        <v>32143</v>
      </c>
      <c r="C746" s="987" t="s">
        <v>4651</v>
      </c>
      <c r="D746" s="987" t="s">
        <v>4652</v>
      </c>
      <c r="E746" s="987">
        <v>28</v>
      </c>
      <c r="F746" s="987">
        <v>-4.444E-3</v>
      </c>
      <c r="G746" s="987">
        <v>0</v>
      </c>
      <c r="H746" s="986">
        <v>7.1999999999999998E-3</v>
      </c>
      <c r="I746" s="986">
        <f t="shared" si="11"/>
        <v>-1.1644E-2</v>
      </c>
      <c r="J746" s="988">
        <v>32143</v>
      </c>
    </row>
    <row r="747" spans="1:10">
      <c r="A747" s="987">
        <v>66</v>
      </c>
      <c r="B747" s="988">
        <v>32174</v>
      </c>
      <c r="C747" s="987" t="s">
        <v>4651</v>
      </c>
      <c r="D747" s="987" t="s">
        <v>4652</v>
      </c>
      <c r="E747" s="987">
        <v>29.5</v>
      </c>
      <c r="F747" s="987">
        <v>5.3571000000000001E-2</v>
      </c>
      <c r="G747" s="987">
        <v>0</v>
      </c>
      <c r="H747" s="986">
        <v>7.1000000000000004E-3</v>
      </c>
      <c r="I747" s="986">
        <f t="shared" si="11"/>
        <v>4.6470999999999998E-2</v>
      </c>
      <c r="J747" s="988">
        <v>32174</v>
      </c>
    </row>
    <row r="748" spans="1:10">
      <c r="A748" s="987">
        <v>66</v>
      </c>
      <c r="B748" s="988">
        <v>32203</v>
      </c>
      <c r="C748" s="987" t="s">
        <v>4651</v>
      </c>
      <c r="D748" s="987" t="s">
        <v>4652</v>
      </c>
      <c r="E748" s="987">
        <v>29.5</v>
      </c>
      <c r="F748" s="987">
        <v>1.8644000000000001E-2</v>
      </c>
      <c r="G748" s="987">
        <v>0.55000000000000004</v>
      </c>
      <c r="H748" s="986">
        <v>7.1999999999999998E-3</v>
      </c>
      <c r="I748" s="986">
        <f t="shared" si="11"/>
        <v>1.1444000000000001E-2</v>
      </c>
      <c r="J748" s="988">
        <v>32203</v>
      </c>
    </row>
    <row r="749" spans="1:10">
      <c r="A749" s="987">
        <v>66</v>
      </c>
      <c r="B749" s="988">
        <v>32234</v>
      </c>
      <c r="C749" s="987" t="s">
        <v>4651</v>
      </c>
      <c r="D749" s="987" t="s">
        <v>4652</v>
      </c>
      <c r="E749" s="987">
        <v>29.5</v>
      </c>
      <c r="F749" s="987">
        <v>0</v>
      </c>
      <c r="G749" s="987">
        <v>0</v>
      </c>
      <c r="H749" s="986">
        <v>7.0000000000000001E-3</v>
      </c>
      <c r="I749" s="986">
        <f t="shared" si="11"/>
        <v>-7.0000000000000001E-3</v>
      </c>
      <c r="J749" s="988">
        <v>32234</v>
      </c>
    </row>
    <row r="750" spans="1:10">
      <c r="A750" s="987">
        <v>66</v>
      </c>
      <c r="B750" s="988">
        <v>32264</v>
      </c>
      <c r="C750" s="987" t="s">
        <v>4651</v>
      </c>
      <c r="D750" s="987" t="s">
        <v>4652</v>
      </c>
      <c r="E750" s="987">
        <v>28.5</v>
      </c>
      <c r="F750" s="987">
        <v>-3.3897999999999998E-2</v>
      </c>
      <c r="G750" s="987">
        <v>0</v>
      </c>
      <c r="H750" s="986">
        <v>7.7999999999999996E-3</v>
      </c>
      <c r="I750" s="986">
        <f t="shared" si="11"/>
        <v>-4.1697999999999999E-2</v>
      </c>
      <c r="J750" s="988">
        <v>32264</v>
      </c>
    </row>
    <row r="751" spans="1:10">
      <c r="A751" s="987">
        <v>66</v>
      </c>
      <c r="B751" s="988">
        <v>32295</v>
      </c>
      <c r="C751" s="987" t="s">
        <v>4651</v>
      </c>
      <c r="D751" s="987" t="s">
        <v>4652</v>
      </c>
      <c r="E751" s="987">
        <v>29.375</v>
      </c>
      <c r="F751" s="987">
        <v>0.05</v>
      </c>
      <c r="G751" s="987">
        <v>0.55000000000000004</v>
      </c>
      <c r="H751" s="986">
        <v>7.6E-3</v>
      </c>
      <c r="I751" s="986">
        <f t="shared" si="11"/>
        <v>4.24E-2</v>
      </c>
      <c r="J751" s="988">
        <v>32295</v>
      </c>
    </row>
    <row r="752" spans="1:10">
      <c r="A752" s="987">
        <v>66</v>
      </c>
      <c r="B752" s="988">
        <v>32325</v>
      </c>
      <c r="C752" s="987" t="s">
        <v>4651</v>
      </c>
      <c r="D752" s="987" t="s">
        <v>4652</v>
      </c>
      <c r="E752" s="987">
        <v>29</v>
      </c>
      <c r="F752" s="987">
        <v>-1.2766E-2</v>
      </c>
      <c r="G752" s="987">
        <v>0</v>
      </c>
      <c r="H752" s="986">
        <v>7.1000000000000004E-3</v>
      </c>
      <c r="I752" s="986">
        <f t="shared" si="11"/>
        <v>-1.9866000000000002E-2</v>
      </c>
      <c r="J752" s="988">
        <v>32325</v>
      </c>
    </row>
    <row r="753" spans="1:10">
      <c r="A753" s="987">
        <v>66</v>
      </c>
      <c r="B753" s="988">
        <v>32356</v>
      </c>
      <c r="C753" s="987" t="s">
        <v>4651</v>
      </c>
      <c r="D753" s="987" t="s">
        <v>4652</v>
      </c>
      <c r="E753" s="987">
        <v>28.25</v>
      </c>
      <c r="F753" s="987">
        <v>-2.5862E-2</v>
      </c>
      <c r="G753" s="987">
        <v>0</v>
      </c>
      <c r="H753" s="986">
        <v>8.3000000000000001E-3</v>
      </c>
      <c r="I753" s="986">
        <f t="shared" si="11"/>
        <v>-3.4161999999999998E-2</v>
      </c>
      <c r="J753" s="988">
        <v>32356</v>
      </c>
    </row>
    <row r="754" spans="1:10">
      <c r="A754" s="987">
        <v>66</v>
      </c>
      <c r="B754" s="988">
        <v>32387</v>
      </c>
      <c r="C754" s="987" t="s">
        <v>4651</v>
      </c>
      <c r="D754" s="987" t="s">
        <v>4652</v>
      </c>
      <c r="E754" s="987">
        <v>29.5</v>
      </c>
      <c r="F754" s="987">
        <v>6.3716999999999996E-2</v>
      </c>
      <c r="G754" s="987">
        <v>0.55000000000000004</v>
      </c>
      <c r="H754" s="986">
        <v>7.6E-3</v>
      </c>
      <c r="I754" s="986">
        <f t="shared" si="11"/>
        <v>5.6116999999999993E-2</v>
      </c>
      <c r="J754" s="988">
        <v>32387</v>
      </c>
    </row>
    <row r="755" spans="1:10">
      <c r="A755" s="987">
        <v>66</v>
      </c>
      <c r="B755" s="988">
        <v>32417</v>
      </c>
      <c r="C755" s="987" t="s">
        <v>4651</v>
      </c>
      <c r="D755" s="987" t="s">
        <v>4652</v>
      </c>
      <c r="E755" s="987">
        <v>29.125</v>
      </c>
      <c r="F755" s="987">
        <v>-1.2711999999999999E-2</v>
      </c>
      <c r="G755" s="987">
        <v>0</v>
      </c>
      <c r="H755" s="986">
        <v>7.6E-3</v>
      </c>
      <c r="I755" s="986">
        <f t="shared" si="11"/>
        <v>-2.0312E-2</v>
      </c>
      <c r="J755" s="988">
        <v>32417</v>
      </c>
    </row>
    <row r="756" spans="1:10">
      <c r="A756" s="987">
        <v>66</v>
      </c>
      <c r="B756" s="988">
        <v>32448</v>
      </c>
      <c r="C756" s="987" t="s">
        <v>4651</v>
      </c>
      <c r="D756" s="987" t="s">
        <v>4652</v>
      </c>
      <c r="E756" s="987">
        <v>30.625</v>
      </c>
      <c r="F756" s="987">
        <v>5.1501999999999999E-2</v>
      </c>
      <c r="G756" s="987">
        <v>0</v>
      </c>
      <c r="H756" s="986">
        <v>7.0000000000000001E-3</v>
      </c>
      <c r="I756" s="986">
        <f t="shared" si="11"/>
        <v>4.4502E-2</v>
      </c>
      <c r="J756" s="988">
        <v>32448</v>
      </c>
    </row>
    <row r="757" spans="1:10">
      <c r="A757" s="987">
        <v>66</v>
      </c>
      <c r="B757" s="988">
        <v>32478</v>
      </c>
      <c r="C757" s="987" t="s">
        <v>4651</v>
      </c>
      <c r="D757" s="987" t="s">
        <v>4652</v>
      </c>
      <c r="E757" s="987">
        <v>31</v>
      </c>
      <c r="F757" s="987">
        <v>3.1019999999999999E-2</v>
      </c>
      <c r="G757" s="987">
        <v>0.57499999999999996</v>
      </c>
      <c r="H757" s="986">
        <v>7.4999999999999997E-3</v>
      </c>
      <c r="I757" s="986">
        <f t="shared" si="11"/>
        <v>2.3519999999999999E-2</v>
      </c>
      <c r="J757" s="988">
        <v>32478</v>
      </c>
    </row>
    <row r="758" spans="1:10">
      <c r="A758" s="987">
        <v>66</v>
      </c>
      <c r="B758" s="988">
        <v>32509</v>
      </c>
      <c r="C758" s="987" t="s">
        <v>4651</v>
      </c>
      <c r="D758" s="987" t="s">
        <v>4652</v>
      </c>
      <c r="E758" s="987">
        <v>29.5</v>
      </c>
      <c r="F758" s="987">
        <v>-4.8386999999999999E-2</v>
      </c>
      <c r="G758" s="987">
        <v>0</v>
      </c>
      <c r="H758" s="986">
        <v>8.0000000000000002E-3</v>
      </c>
      <c r="I758" s="986">
        <f t="shared" si="11"/>
        <v>-5.6387E-2</v>
      </c>
      <c r="J758" s="988">
        <v>32509</v>
      </c>
    </row>
    <row r="759" spans="1:10">
      <c r="A759" s="987">
        <v>66</v>
      </c>
      <c r="B759" s="988">
        <v>32540</v>
      </c>
      <c r="C759" s="987" t="s">
        <v>4651</v>
      </c>
      <c r="D759" s="987" t="s">
        <v>4652</v>
      </c>
      <c r="E759" s="987">
        <v>29.625</v>
      </c>
      <c r="F759" s="987">
        <v>4.2370000000000003E-3</v>
      </c>
      <c r="G759" s="987">
        <v>0</v>
      </c>
      <c r="H759" s="986">
        <v>6.8999999999999999E-3</v>
      </c>
      <c r="I759" s="986">
        <f t="shared" si="11"/>
        <v>-2.6629999999999996E-3</v>
      </c>
      <c r="J759" s="988">
        <v>32540</v>
      </c>
    </row>
    <row r="760" spans="1:10">
      <c r="A760" s="987">
        <v>66</v>
      </c>
      <c r="B760" s="988">
        <v>32568</v>
      </c>
      <c r="C760" s="987" t="s">
        <v>4651</v>
      </c>
      <c r="D760" s="987" t="s">
        <v>4652</v>
      </c>
      <c r="E760" s="987">
        <v>28.375</v>
      </c>
      <c r="F760" s="987">
        <v>-2.2785E-2</v>
      </c>
      <c r="G760" s="987">
        <v>0.57499999999999996</v>
      </c>
      <c r="H760" s="986">
        <v>7.9000000000000008E-3</v>
      </c>
      <c r="I760" s="986">
        <f t="shared" si="11"/>
        <v>-3.0685E-2</v>
      </c>
      <c r="J760" s="988">
        <v>32568</v>
      </c>
    </row>
    <row r="761" spans="1:10">
      <c r="A761" s="987">
        <v>66</v>
      </c>
      <c r="B761" s="988">
        <v>32599</v>
      </c>
      <c r="C761" s="987" t="s">
        <v>4651</v>
      </c>
      <c r="D761" s="987" t="s">
        <v>4652</v>
      </c>
      <c r="E761" s="987">
        <v>29.25</v>
      </c>
      <c r="F761" s="987">
        <v>3.0837E-2</v>
      </c>
      <c r="G761" s="987">
        <v>0</v>
      </c>
      <c r="H761" s="986">
        <v>7.0000000000000001E-3</v>
      </c>
      <c r="I761" s="986">
        <f t="shared" si="11"/>
        <v>2.3837000000000001E-2</v>
      </c>
      <c r="J761" s="988">
        <v>32599</v>
      </c>
    </row>
    <row r="762" spans="1:10">
      <c r="A762" s="987">
        <v>66</v>
      </c>
      <c r="B762" s="988">
        <v>32629</v>
      </c>
      <c r="C762" s="987" t="s">
        <v>4651</v>
      </c>
      <c r="D762" s="987" t="s">
        <v>4652</v>
      </c>
      <c r="E762" s="987">
        <v>30</v>
      </c>
      <c r="F762" s="987">
        <v>2.5641000000000001E-2</v>
      </c>
      <c r="G762" s="987">
        <v>0</v>
      </c>
      <c r="H762" s="986">
        <v>8.0000000000000002E-3</v>
      </c>
      <c r="I762" s="986">
        <f t="shared" si="11"/>
        <v>1.7641E-2</v>
      </c>
      <c r="J762" s="988">
        <v>32629</v>
      </c>
    </row>
    <row r="763" spans="1:10">
      <c r="A763" s="987">
        <v>66</v>
      </c>
      <c r="B763" s="988">
        <v>32660</v>
      </c>
      <c r="C763" s="987" t="s">
        <v>4651</v>
      </c>
      <c r="D763" s="987" t="s">
        <v>4652</v>
      </c>
      <c r="E763" s="987">
        <v>30.375</v>
      </c>
      <c r="F763" s="987">
        <v>3.1667000000000001E-2</v>
      </c>
      <c r="G763" s="987">
        <v>0.57499999999999996</v>
      </c>
      <c r="H763" s="986">
        <v>7.0000000000000001E-3</v>
      </c>
      <c r="I763" s="986">
        <f t="shared" si="11"/>
        <v>2.4667000000000001E-2</v>
      </c>
      <c r="J763" s="988">
        <v>32660</v>
      </c>
    </row>
    <row r="764" spans="1:10">
      <c r="A764" s="987">
        <v>66</v>
      </c>
      <c r="B764" s="988">
        <v>32690</v>
      </c>
      <c r="C764" s="987" t="s">
        <v>4651</v>
      </c>
      <c r="D764" s="987" t="s">
        <v>4652</v>
      </c>
      <c r="E764" s="987">
        <v>31.75</v>
      </c>
      <c r="F764" s="987">
        <v>4.5267000000000002E-2</v>
      </c>
      <c r="G764" s="987">
        <v>0</v>
      </c>
      <c r="H764" s="986">
        <v>6.7999999999999996E-3</v>
      </c>
      <c r="I764" s="986">
        <f t="shared" si="11"/>
        <v>3.8467000000000001E-2</v>
      </c>
      <c r="J764" s="988">
        <v>32690</v>
      </c>
    </row>
    <row r="765" spans="1:10">
      <c r="A765" s="987">
        <v>66</v>
      </c>
      <c r="B765" s="988">
        <v>32721</v>
      </c>
      <c r="C765" s="987" t="s">
        <v>4651</v>
      </c>
      <c r="D765" s="987" t="s">
        <v>4652</v>
      </c>
      <c r="E765" s="987">
        <v>31.125</v>
      </c>
      <c r="F765" s="987">
        <v>-1.9685000000000001E-2</v>
      </c>
      <c r="G765" s="987">
        <v>0</v>
      </c>
      <c r="H765" s="986">
        <v>6.6E-3</v>
      </c>
      <c r="I765" s="986">
        <f t="shared" si="11"/>
        <v>-2.6285000000000003E-2</v>
      </c>
      <c r="J765" s="988">
        <v>32721</v>
      </c>
    </row>
    <row r="766" spans="1:10">
      <c r="A766" s="987">
        <v>66</v>
      </c>
      <c r="B766" s="988">
        <v>32752</v>
      </c>
      <c r="C766" s="987" t="s">
        <v>4651</v>
      </c>
      <c r="D766" s="987" t="s">
        <v>4652</v>
      </c>
      <c r="E766" s="987">
        <v>29.75</v>
      </c>
      <c r="F766" s="987">
        <v>-2.5703E-2</v>
      </c>
      <c r="G766" s="987">
        <v>0.57499999999999996</v>
      </c>
      <c r="H766" s="986">
        <v>6.4999999999999997E-3</v>
      </c>
      <c r="I766" s="986">
        <f t="shared" si="11"/>
        <v>-3.2203000000000002E-2</v>
      </c>
      <c r="J766" s="988">
        <v>32752</v>
      </c>
    </row>
    <row r="767" spans="1:10">
      <c r="A767" s="987">
        <v>66</v>
      </c>
      <c r="B767" s="988">
        <v>32782</v>
      </c>
      <c r="C767" s="987" t="s">
        <v>4651</v>
      </c>
      <c r="D767" s="987" t="s">
        <v>4652</v>
      </c>
      <c r="E767" s="987">
        <v>31.25</v>
      </c>
      <c r="F767" s="987">
        <v>5.042E-2</v>
      </c>
      <c r="G767" s="987">
        <v>0</v>
      </c>
      <c r="H767" s="986">
        <v>7.1999999999999998E-3</v>
      </c>
      <c r="I767" s="986">
        <f t="shared" si="11"/>
        <v>4.3220000000000001E-2</v>
      </c>
      <c r="J767" s="988">
        <v>32782</v>
      </c>
    </row>
    <row r="768" spans="1:10">
      <c r="A768" s="987">
        <v>66</v>
      </c>
      <c r="B768" s="988">
        <v>32813</v>
      </c>
      <c r="C768" s="987" t="s">
        <v>4651</v>
      </c>
      <c r="D768" s="987" t="s">
        <v>4652</v>
      </c>
      <c r="E768" s="987">
        <v>33.125</v>
      </c>
      <c r="F768" s="987">
        <v>0.06</v>
      </c>
      <c r="G768" s="987">
        <v>0</v>
      </c>
      <c r="H768" s="986">
        <v>6.4000000000000003E-3</v>
      </c>
      <c r="I768" s="986">
        <f t="shared" si="11"/>
        <v>5.3599999999999995E-2</v>
      </c>
      <c r="J768" s="988">
        <v>32813</v>
      </c>
    </row>
    <row r="769" spans="1:10">
      <c r="A769" s="987">
        <v>66</v>
      </c>
      <c r="B769" s="988">
        <v>32843</v>
      </c>
      <c r="C769" s="987" t="s">
        <v>4651</v>
      </c>
      <c r="D769" s="987" t="s">
        <v>4652</v>
      </c>
      <c r="E769" s="987">
        <v>34</v>
      </c>
      <c r="F769" s="987">
        <v>4.4226000000000001E-2</v>
      </c>
      <c r="G769" s="987">
        <v>0.59</v>
      </c>
      <c r="H769" s="986">
        <v>6.4000000000000003E-3</v>
      </c>
      <c r="I769" s="986">
        <f t="shared" si="11"/>
        <v>3.7825999999999999E-2</v>
      </c>
      <c r="J769" s="988">
        <v>32843</v>
      </c>
    </row>
    <row r="770" spans="1:10">
      <c r="A770" s="987">
        <v>66</v>
      </c>
      <c r="B770" s="988">
        <v>32874</v>
      </c>
      <c r="C770" s="987" t="s">
        <v>4651</v>
      </c>
      <c r="D770" s="987" t="s">
        <v>4652</v>
      </c>
      <c r="E770" s="987">
        <v>32.375</v>
      </c>
      <c r="F770" s="987">
        <v>-4.7794000000000003E-2</v>
      </c>
      <c r="G770" s="987">
        <v>0</v>
      </c>
      <c r="H770" s="986">
        <v>7.3000000000000001E-3</v>
      </c>
      <c r="I770" s="986">
        <f t="shared" ref="I770:I833" si="12">F770-H770</f>
        <v>-5.5094000000000004E-2</v>
      </c>
      <c r="J770" s="988">
        <v>32874</v>
      </c>
    </row>
    <row r="771" spans="1:10">
      <c r="A771" s="987">
        <v>66</v>
      </c>
      <c r="B771" s="988">
        <v>32905</v>
      </c>
      <c r="C771" s="987" t="s">
        <v>4651</v>
      </c>
      <c r="D771" s="987" t="s">
        <v>4652</v>
      </c>
      <c r="E771" s="987">
        <v>31.5</v>
      </c>
      <c r="F771" s="987">
        <v>-2.7026999999999999E-2</v>
      </c>
      <c r="G771" s="987">
        <v>0</v>
      </c>
      <c r="H771" s="986">
        <v>6.6E-3</v>
      </c>
      <c r="I771" s="986">
        <f t="shared" si="12"/>
        <v>-3.3626999999999997E-2</v>
      </c>
      <c r="J771" s="988">
        <v>32905</v>
      </c>
    </row>
    <row r="772" spans="1:10">
      <c r="A772" s="987">
        <v>66</v>
      </c>
      <c r="B772" s="988">
        <v>32933</v>
      </c>
      <c r="C772" s="987" t="s">
        <v>4651</v>
      </c>
      <c r="D772" s="987" t="s">
        <v>4652</v>
      </c>
      <c r="E772" s="987">
        <v>33.5</v>
      </c>
      <c r="F772" s="987">
        <v>8.2222000000000003E-2</v>
      </c>
      <c r="G772" s="987">
        <v>0.59</v>
      </c>
      <c r="H772" s="986">
        <v>7.1000000000000004E-3</v>
      </c>
      <c r="I772" s="986">
        <f t="shared" si="12"/>
        <v>7.5122000000000008E-2</v>
      </c>
      <c r="J772" s="988">
        <v>32933</v>
      </c>
    </row>
    <row r="773" spans="1:10">
      <c r="A773" s="987">
        <v>66</v>
      </c>
      <c r="B773" s="988">
        <v>32964</v>
      </c>
      <c r="C773" s="987" t="s">
        <v>4651</v>
      </c>
      <c r="D773" s="987" t="s">
        <v>4652</v>
      </c>
      <c r="E773" s="987">
        <v>32.125</v>
      </c>
      <c r="F773" s="987">
        <v>-4.1044999999999998E-2</v>
      </c>
      <c r="G773" s="987">
        <v>0</v>
      </c>
      <c r="H773" s="986">
        <v>7.4999999999999997E-3</v>
      </c>
      <c r="I773" s="986">
        <f t="shared" si="12"/>
        <v>-4.8544999999999998E-2</v>
      </c>
      <c r="J773" s="988">
        <v>32964</v>
      </c>
    </row>
    <row r="774" spans="1:10">
      <c r="A774" s="987">
        <v>66</v>
      </c>
      <c r="B774" s="988">
        <v>32994</v>
      </c>
      <c r="C774" s="987" t="s">
        <v>4651</v>
      </c>
      <c r="D774" s="987" t="s">
        <v>4652</v>
      </c>
      <c r="E774" s="987">
        <v>31.375</v>
      </c>
      <c r="F774" s="987">
        <v>-2.3345999999999999E-2</v>
      </c>
      <c r="G774" s="987">
        <v>0</v>
      </c>
      <c r="H774" s="986">
        <v>7.4999999999999997E-3</v>
      </c>
      <c r="I774" s="986">
        <f t="shared" si="12"/>
        <v>-3.0845999999999998E-2</v>
      </c>
      <c r="J774" s="988">
        <v>32994</v>
      </c>
    </row>
    <row r="775" spans="1:10">
      <c r="A775" s="987">
        <v>66</v>
      </c>
      <c r="B775" s="988">
        <v>33025</v>
      </c>
      <c r="C775" s="987" t="s">
        <v>4651</v>
      </c>
      <c r="D775" s="987" t="s">
        <v>4652</v>
      </c>
      <c r="E775" s="987">
        <v>30.125</v>
      </c>
      <c r="F775" s="987">
        <v>-2.1035999999999999E-2</v>
      </c>
      <c r="G775" s="987">
        <v>0.59</v>
      </c>
      <c r="H775" s="986">
        <v>6.7999999999999996E-3</v>
      </c>
      <c r="I775" s="986">
        <f t="shared" si="12"/>
        <v>-2.7836E-2</v>
      </c>
      <c r="J775" s="988">
        <v>33025</v>
      </c>
    </row>
    <row r="776" spans="1:10">
      <c r="A776" s="987">
        <v>66</v>
      </c>
      <c r="B776" s="988">
        <v>33055</v>
      </c>
      <c r="C776" s="987" t="s">
        <v>4651</v>
      </c>
      <c r="D776" s="987" t="s">
        <v>4652</v>
      </c>
      <c r="E776" s="987">
        <v>29.75</v>
      </c>
      <c r="F776" s="987">
        <v>-1.2448000000000001E-2</v>
      </c>
      <c r="G776" s="987">
        <v>0</v>
      </c>
      <c r="H776" s="986">
        <v>7.4000000000000003E-3</v>
      </c>
      <c r="I776" s="986">
        <f t="shared" si="12"/>
        <v>-1.9848000000000001E-2</v>
      </c>
      <c r="J776" s="988">
        <v>33055</v>
      </c>
    </row>
    <row r="777" spans="1:10">
      <c r="A777" s="987">
        <v>66</v>
      </c>
      <c r="B777" s="988">
        <v>33086</v>
      </c>
      <c r="C777" s="987" t="s">
        <v>4651</v>
      </c>
      <c r="D777" s="987" t="s">
        <v>4652</v>
      </c>
      <c r="E777" s="987">
        <v>30.5</v>
      </c>
      <c r="F777" s="987">
        <v>2.521E-2</v>
      </c>
      <c r="G777" s="987">
        <v>0</v>
      </c>
      <c r="H777" s="986">
        <v>7.1000000000000004E-3</v>
      </c>
      <c r="I777" s="986">
        <f t="shared" si="12"/>
        <v>1.8110000000000001E-2</v>
      </c>
      <c r="J777" s="988">
        <v>33086</v>
      </c>
    </row>
    <row r="778" spans="1:10">
      <c r="A778" s="987">
        <v>66</v>
      </c>
      <c r="B778" s="988">
        <v>33117</v>
      </c>
      <c r="C778" s="987" t="s">
        <v>4651</v>
      </c>
      <c r="D778" s="987" t="s">
        <v>4652</v>
      </c>
      <c r="E778" s="987">
        <v>30</v>
      </c>
      <c r="F778" s="987">
        <v>2.9510000000000001E-3</v>
      </c>
      <c r="G778" s="987">
        <v>0.59</v>
      </c>
      <c r="H778" s="986">
        <v>6.8999999999999999E-3</v>
      </c>
      <c r="I778" s="986">
        <f t="shared" si="12"/>
        <v>-3.9489999999999994E-3</v>
      </c>
      <c r="J778" s="988">
        <v>33117</v>
      </c>
    </row>
    <row r="779" spans="1:10">
      <c r="A779" s="987">
        <v>66</v>
      </c>
      <c r="B779" s="988">
        <v>33147</v>
      </c>
      <c r="C779" s="987" t="s">
        <v>4651</v>
      </c>
      <c r="D779" s="987" t="s">
        <v>4652</v>
      </c>
      <c r="E779" s="987">
        <v>-31.6875</v>
      </c>
      <c r="F779" s="987">
        <v>5.6250000000000001E-2</v>
      </c>
      <c r="G779" s="987">
        <v>0</v>
      </c>
      <c r="H779" s="986">
        <v>8.0999999999999996E-3</v>
      </c>
      <c r="I779" s="986">
        <f t="shared" si="12"/>
        <v>4.8149999999999998E-2</v>
      </c>
      <c r="J779" s="988">
        <v>33147</v>
      </c>
    </row>
    <row r="780" spans="1:10">
      <c r="A780" s="987">
        <v>66</v>
      </c>
      <c r="B780" s="988">
        <v>33178</v>
      </c>
      <c r="C780" s="987" t="s">
        <v>4651</v>
      </c>
      <c r="D780" s="987" t="s">
        <v>4652</v>
      </c>
      <c r="E780" s="987">
        <v>30.375</v>
      </c>
      <c r="F780" s="987">
        <v>-4.1419999999999998E-2</v>
      </c>
      <c r="G780" s="987">
        <v>0</v>
      </c>
      <c r="H780" s="986">
        <v>7.1000000000000004E-3</v>
      </c>
      <c r="I780" s="986">
        <f t="shared" si="12"/>
        <v>-4.8520000000000001E-2</v>
      </c>
      <c r="J780" s="988">
        <v>33178</v>
      </c>
    </row>
    <row r="781" spans="1:10">
      <c r="A781" s="987">
        <v>66</v>
      </c>
      <c r="B781" s="988">
        <v>33208</v>
      </c>
      <c r="C781" s="987" t="s">
        <v>4651</v>
      </c>
      <c r="D781" s="987" t="s">
        <v>4652</v>
      </c>
      <c r="E781" s="987">
        <v>30.125</v>
      </c>
      <c r="F781" s="987">
        <v>1.1523E-2</v>
      </c>
      <c r="G781" s="987">
        <v>0.6</v>
      </c>
      <c r="H781" s="986">
        <v>7.1999999999999998E-3</v>
      </c>
      <c r="I781" s="986">
        <f t="shared" si="12"/>
        <v>4.3230000000000005E-3</v>
      </c>
      <c r="J781" s="988">
        <v>33208</v>
      </c>
    </row>
    <row r="782" spans="1:10">
      <c r="A782" s="987">
        <v>66</v>
      </c>
      <c r="B782" s="988">
        <v>33239</v>
      </c>
      <c r="C782" s="987" t="s">
        <v>4651</v>
      </c>
      <c r="D782" s="987" t="s">
        <v>4652</v>
      </c>
      <c r="E782" s="987">
        <v>31.125</v>
      </c>
      <c r="F782" s="987">
        <v>3.3195000000000002E-2</v>
      </c>
      <c r="G782" s="987">
        <v>0</v>
      </c>
      <c r="H782" s="986">
        <v>7.1000000000000004E-3</v>
      </c>
      <c r="I782" s="986">
        <f t="shared" si="12"/>
        <v>2.6095E-2</v>
      </c>
      <c r="J782" s="988">
        <v>33239</v>
      </c>
    </row>
    <row r="783" spans="1:10">
      <c r="A783" s="987">
        <v>66</v>
      </c>
      <c r="B783" s="988">
        <v>33270</v>
      </c>
      <c r="C783" s="987" t="s">
        <v>4651</v>
      </c>
      <c r="D783" s="987" t="s">
        <v>4652</v>
      </c>
      <c r="E783" s="987">
        <v>30.625</v>
      </c>
      <c r="F783" s="987">
        <v>-1.6063999999999998E-2</v>
      </c>
      <c r="G783" s="987">
        <v>0</v>
      </c>
      <c r="H783" s="986">
        <v>6.4000000000000003E-3</v>
      </c>
      <c r="I783" s="986">
        <f t="shared" si="12"/>
        <v>-2.2463999999999998E-2</v>
      </c>
      <c r="J783" s="988">
        <v>33270</v>
      </c>
    </row>
    <row r="784" spans="1:10">
      <c r="A784" s="987">
        <v>66</v>
      </c>
      <c r="B784" s="988">
        <v>33298</v>
      </c>
      <c r="C784" s="987" t="s">
        <v>4651</v>
      </c>
      <c r="D784" s="987" t="s">
        <v>4652</v>
      </c>
      <c r="E784" s="987">
        <v>31.75</v>
      </c>
      <c r="F784" s="987">
        <v>5.6327000000000002E-2</v>
      </c>
      <c r="G784" s="987">
        <v>0.6</v>
      </c>
      <c r="H784" s="986">
        <v>6.4000000000000003E-3</v>
      </c>
      <c r="I784" s="986">
        <f t="shared" si="12"/>
        <v>4.9926999999999999E-2</v>
      </c>
      <c r="J784" s="988">
        <v>33298</v>
      </c>
    </row>
    <row r="785" spans="1:10">
      <c r="A785" s="987">
        <v>66</v>
      </c>
      <c r="B785" s="988">
        <v>33329</v>
      </c>
      <c r="C785" s="987" t="s">
        <v>4651</v>
      </c>
      <c r="D785" s="987" t="s">
        <v>4652</v>
      </c>
      <c r="E785" s="987">
        <v>31</v>
      </c>
      <c r="F785" s="987">
        <v>-2.3622000000000001E-2</v>
      </c>
      <c r="G785" s="987">
        <v>0</v>
      </c>
      <c r="H785" s="986">
        <v>7.6E-3</v>
      </c>
      <c r="I785" s="986">
        <f t="shared" si="12"/>
        <v>-3.1222E-2</v>
      </c>
      <c r="J785" s="988">
        <v>33329</v>
      </c>
    </row>
    <row r="786" spans="1:10">
      <c r="A786" s="987">
        <v>66</v>
      </c>
      <c r="B786" s="988">
        <v>33359</v>
      </c>
      <c r="C786" s="987" t="s">
        <v>4651</v>
      </c>
      <c r="D786" s="987" t="s">
        <v>4652</v>
      </c>
      <c r="E786" s="987">
        <v>33.25</v>
      </c>
      <c r="F786" s="987">
        <v>7.2581000000000007E-2</v>
      </c>
      <c r="G786" s="987">
        <v>0</v>
      </c>
      <c r="H786" s="986">
        <v>6.7999999999999996E-3</v>
      </c>
      <c r="I786" s="986">
        <f t="shared" si="12"/>
        <v>6.5781000000000006E-2</v>
      </c>
      <c r="J786" s="988">
        <v>33359</v>
      </c>
    </row>
    <row r="787" spans="1:10">
      <c r="A787" s="987">
        <v>66</v>
      </c>
      <c r="B787" s="988">
        <v>33390</v>
      </c>
      <c r="C787" s="987" t="s">
        <v>4651</v>
      </c>
      <c r="D787" s="987" t="s">
        <v>4652</v>
      </c>
      <c r="E787" s="987">
        <v>33</v>
      </c>
      <c r="F787" s="987">
        <v>1.0526000000000001E-2</v>
      </c>
      <c r="G787" s="987">
        <v>0.6</v>
      </c>
      <c r="H787" s="986">
        <v>6.3E-3</v>
      </c>
      <c r="I787" s="986">
        <f t="shared" si="12"/>
        <v>4.2260000000000006E-3</v>
      </c>
      <c r="J787" s="988">
        <v>33390</v>
      </c>
    </row>
    <row r="788" spans="1:10">
      <c r="A788" s="987">
        <v>66</v>
      </c>
      <c r="B788" s="988">
        <v>33420</v>
      </c>
      <c r="C788" s="987" t="s">
        <v>4651</v>
      </c>
      <c r="D788" s="987" t="s">
        <v>4652</v>
      </c>
      <c r="E788" s="987">
        <v>34.125</v>
      </c>
      <c r="F788" s="987">
        <v>3.4091000000000003E-2</v>
      </c>
      <c r="G788" s="987">
        <v>0</v>
      </c>
      <c r="H788" s="986">
        <v>7.6E-3</v>
      </c>
      <c r="I788" s="986">
        <f t="shared" si="12"/>
        <v>2.6491000000000004E-2</v>
      </c>
      <c r="J788" s="988">
        <v>33420</v>
      </c>
    </row>
    <row r="789" spans="1:10">
      <c r="A789" s="987">
        <v>66</v>
      </c>
      <c r="B789" s="988">
        <v>33451</v>
      </c>
      <c r="C789" s="987" t="s">
        <v>4651</v>
      </c>
      <c r="D789" s="987" t="s">
        <v>4652</v>
      </c>
      <c r="E789" s="987">
        <v>33.5</v>
      </c>
      <c r="F789" s="987">
        <v>-1.8315000000000001E-2</v>
      </c>
      <c r="G789" s="987">
        <v>0</v>
      </c>
      <c r="H789" s="986">
        <v>6.7999999999999996E-3</v>
      </c>
      <c r="I789" s="986">
        <f t="shared" si="12"/>
        <v>-2.5115000000000002E-2</v>
      </c>
      <c r="J789" s="988">
        <v>33451</v>
      </c>
    </row>
    <row r="790" spans="1:10">
      <c r="A790" s="987">
        <v>66</v>
      </c>
      <c r="B790" s="988">
        <v>33482</v>
      </c>
      <c r="C790" s="987" t="s">
        <v>4651</v>
      </c>
      <c r="D790" s="987" t="s">
        <v>4652</v>
      </c>
      <c r="E790" s="987">
        <v>35.25</v>
      </c>
      <c r="F790" s="987">
        <v>7.0149000000000003E-2</v>
      </c>
      <c r="G790" s="987">
        <v>0.6</v>
      </c>
      <c r="H790" s="986">
        <v>6.7999999999999996E-3</v>
      </c>
      <c r="I790" s="986">
        <f t="shared" si="12"/>
        <v>6.3349000000000003E-2</v>
      </c>
      <c r="J790" s="988">
        <v>33482</v>
      </c>
    </row>
    <row r="791" spans="1:10">
      <c r="A791" s="987">
        <v>66</v>
      </c>
      <c r="B791" s="988">
        <v>33512</v>
      </c>
      <c r="C791" s="987" t="s">
        <v>4651</v>
      </c>
      <c r="D791" s="987" t="s">
        <v>4652</v>
      </c>
      <c r="E791" s="987">
        <v>36.375</v>
      </c>
      <c r="F791" s="987">
        <v>3.1914999999999999E-2</v>
      </c>
      <c r="G791" s="987">
        <v>0</v>
      </c>
      <c r="H791" s="986">
        <v>6.4999999999999997E-3</v>
      </c>
      <c r="I791" s="986">
        <f t="shared" si="12"/>
        <v>2.5415E-2</v>
      </c>
      <c r="J791" s="988">
        <v>33512</v>
      </c>
    </row>
    <row r="792" spans="1:10">
      <c r="A792" s="987">
        <v>66</v>
      </c>
      <c r="B792" s="988">
        <v>33543</v>
      </c>
      <c r="C792" s="987" t="s">
        <v>4651</v>
      </c>
      <c r="D792" s="987" t="s">
        <v>4652</v>
      </c>
      <c r="E792" s="987">
        <v>36.25</v>
      </c>
      <c r="F792" s="987">
        <v>-3.4359999999999998E-3</v>
      </c>
      <c r="G792" s="987">
        <v>0</v>
      </c>
      <c r="H792" s="986">
        <v>6.0000000000000001E-3</v>
      </c>
      <c r="I792" s="986">
        <f t="shared" si="12"/>
        <v>-9.4359999999999999E-3</v>
      </c>
      <c r="J792" s="988">
        <v>33543</v>
      </c>
    </row>
    <row r="793" spans="1:10">
      <c r="A793" s="987">
        <v>66</v>
      </c>
      <c r="B793" s="988">
        <v>33573</v>
      </c>
      <c r="C793" s="987" t="s">
        <v>4651</v>
      </c>
      <c r="D793" s="987" t="s">
        <v>4652</v>
      </c>
      <c r="E793" s="987">
        <v>35</v>
      </c>
      <c r="F793" s="987">
        <v>-1.7930999999999999E-2</v>
      </c>
      <c r="G793" s="987">
        <v>0.6</v>
      </c>
      <c r="H793" s="986">
        <v>6.7999999999999996E-3</v>
      </c>
      <c r="I793" s="986">
        <f t="shared" si="12"/>
        <v>-2.4731E-2</v>
      </c>
      <c r="J793" s="988">
        <v>33573</v>
      </c>
    </row>
    <row r="794" spans="1:10">
      <c r="A794" s="987">
        <v>66</v>
      </c>
      <c r="B794" s="988">
        <v>33604</v>
      </c>
      <c r="C794" s="987" t="s">
        <v>4651</v>
      </c>
      <c r="D794" s="987" t="s">
        <v>4652</v>
      </c>
      <c r="E794" s="987">
        <v>38.5</v>
      </c>
      <c r="F794" s="987">
        <v>0.1</v>
      </c>
      <c r="G794" s="987">
        <v>0</v>
      </c>
      <c r="H794" s="986">
        <v>6.1000000000000004E-3</v>
      </c>
      <c r="I794" s="986">
        <f t="shared" si="12"/>
        <v>9.3900000000000011E-2</v>
      </c>
      <c r="J794" s="988">
        <v>33604</v>
      </c>
    </row>
    <row r="795" spans="1:10">
      <c r="A795" s="987">
        <v>66</v>
      </c>
      <c r="B795" s="988">
        <v>33635</v>
      </c>
      <c r="C795" s="987" t="s">
        <v>4651</v>
      </c>
      <c r="D795" s="987" t="s">
        <v>4652</v>
      </c>
      <c r="E795" s="987">
        <v>37.625</v>
      </c>
      <c r="F795" s="987">
        <v>-2.2727000000000001E-2</v>
      </c>
      <c r="G795" s="987">
        <v>0</v>
      </c>
      <c r="H795" s="986">
        <v>5.8999999999999999E-3</v>
      </c>
      <c r="I795" s="986">
        <f t="shared" si="12"/>
        <v>-2.8627E-2</v>
      </c>
      <c r="J795" s="988">
        <v>33635</v>
      </c>
    </row>
    <row r="796" spans="1:10">
      <c r="A796" s="987">
        <v>66</v>
      </c>
      <c r="B796" s="988">
        <v>33664</v>
      </c>
      <c r="C796" s="987" t="s">
        <v>4651</v>
      </c>
      <c r="D796" s="987" t="s">
        <v>4652</v>
      </c>
      <c r="E796" s="987">
        <v>35.125</v>
      </c>
      <c r="F796" s="987">
        <v>-5.0498000000000001E-2</v>
      </c>
      <c r="G796" s="987">
        <v>0.6</v>
      </c>
      <c r="H796" s="986">
        <v>6.7000000000000002E-3</v>
      </c>
      <c r="I796" s="986">
        <f t="shared" si="12"/>
        <v>-5.7197999999999999E-2</v>
      </c>
      <c r="J796" s="988">
        <v>33664</v>
      </c>
    </row>
    <row r="797" spans="1:10">
      <c r="A797" s="987">
        <v>66</v>
      </c>
      <c r="B797" s="988">
        <v>33695</v>
      </c>
      <c r="C797" s="987" t="s">
        <v>4651</v>
      </c>
      <c r="D797" s="987" t="s">
        <v>4652</v>
      </c>
      <c r="E797" s="987">
        <v>35.875</v>
      </c>
      <c r="F797" s="987">
        <v>2.1351999999999999E-2</v>
      </c>
      <c r="G797" s="987">
        <v>0</v>
      </c>
      <c r="H797" s="986">
        <v>6.4999999999999997E-3</v>
      </c>
      <c r="I797" s="986">
        <f t="shared" si="12"/>
        <v>1.4852000000000001E-2</v>
      </c>
      <c r="J797" s="988">
        <v>33695</v>
      </c>
    </row>
    <row r="798" spans="1:10">
      <c r="A798" s="987">
        <v>66</v>
      </c>
      <c r="B798" s="988">
        <v>33725</v>
      </c>
      <c r="C798" s="987" t="s">
        <v>4651</v>
      </c>
      <c r="D798" s="987" t="s">
        <v>4652</v>
      </c>
      <c r="E798" s="987">
        <v>34.625</v>
      </c>
      <c r="F798" s="987">
        <v>-3.4842999999999999E-2</v>
      </c>
      <c r="G798" s="987">
        <v>0</v>
      </c>
      <c r="H798" s="986">
        <v>6.1000000000000004E-3</v>
      </c>
      <c r="I798" s="986">
        <f t="shared" si="12"/>
        <v>-4.0943E-2</v>
      </c>
      <c r="J798" s="988">
        <v>33725</v>
      </c>
    </row>
    <row r="799" spans="1:10">
      <c r="A799" s="987">
        <v>66</v>
      </c>
      <c r="B799" s="988">
        <v>33756</v>
      </c>
      <c r="C799" s="987" t="s">
        <v>4651</v>
      </c>
      <c r="D799" s="987" t="s">
        <v>4652</v>
      </c>
      <c r="E799" s="987">
        <v>35.375</v>
      </c>
      <c r="F799" s="987">
        <v>3.8989000000000003E-2</v>
      </c>
      <c r="G799" s="987">
        <v>0.6</v>
      </c>
      <c r="H799" s="986">
        <v>6.7000000000000002E-3</v>
      </c>
      <c r="I799" s="986">
        <f t="shared" si="12"/>
        <v>3.2289000000000005E-2</v>
      </c>
      <c r="J799" s="988">
        <v>33756</v>
      </c>
    </row>
    <row r="800" spans="1:10">
      <c r="A800" s="987">
        <v>66</v>
      </c>
      <c r="B800" s="988">
        <v>33786</v>
      </c>
      <c r="C800" s="987" t="s">
        <v>4651</v>
      </c>
      <c r="D800" s="987" t="s">
        <v>4652</v>
      </c>
      <c r="E800" s="987">
        <v>38.375</v>
      </c>
      <c r="F800" s="987">
        <v>8.4806000000000006E-2</v>
      </c>
      <c r="G800" s="987">
        <v>0</v>
      </c>
      <c r="H800" s="986">
        <v>6.3E-3</v>
      </c>
      <c r="I800" s="986">
        <f t="shared" si="12"/>
        <v>7.8506000000000006E-2</v>
      </c>
      <c r="J800" s="988">
        <v>33786</v>
      </c>
    </row>
    <row r="801" spans="1:10">
      <c r="A801" s="987">
        <v>66</v>
      </c>
      <c r="B801" s="988">
        <v>33817</v>
      </c>
      <c r="C801" s="987" t="s">
        <v>4651</v>
      </c>
      <c r="D801" s="987" t="s">
        <v>4652</v>
      </c>
      <c r="E801" s="987">
        <v>40.25</v>
      </c>
      <c r="F801" s="987">
        <v>4.8860000000000001E-2</v>
      </c>
      <c r="G801" s="987">
        <v>0</v>
      </c>
      <c r="H801" s="986">
        <v>6.0000000000000001E-3</v>
      </c>
      <c r="I801" s="986">
        <f t="shared" si="12"/>
        <v>4.2860000000000002E-2</v>
      </c>
      <c r="J801" s="988">
        <v>33817</v>
      </c>
    </row>
    <row r="802" spans="1:10">
      <c r="A802" s="987">
        <v>66</v>
      </c>
      <c r="B802" s="988">
        <v>33848</v>
      </c>
      <c r="C802" s="987" t="s">
        <v>4651</v>
      </c>
      <c r="D802" s="987" t="s">
        <v>4652</v>
      </c>
      <c r="E802" s="987">
        <v>37.375</v>
      </c>
      <c r="F802" s="987">
        <v>-5.6522000000000003E-2</v>
      </c>
      <c r="G802" s="987">
        <v>0.6</v>
      </c>
      <c r="H802" s="986">
        <v>5.7999999999999996E-3</v>
      </c>
      <c r="I802" s="986">
        <f t="shared" si="12"/>
        <v>-6.2322000000000002E-2</v>
      </c>
      <c r="J802" s="988">
        <v>33848</v>
      </c>
    </row>
    <row r="803" spans="1:10">
      <c r="A803" s="987">
        <v>66</v>
      </c>
      <c r="B803" s="988">
        <v>33878</v>
      </c>
      <c r="C803" s="987" t="s">
        <v>4651</v>
      </c>
      <c r="D803" s="987" t="s">
        <v>4652</v>
      </c>
      <c r="E803" s="987">
        <v>37.25</v>
      </c>
      <c r="F803" s="987">
        <v>-3.3440000000000002E-3</v>
      </c>
      <c r="G803" s="987">
        <v>0</v>
      </c>
      <c r="H803" s="986">
        <v>5.7000000000000002E-3</v>
      </c>
      <c r="I803" s="986">
        <f t="shared" si="12"/>
        <v>-9.044E-3</v>
      </c>
      <c r="J803" s="988">
        <v>33878</v>
      </c>
    </row>
    <row r="804" spans="1:10">
      <c r="A804" s="987">
        <v>66</v>
      </c>
      <c r="B804" s="988">
        <v>33909</v>
      </c>
      <c r="C804" s="987" t="s">
        <v>4651</v>
      </c>
      <c r="D804" s="987" t="s">
        <v>4652</v>
      </c>
      <c r="E804" s="987">
        <v>40.75</v>
      </c>
      <c r="F804" s="987">
        <v>9.3960000000000002E-2</v>
      </c>
      <c r="G804" s="987">
        <v>0</v>
      </c>
      <c r="H804" s="986">
        <v>6.1000000000000004E-3</v>
      </c>
      <c r="I804" s="986">
        <f t="shared" si="12"/>
        <v>8.7860000000000008E-2</v>
      </c>
      <c r="J804" s="988">
        <v>33909</v>
      </c>
    </row>
    <row r="805" spans="1:10">
      <c r="A805" s="987">
        <v>66</v>
      </c>
      <c r="B805" s="988">
        <v>33939</v>
      </c>
      <c r="C805" s="987" t="s">
        <v>4651</v>
      </c>
      <c r="D805" s="987" t="s">
        <v>4652</v>
      </c>
      <c r="E805" s="987">
        <v>40.5</v>
      </c>
      <c r="F805" s="987">
        <v>8.5889999999999994E-3</v>
      </c>
      <c r="G805" s="987">
        <v>0.6</v>
      </c>
      <c r="H805" s="986">
        <v>6.3E-3</v>
      </c>
      <c r="I805" s="986">
        <f t="shared" si="12"/>
        <v>2.2889999999999994E-3</v>
      </c>
      <c r="J805" s="988">
        <v>33939</v>
      </c>
    </row>
    <row r="806" spans="1:10">
      <c r="A806" s="987">
        <v>66</v>
      </c>
      <c r="B806" s="988">
        <v>33970</v>
      </c>
      <c r="C806" s="987" t="s">
        <v>4651</v>
      </c>
      <c r="D806" s="987" t="s">
        <v>4652</v>
      </c>
      <c r="E806" s="987">
        <v>41.875</v>
      </c>
      <c r="F806" s="987">
        <v>3.3951000000000002E-2</v>
      </c>
      <c r="G806" s="987">
        <v>0</v>
      </c>
      <c r="H806" s="986">
        <v>5.8999999999999999E-3</v>
      </c>
      <c r="I806" s="986">
        <f t="shared" si="12"/>
        <v>2.8051000000000003E-2</v>
      </c>
      <c r="J806" s="988">
        <v>33970</v>
      </c>
    </row>
    <row r="807" spans="1:10">
      <c r="A807" s="987">
        <v>66</v>
      </c>
      <c r="B807" s="988">
        <v>34001</v>
      </c>
      <c r="C807" s="987" t="s">
        <v>4651</v>
      </c>
      <c r="D807" s="987" t="s">
        <v>4652</v>
      </c>
      <c r="E807" s="987">
        <v>41.75</v>
      </c>
      <c r="F807" s="987">
        <v>-2.9849999999999998E-3</v>
      </c>
      <c r="G807" s="987">
        <v>0</v>
      </c>
      <c r="H807" s="986">
        <v>5.4999999999999997E-3</v>
      </c>
      <c r="I807" s="986">
        <f t="shared" si="12"/>
        <v>-8.4849999999999995E-3</v>
      </c>
      <c r="J807" s="988">
        <v>34001</v>
      </c>
    </row>
    <row r="808" spans="1:10">
      <c r="A808" s="987">
        <v>66</v>
      </c>
      <c r="B808" s="988">
        <v>34029</v>
      </c>
      <c r="C808" s="987" t="s">
        <v>4651</v>
      </c>
      <c r="D808" s="987" t="s">
        <v>4652</v>
      </c>
      <c r="E808" s="987">
        <v>43.5</v>
      </c>
      <c r="F808" s="987">
        <v>5.6527000000000001E-2</v>
      </c>
      <c r="G808" s="987">
        <v>0.61</v>
      </c>
      <c r="H808" s="986">
        <v>6.3E-3</v>
      </c>
      <c r="I808" s="986">
        <f t="shared" si="12"/>
        <v>5.0227000000000001E-2</v>
      </c>
      <c r="J808" s="988">
        <v>34029</v>
      </c>
    </row>
    <row r="809" spans="1:10">
      <c r="A809" s="987">
        <v>66</v>
      </c>
      <c r="B809" s="988">
        <v>34060</v>
      </c>
      <c r="C809" s="987" t="s">
        <v>4651</v>
      </c>
      <c r="D809" s="987" t="s">
        <v>4652</v>
      </c>
      <c r="E809" s="987">
        <v>44.375</v>
      </c>
      <c r="F809" s="987">
        <v>2.0115000000000001E-2</v>
      </c>
      <c r="G809" s="987">
        <v>0</v>
      </c>
      <c r="H809" s="986">
        <v>5.7000000000000002E-3</v>
      </c>
      <c r="I809" s="986">
        <f t="shared" si="12"/>
        <v>1.4415000000000001E-2</v>
      </c>
      <c r="J809" s="988">
        <v>34060</v>
      </c>
    </row>
    <row r="810" spans="1:10">
      <c r="A810" s="987">
        <v>66</v>
      </c>
      <c r="B810" s="988">
        <v>34090</v>
      </c>
      <c r="C810" s="987" t="s">
        <v>4651</v>
      </c>
      <c r="D810" s="987" t="s">
        <v>4652</v>
      </c>
      <c r="E810" s="987">
        <v>46</v>
      </c>
      <c r="F810" s="987">
        <v>3.662E-2</v>
      </c>
      <c r="G810" s="987">
        <v>0</v>
      </c>
      <c r="H810" s="986">
        <v>5.1999999999999998E-3</v>
      </c>
      <c r="I810" s="986">
        <f t="shared" si="12"/>
        <v>3.1420000000000003E-2</v>
      </c>
      <c r="J810" s="988">
        <v>34090</v>
      </c>
    </row>
    <row r="811" spans="1:10">
      <c r="A811" s="987">
        <v>66</v>
      </c>
      <c r="B811" s="988">
        <v>34121</v>
      </c>
      <c r="C811" s="987" t="s">
        <v>4651</v>
      </c>
      <c r="D811" s="987" t="s">
        <v>4652</v>
      </c>
      <c r="E811" s="987">
        <v>46.875</v>
      </c>
      <c r="F811" s="987">
        <v>3.2282999999999999E-2</v>
      </c>
      <c r="G811" s="987">
        <v>0.61</v>
      </c>
      <c r="H811" s="986">
        <v>6.1999999999999998E-3</v>
      </c>
      <c r="I811" s="986">
        <f t="shared" si="12"/>
        <v>2.6082999999999999E-2</v>
      </c>
      <c r="J811" s="988">
        <v>34121</v>
      </c>
    </row>
    <row r="812" spans="1:10">
      <c r="A812" s="987">
        <v>66</v>
      </c>
      <c r="B812" s="988">
        <v>34151</v>
      </c>
      <c r="C812" s="987" t="s">
        <v>4651</v>
      </c>
      <c r="D812" s="987" t="s">
        <v>4652</v>
      </c>
      <c r="E812" s="987">
        <v>47.75</v>
      </c>
      <c r="F812" s="987">
        <v>1.8667E-2</v>
      </c>
      <c r="G812" s="987">
        <v>0</v>
      </c>
      <c r="H812" s="986">
        <v>5.4000000000000003E-3</v>
      </c>
      <c r="I812" s="986">
        <f t="shared" si="12"/>
        <v>1.3266999999999999E-2</v>
      </c>
      <c r="J812" s="988">
        <v>34151</v>
      </c>
    </row>
    <row r="813" spans="1:10">
      <c r="A813" s="987">
        <v>66</v>
      </c>
      <c r="B813" s="988">
        <v>34182</v>
      </c>
      <c r="C813" s="987" t="s">
        <v>4651</v>
      </c>
      <c r="D813" s="987" t="s">
        <v>4652</v>
      </c>
      <c r="E813" s="987">
        <v>49.5</v>
      </c>
      <c r="F813" s="987">
        <v>3.6649000000000001E-2</v>
      </c>
      <c r="G813" s="987">
        <v>0</v>
      </c>
      <c r="H813" s="986">
        <v>5.5999999999999999E-3</v>
      </c>
      <c r="I813" s="986">
        <f t="shared" si="12"/>
        <v>3.1049E-2</v>
      </c>
      <c r="J813" s="988">
        <v>34182</v>
      </c>
    </row>
    <row r="814" spans="1:10">
      <c r="A814" s="987">
        <v>66</v>
      </c>
      <c r="B814" s="988">
        <v>34213</v>
      </c>
      <c r="C814" s="987" t="s">
        <v>4651</v>
      </c>
      <c r="D814" s="987" t="s">
        <v>4652</v>
      </c>
      <c r="E814" s="987">
        <v>49.625</v>
      </c>
      <c r="F814" s="987">
        <v>1.4848E-2</v>
      </c>
      <c r="G814" s="987">
        <v>0.61</v>
      </c>
      <c r="H814" s="986">
        <v>5.0000000000000001E-3</v>
      </c>
      <c r="I814" s="986">
        <f t="shared" si="12"/>
        <v>9.8479999999999991E-3</v>
      </c>
      <c r="J814" s="988">
        <v>34213</v>
      </c>
    </row>
    <row r="815" spans="1:10">
      <c r="A815" s="987">
        <v>66</v>
      </c>
      <c r="B815" s="988">
        <v>34243</v>
      </c>
      <c r="C815" s="987" t="s">
        <v>4651</v>
      </c>
      <c r="D815" s="987" t="s">
        <v>4652</v>
      </c>
      <c r="E815" s="987">
        <v>48.25</v>
      </c>
      <c r="F815" s="987">
        <v>-2.7708E-2</v>
      </c>
      <c r="G815" s="987">
        <v>0</v>
      </c>
      <c r="H815" s="986">
        <v>4.8999999999999998E-3</v>
      </c>
      <c r="I815" s="986">
        <f t="shared" si="12"/>
        <v>-3.2607999999999998E-2</v>
      </c>
      <c r="J815" s="988">
        <v>34243</v>
      </c>
    </row>
    <row r="816" spans="1:10">
      <c r="A816" s="987">
        <v>66</v>
      </c>
      <c r="B816" s="988">
        <v>34274</v>
      </c>
      <c r="C816" s="987" t="s">
        <v>4651</v>
      </c>
      <c r="D816" s="987" t="s">
        <v>4652</v>
      </c>
      <c r="E816" s="987">
        <v>48</v>
      </c>
      <c r="F816" s="987">
        <v>-5.1809999999999998E-3</v>
      </c>
      <c r="G816" s="987">
        <v>0</v>
      </c>
      <c r="H816" s="986">
        <v>5.3E-3</v>
      </c>
      <c r="I816" s="986">
        <f t="shared" si="12"/>
        <v>-1.0481000000000001E-2</v>
      </c>
      <c r="J816" s="988">
        <v>34274</v>
      </c>
    </row>
    <row r="817" spans="1:10">
      <c r="A817" s="987">
        <v>66</v>
      </c>
      <c r="B817" s="988">
        <v>34304</v>
      </c>
      <c r="C817" s="987" t="s">
        <v>4651</v>
      </c>
      <c r="D817" s="987" t="s">
        <v>4652</v>
      </c>
      <c r="E817" s="987">
        <v>47.5</v>
      </c>
      <c r="F817" s="987">
        <v>2.2920000000000002E-3</v>
      </c>
      <c r="G817" s="987">
        <v>0.61</v>
      </c>
      <c r="H817" s="986">
        <v>5.4999999999999997E-3</v>
      </c>
      <c r="I817" s="986">
        <f t="shared" si="12"/>
        <v>-3.2079999999999995E-3</v>
      </c>
      <c r="J817" s="988">
        <v>34304</v>
      </c>
    </row>
    <row r="818" spans="1:10">
      <c r="A818" s="987">
        <v>66</v>
      </c>
      <c r="B818" s="988">
        <v>34335</v>
      </c>
      <c r="C818" s="987" t="s">
        <v>4651</v>
      </c>
      <c r="D818" s="987" t="s">
        <v>4652</v>
      </c>
      <c r="E818" s="987">
        <v>49.5</v>
      </c>
      <c r="F818" s="987">
        <v>4.2104999999999997E-2</v>
      </c>
      <c r="G818" s="987">
        <v>0</v>
      </c>
      <c r="H818" s="986">
        <v>5.4999999999999997E-3</v>
      </c>
      <c r="I818" s="986">
        <f t="shared" si="12"/>
        <v>3.6604999999999999E-2</v>
      </c>
      <c r="J818" s="988">
        <v>34335</v>
      </c>
    </row>
    <row r="819" spans="1:10">
      <c r="A819" s="987">
        <v>66</v>
      </c>
      <c r="B819" s="988">
        <v>34366</v>
      </c>
      <c r="C819" s="987" t="s">
        <v>4651</v>
      </c>
      <c r="D819" s="987" t="s">
        <v>4652</v>
      </c>
      <c r="E819" s="987">
        <v>47.375</v>
      </c>
      <c r="F819" s="987">
        <v>-4.2929000000000002E-2</v>
      </c>
      <c r="G819" s="987">
        <v>0</v>
      </c>
      <c r="H819" s="986">
        <v>4.8999999999999998E-3</v>
      </c>
      <c r="I819" s="986">
        <f t="shared" si="12"/>
        <v>-4.7829000000000003E-2</v>
      </c>
      <c r="J819" s="988">
        <v>34366</v>
      </c>
    </row>
    <row r="820" spans="1:10">
      <c r="A820" s="987">
        <v>66</v>
      </c>
      <c r="B820" s="988">
        <v>34394</v>
      </c>
      <c r="C820" s="987" t="s">
        <v>4651</v>
      </c>
      <c r="D820" s="987" t="s">
        <v>4652</v>
      </c>
      <c r="E820" s="987">
        <v>25</v>
      </c>
      <c r="F820" s="987">
        <v>6.8284999999999998E-2</v>
      </c>
      <c r="G820" s="987">
        <v>0.61</v>
      </c>
      <c r="H820" s="986">
        <v>5.7999999999999996E-3</v>
      </c>
      <c r="I820" s="986">
        <f t="shared" si="12"/>
        <v>6.2484999999999999E-2</v>
      </c>
      <c r="J820" s="988">
        <v>34394</v>
      </c>
    </row>
    <row r="821" spans="1:10">
      <c r="A821" s="987">
        <v>66</v>
      </c>
      <c r="B821" s="988">
        <v>34425</v>
      </c>
      <c r="C821" s="987" t="s">
        <v>4651</v>
      </c>
      <c r="D821" s="987" t="s">
        <v>4652</v>
      </c>
      <c r="E821" s="987">
        <v>23.375</v>
      </c>
      <c r="F821" s="987">
        <v>-6.5000000000000002E-2</v>
      </c>
      <c r="G821" s="987">
        <v>0</v>
      </c>
      <c r="H821" s="986">
        <v>5.7000000000000002E-3</v>
      </c>
      <c r="I821" s="986">
        <f t="shared" si="12"/>
        <v>-7.0699999999999999E-2</v>
      </c>
      <c r="J821" s="988">
        <v>34425</v>
      </c>
    </row>
    <row r="822" spans="1:10">
      <c r="A822" s="987">
        <v>66</v>
      </c>
      <c r="B822" s="988">
        <v>34455</v>
      </c>
      <c r="C822" s="987" t="s">
        <v>4651</v>
      </c>
      <c r="D822" s="987" t="s">
        <v>4652</v>
      </c>
      <c r="E822" s="987">
        <v>21.75</v>
      </c>
      <c r="F822" s="987">
        <v>-6.9518999999999997E-2</v>
      </c>
      <c r="G822" s="987">
        <v>0</v>
      </c>
      <c r="H822" s="986">
        <v>6.3E-3</v>
      </c>
      <c r="I822" s="986">
        <f t="shared" si="12"/>
        <v>-7.5818999999999998E-2</v>
      </c>
      <c r="J822" s="988">
        <v>34455</v>
      </c>
    </row>
    <row r="823" spans="1:10">
      <c r="A823" s="987">
        <v>66</v>
      </c>
      <c r="B823" s="988">
        <v>34486</v>
      </c>
      <c r="C823" s="987" t="s">
        <v>4651</v>
      </c>
      <c r="D823" s="987" t="s">
        <v>4652</v>
      </c>
      <c r="E823" s="987">
        <v>21.5</v>
      </c>
      <c r="F823" s="987">
        <v>2.529E-3</v>
      </c>
      <c r="G823" s="987">
        <v>0.30499999999999999</v>
      </c>
      <c r="H823" s="986">
        <v>6.1000000000000004E-3</v>
      </c>
      <c r="I823" s="986">
        <f t="shared" si="12"/>
        <v>-3.5710000000000004E-3</v>
      </c>
      <c r="J823" s="988">
        <v>34486</v>
      </c>
    </row>
    <row r="824" spans="1:10">
      <c r="A824" s="987">
        <v>66</v>
      </c>
      <c r="B824" s="988">
        <v>34516</v>
      </c>
      <c r="C824" s="987" t="s">
        <v>4651</v>
      </c>
      <c r="D824" s="987" t="s">
        <v>4652</v>
      </c>
      <c r="E824" s="987">
        <v>21.875</v>
      </c>
      <c r="F824" s="987">
        <v>1.7441999999999999E-2</v>
      </c>
      <c r="G824" s="987">
        <v>0</v>
      </c>
      <c r="H824" s="986">
        <v>6.0000000000000001E-3</v>
      </c>
      <c r="I824" s="986">
        <f t="shared" si="12"/>
        <v>1.1441999999999999E-2</v>
      </c>
      <c r="J824" s="988">
        <v>34516</v>
      </c>
    </row>
    <row r="825" spans="1:10">
      <c r="A825" s="987">
        <v>66</v>
      </c>
      <c r="B825" s="988">
        <v>34547</v>
      </c>
      <c r="C825" s="987" t="s">
        <v>4651</v>
      </c>
      <c r="D825" s="987" t="s">
        <v>4652</v>
      </c>
      <c r="E825" s="987">
        <v>22.5</v>
      </c>
      <c r="F825" s="987">
        <v>2.8570999999999999E-2</v>
      </c>
      <c r="G825" s="987">
        <v>0</v>
      </c>
      <c r="H825" s="986">
        <v>6.6E-3</v>
      </c>
      <c r="I825" s="986">
        <f t="shared" si="12"/>
        <v>2.1970999999999997E-2</v>
      </c>
      <c r="J825" s="988">
        <v>34547</v>
      </c>
    </row>
    <row r="826" spans="1:10">
      <c r="A826" s="987">
        <v>66</v>
      </c>
      <c r="B826" s="988">
        <v>34578</v>
      </c>
      <c r="C826" s="987" t="s">
        <v>4651</v>
      </c>
      <c r="D826" s="987" t="s">
        <v>4652</v>
      </c>
      <c r="E826" s="987">
        <v>21.125</v>
      </c>
      <c r="F826" s="987">
        <v>-4.7556000000000001E-2</v>
      </c>
      <c r="G826" s="987">
        <v>0.30499999999999999</v>
      </c>
      <c r="H826" s="986">
        <v>6.1000000000000004E-3</v>
      </c>
      <c r="I826" s="986">
        <f t="shared" si="12"/>
        <v>-5.3656000000000002E-2</v>
      </c>
      <c r="J826" s="988">
        <v>34578</v>
      </c>
    </row>
    <row r="827" spans="1:10">
      <c r="A827" s="987">
        <v>66</v>
      </c>
      <c r="B827" s="988">
        <v>34608</v>
      </c>
      <c r="C827" s="987" t="s">
        <v>4651</v>
      </c>
      <c r="D827" s="987" t="s">
        <v>4652</v>
      </c>
      <c r="E827" s="987">
        <v>20.875</v>
      </c>
      <c r="F827" s="987">
        <v>-1.1834000000000001E-2</v>
      </c>
      <c r="G827" s="987">
        <v>0</v>
      </c>
      <c r="H827" s="986">
        <v>6.6E-3</v>
      </c>
      <c r="I827" s="986">
        <f t="shared" si="12"/>
        <v>-1.8433999999999999E-2</v>
      </c>
      <c r="J827" s="988">
        <v>34608</v>
      </c>
    </row>
    <row r="828" spans="1:10">
      <c r="A828" s="987">
        <v>66</v>
      </c>
      <c r="B828" s="988">
        <v>34639</v>
      </c>
      <c r="C828" s="987" t="s">
        <v>4651</v>
      </c>
      <c r="D828" s="987" t="s">
        <v>4652</v>
      </c>
      <c r="E828" s="987">
        <v>20.875</v>
      </c>
      <c r="F828" s="987">
        <v>0</v>
      </c>
      <c r="G828" s="987">
        <v>0</v>
      </c>
      <c r="H828" s="986">
        <v>6.4000000000000003E-3</v>
      </c>
      <c r="I828" s="986">
        <f t="shared" si="12"/>
        <v>-6.4000000000000003E-3</v>
      </c>
      <c r="J828" s="988">
        <v>34639</v>
      </c>
    </row>
    <row r="829" spans="1:10">
      <c r="A829" s="987">
        <v>66</v>
      </c>
      <c r="B829" s="988">
        <v>34669</v>
      </c>
      <c r="C829" s="987" t="s">
        <v>4651</v>
      </c>
      <c r="D829" s="987" t="s">
        <v>4652</v>
      </c>
      <c r="E829" s="987">
        <v>19.875</v>
      </c>
      <c r="F829" s="987">
        <v>-3.3054E-2</v>
      </c>
      <c r="G829" s="987">
        <v>0.31</v>
      </c>
      <c r="H829" s="986">
        <v>6.6E-3</v>
      </c>
      <c r="I829" s="986">
        <f t="shared" si="12"/>
        <v>-3.9654000000000002E-2</v>
      </c>
      <c r="J829" s="988">
        <v>34669</v>
      </c>
    </row>
    <row r="830" spans="1:10">
      <c r="A830" s="987">
        <v>66</v>
      </c>
      <c r="B830" s="988">
        <v>34700</v>
      </c>
      <c r="C830" s="987" t="s">
        <v>4651</v>
      </c>
      <c r="D830" s="987" t="s">
        <v>4652</v>
      </c>
      <c r="E830" s="987">
        <v>19.5</v>
      </c>
      <c r="F830" s="987">
        <v>-1.8867999999999999E-2</v>
      </c>
      <c r="G830" s="987">
        <v>0</v>
      </c>
      <c r="H830" s="986">
        <v>7.0000000000000001E-3</v>
      </c>
      <c r="I830" s="986">
        <f t="shared" si="12"/>
        <v>-2.5867999999999999E-2</v>
      </c>
      <c r="J830" s="988">
        <v>34700</v>
      </c>
    </row>
    <row r="831" spans="1:10">
      <c r="A831" s="987">
        <v>66</v>
      </c>
      <c r="B831" s="988">
        <v>34731</v>
      </c>
      <c r="C831" s="987" t="s">
        <v>4651</v>
      </c>
      <c r="D831" s="987" t="s">
        <v>4652</v>
      </c>
      <c r="E831" s="987">
        <v>19.75</v>
      </c>
      <c r="F831" s="987">
        <v>1.2821000000000001E-2</v>
      </c>
      <c r="G831" s="987">
        <v>0</v>
      </c>
      <c r="H831" s="986">
        <v>5.8999999999999999E-3</v>
      </c>
      <c r="I831" s="986">
        <f t="shared" si="12"/>
        <v>6.9210000000000009E-3</v>
      </c>
      <c r="J831" s="988">
        <v>34731</v>
      </c>
    </row>
    <row r="832" spans="1:10">
      <c r="A832" s="987">
        <v>66</v>
      </c>
      <c r="B832" s="988">
        <v>34759</v>
      </c>
      <c r="C832" s="987" t="s">
        <v>4651</v>
      </c>
      <c r="D832" s="987" t="s">
        <v>4652</v>
      </c>
      <c r="E832" s="987">
        <v>19.5</v>
      </c>
      <c r="F832" s="987">
        <v>3.0379999999999999E-3</v>
      </c>
      <c r="G832" s="987">
        <v>0.31</v>
      </c>
      <c r="H832" s="986">
        <v>6.4000000000000003E-3</v>
      </c>
      <c r="I832" s="986">
        <f t="shared" si="12"/>
        <v>-3.3620000000000004E-3</v>
      </c>
      <c r="J832" s="988">
        <v>34759</v>
      </c>
    </row>
    <row r="833" spans="1:10">
      <c r="A833" s="987">
        <v>66</v>
      </c>
      <c r="B833" s="988">
        <v>34790</v>
      </c>
      <c r="C833" s="987" t="s">
        <v>4651</v>
      </c>
      <c r="D833" s="987" t="s">
        <v>4652</v>
      </c>
      <c r="E833" s="987">
        <v>18.875</v>
      </c>
      <c r="F833" s="987">
        <v>-3.2051000000000003E-2</v>
      </c>
      <c r="G833" s="987">
        <v>0</v>
      </c>
      <c r="H833" s="986">
        <v>5.7999999999999996E-3</v>
      </c>
      <c r="I833" s="986">
        <f t="shared" si="12"/>
        <v>-3.7851000000000003E-2</v>
      </c>
      <c r="J833" s="988">
        <v>34790</v>
      </c>
    </row>
    <row r="834" spans="1:10">
      <c r="A834" s="987">
        <v>66</v>
      </c>
      <c r="B834" s="988">
        <v>34820</v>
      </c>
      <c r="C834" s="987" t="s">
        <v>4651</v>
      </c>
      <c r="D834" s="987" t="s">
        <v>4652</v>
      </c>
      <c r="E834" s="987">
        <v>18.875</v>
      </c>
      <c r="F834" s="987">
        <v>0</v>
      </c>
      <c r="G834" s="987">
        <v>0</v>
      </c>
      <c r="H834" s="986">
        <v>6.4999999999999997E-3</v>
      </c>
      <c r="I834" s="986">
        <f t="shared" ref="I834:I897" si="13">F834-H834</f>
        <v>-6.4999999999999997E-3</v>
      </c>
      <c r="J834" s="988">
        <v>34820</v>
      </c>
    </row>
    <row r="835" spans="1:10">
      <c r="A835" s="987">
        <v>66</v>
      </c>
      <c r="B835" s="988">
        <v>34851</v>
      </c>
      <c r="C835" s="987" t="s">
        <v>4651</v>
      </c>
      <c r="D835" s="987" t="s">
        <v>4652</v>
      </c>
      <c r="E835" s="987">
        <v>19.625</v>
      </c>
      <c r="F835" s="987">
        <v>5.6159000000000001E-2</v>
      </c>
      <c r="G835" s="987">
        <v>0.31</v>
      </c>
      <c r="H835" s="986">
        <v>5.4000000000000003E-3</v>
      </c>
      <c r="I835" s="986">
        <f t="shared" si="13"/>
        <v>5.0758999999999999E-2</v>
      </c>
      <c r="J835" s="988">
        <v>34851</v>
      </c>
    </row>
    <row r="836" spans="1:10">
      <c r="A836" s="987">
        <v>66</v>
      </c>
      <c r="B836" s="988">
        <v>34881</v>
      </c>
      <c r="C836" s="987" t="s">
        <v>4651</v>
      </c>
      <c r="D836" s="987" t="s">
        <v>4652</v>
      </c>
      <c r="E836" s="987">
        <v>20</v>
      </c>
      <c r="F836" s="987">
        <v>1.9108E-2</v>
      </c>
      <c r="G836" s="987">
        <v>0</v>
      </c>
      <c r="H836" s="986">
        <v>5.5999999999999999E-3</v>
      </c>
      <c r="I836" s="986">
        <f t="shared" si="13"/>
        <v>1.3507999999999999E-2</v>
      </c>
      <c r="J836" s="988">
        <v>34881</v>
      </c>
    </row>
    <row r="837" spans="1:10">
      <c r="A837" s="987">
        <v>66</v>
      </c>
      <c r="B837" s="988">
        <v>34912</v>
      </c>
      <c r="C837" s="987" t="s">
        <v>4651</v>
      </c>
      <c r="D837" s="987" t="s">
        <v>4652</v>
      </c>
      <c r="E837" s="987">
        <v>19.875</v>
      </c>
      <c r="F837" s="987">
        <v>-6.2500000000000003E-3</v>
      </c>
      <c r="G837" s="987">
        <v>0</v>
      </c>
      <c r="H837" s="986">
        <v>5.7000000000000002E-3</v>
      </c>
      <c r="I837" s="986">
        <f t="shared" si="13"/>
        <v>-1.1950000000000001E-2</v>
      </c>
      <c r="J837" s="988">
        <v>34912</v>
      </c>
    </row>
    <row r="838" spans="1:10">
      <c r="A838" s="987">
        <v>66</v>
      </c>
      <c r="B838" s="988">
        <v>34943</v>
      </c>
      <c r="C838" s="987" t="s">
        <v>4651</v>
      </c>
      <c r="D838" s="987" t="s">
        <v>4652</v>
      </c>
      <c r="E838" s="987">
        <v>20.625</v>
      </c>
      <c r="F838" s="987">
        <v>5.3332999999999998E-2</v>
      </c>
      <c r="G838" s="987">
        <v>0.31</v>
      </c>
      <c r="H838" s="986">
        <v>5.1999999999999998E-3</v>
      </c>
      <c r="I838" s="986">
        <f t="shared" si="13"/>
        <v>4.8132999999999995E-2</v>
      </c>
      <c r="J838" s="988">
        <v>34943</v>
      </c>
    </row>
    <row r="839" spans="1:10">
      <c r="A839" s="987">
        <v>66</v>
      </c>
      <c r="B839" s="988">
        <v>34973</v>
      </c>
      <c r="C839" s="987" t="s">
        <v>4651</v>
      </c>
      <c r="D839" s="987" t="s">
        <v>4652</v>
      </c>
      <c r="E839" s="987">
        <v>20.375</v>
      </c>
      <c r="F839" s="987">
        <v>-1.2121E-2</v>
      </c>
      <c r="G839" s="987">
        <v>0</v>
      </c>
      <c r="H839" s="986">
        <v>5.7000000000000002E-3</v>
      </c>
      <c r="I839" s="986">
        <f t="shared" si="13"/>
        <v>-1.7821E-2</v>
      </c>
      <c r="J839" s="988">
        <v>34973</v>
      </c>
    </row>
    <row r="840" spans="1:10">
      <c r="A840" s="987">
        <v>66</v>
      </c>
      <c r="B840" s="988">
        <v>35004</v>
      </c>
      <c r="C840" s="987" t="s">
        <v>4651</v>
      </c>
      <c r="D840" s="987" t="s">
        <v>4652</v>
      </c>
      <c r="E840" s="987">
        <v>21.125</v>
      </c>
      <c r="F840" s="987">
        <v>3.6810000000000002E-2</v>
      </c>
      <c r="G840" s="987">
        <v>0</v>
      </c>
      <c r="H840" s="986">
        <v>5.1000000000000004E-3</v>
      </c>
      <c r="I840" s="986">
        <f t="shared" si="13"/>
        <v>3.1710000000000002E-2</v>
      </c>
      <c r="J840" s="988">
        <v>35004</v>
      </c>
    </row>
    <row r="841" spans="1:10">
      <c r="A841" s="987">
        <v>66</v>
      </c>
      <c r="B841" s="988">
        <v>35034</v>
      </c>
      <c r="C841" s="987" t="s">
        <v>4651</v>
      </c>
      <c r="D841" s="987" t="s">
        <v>4652</v>
      </c>
      <c r="E841" s="987">
        <v>21.25</v>
      </c>
      <c r="F841" s="987">
        <v>2.0827999999999999E-2</v>
      </c>
      <c r="G841" s="987">
        <v>0.315</v>
      </c>
      <c r="H841" s="986">
        <v>4.8999999999999998E-3</v>
      </c>
      <c r="I841" s="986">
        <f t="shared" si="13"/>
        <v>1.5927999999999998E-2</v>
      </c>
      <c r="J841" s="988">
        <v>35034</v>
      </c>
    </row>
    <row r="842" spans="1:10">
      <c r="A842" s="987">
        <v>66</v>
      </c>
      <c r="B842" s="988">
        <v>35065</v>
      </c>
      <c r="C842" s="987" t="s">
        <v>4651</v>
      </c>
      <c r="D842" s="987" t="s">
        <v>4652</v>
      </c>
      <c r="E842" s="987">
        <v>22.375</v>
      </c>
      <c r="F842" s="987">
        <v>5.2941000000000002E-2</v>
      </c>
      <c r="G842" s="987">
        <v>0</v>
      </c>
      <c r="H842" s="986">
        <v>5.4000000000000003E-3</v>
      </c>
      <c r="I842" s="986">
        <f t="shared" si="13"/>
        <v>4.7541E-2</v>
      </c>
      <c r="J842" s="988">
        <v>35065</v>
      </c>
    </row>
    <row r="843" spans="1:10">
      <c r="A843" s="987">
        <v>66</v>
      </c>
      <c r="B843" s="988">
        <v>35096</v>
      </c>
      <c r="C843" s="987" t="s">
        <v>4651</v>
      </c>
      <c r="D843" s="987" t="s">
        <v>4652</v>
      </c>
      <c r="E843" s="987">
        <v>21</v>
      </c>
      <c r="F843" s="987">
        <v>-6.1453000000000001E-2</v>
      </c>
      <c r="G843" s="987">
        <v>0</v>
      </c>
      <c r="H843" s="986">
        <v>4.7999999999999996E-3</v>
      </c>
      <c r="I843" s="986">
        <f t="shared" si="13"/>
        <v>-6.6253000000000006E-2</v>
      </c>
      <c r="J843" s="988">
        <v>35096</v>
      </c>
    </row>
    <row r="844" spans="1:10">
      <c r="A844" s="987">
        <v>66</v>
      </c>
      <c r="B844" s="988">
        <v>35125</v>
      </c>
      <c r="C844" s="987" t="s">
        <v>4651</v>
      </c>
      <c r="D844" s="987" t="s">
        <v>4652</v>
      </c>
      <c r="E844" s="987">
        <v>22.75</v>
      </c>
      <c r="F844" s="987">
        <v>9.8333000000000004E-2</v>
      </c>
      <c r="G844" s="987">
        <v>0.315</v>
      </c>
      <c r="H844" s="986">
        <v>5.1999999999999998E-3</v>
      </c>
      <c r="I844" s="986">
        <f t="shared" si="13"/>
        <v>9.3133000000000007E-2</v>
      </c>
      <c r="J844" s="988">
        <v>35125</v>
      </c>
    </row>
    <row r="845" spans="1:10">
      <c r="A845" s="987">
        <v>66</v>
      </c>
      <c r="B845" s="988">
        <v>35156</v>
      </c>
      <c r="C845" s="987" t="s">
        <v>4651</v>
      </c>
      <c r="D845" s="987" t="s">
        <v>4652</v>
      </c>
      <c r="E845" s="987">
        <v>23.5</v>
      </c>
      <c r="F845" s="987">
        <v>3.2967000000000003E-2</v>
      </c>
      <c r="G845" s="987">
        <v>0</v>
      </c>
      <c r="H845" s="986">
        <v>5.8999999999999999E-3</v>
      </c>
      <c r="I845" s="986">
        <f t="shared" si="13"/>
        <v>2.7067000000000004E-2</v>
      </c>
      <c r="J845" s="988">
        <v>35156</v>
      </c>
    </row>
    <row r="846" spans="1:10">
      <c r="A846" s="987">
        <v>66</v>
      </c>
      <c r="B846" s="988">
        <v>35186</v>
      </c>
      <c r="C846" s="987" t="s">
        <v>4651</v>
      </c>
      <c r="D846" s="987" t="s">
        <v>4652</v>
      </c>
      <c r="E846" s="987">
        <v>22.875</v>
      </c>
      <c r="F846" s="987">
        <v>-2.6596000000000002E-2</v>
      </c>
      <c r="G846" s="987">
        <v>0</v>
      </c>
      <c r="H846" s="986">
        <v>5.7999999999999996E-3</v>
      </c>
      <c r="I846" s="986">
        <f t="shared" si="13"/>
        <v>-3.2396000000000001E-2</v>
      </c>
      <c r="J846" s="988">
        <v>35186</v>
      </c>
    </row>
    <row r="847" spans="1:10">
      <c r="A847" s="987">
        <v>66</v>
      </c>
      <c r="B847" s="988">
        <v>35217</v>
      </c>
      <c r="C847" s="987" t="s">
        <v>4651</v>
      </c>
      <c r="D847" s="987" t="s">
        <v>4652</v>
      </c>
      <c r="E847" s="987">
        <v>22.375</v>
      </c>
      <c r="F847" s="987">
        <v>-8.0870000000000004E-3</v>
      </c>
      <c r="G847" s="987">
        <v>0.315</v>
      </c>
      <c r="H847" s="986">
        <v>5.4000000000000003E-3</v>
      </c>
      <c r="I847" s="986">
        <f t="shared" si="13"/>
        <v>-1.3487000000000001E-2</v>
      </c>
      <c r="J847" s="988">
        <v>35217</v>
      </c>
    </row>
    <row r="848" spans="1:10">
      <c r="A848" s="987">
        <v>66</v>
      </c>
      <c r="B848" s="988">
        <v>35247</v>
      </c>
      <c r="C848" s="987" t="s">
        <v>4651</v>
      </c>
      <c r="D848" s="987" t="s">
        <v>4652</v>
      </c>
      <c r="E848" s="987">
        <v>22.5</v>
      </c>
      <c r="F848" s="987">
        <v>5.587E-3</v>
      </c>
      <c r="G848" s="987">
        <v>0</v>
      </c>
      <c r="H848" s="986">
        <v>6.1999999999999998E-3</v>
      </c>
      <c r="I848" s="986">
        <f t="shared" si="13"/>
        <v>-6.1299999999999983E-4</v>
      </c>
      <c r="J848" s="988">
        <v>35247</v>
      </c>
    </row>
    <row r="849" spans="1:10">
      <c r="A849" s="987">
        <v>66</v>
      </c>
      <c r="B849" s="988">
        <v>35278</v>
      </c>
      <c r="C849" s="987" t="s">
        <v>4651</v>
      </c>
      <c r="D849" s="987" t="s">
        <v>4652</v>
      </c>
      <c r="E849" s="987">
        <v>23.375</v>
      </c>
      <c r="F849" s="987">
        <v>3.8889E-2</v>
      </c>
      <c r="G849" s="987">
        <v>0</v>
      </c>
      <c r="H849" s="986">
        <v>5.7000000000000002E-3</v>
      </c>
      <c r="I849" s="986">
        <f t="shared" si="13"/>
        <v>3.3188999999999996E-2</v>
      </c>
      <c r="J849" s="988">
        <v>35278</v>
      </c>
    </row>
    <row r="850" spans="1:10">
      <c r="A850" s="987">
        <v>66</v>
      </c>
      <c r="B850" s="988">
        <v>35309</v>
      </c>
      <c r="C850" s="987" t="s">
        <v>4651</v>
      </c>
      <c r="D850" s="987" t="s">
        <v>4652</v>
      </c>
      <c r="E850" s="987">
        <v>24.25</v>
      </c>
      <c r="F850" s="987">
        <v>5.0909000000000003E-2</v>
      </c>
      <c r="G850" s="987">
        <v>0.315</v>
      </c>
      <c r="H850" s="986">
        <v>6.0000000000000001E-3</v>
      </c>
      <c r="I850" s="986">
        <f t="shared" si="13"/>
        <v>4.4909000000000004E-2</v>
      </c>
      <c r="J850" s="988">
        <v>35309</v>
      </c>
    </row>
    <row r="851" spans="1:10">
      <c r="A851" s="987">
        <v>66</v>
      </c>
      <c r="B851" s="988">
        <v>35339</v>
      </c>
      <c r="C851" s="987" t="s">
        <v>4651</v>
      </c>
      <c r="D851" s="987" t="s">
        <v>4652</v>
      </c>
      <c r="E851" s="987">
        <v>23.375</v>
      </c>
      <c r="F851" s="987">
        <v>-3.6082000000000003E-2</v>
      </c>
      <c r="G851" s="987">
        <v>0</v>
      </c>
      <c r="H851" s="986">
        <v>5.7999999999999996E-3</v>
      </c>
      <c r="I851" s="986">
        <f t="shared" si="13"/>
        <v>-4.1882000000000003E-2</v>
      </c>
      <c r="J851" s="988">
        <v>35339</v>
      </c>
    </row>
    <row r="852" spans="1:10">
      <c r="A852" s="987">
        <v>66</v>
      </c>
      <c r="B852" s="988">
        <v>35370</v>
      </c>
      <c r="C852" s="987" t="s">
        <v>4651</v>
      </c>
      <c r="D852" s="987" t="s">
        <v>4652</v>
      </c>
      <c r="E852" s="987">
        <v>23.875</v>
      </c>
      <c r="F852" s="987">
        <v>2.1389999999999999E-2</v>
      </c>
      <c r="G852" s="987">
        <v>0</v>
      </c>
      <c r="H852" s="986">
        <v>5.1999999999999998E-3</v>
      </c>
      <c r="I852" s="986">
        <f t="shared" si="13"/>
        <v>1.619E-2</v>
      </c>
      <c r="J852" s="988">
        <v>35370</v>
      </c>
    </row>
    <row r="853" spans="1:10">
      <c r="A853" s="987">
        <v>66</v>
      </c>
      <c r="B853" s="988">
        <v>35400</v>
      </c>
      <c r="C853" s="987" t="s">
        <v>4651</v>
      </c>
      <c r="D853" s="987" t="s">
        <v>4652</v>
      </c>
      <c r="E853" s="987">
        <v>24.125</v>
      </c>
      <c r="F853" s="987">
        <v>2.4084000000000001E-2</v>
      </c>
      <c r="G853" s="987">
        <v>0.32500000000000001</v>
      </c>
      <c r="H853" s="986">
        <v>5.5999999999999999E-3</v>
      </c>
      <c r="I853" s="986">
        <f t="shared" si="13"/>
        <v>1.8484E-2</v>
      </c>
      <c r="J853" s="988">
        <v>35400</v>
      </c>
    </row>
    <row r="854" spans="1:10">
      <c r="A854" s="987">
        <v>66</v>
      </c>
      <c r="B854" s="988">
        <v>35431</v>
      </c>
      <c r="C854" s="987" t="s">
        <v>4651</v>
      </c>
      <c r="D854" s="987" t="s">
        <v>4652</v>
      </c>
      <c r="E854" s="987">
        <v>24</v>
      </c>
      <c r="F854" s="987">
        <v>-5.1809999999999998E-3</v>
      </c>
      <c r="G854" s="987">
        <v>0</v>
      </c>
      <c r="H854" s="986">
        <v>5.5999999999999999E-3</v>
      </c>
      <c r="I854" s="986">
        <f t="shared" si="13"/>
        <v>-1.0780999999999999E-2</v>
      </c>
      <c r="J854" s="988">
        <v>35431</v>
      </c>
    </row>
    <row r="855" spans="1:10">
      <c r="A855" s="987">
        <v>66</v>
      </c>
      <c r="B855" s="988">
        <v>35462</v>
      </c>
      <c r="C855" s="987" t="s">
        <v>4651</v>
      </c>
      <c r="D855" s="987" t="s">
        <v>4652</v>
      </c>
      <c r="E855" s="987">
        <v>23.125</v>
      </c>
      <c r="F855" s="987">
        <v>-3.6457999999999997E-2</v>
      </c>
      <c r="G855" s="987">
        <v>0</v>
      </c>
      <c r="H855" s="986">
        <v>5.1000000000000004E-3</v>
      </c>
      <c r="I855" s="986">
        <f t="shared" si="13"/>
        <v>-4.1557999999999998E-2</v>
      </c>
      <c r="J855" s="988">
        <v>35462</v>
      </c>
    </row>
    <row r="856" spans="1:10">
      <c r="A856" s="987">
        <v>66</v>
      </c>
      <c r="B856" s="988">
        <v>35490</v>
      </c>
      <c r="C856" s="987" t="s">
        <v>4651</v>
      </c>
      <c r="D856" s="987" t="s">
        <v>4652</v>
      </c>
      <c r="E856" s="987">
        <v>20.875</v>
      </c>
      <c r="F856" s="987">
        <v>-8.3242999999999998E-2</v>
      </c>
      <c r="G856" s="987">
        <v>0.32500000000000001</v>
      </c>
      <c r="H856" s="986">
        <v>5.8999999999999999E-3</v>
      </c>
      <c r="I856" s="986">
        <f t="shared" si="13"/>
        <v>-8.9143E-2</v>
      </c>
      <c r="J856" s="988">
        <v>35490</v>
      </c>
    </row>
    <row r="857" spans="1:10">
      <c r="A857" s="987">
        <v>66</v>
      </c>
      <c r="B857" s="988">
        <v>35521</v>
      </c>
      <c r="C857" s="987" t="s">
        <v>4651</v>
      </c>
      <c r="D857" s="987" t="s">
        <v>4652</v>
      </c>
      <c r="E857" s="987">
        <v>22.25</v>
      </c>
      <c r="F857" s="987">
        <v>6.5867999999999996E-2</v>
      </c>
      <c r="G857" s="987">
        <v>0</v>
      </c>
      <c r="H857" s="986">
        <v>5.8999999999999999E-3</v>
      </c>
      <c r="I857" s="986">
        <f t="shared" si="13"/>
        <v>5.9967999999999994E-2</v>
      </c>
      <c r="J857" s="988">
        <v>35521</v>
      </c>
    </row>
    <row r="858" spans="1:10">
      <c r="A858" s="987">
        <v>66</v>
      </c>
      <c r="B858" s="988">
        <v>35551</v>
      </c>
      <c r="C858" s="987" t="s">
        <v>4651</v>
      </c>
      <c r="D858" s="987" t="s">
        <v>4652</v>
      </c>
      <c r="E858" s="987">
        <v>21.625</v>
      </c>
      <c r="F858" s="987">
        <v>-2.809E-2</v>
      </c>
      <c r="G858" s="987">
        <v>0</v>
      </c>
      <c r="H858" s="986">
        <v>5.7999999999999996E-3</v>
      </c>
      <c r="I858" s="986">
        <f t="shared" si="13"/>
        <v>-3.3890000000000003E-2</v>
      </c>
      <c r="J858" s="988">
        <v>35551</v>
      </c>
    </row>
    <row r="859" spans="1:10">
      <c r="A859" s="987">
        <v>66</v>
      </c>
      <c r="B859" s="988">
        <v>35582</v>
      </c>
      <c r="C859" s="987" t="s">
        <v>4651</v>
      </c>
      <c r="D859" s="987" t="s">
        <v>4652</v>
      </c>
      <c r="E859" s="987">
        <v>21.75</v>
      </c>
      <c r="F859" s="987">
        <v>2.0809000000000001E-2</v>
      </c>
      <c r="G859" s="987">
        <v>0.32500000000000001</v>
      </c>
      <c r="H859" s="986">
        <v>5.8999999999999999E-3</v>
      </c>
      <c r="I859" s="986">
        <f t="shared" si="13"/>
        <v>1.4909000000000002E-2</v>
      </c>
      <c r="J859" s="988">
        <v>35582</v>
      </c>
    </row>
    <row r="860" spans="1:10">
      <c r="A860" s="987">
        <v>66</v>
      </c>
      <c r="B860" s="988">
        <v>35612</v>
      </c>
      <c r="C860" s="987" t="s">
        <v>4651</v>
      </c>
      <c r="D860" s="987" t="s">
        <v>4652</v>
      </c>
      <c r="E860" s="987">
        <v>23.5</v>
      </c>
      <c r="F860" s="987">
        <v>8.0460000000000004E-2</v>
      </c>
      <c r="G860" s="987">
        <v>0</v>
      </c>
      <c r="H860" s="986">
        <v>5.7999999999999996E-3</v>
      </c>
      <c r="I860" s="986">
        <f t="shared" si="13"/>
        <v>7.4660000000000004E-2</v>
      </c>
      <c r="J860" s="988">
        <v>35612</v>
      </c>
    </row>
    <row r="861" spans="1:10">
      <c r="A861" s="987">
        <v>66</v>
      </c>
      <c r="B861" s="988">
        <v>35643</v>
      </c>
      <c r="C861" s="987" t="s">
        <v>4651</v>
      </c>
      <c r="D861" s="987" t="s">
        <v>4652</v>
      </c>
      <c r="E861" s="987">
        <v>24.4375</v>
      </c>
      <c r="F861" s="987">
        <v>3.9893999999999999E-2</v>
      </c>
      <c r="G861" s="987">
        <v>0</v>
      </c>
      <c r="H861" s="986">
        <v>4.8999999999999998E-3</v>
      </c>
      <c r="I861" s="986">
        <f t="shared" si="13"/>
        <v>3.4993999999999997E-2</v>
      </c>
      <c r="J861" s="988">
        <v>35643</v>
      </c>
    </row>
    <row r="862" spans="1:10">
      <c r="A862" s="987">
        <v>66</v>
      </c>
      <c r="B862" s="988">
        <v>35674</v>
      </c>
      <c r="C862" s="987" t="s">
        <v>4651</v>
      </c>
      <c r="D862" s="987" t="s">
        <v>4652</v>
      </c>
      <c r="E862" s="987">
        <v>24.3125</v>
      </c>
      <c r="F862" s="987">
        <v>8.1840000000000003E-3</v>
      </c>
      <c r="G862" s="987">
        <v>0.32500000000000001</v>
      </c>
      <c r="H862" s="986">
        <v>5.7999999999999996E-3</v>
      </c>
      <c r="I862" s="986">
        <f t="shared" si="13"/>
        <v>2.3840000000000007E-3</v>
      </c>
      <c r="J862" s="988">
        <v>35674</v>
      </c>
    </row>
    <row r="863" spans="1:10">
      <c r="A863" s="987">
        <v>66</v>
      </c>
      <c r="B863" s="988">
        <v>35704</v>
      </c>
      <c r="C863" s="987" t="s">
        <v>4651</v>
      </c>
      <c r="D863" s="987" t="s">
        <v>4652</v>
      </c>
      <c r="E863" s="987">
        <v>24.9375</v>
      </c>
      <c r="F863" s="987">
        <v>2.5707000000000001E-2</v>
      </c>
      <c r="G863" s="987">
        <v>0</v>
      </c>
      <c r="H863" s="986">
        <v>5.4000000000000003E-3</v>
      </c>
      <c r="I863" s="986">
        <f t="shared" si="13"/>
        <v>2.0306999999999999E-2</v>
      </c>
      <c r="J863" s="988">
        <v>35704</v>
      </c>
    </row>
    <row r="864" spans="1:10">
      <c r="A864" s="987">
        <v>66</v>
      </c>
      <c r="B864" s="988">
        <v>35735</v>
      </c>
      <c r="C864" s="987" t="s">
        <v>4651</v>
      </c>
      <c r="D864" s="987" t="s">
        <v>4652</v>
      </c>
      <c r="E864" s="987">
        <v>25.8125</v>
      </c>
      <c r="F864" s="987">
        <v>3.5088000000000001E-2</v>
      </c>
      <c r="G864" s="987">
        <v>0</v>
      </c>
      <c r="H864" s="986">
        <v>4.7000000000000002E-3</v>
      </c>
      <c r="I864" s="986">
        <f t="shared" si="13"/>
        <v>3.0388000000000002E-2</v>
      </c>
      <c r="J864" s="988">
        <v>35735</v>
      </c>
    </row>
    <row r="865" spans="1:10">
      <c r="A865" s="987">
        <v>66</v>
      </c>
      <c r="B865" s="988">
        <v>35765</v>
      </c>
      <c r="C865" s="987" t="s">
        <v>4651</v>
      </c>
      <c r="D865" s="987" t="s">
        <v>4652</v>
      </c>
      <c r="E865" s="987">
        <v>28.0625</v>
      </c>
      <c r="F865" s="987">
        <v>9.9951999999999999E-2</v>
      </c>
      <c r="G865" s="987">
        <v>0.33</v>
      </c>
      <c r="H865" s="986">
        <v>5.4000000000000003E-3</v>
      </c>
      <c r="I865" s="986">
        <f t="shared" si="13"/>
        <v>9.4551999999999997E-2</v>
      </c>
      <c r="J865" s="988">
        <v>35765</v>
      </c>
    </row>
    <row r="866" spans="1:10">
      <c r="A866" s="987">
        <v>66</v>
      </c>
      <c r="B866" s="988">
        <v>35796</v>
      </c>
      <c r="C866" s="987" t="s">
        <v>4651</v>
      </c>
      <c r="D866" s="987" t="s">
        <v>4652</v>
      </c>
      <c r="E866" s="987">
        <v>24.9375</v>
      </c>
      <c r="F866" s="987">
        <v>-0.111359</v>
      </c>
      <c r="G866" s="987">
        <v>0</v>
      </c>
      <c r="H866" s="986">
        <v>4.7999999999999996E-3</v>
      </c>
      <c r="I866" s="986">
        <f t="shared" si="13"/>
        <v>-0.116159</v>
      </c>
      <c r="J866" s="988">
        <v>35796</v>
      </c>
    </row>
    <row r="867" spans="1:10">
      <c r="A867" s="987">
        <v>66</v>
      </c>
      <c r="B867" s="988">
        <v>35827</v>
      </c>
      <c r="C867" s="987" t="s">
        <v>4651</v>
      </c>
      <c r="D867" s="987" t="s">
        <v>4652</v>
      </c>
      <c r="E867" s="987">
        <v>24.8125</v>
      </c>
      <c r="F867" s="987">
        <v>-5.0130000000000001E-3</v>
      </c>
      <c r="G867" s="987">
        <v>0</v>
      </c>
      <c r="H867" s="986">
        <v>4.4000000000000003E-3</v>
      </c>
      <c r="I867" s="986">
        <f t="shared" si="13"/>
        <v>-9.4130000000000012E-3</v>
      </c>
      <c r="J867" s="988">
        <v>35827</v>
      </c>
    </row>
    <row r="868" spans="1:10">
      <c r="A868" s="987">
        <v>66</v>
      </c>
      <c r="B868" s="988">
        <v>35855</v>
      </c>
      <c r="C868" s="987" t="s">
        <v>4651</v>
      </c>
      <c r="D868" s="987" t="s">
        <v>4652</v>
      </c>
      <c r="E868" s="987">
        <v>25.0625</v>
      </c>
      <c r="F868" s="987">
        <v>2.3375E-2</v>
      </c>
      <c r="G868" s="987">
        <v>0.33</v>
      </c>
      <c r="H868" s="986">
        <v>5.1999999999999998E-3</v>
      </c>
      <c r="I868" s="986">
        <f t="shared" si="13"/>
        <v>1.8175E-2</v>
      </c>
      <c r="J868" s="988">
        <v>35855</v>
      </c>
    </row>
    <row r="869" spans="1:10">
      <c r="A869" s="987">
        <v>66</v>
      </c>
      <c r="B869" s="988">
        <v>35886</v>
      </c>
      <c r="C869" s="987" t="s">
        <v>4651</v>
      </c>
      <c r="D869" s="987" t="s">
        <v>4652</v>
      </c>
      <c r="E869" s="987">
        <v>24.75</v>
      </c>
      <c r="F869" s="987">
        <v>-1.2468999999999999E-2</v>
      </c>
      <c r="G869" s="987">
        <v>0</v>
      </c>
      <c r="H869" s="986">
        <v>4.8999999999999998E-3</v>
      </c>
      <c r="I869" s="986">
        <f t="shared" si="13"/>
        <v>-1.7368999999999999E-2</v>
      </c>
      <c r="J869" s="988">
        <v>35886</v>
      </c>
    </row>
    <row r="870" spans="1:10">
      <c r="A870" s="987">
        <v>66</v>
      </c>
      <c r="B870" s="988">
        <v>35916</v>
      </c>
      <c r="C870" s="987" t="s">
        <v>4651</v>
      </c>
      <c r="D870" s="987" t="s">
        <v>4652</v>
      </c>
      <c r="E870" s="987">
        <v>24.75</v>
      </c>
      <c r="F870" s="987">
        <v>0</v>
      </c>
      <c r="G870" s="987">
        <v>0</v>
      </c>
      <c r="H870" s="986">
        <v>4.7999999999999996E-3</v>
      </c>
      <c r="I870" s="986">
        <f t="shared" si="13"/>
        <v>-4.7999999999999996E-3</v>
      </c>
      <c r="J870" s="988">
        <v>35916</v>
      </c>
    </row>
    <row r="871" spans="1:10">
      <c r="A871" s="987">
        <v>66</v>
      </c>
      <c r="B871" s="988">
        <v>35947</v>
      </c>
      <c r="C871" s="987" t="s">
        <v>4651</v>
      </c>
      <c r="D871" s="987" t="s">
        <v>4652</v>
      </c>
      <c r="E871" s="987">
        <v>24.5</v>
      </c>
      <c r="F871" s="987">
        <v>3.2320000000000001E-3</v>
      </c>
      <c r="G871" s="987">
        <v>0.33</v>
      </c>
      <c r="H871" s="986">
        <v>5.1999999999999998E-3</v>
      </c>
      <c r="I871" s="986">
        <f t="shared" si="13"/>
        <v>-1.9679999999999997E-3</v>
      </c>
      <c r="J871" s="988">
        <v>35947</v>
      </c>
    </row>
    <row r="872" spans="1:10">
      <c r="A872" s="987">
        <v>66</v>
      </c>
      <c r="B872" s="988">
        <v>35977</v>
      </c>
      <c r="C872" s="987" t="s">
        <v>4651</v>
      </c>
      <c r="D872" s="987" t="s">
        <v>4652</v>
      </c>
      <c r="E872" s="987">
        <v>23.3125</v>
      </c>
      <c r="F872" s="987">
        <v>-4.8468999999999998E-2</v>
      </c>
      <c r="G872" s="987">
        <v>0</v>
      </c>
      <c r="H872" s="986">
        <v>4.8999999999999998E-3</v>
      </c>
      <c r="I872" s="986">
        <f t="shared" si="13"/>
        <v>-5.3369E-2</v>
      </c>
      <c r="J872" s="988">
        <v>35977</v>
      </c>
    </row>
    <row r="873" spans="1:10">
      <c r="A873" s="987">
        <v>66</v>
      </c>
      <c r="B873" s="988">
        <v>36008</v>
      </c>
      <c r="C873" s="987" t="s">
        <v>4651</v>
      </c>
      <c r="D873" s="987" t="s">
        <v>4652</v>
      </c>
      <c r="E873" s="987">
        <v>22.625</v>
      </c>
      <c r="F873" s="987">
        <v>-2.9491E-2</v>
      </c>
      <c r="G873" s="987">
        <v>0</v>
      </c>
      <c r="H873" s="986">
        <v>4.7999999999999996E-3</v>
      </c>
      <c r="I873" s="986">
        <f t="shared" si="13"/>
        <v>-3.4291000000000002E-2</v>
      </c>
      <c r="J873" s="988">
        <v>36008</v>
      </c>
    </row>
    <row r="874" spans="1:10">
      <c r="A874" s="987">
        <v>66</v>
      </c>
      <c r="B874" s="988">
        <v>36039</v>
      </c>
      <c r="C874" s="987" t="s">
        <v>4651</v>
      </c>
      <c r="D874" s="987" t="s">
        <v>4652</v>
      </c>
      <c r="E874" s="987">
        <v>23.0625</v>
      </c>
      <c r="F874" s="987">
        <v>3.3923000000000002E-2</v>
      </c>
      <c r="G874" s="987">
        <v>0.33</v>
      </c>
      <c r="H874" s="986">
        <v>4.4000000000000003E-3</v>
      </c>
      <c r="I874" s="986">
        <f t="shared" si="13"/>
        <v>2.9523000000000001E-2</v>
      </c>
      <c r="J874" s="988">
        <v>36039</v>
      </c>
    </row>
    <row r="875" spans="1:10">
      <c r="A875" s="987">
        <v>66</v>
      </c>
      <c r="B875" s="988">
        <v>36069</v>
      </c>
      <c r="C875" s="987" t="s">
        <v>4651</v>
      </c>
      <c r="D875" s="987" t="s">
        <v>4652</v>
      </c>
      <c r="E875" s="987">
        <v>25.625</v>
      </c>
      <c r="F875" s="987">
        <v>0.111111</v>
      </c>
      <c r="G875" s="987">
        <v>0</v>
      </c>
      <c r="H875" s="986">
        <v>4.1999999999999997E-3</v>
      </c>
      <c r="I875" s="986">
        <f t="shared" si="13"/>
        <v>0.10691100000000001</v>
      </c>
      <c r="J875" s="988">
        <v>36069</v>
      </c>
    </row>
    <row r="876" spans="1:10">
      <c r="A876" s="987">
        <v>66</v>
      </c>
      <c r="B876" s="988">
        <v>36100</v>
      </c>
      <c r="C876" s="987" t="s">
        <v>4651</v>
      </c>
      <c r="D876" s="987" t="s">
        <v>4652</v>
      </c>
      <c r="E876" s="987">
        <v>25.0625</v>
      </c>
      <c r="F876" s="987">
        <v>-2.1950999999999998E-2</v>
      </c>
      <c r="G876" s="987">
        <v>0</v>
      </c>
      <c r="H876" s="986">
        <v>4.4999999999999997E-3</v>
      </c>
      <c r="I876" s="986">
        <f t="shared" si="13"/>
        <v>-2.6450999999999999E-2</v>
      </c>
      <c r="J876" s="988">
        <v>36100</v>
      </c>
    </row>
    <row r="877" spans="1:10">
      <c r="A877" s="987">
        <v>66</v>
      </c>
      <c r="B877" s="988">
        <v>36130</v>
      </c>
      <c r="C877" s="987" t="s">
        <v>4651</v>
      </c>
      <c r="D877" s="987" t="s">
        <v>4652</v>
      </c>
      <c r="E877" s="987">
        <v>26.75</v>
      </c>
      <c r="F877" s="987">
        <v>8.0698000000000006E-2</v>
      </c>
      <c r="G877" s="987">
        <v>0.33500000000000002</v>
      </c>
      <c r="H877" s="986">
        <v>4.4999999999999997E-3</v>
      </c>
      <c r="I877" s="986">
        <f t="shared" si="13"/>
        <v>7.6198000000000002E-2</v>
      </c>
      <c r="J877" s="988">
        <v>36130</v>
      </c>
    </row>
    <row r="878" spans="1:10">
      <c r="A878" s="987">
        <v>66</v>
      </c>
      <c r="B878" s="988">
        <v>36161</v>
      </c>
      <c r="C878" s="987" t="s">
        <v>4651</v>
      </c>
      <c r="D878" s="987" t="s">
        <v>4652</v>
      </c>
      <c r="E878" s="987">
        <v>23.5625</v>
      </c>
      <c r="F878" s="987">
        <v>-0.119159</v>
      </c>
      <c r="G878" s="987">
        <v>0</v>
      </c>
      <c r="H878" s="986">
        <v>4.1999999999999997E-3</v>
      </c>
      <c r="I878" s="986">
        <f t="shared" si="13"/>
        <v>-0.123359</v>
      </c>
      <c r="J878" s="988">
        <v>36161</v>
      </c>
    </row>
    <row r="879" spans="1:10">
      <c r="A879" s="987">
        <v>66</v>
      </c>
      <c r="B879" s="988">
        <v>36192</v>
      </c>
      <c r="C879" s="987" t="s">
        <v>4651</v>
      </c>
      <c r="D879" s="987" t="s">
        <v>4652</v>
      </c>
      <c r="E879" s="987">
        <v>23</v>
      </c>
      <c r="F879" s="987">
        <v>-2.3872999999999998E-2</v>
      </c>
      <c r="G879" s="987">
        <v>0</v>
      </c>
      <c r="H879" s="986">
        <v>4.0000000000000001E-3</v>
      </c>
      <c r="I879" s="986">
        <f t="shared" si="13"/>
        <v>-2.7872999999999998E-2</v>
      </c>
      <c r="J879" s="988">
        <v>36192</v>
      </c>
    </row>
    <row r="880" spans="1:10">
      <c r="A880" s="987">
        <v>66</v>
      </c>
      <c r="B880" s="988">
        <v>36220</v>
      </c>
      <c r="C880" s="987" t="s">
        <v>4651</v>
      </c>
      <c r="D880" s="987" t="s">
        <v>4652</v>
      </c>
      <c r="E880" s="987">
        <v>20.9375</v>
      </c>
      <c r="F880" s="987">
        <v>-7.5108999999999995E-2</v>
      </c>
      <c r="G880" s="987">
        <v>0.33500000000000002</v>
      </c>
      <c r="H880" s="986">
        <v>5.3E-3</v>
      </c>
      <c r="I880" s="986">
        <f t="shared" si="13"/>
        <v>-8.0408999999999994E-2</v>
      </c>
      <c r="J880" s="988">
        <v>36220</v>
      </c>
    </row>
    <row r="881" spans="1:10">
      <c r="A881" s="987">
        <v>66</v>
      </c>
      <c r="B881" s="988">
        <v>36251</v>
      </c>
      <c r="C881" s="987" t="s">
        <v>4651</v>
      </c>
      <c r="D881" s="987" t="s">
        <v>4652</v>
      </c>
      <c r="E881" s="987">
        <v>20.1875</v>
      </c>
      <c r="F881" s="987">
        <v>-3.5820999999999999E-2</v>
      </c>
      <c r="G881" s="987">
        <v>0</v>
      </c>
      <c r="H881" s="986">
        <v>4.7999999999999996E-3</v>
      </c>
      <c r="I881" s="986">
        <f t="shared" si="13"/>
        <v>-4.0620999999999997E-2</v>
      </c>
      <c r="J881" s="988">
        <v>36251</v>
      </c>
    </row>
    <row r="882" spans="1:10">
      <c r="A882" s="987">
        <v>66</v>
      </c>
      <c r="B882" s="988">
        <v>36281</v>
      </c>
      <c r="C882" s="987" t="s">
        <v>4651</v>
      </c>
      <c r="D882" s="987" t="s">
        <v>4652</v>
      </c>
      <c r="E882" s="987">
        <v>22.0625</v>
      </c>
      <c r="F882" s="987">
        <v>9.2879000000000003E-2</v>
      </c>
      <c r="G882" s="987">
        <v>0</v>
      </c>
      <c r="H882" s="986">
        <v>4.4999999999999997E-3</v>
      </c>
      <c r="I882" s="986">
        <f t="shared" si="13"/>
        <v>8.8378999999999999E-2</v>
      </c>
      <c r="J882" s="988">
        <v>36281</v>
      </c>
    </row>
    <row r="883" spans="1:10">
      <c r="A883" s="987">
        <v>66</v>
      </c>
      <c r="B883" s="988">
        <v>36312</v>
      </c>
      <c r="C883" s="987" t="s">
        <v>4651</v>
      </c>
      <c r="D883" s="987" t="s">
        <v>4652</v>
      </c>
      <c r="E883" s="987">
        <v>23.25</v>
      </c>
      <c r="F883" s="987">
        <v>6.9008E-2</v>
      </c>
      <c r="G883" s="987">
        <v>0.33500000000000002</v>
      </c>
      <c r="H883" s="986">
        <v>5.4999999999999997E-3</v>
      </c>
      <c r="I883" s="986">
        <f t="shared" si="13"/>
        <v>6.3507999999999995E-2</v>
      </c>
      <c r="J883" s="988">
        <v>36312</v>
      </c>
    </row>
    <row r="884" spans="1:10">
      <c r="A884" s="987">
        <v>66</v>
      </c>
      <c r="B884" s="988">
        <v>36342</v>
      </c>
      <c r="C884" s="987" t="s">
        <v>4651</v>
      </c>
      <c r="D884" s="987" t="s">
        <v>4652</v>
      </c>
      <c r="E884" s="987">
        <v>23.4375</v>
      </c>
      <c r="F884" s="987">
        <v>8.0649999999999993E-3</v>
      </c>
      <c r="G884" s="987">
        <v>0</v>
      </c>
      <c r="H884" s="986">
        <v>5.1000000000000004E-3</v>
      </c>
      <c r="I884" s="986">
        <f t="shared" si="13"/>
        <v>2.9649999999999989E-3</v>
      </c>
      <c r="J884" s="988">
        <v>36342</v>
      </c>
    </row>
    <row r="885" spans="1:10">
      <c r="A885" s="987">
        <v>66</v>
      </c>
      <c r="B885" s="988">
        <v>36373</v>
      </c>
      <c r="C885" s="987" t="s">
        <v>4651</v>
      </c>
      <c r="D885" s="987" t="s">
        <v>4652</v>
      </c>
      <c r="E885" s="987">
        <v>21.6875</v>
      </c>
      <c r="F885" s="987">
        <v>-7.4666999999999997E-2</v>
      </c>
      <c r="G885" s="987">
        <v>0</v>
      </c>
      <c r="H885" s="986">
        <v>5.4000000000000003E-3</v>
      </c>
      <c r="I885" s="986">
        <f t="shared" si="13"/>
        <v>-8.0066999999999999E-2</v>
      </c>
      <c r="J885" s="988">
        <v>36373</v>
      </c>
    </row>
    <row r="886" spans="1:10">
      <c r="A886" s="987">
        <v>66</v>
      </c>
      <c r="B886" s="988">
        <v>36404</v>
      </c>
      <c r="C886" s="987" t="s">
        <v>4651</v>
      </c>
      <c r="D886" s="987" t="s">
        <v>4652</v>
      </c>
      <c r="E886" s="987">
        <v>22.75</v>
      </c>
      <c r="F886" s="987">
        <v>6.4437999999999995E-2</v>
      </c>
      <c r="G886" s="987">
        <v>0.33500000000000002</v>
      </c>
      <c r="H886" s="986">
        <v>5.1999999999999998E-3</v>
      </c>
      <c r="I886" s="986">
        <f t="shared" si="13"/>
        <v>5.9237999999999999E-2</v>
      </c>
      <c r="J886" s="988">
        <v>36404</v>
      </c>
    </row>
    <row r="887" spans="1:10">
      <c r="A887" s="987">
        <v>66</v>
      </c>
      <c r="B887" s="988">
        <v>36434</v>
      </c>
      <c r="C887" s="987" t="s">
        <v>4651</v>
      </c>
      <c r="D887" s="987" t="s">
        <v>4652</v>
      </c>
      <c r="E887" s="987">
        <v>21.3125</v>
      </c>
      <c r="F887" s="987">
        <v>-6.3186999999999993E-2</v>
      </c>
      <c r="G887" s="987">
        <v>0</v>
      </c>
      <c r="H887" s="986">
        <v>5.0000000000000001E-3</v>
      </c>
      <c r="I887" s="986">
        <f t="shared" si="13"/>
        <v>-6.8186999999999998E-2</v>
      </c>
      <c r="J887" s="988">
        <v>36434</v>
      </c>
    </row>
    <row r="888" spans="1:10">
      <c r="A888" s="987">
        <v>66</v>
      </c>
      <c r="B888" s="988">
        <v>36465</v>
      </c>
      <c r="C888" s="987" t="s">
        <v>4651</v>
      </c>
      <c r="D888" s="987" t="s">
        <v>4652</v>
      </c>
      <c r="E888" s="987">
        <v>21.875</v>
      </c>
      <c r="F888" s="987">
        <v>2.6393E-2</v>
      </c>
      <c r="G888" s="987">
        <v>0</v>
      </c>
      <c r="H888" s="986">
        <v>5.5999999999999999E-3</v>
      </c>
      <c r="I888" s="986">
        <f t="shared" si="13"/>
        <v>2.0792999999999999E-2</v>
      </c>
      <c r="J888" s="988">
        <v>36465</v>
      </c>
    </row>
    <row r="889" spans="1:10">
      <c r="A889" s="987">
        <v>66</v>
      </c>
      <c r="B889" s="988">
        <v>36495</v>
      </c>
      <c r="C889" s="987" t="s">
        <v>4651</v>
      </c>
      <c r="D889" s="987" t="s">
        <v>4652</v>
      </c>
      <c r="E889" s="987">
        <v>21.625</v>
      </c>
      <c r="F889" s="987">
        <v>3.8860000000000001E-3</v>
      </c>
      <c r="G889" s="987">
        <v>0.33500000000000002</v>
      </c>
      <c r="H889" s="986">
        <v>5.4999999999999997E-3</v>
      </c>
      <c r="I889" s="986">
        <f t="shared" si="13"/>
        <v>-1.6139999999999995E-3</v>
      </c>
      <c r="J889" s="988">
        <v>36495</v>
      </c>
    </row>
    <row r="890" spans="1:10">
      <c r="A890" s="987">
        <v>66</v>
      </c>
      <c r="B890" s="988">
        <v>36526</v>
      </c>
      <c r="C890" s="987" t="s">
        <v>4651</v>
      </c>
      <c r="D890" s="987" t="s">
        <v>4652</v>
      </c>
      <c r="E890" s="987">
        <v>18.875</v>
      </c>
      <c r="F890" s="987">
        <v>-0.127168</v>
      </c>
      <c r="G890" s="987">
        <v>0</v>
      </c>
      <c r="H890" s="986">
        <v>5.7000000000000002E-3</v>
      </c>
      <c r="I890" s="986">
        <f t="shared" si="13"/>
        <v>-0.13286800000000001</v>
      </c>
      <c r="J890" s="988">
        <v>36526</v>
      </c>
    </row>
    <row r="891" spans="1:10">
      <c r="A891" s="987">
        <v>66</v>
      </c>
      <c r="B891" s="988">
        <v>36557</v>
      </c>
      <c r="C891" s="987" t="s">
        <v>4651</v>
      </c>
      <c r="D891" s="987" t="s">
        <v>4652</v>
      </c>
      <c r="E891" s="987">
        <v>20</v>
      </c>
      <c r="F891" s="987">
        <v>5.9603000000000003E-2</v>
      </c>
      <c r="G891" s="987">
        <v>0</v>
      </c>
      <c r="H891" s="986">
        <v>5.1000000000000004E-3</v>
      </c>
      <c r="I891" s="986">
        <f t="shared" si="13"/>
        <v>5.4503000000000003E-2</v>
      </c>
      <c r="J891" s="988">
        <v>36557</v>
      </c>
    </row>
    <row r="892" spans="1:10">
      <c r="A892" s="987">
        <v>66</v>
      </c>
      <c r="B892" s="988">
        <v>36586</v>
      </c>
      <c r="C892" s="987" t="s">
        <v>4651</v>
      </c>
      <c r="D892" s="987" t="s">
        <v>4652</v>
      </c>
      <c r="E892" s="987">
        <v>20</v>
      </c>
      <c r="F892" s="987">
        <v>1.6750000000000001E-2</v>
      </c>
      <c r="G892" s="987">
        <v>0.33500000000000002</v>
      </c>
      <c r="H892" s="986">
        <v>5.4000000000000003E-3</v>
      </c>
      <c r="I892" s="986">
        <f t="shared" si="13"/>
        <v>1.1350000000000001E-2</v>
      </c>
      <c r="J892" s="988">
        <v>36586</v>
      </c>
    </row>
    <row r="893" spans="1:10">
      <c r="A893" s="987">
        <v>66</v>
      </c>
      <c r="B893" s="988">
        <v>36617</v>
      </c>
      <c r="C893" s="987" t="s">
        <v>4651</v>
      </c>
      <c r="D893" s="987" t="s">
        <v>4652</v>
      </c>
      <c r="E893" s="987">
        <v>19.625</v>
      </c>
      <c r="F893" s="987">
        <v>-1.8749999999999999E-2</v>
      </c>
      <c r="G893" s="987">
        <v>0</v>
      </c>
      <c r="H893" s="986">
        <v>4.7000000000000002E-3</v>
      </c>
      <c r="I893" s="986">
        <f t="shared" si="13"/>
        <v>-2.3449999999999999E-2</v>
      </c>
      <c r="J893" s="988">
        <v>36617</v>
      </c>
    </row>
    <row r="894" spans="1:10">
      <c r="A894" s="987">
        <v>66</v>
      </c>
      <c r="B894" s="988">
        <v>36647</v>
      </c>
      <c r="C894" s="987" t="s">
        <v>4651</v>
      </c>
      <c r="D894" s="987" t="s">
        <v>4652</v>
      </c>
      <c r="E894" s="987">
        <v>19.6875</v>
      </c>
      <c r="F894" s="987">
        <v>3.1849999999999999E-3</v>
      </c>
      <c r="G894" s="987">
        <v>0</v>
      </c>
      <c r="H894" s="986">
        <v>5.5999999999999999E-3</v>
      </c>
      <c r="I894" s="986">
        <f t="shared" si="13"/>
        <v>-2.415E-3</v>
      </c>
      <c r="J894" s="988">
        <v>36647</v>
      </c>
    </row>
    <row r="895" spans="1:10">
      <c r="A895" s="987">
        <v>66</v>
      </c>
      <c r="B895" s="988">
        <v>36678</v>
      </c>
      <c r="C895" s="987" t="s">
        <v>4651</v>
      </c>
      <c r="D895" s="987" t="s">
        <v>4652</v>
      </c>
      <c r="E895" s="987">
        <v>19.25</v>
      </c>
      <c r="F895" s="987">
        <v>-5.2059999999999997E-3</v>
      </c>
      <c r="G895" s="987">
        <v>0.33500000000000002</v>
      </c>
      <c r="H895" s="986">
        <v>5.1999999999999998E-3</v>
      </c>
      <c r="I895" s="986">
        <f t="shared" si="13"/>
        <v>-1.0405999999999999E-2</v>
      </c>
      <c r="J895" s="988">
        <v>36678</v>
      </c>
    </row>
    <row r="896" spans="1:10">
      <c r="A896" s="987">
        <v>66</v>
      </c>
      <c r="B896" s="988">
        <v>36708</v>
      </c>
      <c r="C896" s="987" t="s">
        <v>4651</v>
      </c>
      <c r="D896" s="987" t="s">
        <v>4652</v>
      </c>
      <c r="E896" s="987">
        <v>19.8125</v>
      </c>
      <c r="F896" s="987">
        <v>2.9221E-2</v>
      </c>
      <c r="G896" s="987">
        <v>0</v>
      </c>
      <c r="H896" s="986">
        <v>5.1999999999999998E-3</v>
      </c>
      <c r="I896" s="986">
        <f t="shared" si="13"/>
        <v>2.4021000000000001E-2</v>
      </c>
      <c r="J896" s="988">
        <v>36708</v>
      </c>
    </row>
    <row r="897" spans="1:10">
      <c r="A897" s="987">
        <v>66</v>
      </c>
      <c r="B897" s="988">
        <v>36739</v>
      </c>
      <c r="C897" s="987" t="s">
        <v>4651</v>
      </c>
      <c r="D897" s="987" t="s">
        <v>4652</v>
      </c>
      <c r="E897" s="987">
        <v>21.5625</v>
      </c>
      <c r="F897" s="987">
        <v>8.8328000000000004E-2</v>
      </c>
      <c r="G897" s="987">
        <v>0</v>
      </c>
      <c r="H897" s="986">
        <v>5.0000000000000001E-3</v>
      </c>
      <c r="I897" s="986">
        <f t="shared" si="13"/>
        <v>8.3327999999999999E-2</v>
      </c>
      <c r="J897" s="988">
        <v>36739</v>
      </c>
    </row>
    <row r="898" spans="1:10">
      <c r="A898" s="987">
        <v>66</v>
      </c>
      <c r="B898" s="988">
        <v>36770</v>
      </c>
      <c r="C898" s="987" t="s">
        <v>4651</v>
      </c>
      <c r="D898" s="987" t="s">
        <v>4652</v>
      </c>
      <c r="E898" s="987">
        <v>21.625</v>
      </c>
      <c r="F898" s="987">
        <v>1.8435E-2</v>
      </c>
      <c r="G898" s="987">
        <v>0.33500000000000002</v>
      </c>
      <c r="H898" s="986">
        <v>4.5999999999999999E-3</v>
      </c>
      <c r="I898" s="986">
        <f t="shared" ref="I898:I961" si="14">F898-H898</f>
        <v>1.3835E-2</v>
      </c>
      <c r="J898" s="988">
        <v>36770</v>
      </c>
    </row>
    <row r="899" spans="1:10">
      <c r="A899" s="987">
        <v>66</v>
      </c>
      <c r="B899" s="988">
        <v>36800</v>
      </c>
      <c r="C899" s="987" t="s">
        <v>4651</v>
      </c>
      <c r="D899" s="987" t="s">
        <v>4652</v>
      </c>
      <c r="E899" s="987">
        <v>21.875</v>
      </c>
      <c r="F899" s="987">
        <v>1.1561E-2</v>
      </c>
      <c r="G899" s="987">
        <v>0</v>
      </c>
      <c r="H899" s="986">
        <v>5.3E-3</v>
      </c>
      <c r="I899" s="986">
        <f t="shared" si="14"/>
        <v>6.2610000000000001E-3</v>
      </c>
      <c r="J899" s="988">
        <v>36800</v>
      </c>
    </row>
    <row r="900" spans="1:10">
      <c r="A900" s="987">
        <v>66</v>
      </c>
      <c r="B900" s="988">
        <v>36831</v>
      </c>
      <c r="C900" s="987" t="s">
        <v>4651</v>
      </c>
      <c r="D900" s="987" t="s">
        <v>4652</v>
      </c>
      <c r="E900" s="987">
        <v>22.75</v>
      </c>
      <c r="F900" s="987">
        <v>0.04</v>
      </c>
      <c r="G900" s="987">
        <v>0</v>
      </c>
      <c r="H900" s="986">
        <v>4.7999999999999996E-3</v>
      </c>
      <c r="I900" s="986">
        <f t="shared" si="14"/>
        <v>3.5200000000000002E-2</v>
      </c>
      <c r="J900" s="988">
        <v>36831</v>
      </c>
    </row>
    <row r="901" spans="1:10">
      <c r="A901" s="987">
        <v>66</v>
      </c>
      <c r="B901" s="988">
        <v>36861</v>
      </c>
      <c r="C901" s="987" t="s">
        <v>4651</v>
      </c>
      <c r="D901" s="987" t="s">
        <v>4652</v>
      </c>
      <c r="E901" s="987">
        <v>23.375</v>
      </c>
      <c r="F901" s="987">
        <v>4.2197999999999999E-2</v>
      </c>
      <c r="G901" s="987">
        <v>0.33500000000000002</v>
      </c>
      <c r="H901" s="986">
        <v>4.4999999999999997E-3</v>
      </c>
      <c r="I901" s="986">
        <f t="shared" si="14"/>
        <v>3.7698000000000002E-2</v>
      </c>
      <c r="J901" s="988">
        <v>36861</v>
      </c>
    </row>
    <row r="902" spans="1:10">
      <c r="A902" s="987">
        <v>66</v>
      </c>
      <c r="B902" s="988">
        <v>36892</v>
      </c>
      <c r="C902" s="987" t="s">
        <v>4651</v>
      </c>
      <c r="D902" s="987" t="s">
        <v>4652</v>
      </c>
      <c r="E902" s="987">
        <v>21.25</v>
      </c>
      <c r="F902" s="987">
        <v>-9.0909000000000004E-2</v>
      </c>
      <c r="G902" s="987">
        <v>0</v>
      </c>
      <c r="H902" s="986">
        <v>4.8999999999999998E-3</v>
      </c>
      <c r="I902" s="986">
        <f t="shared" si="14"/>
        <v>-9.5809000000000005E-2</v>
      </c>
      <c r="J902" s="988">
        <v>36892</v>
      </c>
    </row>
    <row r="903" spans="1:10">
      <c r="A903" s="987">
        <v>66</v>
      </c>
      <c r="B903" s="988">
        <v>36923</v>
      </c>
      <c r="C903" s="987" t="s">
        <v>4651</v>
      </c>
      <c r="D903" s="987" t="s">
        <v>4652</v>
      </c>
      <c r="E903" s="987">
        <v>23.85</v>
      </c>
      <c r="F903" s="987">
        <v>0.122353</v>
      </c>
      <c r="G903" s="987">
        <v>0</v>
      </c>
      <c r="H903" s="986">
        <v>4.1999999999999997E-3</v>
      </c>
      <c r="I903" s="986">
        <f t="shared" si="14"/>
        <v>0.11815300000000001</v>
      </c>
      <c r="J903" s="988">
        <v>36923</v>
      </c>
    </row>
    <row r="904" spans="1:10">
      <c r="A904" s="987">
        <v>66</v>
      </c>
      <c r="B904" s="988">
        <v>36951</v>
      </c>
      <c r="C904" s="987" t="s">
        <v>4651</v>
      </c>
      <c r="D904" s="987" t="s">
        <v>4652</v>
      </c>
      <c r="E904" s="987">
        <v>23.3</v>
      </c>
      <c r="F904" s="987">
        <v>-9.0150000000000004E-3</v>
      </c>
      <c r="G904" s="987">
        <v>0.33500000000000002</v>
      </c>
      <c r="H904" s="986">
        <v>4.4999999999999997E-3</v>
      </c>
      <c r="I904" s="986">
        <f t="shared" si="14"/>
        <v>-1.3514999999999999E-2</v>
      </c>
      <c r="J904" s="988">
        <v>36951</v>
      </c>
    </row>
    <row r="905" spans="1:10">
      <c r="A905" s="987">
        <v>66</v>
      </c>
      <c r="B905" s="988">
        <v>36982</v>
      </c>
      <c r="C905" s="987" t="s">
        <v>4651</v>
      </c>
      <c r="D905" s="987" t="s">
        <v>4652</v>
      </c>
      <c r="E905" s="987">
        <v>24</v>
      </c>
      <c r="F905" s="987">
        <v>3.0043E-2</v>
      </c>
      <c r="G905" s="987">
        <v>0</v>
      </c>
      <c r="H905" s="986">
        <v>4.7000000000000002E-3</v>
      </c>
      <c r="I905" s="986">
        <f t="shared" si="14"/>
        <v>2.5343000000000001E-2</v>
      </c>
      <c r="J905" s="988">
        <v>36982</v>
      </c>
    </row>
    <row r="906" spans="1:10">
      <c r="A906" s="987">
        <v>66</v>
      </c>
      <c r="B906" s="988">
        <v>37012</v>
      </c>
      <c r="C906" s="987" t="s">
        <v>4651</v>
      </c>
      <c r="D906" s="987" t="s">
        <v>4652</v>
      </c>
      <c r="E906" s="987">
        <v>23.9</v>
      </c>
      <c r="F906" s="987">
        <v>-4.1669999999999997E-3</v>
      </c>
      <c r="G906" s="987">
        <v>0</v>
      </c>
      <c r="H906" s="986">
        <v>5.0000000000000001E-3</v>
      </c>
      <c r="I906" s="986">
        <f t="shared" si="14"/>
        <v>-9.1669999999999998E-3</v>
      </c>
      <c r="J906" s="988">
        <v>37012</v>
      </c>
    </row>
    <row r="907" spans="1:10">
      <c r="A907" s="987">
        <v>66</v>
      </c>
      <c r="B907" s="988">
        <v>37043</v>
      </c>
      <c r="C907" s="987" t="s">
        <v>4651</v>
      </c>
      <c r="D907" s="987" t="s">
        <v>4652</v>
      </c>
      <c r="E907" s="987">
        <v>25.4</v>
      </c>
      <c r="F907" s="987">
        <v>7.6777999999999999E-2</v>
      </c>
      <c r="G907" s="987">
        <v>0.33500000000000002</v>
      </c>
      <c r="H907" s="986">
        <v>4.7000000000000002E-3</v>
      </c>
      <c r="I907" s="986">
        <f t="shared" si="14"/>
        <v>7.2078000000000003E-2</v>
      </c>
      <c r="J907" s="988">
        <v>37043</v>
      </c>
    </row>
    <row r="908" spans="1:10">
      <c r="A908" s="987">
        <v>66</v>
      </c>
      <c r="B908" s="988">
        <v>37073</v>
      </c>
      <c r="C908" s="987" t="s">
        <v>4651</v>
      </c>
      <c r="D908" s="987" t="s">
        <v>4652</v>
      </c>
      <c r="E908" s="987">
        <v>22</v>
      </c>
      <c r="F908" s="987">
        <v>-0.133858</v>
      </c>
      <c r="G908" s="987">
        <v>0</v>
      </c>
      <c r="H908" s="986">
        <v>5.1999999999999998E-3</v>
      </c>
      <c r="I908" s="986">
        <f t="shared" si="14"/>
        <v>-0.13905800000000001</v>
      </c>
      <c r="J908" s="988">
        <v>37073</v>
      </c>
    </row>
    <row r="909" spans="1:10">
      <c r="A909" s="987">
        <v>66</v>
      </c>
      <c r="B909" s="988">
        <v>37104</v>
      </c>
      <c r="C909" s="987" t="s">
        <v>4651</v>
      </c>
      <c r="D909" s="987" t="s">
        <v>4652</v>
      </c>
      <c r="E909" s="987">
        <v>23.9</v>
      </c>
      <c r="F909" s="987">
        <v>8.6363999999999996E-2</v>
      </c>
      <c r="G909" s="987">
        <v>0</v>
      </c>
      <c r="H909" s="986">
        <v>4.5999999999999999E-3</v>
      </c>
      <c r="I909" s="986">
        <f t="shared" si="14"/>
        <v>8.1764000000000003E-2</v>
      </c>
      <c r="J909" s="988">
        <v>37104</v>
      </c>
    </row>
    <row r="910" spans="1:10">
      <c r="A910" s="987">
        <v>66</v>
      </c>
      <c r="B910" s="988">
        <v>37135</v>
      </c>
      <c r="C910" s="987" t="s">
        <v>4651</v>
      </c>
      <c r="D910" s="987" t="s">
        <v>4652</v>
      </c>
      <c r="E910" s="987">
        <v>24</v>
      </c>
      <c r="F910" s="987">
        <v>1.8200999999999998E-2</v>
      </c>
      <c r="G910" s="987">
        <v>0.33500000000000002</v>
      </c>
      <c r="H910" s="986">
        <v>4.1000000000000003E-3</v>
      </c>
      <c r="I910" s="986">
        <f t="shared" si="14"/>
        <v>1.4100999999999999E-2</v>
      </c>
      <c r="J910" s="988">
        <v>37135</v>
      </c>
    </row>
    <row r="911" spans="1:10">
      <c r="A911" s="987">
        <v>66</v>
      </c>
      <c r="B911" s="988">
        <v>37165</v>
      </c>
      <c r="C911" s="987" t="s">
        <v>4653</v>
      </c>
      <c r="D911" s="987" t="s">
        <v>4652</v>
      </c>
      <c r="E911" s="987">
        <v>22.8</v>
      </c>
      <c r="F911" s="987">
        <v>-0.05</v>
      </c>
      <c r="G911" s="987">
        <v>0</v>
      </c>
      <c r="H911" s="986">
        <v>4.7999999999999996E-3</v>
      </c>
      <c r="I911" s="986">
        <f t="shared" si="14"/>
        <v>-5.4800000000000001E-2</v>
      </c>
      <c r="J911" s="988">
        <v>37165</v>
      </c>
    </row>
    <row r="912" spans="1:10">
      <c r="A912" s="987">
        <v>66</v>
      </c>
      <c r="B912" s="988">
        <v>37196</v>
      </c>
      <c r="C912" s="987" t="s">
        <v>4653</v>
      </c>
      <c r="D912" s="987" t="s">
        <v>4652</v>
      </c>
      <c r="E912" s="987">
        <v>23.7</v>
      </c>
      <c r="F912" s="987">
        <v>3.9474000000000002E-2</v>
      </c>
      <c r="G912" s="987">
        <v>0</v>
      </c>
      <c r="H912" s="986">
        <v>4.1000000000000003E-3</v>
      </c>
      <c r="I912" s="986">
        <f t="shared" si="14"/>
        <v>3.5374000000000003E-2</v>
      </c>
      <c r="J912" s="988">
        <v>37196</v>
      </c>
    </row>
    <row r="913" spans="1:10">
      <c r="A913" s="987">
        <v>66</v>
      </c>
      <c r="B913" s="988">
        <v>37226</v>
      </c>
      <c r="C913" s="987" t="s">
        <v>4653</v>
      </c>
      <c r="D913" s="987" t="s">
        <v>4652</v>
      </c>
      <c r="E913" s="987">
        <v>23.9</v>
      </c>
      <c r="F913" s="987">
        <v>2.2574E-2</v>
      </c>
      <c r="G913" s="987">
        <v>0.33500000000000002</v>
      </c>
      <c r="H913" s="986">
        <v>4.5999999999999999E-3</v>
      </c>
      <c r="I913" s="986">
        <f t="shared" si="14"/>
        <v>1.7974E-2</v>
      </c>
      <c r="J913" s="988">
        <v>37226</v>
      </c>
    </row>
    <row r="914" spans="1:10">
      <c r="A914" s="987">
        <v>66</v>
      </c>
      <c r="B914" s="988">
        <v>37257</v>
      </c>
      <c r="C914" s="987" t="s">
        <v>4653</v>
      </c>
      <c r="D914" s="987" t="s">
        <v>4652</v>
      </c>
      <c r="E914" s="987">
        <v>23.14</v>
      </c>
      <c r="F914" s="987">
        <v>-3.1799000000000001E-2</v>
      </c>
      <c r="G914" s="987">
        <v>0</v>
      </c>
      <c r="H914" s="986">
        <v>4.7999999999999996E-3</v>
      </c>
      <c r="I914" s="986">
        <f t="shared" si="14"/>
        <v>-3.6599E-2</v>
      </c>
      <c r="J914" s="988">
        <v>37257</v>
      </c>
    </row>
    <row r="915" spans="1:10">
      <c r="A915" s="987">
        <v>66</v>
      </c>
      <c r="B915" s="988">
        <v>37288</v>
      </c>
      <c r="C915" s="987" t="s">
        <v>4653</v>
      </c>
      <c r="D915" s="987" t="s">
        <v>4652</v>
      </c>
      <c r="E915" s="987">
        <v>23.15</v>
      </c>
      <c r="F915" s="987">
        <v>4.3199999999999998E-4</v>
      </c>
      <c r="G915" s="987">
        <v>0</v>
      </c>
      <c r="H915" s="986">
        <v>4.3E-3</v>
      </c>
      <c r="I915" s="986">
        <f t="shared" si="14"/>
        <v>-3.8679999999999999E-3</v>
      </c>
      <c r="J915" s="988">
        <v>37288</v>
      </c>
    </row>
    <row r="916" spans="1:10">
      <c r="A916" s="987">
        <v>66</v>
      </c>
      <c r="B916" s="988">
        <v>37316</v>
      </c>
      <c r="C916" s="987" t="s">
        <v>4653</v>
      </c>
      <c r="D916" s="987" t="s">
        <v>4652</v>
      </c>
      <c r="E916" s="987">
        <v>23.3</v>
      </c>
      <c r="F916" s="987">
        <v>2.095E-2</v>
      </c>
      <c r="G916" s="987">
        <v>0.33500000000000002</v>
      </c>
      <c r="H916" s="986">
        <v>4.3E-3</v>
      </c>
      <c r="I916" s="986">
        <f t="shared" si="14"/>
        <v>1.6649999999999998E-2</v>
      </c>
      <c r="J916" s="988">
        <v>37316</v>
      </c>
    </row>
    <row r="917" spans="1:10">
      <c r="A917" s="987">
        <v>66</v>
      </c>
      <c r="B917" s="988">
        <v>37347</v>
      </c>
      <c r="C917" s="987" t="s">
        <v>4653</v>
      </c>
      <c r="D917" s="987" t="s">
        <v>4652</v>
      </c>
      <c r="E917" s="987">
        <v>24.45</v>
      </c>
      <c r="F917" s="987">
        <v>4.9355999999999997E-2</v>
      </c>
      <c r="G917" s="987">
        <v>0</v>
      </c>
      <c r="H917" s="986">
        <v>5.4000000000000003E-3</v>
      </c>
      <c r="I917" s="986">
        <f t="shared" si="14"/>
        <v>4.3955999999999995E-2</v>
      </c>
      <c r="J917" s="988">
        <v>37347</v>
      </c>
    </row>
    <row r="918" spans="1:10">
      <c r="A918" s="987">
        <v>66</v>
      </c>
      <c r="B918" s="988">
        <v>37377</v>
      </c>
      <c r="C918" s="987" t="s">
        <v>4653</v>
      </c>
      <c r="D918" s="987" t="s">
        <v>4652</v>
      </c>
      <c r="E918" s="987">
        <v>24.58</v>
      </c>
      <c r="F918" s="987">
        <v>5.3169999999999997E-3</v>
      </c>
      <c r="G918" s="987">
        <v>0</v>
      </c>
      <c r="H918" s="986">
        <v>4.8999999999999998E-3</v>
      </c>
      <c r="I918" s="986">
        <f t="shared" si="14"/>
        <v>4.1699999999999984E-4</v>
      </c>
      <c r="J918" s="988">
        <v>37377</v>
      </c>
    </row>
    <row r="919" spans="1:10">
      <c r="A919" s="987">
        <v>66</v>
      </c>
      <c r="B919" s="988">
        <v>37408</v>
      </c>
      <c r="C919" s="987" t="s">
        <v>4653</v>
      </c>
      <c r="D919" s="987" t="s">
        <v>4652</v>
      </c>
      <c r="E919" s="987">
        <v>23.48</v>
      </c>
      <c r="F919" s="987">
        <v>-3.1123000000000001E-2</v>
      </c>
      <c r="G919" s="987">
        <v>0.33500000000000002</v>
      </c>
      <c r="H919" s="986">
        <v>4.4000000000000003E-3</v>
      </c>
      <c r="I919" s="986">
        <f t="shared" si="14"/>
        <v>-3.5522999999999999E-2</v>
      </c>
      <c r="J919" s="988">
        <v>37408</v>
      </c>
    </row>
    <row r="920" spans="1:10">
      <c r="A920" s="987">
        <v>66</v>
      </c>
      <c r="B920" s="988">
        <v>37438</v>
      </c>
      <c r="C920" s="987" t="s">
        <v>4653</v>
      </c>
      <c r="D920" s="987" t="s">
        <v>4652</v>
      </c>
      <c r="E920" s="987">
        <v>22.82</v>
      </c>
      <c r="F920" s="987">
        <v>-2.8108999999999999E-2</v>
      </c>
      <c r="G920" s="987">
        <v>0</v>
      </c>
      <c r="H920" s="986">
        <v>5.1000000000000004E-3</v>
      </c>
      <c r="I920" s="986">
        <f t="shared" si="14"/>
        <v>-3.3209000000000002E-2</v>
      </c>
      <c r="J920" s="988">
        <v>37438</v>
      </c>
    </row>
    <row r="921" spans="1:10">
      <c r="A921" s="987">
        <v>66</v>
      </c>
      <c r="B921" s="988">
        <v>37469</v>
      </c>
      <c r="C921" s="987" t="s">
        <v>4653</v>
      </c>
      <c r="D921" s="987" t="s">
        <v>4652</v>
      </c>
      <c r="E921" s="987">
        <v>24.1</v>
      </c>
      <c r="F921" s="987">
        <v>5.6091000000000002E-2</v>
      </c>
      <c r="G921" s="987">
        <v>0</v>
      </c>
      <c r="H921" s="986">
        <v>4.4000000000000003E-3</v>
      </c>
      <c r="I921" s="986">
        <f t="shared" si="14"/>
        <v>5.1691000000000001E-2</v>
      </c>
      <c r="J921" s="988">
        <v>37469</v>
      </c>
    </row>
    <row r="922" spans="1:10">
      <c r="A922" s="987">
        <v>66</v>
      </c>
      <c r="B922" s="988">
        <v>37500</v>
      </c>
      <c r="C922" s="987" t="s">
        <v>4653</v>
      </c>
      <c r="D922" s="987" t="s">
        <v>4652</v>
      </c>
      <c r="E922" s="987">
        <v>23.3</v>
      </c>
      <c r="F922" s="987">
        <v>-1.9295E-2</v>
      </c>
      <c r="G922" s="987">
        <v>0.33500000000000002</v>
      </c>
      <c r="H922" s="986">
        <v>4.1999999999999997E-3</v>
      </c>
      <c r="I922" s="986">
        <f t="shared" si="14"/>
        <v>-2.3494999999999999E-2</v>
      </c>
      <c r="J922" s="988">
        <v>37500</v>
      </c>
    </row>
    <row r="923" spans="1:10">
      <c r="A923" s="987">
        <v>66</v>
      </c>
      <c r="B923" s="988">
        <v>37530</v>
      </c>
      <c r="C923" s="987" t="s">
        <v>4653</v>
      </c>
      <c r="D923" s="987" t="s">
        <v>4652</v>
      </c>
      <c r="E923" s="987">
        <v>23.6</v>
      </c>
      <c r="F923" s="987">
        <v>1.2876E-2</v>
      </c>
      <c r="G923" s="987">
        <v>0</v>
      </c>
      <c r="H923" s="986">
        <v>4.0000000000000001E-3</v>
      </c>
      <c r="I923" s="986">
        <f t="shared" si="14"/>
        <v>8.8760000000000002E-3</v>
      </c>
      <c r="J923" s="988">
        <v>37530</v>
      </c>
    </row>
    <row r="924" spans="1:10">
      <c r="A924" s="987">
        <v>66</v>
      </c>
      <c r="B924" s="988">
        <v>37561</v>
      </c>
      <c r="C924" s="987" t="s">
        <v>4653</v>
      </c>
      <c r="D924" s="987" t="s">
        <v>4652</v>
      </c>
      <c r="E924" s="987">
        <v>23.9</v>
      </c>
      <c r="F924" s="987">
        <v>1.2711999999999999E-2</v>
      </c>
      <c r="G924" s="987">
        <v>0</v>
      </c>
      <c r="H924" s="986">
        <v>4.0000000000000001E-3</v>
      </c>
      <c r="I924" s="986">
        <f t="shared" si="14"/>
        <v>8.7119999999999993E-3</v>
      </c>
      <c r="J924" s="988">
        <v>37561</v>
      </c>
    </row>
    <row r="925" spans="1:10">
      <c r="A925" s="987">
        <v>66</v>
      </c>
      <c r="B925" s="988">
        <v>37591</v>
      </c>
      <c r="C925" s="987" t="s">
        <v>4653</v>
      </c>
      <c r="D925" s="987" t="s">
        <v>4652</v>
      </c>
      <c r="E925" s="987">
        <v>24.2</v>
      </c>
      <c r="F925" s="987">
        <v>2.6568999999999999E-2</v>
      </c>
      <c r="G925" s="987">
        <v>0.33500000000000002</v>
      </c>
      <c r="H925" s="986">
        <v>4.4999999999999997E-3</v>
      </c>
      <c r="I925" s="986">
        <f t="shared" si="14"/>
        <v>2.2068999999999998E-2</v>
      </c>
      <c r="J925" s="988">
        <v>37591</v>
      </c>
    </row>
    <row r="926" spans="1:10">
      <c r="A926" s="987">
        <v>66</v>
      </c>
      <c r="B926" s="988">
        <v>37622</v>
      </c>
      <c r="C926" s="987" t="s">
        <v>4653</v>
      </c>
      <c r="D926" s="987" t="s">
        <v>4652</v>
      </c>
      <c r="E926" s="987">
        <v>23.62</v>
      </c>
      <c r="F926" s="987">
        <v>-2.3966999999999999E-2</v>
      </c>
      <c r="G926" s="987">
        <v>0</v>
      </c>
      <c r="H926" s="986">
        <v>4.1000000000000003E-3</v>
      </c>
      <c r="I926" s="986">
        <f t="shared" si="14"/>
        <v>-2.8066999999999998E-2</v>
      </c>
      <c r="J926" s="988">
        <v>37622</v>
      </c>
    </row>
    <row r="927" spans="1:10">
      <c r="A927" s="987">
        <v>66</v>
      </c>
      <c r="B927" s="988">
        <v>37653</v>
      </c>
      <c r="C927" s="987" t="s">
        <v>4653</v>
      </c>
      <c r="D927" s="987" t="s">
        <v>4652</v>
      </c>
      <c r="E927" s="987">
        <v>22.75</v>
      </c>
      <c r="F927" s="987">
        <v>-3.6832999999999998E-2</v>
      </c>
      <c r="G927" s="987">
        <v>0</v>
      </c>
      <c r="H927" s="986">
        <v>3.8E-3</v>
      </c>
      <c r="I927" s="986">
        <f t="shared" si="14"/>
        <v>-4.0632999999999996E-2</v>
      </c>
      <c r="J927" s="988">
        <v>37653</v>
      </c>
    </row>
    <row r="928" spans="1:10">
      <c r="A928" s="987">
        <v>66</v>
      </c>
      <c r="B928" s="988">
        <v>37681</v>
      </c>
      <c r="C928" s="987" t="s">
        <v>4653</v>
      </c>
      <c r="D928" s="987" t="s">
        <v>4652</v>
      </c>
      <c r="E928" s="987">
        <v>23.2</v>
      </c>
      <c r="F928" s="987">
        <v>3.4506000000000002E-2</v>
      </c>
      <c r="G928" s="987">
        <v>0.33500000000000002</v>
      </c>
      <c r="H928" s="986">
        <v>4.0000000000000001E-3</v>
      </c>
      <c r="I928" s="986">
        <f t="shared" si="14"/>
        <v>3.0506000000000002E-2</v>
      </c>
      <c r="J928" s="988">
        <v>37681</v>
      </c>
    </row>
    <row r="929" spans="1:10">
      <c r="A929" s="987">
        <v>66</v>
      </c>
      <c r="B929" s="988">
        <v>37712</v>
      </c>
      <c r="C929" s="987" t="s">
        <v>4653</v>
      </c>
      <c r="D929" s="987" t="s">
        <v>4652</v>
      </c>
      <c r="E929" s="987">
        <v>24.1</v>
      </c>
      <c r="F929" s="987">
        <v>3.8793000000000001E-2</v>
      </c>
      <c r="G929" s="987">
        <v>0</v>
      </c>
      <c r="H929" s="986">
        <v>4.0000000000000001E-3</v>
      </c>
      <c r="I929" s="986">
        <f t="shared" si="14"/>
        <v>3.4793000000000004E-2</v>
      </c>
      <c r="J929" s="988">
        <v>37712</v>
      </c>
    </row>
    <row r="930" spans="1:10">
      <c r="A930" s="987">
        <v>66</v>
      </c>
      <c r="B930" s="988">
        <v>37742</v>
      </c>
      <c r="C930" s="987" t="s">
        <v>4653</v>
      </c>
      <c r="D930" s="987" t="s">
        <v>4652</v>
      </c>
      <c r="E930" s="987">
        <v>26</v>
      </c>
      <c r="F930" s="987">
        <v>7.8838000000000005E-2</v>
      </c>
      <c r="G930" s="987">
        <v>0</v>
      </c>
      <c r="H930" s="986">
        <v>3.8999999999999998E-3</v>
      </c>
      <c r="I930" s="986">
        <f t="shared" si="14"/>
        <v>7.4938000000000005E-2</v>
      </c>
      <c r="J930" s="988">
        <v>37742</v>
      </c>
    </row>
    <row r="931" spans="1:10">
      <c r="A931" s="987">
        <v>66</v>
      </c>
      <c r="B931" s="988">
        <v>37773</v>
      </c>
      <c r="C931" s="987" t="s">
        <v>4653</v>
      </c>
      <c r="D931" s="987" t="s">
        <v>4652</v>
      </c>
      <c r="E931" s="987">
        <v>26.8</v>
      </c>
      <c r="F931" s="987">
        <v>4.3653999999999998E-2</v>
      </c>
      <c r="G931" s="987">
        <v>0.33500000000000002</v>
      </c>
      <c r="H931" s="986">
        <v>3.5999999999999999E-3</v>
      </c>
      <c r="I931" s="986">
        <f t="shared" si="14"/>
        <v>4.0053999999999999E-2</v>
      </c>
      <c r="J931" s="988">
        <v>37773</v>
      </c>
    </row>
    <row r="932" spans="1:10">
      <c r="A932" s="987">
        <v>66</v>
      </c>
      <c r="B932" s="988">
        <v>37803</v>
      </c>
      <c r="C932" s="987" t="s">
        <v>4653</v>
      </c>
      <c r="D932" s="987" t="s">
        <v>4652</v>
      </c>
      <c r="E932" s="987">
        <v>27.3</v>
      </c>
      <c r="F932" s="987">
        <v>1.8657E-2</v>
      </c>
      <c r="G932" s="987">
        <v>0</v>
      </c>
      <c r="H932" s="986">
        <v>3.8E-3</v>
      </c>
      <c r="I932" s="986">
        <f t="shared" si="14"/>
        <v>1.4857E-2</v>
      </c>
      <c r="J932" s="988">
        <v>37803</v>
      </c>
    </row>
    <row r="933" spans="1:10">
      <c r="A933" s="987">
        <v>66</v>
      </c>
      <c r="B933" s="988">
        <v>37834</v>
      </c>
      <c r="C933" s="987" t="s">
        <v>4653</v>
      </c>
      <c r="D933" s="987" t="s">
        <v>4652</v>
      </c>
      <c r="E933" s="987">
        <v>27.38</v>
      </c>
      <c r="F933" s="987">
        <v>2.9299999999999999E-3</v>
      </c>
      <c r="G933" s="987">
        <v>0</v>
      </c>
      <c r="H933" s="986">
        <v>4.1999999999999997E-3</v>
      </c>
      <c r="I933" s="986">
        <f t="shared" si="14"/>
        <v>-1.2699999999999999E-3</v>
      </c>
      <c r="J933" s="988">
        <v>37834</v>
      </c>
    </row>
    <row r="934" spans="1:10">
      <c r="A934" s="987">
        <v>66</v>
      </c>
      <c r="B934" s="988">
        <v>37865</v>
      </c>
      <c r="C934" s="987" t="s">
        <v>4653</v>
      </c>
      <c r="D934" s="987" t="s">
        <v>4652</v>
      </c>
      <c r="E934" s="987">
        <v>27.01</v>
      </c>
      <c r="F934" s="987">
        <v>-1.2780000000000001E-3</v>
      </c>
      <c r="G934" s="987">
        <v>0.33500000000000002</v>
      </c>
      <c r="H934" s="986">
        <v>4.5999999999999999E-3</v>
      </c>
      <c r="I934" s="986">
        <f t="shared" si="14"/>
        <v>-5.8779999999999995E-3</v>
      </c>
      <c r="J934" s="988">
        <v>37865</v>
      </c>
    </row>
    <row r="935" spans="1:10">
      <c r="A935" s="987">
        <v>66</v>
      </c>
      <c r="B935" s="988">
        <v>37895</v>
      </c>
      <c r="C935" s="987" t="s">
        <v>4653</v>
      </c>
      <c r="D935" s="987" t="s">
        <v>4652</v>
      </c>
      <c r="E935" s="987">
        <v>28.35</v>
      </c>
      <c r="F935" s="987">
        <v>4.9611000000000002E-2</v>
      </c>
      <c r="G935" s="987">
        <v>0</v>
      </c>
      <c r="H935" s="986">
        <v>4.1000000000000003E-3</v>
      </c>
      <c r="I935" s="986">
        <f t="shared" si="14"/>
        <v>4.5511000000000003E-2</v>
      </c>
      <c r="J935" s="988">
        <v>37895</v>
      </c>
    </row>
    <row r="936" spans="1:10">
      <c r="A936" s="987">
        <v>66</v>
      </c>
      <c r="B936" s="988">
        <v>37926</v>
      </c>
      <c r="C936" s="987" t="s">
        <v>4653</v>
      </c>
      <c r="D936" s="987" t="s">
        <v>4652</v>
      </c>
      <c r="E936" s="987">
        <v>29.25</v>
      </c>
      <c r="F936" s="987">
        <v>3.1746000000000003E-2</v>
      </c>
      <c r="G936" s="987">
        <v>0</v>
      </c>
      <c r="H936" s="986">
        <v>3.8999999999999998E-3</v>
      </c>
      <c r="I936" s="986">
        <f t="shared" si="14"/>
        <v>2.7846000000000003E-2</v>
      </c>
      <c r="J936" s="988">
        <v>37926</v>
      </c>
    </row>
    <row r="937" spans="1:10">
      <c r="A937" s="987">
        <v>66</v>
      </c>
      <c r="B937" s="988">
        <v>37956</v>
      </c>
      <c r="C937" s="987" t="s">
        <v>4653</v>
      </c>
      <c r="D937" s="987" t="s">
        <v>4652</v>
      </c>
      <c r="E937" s="987">
        <v>28.55</v>
      </c>
      <c r="F937" s="987">
        <v>-1.2479000000000001E-2</v>
      </c>
      <c r="G937" s="987">
        <v>0.33500000000000002</v>
      </c>
      <c r="H937" s="986">
        <v>4.7000000000000002E-3</v>
      </c>
      <c r="I937" s="986">
        <f t="shared" si="14"/>
        <v>-1.7179E-2</v>
      </c>
      <c r="J937" s="988">
        <v>37956</v>
      </c>
    </row>
    <row r="938" spans="1:10">
      <c r="A938" s="987">
        <v>66</v>
      </c>
      <c r="B938" s="988">
        <v>37987</v>
      </c>
      <c r="C938" s="987" t="s">
        <v>4653</v>
      </c>
      <c r="D938" s="987" t="s">
        <v>4652</v>
      </c>
      <c r="E938" s="987">
        <v>29.75</v>
      </c>
      <c r="F938" s="987">
        <v>4.2032E-2</v>
      </c>
      <c r="G938" s="987">
        <v>0</v>
      </c>
      <c r="H938" s="986">
        <v>4.1999999999999997E-3</v>
      </c>
      <c r="I938" s="986">
        <f t="shared" si="14"/>
        <v>3.7831999999999998E-2</v>
      </c>
      <c r="J938" s="988">
        <v>37987</v>
      </c>
    </row>
    <row r="939" spans="1:10">
      <c r="A939" s="987">
        <v>66</v>
      </c>
      <c r="B939" s="988">
        <v>38018</v>
      </c>
      <c r="C939" s="987" t="s">
        <v>4653</v>
      </c>
      <c r="D939" s="987" t="s">
        <v>4652</v>
      </c>
      <c r="E939" s="987">
        <v>30.97</v>
      </c>
      <c r="F939" s="987">
        <v>4.1008000000000003E-2</v>
      </c>
      <c r="G939" s="987">
        <v>0</v>
      </c>
      <c r="H939" s="986">
        <v>3.8E-3</v>
      </c>
      <c r="I939" s="986">
        <f t="shared" si="14"/>
        <v>3.7208000000000005E-2</v>
      </c>
      <c r="J939" s="988">
        <v>38018</v>
      </c>
    </row>
    <row r="940" spans="1:10">
      <c r="A940" s="987">
        <v>66</v>
      </c>
      <c r="B940" s="988">
        <v>38047</v>
      </c>
      <c r="C940" s="987" t="s">
        <v>4653</v>
      </c>
      <c r="D940" s="987" t="s">
        <v>4652</v>
      </c>
      <c r="E940" s="987">
        <v>30.3</v>
      </c>
      <c r="F940" s="987">
        <v>-1.0655E-2</v>
      </c>
      <c r="G940" s="987">
        <v>0.34</v>
      </c>
      <c r="H940" s="986">
        <v>4.3E-3</v>
      </c>
      <c r="I940" s="986">
        <f t="shared" si="14"/>
        <v>-1.4955E-2</v>
      </c>
      <c r="J940" s="988">
        <v>38047</v>
      </c>
    </row>
    <row r="941" spans="1:10">
      <c r="A941" s="987">
        <v>66</v>
      </c>
      <c r="B941" s="988">
        <v>38078</v>
      </c>
      <c r="C941" s="987" t="s">
        <v>4653</v>
      </c>
      <c r="D941" s="987" t="s">
        <v>4652</v>
      </c>
      <c r="E941" s="987">
        <v>27.59</v>
      </c>
      <c r="F941" s="987">
        <v>-8.9439000000000005E-2</v>
      </c>
      <c r="G941" s="987">
        <v>0</v>
      </c>
      <c r="H941" s="986">
        <v>3.8999999999999998E-3</v>
      </c>
      <c r="I941" s="986">
        <f t="shared" si="14"/>
        <v>-9.3339000000000005E-2</v>
      </c>
      <c r="J941" s="988">
        <v>38078</v>
      </c>
    </row>
    <row r="942" spans="1:10">
      <c r="A942" s="987">
        <v>66</v>
      </c>
      <c r="B942" s="988">
        <v>38108</v>
      </c>
      <c r="C942" s="987" t="s">
        <v>4653</v>
      </c>
      <c r="D942" s="987" t="s">
        <v>4652</v>
      </c>
      <c r="E942" s="987">
        <v>27.24</v>
      </c>
      <c r="F942" s="987">
        <v>-1.2685999999999999E-2</v>
      </c>
      <c r="G942" s="987">
        <v>0</v>
      </c>
      <c r="H942" s="986">
        <v>4.0000000000000001E-3</v>
      </c>
      <c r="I942" s="986">
        <f t="shared" si="14"/>
        <v>-1.6685999999999999E-2</v>
      </c>
      <c r="J942" s="988">
        <v>38108</v>
      </c>
    </row>
    <row r="943" spans="1:10">
      <c r="A943" s="987">
        <v>66</v>
      </c>
      <c r="B943" s="988">
        <v>38139</v>
      </c>
      <c r="C943" s="987" t="s">
        <v>4653</v>
      </c>
      <c r="D943" s="987" t="s">
        <v>4652</v>
      </c>
      <c r="E943" s="987">
        <v>27.41</v>
      </c>
      <c r="F943" s="987">
        <v>1.8721999999999999E-2</v>
      </c>
      <c r="G943" s="987">
        <v>0.34</v>
      </c>
      <c r="H943" s="986">
        <v>4.7999999999999996E-3</v>
      </c>
      <c r="I943" s="986">
        <f t="shared" si="14"/>
        <v>1.3922E-2</v>
      </c>
      <c r="J943" s="988">
        <v>38139</v>
      </c>
    </row>
    <row r="944" spans="1:10">
      <c r="A944" s="987">
        <v>66</v>
      </c>
      <c r="B944" s="988">
        <v>38169</v>
      </c>
      <c r="C944" s="987" t="s">
        <v>4653</v>
      </c>
      <c r="D944" s="987" t="s">
        <v>4652</v>
      </c>
      <c r="E944" s="987">
        <v>26.91</v>
      </c>
      <c r="F944" s="987">
        <v>-1.8242000000000001E-2</v>
      </c>
      <c r="G944" s="987">
        <v>0</v>
      </c>
      <c r="H944" s="986">
        <v>4.3E-3</v>
      </c>
      <c r="I944" s="986">
        <f t="shared" si="14"/>
        <v>-2.2542E-2</v>
      </c>
      <c r="J944" s="988">
        <v>38169</v>
      </c>
    </row>
    <row r="945" spans="1:10">
      <c r="A945" s="987">
        <v>66</v>
      </c>
      <c r="B945" s="988">
        <v>38200</v>
      </c>
      <c r="C945" s="987" t="s">
        <v>4653</v>
      </c>
      <c r="D945" s="987" t="s">
        <v>4652</v>
      </c>
      <c r="E945" s="987">
        <v>28.86</v>
      </c>
      <c r="F945" s="987">
        <v>7.2464000000000001E-2</v>
      </c>
      <c r="G945" s="987">
        <v>0</v>
      </c>
      <c r="H945" s="986">
        <v>4.4999999999999997E-3</v>
      </c>
      <c r="I945" s="986">
        <f t="shared" si="14"/>
        <v>6.7963999999999997E-2</v>
      </c>
      <c r="J945" s="988">
        <v>38200</v>
      </c>
    </row>
    <row r="946" spans="1:10">
      <c r="A946" s="987">
        <v>66</v>
      </c>
      <c r="B946" s="988">
        <v>38231</v>
      </c>
      <c r="C946" s="987" t="s">
        <v>4653</v>
      </c>
      <c r="D946" s="987" t="s">
        <v>4652</v>
      </c>
      <c r="E946" s="987">
        <v>29.23</v>
      </c>
      <c r="F946" s="987">
        <v>2.4601000000000001E-2</v>
      </c>
      <c r="G946" s="987">
        <v>0.34</v>
      </c>
      <c r="H946" s="986">
        <v>4.0000000000000001E-3</v>
      </c>
      <c r="I946" s="986">
        <f t="shared" si="14"/>
        <v>2.0601000000000001E-2</v>
      </c>
      <c r="J946" s="988">
        <v>38231</v>
      </c>
    </row>
    <row r="947" spans="1:10">
      <c r="A947" s="987">
        <v>66</v>
      </c>
      <c r="B947" s="988">
        <v>38261</v>
      </c>
      <c r="C947" s="987" t="s">
        <v>4653</v>
      </c>
      <c r="D947" s="987" t="s">
        <v>4652</v>
      </c>
      <c r="E947" s="987">
        <v>30.15</v>
      </c>
      <c r="F947" s="987">
        <v>3.1475000000000003E-2</v>
      </c>
      <c r="G947" s="987">
        <v>0</v>
      </c>
      <c r="H947" s="986">
        <v>3.8E-3</v>
      </c>
      <c r="I947" s="986">
        <f t="shared" si="14"/>
        <v>2.7675000000000002E-2</v>
      </c>
      <c r="J947" s="988">
        <v>38261</v>
      </c>
    </row>
    <row r="948" spans="1:10">
      <c r="A948" s="987">
        <v>66</v>
      </c>
      <c r="B948" s="988">
        <v>38292</v>
      </c>
      <c r="C948" s="987" t="s">
        <v>4653</v>
      </c>
      <c r="D948" s="987" t="s">
        <v>4652</v>
      </c>
      <c r="E948" s="987">
        <v>32.200000000000003</v>
      </c>
      <c r="F948" s="987">
        <v>6.7992999999999998E-2</v>
      </c>
      <c r="G948" s="987">
        <v>0</v>
      </c>
      <c r="H948" s="986">
        <v>4.1000000000000003E-3</v>
      </c>
      <c r="I948" s="986">
        <f t="shared" si="14"/>
        <v>6.3892999999999991E-2</v>
      </c>
      <c r="J948" s="988">
        <v>38292</v>
      </c>
    </row>
    <row r="949" spans="1:10">
      <c r="A949" s="987">
        <v>66</v>
      </c>
      <c r="B949" s="988">
        <v>38322</v>
      </c>
      <c r="C949" s="987" t="s">
        <v>4653</v>
      </c>
      <c r="D949" s="987" t="s">
        <v>4652</v>
      </c>
      <c r="E949" s="987">
        <v>31.15</v>
      </c>
      <c r="F949" s="987">
        <v>-2.205E-2</v>
      </c>
      <c r="G949" s="987">
        <v>0.34</v>
      </c>
      <c r="H949" s="986">
        <v>4.3E-3</v>
      </c>
      <c r="I949" s="986">
        <f t="shared" si="14"/>
        <v>-2.6349999999999998E-2</v>
      </c>
      <c r="J949" s="988">
        <v>38322</v>
      </c>
    </row>
    <row r="950" spans="1:10">
      <c r="A950" s="987">
        <v>66</v>
      </c>
      <c r="B950" s="988">
        <v>38353</v>
      </c>
      <c r="C950" s="987" t="s">
        <v>4653</v>
      </c>
      <c r="D950" s="987" t="s">
        <v>4652</v>
      </c>
      <c r="E950" s="987">
        <v>30.3</v>
      </c>
      <c r="F950" s="987">
        <v>-2.7286999999999999E-2</v>
      </c>
      <c r="G950" s="987">
        <v>0</v>
      </c>
      <c r="H950" s="986">
        <v>4.1000000000000003E-3</v>
      </c>
      <c r="I950" s="986">
        <f t="shared" si="14"/>
        <v>-3.1386999999999998E-2</v>
      </c>
      <c r="J950" s="988">
        <v>38353</v>
      </c>
    </row>
    <row r="951" spans="1:10">
      <c r="A951" s="987">
        <v>66</v>
      </c>
      <c r="B951" s="988">
        <v>38384</v>
      </c>
      <c r="C951" s="987" t="s">
        <v>4653</v>
      </c>
      <c r="D951" s="987" t="s">
        <v>4652</v>
      </c>
      <c r="E951" s="987">
        <v>31.38</v>
      </c>
      <c r="F951" s="987">
        <v>3.5644000000000002E-2</v>
      </c>
      <c r="G951" s="987">
        <v>0</v>
      </c>
      <c r="H951" s="986">
        <v>3.5000000000000001E-3</v>
      </c>
      <c r="I951" s="986">
        <f t="shared" si="14"/>
        <v>3.2143999999999999E-2</v>
      </c>
      <c r="J951" s="988">
        <v>38384</v>
      </c>
    </row>
    <row r="952" spans="1:10">
      <c r="A952" s="987">
        <v>66</v>
      </c>
      <c r="B952" s="988">
        <v>38412</v>
      </c>
      <c r="C952" s="987" t="s">
        <v>4653</v>
      </c>
      <c r="D952" s="987" t="s">
        <v>4652</v>
      </c>
      <c r="E952" s="987">
        <v>29.2</v>
      </c>
      <c r="F952" s="987">
        <v>-5.8477000000000001E-2</v>
      </c>
      <c r="G952" s="987">
        <v>0.34499999999999997</v>
      </c>
      <c r="H952" s="986">
        <v>4.1000000000000003E-3</v>
      </c>
      <c r="I952" s="986">
        <f t="shared" si="14"/>
        <v>-6.2577000000000008E-2</v>
      </c>
      <c r="J952" s="988">
        <v>38412</v>
      </c>
    </row>
    <row r="953" spans="1:10">
      <c r="A953" s="987">
        <v>66</v>
      </c>
      <c r="B953" s="988">
        <v>38443</v>
      </c>
      <c r="C953" s="987" t="s">
        <v>4653</v>
      </c>
      <c r="D953" s="987" t="s">
        <v>4652</v>
      </c>
      <c r="E953" s="987">
        <v>27.37</v>
      </c>
      <c r="F953" s="987">
        <v>-6.2671000000000004E-2</v>
      </c>
      <c r="G953" s="987">
        <v>0</v>
      </c>
      <c r="H953" s="986">
        <v>3.8999999999999998E-3</v>
      </c>
      <c r="I953" s="986">
        <f t="shared" si="14"/>
        <v>-6.6571000000000005E-2</v>
      </c>
      <c r="J953" s="988">
        <v>38443</v>
      </c>
    </row>
    <row r="954" spans="1:10">
      <c r="A954" s="987">
        <v>66</v>
      </c>
      <c r="B954" s="988">
        <v>38473</v>
      </c>
      <c r="C954" s="987" t="s">
        <v>4653</v>
      </c>
      <c r="D954" s="987" t="s">
        <v>4652</v>
      </c>
      <c r="E954" s="987">
        <v>29.9</v>
      </c>
      <c r="F954" s="987">
        <v>9.2437000000000005E-2</v>
      </c>
      <c r="G954" s="987">
        <v>0</v>
      </c>
      <c r="H954" s="986">
        <v>4.0000000000000001E-3</v>
      </c>
      <c r="I954" s="986">
        <f t="shared" si="14"/>
        <v>8.8437000000000002E-2</v>
      </c>
      <c r="J954" s="988">
        <v>38473</v>
      </c>
    </row>
    <row r="955" spans="1:10">
      <c r="A955" s="987">
        <v>66</v>
      </c>
      <c r="B955" s="988">
        <v>38504</v>
      </c>
      <c r="C955" s="987" t="s">
        <v>4653</v>
      </c>
      <c r="D955" s="987" t="s">
        <v>4652</v>
      </c>
      <c r="E955" s="987">
        <v>31.76</v>
      </c>
      <c r="F955" s="987">
        <v>7.3746000000000006E-2</v>
      </c>
      <c r="G955" s="987">
        <v>0.34499999999999997</v>
      </c>
      <c r="H955" s="986">
        <v>3.5999999999999999E-3</v>
      </c>
      <c r="I955" s="986">
        <f t="shared" si="14"/>
        <v>7.0146E-2</v>
      </c>
      <c r="J955" s="988">
        <v>38504</v>
      </c>
    </row>
    <row r="956" spans="1:10">
      <c r="A956" s="987">
        <v>66</v>
      </c>
      <c r="B956" s="988">
        <v>38534</v>
      </c>
      <c r="C956" s="987" t="s">
        <v>4653</v>
      </c>
      <c r="D956" s="987" t="s">
        <v>4652</v>
      </c>
      <c r="E956" s="987">
        <v>32.69</v>
      </c>
      <c r="F956" s="987">
        <v>2.9281999999999999E-2</v>
      </c>
      <c r="G956" s="987">
        <v>0</v>
      </c>
      <c r="H956" s="986">
        <v>3.3999999999999998E-3</v>
      </c>
      <c r="I956" s="986">
        <f t="shared" si="14"/>
        <v>2.5881999999999999E-2</v>
      </c>
      <c r="J956" s="988">
        <v>38534</v>
      </c>
    </row>
    <row r="957" spans="1:10">
      <c r="A957" s="987">
        <v>66</v>
      </c>
      <c r="B957" s="988">
        <v>38565</v>
      </c>
      <c r="C957" s="987" t="s">
        <v>4653</v>
      </c>
      <c r="D957" s="987" t="s">
        <v>4652</v>
      </c>
      <c r="E957" s="987">
        <v>32.32</v>
      </c>
      <c r="F957" s="987">
        <v>-1.1318E-2</v>
      </c>
      <c r="G957" s="987">
        <v>0</v>
      </c>
      <c r="H957" s="986">
        <v>4.0000000000000001E-3</v>
      </c>
      <c r="I957" s="986">
        <f t="shared" si="14"/>
        <v>-1.5318E-2</v>
      </c>
      <c r="J957" s="988">
        <v>38565</v>
      </c>
    </row>
    <row r="958" spans="1:10">
      <c r="A958" s="987">
        <v>66</v>
      </c>
      <c r="B958" s="988">
        <v>38596</v>
      </c>
      <c r="C958" s="987" t="s">
        <v>4653</v>
      </c>
      <c r="D958" s="987" t="s">
        <v>4652</v>
      </c>
      <c r="E958" s="987">
        <v>32.49</v>
      </c>
      <c r="F958" s="987">
        <v>1.5934E-2</v>
      </c>
      <c r="G958" s="987">
        <v>0.34499999999999997</v>
      </c>
      <c r="H958" s="986">
        <v>3.5000000000000001E-3</v>
      </c>
      <c r="I958" s="986">
        <f t="shared" si="14"/>
        <v>1.2434000000000001E-2</v>
      </c>
      <c r="J958" s="988">
        <v>38596</v>
      </c>
    </row>
    <row r="959" spans="1:10">
      <c r="A959" s="987">
        <v>66</v>
      </c>
      <c r="B959" s="988">
        <v>38626</v>
      </c>
      <c r="C959" s="987" t="s">
        <v>4653</v>
      </c>
      <c r="D959" s="987" t="s">
        <v>4652</v>
      </c>
      <c r="E959" s="987">
        <v>29.9</v>
      </c>
      <c r="F959" s="987">
        <v>-7.9716999999999996E-2</v>
      </c>
      <c r="G959" s="987">
        <v>0</v>
      </c>
      <c r="H959" s="986">
        <v>3.8999999999999998E-3</v>
      </c>
      <c r="I959" s="986">
        <f t="shared" si="14"/>
        <v>-8.3616999999999997E-2</v>
      </c>
      <c r="J959" s="988">
        <v>38626</v>
      </c>
    </row>
    <row r="960" spans="1:10">
      <c r="A960" s="987">
        <v>66</v>
      </c>
      <c r="B960" s="988">
        <v>38657</v>
      </c>
      <c r="C960" s="987" t="s">
        <v>4653</v>
      </c>
      <c r="D960" s="987" t="s">
        <v>4652</v>
      </c>
      <c r="E960" s="987">
        <v>29.96</v>
      </c>
      <c r="F960" s="987">
        <v>2.0070000000000001E-3</v>
      </c>
      <c r="G960" s="987">
        <v>0</v>
      </c>
      <c r="H960" s="986">
        <v>3.8999999999999998E-3</v>
      </c>
      <c r="I960" s="986">
        <f t="shared" si="14"/>
        <v>-1.8929999999999997E-3</v>
      </c>
      <c r="J960" s="988">
        <v>38657</v>
      </c>
    </row>
    <row r="961" spans="1:10">
      <c r="A961" s="987">
        <v>66</v>
      </c>
      <c r="B961" s="988">
        <v>38687</v>
      </c>
      <c r="C961" s="987" t="s">
        <v>4653</v>
      </c>
      <c r="D961" s="987" t="s">
        <v>4652</v>
      </c>
      <c r="E961" s="987">
        <v>29.21</v>
      </c>
      <c r="F961" s="987">
        <v>-1.3518000000000001E-2</v>
      </c>
      <c r="G961" s="987">
        <v>0.34499999999999997</v>
      </c>
      <c r="H961" s="986">
        <v>3.8999999999999998E-3</v>
      </c>
      <c r="I961" s="986">
        <f t="shared" si="14"/>
        <v>-1.7417999999999999E-2</v>
      </c>
      <c r="J961" s="988">
        <v>38687</v>
      </c>
    </row>
    <row r="962" spans="1:10">
      <c r="A962" s="987">
        <v>66</v>
      </c>
      <c r="B962" s="988">
        <v>38718</v>
      </c>
      <c r="C962" s="987" t="s">
        <v>4653</v>
      </c>
      <c r="D962" s="987" t="s">
        <v>4652</v>
      </c>
      <c r="E962" s="987">
        <v>32.619999999999997</v>
      </c>
      <c r="F962" s="987">
        <v>0.116741</v>
      </c>
      <c r="G962" s="987">
        <v>0</v>
      </c>
      <c r="H962" s="986">
        <v>4.0000000000000001E-3</v>
      </c>
      <c r="I962" s="986">
        <f t="shared" ref="I962:I1025" si="15">F962-H962</f>
        <v>0.11274099999999999</v>
      </c>
      <c r="J962" s="988">
        <v>38718</v>
      </c>
    </row>
    <row r="963" spans="1:10">
      <c r="A963" s="987">
        <v>66</v>
      </c>
      <c r="B963" s="988">
        <v>38749</v>
      </c>
      <c r="C963" s="987" t="s">
        <v>4653</v>
      </c>
      <c r="D963" s="987" t="s">
        <v>4652</v>
      </c>
      <c r="E963" s="987">
        <v>33.69</v>
      </c>
      <c r="F963" s="987">
        <v>3.2801999999999998E-2</v>
      </c>
      <c r="G963" s="987">
        <v>0</v>
      </c>
      <c r="H963" s="986">
        <v>3.5999999999999999E-3</v>
      </c>
      <c r="I963" s="986">
        <f t="shared" si="15"/>
        <v>2.9201999999999999E-2</v>
      </c>
      <c r="J963" s="988">
        <v>38749</v>
      </c>
    </row>
    <row r="964" spans="1:10">
      <c r="A964" s="987">
        <v>66</v>
      </c>
      <c r="B964" s="988">
        <v>38777</v>
      </c>
      <c r="C964" s="987" t="s">
        <v>4653</v>
      </c>
      <c r="D964" s="987" t="s">
        <v>4652</v>
      </c>
      <c r="E964" s="987">
        <v>34.42</v>
      </c>
      <c r="F964" s="987">
        <v>3.2204999999999998E-2</v>
      </c>
      <c r="G964" s="987">
        <v>0.35499999999999998</v>
      </c>
      <c r="H964" s="986">
        <v>3.8999999999999998E-3</v>
      </c>
      <c r="I964" s="986">
        <f t="shared" si="15"/>
        <v>2.8304999999999997E-2</v>
      </c>
      <c r="J964" s="988">
        <v>38777</v>
      </c>
    </row>
    <row r="965" spans="1:10">
      <c r="A965" s="987">
        <v>66</v>
      </c>
      <c r="B965" s="988">
        <v>38808</v>
      </c>
      <c r="C965" s="987" t="s">
        <v>4653</v>
      </c>
      <c r="D965" s="987" t="s">
        <v>4652</v>
      </c>
      <c r="E965" s="987">
        <v>34.1</v>
      </c>
      <c r="F965" s="987">
        <v>-9.2969999999999997E-3</v>
      </c>
      <c r="G965" s="987">
        <v>0</v>
      </c>
      <c r="H965" s="986">
        <v>3.8999999999999998E-3</v>
      </c>
      <c r="I965" s="986">
        <f t="shared" si="15"/>
        <v>-1.3197E-2</v>
      </c>
      <c r="J965" s="988">
        <v>38808</v>
      </c>
    </row>
    <row r="966" spans="1:10">
      <c r="A966" s="987">
        <v>66</v>
      </c>
      <c r="B966" s="988">
        <v>38838</v>
      </c>
      <c r="C966" s="987" t="s">
        <v>4653</v>
      </c>
      <c r="D966" s="987" t="s">
        <v>4652</v>
      </c>
      <c r="E966" s="987">
        <v>33.65</v>
      </c>
      <c r="F966" s="987">
        <v>-1.3195999999999999E-2</v>
      </c>
      <c r="G966" s="987">
        <v>0</v>
      </c>
      <c r="H966" s="986">
        <v>4.7999999999999996E-3</v>
      </c>
      <c r="I966" s="986">
        <f t="shared" si="15"/>
        <v>-1.7995999999999998E-2</v>
      </c>
      <c r="J966" s="988">
        <v>38838</v>
      </c>
    </row>
    <row r="967" spans="1:10">
      <c r="A967" s="987">
        <v>66</v>
      </c>
      <c r="B967" s="988">
        <v>38869</v>
      </c>
      <c r="C967" s="987" t="s">
        <v>4653</v>
      </c>
      <c r="D967" s="987" t="s">
        <v>4652</v>
      </c>
      <c r="E967" s="987">
        <v>34.36</v>
      </c>
      <c r="F967" s="987">
        <v>3.1648999999999997E-2</v>
      </c>
      <c r="G967" s="987">
        <v>0.35499999999999998</v>
      </c>
      <c r="H967" s="986">
        <v>4.4000000000000003E-3</v>
      </c>
      <c r="I967" s="986">
        <f t="shared" si="15"/>
        <v>2.7248999999999995E-2</v>
      </c>
      <c r="J967" s="988">
        <v>38869</v>
      </c>
    </row>
    <row r="968" spans="1:10">
      <c r="A968" s="987">
        <v>66</v>
      </c>
      <c r="B968" s="988">
        <v>38899</v>
      </c>
      <c r="C968" s="987" t="s">
        <v>4653</v>
      </c>
      <c r="D968" s="987" t="s">
        <v>4652</v>
      </c>
      <c r="E968" s="987">
        <v>33.229999999999997</v>
      </c>
      <c r="F968" s="987">
        <v>-3.2887E-2</v>
      </c>
      <c r="G968" s="987">
        <v>0</v>
      </c>
      <c r="H968" s="986">
        <v>4.4999999999999997E-3</v>
      </c>
      <c r="I968" s="986">
        <f t="shared" si="15"/>
        <v>-3.7386999999999997E-2</v>
      </c>
      <c r="J968" s="988">
        <v>38899</v>
      </c>
    </row>
    <row r="969" spans="1:10">
      <c r="A969" s="987">
        <v>66</v>
      </c>
      <c r="B969" s="988">
        <v>38930</v>
      </c>
      <c r="C969" s="987" t="s">
        <v>4653</v>
      </c>
      <c r="D969" s="987" t="s">
        <v>4652</v>
      </c>
      <c r="E969" s="987">
        <v>32.590000000000003</v>
      </c>
      <c r="F969" s="987">
        <v>-1.9259999999999999E-2</v>
      </c>
      <c r="G969" s="987">
        <v>0</v>
      </c>
      <c r="H969" s="986">
        <v>4.3E-3</v>
      </c>
      <c r="I969" s="986">
        <f t="shared" si="15"/>
        <v>-2.3559999999999998E-2</v>
      </c>
      <c r="J969" s="988">
        <v>38930</v>
      </c>
    </row>
    <row r="970" spans="1:10">
      <c r="A970" s="987">
        <v>66</v>
      </c>
      <c r="B970" s="988">
        <v>38961</v>
      </c>
      <c r="C970" s="987" t="s">
        <v>4653</v>
      </c>
      <c r="D970" s="987" t="s">
        <v>4652</v>
      </c>
      <c r="E970" s="987">
        <v>32.08</v>
      </c>
      <c r="F970" s="987">
        <v>-4.7559999999999998E-3</v>
      </c>
      <c r="G970" s="987">
        <v>0.35499999999999998</v>
      </c>
      <c r="H970" s="986">
        <v>3.8999999999999998E-3</v>
      </c>
      <c r="I970" s="986">
        <f t="shared" si="15"/>
        <v>-8.6560000000000005E-3</v>
      </c>
      <c r="J970" s="988">
        <v>38961</v>
      </c>
    </row>
    <row r="971" spans="1:10">
      <c r="A971" s="987">
        <v>66</v>
      </c>
      <c r="B971" s="988">
        <v>38991</v>
      </c>
      <c r="C971" s="987" t="s">
        <v>4653</v>
      </c>
      <c r="D971" s="987" t="s">
        <v>4652</v>
      </c>
      <c r="E971" s="987">
        <v>35.630000000000003</v>
      </c>
      <c r="F971" s="987">
        <v>0.110661</v>
      </c>
      <c r="G971" s="987">
        <v>0</v>
      </c>
      <c r="H971" s="986">
        <v>4.1999999999999997E-3</v>
      </c>
      <c r="I971" s="986">
        <f t="shared" si="15"/>
        <v>0.106461</v>
      </c>
      <c r="J971" s="988">
        <v>38991</v>
      </c>
    </row>
    <row r="972" spans="1:10">
      <c r="A972" s="987">
        <v>66</v>
      </c>
      <c r="B972" s="988">
        <v>39022</v>
      </c>
      <c r="C972" s="987" t="s">
        <v>4653</v>
      </c>
      <c r="D972" s="987" t="s">
        <v>4652</v>
      </c>
      <c r="E972" s="987">
        <v>36.58</v>
      </c>
      <c r="F972" s="987">
        <v>2.6662999999999999E-2</v>
      </c>
      <c r="G972" s="987">
        <v>0</v>
      </c>
      <c r="H972" s="986">
        <v>3.8999999999999998E-3</v>
      </c>
      <c r="I972" s="986">
        <f t="shared" si="15"/>
        <v>2.2762999999999999E-2</v>
      </c>
      <c r="J972" s="988">
        <v>39022</v>
      </c>
    </row>
    <row r="973" spans="1:10">
      <c r="A973" s="987">
        <v>66</v>
      </c>
      <c r="B973" s="988">
        <v>39052</v>
      </c>
      <c r="C973" s="987" t="s">
        <v>4653</v>
      </c>
      <c r="D973" s="987" t="s">
        <v>4652</v>
      </c>
      <c r="E973" s="987">
        <v>35.03</v>
      </c>
      <c r="F973" s="987">
        <v>-3.2395E-2</v>
      </c>
      <c r="G973" s="987">
        <v>0.36499999999999999</v>
      </c>
      <c r="H973" s="986">
        <v>3.5999999999999999E-3</v>
      </c>
      <c r="I973" s="986">
        <f t="shared" si="15"/>
        <v>-3.5994999999999999E-2</v>
      </c>
      <c r="J973" s="988">
        <v>39052</v>
      </c>
    </row>
    <row r="974" spans="1:10">
      <c r="A974" s="987">
        <v>66</v>
      </c>
      <c r="B974" s="988">
        <v>39083</v>
      </c>
      <c r="C974" s="987" t="s">
        <v>4653</v>
      </c>
      <c r="D974" s="987" t="s">
        <v>4652</v>
      </c>
      <c r="E974" s="987">
        <v>32.479999999999997</v>
      </c>
      <c r="F974" s="987">
        <v>-7.2794999999999999E-2</v>
      </c>
      <c r="G974" s="987">
        <v>0</v>
      </c>
      <c r="H974" s="986">
        <v>4.3E-3</v>
      </c>
      <c r="I974" s="986">
        <f t="shared" si="15"/>
        <v>-7.7094999999999997E-2</v>
      </c>
      <c r="J974" s="988">
        <v>39083</v>
      </c>
    </row>
    <row r="975" spans="1:10">
      <c r="A975" s="987">
        <v>66</v>
      </c>
      <c r="B975" s="988">
        <v>39114</v>
      </c>
      <c r="C975" s="987" t="s">
        <v>4653</v>
      </c>
      <c r="D975" s="987" t="s">
        <v>4652</v>
      </c>
      <c r="E975" s="987">
        <v>31.15</v>
      </c>
      <c r="F975" s="987">
        <v>-4.0947999999999998E-2</v>
      </c>
      <c r="G975" s="987">
        <v>0</v>
      </c>
      <c r="H975" s="986">
        <v>3.8E-3</v>
      </c>
      <c r="I975" s="986">
        <f t="shared" si="15"/>
        <v>-4.4747999999999996E-2</v>
      </c>
      <c r="J975" s="988">
        <v>39114</v>
      </c>
    </row>
    <row r="976" spans="1:10">
      <c r="A976" s="987">
        <v>66</v>
      </c>
      <c r="B976" s="988">
        <v>39142</v>
      </c>
      <c r="C976" s="987" t="s">
        <v>4653</v>
      </c>
      <c r="D976" s="987" t="s">
        <v>4652</v>
      </c>
      <c r="E976" s="987">
        <v>31.08</v>
      </c>
      <c r="F976" s="987">
        <v>9.4699999999999993E-3</v>
      </c>
      <c r="G976" s="987">
        <v>0.36499999999999999</v>
      </c>
      <c r="H976" s="986">
        <v>3.8999999999999998E-3</v>
      </c>
      <c r="I976" s="986">
        <f t="shared" si="15"/>
        <v>5.5699999999999994E-3</v>
      </c>
      <c r="J976" s="988">
        <v>39142</v>
      </c>
    </row>
    <row r="977" spans="1:10">
      <c r="A977" s="987">
        <v>66</v>
      </c>
      <c r="B977" s="988">
        <v>39173</v>
      </c>
      <c r="C977" s="987" t="s">
        <v>4653</v>
      </c>
      <c r="D977" s="987" t="s">
        <v>4652</v>
      </c>
      <c r="E977" s="987">
        <v>31.39</v>
      </c>
      <c r="F977" s="987">
        <v>9.9740000000000002E-3</v>
      </c>
      <c r="G977" s="987">
        <v>0</v>
      </c>
      <c r="H977" s="986">
        <v>4.1999999999999997E-3</v>
      </c>
      <c r="I977" s="986">
        <f t="shared" si="15"/>
        <v>5.7740000000000005E-3</v>
      </c>
      <c r="J977" s="988">
        <v>39173</v>
      </c>
    </row>
    <row r="978" spans="1:10">
      <c r="A978" s="987">
        <v>66</v>
      </c>
      <c r="B978" s="988">
        <v>39203</v>
      </c>
      <c r="C978" s="987" t="s">
        <v>4653</v>
      </c>
      <c r="D978" s="987" t="s">
        <v>4652</v>
      </c>
      <c r="E978" s="987">
        <v>31.16</v>
      </c>
      <c r="F978" s="987">
        <v>-7.3270000000000002E-3</v>
      </c>
      <c r="G978" s="987">
        <v>0</v>
      </c>
      <c r="H978" s="986">
        <v>4.1000000000000003E-3</v>
      </c>
      <c r="I978" s="986">
        <f t="shared" si="15"/>
        <v>-1.1427E-2</v>
      </c>
      <c r="J978" s="988">
        <v>39203</v>
      </c>
    </row>
    <row r="979" spans="1:10">
      <c r="A979" s="987">
        <v>66</v>
      </c>
      <c r="B979" s="988">
        <v>39234</v>
      </c>
      <c r="C979" s="987" t="s">
        <v>4653</v>
      </c>
      <c r="D979" s="987" t="s">
        <v>4652</v>
      </c>
      <c r="E979" s="987">
        <v>31.88</v>
      </c>
      <c r="F979" s="987">
        <v>3.4819999999999997E-2</v>
      </c>
      <c r="G979" s="987">
        <v>0.36499999999999999</v>
      </c>
      <c r="H979" s="986">
        <v>4.0000000000000001E-3</v>
      </c>
      <c r="I979" s="986">
        <f t="shared" si="15"/>
        <v>3.0819999999999997E-2</v>
      </c>
      <c r="J979" s="988">
        <v>39234</v>
      </c>
    </row>
    <row r="980" spans="1:10">
      <c r="A980" s="987">
        <v>66</v>
      </c>
      <c r="B980" s="988">
        <v>39264</v>
      </c>
      <c r="C980" s="987" t="s">
        <v>4653</v>
      </c>
      <c r="D980" s="987" t="s">
        <v>4652</v>
      </c>
      <c r="E980" s="987">
        <v>29.55</v>
      </c>
      <c r="F980" s="987">
        <v>-7.3086999999999999E-2</v>
      </c>
      <c r="G980" s="987">
        <v>0</v>
      </c>
      <c r="H980" s="986">
        <v>4.5999999999999999E-3</v>
      </c>
      <c r="I980" s="986">
        <f t="shared" si="15"/>
        <v>-7.7687000000000006E-2</v>
      </c>
      <c r="J980" s="988">
        <v>39264</v>
      </c>
    </row>
    <row r="981" spans="1:10">
      <c r="A981" s="987">
        <v>66</v>
      </c>
      <c r="B981" s="988">
        <v>39295</v>
      </c>
      <c r="C981" s="987" t="s">
        <v>4653</v>
      </c>
      <c r="D981" s="987" t="s">
        <v>4652</v>
      </c>
      <c r="E981" s="987">
        <v>32.64</v>
      </c>
      <c r="F981" s="987">
        <v>0.104569</v>
      </c>
      <c r="G981" s="987">
        <v>0</v>
      </c>
      <c r="H981" s="986">
        <v>4.1999999999999997E-3</v>
      </c>
      <c r="I981" s="986">
        <f t="shared" si="15"/>
        <v>0.100369</v>
      </c>
      <c r="J981" s="988">
        <v>39295</v>
      </c>
    </row>
    <row r="982" spans="1:10">
      <c r="A982" s="987">
        <v>66</v>
      </c>
      <c r="B982" s="988">
        <v>39326</v>
      </c>
      <c r="C982" s="987" t="s">
        <v>4653</v>
      </c>
      <c r="D982" s="987" t="s">
        <v>4652</v>
      </c>
      <c r="E982" s="987">
        <v>32.28</v>
      </c>
      <c r="F982" s="987">
        <v>1.5300000000000001E-4</v>
      </c>
      <c r="G982" s="987">
        <v>0.36499999999999999</v>
      </c>
      <c r="H982" s="986">
        <v>3.7000000000000002E-3</v>
      </c>
      <c r="I982" s="986">
        <f t="shared" si="15"/>
        <v>-3.5470000000000002E-3</v>
      </c>
      <c r="J982" s="988">
        <v>39326</v>
      </c>
    </row>
    <row r="983" spans="1:10">
      <c r="A983" s="987">
        <v>66</v>
      </c>
      <c r="B983" s="988">
        <v>39356</v>
      </c>
      <c r="C983" s="987" t="s">
        <v>4653</v>
      </c>
      <c r="D983" s="987" t="s">
        <v>4652</v>
      </c>
      <c r="E983" s="987">
        <v>34.79</v>
      </c>
      <c r="F983" s="987">
        <v>7.7757000000000007E-2</v>
      </c>
      <c r="G983" s="987">
        <v>0</v>
      </c>
      <c r="H983" s="986">
        <v>4.3E-3</v>
      </c>
      <c r="I983" s="986">
        <f t="shared" si="15"/>
        <v>7.3457000000000008E-2</v>
      </c>
      <c r="J983" s="988">
        <v>39356</v>
      </c>
    </row>
    <row r="984" spans="1:10">
      <c r="A984" s="987">
        <v>66</v>
      </c>
      <c r="B984" s="988">
        <v>39387</v>
      </c>
      <c r="C984" s="987" t="s">
        <v>4653</v>
      </c>
      <c r="D984" s="987" t="s">
        <v>4652</v>
      </c>
      <c r="E984" s="987">
        <v>34.409999999999997</v>
      </c>
      <c r="F984" s="987">
        <v>-1.0923E-2</v>
      </c>
      <c r="G984" s="987">
        <v>0</v>
      </c>
      <c r="H984" s="986">
        <v>3.8999999999999998E-3</v>
      </c>
      <c r="I984" s="986">
        <f t="shared" si="15"/>
        <v>-1.4822999999999999E-2</v>
      </c>
      <c r="J984" s="988">
        <v>39387</v>
      </c>
    </row>
    <row r="985" spans="1:10">
      <c r="A985" s="987">
        <v>66</v>
      </c>
      <c r="B985" s="988">
        <v>39417</v>
      </c>
      <c r="C985" s="987" t="s">
        <v>4653</v>
      </c>
      <c r="D985" s="987" t="s">
        <v>4652</v>
      </c>
      <c r="E985" s="987">
        <v>34.24</v>
      </c>
      <c r="F985" s="987">
        <v>5.9579999999999998E-3</v>
      </c>
      <c r="G985" s="987">
        <v>0.375</v>
      </c>
      <c r="H985" s="986">
        <v>3.7000000000000002E-3</v>
      </c>
      <c r="I985" s="986">
        <f t="shared" si="15"/>
        <v>2.2579999999999996E-3</v>
      </c>
      <c r="J985" s="988">
        <v>39417</v>
      </c>
    </row>
    <row r="986" spans="1:10">
      <c r="A986" s="987">
        <v>66</v>
      </c>
      <c r="B986" s="988">
        <v>39448</v>
      </c>
      <c r="C986" s="987" t="s">
        <v>4653</v>
      </c>
      <c r="D986" s="987" t="s">
        <v>4652</v>
      </c>
      <c r="E986" s="987">
        <v>33.770000000000003</v>
      </c>
      <c r="F986" s="987">
        <v>-1.3727E-2</v>
      </c>
      <c r="G986" s="987">
        <v>0</v>
      </c>
      <c r="H986" s="986">
        <v>4.0000000000000001E-3</v>
      </c>
      <c r="I986" s="986">
        <f t="shared" si="15"/>
        <v>-1.7727E-2</v>
      </c>
      <c r="J986" s="988">
        <v>39448</v>
      </c>
    </row>
    <row r="987" spans="1:10">
      <c r="A987" s="987">
        <v>66</v>
      </c>
      <c r="B987" s="988">
        <v>39479</v>
      </c>
      <c r="C987" s="987" t="s">
        <v>4653</v>
      </c>
      <c r="D987" s="987" t="s">
        <v>4652</v>
      </c>
      <c r="E987" s="987">
        <v>34.15</v>
      </c>
      <c r="F987" s="987">
        <v>1.1253000000000001E-2</v>
      </c>
      <c r="G987" s="987">
        <v>0</v>
      </c>
      <c r="H987" s="986">
        <v>3.3999999999999998E-3</v>
      </c>
      <c r="I987" s="986">
        <f t="shared" si="15"/>
        <v>7.8530000000000006E-3</v>
      </c>
      <c r="J987" s="988">
        <v>39479</v>
      </c>
    </row>
    <row r="988" spans="1:10">
      <c r="A988" s="987">
        <v>66</v>
      </c>
      <c r="B988" s="988">
        <v>39508</v>
      </c>
      <c r="C988" s="987" t="s">
        <v>4653</v>
      </c>
      <c r="D988" s="987" t="s">
        <v>4652</v>
      </c>
      <c r="E988" s="987">
        <v>35.630000000000003</v>
      </c>
      <c r="F988" s="987">
        <v>5.4318999999999999E-2</v>
      </c>
      <c r="G988" s="987">
        <v>0.375</v>
      </c>
      <c r="H988" s="986">
        <v>3.7000000000000002E-3</v>
      </c>
      <c r="I988" s="986">
        <f t="shared" si="15"/>
        <v>5.0618999999999997E-2</v>
      </c>
      <c r="J988" s="988">
        <v>39508</v>
      </c>
    </row>
    <row r="989" spans="1:10">
      <c r="A989" s="987">
        <v>66</v>
      </c>
      <c r="B989" s="988">
        <v>39539</v>
      </c>
      <c r="C989" s="987" t="s">
        <v>4653</v>
      </c>
      <c r="D989" s="987" t="s">
        <v>4652</v>
      </c>
      <c r="E989" s="987">
        <v>37.82</v>
      </c>
      <c r="F989" s="987">
        <v>6.1464999999999999E-2</v>
      </c>
      <c r="G989" s="987">
        <v>0</v>
      </c>
      <c r="H989" s="986">
        <v>3.5000000000000001E-3</v>
      </c>
      <c r="I989" s="986">
        <f t="shared" si="15"/>
        <v>5.7964999999999996E-2</v>
      </c>
      <c r="J989" s="988">
        <v>39539</v>
      </c>
    </row>
    <row r="990" spans="1:10">
      <c r="A990" s="987">
        <v>66</v>
      </c>
      <c r="B990" s="988">
        <v>39569</v>
      </c>
      <c r="C990" s="987" t="s">
        <v>4653</v>
      </c>
      <c r="D990" s="987" t="s">
        <v>4652</v>
      </c>
      <c r="E990" s="987">
        <v>40</v>
      </c>
      <c r="F990" s="987">
        <v>5.7640999999999998E-2</v>
      </c>
      <c r="G990" s="987">
        <v>0</v>
      </c>
      <c r="H990" s="986">
        <v>3.7000000000000002E-3</v>
      </c>
      <c r="I990" s="986">
        <f t="shared" si="15"/>
        <v>5.3940999999999996E-2</v>
      </c>
      <c r="J990" s="988">
        <v>39569</v>
      </c>
    </row>
    <row r="991" spans="1:10">
      <c r="A991" s="987">
        <v>66</v>
      </c>
      <c r="B991" s="988">
        <v>39600</v>
      </c>
      <c r="C991" s="987" t="s">
        <v>4653</v>
      </c>
      <c r="D991" s="987" t="s">
        <v>4652</v>
      </c>
      <c r="E991" s="987">
        <v>40.369999999999997</v>
      </c>
      <c r="F991" s="987">
        <v>1.8624999999999999E-2</v>
      </c>
      <c r="G991" s="987">
        <v>0.375</v>
      </c>
      <c r="H991" s="986">
        <v>4.0000000000000001E-3</v>
      </c>
      <c r="I991" s="986">
        <f t="shared" si="15"/>
        <v>1.4624999999999999E-2</v>
      </c>
      <c r="J991" s="988">
        <v>39600</v>
      </c>
    </row>
    <row r="992" spans="1:10">
      <c r="A992" s="987">
        <v>66</v>
      </c>
      <c r="B992" s="988">
        <v>39630</v>
      </c>
      <c r="C992" s="987" t="s">
        <v>4653</v>
      </c>
      <c r="D992" s="987" t="s">
        <v>4652</v>
      </c>
      <c r="E992" s="987">
        <v>42.41</v>
      </c>
      <c r="F992" s="987">
        <v>5.0533000000000002E-2</v>
      </c>
      <c r="G992" s="987">
        <v>0</v>
      </c>
      <c r="H992" s="986">
        <v>3.8999999999999998E-3</v>
      </c>
      <c r="I992" s="986">
        <f t="shared" si="15"/>
        <v>4.6633000000000001E-2</v>
      </c>
      <c r="J992" s="988">
        <v>39630</v>
      </c>
    </row>
    <row r="993" spans="1:10">
      <c r="A993" s="987">
        <v>66</v>
      </c>
      <c r="B993" s="988">
        <v>39661</v>
      </c>
      <c r="C993" s="987" t="s">
        <v>4653</v>
      </c>
      <c r="D993" s="987" t="s">
        <v>4652</v>
      </c>
      <c r="E993" s="987">
        <v>44.93</v>
      </c>
      <c r="F993" s="987">
        <v>5.9420000000000001E-2</v>
      </c>
      <c r="G993" s="987">
        <v>0</v>
      </c>
      <c r="H993" s="986">
        <v>3.5999999999999999E-3</v>
      </c>
      <c r="I993" s="986">
        <f t="shared" si="15"/>
        <v>5.5820000000000002E-2</v>
      </c>
      <c r="J993" s="988">
        <v>39661</v>
      </c>
    </row>
    <row r="994" spans="1:10">
      <c r="A994" s="987">
        <v>66</v>
      </c>
      <c r="B994" s="988">
        <v>39692</v>
      </c>
      <c r="C994" s="987" t="s">
        <v>4653</v>
      </c>
      <c r="D994" s="987" t="s">
        <v>4652</v>
      </c>
      <c r="E994" s="987">
        <v>48.49</v>
      </c>
      <c r="F994" s="987">
        <v>8.7581000000000006E-2</v>
      </c>
      <c r="G994" s="987">
        <v>0.375</v>
      </c>
      <c r="H994" s="986">
        <v>3.8999999999999998E-3</v>
      </c>
      <c r="I994" s="986">
        <f t="shared" si="15"/>
        <v>8.3681000000000005E-2</v>
      </c>
      <c r="J994" s="988">
        <v>39692</v>
      </c>
    </row>
    <row r="995" spans="1:10">
      <c r="A995" s="987">
        <v>66</v>
      </c>
      <c r="B995" s="988">
        <v>39722</v>
      </c>
      <c r="C995" s="987" t="s">
        <v>4653</v>
      </c>
      <c r="D995" s="987" t="s">
        <v>4652</v>
      </c>
      <c r="E995" s="987">
        <v>52.32</v>
      </c>
      <c r="F995" s="987">
        <v>7.8985E-2</v>
      </c>
      <c r="G995" s="987">
        <v>0</v>
      </c>
      <c r="H995" s="986">
        <v>3.7000000000000002E-3</v>
      </c>
      <c r="I995" s="986">
        <f t="shared" si="15"/>
        <v>7.5285000000000005E-2</v>
      </c>
      <c r="J995" s="988">
        <v>39722</v>
      </c>
    </row>
    <row r="996" spans="1:10">
      <c r="A996" s="987">
        <v>66</v>
      </c>
      <c r="B996" s="988">
        <v>39753</v>
      </c>
      <c r="C996" s="987" t="s">
        <v>4653</v>
      </c>
      <c r="D996" s="987" t="s">
        <v>4652</v>
      </c>
      <c r="E996" s="987">
        <v>52.68</v>
      </c>
      <c r="F996" s="987">
        <v>6.881E-3</v>
      </c>
      <c r="G996" s="987">
        <v>0</v>
      </c>
      <c r="H996" s="986">
        <v>3.5999999999999999E-3</v>
      </c>
      <c r="I996" s="986">
        <f t="shared" si="15"/>
        <v>3.2810000000000001E-3</v>
      </c>
      <c r="J996" s="988">
        <v>39753</v>
      </c>
    </row>
    <row r="997" spans="1:10">
      <c r="A997" s="987">
        <v>66</v>
      </c>
      <c r="B997" s="988">
        <v>39783</v>
      </c>
      <c r="C997" s="987" t="s">
        <v>4653</v>
      </c>
      <c r="D997" s="987" t="s">
        <v>4652</v>
      </c>
      <c r="E997" s="987">
        <v>46.84</v>
      </c>
      <c r="F997" s="987">
        <v>-0.10355</v>
      </c>
      <c r="G997" s="987">
        <v>0.38500000000000001</v>
      </c>
      <c r="H997" s="986">
        <v>3.3E-3</v>
      </c>
      <c r="I997" s="986">
        <f t="shared" si="15"/>
        <v>-0.10685</v>
      </c>
      <c r="J997" s="988">
        <v>39783</v>
      </c>
    </row>
    <row r="998" spans="1:10">
      <c r="A998" s="987">
        <v>66</v>
      </c>
      <c r="B998" s="988">
        <v>39814</v>
      </c>
      <c r="C998" s="987" t="s">
        <v>4653</v>
      </c>
      <c r="D998" s="987" t="s">
        <v>4652</v>
      </c>
      <c r="E998" s="987">
        <v>45.39</v>
      </c>
      <c r="F998" s="987">
        <v>-3.0956000000000001E-2</v>
      </c>
      <c r="G998" s="987">
        <v>0</v>
      </c>
      <c r="H998" s="986">
        <v>2.3999999999999998E-3</v>
      </c>
      <c r="I998" s="986">
        <f t="shared" si="15"/>
        <v>-3.3356000000000004E-2</v>
      </c>
      <c r="J998" s="988">
        <v>39814</v>
      </c>
    </row>
    <row r="999" spans="1:10">
      <c r="A999" s="987">
        <v>66</v>
      </c>
      <c r="B999" s="988">
        <v>39845</v>
      </c>
      <c r="C999" s="987" t="s">
        <v>4653</v>
      </c>
      <c r="D999" s="987" t="s">
        <v>4652</v>
      </c>
      <c r="E999" s="987">
        <v>39.58</v>
      </c>
      <c r="F999" s="987">
        <v>-0.128002</v>
      </c>
      <c r="G999" s="987">
        <v>0</v>
      </c>
      <c r="H999" s="986">
        <v>3.0000000000000001E-3</v>
      </c>
      <c r="I999" s="986">
        <f t="shared" si="15"/>
        <v>-0.13100200000000001</v>
      </c>
      <c r="J999" s="988">
        <v>39845</v>
      </c>
    </row>
    <row r="1000" spans="1:10">
      <c r="A1000" s="987">
        <v>66</v>
      </c>
      <c r="B1000" s="988">
        <v>39873</v>
      </c>
      <c r="C1000" s="987" t="s">
        <v>4653</v>
      </c>
      <c r="D1000" s="987" t="s">
        <v>4652</v>
      </c>
      <c r="E1000" s="987">
        <v>38.979999999999997</v>
      </c>
      <c r="F1000" s="987">
        <v>-5.4320000000000002E-3</v>
      </c>
      <c r="G1000" s="987">
        <v>0.38500000000000001</v>
      </c>
      <c r="H1000" s="986">
        <v>3.5000000000000001E-3</v>
      </c>
      <c r="I1000" s="986">
        <f t="shared" si="15"/>
        <v>-8.9320000000000007E-3</v>
      </c>
      <c r="J1000" s="988">
        <v>39873</v>
      </c>
    </row>
    <row r="1001" spans="1:10">
      <c r="A1001" s="987">
        <v>66</v>
      </c>
      <c r="B1001" s="988">
        <v>39904</v>
      </c>
      <c r="C1001" s="987" t="s">
        <v>4653</v>
      </c>
      <c r="D1001" s="987" t="s">
        <v>4652</v>
      </c>
      <c r="E1001" s="987">
        <v>34.68</v>
      </c>
      <c r="F1001" s="987">
        <v>-0.11031299999999999</v>
      </c>
      <c r="G1001" s="987">
        <v>0</v>
      </c>
      <c r="H1001" s="986">
        <v>2.8999999999999998E-3</v>
      </c>
      <c r="I1001" s="986">
        <f t="shared" si="15"/>
        <v>-0.11321299999999999</v>
      </c>
      <c r="J1001" s="988">
        <v>39904</v>
      </c>
    </row>
    <row r="1002" spans="1:10">
      <c r="A1002" s="987">
        <v>66</v>
      </c>
      <c r="B1002" s="988">
        <v>39934</v>
      </c>
      <c r="C1002" s="987" t="s">
        <v>4653</v>
      </c>
      <c r="D1002" s="987" t="s">
        <v>4652</v>
      </c>
      <c r="E1002" s="987">
        <v>31.08</v>
      </c>
      <c r="F1002" s="987">
        <v>-0.103806</v>
      </c>
      <c r="G1002" s="987">
        <v>0</v>
      </c>
      <c r="H1002" s="986">
        <v>3.3E-3</v>
      </c>
      <c r="I1002" s="986">
        <f t="shared" si="15"/>
        <v>-0.10710599999999999</v>
      </c>
      <c r="J1002" s="988">
        <v>39934</v>
      </c>
    </row>
    <row r="1003" spans="1:10">
      <c r="A1003" s="987">
        <v>66</v>
      </c>
      <c r="B1003" s="988">
        <v>39965</v>
      </c>
      <c r="C1003" s="987" t="s">
        <v>4653</v>
      </c>
      <c r="D1003" s="987" t="s">
        <v>4652</v>
      </c>
      <c r="E1003" s="987">
        <v>33.130000000000003</v>
      </c>
      <c r="F1003" s="987">
        <v>7.8345999999999999E-2</v>
      </c>
      <c r="G1003" s="987">
        <v>0.38500000000000001</v>
      </c>
      <c r="H1003" s="986">
        <v>3.8E-3</v>
      </c>
      <c r="I1003" s="986">
        <f t="shared" si="15"/>
        <v>7.4546000000000001E-2</v>
      </c>
      <c r="J1003" s="988">
        <v>39965</v>
      </c>
    </row>
    <row r="1004" spans="1:10">
      <c r="A1004" s="987">
        <v>66</v>
      </c>
      <c r="B1004" s="988">
        <v>39995</v>
      </c>
      <c r="C1004" s="987" t="s">
        <v>4653</v>
      </c>
      <c r="D1004" s="987" t="s">
        <v>4652</v>
      </c>
      <c r="E1004" s="987">
        <v>33.57</v>
      </c>
      <c r="F1004" s="987">
        <v>1.3280999999999999E-2</v>
      </c>
      <c r="G1004" s="987">
        <v>0</v>
      </c>
      <c r="H1004" s="986">
        <v>3.5999999999999999E-3</v>
      </c>
      <c r="I1004" s="986">
        <f t="shared" si="15"/>
        <v>9.6809999999999986E-3</v>
      </c>
      <c r="J1004" s="988">
        <v>39995</v>
      </c>
    </row>
    <row r="1005" spans="1:10">
      <c r="A1005" s="987">
        <v>66</v>
      </c>
      <c r="B1005" s="988">
        <v>40026</v>
      </c>
      <c r="C1005" s="987" t="s">
        <v>4653</v>
      </c>
      <c r="D1005" s="987" t="s">
        <v>4652</v>
      </c>
      <c r="E1005" s="987">
        <v>32.56</v>
      </c>
      <c r="F1005" s="987">
        <v>-3.0086000000000002E-2</v>
      </c>
      <c r="G1005" s="987">
        <v>0</v>
      </c>
      <c r="H1005" s="986">
        <v>3.5999999999999999E-3</v>
      </c>
      <c r="I1005" s="986">
        <f t="shared" si="15"/>
        <v>-3.3686000000000001E-2</v>
      </c>
      <c r="J1005" s="988">
        <v>40026</v>
      </c>
    </row>
    <row r="1006" spans="1:10">
      <c r="A1006" s="987">
        <v>66</v>
      </c>
      <c r="B1006" s="988">
        <v>40057</v>
      </c>
      <c r="C1006" s="987" t="s">
        <v>4653</v>
      </c>
      <c r="D1006" s="987" t="s">
        <v>4652</v>
      </c>
      <c r="E1006" s="987">
        <v>32.159999999999997</v>
      </c>
      <c r="F1006" s="987">
        <v>-4.6099999999999998E-4</v>
      </c>
      <c r="G1006" s="987">
        <v>0.38500000000000001</v>
      </c>
      <c r="H1006" s="986">
        <v>3.3999999999999998E-3</v>
      </c>
      <c r="I1006" s="986">
        <f t="shared" si="15"/>
        <v>-3.8609999999999998E-3</v>
      </c>
      <c r="J1006" s="988">
        <v>40057</v>
      </c>
    </row>
    <row r="1007" spans="1:10">
      <c r="A1007" s="987">
        <v>66</v>
      </c>
      <c r="B1007" s="988">
        <v>40087</v>
      </c>
      <c r="C1007" s="987" t="s">
        <v>4653</v>
      </c>
      <c r="D1007" s="987" t="s">
        <v>4652</v>
      </c>
      <c r="E1007" s="987">
        <v>30.71</v>
      </c>
      <c r="F1007" s="987">
        <v>-4.5087000000000002E-2</v>
      </c>
      <c r="G1007" s="987">
        <v>0</v>
      </c>
      <c r="H1007" s="986">
        <v>3.3E-3</v>
      </c>
      <c r="I1007" s="986">
        <f t="shared" si="15"/>
        <v>-4.8386999999999999E-2</v>
      </c>
      <c r="J1007" s="988">
        <v>40087</v>
      </c>
    </row>
    <row r="1008" spans="1:10">
      <c r="A1008" s="987">
        <v>66</v>
      </c>
      <c r="B1008" s="988">
        <v>40118</v>
      </c>
      <c r="C1008" s="987" t="s">
        <v>4653</v>
      </c>
      <c r="D1008" s="987" t="s">
        <v>4652</v>
      </c>
      <c r="E1008" s="987">
        <v>31.31</v>
      </c>
      <c r="F1008" s="987">
        <v>1.9538E-2</v>
      </c>
      <c r="G1008" s="987">
        <v>0</v>
      </c>
      <c r="H1008" s="986">
        <v>3.5000000000000001E-3</v>
      </c>
      <c r="I1008" s="986">
        <f t="shared" si="15"/>
        <v>1.6038E-2</v>
      </c>
      <c r="J1008" s="988">
        <v>40118</v>
      </c>
    </row>
    <row r="1009" spans="1:10">
      <c r="A1009" s="987">
        <v>66</v>
      </c>
      <c r="B1009" s="988">
        <v>40148</v>
      </c>
      <c r="C1009" s="987" t="s">
        <v>4653</v>
      </c>
      <c r="D1009" s="987" t="s">
        <v>4652</v>
      </c>
      <c r="E1009" s="987">
        <v>33.770000000000003</v>
      </c>
      <c r="F1009" s="987">
        <v>9.1185000000000002E-2</v>
      </c>
      <c r="G1009" s="987">
        <v>0.39500000000000002</v>
      </c>
      <c r="H1009" s="986">
        <v>3.3999999999999998E-3</v>
      </c>
      <c r="I1009" s="986">
        <f t="shared" si="15"/>
        <v>8.7785000000000002E-2</v>
      </c>
      <c r="J1009" s="988">
        <v>40148</v>
      </c>
    </row>
    <row r="1010" spans="1:10">
      <c r="A1010" s="987">
        <v>66</v>
      </c>
      <c r="B1010" s="988">
        <v>40179</v>
      </c>
      <c r="C1010" s="987" t="s">
        <v>4653</v>
      </c>
      <c r="D1010" s="987" t="s">
        <v>4652</v>
      </c>
      <c r="E1010" s="987">
        <v>32.26</v>
      </c>
      <c r="F1010" s="987">
        <v>-4.4713999999999997E-2</v>
      </c>
      <c r="G1010" s="987">
        <v>0</v>
      </c>
      <c r="H1010" s="986">
        <v>3.5999999999999999E-3</v>
      </c>
      <c r="I1010" s="986">
        <f t="shared" si="15"/>
        <v>-4.8313999999999996E-2</v>
      </c>
      <c r="J1010" s="988">
        <v>40179</v>
      </c>
    </row>
    <row r="1011" spans="1:10">
      <c r="A1011" s="987">
        <v>66</v>
      </c>
      <c r="B1011" s="988">
        <v>40210</v>
      </c>
      <c r="C1011" s="987" t="s">
        <v>4653</v>
      </c>
      <c r="D1011" s="987" t="s">
        <v>4652</v>
      </c>
      <c r="E1011" s="987">
        <v>32.79</v>
      </c>
      <c r="F1011" s="987">
        <v>1.6428999999999999E-2</v>
      </c>
      <c r="G1011" s="987">
        <v>0</v>
      </c>
      <c r="H1011" s="986">
        <v>3.3E-3</v>
      </c>
      <c r="I1011" s="986">
        <f t="shared" si="15"/>
        <v>1.3128999999999998E-2</v>
      </c>
      <c r="J1011" s="988">
        <v>40210</v>
      </c>
    </row>
    <row r="1012" spans="1:10">
      <c r="A1012" s="987">
        <v>66</v>
      </c>
      <c r="B1012" s="988">
        <v>40238</v>
      </c>
      <c r="C1012" s="987" t="s">
        <v>4653</v>
      </c>
      <c r="D1012" s="987" t="s">
        <v>4652</v>
      </c>
      <c r="E1012" s="987">
        <v>33.72</v>
      </c>
      <c r="F1012" s="987">
        <v>4.0409E-2</v>
      </c>
      <c r="G1012" s="987">
        <v>0.39500000000000002</v>
      </c>
      <c r="H1012" s="986">
        <v>4.0000000000000001E-3</v>
      </c>
      <c r="I1012" s="986">
        <f t="shared" si="15"/>
        <v>3.6408999999999997E-2</v>
      </c>
      <c r="J1012" s="988">
        <v>40238</v>
      </c>
    </row>
    <row r="1013" spans="1:10">
      <c r="A1013" s="987">
        <v>66</v>
      </c>
      <c r="B1013" s="988">
        <v>40269</v>
      </c>
      <c r="C1013" s="987" t="s">
        <v>4653</v>
      </c>
      <c r="D1013" s="987" t="s">
        <v>4652</v>
      </c>
      <c r="E1013" s="987">
        <v>34.08</v>
      </c>
      <c r="F1013" s="987">
        <v>1.0676E-2</v>
      </c>
      <c r="G1013" s="987">
        <v>0</v>
      </c>
      <c r="H1013" s="986">
        <v>3.8E-3</v>
      </c>
      <c r="I1013" s="986">
        <f t="shared" si="15"/>
        <v>6.8760000000000002E-3</v>
      </c>
      <c r="J1013" s="988">
        <v>40269</v>
      </c>
    </row>
    <row r="1014" spans="1:10">
      <c r="A1014" s="987">
        <v>66</v>
      </c>
      <c r="B1014" s="988">
        <v>40299</v>
      </c>
      <c r="C1014" s="987" t="s">
        <v>4653</v>
      </c>
      <c r="D1014" s="987" t="s">
        <v>4652</v>
      </c>
      <c r="E1014" s="987">
        <v>33.090000000000003</v>
      </c>
      <c r="F1014" s="987">
        <v>-2.9048999999999998E-2</v>
      </c>
      <c r="G1014" s="987">
        <v>0</v>
      </c>
      <c r="H1014" s="986">
        <v>3.3999999999999998E-3</v>
      </c>
      <c r="I1014" s="986">
        <f t="shared" si="15"/>
        <v>-3.2448999999999999E-2</v>
      </c>
      <c r="J1014" s="988">
        <v>40299</v>
      </c>
    </row>
    <row r="1015" spans="1:10">
      <c r="A1015" s="987">
        <v>66</v>
      </c>
      <c r="B1015" s="988">
        <v>40330</v>
      </c>
      <c r="C1015" s="987" t="s">
        <v>4653</v>
      </c>
      <c r="D1015" s="987" t="s">
        <v>4652</v>
      </c>
      <c r="E1015" s="987">
        <v>33.130000000000003</v>
      </c>
      <c r="F1015" s="987">
        <v>1.3146E-2</v>
      </c>
      <c r="G1015" s="987">
        <v>0.39500000000000002</v>
      </c>
      <c r="H1015" s="986">
        <v>3.7000000000000002E-3</v>
      </c>
      <c r="I1015" s="986">
        <f t="shared" si="15"/>
        <v>9.4459999999999995E-3</v>
      </c>
      <c r="J1015" s="988">
        <v>40330</v>
      </c>
    </row>
    <row r="1016" spans="1:10">
      <c r="A1016" s="987">
        <v>66</v>
      </c>
      <c r="B1016" s="988">
        <v>40360</v>
      </c>
      <c r="C1016" s="987" t="s">
        <v>4653</v>
      </c>
      <c r="D1016" s="987" t="s">
        <v>4652</v>
      </c>
      <c r="E1016" s="987">
        <v>34.94</v>
      </c>
      <c r="F1016" s="987">
        <v>5.4633000000000001E-2</v>
      </c>
      <c r="G1016" s="987">
        <v>0</v>
      </c>
      <c r="H1016" s="986">
        <v>3.0999999999999999E-3</v>
      </c>
      <c r="I1016" s="986">
        <f t="shared" si="15"/>
        <v>5.1533000000000002E-2</v>
      </c>
      <c r="J1016" s="988">
        <v>40360</v>
      </c>
    </row>
    <row r="1017" spans="1:10">
      <c r="A1017" s="987">
        <v>66</v>
      </c>
      <c r="B1017" s="988">
        <v>40391</v>
      </c>
      <c r="C1017" s="987" t="s">
        <v>4653</v>
      </c>
      <c r="D1017" s="987" t="s">
        <v>4652</v>
      </c>
      <c r="E1017" s="987">
        <v>33.299999999999997</v>
      </c>
      <c r="F1017" s="987">
        <v>-4.6938000000000001E-2</v>
      </c>
      <c r="G1017" s="987">
        <v>0</v>
      </c>
      <c r="H1017" s="986">
        <v>3.2000000000000002E-3</v>
      </c>
      <c r="I1017" s="986">
        <f t="shared" si="15"/>
        <v>-5.0138000000000002E-2</v>
      </c>
      <c r="J1017" s="988">
        <v>40391</v>
      </c>
    </row>
    <row r="1018" spans="1:10">
      <c r="A1018" s="987">
        <v>66</v>
      </c>
      <c r="B1018" s="988">
        <v>40422</v>
      </c>
      <c r="C1018" s="987" t="s">
        <v>4653</v>
      </c>
      <c r="D1018" s="987" t="s">
        <v>4652</v>
      </c>
      <c r="E1018" s="987">
        <v>34.42</v>
      </c>
      <c r="F1018" s="987">
        <v>4.5495000000000001E-2</v>
      </c>
      <c r="G1018" s="987">
        <v>0.39500000000000002</v>
      </c>
      <c r="H1018" s="986">
        <v>2.5999999999999999E-3</v>
      </c>
      <c r="I1018" s="986">
        <f t="shared" si="15"/>
        <v>4.2895000000000003E-2</v>
      </c>
      <c r="J1018" s="988">
        <v>40422</v>
      </c>
    </row>
    <row r="1019" spans="1:10">
      <c r="A1019" s="987">
        <v>66</v>
      </c>
      <c r="B1019" s="988">
        <v>40452</v>
      </c>
      <c r="C1019" s="987" t="s">
        <v>4653</v>
      </c>
      <c r="D1019" s="987" t="s">
        <v>4652</v>
      </c>
      <c r="E1019" s="987">
        <v>35.11</v>
      </c>
      <c r="F1019" s="987">
        <v>2.0046999999999999E-2</v>
      </c>
      <c r="G1019" s="987">
        <v>0</v>
      </c>
      <c r="H1019" s="986">
        <v>2.7000000000000001E-3</v>
      </c>
      <c r="I1019" s="986">
        <f t="shared" si="15"/>
        <v>1.7346999999999998E-2</v>
      </c>
      <c r="J1019" s="988">
        <v>40452</v>
      </c>
    </row>
    <row r="1020" spans="1:10">
      <c r="A1020" s="987">
        <v>66</v>
      </c>
      <c r="B1020" s="988">
        <v>40483</v>
      </c>
      <c r="C1020" s="987" t="s">
        <v>4653</v>
      </c>
      <c r="D1020" s="987" t="s">
        <v>4652</v>
      </c>
      <c r="E1020" s="987">
        <v>35.35</v>
      </c>
      <c r="F1020" s="987">
        <v>6.8360000000000001E-3</v>
      </c>
      <c r="G1020" s="987">
        <v>0</v>
      </c>
      <c r="H1020" s="986">
        <v>3.2000000000000002E-3</v>
      </c>
      <c r="I1020" s="986">
        <f t="shared" si="15"/>
        <v>3.6359999999999999E-3</v>
      </c>
      <c r="J1020" s="988">
        <v>40483</v>
      </c>
    </row>
    <row r="1021" spans="1:10">
      <c r="A1021" s="987">
        <v>66</v>
      </c>
      <c r="B1021" s="988">
        <v>40513</v>
      </c>
      <c r="C1021" s="987" t="s">
        <v>4653</v>
      </c>
      <c r="D1021" s="987" t="s">
        <v>4652</v>
      </c>
      <c r="E1021" s="987">
        <v>36.54</v>
      </c>
      <c r="F1021" s="987">
        <v>4.512E-2</v>
      </c>
      <c r="G1021" s="987">
        <v>0.40500000000000003</v>
      </c>
      <c r="H1021" s="986">
        <v>3.2000000000000002E-3</v>
      </c>
      <c r="I1021" s="986">
        <f t="shared" si="15"/>
        <v>4.1919999999999999E-2</v>
      </c>
      <c r="J1021" s="988">
        <v>40513</v>
      </c>
    </row>
    <row r="1022" spans="1:10" s="983" customFormat="1" ht="13.8">
      <c r="A1022" s="983">
        <v>66</v>
      </c>
      <c r="B1022" s="988">
        <v>40544</v>
      </c>
      <c r="C1022" s="983" t="s">
        <v>4653</v>
      </c>
      <c r="D1022" s="983" t="s">
        <v>4652</v>
      </c>
      <c r="E1022" s="983">
        <v>38</v>
      </c>
      <c r="F1022" s="983">
        <v>3.9955999999999998E-2</v>
      </c>
      <c r="G1022" s="983">
        <v>0</v>
      </c>
      <c r="H1022" s="987">
        <v>3.5666666699999999E-3</v>
      </c>
      <c r="I1022" s="986">
        <f t="shared" si="15"/>
        <v>3.6389333329999995E-2</v>
      </c>
      <c r="J1022" s="988">
        <v>40544</v>
      </c>
    </row>
    <row r="1023" spans="1:10" s="983" customFormat="1" ht="13.8">
      <c r="A1023" s="983">
        <v>66</v>
      </c>
      <c r="B1023" s="988">
        <v>40575</v>
      </c>
      <c r="C1023" s="983" t="s">
        <v>4653</v>
      </c>
      <c r="D1023" s="983" t="s">
        <v>4652</v>
      </c>
      <c r="E1023" s="983">
        <v>38.89</v>
      </c>
      <c r="F1023" s="983">
        <v>2.3421000000000001E-2</v>
      </c>
      <c r="G1023" s="983">
        <v>0</v>
      </c>
      <c r="H1023" s="987">
        <v>3.68333333E-3</v>
      </c>
      <c r="I1023" s="986">
        <f t="shared" si="15"/>
        <v>1.9737666670000001E-2</v>
      </c>
      <c r="J1023" s="988">
        <v>40575</v>
      </c>
    </row>
    <row r="1024" spans="1:10" s="983" customFormat="1" ht="13.8">
      <c r="A1024" s="983">
        <v>66</v>
      </c>
      <c r="B1024" s="988">
        <v>40603</v>
      </c>
      <c r="C1024" s="983" t="s">
        <v>4653</v>
      </c>
      <c r="D1024" s="983" t="s">
        <v>4652</v>
      </c>
      <c r="E1024" s="983">
        <v>38.1</v>
      </c>
      <c r="F1024" s="983">
        <v>-9.9000000000000008E-3</v>
      </c>
      <c r="G1024" s="983">
        <v>0.40500000000000003</v>
      </c>
      <c r="H1024" s="987">
        <v>3.5583333299999999E-3</v>
      </c>
      <c r="I1024" s="986">
        <f t="shared" si="15"/>
        <v>-1.3458333330000001E-2</v>
      </c>
      <c r="J1024" s="988">
        <v>40603</v>
      </c>
    </row>
    <row r="1025" spans="1:10" s="983" customFormat="1" ht="13.8">
      <c r="A1025" s="983">
        <v>66</v>
      </c>
      <c r="B1025" s="988">
        <v>40634</v>
      </c>
      <c r="C1025" s="983" t="s">
        <v>4653</v>
      </c>
      <c r="D1025" s="983" t="s">
        <v>4652</v>
      </c>
      <c r="E1025" s="983">
        <v>38.369999999999997</v>
      </c>
      <c r="F1025" s="983">
        <v>7.0870000000000004E-3</v>
      </c>
      <c r="G1025" s="983">
        <v>0</v>
      </c>
      <c r="H1025" s="987">
        <v>3.5666666699999999E-3</v>
      </c>
      <c r="I1025" s="986">
        <f t="shared" si="15"/>
        <v>3.5203333300000005E-3</v>
      </c>
      <c r="J1025" s="988">
        <v>40634</v>
      </c>
    </row>
    <row r="1026" spans="1:10" s="983" customFormat="1" ht="13.8">
      <c r="A1026" s="983">
        <v>66</v>
      </c>
      <c r="B1026" s="988">
        <v>40664</v>
      </c>
      <c r="C1026" s="983" t="s">
        <v>4653</v>
      </c>
      <c r="D1026" s="983" t="s">
        <v>4652</v>
      </c>
      <c r="E1026" s="983">
        <v>37.61</v>
      </c>
      <c r="F1026" s="983">
        <v>-1.9807000000000002E-2</v>
      </c>
      <c r="G1026" s="983">
        <v>0</v>
      </c>
      <c r="H1026" s="987">
        <v>3.3416666699999996E-3</v>
      </c>
      <c r="I1026" s="986">
        <f t="shared" ref="I1026:I1089" si="16">F1026-H1026</f>
        <v>-2.3148666670000002E-2</v>
      </c>
      <c r="J1026" s="988">
        <v>40664</v>
      </c>
    </row>
    <row r="1027" spans="1:10" s="983" customFormat="1" ht="13.8">
      <c r="A1027" s="983">
        <v>66</v>
      </c>
      <c r="B1027" s="988">
        <v>40695</v>
      </c>
      <c r="C1027" s="983" t="s">
        <v>4653</v>
      </c>
      <c r="D1027" s="983" t="s">
        <v>4652</v>
      </c>
      <c r="E1027" s="983">
        <v>37.83</v>
      </c>
      <c r="F1027" s="983">
        <v>1.6618000000000001E-2</v>
      </c>
      <c r="G1027" s="983">
        <v>0.40500000000000003</v>
      </c>
      <c r="H1027" s="987">
        <v>3.25833333E-3</v>
      </c>
      <c r="I1027" s="986">
        <f t="shared" si="16"/>
        <v>1.3359666670000001E-2</v>
      </c>
      <c r="J1027" s="988">
        <v>40695</v>
      </c>
    </row>
    <row r="1028" spans="1:10" s="983" customFormat="1" ht="13.8">
      <c r="A1028" s="983">
        <v>66</v>
      </c>
      <c r="B1028" s="988">
        <v>40725</v>
      </c>
      <c r="C1028" s="983" t="s">
        <v>4653</v>
      </c>
      <c r="D1028" s="983" t="s">
        <v>4652</v>
      </c>
      <c r="E1028" s="983">
        <v>37.25</v>
      </c>
      <c r="F1028" s="983">
        <v>-1.5332E-2</v>
      </c>
      <c r="G1028" s="983">
        <v>0</v>
      </c>
      <c r="H1028" s="987">
        <v>3.2916666700000003E-3</v>
      </c>
      <c r="I1028" s="986">
        <f t="shared" si="16"/>
        <v>-1.862366667E-2</v>
      </c>
      <c r="J1028" s="988">
        <v>40725</v>
      </c>
    </row>
    <row r="1029" spans="1:10" s="983" customFormat="1" ht="13.8">
      <c r="A1029" s="983">
        <v>66</v>
      </c>
      <c r="B1029" s="988">
        <v>40756</v>
      </c>
      <c r="C1029" s="983" t="s">
        <v>4653</v>
      </c>
      <c r="D1029" s="983" t="s">
        <v>4652</v>
      </c>
      <c r="E1029" s="983">
        <v>39.700000000000003</v>
      </c>
      <c r="F1029" s="983">
        <v>6.5771999999999997E-2</v>
      </c>
      <c r="G1029" s="983">
        <v>0</v>
      </c>
      <c r="H1029" s="987">
        <v>3.0416666666666665E-3</v>
      </c>
      <c r="I1029" s="986">
        <f t="shared" si="16"/>
        <v>6.2730333333333332E-2</v>
      </c>
      <c r="J1029" s="988">
        <v>40756</v>
      </c>
    </row>
    <row r="1030" spans="1:10" s="983" customFormat="1" ht="13.8">
      <c r="A1030" s="983">
        <v>66</v>
      </c>
      <c r="B1030" s="988">
        <v>40787</v>
      </c>
      <c r="C1030" s="983" t="s">
        <v>4653</v>
      </c>
      <c r="D1030" s="983" t="s">
        <v>4652</v>
      </c>
      <c r="E1030" s="983">
        <v>38.75</v>
      </c>
      <c r="F1030" s="983">
        <v>-1.3728000000000001E-2</v>
      </c>
      <c r="G1030" s="983">
        <v>0.40500000000000003</v>
      </c>
      <c r="H1030" s="987">
        <v>2.3583333300000002E-3</v>
      </c>
      <c r="I1030" s="986">
        <f t="shared" si="16"/>
        <v>-1.6086333330000001E-2</v>
      </c>
      <c r="J1030" s="988">
        <v>40787</v>
      </c>
    </row>
    <row r="1031" spans="1:10" s="983" customFormat="1" ht="13.8">
      <c r="A1031" s="983">
        <v>66</v>
      </c>
      <c r="B1031" s="988">
        <v>40817</v>
      </c>
      <c r="C1031" s="983" t="s">
        <v>4653</v>
      </c>
      <c r="D1031" s="983" t="s">
        <v>4652</v>
      </c>
      <c r="E1031" s="983">
        <v>40.119999999999997</v>
      </c>
      <c r="F1031" s="983">
        <v>3.5354999999999998E-2</v>
      </c>
      <c r="G1031" s="983">
        <v>0</v>
      </c>
      <c r="H1031" s="987">
        <v>2.3916666700000001E-3</v>
      </c>
      <c r="I1031" s="986">
        <f t="shared" si="16"/>
        <v>3.2963333329999997E-2</v>
      </c>
      <c r="J1031" s="988">
        <v>40817</v>
      </c>
    </row>
    <row r="1032" spans="1:10" s="983" customFormat="1" ht="13.8">
      <c r="A1032" s="983">
        <v>66</v>
      </c>
      <c r="B1032" s="988">
        <v>40848</v>
      </c>
      <c r="C1032" s="983" t="s">
        <v>4653</v>
      </c>
      <c r="D1032" s="983" t="s">
        <v>4652</v>
      </c>
      <c r="E1032" s="983">
        <v>40.130000000000003</v>
      </c>
      <c r="F1032" s="983">
        <v>2.4899999999999998E-4</v>
      </c>
      <c r="G1032" s="983">
        <v>0</v>
      </c>
      <c r="H1032" s="987">
        <v>2.26666667E-3</v>
      </c>
      <c r="I1032" s="986">
        <f t="shared" si="16"/>
        <v>-2.0176666699999999E-3</v>
      </c>
      <c r="J1032" s="988">
        <v>40848</v>
      </c>
    </row>
    <row r="1033" spans="1:10" s="983" customFormat="1" ht="13.8">
      <c r="A1033" s="983">
        <v>66</v>
      </c>
      <c r="B1033" s="988">
        <v>40878</v>
      </c>
      <c r="C1033" s="983" t="s">
        <v>4653</v>
      </c>
      <c r="D1033" s="983" t="s">
        <v>4652</v>
      </c>
      <c r="E1033" s="983">
        <v>40.47</v>
      </c>
      <c r="F1033" s="983">
        <v>1.8814000000000001E-2</v>
      </c>
      <c r="G1033" s="983">
        <v>0.41499999999999998</v>
      </c>
      <c r="H1033" s="987">
        <v>2.4833333333333335E-3</v>
      </c>
      <c r="I1033" s="986">
        <f t="shared" si="16"/>
        <v>1.6330666666666667E-2</v>
      </c>
      <c r="J1033" s="988">
        <v>40878</v>
      </c>
    </row>
    <row r="1034" spans="1:10" s="983" customFormat="1" ht="13.8">
      <c r="A1034" s="983">
        <v>66</v>
      </c>
      <c r="B1034" s="988">
        <v>40909</v>
      </c>
      <c r="C1034" s="983" t="s">
        <v>4653</v>
      </c>
      <c r="D1034" s="983" t="s">
        <v>4652</v>
      </c>
      <c r="E1034" s="983">
        <v>41.66</v>
      </c>
      <c r="F1034" s="983">
        <v>2.9404E-2</v>
      </c>
      <c r="G1034" s="983">
        <v>0</v>
      </c>
      <c r="H1034" s="987">
        <v>2.0999999999999999E-3</v>
      </c>
      <c r="I1034" s="986">
        <f t="shared" si="16"/>
        <v>2.7303999999999998E-2</v>
      </c>
      <c r="J1034" s="988">
        <v>40909</v>
      </c>
    </row>
    <row r="1035" spans="1:10" s="983" customFormat="1" ht="13.8">
      <c r="A1035" s="983">
        <v>66</v>
      </c>
      <c r="B1035" s="988">
        <v>40940</v>
      </c>
      <c r="C1035" s="983" t="s">
        <v>4653</v>
      </c>
      <c r="D1035" s="983" t="s">
        <v>4652</v>
      </c>
      <c r="E1035" s="983">
        <v>41.09</v>
      </c>
      <c r="F1035" s="983">
        <v>-1.3682E-2</v>
      </c>
      <c r="G1035" s="983">
        <v>0</v>
      </c>
      <c r="H1035" s="987">
        <v>2E-3</v>
      </c>
      <c r="I1035" s="986">
        <f t="shared" si="16"/>
        <v>-1.5682000000000001E-2</v>
      </c>
      <c r="J1035" s="988">
        <v>40940</v>
      </c>
    </row>
    <row r="1036" spans="1:10" s="983" customFormat="1" ht="13.8">
      <c r="A1036" s="983">
        <v>66</v>
      </c>
      <c r="B1036" s="988">
        <v>40969</v>
      </c>
      <c r="C1036" s="983" t="s">
        <v>4653</v>
      </c>
      <c r="D1036" s="983" t="s">
        <v>4652</v>
      </c>
      <c r="E1036" s="983">
        <v>39.020000000000003</v>
      </c>
      <c r="F1036" s="983">
        <v>-4.0277E-2</v>
      </c>
      <c r="G1036" s="983">
        <v>0.41499999999999998</v>
      </c>
      <c r="H1036" s="987">
        <v>2.2000000000000001E-3</v>
      </c>
      <c r="I1036" s="986">
        <f t="shared" si="16"/>
        <v>-4.2477000000000001E-2</v>
      </c>
      <c r="J1036" s="988">
        <v>40969</v>
      </c>
    </row>
    <row r="1037" spans="1:10" s="983" customFormat="1" ht="13.8">
      <c r="A1037" s="983">
        <v>66</v>
      </c>
      <c r="B1037" s="988">
        <v>41000</v>
      </c>
      <c r="C1037" s="983" t="s">
        <v>4653</v>
      </c>
      <c r="D1037" s="983" t="s">
        <v>4652</v>
      </c>
      <c r="E1037" s="983">
        <v>39.380000000000003</v>
      </c>
      <c r="F1037" s="983">
        <v>9.2259999999999998E-3</v>
      </c>
      <c r="G1037" s="983">
        <v>0</v>
      </c>
      <c r="H1037" s="987">
        <v>2.5000000000000001E-3</v>
      </c>
      <c r="I1037" s="986">
        <f t="shared" si="16"/>
        <v>6.7259999999999993E-3</v>
      </c>
      <c r="J1037" s="988">
        <v>41000</v>
      </c>
    </row>
    <row r="1038" spans="1:10" s="983" customFormat="1" ht="13.8">
      <c r="A1038" s="983">
        <v>66</v>
      </c>
      <c r="B1038" s="988">
        <v>41030</v>
      </c>
      <c r="C1038" s="983" t="s">
        <v>4653</v>
      </c>
      <c r="D1038" s="983" t="s">
        <v>4652</v>
      </c>
      <c r="E1038" s="983">
        <v>38.11</v>
      </c>
      <c r="F1038" s="983">
        <v>-3.2250000000000001E-2</v>
      </c>
      <c r="G1038" s="983">
        <v>0</v>
      </c>
      <c r="H1038" s="987">
        <v>2.3E-3</v>
      </c>
      <c r="I1038" s="986">
        <f t="shared" si="16"/>
        <v>-3.4549999999999997E-2</v>
      </c>
      <c r="J1038" s="988">
        <v>41030</v>
      </c>
    </row>
    <row r="1039" spans="1:10" s="983" customFormat="1" ht="13.8">
      <c r="A1039" s="983">
        <v>66</v>
      </c>
      <c r="B1039" s="988">
        <v>41061</v>
      </c>
      <c r="C1039" s="983" t="s">
        <v>4653</v>
      </c>
      <c r="D1039" s="983" t="s">
        <v>4652</v>
      </c>
      <c r="E1039" s="983">
        <v>39.81</v>
      </c>
      <c r="F1039" s="983">
        <v>5.5496999999999998E-2</v>
      </c>
      <c r="G1039" s="983">
        <v>0.41499999999999998</v>
      </c>
      <c r="H1039" s="987">
        <v>1.8E-3</v>
      </c>
      <c r="I1039" s="986">
        <f t="shared" si="16"/>
        <v>5.3696999999999995E-2</v>
      </c>
      <c r="J1039" s="988">
        <v>41061</v>
      </c>
    </row>
    <row r="1040" spans="1:10" ht="13.8">
      <c r="B1040" s="988">
        <v>41091</v>
      </c>
      <c r="C1040" s="983" t="s">
        <v>4653</v>
      </c>
      <c r="D1040" s="983" t="s">
        <v>4652</v>
      </c>
      <c r="E1040" s="983">
        <v>41.78</v>
      </c>
      <c r="F1040" s="987">
        <f t="shared" ref="F1040:F1103" si="17">((E1040-E1039)/E1039)+(G1040/E1039)</f>
        <v>4.9485054006530992E-2</v>
      </c>
      <c r="G1040" s="987">
        <v>0</v>
      </c>
      <c r="H1040" s="987">
        <v>2E-3</v>
      </c>
      <c r="I1040" s="986">
        <f t="shared" si="16"/>
        <v>4.748505400653099E-2</v>
      </c>
      <c r="J1040" s="988">
        <v>41091</v>
      </c>
    </row>
    <row r="1041" spans="2:10" ht="13.8">
      <c r="B1041" s="988">
        <v>41122</v>
      </c>
      <c r="C1041" s="983" t="s">
        <v>4653</v>
      </c>
      <c r="D1041" s="983" t="s">
        <v>4652</v>
      </c>
      <c r="E1041" s="983">
        <v>42.25</v>
      </c>
      <c r="F1041" s="987">
        <f t="shared" si="17"/>
        <v>1.1249401627572974E-2</v>
      </c>
      <c r="G1041" s="987">
        <v>0</v>
      </c>
      <c r="H1041" s="987">
        <v>1.8E-3</v>
      </c>
      <c r="I1041" s="986">
        <f t="shared" si="16"/>
        <v>9.4494016275729741E-3</v>
      </c>
      <c r="J1041" s="988">
        <v>41122</v>
      </c>
    </row>
    <row r="1042" spans="2:10" ht="13.8">
      <c r="B1042" s="988">
        <v>41153</v>
      </c>
      <c r="C1042" s="983" t="s">
        <v>4653</v>
      </c>
      <c r="D1042" s="983" t="s">
        <v>4652</v>
      </c>
      <c r="E1042" s="987">
        <v>43</v>
      </c>
      <c r="F1042" s="987">
        <f t="shared" si="17"/>
        <v>2.7573964497041421E-2</v>
      </c>
      <c r="G1042" s="987">
        <v>0.41499999999999998</v>
      </c>
      <c r="H1042" s="987">
        <v>1.6999999999999999E-3</v>
      </c>
      <c r="I1042" s="986">
        <f t="shared" si="16"/>
        <v>2.5873964497041421E-2</v>
      </c>
      <c r="J1042" s="988">
        <v>41153</v>
      </c>
    </row>
    <row r="1043" spans="2:10" ht="13.8">
      <c r="B1043" s="988">
        <v>41183</v>
      </c>
      <c r="C1043" s="983" t="s">
        <v>4653</v>
      </c>
      <c r="D1043" s="983" t="s">
        <v>4652</v>
      </c>
      <c r="E1043" s="987">
        <v>41.64</v>
      </c>
      <c r="F1043" s="987">
        <f t="shared" si="17"/>
        <v>-3.1627906976744176E-2</v>
      </c>
      <c r="G1043" s="987">
        <v>0</v>
      </c>
      <c r="H1043" s="987">
        <v>2.0999999999999999E-3</v>
      </c>
      <c r="I1043" s="986">
        <f t="shared" si="16"/>
        <v>-3.3727906976744174E-2</v>
      </c>
      <c r="J1043" s="988">
        <v>41183</v>
      </c>
    </row>
    <row r="1044" spans="2:10" ht="13.8">
      <c r="B1044" s="988">
        <v>41214</v>
      </c>
      <c r="C1044" s="983" t="s">
        <v>4653</v>
      </c>
      <c r="D1044" s="983" t="s">
        <v>4652</v>
      </c>
      <c r="E1044" s="987">
        <v>40.71</v>
      </c>
      <c r="F1044" s="987">
        <f t="shared" si="17"/>
        <v>-2.2334293948126794E-2</v>
      </c>
      <c r="G1044" s="987">
        <v>0</v>
      </c>
      <c r="H1044" s="987">
        <v>1.9E-3</v>
      </c>
      <c r="I1044" s="986">
        <f t="shared" si="16"/>
        <v>-2.4234293948126793E-2</v>
      </c>
      <c r="J1044" s="988">
        <v>41214</v>
      </c>
    </row>
    <row r="1045" spans="2:10" ht="13.8">
      <c r="B1045" s="988">
        <v>41244</v>
      </c>
      <c r="C1045" s="983" t="s">
        <v>4653</v>
      </c>
      <c r="D1045" s="983" t="s">
        <v>4652</v>
      </c>
      <c r="E1045" s="987">
        <v>38.61</v>
      </c>
      <c r="F1045" s="987">
        <f t="shared" si="17"/>
        <v>-4.1144681896339998E-2</v>
      </c>
      <c r="G1045" s="987">
        <v>0.42499999999999999</v>
      </c>
      <c r="H1045" s="987">
        <v>1.9E-3</v>
      </c>
      <c r="I1045" s="986">
        <f t="shared" si="16"/>
        <v>-4.3044681896339997E-2</v>
      </c>
      <c r="J1045" s="988">
        <v>41244</v>
      </c>
    </row>
    <row r="1046" spans="2:10" ht="13.8">
      <c r="B1046" s="988">
        <v>41275</v>
      </c>
      <c r="C1046" s="983" t="s">
        <v>4653</v>
      </c>
      <c r="D1046" s="983" t="s">
        <v>4652</v>
      </c>
      <c r="E1046" s="987">
        <v>39.92</v>
      </c>
      <c r="F1046" s="987">
        <f t="shared" si="17"/>
        <v>3.3929033929033986E-2</v>
      </c>
      <c r="G1046" s="987">
        <v>0</v>
      </c>
      <c r="H1046" s="987">
        <v>2.2000000000000001E-3</v>
      </c>
      <c r="I1046" s="986">
        <f t="shared" si="16"/>
        <v>3.1729033929033985E-2</v>
      </c>
      <c r="J1046" s="988">
        <v>41275</v>
      </c>
    </row>
    <row r="1047" spans="2:10" ht="13.8">
      <c r="B1047" s="988">
        <v>41306</v>
      </c>
      <c r="C1047" s="983" t="s">
        <v>4653</v>
      </c>
      <c r="D1047" s="983" t="s">
        <v>4652</v>
      </c>
      <c r="E1047" s="987">
        <v>40.76</v>
      </c>
      <c r="F1047" s="987">
        <f t="shared" si="17"/>
        <v>2.104208416833658E-2</v>
      </c>
      <c r="G1047" s="987">
        <v>0</v>
      </c>
      <c r="H1047" s="987">
        <v>2.2000000000000001E-3</v>
      </c>
      <c r="I1047" s="986">
        <f t="shared" si="16"/>
        <v>1.8842084168336579E-2</v>
      </c>
      <c r="J1047" s="988">
        <v>41306</v>
      </c>
    </row>
    <row r="1048" spans="2:10" ht="13.8">
      <c r="B1048" s="988">
        <v>41334</v>
      </c>
      <c r="C1048" s="983" t="s">
        <v>4653</v>
      </c>
      <c r="D1048" s="983" t="s">
        <v>4652</v>
      </c>
      <c r="E1048" s="987">
        <v>42.7</v>
      </c>
      <c r="F1048" s="987">
        <f t="shared" si="17"/>
        <v>5.8022571148184619E-2</v>
      </c>
      <c r="G1048" s="987">
        <v>0.42499999999999999</v>
      </c>
      <c r="H1048" s="987">
        <v>2.0999999999999999E-3</v>
      </c>
      <c r="I1048" s="986">
        <f t="shared" si="16"/>
        <v>5.5922571148184622E-2</v>
      </c>
      <c r="J1048" s="988">
        <v>41334</v>
      </c>
    </row>
    <row r="1049" spans="2:10" ht="13.8">
      <c r="B1049" s="988">
        <v>41365</v>
      </c>
      <c r="C1049" s="983" t="s">
        <v>4653</v>
      </c>
      <c r="D1049" s="983" t="s">
        <v>4652</v>
      </c>
      <c r="E1049" s="987">
        <v>46.71</v>
      </c>
      <c r="F1049" s="987">
        <f t="shared" si="17"/>
        <v>9.3911007025761065E-2</v>
      </c>
      <c r="G1049" s="987">
        <v>0</v>
      </c>
      <c r="H1049" s="987">
        <v>2.5999999999999999E-3</v>
      </c>
      <c r="I1049" s="986">
        <f t="shared" si="16"/>
        <v>9.131100702576106E-2</v>
      </c>
      <c r="J1049" s="988">
        <v>41365</v>
      </c>
    </row>
    <row r="1050" spans="2:10" ht="13.8">
      <c r="B1050" s="988">
        <v>41395</v>
      </c>
      <c r="C1050" s="983" t="s">
        <v>4653</v>
      </c>
      <c r="D1050" s="983" t="s">
        <v>4652</v>
      </c>
      <c r="E1050" s="987">
        <v>47.33</v>
      </c>
      <c r="F1050" s="987">
        <f t="shared" si="17"/>
        <v>1.3273388995932294E-2</v>
      </c>
      <c r="G1050" s="987">
        <v>0</v>
      </c>
      <c r="H1050" s="987">
        <v>2.3E-3</v>
      </c>
      <c r="I1050" s="986">
        <f t="shared" si="16"/>
        <v>1.0973388995932294E-2</v>
      </c>
      <c r="J1050" s="988">
        <v>41395</v>
      </c>
    </row>
    <row r="1051" spans="2:10" ht="13.8">
      <c r="B1051" s="988">
        <v>41426</v>
      </c>
      <c r="C1051" s="983" t="s">
        <v>4653</v>
      </c>
      <c r="D1051" s="983" t="s">
        <v>4652</v>
      </c>
      <c r="E1051" s="987">
        <v>45.66</v>
      </c>
      <c r="F1051" s="987">
        <f t="shared" si="17"/>
        <v>-2.6304669342911507E-2</v>
      </c>
      <c r="G1051" s="987">
        <v>0.42499999999999999</v>
      </c>
      <c r="H1051" s="987">
        <v>2.3999999999999998E-3</v>
      </c>
      <c r="I1051" s="986">
        <f t="shared" si="16"/>
        <v>-2.8704669342911507E-2</v>
      </c>
      <c r="J1051" s="988">
        <v>41426</v>
      </c>
    </row>
    <row r="1052" spans="2:10" ht="13.8">
      <c r="B1052" s="988">
        <v>41456</v>
      </c>
      <c r="C1052" s="983" t="s">
        <v>4653</v>
      </c>
      <c r="D1052" s="983" t="s">
        <v>4652</v>
      </c>
      <c r="E1052" s="987">
        <v>45.76</v>
      </c>
      <c r="F1052" s="987">
        <f t="shared" si="17"/>
        <v>2.1901007446342843E-3</v>
      </c>
      <c r="G1052" s="987">
        <v>0</v>
      </c>
      <c r="H1052" s="987">
        <v>3.0000000000000001E-3</v>
      </c>
      <c r="I1052" s="986">
        <f t="shared" si="16"/>
        <v>-8.0989925536571576E-4</v>
      </c>
      <c r="J1052" s="988">
        <v>41456</v>
      </c>
    </row>
    <row r="1053" spans="2:10" ht="13.8">
      <c r="B1053" s="988">
        <v>41487</v>
      </c>
      <c r="C1053" s="983" t="s">
        <v>4653</v>
      </c>
      <c r="D1053" s="983" t="s">
        <v>4652</v>
      </c>
      <c r="E1053" s="987">
        <v>44.53</v>
      </c>
      <c r="F1053" s="987">
        <f t="shared" si="17"/>
        <v>-2.6879370629370562E-2</v>
      </c>
      <c r="G1053" s="987">
        <v>0</v>
      </c>
      <c r="H1053" s="987">
        <v>2.8E-3</v>
      </c>
      <c r="I1053" s="986">
        <f t="shared" si="16"/>
        <v>-2.9679370629370563E-2</v>
      </c>
      <c r="J1053" s="988">
        <v>41487</v>
      </c>
    </row>
    <row r="1054" spans="2:10" ht="13.8">
      <c r="B1054" s="988">
        <v>41518</v>
      </c>
      <c r="C1054" s="983" t="s">
        <v>4653</v>
      </c>
      <c r="D1054" s="983" t="s">
        <v>4652</v>
      </c>
      <c r="E1054" s="987">
        <v>45</v>
      </c>
      <c r="F1054" s="987">
        <f t="shared" si="17"/>
        <v>2.0098809791152007E-2</v>
      </c>
      <c r="G1054" s="987">
        <v>0.42499999999999999</v>
      </c>
      <c r="H1054" s="987">
        <v>2.8999999999999998E-3</v>
      </c>
      <c r="I1054" s="986">
        <f t="shared" si="16"/>
        <v>1.7198809791152007E-2</v>
      </c>
      <c r="J1054" s="988">
        <v>41518</v>
      </c>
    </row>
    <row r="1055" spans="2:10" ht="13.8">
      <c r="B1055" s="988">
        <v>41548</v>
      </c>
      <c r="C1055" s="983" t="s">
        <v>4653</v>
      </c>
      <c r="D1055" s="983" t="s">
        <v>4652</v>
      </c>
      <c r="E1055" s="987">
        <v>47.07</v>
      </c>
      <c r="F1055" s="987">
        <f t="shared" si="17"/>
        <v>4.6000000000000006E-2</v>
      </c>
      <c r="G1055" s="987">
        <v>0</v>
      </c>
      <c r="H1055" s="987">
        <v>2.8999999999999998E-3</v>
      </c>
      <c r="I1055" s="986">
        <f t="shared" si="16"/>
        <v>4.3100000000000006E-2</v>
      </c>
      <c r="J1055" s="988">
        <v>41548</v>
      </c>
    </row>
    <row r="1056" spans="2:10" ht="13.8">
      <c r="B1056" s="988">
        <v>41579</v>
      </c>
      <c r="C1056" s="983" t="s">
        <v>4653</v>
      </c>
      <c r="D1056" s="983" t="s">
        <v>4652</v>
      </c>
      <c r="E1056" s="987">
        <v>46.11</v>
      </c>
      <c r="F1056" s="987">
        <f t="shared" si="17"/>
        <v>-2.0395156150414293E-2</v>
      </c>
      <c r="G1056" s="987">
        <v>0</v>
      </c>
      <c r="H1056" s="987">
        <v>2.7000000000000001E-3</v>
      </c>
      <c r="I1056" s="986">
        <f t="shared" si="16"/>
        <v>-2.3095156150414294E-2</v>
      </c>
      <c r="J1056" s="988">
        <v>41579</v>
      </c>
    </row>
    <row r="1057" spans="2:10" ht="13.8">
      <c r="B1057" s="988">
        <v>41609</v>
      </c>
      <c r="C1057" s="983" t="s">
        <v>4653</v>
      </c>
      <c r="D1057" s="983" t="s">
        <v>4652</v>
      </c>
      <c r="E1057" s="987">
        <v>45.54</v>
      </c>
      <c r="F1057" s="987">
        <f t="shared" si="17"/>
        <v>-2.8193450444589097E-3</v>
      </c>
      <c r="G1057" s="987">
        <v>0.44</v>
      </c>
      <c r="H1057" s="987">
        <v>3.0999999999999999E-3</v>
      </c>
      <c r="I1057" s="986">
        <f t="shared" si="16"/>
        <v>-5.91934504445891E-3</v>
      </c>
      <c r="J1057" s="988">
        <v>41609</v>
      </c>
    </row>
    <row r="1058" spans="2:10" ht="13.8">
      <c r="B1058" s="988">
        <v>41640</v>
      </c>
      <c r="C1058" s="983" t="s">
        <v>4653</v>
      </c>
      <c r="D1058" s="983" t="s">
        <v>4652</v>
      </c>
      <c r="E1058" s="987">
        <v>45.89</v>
      </c>
      <c r="F1058" s="987">
        <f t="shared" si="17"/>
        <v>7.6855511638120651E-3</v>
      </c>
      <c r="G1058" s="987">
        <v>0</v>
      </c>
      <c r="H1058" s="987">
        <v>3.2000000000000002E-3</v>
      </c>
      <c r="I1058" s="986">
        <f t="shared" si="16"/>
        <v>4.4855511638120654E-3</v>
      </c>
      <c r="J1058" s="988">
        <v>41640</v>
      </c>
    </row>
    <row r="1059" spans="2:10" ht="13.8">
      <c r="B1059" s="988">
        <v>41671</v>
      </c>
      <c r="C1059" s="983" t="s">
        <v>4653</v>
      </c>
      <c r="D1059" s="983" t="s">
        <v>4652</v>
      </c>
      <c r="E1059" s="987">
        <v>45.85</v>
      </c>
      <c r="F1059" s="987">
        <f t="shared" si="17"/>
        <v>-8.7164959686204281E-4</v>
      </c>
      <c r="G1059" s="987">
        <v>0</v>
      </c>
      <c r="H1059" s="987">
        <v>2.5999999999999999E-3</v>
      </c>
      <c r="I1059" s="986">
        <f t="shared" si="16"/>
        <v>-3.4716495968620427E-3</v>
      </c>
      <c r="J1059" s="988">
        <v>41671</v>
      </c>
    </row>
    <row r="1060" spans="2:10" ht="13.8">
      <c r="B1060" s="988">
        <v>41699</v>
      </c>
      <c r="C1060" s="983" t="s">
        <v>4653</v>
      </c>
      <c r="D1060" s="983" t="s">
        <v>4652</v>
      </c>
      <c r="E1060" s="987">
        <v>47.15</v>
      </c>
      <c r="F1060" s="987">
        <f t="shared" si="17"/>
        <v>3.7949836423118805E-2</v>
      </c>
      <c r="G1060" s="987">
        <v>0.44</v>
      </c>
      <c r="H1060" s="987">
        <v>2.8999999999999998E-3</v>
      </c>
      <c r="I1060" s="986">
        <f t="shared" si="16"/>
        <v>3.5049836423118805E-2</v>
      </c>
      <c r="J1060" s="988">
        <v>41699</v>
      </c>
    </row>
    <row r="1061" spans="2:10" ht="13.8">
      <c r="B1061" s="988">
        <v>41730</v>
      </c>
      <c r="C1061" s="983" t="s">
        <v>4653</v>
      </c>
      <c r="D1061" s="983" t="s">
        <v>4652</v>
      </c>
      <c r="E1061" s="983">
        <v>47.41</v>
      </c>
      <c r="F1061" s="987">
        <f t="shared" si="17"/>
        <v>5.5143160127253026E-3</v>
      </c>
      <c r="G1061" s="987">
        <v>0</v>
      </c>
      <c r="H1061" s="987">
        <v>2.8E-3</v>
      </c>
      <c r="I1061" s="986">
        <f t="shared" si="16"/>
        <v>2.7143160127253026E-3</v>
      </c>
      <c r="J1061" s="988">
        <v>41730</v>
      </c>
    </row>
    <row r="1062" spans="2:10" ht="13.8">
      <c r="B1062" s="988">
        <v>41760</v>
      </c>
      <c r="C1062" s="983" t="s">
        <v>4653</v>
      </c>
      <c r="D1062" s="983" t="s">
        <v>4652</v>
      </c>
      <c r="E1062" s="983">
        <v>46.68</v>
      </c>
      <c r="F1062" s="987">
        <f t="shared" si="17"/>
        <v>-1.5397595443999091E-2</v>
      </c>
      <c r="G1062" s="987">
        <v>0</v>
      </c>
      <c r="H1062" s="987">
        <v>2.8E-3</v>
      </c>
      <c r="I1062" s="986">
        <f t="shared" si="16"/>
        <v>-1.8197595443999091E-2</v>
      </c>
      <c r="J1062" s="988">
        <v>41760</v>
      </c>
    </row>
    <row r="1063" spans="2:10" ht="13.8">
      <c r="B1063" s="988">
        <v>41791</v>
      </c>
      <c r="C1063" s="983" t="s">
        <v>4653</v>
      </c>
      <c r="D1063" s="983" t="s">
        <v>4652</v>
      </c>
      <c r="E1063" s="983">
        <v>48.55</v>
      </c>
      <c r="F1063" s="987">
        <f t="shared" si="17"/>
        <v>4.9485861182519228E-2</v>
      </c>
      <c r="G1063" s="987">
        <v>0.44</v>
      </c>
      <c r="H1063" s="987">
        <v>2.5000000000000001E-3</v>
      </c>
      <c r="I1063" s="986">
        <f t="shared" si="16"/>
        <v>4.6985861182519226E-2</v>
      </c>
      <c r="J1063" s="988">
        <v>41791</v>
      </c>
    </row>
    <row r="1064" spans="2:10" ht="14.4">
      <c r="B1064" s="988">
        <v>41821</v>
      </c>
      <c r="C1064" s="983" t="s">
        <v>4653</v>
      </c>
      <c r="D1064" s="983" t="s">
        <v>4652</v>
      </c>
      <c r="E1064" s="994">
        <v>46.98</v>
      </c>
      <c r="F1064" s="987">
        <f t="shared" si="17"/>
        <v>-3.233779608650876E-2</v>
      </c>
      <c r="G1064" s="987">
        <v>0</v>
      </c>
      <c r="H1064" s="987">
        <v>2.7000000000000001E-3</v>
      </c>
      <c r="I1064" s="986">
        <f t="shared" si="16"/>
        <v>-3.5037796086508761E-2</v>
      </c>
      <c r="J1064" s="988">
        <v>41821</v>
      </c>
    </row>
    <row r="1065" spans="2:10" ht="14.4">
      <c r="B1065" s="988">
        <v>41852</v>
      </c>
      <c r="C1065" s="983" t="s">
        <v>4653</v>
      </c>
      <c r="D1065" s="983" t="s">
        <v>4652</v>
      </c>
      <c r="E1065" s="994">
        <v>49.45</v>
      </c>
      <c r="F1065" s="987">
        <f t="shared" si="17"/>
        <v>5.2575564069817074E-2</v>
      </c>
      <c r="G1065" s="987">
        <v>0</v>
      </c>
      <c r="H1065" s="987">
        <v>2.5999999999999999E-3</v>
      </c>
      <c r="I1065" s="986">
        <f t="shared" si="16"/>
        <v>4.9975564069817076E-2</v>
      </c>
      <c r="J1065" s="988">
        <v>41852</v>
      </c>
    </row>
    <row r="1066" spans="2:10" ht="14.4">
      <c r="B1066" s="988">
        <v>41883</v>
      </c>
      <c r="C1066" s="983" t="s">
        <v>4653</v>
      </c>
      <c r="D1066" s="983" t="s">
        <v>4652</v>
      </c>
      <c r="E1066" s="994">
        <v>46.4</v>
      </c>
      <c r="F1066" s="987">
        <f t="shared" si="17"/>
        <v>-5.2780586450960648E-2</v>
      </c>
      <c r="G1066" s="987">
        <v>0.44</v>
      </c>
      <c r="H1066" s="987">
        <v>2.3E-3</v>
      </c>
      <c r="I1066" s="986">
        <f t="shared" si="16"/>
        <v>-5.5080586450960645E-2</v>
      </c>
      <c r="J1066" s="988">
        <v>41883</v>
      </c>
    </row>
    <row r="1067" spans="2:10" ht="14.4">
      <c r="B1067" s="988">
        <v>41913</v>
      </c>
      <c r="C1067" s="983" t="s">
        <v>4653</v>
      </c>
      <c r="D1067" s="983" t="s">
        <v>4652</v>
      </c>
      <c r="E1067" s="994">
        <v>50.77</v>
      </c>
      <c r="F1067" s="987">
        <f t="shared" si="17"/>
        <v>9.4181034482758719E-2</v>
      </c>
      <c r="G1067" s="987">
        <v>0</v>
      </c>
      <c r="H1067" s="987">
        <v>2.5000000000000001E-3</v>
      </c>
      <c r="I1067" s="986">
        <f t="shared" si="16"/>
        <v>9.1681034482758716E-2</v>
      </c>
      <c r="J1067" s="988">
        <v>41913</v>
      </c>
    </row>
    <row r="1068" spans="2:10" ht="14.4">
      <c r="B1068" s="988">
        <v>41944</v>
      </c>
      <c r="C1068" s="983" t="s">
        <v>4653</v>
      </c>
      <c r="D1068" s="983" t="s">
        <v>4652</v>
      </c>
      <c r="E1068" s="994">
        <v>50.73</v>
      </c>
      <c r="F1068" s="987">
        <f t="shared" si="17"/>
        <v>-7.8786685050238827E-4</v>
      </c>
      <c r="G1068" s="987">
        <v>0</v>
      </c>
      <c r="H1068" s="987">
        <v>2.3E-3</v>
      </c>
      <c r="I1068" s="986">
        <f t="shared" si="16"/>
        <v>-3.087866850502388E-3</v>
      </c>
      <c r="J1068" s="988">
        <v>41944</v>
      </c>
    </row>
    <row r="1069" spans="2:10" ht="14.4">
      <c r="B1069" s="988">
        <v>41974</v>
      </c>
      <c r="C1069" s="983" t="s">
        <v>4653</v>
      </c>
      <c r="D1069" s="983" t="s">
        <v>4652</v>
      </c>
      <c r="E1069" s="994">
        <v>53.2</v>
      </c>
      <c r="F1069" s="987">
        <f t="shared" si="17"/>
        <v>5.7756751429134751E-2</v>
      </c>
      <c r="G1069" s="987">
        <v>0.46</v>
      </c>
      <c r="H1069" s="987">
        <v>2.2000000000000001E-3</v>
      </c>
      <c r="I1069" s="986">
        <f t="shared" si="16"/>
        <v>5.555675142913475E-2</v>
      </c>
      <c r="J1069" s="988">
        <v>41974</v>
      </c>
    </row>
    <row r="1070" spans="2:10" ht="14.4">
      <c r="B1070" s="988">
        <v>42005</v>
      </c>
      <c r="C1070" s="983" t="s">
        <v>4653</v>
      </c>
      <c r="D1070" s="983" t="s">
        <v>4652</v>
      </c>
      <c r="E1070" s="994">
        <v>53.76</v>
      </c>
      <c r="F1070" s="987">
        <f t="shared" si="17"/>
        <v>1.0526315789473592E-2</v>
      </c>
      <c r="G1070" s="987">
        <v>0</v>
      </c>
      <c r="H1070" s="987">
        <v>2E-3</v>
      </c>
      <c r="I1070" s="986">
        <f t="shared" si="16"/>
        <v>8.526315789473592E-3</v>
      </c>
      <c r="J1070" s="988">
        <v>42005</v>
      </c>
    </row>
    <row r="1071" spans="2:10" ht="13.8">
      <c r="B1071" s="988">
        <v>42036</v>
      </c>
      <c r="C1071" s="983" t="s">
        <v>4653</v>
      </c>
      <c r="D1071" s="983" t="s">
        <v>4652</v>
      </c>
      <c r="E1071" s="983">
        <v>51.76</v>
      </c>
      <c r="F1071" s="987">
        <f t="shared" si="17"/>
        <v>-3.7202380952380952E-2</v>
      </c>
      <c r="G1071" s="987">
        <v>0</v>
      </c>
      <c r="H1071" s="987">
        <v>1.5E-3</v>
      </c>
      <c r="I1071" s="986">
        <f t="shared" si="16"/>
        <v>-3.8702380952380953E-2</v>
      </c>
      <c r="J1071" s="988">
        <v>42036</v>
      </c>
    </row>
    <row r="1072" spans="2:10" ht="13.8">
      <c r="B1072" s="988">
        <v>42064</v>
      </c>
      <c r="C1072" s="983" t="s">
        <v>4653</v>
      </c>
      <c r="D1072" s="983" t="s">
        <v>4652</v>
      </c>
      <c r="E1072" s="983">
        <v>51.22</v>
      </c>
      <c r="F1072" s="987">
        <f t="shared" si="17"/>
        <v>-1.5455950540958097E-3</v>
      </c>
      <c r="G1072" s="987">
        <v>0.46</v>
      </c>
      <c r="H1072" s="987">
        <v>2.0999999999999999E-3</v>
      </c>
      <c r="I1072" s="986">
        <f t="shared" si="16"/>
        <v>-3.6455950540958096E-3</v>
      </c>
      <c r="J1072" s="988">
        <v>42064</v>
      </c>
    </row>
    <row r="1073" spans="2:10" ht="13.8">
      <c r="B1073" s="988">
        <v>42095</v>
      </c>
      <c r="C1073" s="983" t="s">
        <v>4653</v>
      </c>
      <c r="D1073" s="983" t="s">
        <v>4652</v>
      </c>
      <c r="E1073" s="987">
        <v>51.93</v>
      </c>
      <c r="F1073" s="987">
        <f t="shared" si="17"/>
        <v>1.3861772745021494E-2</v>
      </c>
      <c r="G1073" s="987">
        <v>0</v>
      </c>
      <c r="H1073" s="987">
        <v>1.9E-3</v>
      </c>
      <c r="I1073" s="986">
        <f t="shared" si="16"/>
        <v>1.1961772745021493E-2</v>
      </c>
      <c r="J1073" s="988">
        <v>42095</v>
      </c>
    </row>
    <row r="1074" spans="2:10" ht="13.8">
      <c r="B1074" s="988">
        <v>42125</v>
      </c>
      <c r="C1074" s="983" t="s">
        <v>4653</v>
      </c>
      <c r="D1074" s="983" t="s">
        <v>4652</v>
      </c>
      <c r="E1074" s="987">
        <v>53.51</v>
      </c>
      <c r="F1074" s="987">
        <f t="shared" si="17"/>
        <v>3.0425572886578052E-2</v>
      </c>
      <c r="G1074" s="987">
        <v>0</v>
      </c>
      <c r="H1074" s="987">
        <v>2E-3</v>
      </c>
      <c r="I1074" s="986">
        <f t="shared" si="16"/>
        <v>2.842557288657805E-2</v>
      </c>
      <c r="J1074" s="988">
        <v>42125</v>
      </c>
    </row>
    <row r="1075" spans="2:10" ht="13.8">
      <c r="B1075" s="988">
        <v>42156</v>
      </c>
      <c r="C1075" s="983" t="s">
        <v>4653</v>
      </c>
      <c r="D1075" s="983" t="s">
        <v>4652</v>
      </c>
      <c r="E1075" s="987">
        <v>52.06</v>
      </c>
      <c r="F1075" s="987">
        <f t="shared" si="17"/>
        <v>-1.8501214726219316E-2</v>
      </c>
      <c r="G1075" s="987">
        <v>0.46</v>
      </c>
      <c r="H1075" s="987">
        <v>2.3E-3</v>
      </c>
      <c r="I1075" s="986">
        <f t="shared" si="16"/>
        <v>-2.0801214726219316E-2</v>
      </c>
      <c r="J1075" s="988">
        <f t="shared" ref="J1075:J1138" si="18">B1075</f>
        <v>42156</v>
      </c>
    </row>
    <row r="1076" spans="2:10" ht="13.8">
      <c r="B1076" s="988">
        <v>42186</v>
      </c>
      <c r="C1076" s="983" t="s">
        <v>4653</v>
      </c>
      <c r="D1076" s="983" t="s">
        <v>4652</v>
      </c>
      <c r="E1076" s="987">
        <v>54.11</v>
      </c>
      <c r="F1076" s="987">
        <f t="shared" si="17"/>
        <v>3.9377641183250038E-2</v>
      </c>
      <c r="G1076" s="987">
        <v>0</v>
      </c>
      <c r="H1076" s="987">
        <v>2.3999999999999998E-3</v>
      </c>
      <c r="I1076" s="986">
        <f t="shared" si="16"/>
        <v>3.6977641183250039E-2</v>
      </c>
      <c r="J1076" s="988">
        <f t="shared" si="18"/>
        <v>42186</v>
      </c>
    </row>
    <row r="1077" spans="2:10" ht="13.8">
      <c r="B1077" s="988">
        <v>42217</v>
      </c>
      <c r="C1077" s="983" t="s">
        <v>4653</v>
      </c>
      <c r="D1077" s="983" t="s">
        <v>4652</v>
      </c>
      <c r="E1077" s="987">
        <v>52.94</v>
      </c>
      <c r="F1077" s="987">
        <f t="shared" si="17"/>
        <v>-2.1622620587691772E-2</v>
      </c>
      <c r="G1077" s="987">
        <v>0</v>
      </c>
      <c r="H1077" s="987">
        <v>2.2000000000000001E-3</v>
      </c>
      <c r="I1077" s="986">
        <f t="shared" si="16"/>
        <v>-2.3822620587691773E-2</v>
      </c>
      <c r="J1077" s="988">
        <f t="shared" si="18"/>
        <v>42217</v>
      </c>
    </row>
    <row r="1078" spans="2:10">
      <c r="B1078" s="988">
        <v>42248</v>
      </c>
      <c r="C1078" s="987" t="s">
        <v>4653</v>
      </c>
      <c r="D1078" s="987" t="s">
        <v>4652</v>
      </c>
      <c r="E1078" s="987">
        <v>54.53</v>
      </c>
      <c r="F1078" s="987">
        <f t="shared" si="17"/>
        <v>3.8723082735171957E-2</v>
      </c>
      <c r="G1078" s="987">
        <v>0.46</v>
      </c>
      <c r="H1078" s="987">
        <v>2.0999999999999999E-3</v>
      </c>
      <c r="I1078" s="987">
        <f t="shared" si="16"/>
        <v>3.6623082735171959E-2</v>
      </c>
      <c r="J1078" s="988">
        <f t="shared" si="18"/>
        <v>42248</v>
      </c>
    </row>
    <row r="1079" spans="2:10">
      <c r="B1079" s="988">
        <v>42278</v>
      </c>
      <c r="C1079" s="987" t="s">
        <v>4653</v>
      </c>
      <c r="D1079" s="987" t="s">
        <v>4652</v>
      </c>
      <c r="E1079" s="987">
        <v>58.57</v>
      </c>
      <c r="F1079" s="987">
        <f t="shared" si="17"/>
        <v>7.408765816981476E-2</v>
      </c>
      <c r="G1079" s="987">
        <v>0</v>
      </c>
      <c r="H1079" s="987">
        <v>2.0999999999999999E-3</v>
      </c>
      <c r="I1079" s="987">
        <f t="shared" si="16"/>
        <v>7.1987658169814756E-2</v>
      </c>
      <c r="J1079" s="988">
        <f t="shared" si="18"/>
        <v>42278</v>
      </c>
    </row>
    <row r="1080" spans="2:10">
      <c r="B1080" s="988">
        <v>42309</v>
      </c>
      <c r="C1080" s="987" t="s">
        <v>4653</v>
      </c>
      <c r="D1080" s="987" t="s">
        <v>4652</v>
      </c>
      <c r="E1080" s="987">
        <v>58.36</v>
      </c>
      <c r="F1080" s="987">
        <f t="shared" si="17"/>
        <v>-3.5854533037391299E-3</v>
      </c>
      <c r="G1080" s="987">
        <v>0</v>
      </c>
      <c r="H1080" s="987">
        <v>2.2000000000000001E-3</v>
      </c>
      <c r="I1080" s="987">
        <f t="shared" si="16"/>
        <v>-5.7854533037391305E-3</v>
      </c>
      <c r="J1080" s="988">
        <f t="shared" si="18"/>
        <v>42309</v>
      </c>
    </row>
    <row r="1081" spans="2:10">
      <c r="B1081" s="988">
        <v>42339</v>
      </c>
      <c r="C1081" s="987" t="s">
        <v>4653</v>
      </c>
      <c r="D1081" s="987" t="s">
        <v>4652</v>
      </c>
      <c r="E1081" s="987">
        <v>59.41</v>
      </c>
      <c r="F1081" s="987">
        <f t="shared" si="17"/>
        <v>2.6387936943111673E-2</v>
      </c>
      <c r="G1081" s="987">
        <v>0.49</v>
      </c>
      <c r="H1081" s="987">
        <v>2.2000000000000001E-3</v>
      </c>
      <c r="I1081" s="987">
        <f t="shared" si="16"/>
        <v>2.4187936943111672E-2</v>
      </c>
      <c r="J1081" s="988">
        <f t="shared" si="18"/>
        <v>42339</v>
      </c>
    </row>
    <row r="1082" spans="2:10">
      <c r="B1082" s="988">
        <v>42370</v>
      </c>
      <c r="C1082" s="987" t="s">
        <v>4653</v>
      </c>
      <c r="D1082" s="987" t="s">
        <v>4652</v>
      </c>
      <c r="E1082" s="987">
        <v>63.94</v>
      </c>
      <c r="F1082" s="987">
        <f t="shared" si="17"/>
        <v>7.6249789597710851E-2</v>
      </c>
      <c r="G1082" s="987">
        <v>0</v>
      </c>
      <c r="H1082" s="987">
        <v>2.0999999999999999E-3</v>
      </c>
      <c r="I1082" s="987">
        <f t="shared" si="16"/>
        <v>7.4149789597710847E-2</v>
      </c>
      <c r="J1082" s="988">
        <f t="shared" si="18"/>
        <v>42370</v>
      </c>
    </row>
    <row r="1083" spans="2:10">
      <c r="B1083" s="988">
        <v>42401</v>
      </c>
      <c r="C1083" s="987" t="s">
        <v>4653</v>
      </c>
      <c r="D1083" s="987" t="s">
        <v>4652</v>
      </c>
      <c r="E1083" s="987">
        <v>65.52</v>
      </c>
      <c r="F1083" s="987">
        <f t="shared" si="17"/>
        <v>2.4710666249608982E-2</v>
      </c>
      <c r="G1083" s="987">
        <v>0</v>
      </c>
      <c r="H1083" s="987">
        <v>2E-3</v>
      </c>
      <c r="I1083" s="987">
        <f t="shared" si="16"/>
        <v>2.2710666249608984E-2</v>
      </c>
      <c r="J1083" s="988">
        <f t="shared" si="18"/>
        <v>42401</v>
      </c>
    </row>
    <row r="1084" spans="2:10">
      <c r="B1084" s="988">
        <v>42430</v>
      </c>
      <c r="C1084" s="987" t="s">
        <v>4653</v>
      </c>
      <c r="D1084" s="987" t="s">
        <v>4652</v>
      </c>
      <c r="E1084" s="987">
        <v>67.75</v>
      </c>
      <c r="F1084" s="987">
        <f t="shared" si="17"/>
        <v>4.1514041514041575E-2</v>
      </c>
      <c r="G1084" s="987">
        <v>0.49</v>
      </c>
      <c r="H1084" s="987">
        <v>1.8E-3</v>
      </c>
      <c r="I1084" s="987">
        <f t="shared" si="16"/>
        <v>3.9714041514041572E-2</v>
      </c>
      <c r="J1084" s="988">
        <f t="shared" si="18"/>
        <v>42430</v>
      </c>
    </row>
    <row r="1085" spans="2:10">
      <c r="B1085" s="988">
        <v>42461</v>
      </c>
      <c r="C1085" s="987" t="s">
        <v>4653</v>
      </c>
      <c r="D1085" s="987" t="s">
        <v>4652</v>
      </c>
      <c r="E1085" s="987">
        <v>63.96</v>
      </c>
      <c r="F1085" s="987">
        <f t="shared" si="17"/>
        <v>-5.5940959409594086E-2</v>
      </c>
      <c r="G1085" s="987">
        <v>0</v>
      </c>
      <c r="H1085" s="987">
        <v>1.6999999999999999E-3</v>
      </c>
      <c r="I1085" s="987">
        <f t="shared" si="16"/>
        <v>-5.7640959409594086E-2</v>
      </c>
      <c r="J1085" s="988">
        <f t="shared" si="18"/>
        <v>42461</v>
      </c>
    </row>
    <row r="1086" spans="2:10">
      <c r="B1086" s="988">
        <v>42491</v>
      </c>
      <c r="C1086" s="987" t="s">
        <v>4653</v>
      </c>
      <c r="D1086" s="987" t="s">
        <v>4652</v>
      </c>
      <c r="E1086" s="987">
        <v>63.58</v>
      </c>
      <c r="F1086" s="987">
        <f t="shared" si="17"/>
        <v>-5.9412132582864693E-3</v>
      </c>
      <c r="G1086" s="987">
        <v>0</v>
      </c>
      <c r="H1086" s="987">
        <v>2E-3</v>
      </c>
      <c r="I1086" s="987">
        <f t="shared" si="16"/>
        <v>-7.9412132582864694E-3</v>
      </c>
      <c r="J1086" s="988">
        <f t="shared" si="18"/>
        <v>42491</v>
      </c>
    </row>
    <row r="1087" spans="2:10">
      <c r="B1087" s="988">
        <v>42522</v>
      </c>
      <c r="C1087" s="987" t="s">
        <v>4653</v>
      </c>
      <c r="D1087" s="987" t="s">
        <v>4652</v>
      </c>
      <c r="E1087" s="987">
        <v>70.84</v>
      </c>
      <c r="F1087" s="987">
        <f t="shared" si="17"/>
        <v>0.12189367725699914</v>
      </c>
      <c r="G1087" s="987">
        <v>0.49</v>
      </c>
      <c r="H1087" s="987">
        <v>1.8E-3</v>
      </c>
      <c r="I1087" s="987">
        <f t="shared" si="16"/>
        <v>0.12009367725699914</v>
      </c>
      <c r="J1087" s="988">
        <f t="shared" si="18"/>
        <v>42522</v>
      </c>
    </row>
    <row r="1088" spans="2:10">
      <c r="B1088" s="988">
        <v>42552</v>
      </c>
      <c r="C1088" s="987" t="s">
        <v>4653</v>
      </c>
      <c r="D1088" s="987" t="s">
        <v>4652</v>
      </c>
      <c r="E1088" s="987">
        <v>69.400000000000006</v>
      </c>
      <c r="F1088" s="987">
        <f t="shared" si="17"/>
        <v>-2.0327498588368121E-2</v>
      </c>
      <c r="G1088" s="987">
        <v>0</v>
      </c>
      <c r="H1088" s="987">
        <v>1.4E-3</v>
      </c>
      <c r="I1088" s="987">
        <f t="shared" si="16"/>
        <v>-2.1727498588368119E-2</v>
      </c>
      <c r="J1088" s="988">
        <f t="shared" si="18"/>
        <v>42552</v>
      </c>
    </row>
    <row r="1089" spans="2:10">
      <c r="B1089" s="988">
        <v>42583</v>
      </c>
      <c r="C1089" s="987" t="s">
        <v>4653</v>
      </c>
      <c r="D1089" s="987" t="s">
        <v>4652</v>
      </c>
      <c r="E1089" s="987">
        <v>64.7</v>
      </c>
      <c r="F1089" s="987">
        <f t="shared" si="17"/>
        <v>-6.7723342939481304E-2</v>
      </c>
      <c r="G1089" s="987">
        <v>0</v>
      </c>
      <c r="H1089" s="987">
        <v>1.6000000000000001E-3</v>
      </c>
      <c r="I1089" s="987">
        <f t="shared" si="16"/>
        <v>-6.9323342939481308E-2</v>
      </c>
      <c r="J1089" s="988">
        <f t="shared" si="18"/>
        <v>42583</v>
      </c>
    </row>
    <row r="1090" spans="2:10">
      <c r="B1090" s="988">
        <v>42614</v>
      </c>
      <c r="C1090" s="987" t="s">
        <v>4653</v>
      </c>
      <c r="D1090" s="987" t="s">
        <v>4652</v>
      </c>
      <c r="E1090" s="987">
        <v>63.74</v>
      </c>
      <c r="F1090" s="987">
        <f t="shared" si="17"/>
        <v>-7.2642967542503999E-3</v>
      </c>
      <c r="G1090" s="987">
        <v>0.49</v>
      </c>
      <c r="H1090" s="987">
        <v>1.5E-3</v>
      </c>
      <c r="I1090" s="987">
        <f t="shared" ref="I1090:I1153" si="19">F1090-H1090</f>
        <v>-8.7642967542503995E-3</v>
      </c>
      <c r="J1090" s="988">
        <f t="shared" si="18"/>
        <v>42614</v>
      </c>
    </row>
    <row r="1091" spans="2:10">
      <c r="B1091" s="988">
        <v>42644</v>
      </c>
      <c r="C1091" s="987" t="s">
        <v>4653</v>
      </c>
      <c r="D1091" s="987" t="s">
        <v>4652</v>
      </c>
      <c r="E1091" s="987">
        <v>62.8</v>
      </c>
      <c r="F1091" s="987">
        <f t="shared" si="17"/>
        <v>-1.4747411358644569E-2</v>
      </c>
      <c r="G1091" s="987">
        <v>0</v>
      </c>
      <c r="H1091" s="987">
        <v>1.6000000000000001E-3</v>
      </c>
      <c r="I1091" s="987">
        <f t="shared" si="19"/>
        <v>-1.6347411358644568E-2</v>
      </c>
      <c r="J1091" s="988">
        <f t="shared" si="18"/>
        <v>42644</v>
      </c>
    </row>
    <row r="1092" spans="2:10">
      <c r="B1092" s="988">
        <v>42675</v>
      </c>
      <c r="C1092" s="987" t="s">
        <v>4653</v>
      </c>
      <c r="D1092" s="987" t="s">
        <v>4652</v>
      </c>
      <c r="E1092" s="987">
        <v>64.540000000000006</v>
      </c>
      <c r="F1092" s="987">
        <f t="shared" si="17"/>
        <v>2.7707006369426898E-2</v>
      </c>
      <c r="G1092" s="987">
        <v>0</v>
      </c>
      <c r="H1092" s="987">
        <v>1.8E-3</v>
      </c>
      <c r="I1092" s="987">
        <f t="shared" si="19"/>
        <v>2.5907006369426899E-2</v>
      </c>
      <c r="J1092" s="988">
        <f t="shared" si="18"/>
        <v>42675</v>
      </c>
    </row>
    <row r="1093" spans="2:10">
      <c r="B1093" s="988">
        <v>42705</v>
      </c>
      <c r="C1093" s="987" t="s">
        <v>4653</v>
      </c>
      <c r="D1093" s="987" t="s">
        <v>4652</v>
      </c>
      <c r="E1093" s="987">
        <v>64.55</v>
      </c>
      <c r="F1093" s="987">
        <f t="shared" si="17"/>
        <v>8.2894329098232231E-3</v>
      </c>
      <c r="G1093" s="987">
        <v>0.52500000000000002</v>
      </c>
      <c r="H1093" s="987">
        <v>2.2000000000000001E-3</v>
      </c>
      <c r="I1093" s="987">
        <f t="shared" si="19"/>
        <v>6.0894329098232225E-3</v>
      </c>
      <c r="J1093" s="988">
        <f t="shared" si="18"/>
        <v>42705</v>
      </c>
    </row>
    <row r="1094" spans="2:10">
      <c r="B1094" s="988">
        <v>42736</v>
      </c>
      <c r="C1094" s="987" t="s">
        <v>4653</v>
      </c>
      <c r="D1094" s="987" t="s">
        <v>4652</v>
      </c>
      <c r="E1094" s="987">
        <v>65</v>
      </c>
      <c r="F1094" s="987">
        <f t="shared" si="17"/>
        <v>6.9713400464756449E-3</v>
      </c>
      <c r="G1094" s="987">
        <v>0</v>
      </c>
      <c r="H1094" s="987">
        <v>2.3999999999999998E-3</v>
      </c>
      <c r="I1094" s="987">
        <f t="shared" si="19"/>
        <v>4.5713400464756446E-3</v>
      </c>
      <c r="J1094" s="988">
        <f t="shared" si="18"/>
        <v>42736</v>
      </c>
    </row>
    <row r="1095" spans="2:10">
      <c r="B1095" s="988">
        <v>42767</v>
      </c>
      <c r="C1095" s="987" t="s">
        <v>4653</v>
      </c>
      <c r="D1095" s="987" t="s">
        <v>4652</v>
      </c>
      <c r="E1095" s="987">
        <v>65.900000000000006</v>
      </c>
      <c r="F1095" s="987">
        <f t="shared" si="17"/>
        <v>1.3846153846153933E-2</v>
      </c>
      <c r="G1095" s="987">
        <v>0</v>
      </c>
      <c r="H1095" s="987">
        <v>2.0999999999999999E-3</v>
      </c>
      <c r="I1095" s="987">
        <f t="shared" si="19"/>
        <v>1.1746153846153934E-2</v>
      </c>
      <c r="J1095" s="988">
        <f t="shared" si="18"/>
        <v>42767</v>
      </c>
    </row>
    <row r="1096" spans="2:10">
      <c r="B1096" s="988">
        <v>42795</v>
      </c>
      <c r="C1096" s="987" t="s">
        <v>4653</v>
      </c>
      <c r="D1096" s="987" t="s">
        <v>4652</v>
      </c>
      <c r="E1096" s="987">
        <v>67.5</v>
      </c>
      <c r="F1096" s="987">
        <f t="shared" si="17"/>
        <v>3.2245827010622063E-2</v>
      </c>
      <c r="G1096" s="987">
        <v>0.52500000000000002</v>
      </c>
      <c r="H1096" s="987">
        <v>2.3E-3</v>
      </c>
      <c r="I1096" s="987">
        <f t="shared" si="19"/>
        <v>2.9945827010622064E-2</v>
      </c>
      <c r="J1096" s="988">
        <f t="shared" si="18"/>
        <v>42795</v>
      </c>
    </row>
    <row r="1097" spans="2:10">
      <c r="B1097" s="988">
        <v>42826</v>
      </c>
      <c r="C1097" s="987" t="s">
        <v>4653</v>
      </c>
      <c r="D1097" s="987" t="s">
        <v>4652</v>
      </c>
      <c r="E1097" s="987">
        <v>68.55</v>
      </c>
      <c r="F1097" s="987">
        <f t="shared" si="17"/>
        <v>1.5555555555555513E-2</v>
      </c>
      <c r="G1097" s="987">
        <v>0</v>
      </c>
      <c r="H1097" s="987">
        <v>2.0999999999999999E-3</v>
      </c>
      <c r="I1097" s="987">
        <f t="shared" si="19"/>
        <v>1.3455555555555514E-2</v>
      </c>
      <c r="J1097" s="988">
        <f t="shared" si="18"/>
        <v>42826</v>
      </c>
    </row>
    <row r="1098" spans="2:10">
      <c r="B1098" s="988">
        <v>42856</v>
      </c>
      <c r="C1098" s="987" t="s">
        <v>4653</v>
      </c>
      <c r="D1098" s="987" t="s">
        <v>4652</v>
      </c>
      <c r="E1098" s="987">
        <v>70.849999999999994</v>
      </c>
      <c r="F1098" s="987">
        <f t="shared" si="17"/>
        <v>3.3552151714077279E-2</v>
      </c>
      <c r="G1098" s="987">
        <v>0</v>
      </c>
      <c r="H1098" s="987">
        <v>2.3999999999999998E-3</v>
      </c>
      <c r="I1098" s="987">
        <f t="shared" si="19"/>
        <v>3.1152151714077279E-2</v>
      </c>
      <c r="J1098" s="988">
        <f t="shared" si="18"/>
        <v>42856</v>
      </c>
    </row>
    <row r="1099" spans="2:10">
      <c r="B1099" s="988">
        <v>42887</v>
      </c>
      <c r="C1099" s="987" t="s">
        <v>4653</v>
      </c>
      <c r="D1099" s="987" t="s">
        <v>4652</v>
      </c>
      <c r="E1099" s="987">
        <v>69.75</v>
      </c>
      <c r="F1099" s="987">
        <f t="shared" si="17"/>
        <v>-8.1157374735355593E-3</v>
      </c>
      <c r="G1099" s="987">
        <v>0.52500000000000002</v>
      </c>
      <c r="H1099" s="987">
        <v>2.0999999999999999E-3</v>
      </c>
      <c r="I1099" s="987">
        <f t="shared" si="19"/>
        <v>-1.0215737473535559E-2</v>
      </c>
      <c r="J1099" s="988">
        <f t="shared" si="18"/>
        <v>42887</v>
      </c>
    </row>
    <row r="1100" spans="2:10">
      <c r="B1100" s="988">
        <v>42917</v>
      </c>
      <c r="C1100" s="987" t="s">
        <v>4653</v>
      </c>
      <c r="D1100" s="987" t="s">
        <v>4652</v>
      </c>
      <c r="E1100" s="987">
        <v>72.599999999999994</v>
      </c>
      <c r="F1100" s="987">
        <f t="shared" si="17"/>
        <v>4.086021505376336E-2</v>
      </c>
      <c r="G1100" s="987">
        <v>0</v>
      </c>
      <c r="H1100" s="987">
        <v>2.2000000000000001E-3</v>
      </c>
      <c r="I1100" s="987">
        <f t="shared" si="19"/>
        <v>3.866021505376336E-2</v>
      </c>
      <c r="J1100" s="988">
        <f t="shared" si="18"/>
        <v>42917</v>
      </c>
    </row>
    <row r="1101" spans="2:10">
      <c r="B1101" s="988">
        <v>42948</v>
      </c>
      <c r="C1101" s="987" t="s">
        <v>4653</v>
      </c>
      <c r="D1101" s="987" t="s">
        <v>4652</v>
      </c>
      <c r="E1101" s="987">
        <v>76.5</v>
      </c>
      <c r="F1101" s="987">
        <f t="shared" si="17"/>
        <v>5.3719008264462895E-2</v>
      </c>
      <c r="G1101" s="987">
        <v>0</v>
      </c>
      <c r="H1101" s="987">
        <v>2.2000000000000001E-3</v>
      </c>
      <c r="I1101" s="987">
        <f t="shared" si="19"/>
        <v>5.1519008264462894E-2</v>
      </c>
      <c r="J1101" s="988">
        <f t="shared" si="18"/>
        <v>42948</v>
      </c>
    </row>
    <row r="1102" spans="2:10">
      <c r="B1102" s="988">
        <v>42979</v>
      </c>
      <c r="C1102" s="987" t="s">
        <v>4653</v>
      </c>
      <c r="D1102" s="987" t="s">
        <v>4652</v>
      </c>
      <c r="E1102" s="987">
        <v>74.650000000000006</v>
      </c>
      <c r="F1102" s="987">
        <f t="shared" si="17"/>
        <v>-1.7320261437908421E-2</v>
      </c>
      <c r="G1102" s="987">
        <v>0.52500000000000002</v>
      </c>
      <c r="H1102" s="987">
        <v>1.9E-3</v>
      </c>
      <c r="I1102" s="987">
        <f t="shared" si="19"/>
        <v>-1.922026143790842E-2</v>
      </c>
      <c r="J1102" s="988">
        <f t="shared" si="18"/>
        <v>42979</v>
      </c>
    </row>
    <row r="1103" spans="2:10">
      <c r="B1103" s="988">
        <v>43009</v>
      </c>
      <c r="C1103" s="987" t="s">
        <v>4653</v>
      </c>
      <c r="D1103" s="987" t="s">
        <v>4652</v>
      </c>
      <c r="E1103" s="987">
        <v>78.95</v>
      </c>
      <c r="F1103" s="987">
        <f t="shared" si="17"/>
        <v>5.7602143335565931E-2</v>
      </c>
      <c r="G1103" s="987">
        <v>0</v>
      </c>
      <c r="H1103" s="987">
        <v>2.2000000000000001E-3</v>
      </c>
      <c r="I1103" s="987">
        <f t="shared" si="19"/>
        <v>5.540214333556593E-2</v>
      </c>
      <c r="J1103" s="988">
        <f t="shared" si="18"/>
        <v>43009</v>
      </c>
    </row>
    <row r="1104" spans="2:10">
      <c r="B1104" s="988">
        <v>43040</v>
      </c>
      <c r="C1104" s="987" t="s">
        <v>4653</v>
      </c>
      <c r="D1104" s="987" t="s">
        <v>4652</v>
      </c>
      <c r="E1104" s="987">
        <v>82.25</v>
      </c>
      <c r="F1104" s="987">
        <f t="shared" ref="F1104:F1165" si="20">((E1104-E1103)/E1103)+(G1104/E1103)</f>
        <v>4.1798606713109525E-2</v>
      </c>
      <c r="G1104" s="987">
        <v>0</v>
      </c>
      <c r="H1104" s="987">
        <v>2.0999999999999999E-3</v>
      </c>
      <c r="I1104" s="987">
        <f t="shared" si="19"/>
        <v>3.9698606713109527E-2</v>
      </c>
      <c r="J1104" s="988">
        <f t="shared" si="18"/>
        <v>43040</v>
      </c>
    </row>
    <row r="1105" spans="2:10">
      <c r="B1105" s="988">
        <v>43070</v>
      </c>
      <c r="C1105" s="987" t="s">
        <v>4653</v>
      </c>
      <c r="D1105" s="987" t="s">
        <v>4652</v>
      </c>
      <c r="E1105" s="987">
        <v>75.150000000000006</v>
      </c>
      <c r="F1105" s="987">
        <f t="shared" si="20"/>
        <v>-7.9483282674771977E-2</v>
      </c>
      <c r="G1105" s="987">
        <v>0.5625</v>
      </c>
      <c r="H1105" s="987">
        <v>2E-3</v>
      </c>
      <c r="I1105" s="987">
        <f t="shared" si="19"/>
        <v>-8.1483282674771979E-2</v>
      </c>
      <c r="J1105" s="988">
        <f t="shared" si="18"/>
        <v>43070</v>
      </c>
    </row>
    <row r="1106" spans="2:10">
      <c r="B1106" s="988">
        <v>43101</v>
      </c>
      <c r="C1106" s="987" t="s">
        <v>4653</v>
      </c>
      <c r="D1106" s="987" t="s">
        <v>4652</v>
      </c>
      <c r="E1106" s="987">
        <v>66.5</v>
      </c>
      <c r="F1106" s="987">
        <f t="shared" si="20"/>
        <v>-0.11510312707917505</v>
      </c>
      <c r="G1106" s="987">
        <v>0</v>
      </c>
      <c r="H1106" s="987">
        <v>2.3999999999999998E-3</v>
      </c>
      <c r="I1106" s="987">
        <f t="shared" si="19"/>
        <v>-0.11750312707917505</v>
      </c>
      <c r="J1106" s="988">
        <f t="shared" si="18"/>
        <v>43101</v>
      </c>
    </row>
    <row r="1107" spans="2:10">
      <c r="B1107" s="988">
        <v>43132</v>
      </c>
      <c r="C1107" s="987" t="s">
        <v>4653</v>
      </c>
      <c r="D1107" s="987" t="s">
        <v>4652</v>
      </c>
      <c r="E1107" s="987">
        <v>67.8</v>
      </c>
      <c r="F1107" s="987">
        <f t="shared" si="20"/>
        <v>1.9548872180451086E-2</v>
      </c>
      <c r="G1107" s="987">
        <v>0</v>
      </c>
      <c r="H1107" s="987">
        <v>2.2000000000000001E-3</v>
      </c>
      <c r="I1107" s="987">
        <f t="shared" si="19"/>
        <v>1.7348872180451086E-2</v>
      </c>
      <c r="J1107" s="988">
        <f t="shared" si="18"/>
        <v>43132</v>
      </c>
    </row>
    <row r="1108" spans="2:10">
      <c r="B1108" s="988">
        <v>43160</v>
      </c>
      <c r="C1108" s="987" t="s">
        <v>4653</v>
      </c>
      <c r="D1108" s="987" t="s">
        <v>4652</v>
      </c>
      <c r="E1108" s="987">
        <v>72.3</v>
      </c>
      <c r="F1108" s="987">
        <f t="shared" si="20"/>
        <v>7.4668141592920359E-2</v>
      </c>
      <c r="G1108" s="987">
        <v>0.5625</v>
      </c>
      <c r="H1108" s="987">
        <v>2.3999999999999998E-3</v>
      </c>
      <c r="I1108" s="987">
        <f t="shared" si="19"/>
        <v>7.226814159292036E-2</v>
      </c>
      <c r="J1108" s="988">
        <f t="shared" si="18"/>
        <v>43160</v>
      </c>
    </row>
    <row r="1109" spans="2:10">
      <c r="B1109" s="988">
        <v>43191</v>
      </c>
      <c r="C1109" s="987" t="s">
        <v>4653</v>
      </c>
      <c r="D1109" s="987" t="s">
        <v>4652</v>
      </c>
      <c r="E1109" s="987">
        <v>72.150000000000006</v>
      </c>
      <c r="F1109" s="987">
        <f t="shared" si="20"/>
        <v>-2.07468879668038E-3</v>
      </c>
      <c r="G1109" s="987">
        <v>0</v>
      </c>
      <c r="H1109" s="987">
        <v>2.5000000000000001E-3</v>
      </c>
      <c r="I1109" s="987">
        <f t="shared" si="19"/>
        <v>-4.57468879668038E-3</v>
      </c>
      <c r="J1109" s="988">
        <f t="shared" si="18"/>
        <v>43191</v>
      </c>
    </row>
    <row r="1110" spans="2:10">
      <c r="B1110" s="988">
        <v>43221</v>
      </c>
      <c r="C1110" s="987" t="s">
        <v>4653</v>
      </c>
      <c r="D1110" s="987" t="s">
        <v>4652</v>
      </c>
      <c r="E1110" s="987">
        <v>71.25</v>
      </c>
      <c r="F1110" s="987">
        <f t="shared" si="20"/>
        <v>-1.2474012474012551E-2</v>
      </c>
      <c r="G1110" s="987">
        <v>0</v>
      </c>
      <c r="H1110" s="987">
        <v>2.5000000000000001E-3</v>
      </c>
      <c r="I1110" s="987">
        <f t="shared" si="19"/>
        <v>-1.4974012474012552E-2</v>
      </c>
      <c r="J1110" s="988">
        <f t="shared" si="18"/>
        <v>43221</v>
      </c>
    </row>
    <row r="1111" spans="2:10">
      <c r="B1111" s="988">
        <v>43252</v>
      </c>
      <c r="C1111" s="987" t="s">
        <v>4653</v>
      </c>
      <c r="D1111" s="987" t="s">
        <v>4652</v>
      </c>
      <c r="E1111" s="987">
        <v>70.650000000000006</v>
      </c>
      <c r="F1111" s="987">
        <f t="shared" si="20"/>
        <v>-5.2631578947360397E-4</v>
      </c>
      <c r="G1111" s="987">
        <v>0.5625</v>
      </c>
      <c r="H1111" s="987">
        <v>2.3E-3</v>
      </c>
      <c r="I1111" s="987">
        <f t="shared" si="19"/>
        <v>-2.8263157894736039E-3</v>
      </c>
      <c r="J1111" s="988">
        <f t="shared" si="18"/>
        <v>43252</v>
      </c>
    </row>
    <row r="1112" spans="2:10">
      <c r="B1112" s="988">
        <v>43282</v>
      </c>
      <c r="C1112" s="987" t="s">
        <v>4653</v>
      </c>
      <c r="D1112" s="987" t="s">
        <v>4652</v>
      </c>
      <c r="E1112" s="987">
        <v>71.599999999999994</v>
      </c>
      <c r="F1112" s="987">
        <f t="shared" si="20"/>
        <v>1.3446567586694814E-2</v>
      </c>
      <c r="G1112" s="987">
        <v>0</v>
      </c>
      <c r="H1112" s="987">
        <v>2.5000000000000001E-3</v>
      </c>
      <c r="I1112" s="987">
        <f t="shared" si="19"/>
        <v>1.0946567586694813E-2</v>
      </c>
      <c r="J1112" s="988">
        <f t="shared" si="18"/>
        <v>43282</v>
      </c>
    </row>
    <row r="1113" spans="2:10">
      <c r="B1113" s="988">
        <v>43313</v>
      </c>
      <c r="C1113" s="987" t="s">
        <v>4653</v>
      </c>
      <c r="D1113" s="987" t="s">
        <v>4652</v>
      </c>
      <c r="E1113" s="987">
        <v>74.55</v>
      </c>
      <c r="F1113" s="987">
        <f t="shared" si="20"/>
        <v>4.1201117318435794E-2</v>
      </c>
      <c r="G1113" s="987">
        <v>0</v>
      </c>
      <c r="H1113" s="987">
        <v>2.5000000000000001E-3</v>
      </c>
      <c r="I1113" s="987">
        <f t="shared" si="19"/>
        <v>3.8701117318435792E-2</v>
      </c>
      <c r="J1113" s="988">
        <f t="shared" si="18"/>
        <v>43313</v>
      </c>
    </row>
    <row r="1114" spans="2:10">
      <c r="B1114" s="988">
        <v>43344</v>
      </c>
      <c r="C1114" s="987" t="s">
        <v>4653</v>
      </c>
      <c r="D1114" s="987" t="s">
        <v>4652</v>
      </c>
      <c r="E1114" s="987">
        <v>73.55</v>
      </c>
      <c r="F1114" s="987">
        <f t="shared" si="20"/>
        <v>-5.8685446009389677E-3</v>
      </c>
      <c r="G1114" s="987">
        <v>0.5625</v>
      </c>
      <c r="H1114" s="987">
        <v>2.2000000000000001E-3</v>
      </c>
      <c r="I1114" s="987">
        <f t="shared" si="19"/>
        <v>-8.0685446009389674E-3</v>
      </c>
      <c r="J1114" s="988">
        <f t="shared" si="18"/>
        <v>43344</v>
      </c>
    </row>
    <row r="1115" spans="2:10">
      <c r="B1115" s="988">
        <v>43374</v>
      </c>
      <c r="C1115" s="987" t="s">
        <v>4653</v>
      </c>
      <c r="D1115" s="987" t="s">
        <v>4652</v>
      </c>
      <c r="E1115" s="987">
        <v>72.58</v>
      </c>
      <c r="F1115" s="987">
        <f t="shared" si="20"/>
        <v>-1.3188307273963275E-2</v>
      </c>
      <c r="G1115" s="987">
        <v>0</v>
      </c>
      <c r="H1115" s="987">
        <v>3.0000000000000001E-3</v>
      </c>
      <c r="I1115" s="987">
        <f t="shared" si="19"/>
        <v>-1.6188307273963275E-2</v>
      </c>
      <c r="J1115" s="988">
        <f t="shared" si="18"/>
        <v>43374</v>
      </c>
    </row>
    <row r="1116" spans="2:10">
      <c r="B1116" s="988">
        <v>43405</v>
      </c>
      <c r="C1116" s="987" t="s">
        <v>4653</v>
      </c>
      <c r="D1116" s="987" t="s">
        <v>4652</v>
      </c>
      <c r="E1116" s="987">
        <v>78.91</v>
      </c>
      <c r="F1116" s="987">
        <f t="shared" si="20"/>
        <v>8.7214108569853926E-2</v>
      </c>
      <c r="G1116" s="987">
        <v>0</v>
      </c>
      <c r="H1116" s="987">
        <v>2.8E-3</v>
      </c>
      <c r="I1116" s="987">
        <f t="shared" si="19"/>
        <v>8.441410856985393E-2</v>
      </c>
      <c r="J1116" s="988">
        <f t="shared" si="18"/>
        <v>43405</v>
      </c>
    </row>
    <row r="1117" spans="2:10">
      <c r="B1117" s="988">
        <v>43435</v>
      </c>
      <c r="C1117" s="987" t="s">
        <v>4653</v>
      </c>
      <c r="D1117" s="987" t="s">
        <v>4652</v>
      </c>
      <c r="E1117" s="987">
        <v>74.08</v>
      </c>
      <c r="F1117" s="987">
        <f t="shared" si="20"/>
        <v>-5.3700418197947006E-2</v>
      </c>
      <c r="G1117" s="987">
        <v>0.59250000000000003</v>
      </c>
      <c r="H1117" s="987">
        <v>2.7000000000000001E-3</v>
      </c>
      <c r="I1117" s="987">
        <f t="shared" si="19"/>
        <v>-5.6400418197947007E-2</v>
      </c>
      <c r="J1117" s="988">
        <f t="shared" si="18"/>
        <v>43435</v>
      </c>
    </row>
    <row r="1118" spans="2:10">
      <c r="B1118" s="988">
        <v>43466</v>
      </c>
      <c r="C1118" s="987" t="s">
        <v>4653</v>
      </c>
      <c r="D1118" s="987" t="s">
        <v>4652</v>
      </c>
      <c r="E1118" s="987">
        <v>79.37</v>
      </c>
      <c r="F1118" s="987">
        <f t="shared" si="20"/>
        <v>7.1409287257019519E-2</v>
      </c>
      <c r="G1118" s="987">
        <v>0</v>
      </c>
      <c r="H1118" s="987">
        <v>2.5000000000000001E-3</v>
      </c>
      <c r="I1118" s="987">
        <f t="shared" si="19"/>
        <v>6.8909287257019516E-2</v>
      </c>
      <c r="J1118" s="988">
        <f t="shared" si="18"/>
        <v>43466</v>
      </c>
    </row>
    <row r="1119" spans="2:10">
      <c r="B1119" s="988">
        <v>43497</v>
      </c>
      <c r="C1119" s="987" t="s">
        <v>4653</v>
      </c>
      <c r="D1119" s="987" t="s">
        <v>4652</v>
      </c>
      <c r="E1119" s="987">
        <v>79.319999999999993</v>
      </c>
      <c r="F1119" s="987">
        <f t="shared" si="20"/>
        <v>-6.2996094242171309E-4</v>
      </c>
      <c r="G1119" s="987">
        <v>0</v>
      </c>
      <c r="H1119" s="987">
        <v>2.2000000000000001E-3</v>
      </c>
      <c r="I1119" s="987">
        <f t="shared" si="19"/>
        <v>-2.829960942421713E-3</v>
      </c>
      <c r="J1119" s="988">
        <f t="shared" si="18"/>
        <v>43497</v>
      </c>
    </row>
    <row r="1120" spans="2:10">
      <c r="B1120" s="988">
        <v>43525</v>
      </c>
      <c r="C1120" s="987" t="s">
        <v>4653</v>
      </c>
      <c r="D1120" s="987" t="s">
        <v>4652</v>
      </c>
      <c r="E1120" s="987">
        <v>82.29</v>
      </c>
      <c r="F1120" s="987">
        <f t="shared" si="20"/>
        <v>4.4913010590015297E-2</v>
      </c>
      <c r="G1120" s="987">
        <v>0.59250000000000003</v>
      </c>
      <c r="H1120" s="987">
        <v>2.3E-3</v>
      </c>
      <c r="I1120" s="987">
        <f t="shared" si="19"/>
        <v>4.2613010590015293E-2</v>
      </c>
      <c r="J1120" s="988">
        <f t="shared" si="18"/>
        <v>43525</v>
      </c>
    </row>
    <row r="1121" spans="2:10">
      <c r="B1121" s="988">
        <v>43556</v>
      </c>
      <c r="C1121" s="987" t="s">
        <v>4653</v>
      </c>
      <c r="D1121" s="987" t="s">
        <v>4652</v>
      </c>
      <c r="E1121" s="987">
        <v>84.19</v>
      </c>
      <c r="F1121" s="987">
        <f t="shared" si="20"/>
        <v>2.3089075221776539E-2</v>
      </c>
      <c r="G1121" s="987">
        <v>0</v>
      </c>
      <c r="H1121" s="987">
        <v>2.3E-3</v>
      </c>
      <c r="I1121" s="987">
        <f t="shared" si="19"/>
        <v>2.0789075221776539E-2</v>
      </c>
      <c r="J1121" s="988">
        <f t="shared" si="18"/>
        <v>43556</v>
      </c>
    </row>
    <row r="1122" spans="2:10">
      <c r="B1122" s="988">
        <v>43586</v>
      </c>
      <c r="C1122" s="987" t="s">
        <v>4653</v>
      </c>
      <c r="D1122" s="987" t="s">
        <v>4652</v>
      </c>
      <c r="E1122" s="987">
        <v>83.32</v>
      </c>
      <c r="F1122" s="987">
        <f t="shared" si="20"/>
        <v>-1.0333768856158743E-2</v>
      </c>
      <c r="G1122" s="987">
        <v>0</v>
      </c>
      <c r="H1122" s="987">
        <v>2.3E-3</v>
      </c>
      <c r="I1122" s="987">
        <f t="shared" si="19"/>
        <v>-1.2633768856158743E-2</v>
      </c>
      <c r="J1122" s="988">
        <f t="shared" si="18"/>
        <v>43586</v>
      </c>
    </row>
    <row r="1123" spans="2:10">
      <c r="B1123" s="988">
        <v>43617</v>
      </c>
      <c r="C1123" s="987" t="s">
        <v>4653</v>
      </c>
      <c r="D1123" s="987" t="s">
        <v>4652</v>
      </c>
      <c r="E1123" s="987">
        <v>83.92</v>
      </c>
      <c r="F1123" s="987">
        <f t="shared" si="20"/>
        <v>1.4312289966394727E-2</v>
      </c>
      <c r="G1123" s="987">
        <v>0.59250000000000003</v>
      </c>
      <c r="H1123" s="987">
        <v>1.8E-3</v>
      </c>
      <c r="I1123" s="987">
        <f t="shared" si="19"/>
        <v>1.2512289966394727E-2</v>
      </c>
      <c r="J1123" s="988">
        <f t="shared" si="18"/>
        <v>43617</v>
      </c>
    </row>
    <row r="1124" spans="2:10">
      <c r="B1124" s="988">
        <v>43647</v>
      </c>
      <c r="C1124" s="987" t="s">
        <v>4653</v>
      </c>
      <c r="D1124" s="987" t="s">
        <v>4652</v>
      </c>
      <c r="E1124" s="987">
        <v>82.41</v>
      </c>
      <c r="F1124" s="987">
        <f t="shared" si="20"/>
        <v>-1.7993326978074417E-2</v>
      </c>
      <c r="G1124" s="987">
        <v>0</v>
      </c>
      <c r="H1124" s="987">
        <v>2.0999999999999999E-3</v>
      </c>
      <c r="I1124" s="987">
        <f t="shared" si="19"/>
        <v>-2.0093326978074418E-2</v>
      </c>
      <c r="J1124" s="988">
        <f t="shared" si="18"/>
        <v>43647</v>
      </c>
    </row>
    <row r="1125" spans="2:10">
      <c r="B1125" s="988">
        <v>43678</v>
      </c>
      <c r="C1125" s="987" t="s">
        <v>4653</v>
      </c>
      <c r="D1125" s="987" t="s">
        <v>4652</v>
      </c>
      <c r="E1125" s="987">
        <v>84.9</v>
      </c>
      <c r="F1125" s="987">
        <f t="shared" si="20"/>
        <v>3.0214779759738006E-2</v>
      </c>
      <c r="G1125" s="987">
        <v>0</v>
      </c>
      <c r="H1125" s="987">
        <v>1.9E-3</v>
      </c>
      <c r="I1125" s="987">
        <f t="shared" si="19"/>
        <v>2.8314779759738007E-2</v>
      </c>
      <c r="J1125" s="988">
        <f t="shared" si="18"/>
        <v>43678</v>
      </c>
    </row>
    <row r="1126" spans="2:10">
      <c r="B1126" s="988">
        <v>43709</v>
      </c>
      <c r="C1126" s="987" t="s">
        <v>4653</v>
      </c>
      <c r="D1126" s="987" t="s">
        <v>4652</v>
      </c>
      <c r="E1126" s="987">
        <v>87.24</v>
      </c>
      <c r="F1126" s="987">
        <f t="shared" si="20"/>
        <v>3.4540636042402699E-2</v>
      </c>
      <c r="G1126" s="987">
        <v>0.59250000000000003</v>
      </c>
      <c r="H1126" s="987">
        <v>1.5E-3</v>
      </c>
      <c r="I1126" s="987">
        <f t="shared" si="19"/>
        <v>3.3040636042402698E-2</v>
      </c>
      <c r="J1126" s="988">
        <f t="shared" si="18"/>
        <v>43709</v>
      </c>
    </row>
    <row r="1127" spans="2:10">
      <c r="B1127" s="988">
        <v>43739</v>
      </c>
      <c r="C1127" s="987" t="s">
        <v>4653</v>
      </c>
      <c r="D1127" s="987" t="s">
        <v>4652</v>
      </c>
      <c r="E1127" s="987">
        <v>84.06</v>
      </c>
      <c r="F1127" s="987">
        <f t="shared" si="20"/>
        <v>-3.6451169188445584E-2</v>
      </c>
      <c r="G1127" s="987">
        <v>0</v>
      </c>
      <c r="H1127" s="987">
        <v>1.6000000000000001E-3</v>
      </c>
      <c r="I1127" s="987">
        <f t="shared" si="19"/>
        <v>-3.8051169188445581E-2</v>
      </c>
      <c r="J1127" s="988">
        <f t="shared" si="18"/>
        <v>43739</v>
      </c>
    </row>
    <row r="1128" spans="2:10">
      <c r="B1128" s="988">
        <v>43770</v>
      </c>
      <c r="C1128" s="987" t="s">
        <v>4653</v>
      </c>
      <c r="D1128" s="987" t="s">
        <v>4652</v>
      </c>
      <c r="E1128" s="987">
        <v>77.42</v>
      </c>
      <c r="F1128" s="987">
        <f t="shared" si="20"/>
        <v>-7.8991196764216037E-2</v>
      </c>
      <c r="G1128" s="987">
        <v>0</v>
      </c>
      <c r="H1128" s="987">
        <v>1.6000000000000001E-3</v>
      </c>
      <c r="I1128" s="987">
        <f t="shared" si="19"/>
        <v>-8.0591196764216042E-2</v>
      </c>
      <c r="J1128" s="988">
        <f t="shared" si="18"/>
        <v>43770</v>
      </c>
    </row>
    <row r="1129" spans="2:10">
      <c r="B1129" s="988">
        <v>43800</v>
      </c>
      <c r="C1129" s="987" t="s">
        <v>4653</v>
      </c>
      <c r="D1129" s="987" t="s">
        <v>4652</v>
      </c>
      <c r="E1129" s="987">
        <v>83.31</v>
      </c>
      <c r="F1129" s="987">
        <f t="shared" si="20"/>
        <v>8.411909067424439E-2</v>
      </c>
      <c r="G1129" s="987">
        <v>0.62250000000000005</v>
      </c>
      <c r="H1129" s="987">
        <v>1.8E-3</v>
      </c>
      <c r="I1129" s="987">
        <f t="shared" si="19"/>
        <v>8.2319090674244394E-2</v>
      </c>
      <c r="J1129" s="988">
        <f t="shared" si="18"/>
        <v>43800</v>
      </c>
    </row>
    <row r="1130" spans="2:10">
      <c r="B1130" s="988">
        <v>43831</v>
      </c>
      <c r="C1130" s="987" t="s">
        <v>4653</v>
      </c>
      <c r="D1130" s="987" t="s">
        <v>4652</v>
      </c>
      <c r="E1130" s="987">
        <v>84.32</v>
      </c>
      <c r="F1130" s="987">
        <f t="shared" si="20"/>
        <v>1.2123394550474023E-2</v>
      </c>
      <c r="G1130" s="987">
        <v>0</v>
      </c>
      <c r="H1130" s="987">
        <v>2E-3</v>
      </c>
      <c r="I1130" s="987">
        <f t="shared" si="19"/>
        <v>1.0123394550474023E-2</v>
      </c>
      <c r="J1130" s="988">
        <f t="shared" si="18"/>
        <v>43831</v>
      </c>
    </row>
    <row r="1131" spans="2:10">
      <c r="B1131" s="988">
        <v>43862</v>
      </c>
      <c r="C1131" s="987" t="s">
        <v>4653</v>
      </c>
      <c r="D1131" s="987" t="s">
        <v>4652</v>
      </c>
      <c r="E1131" s="987">
        <v>75.05</v>
      </c>
      <c r="F1131" s="987">
        <f t="shared" si="20"/>
        <v>-0.10993833017077795</v>
      </c>
      <c r="G1131" s="987">
        <v>0</v>
      </c>
      <c r="H1131" s="987">
        <v>1.5E-3</v>
      </c>
      <c r="I1131" s="987">
        <f t="shared" si="19"/>
        <v>-0.11143833017077795</v>
      </c>
      <c r="J1131" s="988">
        <f t="shared" si="18"/>
        <v>43862</v>
      </c>
    </row>
    <row r="1132" spans="2:10">
      <c r="B1132" s="988">
        <v>43891</v>
      </c>
      <c r="C1132" s="987" t="s">
        <v>4653</v>
      </c>
      <c r="D1132" s="987" t="s">
        <v>4652</v>
      </c>
      <c r="E1132" s="987">
        <v>74.48</v>
      </c>
      <c r="F1132" s="987">
        <f t="shared" si="20"/>
        <v>6.9953364423726728E-4</v>
      </c>
      <c r="G1132" s="987">
        <v>0.62250000000000005</v>
      </c>
      <c r="H1132" s="987">
        <v>1.23E-3</v>
      </c>
      <c r="I1132" s="987">
        <f t="shared" si="19"/>
        <v>-5.304663557627327E-4</v>
      </c>
      <c r="J1132" s="988">
        <f t="shared" si="18"/>
        <v>43891</v>
      </c>
    </row>
    <row r="1133" spans="2:10">
      <c r="B1133" s="988">
        <v>43922</v>
      </c>
      <c r="C1133" s="987" t="s">
        <v>4653</v>
      </c>
      <c r="D1133" s="987" t="s">
        <v>4652</v>
      </c>
      <c r="E1133" s="987">
        <v>72.959999999999994</v>
      </c>
      <c r="F1133" s="987">
        <f t="shared" si="20"/>
        <v>-2.040816326530626E-2</v>
      </c>
      <c r="G1133" s="987">
        <v>0</v>
      </c>
      <c r="H1133" s="987">
        <v>8.9999999999999998E-4</v>
      </c>
      <c r="I1133" s="987">
        <f t="shared" si="19"/>
        <v>-2.1308163265306261E-2</v>
      </c>
      <c r="J1133" s="988">
        <f t="shared" si="18"/>
        <v>43922</v>
      </c>
    </row>
    <row r="1134" spans="2:10">
      <c r="B1134" s="988">
        <v>43952</v>
      </c>
      <c r="C1134" s="987" t="s">
        <v>4653</v>
      </c>
      <c r="D1134" s="987" t="s">
        <v>4652</v>
      </c>
      <c r="E1134" s="987">
        <v>72.92</v>
      </c>
      <c r="F1134" s="987">
        <f t="shared" si="20"/>
        <v>-5.4824561403497873E-4</v>
      </c>
      <c r="G1134" s="987">
        <v>0</v>
      </c>
      <c r="H1134" s="987">
        <v>8.9999999999999998E-4</v>
      </c>
      <c r="I1134" s="987">
        <f t="shared" si="19"/>
        <v>-1.4482456140349786E-3</v>
      </c>
      <c r="J1134" s="988">
        <f t="shared" si="18"/>
        <v>43952</v>
      </c>
    </row>
    <row r="1135" spans="2:10">
      <c r="B1135" s="988">
        <v>43983</v>
      </c>
      <c r="C1135" s="987" t="s">
        <v>4653</v>
      </c>
      <c r="D1135" s="987" t="s">
        <v>4652</v>
      </c>
      <c r="E1135" s="987">
        <v>65.709999999999994</v>
      </c>
      <c r="F1135" s="987">
        <f t="shared" si="20"/>
        <v>-9.0338727372463068E-2</v>
      </c>
      <c r="G1135" s="987">
        <v>0.62250000000000005</v>
      </c>
      <c r="H1135" s="987">
        <v>8.9999999999999998E-4</v>
      </c>
      <c r="I1135" s="987">
        <f t="shared" si="19"/>
        <v>-9.1238727372463066E-2</v>
      </c>
      <c r="J1135" s="988">
        <f t="shared" si="18"/>
        <v>43983</v>
      </c>
    </row>
    <row r="1136" spans="2:10">
      <c r="B1136" s="988">
        <v>44013</v>
      </c>
      <c r="C1136" s="987" t="s">
        <v>4653</v>
      </c>
      <c r="D1136" s="987" t="s">
        <v>4652</v>
      </c>
      <c r="E1136" s="987">
        <v>61.66</v>
      </c>
      <c r="F1136" s="987">
        <f t="shared" si="20"/>
        <v>-6.1634454420940461E-2</v>
      </c>
      <c r="G1136" s="987">
        <v>0</v>
      </c>
      <c r="H1136" s="987">
        <v>1E-3</v>
      </c>
      <c r="I1136" s="987">
        <f t="shared" si="19"/>
        <v>-6.2634454420940455E-2</v>
      </c>
      <c r="J1136" s="988">
        <f t="shared" si="18"/>
        <v>44013</v>
      </c>
    </row>
    <row r="1137" spans="2:10">
      <c r="B1137" s="988">
        <v>44044</v>
      </c>
      <c r="C1137" s="987" t="s">
        <v>4653</v>
      </c>
      <c r="D1137" s="987" t="s">
        <v>4652</v>
      </c>
      <c r="E1137" s="987">
        <v>58.21</v>
      </c>
      <c r="F1137" s="987">
        <f t="shared" si="20"/>
        <v>-5.5951994810249692E-2</v>
      </c>
      <c r="G1137" s="987">
        <v>0</v>
      </c>
      <c r="H1137" s="987">
        <v>8.0000000000000004E-4</v>
      </c>
      <c r="I1137" s="987">
        <f t="shared" si="19"/>
        <v>-5.6751994810249694E-2</v>
      </c>
      <c r="J1137" s="988">
        <f t="shared" si="18"/>
        <v>44044</v>
      </c>
    </row>
    <row r="1138" spans="2:10">
      <c r="B1138" s="988">
        <v>44075</v>
      </c>
      <c r="C1138" s="987" t="s">
        <v>4653</v>
      </c>
      <c r="D1138" s="987" t="s">
        <v>4652</v>
      </c>
      <c r="E1138" s="987">
        <v>53.2</v>
      </c>
      <c r="F1138" s="987">
        <f t="shared" si="20"/>
        <v>-7.5373647139666683E-2</v>
      </c>
      <c r="G1138" s="987">
        <v>0.62250000000000005</v>
      </c>
      <c r="H1138" s="987">
        <v>0</v>
      </c>
      <c r="I1138" s="987">
        <f t="shared" si="19"/>
        <v>-7.5373647139666683E-2</v>
      </c>
      <c r="J1138" s="988">
        <f t="shared" si="18"/>
        <v>44075</v>
      </c>
    </row>
    <row r="1139" spans="2:10">
      <c r="B1139" s="988">
        <v>44105</v>
      </c>
      <c r="C1139" s="987" t="s">
        <v>4653</v>
      </c>
      <c r="D1139" s="987" t="s">
        <v>4652</v>
      </c>
      <c r="E1139" s="987">
        <v>56.04</v>
      </c>
      <c r="F1139" s="987">
        <f t="shared" si="20"/>
        <v>5.338345864661647E-2</v>
      </c>
      <c r="G1139" s="987">
        <v>0</v>
      </c>
      <c r="H1139" s="987">
        <v>8.9999999999999998E-4</v>
      </c>
      <c r="I1139" s="987">
        <f t="shared" si="19"/>
        <v>5.2483458646616472E-2</v>
      </c>
      <c r="J1139" s="988">
        <f t="shared" ref="J1139:J1165" si="21">B1139</f>
        <v>44105</v>
      </c>
    </row>
    <row r="1140" spans="2:10">
      <c r="B1140" s="988">
        <v>44136</v>
      </c>
      <c r="C1140" s="987" t="s">
        <v>4653</v>
      </c>
      <c r="D1140" s="987" t="s">
        <v>4652</v>
      </c>
      <c r="E1140" s="987">
        <v>63.96</v>
      </c>
      <c r="F1140" s="987">
        <f t="shared" si="20"/>
        <v>0.14132762312633837</v>
      </c>
      <c r="G1140" s="987">
        <v>0</v>
      </c>
      <c r="H1140" s="987">
        <v>1.1000000000000001E-3</v>
      </c>
      <c r="I1140" s="987">
        <f t="shared" si="19"/>
        <v>0.14022762312633838</v>
      </c>
      <c r="J1140" s="988">
        <f t="shared" si="21"/>
        <v>44136</v>
      </c>
    </row>
    <row r="1141" spans="2:10">
      <c r="B1141" s="988">
        <v>44166</v>
      </c>
      <c r="C1141" s="987" t="s">
        <v>4653</v>
      </c>
      <c r="D1141" s="987" t="s">
        <v>4652</v>
      </c>
      <c r="E1141" s="987">
        <v>64.040000000000006</v>
      </c>
      <c r="F1141" s="987">
        <f t="shared" si="20"/>
        <v>1.1413383364602962E-2</v>
      </c>
      <c r="G1141" s="987">
        <v>0.65</v>
      </c>
      <c r="H1141" s="987">
        <v>1.1000000000000001E-3</v>
      </c>
      <c r="I1141" s="987">
        <f t="shared" si="19"/>
        <v>1.0313383364602961E-2</v>
      </c>
      <c r="J1141" s="988">
        <f t="shared" si="21"/>
        <v>44166</v>
      </c>
    </row>
    <row r="1142" spans="2:10">
      <c r="B1142" s="988">
        <v>44197</v>
      </c>
      <c r="C1142" s="987" t="s">
        <v>4653</v>
      </c>
      <c r="D1142" s="987" t="s">
        <v>4652</v>
      </c>
      <c r="E1142" s="987">
        <v>61.19</v>
      </c>
      <c r="F1142" s="987">
        <f t="shared" si="20"/>
        <v>-4.4503435352904561E-2</v>
      </c>
      <c r="G1142" s="987">
        <v>0</v>
      </c>
      <c r="H1142" s="987">
        <v>1.1000000000000001E-3</v>
      </c>
      <c r="I1142" s="987">
        <f t="shared" si="19"/>
        <v>-4.5603435352904557E-2</v>
      </c>
      <c r="J1142" s="988">
        <f t="shared" si="21"/>
        <v>44197</v>
      </c>
    </row>
    <row r="1143" spans="2:10">
      <c r="B1143" s="988">
        <v>44228</v>
      </c>
      <c r="C1143" s="987" t="s">
        <v>4653</v>
      </c>
      <c r="D1143" s="987" t="s">
        <v>4652</v>
      </c>
      <c r="E1143" s="987">
        <v>66.42</v>
      </c>
      <c r="F1143" s="987">
        <f t="shared" si="20"/>
        <v>8.547148226834457E-2</v>
      </c>
      <c r="G1143" s="987">
        <v>0</v>
      </c>
      <c r="H1143" s="987">
        <v>1.1999999999999999E-3</v>
      </c>
      <c r="I1143" s="987">
        <f t="shared" si="19"/>
        <v>8.4271482268344564E-2</v>
      </c>
      <c r="J1143" s="988">
        <f t="shared" si="21"/>
        <v>44228</v>
      </c>
    </row>
    <row r="1144" spans="2:10">
      <c r="B1144" s="988">
        <v>44256</v>
      </c>
      <c r="C1144" s="987" t="s">
        <v>4653</v>
      </c>
      <c r="D1144" s="987" t="s">
        <v>4652</v>
      </c>
      <c r="E1144" s="987">
        <v>73.89</v>
      </c>
      <c r="F1144" s="987">
        <f t="shared" si="20"/>
        <v>0.12225233363444743</v>
      </c>
      <c r="G1144" s="987">
        <v>0.65</v>
      </c>
      <c r="H1144" s="987">
        <v>1.8E-3</v>
      </c>
      <c r="I1144" s="987">
        <f t="shared" si="19"/>
        <v>0.12045233363444743</v>
      </c>
      <c r="J1144" s="988">
        <f t="shared" si="21"/>
        <v>44256</v>
      </c>
    </row>
    <row r="1145" spans="2:10">
      <c r="B1145" s="988">
        <v>44287</v>
      </c>
      <c r="C1145" s="987" t="s">
        <v>4653</v>
      </c>
      <c r="D1145" s="987" t="s">
        <v>4652</v>
      </c>
      <c r="E1145" s="987">
        <v>75.34</v>
      </c>
      <c r="F1145" s="987">
        <f t="shared" si="20"/>
        <v>1.9623765056164606E-2</v>
      </c>
      <c r="G1145" s="987">
        <v>0</v>
      </c>
      <c r="H1145" s="987">
        <v>1.9E-3</v>
      </c>
      <c r="I1145" s="987">
        <f t="shared" si="19"/>
        <v>1.7723765056164607E-2</v>
      </c>
      <c r="J1145" s="988">
        <f t="shared" si="21"/>
        <v>44287</v>
      </c>
    </row>
    <row r="1146" spans="2:10">
      <c r="B1146" s="988">
        <v>44317</v>
      </c>
      <c r="C1146" s="987" t="s">
        <v>4653</v>
      </c>
      <c r="D1146" s="987" t="s">
        <v>4652</v>
      </c>
      <c r="E1146" s="987">
        <v>71.66</v>
      </c>
      <c r="F1146" s="987">
        <f t="shared" si="20"/>
        <v>-4.8845234934961596E-2</v>
      </c>
      <c r="G1146" s="987">
        <v>0</v>
      </c>
      <c r="H1146" s="987">
        <v>1.8E-3</v>
      </c>
      <c r="I1146" s="987">
        <f t="shared" si="19"/>
        <v>-5.0645234934961599E-2</v>
      </c>
      <c r="J1146" s="988">
        <f t="shared" si="21"/>
        <v>44317</v>
      </c>
    </row>
    <row r="1147" spans="2:10">
      <c r="B1147" s="988">
        <v>44348</v>
      </c>
      <c r="C1147" s="987" t="s">
        <v>4653</v>
      </c>
      <c r="D1147" s="987" t="s">
        <v>4652</v>
      </c>
      <c r="E1147" s="987">
        <v>72.27</v>
      </c>
      <c r="F1147" s="987">
        <f t="shared" si="20"/>
        <v>1.7583030979626005E-2</v>
      </c>
      <c r="G1147" s="987">
        <v>0.65</v>
      </c>
      <c r="H1147" s="987">
        <v>1.6999999999999999E-3</v>
      </c>
      <c r="I1147" s="987">
        <f t="shared" si="19"/>
        <v>1.5883030979626005E-2</v>
      </c>
      <c r="J1147" s="988">
        <f t="shared" si="21"/>
        <v>44348</v>
      </c>
    </row>
    <row r="1148" spans="2:10">
      <c r="B1148" s="988">
        <v>44378</v>
      </c>
      <c r="C1148" s="987" t="s">
        <v>4653</v>
      </c>
      <c r="D1148" s="987" t="s">
        <v>4652</v>
      </c>
      <c r="E1148" s="987">
        <v>70.95</v>
      </c>
      <c r="F1148" s="987">
        <f t="shared" si="20"/>
        <v>-1.8264840182648307E-2</v>
      </c>
      <c r="G1148" s="987">
        <v>0</v>
      </c>
      <c r="H1148" s="987">
        <v>1.6000000000000001E-3</v>
      </c>
      <c r="I1148" s="987">
        <f t="shared" si="19"/>
        <v>-1.9864840182648308E-2</v>
      </c>
      <c r="J1148" s="988">
        <f t="shared" si="21"/>
        <v>44378</v>
      </c>
    </row>
    <row r="1149" spans="2:10">
      <c r="B1149" s="988">
        <v>44409</v>
      </c>
      <c r="C1149" s="987" t="s">
        <v>4653</v>
      </c>
      <c r="D1149" s="987" t="s">
        <v>4652</v>
      </c>
      <c r="E1149" s="987">
        <v>66.7</v>
      </c>
      <c r="F1149" s="987">
        <f t="shared" si="20"/>
        <v>-5.9901338971106409E-2</v>
      </c>
      <c r="G1149" s="987">
        <v>0</v>
      </c>
      <c r="H1149" s="987">
        <v>1.5E-3</v>
      </c>
      <c r="I1149" s="987">
        <f t="shared" si="19"/>
        <v>-6.140133897110641E-2</v>
      </c>
      <c r="J1149" s="988">
        <f t="shared" si="21"/>
        <v>44409</v>
      </c>
    </row>
    <row r="1150" spans="2:10">
      <c r="B1150" s="988">
        <v>44440</v>
      </c>
      <c r="C1150" s="987" t="s">
        <v>4653</v>
      </c>
      <c r="D1150" s="987" t="s">
        <v>4652</v>
      </c>
      <c r="E1150" s="987">
        <v>61.18</v>
      </c>
      <c r="F1150" s="987">
        <f t="shared" si="20"/>
        <v>-7.3013493253373349E-2</v>
      </c>
      <c r="G1150" s="987">
        <v>0.65</v>
      </c>
      <c r="H1150" s="987">
        <v>1.4E-3</v>
      </c>
      <c r="I1150" s="987">
        <f t="shared" si="19"/>
        <v>-7.4413493253373347E-2</v>
      </c>
      <c r="J1150" s="988">
        <f t="shared" si="21"/>
        <v>44440</v>
      </c>
    </row>
    <row r="1151" spans="2:10">
      <c r="B1151" s="988">
        <v>44470</v>
      </c>
      <c r="C1151" s="987" t="s">
        <v>4653</v>
      </c>
      <c r="D1151" s="987" t="s">
        <v>4652</v>
      </c>
      <c r="E1151" s="987">
        <v>62.76</v>
      </c>
      <c r="F1151" s="987">
        <f t="shared" si="20"/>
        <v>2.5825433148087582E-2</v>
      </c>
      <c r="G1151" s="987">
        <v>0</v>
      </c>
      <c r="H1151" s="987">
        <v>1.5E-3</v>
      </c>
      <c r="I1151" s="987">
        <f t="shared" si="19"/>
        <v>2.4325433148087581E-2</v>
      </c>
      <c r="J1151" s="988">
        <f t="shared" si="21"/>
        <v>44470</v>
      </c>
    </row>
    <row r="1152" spans="2:10">
      <c r="B1152" s="988">
        <v>44501</v>
      </c>
      <c r="C1152" s="987" t="s">
        <v>4653</v>
      </c>
      <c r="D1152" s="987" t="s">
        <v>4652</v>
      </c>
      <c r="E1152" s="987">
        <v>59.85</v>
      </c>
      <c r="F1152" s="987">
        <f t="shared" si="20"/>
        <v>-4.6367112810707406E-2</v>
      </c>
      <c r="G1152" s="987">
        <v>0</v>
      </c>
      <c r="H1152" s="987">
        <v>1.6999999999999999E-3</v>
      </c>
      <c r="I1152" s="987">
        <f t="shared" si="19"/>
        <v>-4.8067112810707406E-2</v>
      </c>
      <c r="J1152" s="988">
        <f t="shared" si="21"/>
        <v>44501</v>
      </c>
    </row>
    <row r="1153" spans="2:10">
      <c r="B1153" s="988">
        <v>44531</v>
      </c>
      <c r="C1153" s="987" t="s">
        <v>4653</v>
      </c>
      <c r="D1153" s="987" t="s">
        <v>4652</v>
      </c>
      <c r="E1153" s="987">
        <v>65.22</v>
      </c>
      <c r="F1153" s="987">
        <f t="shared" si="20"/>
        <v>0.10116959064327481</v>
      </c>
      <c r="G1153" s="987">
        <v>0.68500000000000005</v>
      </c>
      <c r="H1153" s="987">
        <v>1.5E-3</v>
      </c>
      <c r="I1153" s="987">
        <f t="shared" si="19"/>
        <v>9.9669590643274811E-2</v>
      </c>
      <c r="J1153" s="988">
        <f t="shared" si="21"/>
        <v>44531</v>
      </c>
    </row>
    <row r="1154" spans="2:10">
      <c r="B1154" s="988">
        <v>44562</v>
      </c>
      <c r="C1154" s="987" t="s">
        <v>4653</v>
      </c>
      <c r="D1154" s="987" t="s">
        <v>4652</v>
      </c>
      <c r="E1154" s="987">
        <v>65.92</v>
      </c>
      <c r="F1154" s="987">
        <f t="shared" si="20"/>
        <v>1.073290401717269E-2</v>
      </c>
      <c r="G1154" s="987">
        <v>0</v>
      </c>
      <c r="H1154" s="987">
        <v>1.7500000000000003E-3</v>
      </c>
      <c r="I1154" s="987">
        <f t="shared" ref="I1154:I1165" si="22">F1154-H1154</f>
        <v>8.9829040171726902E-3</v>
      </c>
      <c r="J1154" s="988">
        <f t="shared" si="21"/>
        <v>44562</v>
      </c>
    </row>
    <row r="1155" spans="2:10">
      <c r="B1155" s="988">
        <v>44593</v>
      </c>
      <c r="C1155" s="987" t="s">
        <v>4653</v>
      </c>
      <c r="D1155" s="987" t="s">
        <v>4652</v>
      </c>
      <c r="E1155" s="987">
        <v>67.11</v>
      </c>
      <c r="F1155" s="987">
        <f t="shared" si="20"/>
        <v>1.8052184466019382E-2</v>
      </c>
      <c r="G1155" s="987">
        <v>0</v>
      </c>
      <c r="H1155" s="987">
        <v>1.8749999999999999E-3</v>
      </c>
      <c r="I1155" s="987">
        <f t="shared" si="22"/>
        <v>1.617718446601938E-2</v>
      </c>
      <c r="J1155" s="988">
        <f t="shared" si="21"/>
        <v>44593</v>
      </c>
    </row>
    <row r="1156" spans="2:10">
      <c r="B1156" s="988">
        <v>44621</v>
      </c>
      <c r="C1156" s="987" t="s">
        <v>4653</v>
      </c>
      <c r="D1156" s="987" t="s">
        <v>4652</v>
      </c>
      <c r="E1156" s="987">
        <v>71.760000000000005</v>
      </c>
      <c r="F1156" s="987">
        <f t="shared" si="20"/>
        <v>7.9496349277306005E-2</v>
      </c>
      <c r="G1156" s="987">
        <v>0.68500000000000005</v>
      </c>
      <c r="H1156" s="987">
        <v>2.0083333333333333E-3</v>
      </c>
      <c r="I1156" s="987">
        <f t="shared" si="22"/>
        <v>7.7488015943972671E-2</v>
      </c>
      <c r="J1156" s="988">
        <f t="shared" si="21"/>
        <v>44621</v>
      </c>
    </row>
    <row r="1157" spans="2:10">
      <c r="B1157" s="988">
        <v>44652</v>
      </c>
      <c r="C1157" s="987" t="s">
        <v>4653</v>
      </c>
      <c r="D1157" s="987" t="s">
        <v>4652</v>
      </c>
      <c r="E1157" s="987">
        <v>72.75</v>
      </c>
      <c r="F1157" s="987">
        <f t="shared" si="20"/>
        <v>1.3795986622073507E-2</v>
      </c>
      <c r="G1157" s="987">
        <v>0</v>
      </c>
      <c r="H1157" s="987">
        <v>2.3416666666666668E-3</v>
      </c>
      <c r="I1157" s="987">
        <f t="shared" si="22"/>
        <v>1.145431995540684E-2</v>
      </c>
      <c r="J1157" s="988">
        <f t="shared" si="21"/>
        <v>44652</v>
      </c>
    </row>
    <row r="1158" spans="2:10">
      <c r="B1158" s="988">
        <v>44682</v>
      </c>
      <c r="C1158" s="987" t="s">
        <v>4653</v>
      </c>
      <c r="D1158" s="987" t="s">
        <v>4652</v>
      </c>
      <c r="E1158" s="987">
        <v>78.3</v>
      </c>
      <c r="F1158" s="987">
        <f t="shared" si="20"/>
        <v>7.6288659793814398E-2</v>
      </c>
      <c r="G1158" s="987">
        <v>0</v>
      </c>
      <c r="H1158" s="987">
        <v>2.558333333333333E-3</v>
      </c>
      <c r="I1158" s="987">
        <f t="shared" si="22"/>
        <v>7.3730326460481069E-2</v>
      </c>
      <c r="J1158" s="988">
        <f t="shared" si="21"/>
        <v>44682</v>
      </c>
    </row>
    <row r="1159" spans="2:10">
      <c r="B1159" s="988">
        <v>44713</v>
      </c>
      <c r="C1159" s="987" t="s">
        <v>4653</v>
      </c>
      <c r="D1159" s="987" t="s">
        <v>4652</v>
      </c>
      <c r="E1159" s="987">
        <v>74.37</v>
      </c>
      <c r="F1159" s="987">
        <f t="shared" si="20"/>
        <v>-4.1443167305236173E-2</v>
      </c>
      <c r="G1159" s="987">
        <v>0.68500000000000005</v>
      </c>
      <c r="H1159" s="987">
        <v>2.708333333333333E-3</v>
      </c>
      <c r="I1159" s="987">
        <f t="shared" si="22"/>
        <v>-4.4151500638569506E-2</v>
      </c>
      <c r="J1159" s="988">
        <f t="shared" si="21"/>
        <v>44713</v>
      </c>
    </row>
    <row r="1160" spans="2:10">
      <c r="B1160" s="988">
        <v>44743</v>
      </c>
      <c r="C1160" s="987" t="s">
        <v>4653</v>
      </c>
      <c r="D1160" s="987" t="s">
        <v>4652</v>
      </c>
      <c r="E1160" s="987">
        <v>75.239999999999995</v>
      </c>
      <c r="F1160" s="987">
        <f t="shared" si="20"/>
        <v>1.1698265429608582E-2</v>
      </c>
      <c r="G1160" s="987">
        <v>0</v>
      </c>
      <c r="H1160" s="987">
        <v>2.5833333333333337E-3</v>
      </c>
      <c r="I1160" s="987">
        <f t="shared" si="22"/>
        <v>9.1149320962752491E-3</v>
      </c>
      <c r="J1160" s="988">
        <f t="shared" si="21"/>
        <v>44743</v>
      </c>
    </row>
    <row r="1161" spans="2:10">
      <c r="B1161" s="988">
        <v>44774</v>
      </c>
      <c r="C1161" s="987" t="s">
        <v>4653</v>
      </c>
      <c r="D1161" s="987" t="s">
        <v>4652</v>
      </c>
      <c r="E1161" s="987">
        <v>69.89</v>
      </c>
      <c r="F1161" s="987">
        <f t="shared" si="20"/>
        <v>-7.1105794790005242E-2</v>
      </c>
      <c r="G1161" s="987">
        <v>0</v>
      </c>
      <c r="H1161" s="987">
        <v>2.6083333333333332E-3</v>
      </c>
      <c r="I1161" s="987">
        <f t="shared" si="22"/>
        <v>-7.3714128123338579E-2</v>
      </c>
      <c r="J1161" s="988">
        <f t="shared" si="21"/>
        <v>44774</v>
      </c>
    </row>
    <row r="1162" spans="2:10">
      <c r="B1162" s="988">
        <v>44805</v>
      </c>
      <c r="C1162" s="987" t="s">
        <v>4653</v>
      </c>
      <c r="D1162" s="987" t="s">
        <v>4652</v>
      </c>
      <c r="E1162" s="987">
        <v>62.33</v>
      </c>
      <c r="F1162" s="987">
        <f t="shared" si="20"/>
        <v>-9.8368865359851218E-2</v>
      </c>
      <c r="G1162" s="987">
        <v>0.68500000000000005</v>
      </c>
      <c r="H1162" s="987">
        <v>2.9666666666666669E-3</v>
      </c>
      <c r="I1162" s="987">
        <f t="shared" si="22"/>
        <v>-0.10133553202651789</v>
      </c>
      <c r="J1162" s="988">
        <f t="shared" si="21"/>
        <v>44805</v>
      </c>
    </row>
    <row r="1163" spans="2:10">
      <c r="B1163" s="988">
        <v>44835</v>
      </c>
      <c r="C1163" s="987" t="s">
        <v>4653</v>
      </c>
      <c r="D1163" s="987" t="s">
        <v>4652</v>
      </c>
      <c r="E1163" s="987">
        <v>69.81</v>
      </c>
      <c r="F1163" s="987">
        <f t="shared" si="20"/>
        <v>0.12000641745547896</v>
      </c>
      <c r="G1163" s="987">
        <v>0</v>
      </c>
      <c r="H1163" s="987">
        <v>3.3666666666666667E-3</v>
      </c>
      <c r="I1163" s="987">
        <f t="shared" si="22"/>
        <v>0.11663975078881229</v>
      </c>
      <c r="J1163" s="988">
        <f t="shared" si="21"/>
        <v>44835</v>
      </c>
    </row>
    <row r="1164" spans="2:10">
      <c r="B1164" s="988">
        <v>44866</v>
      </c>
      <c r="C1164" s="987" t="s">
        <v>4653</v>
      </c>
      <c r="D1164" s="987" t="s">
        <v>4652</v>
      </c>
      <c r="E1164" s="987">
        <v>74.099999999999994</v>
      </c>
      <c r="F1164" s="987">
        <f t="shared" si="20"/>
        <v>6.1452513966480334E-2</v>
      </c>
      <c r="G1164" s="987">
        <v>0</v>
      </c>
      <c r="H1164" s="987">
        <v>3.3333333333333331E-3</v>
      </c>
      <c r="I1164" s="987">
        <f t="shared" si="22"/>
        <v>5.8119180633147E-2</v>
      </c>
      <c r="J1164" s="988">
        <f t="shared" si="21"/>
        <v>44866</v>
      </c>
    </row>
    <row r="1165" spans="2:10">
      <c r="B1165" s="988">
        <v>44896</v>
      </c>
      <c r="C1165" s="987" t="s">
        <v>4653</v>
      </c>
      <c r="D1165" s="987" t="s">
        <v>4652</v>
      </c>
      <c r="E1165" s="987">
        <v>68.86</v>
      </c>
      <c r="F1165" s="987">
        <f t="shared" si="20"/>
        <v>-6.0998650472334624E-2</v>
      </c>
      <c r="G1165" s="987">
        <v>0.72</v>
      </c>
      <c r="H1165" s="987">
        <v>3.0499999999999998E-3</v>
      </c>
      <c r="I1165" s="987">
        <f t="shared" si="22"/>
        <v>-6.4048650472334628E-2</v>
      </c>
      <c r="J1165" s="988">
        <f t="shared" si="21"/>
        <v>44896</v>
      </c>
    </row>
  </sheetData>
  <conditionalFormatting sqref="E2:E1036">
    <cfRule type="cellIs" dxfId="1" priority="1" stopIfTrue="1" operator="lessThan">
      <formula>0</formula>
    </cfRule>
  </conditionalFormatting>
  <conditionalFormatting sqref="F2:F1025">
    <cfRule type="cellIs" dxfId="0" priority="2" stopIfTrue="1" operator="lessThan">
      <formula>-1</formula>
    </cfRule>
  </conditionalFormatting>
  <pageMargins left="0.70000000000000007" right="0.70000000000000007" top="0.75" bottom="0.75" header="0.30000000000000004" footer="0.30000000000000004"/>
  <pageSetup scale="97"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54"/>
  <sheetViews>
    <sheetView view="pageBreakPreview" zoomScale="70" zoomScaleNormal="70" zoomScaleSheetLayoutView="70" workbookViewId="0"/>
  </sheetViews>
  <sheetFormatPr defaultColWidth="9" defaultRowHeight="20.399999999999999"/>
  <cols>
    <col min="1" max="1" width="9" style="196"/>
    <col min="2" max="2" width="48" style="765" customWidth="1"/>
    <col min="3" max="3" width="2.6640625" style="765" customWidth="1"/>
    <col min="4" max="4" width="12.6640625" style="765" bestFit="1" customWidth="1"/>
    <col min="5" max="5" width="3.88671875" style="765" customWidth="1"/>
    <col min="6" max="6" width="13.44140625" style="765" bestFit="1" customWidth="1"/>
    <col min="7" max="7" width="3.88671875" style="765" customWidth="1"/>
    <col min="8" max="8" width="12.6640625" style="784" customWidth="1"/>
    <col min="9" max="9" width="3.88671875" style="765" customWidth="1"/>
    <col min="10" max="10" width="12.6640625" style="784" bestFit="1" customWidth="1"/>
    <col min="11" max="11" width="3.88671875" style="765" customWidth="1"/>
    <col min="12" max="12" width="12.6640625" style="784" bestFit="1" customWidth="1"/>
    <col min="13" max="13" width="3.88671875" style="765" customWidth="1"/>
    <col min="14" max="14" width="13.109375" style="765" bestFit="1" customWidth="1"/>
    <col min="15" max="15" width="3.88671875" style="765" customWidth="1"/>
    <col min="16" max="16" width="9" style="196"/>
    <col min="17" max="17" width="10.33203125" style="196" customWidth="1"/>
    <col min="18" max="20" width="9" style="196" customWidth="1"/>
    <col min="21" max="16384" width="9" style="196"/>
  </cols>
  <sheetData>
    <row r="1" spans="1:19">
      <c r="B1" s="764" t="s">
        <v>4102</v>
      </c>
      <c r="C1" s="764"/>
      <c r="D1" s="764"/>
      <c r="E1" s="764"/>
      <c r="F1" s="764"/>
      <c r="G1" s="764"/>
      <c r="H1" s="783"/>
      <c r="I1" s="764"/>
      <c r="J1" s="783"/>
      <c r="K1" s="764"/>
      <c r="L1" s="783"/>
      <c r="M1" s="764"/>
      <c r="N1" s="764"/>
      <c r="O1" s="764"/>
    </row>
    <row r="2" spans="1:19">
      <c r="B2" s="764" t="str">
        <f>Input!I30</f>
        <v>Proxy Group of Six Natural Gas Companies</v>
      </c>
      <c r="C2" s="764"/>
      <c r="D2" s="764"/>
      <c r="E2" s="764"/>
      <c r="F2" s="764"/>
      <c r="G2" s="764"/>
      <c r="H2" s="783"/>
      <c r="I2" s="764"/>
      <c r="J2" s="783"/>
      <c r="K2" s="764"/>
      <c r="L2" s="783"/>
      <c r="M2" s="764"/>
      <c r="N2" s="764"/>
      <c r="O2" s="764"/>
    </row>
    <row r="3" spans="1:19">
      <c r="B3" s="764" t="str">
        <f>'2.1 GasProxy CapStr Summary'!C3</f>
        <v>2017 - 2021, Inclusive</v>
      </c>
      <c r="C3" s="764"/>
      <c r="D3" s="764"/>
      <c r="E3" s="764"/>
      <c r="F3" s="764"/>
      <c r="G3" s="764"/>
      <c r="H3" s="783"/>
      <c r="I3" s="764"/>
      <c r="J3" s="783"/>
      <c r="K3" s="764"/>
      <c r="L3" s="783"/>
      <c r="M3" s="764"/>
      <c r="N3" s="764"/>
      <c r="O3" s="764"/>
    </row>
    <row r="4" spans="1:19">
      <c r="B4" s="764"/>
      <c r="C4" s="764"/>
      <c r="D4" s="764"/>
      <c r="E4" s="764"/>
      <c r="F4" s="764"/>
      <c r="G4" s="764"/>
      <c r="H4" s="783"/>
      <c r="I4" s="764"/>
      <c r="J4" s="783"/>
      <c r="K4" s="764"/>
      <c r="L4" s="783"/>
      <c r="M4" s="764"/>
      <c r="N4" s="764"/>
      <c r="O4" s="764"/>
    </row>
    <row r="5" spans="1:19">
      <c r="B5" s="764"/>
      <c r="C5" s="764"/>
      <c r="D5" s="764"/>
      <c r="E5" s="764"/>
      <c r="F5" s="764"/>
      <c r="G5" s="764"/>
      <c r="H5" s="783"/>
      <c r="I5" s="764"/>
      <c r="J5" s="783"/>
      <c r="K5" s="764"/>
      <c r="L5" s="783"/>
      <c r="M5" s="764"/>
      <c r="N5" s="766" t="s">
        <v>4421</v>
      </c>
      <c r="O5" s="764"/>
    </row>
    <row r="6" spans="1:19">
      <c r="D6" s="766">
        <v>2021</v>
      </c>
      <c r="E6" s="772"/>
      <c r="F6" s="766">
        <f>D6-1</f>
        <v>2020</v>
      </c>
      <c r="G6" s="772"/>
      <c r="H6" s="766">
        <f>F6-1</f>
        <v>2019</v>
      </c>
      <c r="I6" s="766"/>
      <c r="J6" s="766">
        <f>H6-1</f>
        <v>2018</v>
      </c>
      <c r="K6" s="766"/>
      <c r="L6" s="766">
        <f>J6-1</f>
        <v>2017</v>
      </c>
      <c r="N6" s="766" t="s">
        <v>80</v>
      </c>
    </row>
    <row r="8" spans="1:19">
      <c r="A8" s="196" t="str">
        <f>Input!A2</f>
        <v>ATO</v>
      </c>
      <c r="B8" s="767" t="str">
        <f>VLOOKUP($A8,'Proxy Data Lookup'!$A$2:$B$8,2,FALSE)</f>
        <v>Atmos Energy Corporation</v>
      </c>
    </row>
    <row r="9" spans="1:19">
      <c r="B9" s="765" t="s">
        <v>4601</v>
      </c>
      <c r="D9" s="784">
        <f>ROUND(('3. ATO'!C$12/'3. ATO'!C$50)*100,2)</f>
        <v>39.35</v>
      </c>
      <c r="E9" s="785" t="s">
        <v>18</v>
      </c>
      <c r="F9" s="784">
        <f>ROUND(('3. ATO'!E$12/'3. ATO'!E$50)*100,2)</f>
        <v>40.020000000000003</v>
      </c>
      <c r="G9" s="785" t="s">
        <v>18</v>
      </c>
      <c r="H9" s="784">
        <f>ROUND(('3. ATO'!G$12/'3. ATO'!G$50)*100,2)</f>
        <v>38.03</v>
      </c>
      <c r="I9" s="785" t="s">
        <v>18</v>
      </c>
      <c r="J9" s="784">
        <f>ROUND(('3. ATO'!I$12/'3. ATO'!I$50)*100,2)</f>
        <v>39.15</v>
      </c>
      <c r="K9" s="785" t="s">
        <v>18</v>
      </c>
      <c r="L9" s="784">
        <f>ROUND(('3. ATO'!K$12/'3. ATO'!K$50)*100,2)</f>
        <v>44.03</v>
      </c>
      <c r="M9" s="785" t="s">
        <v>18</v>
      </c>
      <c r="N9" s="784">
        <f>ROUND(AVERAGE(D9,F9,H9,J9,L9),2)</f>
        <v>40.119999999999997</v>
      </c>
      <c r="O9" s="786" t="s">
        <v>18</v>
      </c>
      <c r="Q9" s="381"/>
      <c r="R9" s="196" t="s">
        <v>4444</v>
      </c>
      <c r="S9" s="343">
        <f>MIN(D11,D17,D29,D35,D23,D41)</f>
        <v>33.36</v>
      </c>
    </row>
    <row r="10" spans="1:19">
      <c r="B10" s="765" t="s">
        <v>4103</v>
      </c>
      <c r="D10" s="784">
        <f>ROUND(('3. ATO'!C$13/'3. ATO'!C$50)*100,2)</f>
        <v>0</v>
      </c>
      <c r="E10" s="787"/>
      <c r="F10" s="784">
        <f>ROUND(('3. ATO'!E$13/'3. ATO'!E$50)*100,2)</f>
        <v>0</v>
      </c>
      <c r="G10" s="787"/>
      <c r="H10" s="784">
        <f>ROUND(('3. ATO'!G$13/'3. ATO'!G$50)*100,2)</f>
        <v>0</v>
      </c>
      <c r="I10" s="787"/>
      <c r="J10" s="784">
        <f>ROUND(('3. ATO'!I$13/'3. ATO'!I$50)*100,2)</f>
        <v>0</v>
      </c>
      <c r="K10" s="787"/>
      <c r="L10" s="784">
        <f>ROUND(('3. ATO'!K$13/'3. ATO'!K$50)*100,2)</f>
        <v>0</v>
      </c>
      <c r="M10" s="787"/>
      <c r="N10" s="784">
        <f>ROUND(AVERAGE(D10,F10,H10,J10,L10),2)</f>
        <v>0</v>
      </c>
      <c r="Q10" s="381"/>
      <c r="R10" s="196" t="s">
        <v>4119</v>
      </c>
      <c r="S10" s="343">
        <f>MAX(D11,D17,D29,D35,D23,D41)</f>
        <v>60.65</v>
      </c>
    </row>
    <row r="11" spans="1:19">
      <c r="B11" s="765" t="s">
        <v>10</v>
      </c>
      <c r="D11" s="788">
        <f>ROUND(('3. ATO'!C$16/'3. ATO'!C$50)*100,2)</f>
        <v>60.65</v>
      </c>
      <c r="E11" s="787"/>
      <c r="F11" s="788">
        <f>ROUND(('3. ATO'!E$16/'3. ATO'!E$50)*100,2)</f>
        <v>59.98</v>
      </c>
      <c r="G11" s="787"/>
      <c r="H11" s="788">
        <f>ROUND(('3. ATO'!G$16/'3. ATO'!G$50)*100,2)</f>
        <v>61.97</v>
      </c>
      <c r="I11" s="787"/>
      <c r="J11" s="788">
        <f>ROUND(('3. ATO'!I$16/'3. ATO'!I$50)*100,2)</f>
        <v>60.85</v>
      </c>
      <c r="K11" s="787"/>
      <c r="L11" s="788">
        <f>ROUND(('3. ATO'!K$16/'3. ATO'!K$50)*100,2)</f>
        <v>55.97</v>
      </c>
      <c r="M11" s="787"/>
      <c r="N11" s="784">
        <f>ROUND(AVERAGE(D11,F11,H11,J11,L11),2)</f>
        <v>59.88</v>
      </c>
      <c r="Q11" s="381"/>
      <c r="S11" s="343"/>
    </row>
    <row r="12" spans="1:19" ht="21" thickBot="1">
      <c r="B12" s="765" t="s">
        <v>4104</v>
      </c>
      <c r="D12" s="789">
        <f>SUM(D9:D11)</f>
        <v>100</v>
      </c>
      <c r="E12" s="790" t="s">
        <v>18</v>
      </c>
      <c r="F12" s="789">
        <f>SUM(F9:F11)</f>
        <v>100</v>
      </c>
      <c r="G12" s="790" t="s">
        <v>18</v>
      </c>
      <c r="H12" s="789">
        <f>SUM(H9:H11)</f>
        <v>100</v>
      </c>
      <c r="I12" s="790" t="s">
        <v>18</v>
      </c>
      <c r="J12" s="789">
        <f>SUM(J9:J11)</f>
        <v>100</v>
      </c>
      <c r="K12" s="790" t="s">
        <v>18</v>
      </c>
      <c r="L12" s="789">
        <f>SUM(L9:L11)</f>
        <v>100</v>
      </c>
      <c r="M12" s="790" t="s">
        <v>18</v>
      </c>
      <c r="N12" s="791">
        <f>SUM(N9:N11)</f>
        <v>100</v>
      </c>
      <c r="O12" s="786" t="s">
        <v>18</v>
      </c>
      <c r="Q12" s="381"/>
      <c r="S12" s="343"/>
    </row>
    <row r="13" spans="1:19" ht="21" thickTop="1">
      <c r="D13" s="770"/>
      <c r="E13" s="790"/>
      <c r="F13" s="770"/>
      <c r="G13" s="790"/>
      <c r="H13" s="770"/>
      <c r="I13" s="790"/>
      <c r="J13" s="770"/>
      <c r="K13" s="790"/>
      <c r="L13" s="770"/>
      <c r="M13" s="790"/>
      <c r="N13" s="784"/>
      <c r="O13" s="786"/>
      <c r="Q13" s="381"/>
    </row>
    <row r="14" spans="1:19">
      <c r="A14" s="196" t="str">
        <f>Input!A3</f>
        <v>NJR</v>
      </c>
      <c r="B14" s="767" t="str">
        <f>VLOOKUP($A14,'Proxy Data Lookup'!$A$2:$B$8,2,FALSE)</f>
        <v>New Jersey Resources Corporation</v>
      </c>
      <c r="D14" s="770"/>
      <c r="F14" s="770"/>
      <c r="H14" s="770"/>
      <c r="J14" s="770"/>
      <c r="L14" s="770"/>
      <c r="N14" s="784"/>
    </row>
    <row r="15" spans="1:19">
      <c r="B15" s="765" t="s">
        <v>4056</v>
      </c>
      <c r="D15" s="784">
        <f>ROUND(('3. NJR'!C$12/'3. NJR'!C$50)*100,2)</f>
        <v>57.81</v>
      </c>
      <c r="E15" s="785" t="s">
        <v>18</v>
      </c>
      <c r="F15" s="784">
        <f>ROUND(('3. NJR'!E$12/'3. NJR'!E$50)*100,2)</f>
        <v>55.35</v>
      </c>
      <c r="G15" s="785" t="s">
        <v>18</v>
      </c>
      <c r="H15" s="784">
        <f>ROUND(('3. NJR'!G$12/'3. NJR'!G$50)*100,2)</f>
        <v>50.11</v>
      </c>
      <c r="I15" s="785" t="s">
        <v>18</v>
      </c>
      <c r="J15" s="784">
        <f>ROUND(('3. NJR'!I$12/'3. NJR'!I$50)*100,2)</f>
        <v>47.89</v>
      </c>
      <c r="K15" s="785" t="s">
        <v>18</v>
      </c>
      <c r="L15" s="784">
        <f>ROUND(('3. NJR'!K$12/'3. NJR'!K$50)*100,2)</f>
        <v>48.45</v>
      </c>
      <c r="M15" s="785" t="s">
        <v>18</v>
      </c>
      <c r="N15" s="784">
        <f>ROUND(AVERAGE(D15,F15,H15,J15,L15),2)</f>
        <v>51.92</v>
      </c>
      <c r="O15" s="786" t="s">
        <v>18</v>
      </c>
    </row>
    <row r="16" spans="1:19">
      <c r="B16" s="765" t="s">
        <v>4103</v>
      </c>
      <c r="D16" s="784">
        <f>ROUND(('3. NJR'!C$13/'3. NJR'!C$50)*100,2)</f>
        <v>0</v>
      </c>
      <c r="E16" s="787"/>
      <c r="F16" s="784">
        <f>ROUND(('3. NJR'!E$13/'3. NJR'!E$50)*100,2)</f>
        <v>0</v>
      </c>
      <c r="G16" s="787"/>
      <c r="H16" s="784">
        <f>ROUND(('3. NJR'!G$13/'3. NJR'!G$50)*100,2)</f>
        <v>0</v>
      </c>
      <c r="I16" s="787"/>
      <c r="J16" s="784">
        <f>ROUND(('3. NJR'!I$13/'3. NJR'!I$50)*100,2)</f>
        <v>0</v>
      </c>
      <c r="K16" s="787"/>
      <c r="L16" s="784">
        <f>ROUND(('3. NJR'!K$13/'3. NJR'!K$50)*100,2)</f>
        <v>0</v>
      </c>
      <c r="M16" s="787"/>
      <c r="N16" s="784">
        <f>ROUND(AVERAGE(D16,F16,H16,J16,L16),2)</f>
        <v>0</v>
      </c>
    </row>
    <row r="17" spans="1:15">
      <c r="B17" s="765" t="s">
        <v>10</v>
      </c>
      <c r="D17" s="788">
        <f>ROUND(('3. NJR'!C$16/'3. NJR'!C$50)*100,2)</f>
        <v>42.19</v>
      </c>
      <c r="E17" s="787"/>
      <c r="F17" s="788">
        <f>ROUND(('3. NJR'!E$16/'3. NJR'!E$50)*100,2)</f>
        <v>44.65</v>
      </c>
      <c r="G17" s="787"/>
      <c r="H17" s="788">
        <f>ROUND(('3. NJR'!G$16/'3. NJR'!G$50)*100,2)</f>
        <v>49.89</v>
      </c>
      <c r="I17" s="787"/>
      <c r="J17" s="788">
        <f>ROUND(('3. NJR'!I$16/'3. NJR'!I$50)*100,2)</f>
        <v>52.11</v>
      </c>
      <c r="K17" s="787"/>
      <c r="L17" s="788">
        <f>ROUND(('3. NJR'!K$16/'3. NJR'!K$50)*100,2)</f>
        <v>51.55</v>
      </c>
      <c r="M17" s="787"/>
      <c r="N17" s="784">
        <f>ROUND(AVERAGE(D17,F17,H17,J17,L17),2)</f>
        <v>48.08</v>
      </c>
    </row>
    <row r="18" spans="1:15" ht="21" thickBot="1">
      <c r="B18" s="765" t="s">
        <v>4104</v>
      </c>
      <c r="D18" s="789">
        <f>SUM(D15:D17)</f>
        <v>100</v>
      </c>
      <c r="E18" s="790" t="s">
        <v>18</v>
      </c>
      <c r="F18" s="789">
        <f>SUM(F15:F17)</f>
        <v>100</v>
      </c>
      <c r="G18" s="790" t="s">
        <v>18</v>
      </c>
      <c r="H18" s="789">
        <f>SUM(H15:H17)</f>
        <v>100</v>
      </c>
      <c r="I18" s="790" t="s">
        <v>18</v>
      </c>
      <c r="J18" s="789">
        <f>SUM(J15:J17)</f>
        <v>100</v>
      </c>
      <c r="K18" s="790" t="s">
        <v>18</v>
      </c>
      <c r="L18" s="789">
        <f>SUM(L15:L17)</f>
        <v>100</v>
      </c>
      <c r="M18" s="790" t="s">
        <v>18</v>
      </c>
      <c r="N18" s="791">
        <f>SUM(N15:N17)</f>
        <v>100</v>
      </c>
      <c r="O18" s="786" t="s">
        <v>18</v>
      </c>
    </row>
    <row r="19" spans="1:15" ht="21" thickTop="1">
      <c r="D19" s="770"/>
      <c r="E19" s="790"/>
      <c r="F19" s="770"/>
      <c r="G19" s="790"/>
      <c r="H19" s="770"/>
      <c r="I19" s="790"/>
      <c r="J19" s="770"/>
      <c r="K19" s="790"/>
      <c r="L19" s="770"/>
      <c r="M19" s="790"/>
      <c r="N19" s="784"/>
      <c r="O19" s="786"/>
    </row>
    <row r="20" spans="1:15">
      <c r="A20" s="196" t="s">
        <v>214</v>
      </c>
      <c r="B20" s="767" t="str">
        <f>VLOOKUP($A20,'Proxy Data Lookup'!$A$2:$B$8,2,FALSE)</f>
        <v>NiSource Inc.</v>
      </c>
    </row>
    <row r="21" spans="1:15">
      <c r="B21" s="765" t="s">
        <v>4056</v>
      </c>
      <c r="D21" s="784">
        <f>ROUND(('3. NI'!C$12/'3. NI'!C$50)*100,2)</f>
        <v>57.09</v>
      </c>
      <c r="E21" s="785" t="s">
        <v>18</v>
      </c>
      <c r="F21" s="784">
        <f>ROUND(('3. NI'!E$12/'3. NI'!E$50)*100,2)</f>
        <v>61.64</v>
      </c>
      <c r="G21" s="785" t="s">
        <v>18</v>
      </c>
      <c r="H21" s="784">
        <f>ROUND(('3. NI'!G$12/'3. NI'!G$50)*100,4)</f>
        <v>56.794400000000003</v>
      </c>
      <c r="I21" s="785" t="s">
        <v>18</v>
      </c>
      <c r="J21" s="784">
        <f>ROUND(('3. NI'!I$12/'3. NI'!I$50)*100,2)</f>
        <v>55.44</v>
      </c>
      <c r="K21" s="785" t="s">
        <v>18</v>
      </c>
      <c r="L21" s="784">
        <f>ROUND(('3. NI'!K$12/'3. NI'!K$50)*100,2)</f>
        <v>64.349999999999994</v>
      </c>
      <c r="M21" s="785" t="s">
        <v>18</v>
      </c>
      <c r="N21" s="784">
        <f>ROUND(AVERAGE(D21,F21,H21,J21,L21),2)</f>
        <v>59.06</v>
      </c>
      <c r="O21" s="786" t="s">
        <v>18</v>
      </c>
    </row>
    <row r="22" spans="1:15">
      <c r="B22" s="765" t="s">
        <v>4103</v>
      </c>
      <c r="D22" s="784">
        <f>ROUND(('3. NI'!C$13/'3. NI'!C$50)*100,2)</f>
        <v>9.5500000000000007</v>
      </c>
      <c r="E22" s="787"/>
      <c r="F22" s="784">
        <f>ROUND(('3. NI'!E$13/'3. NI'!E$50)*100,2)</f>
        <v>5.87</v>
      </c>
      <c r="G22" s="787"/>
      <c r="H22" s="784">
        <f>ROUND(('3. NI'!G$13/'3. NI'!G$50)*100,4)</f>
        <v>6.3509000000000002</v>
      </c>
      <c r="I22" s="787"/>
      <c r="J22" s="784">
        <f>ROUND(('3. NI'!I$13/'3. NI'!I$50)*100,2)</f>
        <v>6.82</v>
      </c>
      <c r="K22" s="787"/>
      <c r="L22" s="784">
        <f>ROUND(('3. NI'!K$13/'3. NI'!K$50)*100,2)</f>
        <v>0</v>
      </c>
      <c r="M22" s="787"/>
      <c r="N22" s="784">
        <f>ROUND(AVERAGE(D22,F22,H22,J22,L22),2)</f>
        <v>5.72</v>
      </c>
    </row>
    <row r="23" spans="1:15">
      <c r="B23" s="765" t="s">
        <v>10</v>
      </c>
      <c r="D23" s="788">
        <f>ROUND(('3. NI'!C$16/'3. NI'!C$50)*100,2)</f>
        <v>33.36</v>
      </c>
      <c r="E23" s="787"/>
      <c r="F23" s="788">
        <f>ROUND(('3. NI'!E$16/'3. NI'!E$50)*100,2)</f>
        <v>32.49</v>
      </c>
      <c r="G23" s="787"/>
      <c r="H23" s="788">
        <f>ROUND(('3. NI'!G$16/'3. NI'!G$50)*100,4)</f>
        <v>36.854700000000001</v>
      </c>
      <c r="I23" s="787"/>
      <c r="J23" s="788">
        <f>ROUND(('3. NI'!I$16/'3. NI'!I$50)*100,2)</f>
        <v>37.74</v>
      </c>
      <c r="K23" s="787"/>
      <c r="L23" s="788">
        <f>ROUND(('3. NI'!K$16/'3. NI'!K$50)*100,2)</f>
        <v>35.65</v>
      </c>
      <c r="M23" s="787"/>
      <c r="N23" s="784">
        <f>ROUND(AVERAGE(D23,F23,H23,J23,L23),2)</f>
        <v>35.22</v>
      </c>
    </row>
    <row r="24" spans="1:15" ht="21" thickBot="1">
      <c r="B24" s="765" t="s">
        <v>4104</v>
      </c>
      <c r="D24" s="789">
        <f>SUM(D21:D23)</f>
        <v>100</v>
      </c>
      <c r="E24" s="790" t="s">
        <v>18</v>
      </c>
      <c r="F24" s="789">
        <f>SUM(F21:F23)</f>
        <v>100</v>
      </c>
      <c r="G24" s="790" t="s">
        <v>18</v>
      </c>
      <c r="H24" s="789">
        <f>SUM(H21:H23)</f>
        <v>100</v>
      </c>
      <c r="I24" s="790" t="s">
        <v>18</v>
      </c>
      <c r="J24" s="789">
        <f>SUM(J21:J23)</f>
        <v>100</v>
      </c>
      <c r="K24" s="790" t="s">
        <v>18</v>
      </c>
      <c r="L24" s="789">
        <f>SUM(L21:L23)</f>
        <v>100</v>
      </c>
      <c r="M24" s="790" t="s">
        <v>18</v>
      </c>
      <c r="N24" s="791">
        <f>SUM(N21:N23)</f>
        <v>100</v>
      </c>
      <c r="O24" s="786" t="s">
        <v>18</v>
      </c>
    </row>
    <row r="25" spans="1:15" ht="21" thickTop="1">
      <c r="D25" s="770"/>
      <c r="E25" s="790"/>
      <c r="F25" s="770"/>
      <c r="G25" s="790"/>
      <c r="H25" s="770"/>
      <c r="I25" s="790"/>
      <c r="J25" s="770"/>
      <c r="K25" s="790"/>
      <c r="L25" s="770"/>
      <c r="M25" s="790"/>
      <c r="N25" s="784"/>
      <c r="O25" s="786"/>
    </row>
    <row r="26" spans="1:15">
      <c r="A26" s="196" t="s">
        <v>3052</v>
      </c>
      <c r="B26" s="767" t="str">
        <f>VLOOKUP($A26,'Proxy Data Lookup'!$A$2:$B$8,2,FALSE)</f>
        <v>Northwest Natural Holding Company</v>
      </c>
      <c r="D26" s="770"/>
      <c r="F26" s="770"/>
      <c r="H26" s="770"/>
      <c r="J26" s="770"/>
      <c r="L26" s="770"/>
      <c r="N26" s="784"/>
    </row>
    <row r="27" spans="1:15">
      <c r="B27" s="765" t="s">
        <v>4601</v>
      </c>
      <c r="D27" s="784">
        <f>ROUND(('3. NWN'!C$12/'3. NWN'!C$50)*100,2)</f>
        <v>52.12</v>
      </c>
      <c r="E27" s="785" t="s">
        <v>18</v>
      </c>
      <c r="F27" s="784">
        <f>ROUND(('3. NWN'!E$12/'3. NWN'!E$50)*100,2)</f>
        <v>51.81</v>
      </c>
      <c r="G27" s="785" t="s">
        <v>18</v>
      </c>
      <c r="H27" s="784">
        <f>ROUND(('3. NWN'!G$12/'3. NWN'!G$50)*100,2)</f>
        <v>50.43</v>
      </c>
      <c r="I27" s="785" t="s">
        <v>18</v>
      </c>
      <c r="J27" s="784">
        <f>ROUND(('3. NWN'!I$12/'3. NWN'!I$50)*100,2)</f>
        <v>49.12</v>
      </c>
      <c r="K27" s="785" t="s">
        <v>18</v>
      </c>
      <c r="L27" s="784">
        <f>ROUND(('3. NWN'!K$12/'3. NWN'!K$50)*100,2)</f>
        <v>51.22</v>
      </c>
      <c r="M27" s="785" t="s">
        <v>18</v>
      </c>
      <c r="N27" s="784">
        <f>ROUND(AVERAGE(D27,F27,H27,J27,L27),2)</f>
        <v>50.94</v>
      </c>
      <c r="O27" s="786" t="s">
        <v>18</v>
      </c>
    </row>
    <row r="28" spans="1:15">
      <c r="B28" s="765" t="s">
        <v>4103</v>
      </c>
      <c r="D28" s="784">
        <f>ROUND(('3. NWN'!C$13/'3. NWN'!C$50)*100,2)</f>
        <v>0</v>
      </c>
      <c r="E28" s="787"/>
      <c r="F28" s="784">
        <f>ROUND(('3. NWN'!E$13/'3. NWN'!E$50)*100,2)</f>
        <v>0</v>
      </c>
      <c r="G28" s="787"/>
      <c r="H28" s="784">
        <f>ROUND(('3. NWN'!G$13/'3. NWN'!G$50)*100,2)</f>
        <v>0</v>
      </c>
      <c r="I28" s="787"/>
      <c r="J28" s="784">
        <f>ROUND(('3. NWN'!I$13/'3. NWN'!I$50)*100,2)</f>
        <v>0</v>
      </c>
      <c r="K28" s="787"/>
      <c r="L28" s="784">
        <f>ROUND(('3. NWN'!K$13/'3. NWN'!K$50)*100,2)</f>
        <v>0</v>
      </c>
      <c r="M28" s="787"/>
      <c r="N28" s="784">
        <f>ROUND(AVERAGE(D28,F28,H28,J28,L28),2)</f>
        <v>0</v>
      </c>
    </row>
    <row r="29" spans="1:15">
      <c r="B29" s="765" t="s">
        <v>10</v>
      </c>
      <c r="D29" s="788">
        <f>ROUND(('3. NWN'!C$16/'3. NWN'!C$50)*100,2)</f>
        <v>47.88</v>
      </c>
      <c r="E29" s="787"/>
      <c r="F29" s="788">
        <f>ROUND(('3. NWN'!E$16/'3. NWN'!E$50)*100,2)</f>
        <v>48.19</v>
      </c>
      <c r="G29" s="787"/>
      <c r="H29" s="788">
        <f>ROUND(('3. NWN'!G$16/'3. NWN'!G$50)*100,2)</f>
        <v>49.57</v>
      </c>
      <c r="I29" s="787"/>
      <c r="J29" s="788">
        <f>ROUND(('3. NWN'!I$16/'3. NWN'!I$50)*100,2)</f>
        <v>50.88</v>
      </c>
      <c r="K29" s="787"/>
      <c r="L29" s="788">
        <f>ROUND(('3. NWN'!K$16/'3. NWN'!K$50)*100,2)</f>
        <v>48.78</v>
      </c>
      <c r="M29" s="787"/>
      <c r="N29" s="784">
        <f>ROUND(AVERAGE(D29,F29,H29,J29,L29),2)</f>
        <v>49.06</v>
      </c>
    </row>
    <row r="30" spans="1:15" ht="21" thickBot="1">
      <c r="B30" s="765" t="s">
        <v>4104</v>
      </c>
      <c r="D30" s="789">
        <f>SUM(D27:D29)</f>
        <v>100</v>
      </c>
      <c r="E30" s="790" t="s">
        <v>18</v>
      </c>
      <c r="F30" s="789">
        <f>SUM(F27:F29)</f>
        <v>100</v>
      </c>
      <c r="G30" s="790" t="s">
        <v>18</v>
      </c>
      <c r="H30" s="789">
        <f>SUM(H27:H29)</f>
        <v>100</v>
      </c>
      <c r="I30" s="790" t="s">
        <v>18</v>
      </c>
      <c r="J30" s="789">
        <f>SUM(J27:J29)</f>
        <v>100</v>
      </c>
      <c r="K30" s="790" t="s">
        <v>18</v>
      </c>
      <c r="L30" s="789">
        <f>SUM(L27:L29)</f>
        <v>100</v>
      </c>
      <c r="M30" s="790" t="s">
        <v>18</v>
      </c>
      <c r="N30" s="791">
        <f>SUM(N27:N29)</f>
        <v>100</v>
      </c>
      <c r="O30" s="786" t="s">
        <v>18</v>
      </c>
    </row>
    <row r="31" spans="1:15" ht="21" thickTop="1">
      <c r="D31" s="770"/>
      <c r="E31" s="790"/>
      <c r="F31" s="770"/>
      <c r="G31" s="790"/>
      <c r="H31" s="770"/>
      <c r="I31" s="790"/>
      <c r="J31" s="770"/>
      <c r="K31" s="790"/>
      <c r="L31" s="770"/>
      <c r="M31" s="790"/>
      <c r="N31" s="784"/>
      <c r="O31" s="786"/>
    </row>
    <row r="32" spans="1:15">
      <c r="A32" s="196" t="s">
        <v>3053</v>
      </c>
      <c r="B32" s="767" t="str">
        <f>VLOOKUP($A32,'Proxy Data Lookup'!$A$2:$B$8,2,FALSE)</f>
        <v>ONE Gas, Inc.</v>
      </c>
      <c r="D32" s="770"/>
      <c r="F32" s="770"/>
      <c r="H32" s="770"/>
      <c r="J32" s="770"/>
      <c r="L32" s="770"/>
      <c r="N32" s="784"/>
    </row>
    <row r="33" spans="1:15">
      <c r="B33" s="765" t="s">
        <v>4601</v>
      </c>
      <c r="D33" s="784">
        <f>ROUND(('3. OGS'!C$12/'3. OGS'!C$50)*100,2)</f>
        <v>41.74</v>
      </c>
      <c r="E33" s="785" t="s">
        <v>18</v>
      </c>
      <c r="F33" s="784">
        <f>ROUND(('3. OGS'!E$12/'3. OGS'!E$50)*100,2)</f>
        <v>41.76</v>
      </c>
      <c r="G33" s="785" t="s">
        <v>18</v>
      </c>
      <c r="H33" s="784">
        <f>ROUND(('3. OGS'!G$12/'3. OGS'!G$50)*100,2)</f>
        <v>37.65</v>
      </c>
      <c r="I33" s="785" t="s">
        <v>18</v>
      </c>
      <c r="J33" s="784">
        <f>ROUND(('3. OGS'!I$12/'3. OGS'!I$50)*100,2)</f>
        <v>38.619999999999997</v>
      </c>
      <c r="K33" s="785" t="s">
        <v>18</v>
      </c>
      <c r="L33" s="784">
        <f>ROUND(('3. OGS'!K$12/'3. OGS'!K$50)*100,2)</f>
        <v>37.840000000000003</v>
      </c>
      <c r="M33" s="785" t="s">
        <v>18</v>
      </c>
      <c r="N33" s="784">
        <f>ROUND(AVERAGE(D33,F33,H33,J33,L33),2)</f>
        <v>39.520000000000003</v>
      </c>
      <c r="O33" s="786" t="s">
        <v>18</v>
      </c>
    </row>
    <row r="34" spans="1:15">
      <c r="B34" s="765" t="s">
        <v>4103</v>
      </c>
      <c r="D34" s="784">
        <f>ROUND(('3. OGS'!C$13/'3. OGS'!C$50)*100,2)</f>
        <v>0</v>
      </c>
      <c r="E34" s="787"/>
      <c r="F34" s="784">
        <f>ROUND(('3. OGS'!E$13/'3. OGS'!E$50)*100,2)</f>
        <v>0</v>
      </c>
      <c r="G34" s="787"/>
      <c r="H34" s="784">
        <f>ROUND(('3. OGS'!G$13/'3. OGS'!G$50)*100,2)</f>
        <v>0</v>
      </c>
      <c r="I34" s="787"/>
      <c r="J34" s="784">
        <f>ROUND(('3. OGS'!I$13/'3. OGS'!I$50)*100,2)</f>
        <v>0</v>
      </c>
      <c r="K34" s="787"/>
      <c r="L34" s="784">
        <f>ROUND(('3. OGS'!K$13/'3. OGS'!K$50)*100,2)</f>
        <v>0</v>
      </c>
      <c r="M34" s="787"/>
      <c r="N34" s="784">
        <f>ROUND(AVERAGE(D34,F34,H34,J34,L34),2)</f>
        <v>0</v>
      </c>
    </row>
    <row r="35" spans="1:15">
      <c r="B35" s="765" t="s">
        <v>10</v>
      </c>
      <c r="D35" s="788">
        <f>ROUND(('3. OGS'!C$16/'3. OGS'!C$50)*100,2)</f>
        <v>58.26</v>
      </c>
      <c r="E35" s="787"/>
      <c r="F35" s="788">
        <f>ROUND(('3. OGS'!E$16/'3. OGS'!E$50)*100,2)</f>
        <v>58.24</v>
      </c>
      <c r="G35" s="787"/>
      <c r="H35" s="788">
        <f>ROUND(('3. OGS'!G$16/'3. OGS'!G$50)*100,2)</f>
        <v>62.35</v>
      </c>
      <c r="I35" s="787"/>
      <c r="J35" s="788">
        <f>ROUND(('3. OGS'!I$16/'3. OGS'!I$50)*100,2)</f>
        <v>61.38</v>
      </c>
      <c r="K35" s="787"/>
      <c r="L35" s="788">
        <f>ROUND(('3. OGS'!K$16/'3. OGS'!K$50)*100,2)</f>
        <v>62.16</v>
      </c>
      <c r="M35" s="787"/>
      <c r="N35" s="784">
        <f>ROUND(AVERAGE(D35,F35,H35,J35,L35),2)</f>
        <v>60.48</v>
      </c>
    </row>
    <row r="36" spans="1:15" ht="21" thickBot="1">
      <c r="B36" s="765" t="s">
        <v>4104</v>
      </c>
      <c r="D36" s="789">
        <f>SUM(D33:D35)</f>
        <v>100</v>
      </c>
      <c r="E36" s="790" t="s">
        <v>18</v>
      </c>
      <c r="F36" s="789">
        <f>SUM(F33:F35)</f>
        <v>100</v>
      </c>
      <c r="G36" s="790" t="s">
        <v>18</v>
      </c>
      <c r="H36" s="789">
        <f>SUM(H33:H35)</f>
        <v>100</v>
      </c>
      <c r="I36" s="790" t="s">
        <v>18</v>
      </c>
      <c r="J36" s="789">
        <f>SUM(J33:J35)</f>
        <v>100</v>
      </c>
      <c r="K36" s="790" t="s">
        <v>18</v>
      </c>
      <c r="L36" s="789">
        <f>SUM(L33:L35)</f>
        <v>100</v>
      </c>
      <c r="M36" s="790" t="s">
        <v>18</v>
      </c>
      <c r="N36" s="791">
        <f>SUM(N33:N35)</f>
        <v>100</v>
      </c>
      <c r="O36" s="786" t="s">
        <v>18</v>
      </c>
    </row>
    <row r="37" spans="1:15" ht="21" thickTop="1">
      <c r="D37" s="770"/>
      <c r="E37" s="790"/>
      <c r="F37" s="770"/>
      <c r="G37" s="790"/>
      <c r="H37" s="770"/>
      <c r="I37" s="790"/>
      <c r="J37" s="770"/>
      <c r="K37" s="790"/>
      <c r="L37" s="770"/>
      <c r="M37" s="790"/>
      <c r="N37" s="784"/>
      <c r="O37" s="786"/>
    </row>
    <row r="38" spans="1:15">
      <c r="A38" s="196" t="str">
        <f>Input!A7</f>
        <v>SR</v>
      </c>
      <c r="B38" s="767" t="str">
        <f>VLOOKUP($A38,'Proxy Data Lookup'!$A$2:$B$8,2,FALSE)</f>
        <v>Spire Inc.</v>
      </c>
      <c r="D38" s="770"/>
      <c r="E38" s="790"/>
      <c r="F38" s="770"/>
      <c r="G38" s="790"/>
      <c r="H38" s="770"/>
      <c r="I38" s="790"/>
      <c r="J38" s="770"/>
      <c r="K38" s="790"/>
      <c r="L38" s="770"/>
      <c r="M38" s="790"/>
      <c r="N38" s="784"/>
      <c r="O38" s="786"/>
    </row>
    <row r="39" spans="1:15">
      <c r="B39" s="765" t="s">
        <v>4056</v>
      </c>
      <c r="D39" s="784">
        <f>ROUND(('3. SR'!C$12/'3. SR'!C$50)*100,2)</f>
        <v>52.98</v>
      </c>
      <c r="E39" s="785" t="s">
        <v>18</v>
      </c>
      <c r="F39" s="784">
        <f>ROUND(('3. SR'!E$12/'3. SR'!E$50)*100,2)</f>
        <v>49.62</v>
      </c>
      <c r="G39" s="785" t="s">
        <v>18</v>
      </c>
      <c r="H39" s="784">
        <f>ROUND(('3. SR'!G$12/'3. SR'!G$50)*100,2)</f>
        <v>45.49</v>
      </c>
      <c r="I39" s="785" t="s">
        <v>18</v>
      </c>
      <c r="J39" s="784">
        <f>ROUND(('3. SR'!I$12/'3. SR'!I$50)*100,2)</f>
        <v>45.95</v>
      </c>
      <c r="K39" s="785" t="s">
        <v>18</v>
      </c>
      <c r="L39" s="784">
        <f>ROUND(('3. SR'!K$12/'3. SR'!K$50)*100,2)</f>
        <v>51.27</v>
      </c>
      <c r="M39" s="785" t="s">
        <v>18</v>
      </c>
      <c r="N39" s="784">
        <f>ROUND(AVERAGE(D39,F39,H39,J39,L39),2)</f>
        <v>49.06</v>
      </c>
      <c r="O39" s="786" t="s">
        <v>18</v>
      </c>
    </row>
    <row r="40" spans="1:15">
      <c r="B40" s="765" t="s">
        <v>4103</v>
      </c>
      <c r="D40" s="784">
        <f>ROUND(('3. SR'!C$13/'3. SR'!C$50)*100,2)</f>
        <v>4.28</v>
      </c>
      <c r="E40" s="787"/>
      <c r="F40" s="784">
        <f>ROUND(('3. SR'!E$13/'3. SR'!E$50)*100,2)</f>
        <v>4.83</v>
      </c>
      <c r="G40" s="787"/>
      <c r="H40" s="784">
        <f>ROUND(('3. SR'!G$13/'3. SR'!G$50)*100,2)</f>
        <v>5.19</v>
      </c>
      <c r="I40" s="787"/>
      <c r="J40" s="784">
        <f>ROUND(('3. SR'!I$13/'3. SR'!I$50)*100,2)</f>
        <v>0</v>
      </c>
      <c r="K40" s="787"/>
      <c r="L40" s="784">
        <f>ROUND(('3. SR'!K$13/'3. SR'!K$50)*100,2)</f>
        <v>0</v>
      </c>
      <c r="M40" s="787"/>
      <c r="N40" s="784">
        <f>ROUND(AVERAGE(D40,F40,H40,J40,L40),2)</f>
        <v>2.86</v>
      </c>
    </row>
    <row r="41" spans="1:15">
      <c r="B41" s="765" t="s">
        <v>10</v>
      </c>
      <c r="D41" s="788">
        <f>ROUND(('3. SR'!C$16/'3. SR'!C$50)*100,2)</f>
        <v>42.74</v>
      </c>
      <c r="E41" s="787"/>
      <c r="F41" s="788">
        <f>ROUND(('3. SR'!E$16/'3. SR'!E$50)*100,2)</f>
        <v>45.55</v>
      </c>
      <c r="G41" s="787"/>
      <c r="H41" s="788">
        <f>ROUND(('3. SR'!G$16/'3. SR'!G$50)*100,2)</f>
        <v>49.32</v>
      </c>
      <c r="I41" s="787"/>
      <c r="J41" s="788">
        <f>ROUND(('3. SR'!I$16/'3. SR'!I$50)*100,2)</f>
        <v>54.05</v>
      </c>
      <c r="K41" s="787"/>
      <c r="L41" s="788">
        <f>ROUND(('3. SR'!K$16/'3. SR'!K$50)*100,2)</f>
        <v>48.73</v>
      </c>
      <c r="M41" s="787"/>
      <c r="N41" s="784">
        <f>ROUND(AVERAGE(D41,F41,H41,J41,L41),2)</f>
        <v>48.08</v>
      </c>
    </row>
    <row r="42" spans="1:15" ht="21" thickBot="1">
      <c r="B42" s="765" t="s">
        <v>4104</v>
      </c>
      <c r="D42" s="789">
        <f>SUM(D39:D41)</f>
        <v>100</v>
      </c>
      <c r="E42" s="790" t="s">
        <v>18</v>
      </c>
      <c r="F42" s="789">
        <f>SUM(F39:F41)</f>
        <v>100</v>
      </c>
      <c r="G42" s="790" t="s">
        <v>18</v>
      </c>
      <c r="H42" s="789">
        <f>SUM(H39:H41)</f>
        <v>100</v>
      </c>
      <c r="I42" s="790" t="s">
        <v>18</v>
      </c>
      <c r="J42" s="789">
        <f>SUM(J39:J41)</f>
        <v>100</v>
      </c>
      <c r="K42" s="790" t="s">
        <v>18</v>
      </c>
      <c r="L42" s="789">
        <f>SUM(L39:L41)</f>
        <v>100</v>
      </c>
      <c r="M42" s="790" t="s">
        <v>18</v>
      </c>
      <c r="N42" s="791">
        <f>SUM(N39:N41)</f>
        <v>100</v>
      </c>
      <c r="O42" s="786" t="s">
        <v>18</v>
      </c>
    </row>
    <row r="43" spans="1:15" ht="21" thickTop="1">
      <c r="D43" s="792"/>
      <c r="E43" s="790"/>
      <c r="F43" s="792"/>
      <c r="G43" s="790"/>
      <c r="H43" s="792"/>
      <c r="I43" s="790"/>
      <c r="J43" s="792"/>
      <c r="K43" s="790"/>
      <c r="L43" s="792"/>
      <c r="M43" s="790"/>
      <c r="N43" s="784"/>
      <c r="O43" s="786"/>
    </row>
    <row r="44" spans="1:15" ht="42.75" customHeight="1">
      <c r="B44" s="793" t="str">
        <f>B2</f>
        <v>Proxy Group of Six Natural Gas Companies</v>
      </c>
      <c r="D44" s="770"/>
      <c r="E44" s="770"/>
      <c r="F44" s="770"/>
      <c r="G44" s="770"/>
      <c r="H44" s="770"/>
      <c r="I44" s="770"/>
      <c r="J44" s="770"/>
      <c r="K44" s="770"/>
      <c r="L44" s="770"/>
      <c r="M44" s="770"/>
      <c r="N44" s="770"/>
    </row>
    <row r="45" spans="1:15">
      <c r="B45" s="765" t="s">
        <v>4056</v>
      </c>
      <c r="D45" s="770">
        <f>AVERAGE(D39,D33,D27,D21,D15,D9)</f>
        <v>50.181666666666672</v>
      </c>
      <c r="E45" s="790" t="s">
        <v>18</v>
      </c>
      <c r="F45" s="770">
        <f>AVERAGE(F39,F33,F27,F21,F15,F9)</f>
        <v>50.033333333333331</v>
      </c>
      <c r="G45" s="790" t="s">
        <v>18</v>
      </c>
      <c r="H45" s="770">
        <f>AVERAGE(H39,H33,H27,H21,H15,H9)</f>
        <v>46.417400000000008</v>
      </c>
      <c r="I45" s="790" t="s">
        <v>18</v>
      </c>
      <c r="J45" s="770">
        <f>AVERAGE(J39,J33,J27,J21,J15,J9)</f>
        <v>46.028333333333329</v>
      </c>
      <c r="K45" s="790" t="s">
        <v>18</v>
      </c>
      <c r="L45" s="770">
        <f>AVERAGE(L39,L33,L27,L21,L15,L9)</f>
        <v>49.526666666666664</v>
      </c>
      <c r="M45" s="790" t="s">
        <v>18</v>
      </c>
      <c r="N45" s="770">
        <f>AVERAGE(N39,N33,N27,N21,N15,N9)</f>
        <v>48.436666666666667</v>
      </c>
      <c r="O45" s="786" t="s">
        <v>18</v>
      </c>
    </row>
    <row r="46" spans="1:15" ht="21" customHeight="1">
      <c r="B46" s="765" t="s">
        <v>4103</v>
      </c>
      <c r="D46" s="770">
        <f>AVERAGE(D40,D34,D28,D22,D16,D10)</f>
        <v>2.3050000000000002</v>
      </c>
      <c r="E46" s="774"/>
      <c r="F46" s="770">
        <f>AVERAGE(F40,F34,F28,F22,F16,F10)</f>
        <v>1.7833333333333332</v>
      </c>
      <c r="G46" s="774"/>
      <c r="H46" s="770">
        <f>AVERAGE(H40,H34,H28,H22,H16,H10)</f>
        <v>1.9234833333333334</v>
      </c>
      <c r="I46" s="774"/>
      <c r="J46" s="770">
        <f>AVERAGE(J40,J34,J28,J22,J16,J10)</f>
        <v>1.1366666666666667</v>
      </c>
      <c r="K46" s="774"/>
      <c r="L46" s="770">
        <f>AVERAGE(L40,L34,L28,L22,L16,L10)</f>
        <v>0</v>
      </c>
      <c r="M46" s="774"/>
      <c r="N46" s="770">
        <f>AVERAGE(N40,N34,N28,N22,N16,N10)</f>
        <v>1.43</v>
      </c>
    </row>
    <row r="47" spans="1:15" ht="20.25" customHeight="1">
      <c r="B47" s="765" t="s">
        <v>10</v>
      </c>
      <c r="D47" s="770">
        <f>AVERAGE(D41,D35,D29,D23,D17,D11)</f>
        <v>47.513333333333328</v>
      </c>
      <c r="E47" s="774"/>
      <c r="F47" s="770">
        <f>AVERAGE(F41,F35,F29,F23,F17,F11)</f>
        <v>48.183333333333337</v>
      </c>
      <c r="G47" s="774"/>
      <c r="H47" s="770">
        <f>AVERAGE(H41,H35,H29,H23,H17,H11)</f>
        <v>51.659116666666669</v>
      </c>
      <c r="I47" s="774"/>
      <c r="J47" s="770">
        <f>AVERAGE(J41,J35,J29,J23,J17,J11)</f>
        <v>52.835000000000008</v>
      </c>
      <c r="K47" s="774"/>
      <c r="L47" s="770">
        <f>AVERAGE(L41,L35,L29,L23,L17,L11)</f>
        <v>50.473333333333336</v>
      </c>
      <c r="M47" s="774"/>
      <c r="N47" s="770">
        <f>AVERAGE(N41,N35,N29,N23,N17,N11)</f>
        <v>50.133333333333333</v>
      </c>
    </row>
    <row r="48" spans="1:15" ht="23.25" customHeight="1" thickBot="1">
      <c r="B48" s="765" t="s">
        <v>4104</v>
      </c>
      <c r="D48" s="789">
        <f>ROUND(SUM(D45:D47),1)</f>
        <v>100</v>
      </c>
      <c r="E48" s="790" t="s">
        <v>18</v>
      </c>
      <c r="F48" s="789">
        <f>ROUND(SUM(F45:F47),1)</f>
        <v>100</v>
      </c>
      <c r="G48" s="790" t="s">
        <v>18</v>
      </c>
      <c r="H48" s="789">
        <f>ROUND(SUM(H45:H47),1)</f>
        <v>100</v>
      </c>
      <c r="I48" s="790" t="s">
        <v>18</v>
      </c>
      <c r="J48" s="789">
        <f>ROUND(SUM(J45:J47),1)</f>
        <v>100</v>
      </c>
      <c r="K48" s="790" t="s">
        <v>18</v>
      </c>
      <c r="L48" s="789">
        <f>ROUND(SUM(L45:L47),1)</f>
        <v>100</v>
      </c>
      <c r="M48" s="790" t="s">
        <v>18</v>
      </c>
      <c r="N48" s="789">
        <f>ROUND(SUM(N45:N47),1)</f>
        <v>100</v>
      </c>
      <c r="O48" s="786" t="s">
        <v>18</v>
      </c>
    </row>
    <row r="49" spans="2:15" ht="15" customHeight="1" thickTop="1">
      <c r="B49" s="772"/>
      <c r="C49" s="772"/>
      <c r="D49" s="772"/>
      <c r="E49" s="772"/>
      <c r="F49" s="772"/>
      <c r="G49" s="772"/>
      <c r="H49" s="772"/>
      <c r="I49" s="772"/>
      <c r="J49" s="772"/>
      <c r="K49" s="772"/>
      <c r="L49" s="772"/>
      <c r="M49" s="772"/>
      <c r="N49" s="772"/>
      <c r="O49" s="772"/>
    </row>
    <row r="50" spans="2:15">
      <c r="B50" s="765" t="s">
        <v>146</v>
      </c>
    </row>
    <row r="51" spans="2:15">
      <c r="B51" s="765" t="s">
        <v>4229</v>
      </c>
    </row>
    <row r="53" spans="2:15">
      <c r="B53" s="765" t="s">
        <v>94</v>
      </c>
    </row>
    <row r="54" spans="2:15">
      <c r="B54" s="765" t="s">
        <v>4602</v>
      </c>
    </row>
  </sheetData>
  <printOptions horizontalCentered="1"/>
  <pageMargins left="0.7" right="0.7" top="0.75" bottom="0.75" header="0.3" footer="0.3"/>
  <pageSetup scale="57" orientation="portrait" horizontalDpi="4294967294"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HM154"/>
  <sheetViews>
    <sheetView zoomScale="61" zoomScaleNormal="100" workbookViewId="0">
      <selection activeCell="C13" sqref="C13"/>
    </sheetView>
  </sheetViews>
  <sheetFormatPr defaultColWidth="9" defaultRowHeight="13.2"/>
  <cols>
    <col min="1" max="1" width="36.33203125" style="124" customWidth="1"/>
    <col min="2" max="2" width="15.33203125" style="124" bestFit="1" customWidth="1"/>
    <col min="3" max="3" width="18.6640625" style="124" customWidth="1"/>
    <col min="4" max="4" width="2.5546875" style="124" customWidth="1"/>
    <col min="5" max="5" width="18.6640625" style="124" customWidth="1"/>
    <col min="6" max="6" width="2" style="124" customWidth="1"/>
    <col min="7" max="7" width="18.6640625" style="124" customWidth="1"/>
    <col min="8" max="8" width="1.88671875" style="124" customWidth="1"/>
    <col min="9" max="9" width="18.6640625" style="124" customWidth="1"/>
    <col min="10" max="10" width="1.88671875" style="124" customWidth="1"/>
    <col min="11" max="11" width="18.6640625" style="124" customWidth="1"/>
    <col min="12" max="12" width="1.88671875" style="124" customWidth="1"/>
    <col min="13" max="13" width="18.6640625" style="124" customWidth="1"/>
    <col min="14" max="14" width="9" style="124"/>
    <col min="15" max="15" width="53.33203125" style="124" bestFit="1" customWidth="1"/>
    <col min="16" max="16" width="6.6640625" style="124" customWidth="1"/>
    <col min="17" max="17" width="12" style="124" customWidth="1"/>
    <col min="18" max="18" width="2.6640625" style="124" bestFit="1" customWidth="1"/>
    <col min="19" max="19" width="11.5546875" style="124" customWidth="1"/>
    <col min="20" max="20" width="2.6640625" style="124" customWidth="1"/>
    <col min="21" max="21" width="11.88671875" style="124" customWidth="1"/>
    <col min="22" max="22" width="2.6640625" style="124" customWidth="1"/>
    <col min="23" max="23" width="12" style="124" customWidth="1"/>
    <col min="24" max="24" width="2.6640625" style="124" customWidth="1"/>
    <col min="25" max="25" width="12" style="124" customWidth="1"/>
    <col min="26" max="26" width="2.6640625" style="124" customWidth="1"/>
    <col min="27" max="27" width="10.5546875" style="124" customWidth="1"/>
    <col min="28" max="28" width="2.6640625" style="124" customWidth="1"/>
    <col min="29" max="29" width="9" style="124"/>
    <col min="30" max="30" width="4.33203125" style="124" customWidth="1"/>
    <col min="31" max="31" width="3.6640625" style="124" customWidth="1"/>
    <col min="32" max="32" width="22.33203125" style="124" customWidth="1"/>
    <col min="33" max="16384" width="9" style="124"/>
  </cols>
  <sheetData>
    <row r="1" spans="1:27" ht="16.2" customHeight="1"/>
    <row r="2" spans="1:27" ht="16.2" customHeight="1"/>
    <row r="3" spans="1:27" ht="16.2" customHeight="1"/>
    <row r="4" spans="1:27" ht="16.2" customHeight="1" thickBot="1"/>
    <row r="5" spans="1:27" ht="16.8">
      <c r="A5" s="297" t="s">
        <v>181</v>
      </c>
    </row>
    <row r="6" spans="1:27" ht="13.8" thickBot="1">
      <c r="A6" s="298" t="s">
        <v>2333</v>
      </c>
      <c r="E6" s="127" t="s">
        <v>3922</v>
      </c>
      <c r="F6" s="127"/>
      <c r="G6" s="128"/>
      <c r="H6" s="128"/>
      <c r="I6" s="128"/>
      <c r="J6" s="128"/>
      <c r="K6" s="128"/>
      <c r="L6" s="128"/>
      <c r="O6" s="129" t="str">
        <f>E6</f>
        <v xml:space="preserve">Atmos Energy        </v>
      </c>
      <c r="P6" s="128"/>
      <c r="Q6" s="128"/>
      <c r="R6" s="127"/>
      <c r="S6" s="128"/>
      <c r="T6" s="128"/>
      <c r="U6" s="128"/>
      <c r="V6" s="128"/>
      <c r="W6" s="128"/>
      <c r="X6" s="128"/>
      <c r="Y6" s="128"/>
      <c r="Z6" s="128"/>
      <c r="AA6" s="128"/>
    </row>
    <row r="7" spans="1:27">
      <c r="E7" s="128" t="s">
        <v>0</v>
      </c>
      <c r="F7" s="128"/>
      <c r="G7" s="128"/>
      <c r="H7" s="128"/>
      <c r="I7" s="128"/>
      <c r="J7" s="128"/>
      <c r="K7" s="128"/>
      <c r="L7" s="128"/>
      <c r="O7" s="128" t="str">
        <f>E7</f>
        <v>CAPITALIZATION AND FINANCIAL STATISTICS  (1)</v>
      </c>
      <c r="P7" s="128"/>
      <c r="Q7" s="128"/>
      <c r="R7" s="128"/>
      <c r="S7" s="128"/>
      <c r="T7" s="128"/>
      <c r="U7" s="128"/>
      <c r="V7" s="128"/>
      <c r="W7" s="128"/>
      <c r="X7" s="128"/>
      <c r="Y7" s="128"/>
      <c r="Z7" s="128"/>
      <c r="AA7" s="128"/>
    </row>
    <row r="8" spans="1:27">
      <c r="E8" s="1070" t="s">
        <v>4355</v>
      </c>
      <c r="F8" s="1069"/>
      <c r="G8" s="1070"/>
      <c r="H8" s="1070"/>
      <c r="I8" s="1070"/>
      <c r="J8" s="128"/>
      <c r="K8" s="128"/>
      <c r="L8" s="128"/>
      <c r="O8" s="127" t="str">
        <f>E8</f>
        <v>2016 - 2021, Inclusive</v>
      </c>
      <c r="P8" s="128"/>
      <c r="Q8" s="128"/>
      <c r="R8" s="127"/>
      <c r="S8" s="128"/>
      <c r="T8" s="128"/>
      <c r="U8" s="128"/>
      <c r="V8" s="128"/>
      <c r="W8" s="128"/>
      <c r="X8" s="128"/>
      <c r="Y8" s="128"/>
      <c r="Z8" s="128"/>
      <c r="AA8" s="128"/>
    </row>
    <row r="9" spans="1:27">
      <c r="O9" s="128"/>
      <c r="P9" s="128"/>
      <c r="Q9" s="127"/>
      <c r="R9" s="127"/>
      <c r="S9" s="128"/>
      <c r="T9" s="128"/>
      <c r="U9" s="128"/>
      <c r="V9" s="128"/>
      <c r="W9" s="128"/>
      <c r="X9" s="128"/>
      <c r="Y9" s="128"/>
      <c r="Z9" s="128"/>
      <c r="AA9" s="128"/>
    </row>
    <row r="10" spans="1:27">
      <c r="B10" s="124" t="s">
        <v>4381</v>
      </c>
      <c r="C10" s="326">
        <v>2021</v>
      </c>
      <c r="E10" s="326">
        <v>2020</v>
      </c>
      <c r="G10" s="326">
        <v>2019</v>
      </c>
      <c r="I10" s="326">
        <v>2018</v>
      </c>
      <c r="K10" s="326">
        <v>2017</v>
      </c>
      <c r="M10" s="326">
        <v>2016</v>
      </c>
      <c r="Q10" s="127"/>
      <c r="R10" s="127"/>
      <c r="S10" s="128"/>
      <c r="T10" s="128"/>
      <c r="U10" s="128"/>
      <c r="V10" s="128"/>
      <c r="W10" s="128"/>
      <c r="X10" s="128"/>
      <c r="Y10" s="128"/>
    </row>
    <row r="11" spans="1:27">
      <c r="A11" s="124" t="s">
        <v>1</v>
      </c>
    </row>
    <row r="12" spans="1:27">
      <c r="A12" s="124" t="s">
        <v>2</v>
      </c>
      <c r="B12" s="124" t="s">
        <v>65</v>
      </c>
      <c r="C12" s="130">
        <f>4930205000+2400452000-2200000000</f>
        <v>5130657000</v>
      </c>
      <c r="E12" s="130">
        <f>4531779000+165000</f>
        <v>4531944000</v>
      </c>
      <c r="G12" s="130">
        <v>3529452000</v>
      </c>
      <c r="I12" s="130">
        <f>2493665000+575000000</f>
        <v>3068665000</v>
      </c>
      <c r="K12" s="130">
        <v>3067045000</v>
      </c>
      <c r="M12" s="130">
        <v>2438779000</v>
      </c>
      <c r="Q12" s="326">
        <f>C10</f>
        <v>2021</v>
      </c>
      <c r="R12" s="326"/>
      <c r="S12" s="326">
        <f>E10</f>
        <v>2020</v>
      </c>
      <c r="T12" s="326"/>
      <c r="U12" s="326">
        <f>G10</f>
        <v>2019</v>
      </c>
      <c r="V12" s="326"/>
      <c r="W12" s="326">
        <f>I10</f>
        <v>2018</v>
      </c>
      <c r="X12" s="326"/>
      <c r="Y12" s="326">
        <f>K10</f>
        <v>2017</v>
      </c>
      <c r="Z12" s="326"/>
    </row>
    <row r="13" spans="1:27">
      <c r="A13" s="124" t="s">
        <v>3</v>
      </c>
      <c r="B13" s="124" t="s">
        <v>66</v>
      </c>
      <c r="C13" s="130">
        <v>0</v>
      </c>
      <c r="E13" s="130">
        <v>0</v>
      </c>
      <c r="G13" s="130">
        <v>0</v>
      </c>
      <c r="I13" s="130">
        <v>0</v>
      </c>
      <c r="K13" s="130">
        <v>0</v>
      </c>
      <c r="M13" s="130">
        <v>0</v>
      </c>
      <c r="Q13" s="128" t="s">
        <v>4</v>
      </c>
      <c r="R13" s="128"/>
      <c r="S13" s="128"/>
      <c r="T13" s="128"/>
      <c r="U13" s="128"/>
      <c r="V13" s="128"/>
      <c r="W13" s="128"/>
      <c r="X13" s="128"/>
      <c r="Y13" s="128"/>
      <c r="Z13" s="128" t="s">
        <v>5</v>
      </c>
      <c r="AA13" s="128" t="s">
        <v>5</v>
      </c>
    </row>
    <row r="14" spans="1:27">
      <c r="C14" s="130"/>
      <c r="E14" s="130"/>
      <c r="G14" s="130"/>
      <c r="I14" s="130"/>
      <c r="K14" s="130"/>
      <c r="O14" s="132" t="s">
        <v>6</v>
      </c>
      <c r="P14" s="132"/>
    </row>
    <row r="15" spans="1:27">
      <c r="A15" s="124" t="s">
        <v>8</v>
      </c>
      <c r="B15" s="124" t="s">
        <v>58</v>
      </c>
      <c r="C15" s="130">
        <v>132419754</v>
      </c>
      <c r="E15" s="130">
        <v>125882477</v>
      </c>
      <c r="G15" s="130">
        <v>119338925</v>
      </c>
      <c r="I15" s="130">
        <v>111273683</v>
      </c>
      <c r="K15" s="130">
        <v>106104634</v>
      </c>
      <c r="M15" s="130">
        <v>103930560</v>
      </c>
    </row>
    <row r="16" spans="1:27">
      <c r="A16" s="124" t="s">
        <v>10</v>
      </c>
      <c r="B16" s="124" t="s">
        <v>60</v>
      </c>
      <c r="C16" s="130">
        <v>7906889000</v>
      </c>
      <c r="E16" s="130">
        <v>6791203000</v>
      </c>
      <c r="G16" s="130">
        <v>5750223000</v>
      </c>
      <c r="I16" s="130">
        <v>4769951000</v>
      </c>
      <c r="K16" s="130">
        <v>3898666000</v>
      </c>
      <c r="M16" s="130">
        <v>3463059000</v>
      </c>
      <c r="O16" s="132" t="s">
        <v>9</v>
      </c>
      <c r="P16" s="132"/>
    </row>
    <row r="17" spans="1:28">
      <c r="A17" s="124" t="s">
        <v>49</v>
      </c>
      <c r="B17" s="124" t="s">
        <v>58</v>
      </c>
      <c r="C17" s="130">
        <v>0</v>
      </c>
      <c r="E17" s="130">
        <v>0</v>
      </c>
      <c r="G17" s="130">
        <v>0</v>
      </c>
      <c r="I17" s="130">
        <v>0</v>
      </c>
      <c r="K17" s="130">
        <v>0</v>
      </c>
      <c r="M17" s="130">
        <v>0</v>
      </c>
      <c r="O17" s="124" t="s">
        <v>11</v>
      </c>
      <c r="Q17" s="133">
        <f>C50/1000000</f>
        <v>13037.546</v>
      </c>
      <c r="R17" s="133"/>
      <c r="S17" s="133">
        <f>E50/1000000</f>
        <v>11323.147000000001</v>
      </c>
      <c r="T17" s="133"/>
      <c r="U17" s="133">
        <f>G50/1000000</f>
        <v>9279.6749999999993</v>
      </c>
      <c r="V17" s="133"/>
      <c r="W17" s="133">
        <f>I50/1000000</f>
        <v>7838.616</v>
      </c>
      <c r="X17" s="133"/>
      <c r="Y17" s="133">
        <f>K50/1000000</f>
        <v>6965.7110000000002</v>
      </c>
    </row>
    <row r="18" spans="1:28">
      <c r="C18" s="130"/>
      <c r="E18" s="130"/>
      <c r="G18" s="130"/>
      <c r="I18" s="130"/>
      <c r="K18" s="130"/>
      <c r="O18" s="124" t="s">
        <v>12</v>
      </c>
      <c r="Q18" s="134">
        <f>C19/1000000</f>
        <v>0</v>
      </c>
      <c r="R18" s="133"/>
      <c r="S18" s="134">
        <f>E19/1000000</f>
        <v>0</v>
      </c>
      <c r="T18" s="133"/>
      <c r="U18" s="134">
        <f>G19/1000000</f>
        <v>464.91500000000002</v>
      </c>
      <c r="V18" s="133"/>
      <c r="W18" s="134">
        <f>I19/1000000</f>
        <v>575.78</v>
      </c>
      <c r="X18" s="133"/>
      <c r="Y18" s="134">
        <f>K19/1000000</f>
        <v>447.745</v>
      </c>
    </row>
    <row r="19" spans="1:28">
      <c r="A19" s="124" t="s">
        <v>15</v>
      </c>
      <c r="B19" s="124" t="s">
        <v>67</v>
      </c>
      <c r="C19" s="130">
        <v>0</v>
      </c>
      <c r="E19" s="130">
        <v>0</v>
      </c>
      <c r="G19" s="130">
        <v>464915000</v>
      </c>
      <c r="I19" s="130">
        <v>575780000</v>
      </c>
      <c r="K19" s="130">
        <v>447745000</v>
      </c>
      <c r="M19" s="130">
        <v>829811000</v>
      </c>
      <c r="O19" s="124" t="s">
        <v>14</v>
      </c>
      <c r="Q19" s="135">
        <f>SUM(Q17:Q18)</f>
        <v>13037.546</v>
      </c>
      <c r="R19" s="133"/>
      <c r="S19" s="135">
        <f>SUM(S17:S18)</f>
        <v>11323.147000000001</v>
      </c>
      <c r="T19" s="133"/>
      <c r="U19" s="135">
        <f>SUM(U17:U18)</f>
        <v>9744.59</v>
      </c>
      <c r="V19" s="133"/>
      <c r="W19" s="135">
        <f>SUM(W17:W18)</f>
        <v>8414.3960000000006</v>
      </c>
      <c r="X19" s="133"/>
      <c r="Y19" s="135">
        <f>SUM(Y17:Y18)</f>
        <v>7413.4560000000001</v>
      </c>
    </row>
    <row r="20" spans="1:28">
      <c r="C20" s="130"/>
      <c r="E20" s="130"/>
      <c r="G20" s="130"/>
      <c r="I20" s="130"/>
      <c r="K20" s="130"/>
      <c r="M20" s="131"/>
    </row>
    <row r="21" spans="1:28">
      <c r="A21" s="124" t="s">
        <v>17</v>
      </c>
      <c r="B21" s="124" t="s">
        <v>61</v>
      </c>
      <c r="C21" s="130">
        <v>5.12</v>
      </c>
      <c r="E21" s="130">
        <v>4.8899999999999997</v>
      </c>
      <c r="G21" s="130">
        <v>4.3499999999999996</v>
      </c>
      <c r="I21" s="130">
        <v>5.43</v>
      </c>
      <c r="K21" s="130">
        <v>3.6</v>
      </c>
      <c r="M21" s="130">
        <v>3.38</v>
      </c>
      <c r="O21" s="132" t="s">
        <v>16</v>
      </c>
      <c r="P21" s="132"/>
    </row>
    <row r="22" spans="1:28">
      <c r="A22" s="124" t="s">
        <v>19</v>
      </c>
      <c r="B22" s="124" t="s">
        <v>1375</v>
      </c>
      <c r="C22" s="124">
        <v>104.83</v>
      </c>
      <c r="E22" s="130">
        <v>120.57</v>
      </c>
      <c r="G22" s="130">
        <v>114.65</v>
      </c>
      <c r="I22" s="130">
        <v>94.77</v>
      </c>
      <c r="K22" s="130">
        <v>88.69</v>
      </c>
      <c r="M22" s="130">
        <v>81.319999999999993</v>
      </c>
      <c r="O22" s="124" t="s">
        <v>54</v>
      </c>
      <c r="Q22" s="136">
        <f>(ROUND((C30/(AVERAGE(C54,E54))*100),2))</f>
        <v>1.73</v>
      </c>
      <c r="R22" s="137" t="s">
        <v>18</v>
      </c>
      <c r="S22" s="136">
        <f>(ROUND((E30/(AVERAGE(E54,G54))*100),2))</f>
        <v>1.98</v>
      </c>
      <c r="T22" s="137" t="s">
        <v>18</v>
      </c>
      <c r="U22" s="136">
        <f>(ROUND((G30/(AVERAGE(G54,I54))*100),2))</f>
        <v>2.7</v>
      </c>
      <c r="V22" s="137" t="s">
        <v>18</v>
      </c>
      <c r="W22" s="136">
        <f>(ROUND((I30/(AVERAGE(I54,K54))*100),2))</f>
        <v>2.98</v>
      </c>
      <c r="X22" s="137" t="s">
        <v>18</v>
      </c>
      <c r="Y22" s="136">
        <f>(ROUND((K30/(AVERAGE(K54,M54))*100),2))</f>
        <v>3.54</v>
      </c>
      <c r="Z22" s="137" t="s">
        <v>18</v>
      </c>
      <c r="AA22" s="255"/>
    </row>
    <row r="23" spans="1:28">
      <c r="A23" s="124" t="s">
        <v>21</v>
      </c>
      <c r="B23" s="124" t="s">
        <v>1375</v>
      </c>
      <c r="C23" s="124">
        <v>84.61</v>
      </c>
      <c r="E23" s="130">
        <v>80.5</v>
      </c>
      <c r="G23" s="130">
        <v>89.33</v>
      </c>
      <c r="I23" s="130">
        <v>78.03</v>
      </c>
      <c r="K23" s="130">
        <v>68.959999999999994</v>
      </c>
      <c r="M23" s="130">
        <v>57.82</v>
      </c>
      <c r="O23" s="124" t="s">
        <v>20</v>
      </c>
      <c r="Q23" s="136"/>
      <c r="R23" s="137"/>
      <c r="S23" s="136"/>
      <c r="T23" s="137"/>
      <c r="U23" s="136"/>
      <c r="V23" s="137"/>
      <c r="W23" s="136"/>
      <c r="X23" s="137"/>
      <c r="Y23" s="136"/>
      <c r="Z23" s="137"/>
    </row>
    <row r="24" spans="1:28">
      <c r="C24" s="130"/>
      <c r="E24" s="130"/>
      <c r="G24" s="130"/>
      <c r="I24" s="130"/>
      <c r="K24" s="130"/>
      <c r="AA24" s="1069" t="s">
        <v>52</v>
      </c>
      <c r="AB24" s="1069"/>
    </row>
    <row r="25" spans="1:28">
      <c r="C25" s="130"/>
      <c r="E25" s="130"/>
      <c r="G25" s="130"/>
      <c r="I25" s="130"/>
      <c r="K25" s="130"/>
      <c r="M25" s="131"/>
      <c r="O25" s="132" t="s">
        <v>30</v>
      </c>
      <c r="P25" s="132"/>
      <c r="AA25" s="1069" t="s">
        <v>22</v>
      </c>
      <c r="AB25" s="1069"/>
    </row>
    <row r="26" spans="1:28">
      <c r="A26" s="124" t="s">
        <v>26</v>
      </c>
      <c r="B26" s="124" t="s">
        <v>1375</v>
      </c>
      <c r="C26" s="130">
        <v>2.5</v>
      </c>
      <c r="E26" s="130">
        <v>2.2999999999999998</v>
      </c>
      <c r="G26" s="130">
        <v>2.1</v>
      </c>
      <c r="I26" s="130">
        <v>1.94</v>
      </c>
      <c r="K26" s="130">
        <v>1.8</v>
      </c>
      <c r="M26" s="130">
        <v>1.68</v>
      </c>
      <c r="O26" s="124" t="s">
        <v>32</v>
      </c>
    </row>
    <row r="27" spans="1:28">
      <c r="C27" s="130"/>
      <c r="E27" s="130"/>
      <c r="G27" s="130"/>
      <c r="I27" s="130"/>
      <c r="K27" s="130"/>
      <c r="M27" s="131"/>
      <c r="O27" s="124" t="s">
        <v>33</v>
      </c>
      <c r="Q27" s="136">
        <f>ROUND(((C12/C50)*100),2)</f>
        <v>39.35</v>
      </c>
      <c r="R27" s="137" t="s">
        <v>18</v>
      </c>
      <c r="S27" s="136">
        <f>ROUND(((E12/E50)*100),2)</f>
        <v>40.020000000000003</v>
      </c>
      <c r="T27" s="137" t="s">
        <v>18</v>
      </c>
      <c r="U27" s="136">
        <f>ROUND(((G12/G50)*100),2)</f>
        <v>38.03</v>
      </c>
      <c r="V27" s="137" t="s">
        <v>18</v>
      </c>
      <c r="W27" s="136">
        <f>ROUND(((I12/I50)*100),2)</f>
        <v>39.15</v>
      </c>
      <c r="X27" s="137" t="s">
        <v>18</v>
      </c>
      <c r="Y27" s="136">
        <f>ROUND(((K12/K50)*100),2)</f>
        <v>44.03</v>
      </c>
      <c r="Z27" s="137" t="s">
        <v>18</v>
      </c>
      <c r="AA27" s="136">
        <f>ROUND(AVERAGE(Q27:Y27),2)</f>
        <v>40.119999999999997</v>
      </c>
      <c r="AB27" s="137" t="s">
        <v>18</v>
      </c>
    </row>
    <row r="28" spans="1:28">
      <c r="A28" s="124" t="s">
        <v>37</v>
      </c>
      <c r="B28" s="124" t="s">
        <v>37</v>
      </c>
      <c r="C28" s="213">
        <v>44163000</v>
      </c>
      <c r="E28" s="213">
        <v>31929000</v>
      </c>
      <c r="G28" s="213">
        <v>18808000</v>
      </c>
      <c r="I28" s="130">
        <v>6800000</v>
      </c>
      <c r="K28" s="130">
        <v>2500000</v>
      </c>
      <c r="M28" s="130">
        <v>2800000</v>
      </c>
      <c r="O28" s="124" t="s">
        <v>34</v>
      </c>
      <c r="Q28" s="136">
        <f>ROUND(((SUM(C13,C17)/C50)*100),2)</f>
        <v>0</v>
      </c>
      <c r="R28" s="137"/>
      <c r="S28" s="136">
        <f>ROUND(((SUM(E13,E17)/E50)*100),2)</f>
        <v>0</v>
      </c>
      <c r="T28" s="137"/>
      <c r="U28" s="136">
        <f>ROUND(((SUM(G13,G17)/G50)*100),2)</f>
        <v>0</v>
      </c>
      <c r="V28" s="137"/>
      <c r="W28" s="136">
        <f>ROUND(((SUM(I13,I17)/I50)*100),2)</f>
        <v>0</v>
      </c>
      <c r="X28" s="137"/>
      <c r="Y28" s="136">
        <f>ROUND(((SUM(K13,K17)/K50)*100),2)</f>
        <v>0</v>
      </c>
      <c r="Z28" s="137"/>
      <c r="AA28" s="136">
        <f>ROUND(AVERAGE(Q28:Y28),2)</f>
        <v>0</v>
      </c>
      <c r="AB28" s="137"/>
    </row>
    <row r="29" spans="1:28">
      <c r="C29" s="130"/>
      <c r="E29" s="130"/>
      <c r="G29" s="130"/>
      <c r="I29" s="130"/>
      <c r="K29" s="130"/>
      <c r="M29" s="131"/>
      <c r="O29" s="124" t="s">
        <v>35</v>
      </c>
      <c r="Q29" s="138">
        <f>ROUND(((C16/C50)*100),2)</f>
        <v>60.65</v>
      </c>
      <c r="R29" s="137"/>
      <c r="S29" s="138">
        <f>ROUND(((E16/E50)*100),2)</f>
        <v>59.98</v>
      </c>
      <c r="T29" s="137"/>
      <c r="U29" s="138">
        <f>ROUND(((G16/G50)*100),2)</f>
        <v>61.97</v>
      </c>
      <c r="V29" s="137"/>
      <c r="W29" s="138">
        <f>ROUND(((I16/I50)*100),2)</f>
        <v>60.85</v>
      </c>
      <c r="X29" s="137"/>
      <c r="Y29" s="138">
        <f>ROUND(((K16/K50)*100),2)</f>
        <v>55.97</v>
      </c>
      <c r="Z29" s="137"/>
      <c r="AA29" s="138">
        <f>ROUND(AVERAGE(Q29:Y29),2)</f>
        <v>59.88</v>
      </c>
      <c r="AB29" s="137"/>
    </row>
    <row r="30" spans="1:28">
      <c r="A30" s="124" t="s">
        <v>42</v>
      </c>
      <c r="B30" s="124" t="s">
        <v>62</v>
      </c>
      <c r="C30" s="213">
        <v>83554000</v>
      </c>
      <c r="E30" s="213">
        <v>84474000</v>
      </c>
      <c r="G30" s="213">
        <v>103153000</v>
      </c>
      <c r="I30" s="130">
        <v>106646000</v>
      </c>
      <c r="K30" s="130">
        <v>120182000</v>
      </c>
      <c r="M30" s="130">
        <v>115948000</v>
      </c>
      <c r="O30" s="124" t="s">
        <v>36</v>
      </c>
      <c r="Q30" s="139">
        <f>SUM(Q27:Q29)</f>
        <v>100</v>
      </c>
      <c r="R30" s="137" t="s">
        <v>18</v>
      </c>
      <c r="S30" s="139">
        <f>SUM(S27:S29)</f>
        <v>100</v>
      </c>
      <c r="T30" s="137" t="s">
        <v>18</v>
      </c>
      <c r="U30" s="139">
        <f>SUM(U27:U29)</f>
        <v>100</v>
      </c>
      <c r="V30" s="137" t="s">
        <v>18</v>
      </c>
      <c r="W30" s="139">
        <f>SUM(W27:W29)</f>
        <v>100</v>
      </c>
      <c r="X30" s="137" t="s">
        <v>18</v>
      </c>
      <c r="Y30" s="139">
        <f>SUM(Y27:Y29)</f>
        <v>100</v>
      </c>
      <c r="Z30" s="137" t="s">
        <v>18</v>
      </c>
      <c r="AA30" s="139">
        <f>SUM(AA27:AA29)</f>
        <v>100</v>
      </c>
      <c r="AB30" s="137" t="s">
        <v>18</v>
      </c>
    </row>
    <row r="31" spans="1:28">
      <c r="C31" s="130"/>
      <c r="E31" s="130"/>
      <c r="G31" s="130"/>
      <c r="I31" s="130"/>
      <c r="K31" s="130"/>
      <c r="M31" s="131"/>
    </row>
    <row r="32" spans="1:28">
      <c r="A32" s="124" t="s">
        <v>43</v>
      </c>
      <c r="B32" s="124" t="s">
        <v>63</v>
      </c>
      <c r="C32" s="213">
        <v>665563000</v>
      </c>
      <c r="E32" s="213">
        <v>601443000</v>
      </c>
      <c r="G32" s="213">
        <v>511406000</v>
      </c>
      <c r="I32" s="130">
        <v>603064000</v>
      </c>
      <c r="K32" s="130">
        <v>396421000</v>
      </c>
      <c r="M32" s="130">
        <v>350104000</v>
      </c>
      <c r="O32" s="124" t="s">
        <v>38</v>
      </c>
    </row>
    <row r="33" spans="1:28">
      <c r="A33" s="140"/>
      <c r="B33" s="140"/>
      <c r="C33" s="141"/>
      <c r="D33" s="140"/>
      <c r="E33" s="141"/>
      <c r="F33" s="140"/>
      <c r="G33" s="141"/>
      <c r="H33" s="140"/>
      <c r="I33" s="141"/>
      <c r="J33" s="140"/>
      <c r="K33" s="141"/>
      <c r="L33" s="140"/>
      <c r="M33" s="142"/>
      <c r="O33" s="124" t="s">
        <v>39</v>
      </c>
      <c r="Q33" s="136">
        <f>ROUND((((C12+C19)/C56)*100),2)</f>
        <v>39.35</v>
      </c>
      <c r="R33" s="137" t="s">
        <v>18</v>
      </c>
      <c r="S33" s="136">
        <f>ROUND((((E12+E19)/E56)*100),2)</f>
        <v>40.020000000000003</v>
      </c>
      <c r="T33" s="137" t="s">
        <v>18</v>
      </c>
      <c r="U33" s="136">
        <f>ROUND((((G12+G19)/G56)*100),2)</f>
        <v>40.99</v>
      </c>
      <c r="V33" s="137" t="s">
        <v>18</v>
      </c>
      <c r="W33" s="136">
        <f>ROUND((((I12+I19)/I56)*100),2)</f>
        <v>43.31</v>
      </c>
      <c r="X33" s="137" t="s">
        <v>18</v>
      </c>
      <c r="Y33" s="136">
        <f>ROUND((((K12+K19)/K56)*100),2)</f>
        <v>47.41</v>
      </c>
      <c r="Z33" s="137" t="s">
        <v>18</v>
      </c>
      <c r="AA33" s="136">
        <f>ROUND(AVERAGE(Q33:Y33),2)</f>
        <v>42.22</v>
      </c>
      <c r="AB33" s="137" t="s">
        <v>18</v>
      </c>
    </row>
    <row r="34" spans="1:28">
      <c r="A34" s="124" t="s">
        <v>46</v>
      </c>
      <c r="B34" s="124" t="s">
        <v>70</v>
      </c>
      <c r="C34" s="213">
        <f>C32</f>
        <v>665563000</v>
      </c>
      <c r="E34" s="213">
        <f>E32</f>
        <v>601443000</v>
      </c>
      <c r="G34" s="213">
        <f>G32</f>
        <v>511406000</v>
      </c>
      <c r="I34" s="130">
        <f>I32</f>
        <v>603064000</v>
      </c>
      <c r="K34" s="130">
        <v>396421000</v>
      </c>
      <c r="M34" s="130">
        <v>350104000</v>
      </c>
      <c r="O34" s="124" t="s">
        <v>34</v>
      </c>
      <c r="Q34" s="136">
        <f>ROUND((((SUM(C13,C17))/C56)*100),2)</f>
        <v>0</v>
      </c>
      <c r="R34" s="137"/>
      <c r="S34" s="136">
        <f>ROUND((((SUM(E13,E17))/E56)*100),2)</f>
        <v>0</v>
      </c>
      <c r="T34" s="137"/>
      <c r="U34" s="136">
        <f>ROUND((((SUM(G13,G17))/G56)*100),2)</f>
        <v>0</v>
      </c>
      <c r="V34" s="137"/>
      <c r="W34" s="136">
        <f>ROUND((((SUM(I13,I17))/I56)*100),2)</f>
        <v>0</v>
      </c>
      <c r="X34" s="137"/>
      <c r="Y34" s="136">
        <f>ROUND((((SUM(K13,K17))/K56)*100),2)</f>
        <v>0</v>
      </c>
      <c r="Z34" s="137"/>
      <c r="AA34" s="136">
        <f>ROUND(AVERAGE(Q34:Y34),2)</f>
        <v>0</v>
      </c>
      <c r="AB34" s="137"/>
    </row>
    <row r="35" spans="1:28">
      <c r="C35" s="130"/>
      <c r="E35" s="130"/>
      <c r="G35" s="130"/>
      <c r="I35" s="130"/>
      <c r="K35" s="130"/>
      <c r="O35" s="124" t="s">
        <v>35</v>
      </c>
      <c r="Q35" s="138">
        <f>ROUND((((C16)/C56)*100),2)</f>
        <v>60.65</v>
      </c>
      <c r="R35" s="137"/>
      <c r="S35" s="138">
        <f>ROUND((((E16)/E56)*100),2)</f>
        <v>59.98</v>
      </c>
      <c r="T35" s="137"/>
      <c r="U35" s="138">
        <f>ROUND((((G16)/G56)*100),2)</f>
        <v>59.01</v>
      </c>
      <c r="V35" s="137"/>
      <c r="W35" s="138">
        <f>ROUND((((I16)/I56)*100),2)</f>
        <v>56.69</v>
      </c>
      <c r="X35" s="137"/>
      <c r="Y35" s="138">
        <f>ROUND((((K16)/K56)*100),2)</f>
        <v>52.59</v>
      </c>
      <c r="Z35" s="137"/>
      <c r="AA35" s="138">
        <f>ROUND(AVERAGE(Q35:Y35),2)</f>
        <v>57.78</v>
      </c>
      <c r="AB35" s="137"/>
    </row>
    <row r="36" spans="1:28">
      <c r="A36" s="124" t="s">
        <v>45</v>
      </c>
      <c r="B36" s="124" t="s">
        <v>68</v>
      </c>
      <c r="C36" s="130">
        <v>0</v>
      </c>
      <c r="E36" s="130">
        <v>0</v>
      </c>
      <c r="G36" s="130">
        <v>0</v>
      </c>
      <c r="I36" s="130">
        <v>0</v>
      </c>
      <c r="K36" s="130">
        <v>0</v>
      </c>
      <c r="M36" s="130">
        <v>0</v>
      </c>
      <c r="O36" s="124" t="s">
        <v>36</v>
      </c>
      <c r="Q36" s="139">
        <f>SUM(Q33:Q35)</f>
        <v>100</v>
      </c>
      <c r="R36" s="137" t="s">
        <v>18</v>
      </c>
      <c r="S36" s="139">
        <f>SUM(S33:S35)</f>
        <v>100</v>
      </c>
      <c r="T36" s="137" t="s">
        <v>18</v>
      </c>
      <c r="U36" s="139">
        <f>SUM(U33:U35)</f>
        <v>100</v>
      </c>
      <c r="V36" s="137" t="s">
        <v>18</v>
      </c>
      <c r="W36" s="139">
        <f>SUM(W33:W35)</f>
        <v>100</v>
      </c>
      <c r="X36" s="137" t="s">
        <v>18</v>
      </c>
      <c r="Y36" s="139">
        <f>SUM(Y33:Y35)</f>
        <v>100</v>
      </c>
      <c r="Z36" s="137" t="s">
        <v>18</v>
      </c>
      <c r="AA36" s="139">
        <f>SUM(AA33:AA35)</f>
        <v>100</v>
      </c>
      <c r="AB36" s="137" t="s">
        <v>18</v>
      </c>
    </row>
    <row r="37" spans="1:28">
      <c r="C37" s="130"/>
      <c r="E37" s="130"/>
      <c r="G37" s="130"/>
      <c r="I37" s="130"/>
      <c r="K37" s="130"/>
    </row>
    <row r="38" spans="1:28">
      <c r="A38" s="124" t="s">
        <v>47</v>
      </c>
      <c r="B38" s="124" t="s">
        <v>64</v>
      </c>
      <c r="C38" s="130">
        <v>323904000</v>
      </c>
      <c r="E38" s="130">
        <v>282444000</v>
      </c>
      <c r="G38" s="130">
        <v>245717000</v>
      </c>
      <c r="I38" s="130">
        <v>214906000</v>
      </c>
      <c r="K38" s="130">
        <v>191931000</v>
      </c>
      <c r="M38" s="130">
        <v>175126000</v>
      </c>
    </row>
    <row r="39" spans="1:28">
      <c r="C39" s="130"/>
      <c r="E39" s="130"/>
      <c r="G39" s="130"/>
      <c r="I39" s="130"/>
      <c r="K39" s="130"/>
      <c r="M39" s="131"/>
    </row>
    <row r="40" spans="1:28">
      <c r="A40" s="124" t="s">
        <v>55</v>
      </c>
      <c r="B40" s="124" t="s">
        <v>69</v>
      </c>
      <c r="C40" s="130">
        <f>C32</f>
        <v>665563000</v>
      </c>
      <c r="E40" s="130">
        <f>E34</f>
        <v>601443000</v>
      </c>
      <c r="G40" s="130">
        <f>G34</f>
        <v>511406000</v>
      </c>
      <c r="I40" s="130">
        <f>I34</f>
        <v>603064000</v>
      </c>
      <c r="K40" s="130">
        <v>396421000</v>
      </c>
      <c r="M40" s="130">
        <v>350104000</v>
      </c>
      <c r="O40" s="132" t="s">
        <v>40</v>
      </c>
      <c r="P40" s="132"/>
    </row>
    <row r="41" spans="1:28">
      <c r="A41" s="124" t="s">
        <v>72</v>
      </c>
      <c r="B41" s="124" t="s">
        <v>71</v>
      </c>
      <c r="C41" s="130">
        <f>-1084251000+2003659000+76652</f>
        <v>919484652</v>
      </c>
      <c r="E41" s="130">
        <v>1037999000</v>
      </c>
      <c r="G41" s="130">
        <v>968769000</v>
      </c>
      <c r="I41" s="130">
        <v>1124662000</v>
      </c>
      <c r="K41" s="130">
        <v>867090000</v>
      </c>
      <c r="M41" s="130">
        <v>794990000</v>
      </c>
      <c r="O41" s="132"/>
      <c r="P41" s="132"/>
    </row>
    <row r="42" spans="1:28">
      <c r="A42" s="124" t="s">
        <v>1460</v>
      </c>
      <c r="B42" s="124" t="s">
        <v>1461</v>
      </c>
      <c r="C42" s="130">
        <f>(-113665-66166-84705+136809+104242-166268-109349)*1000</f>
        <v>-299102000</v>
      </c>
      <c r="E42" s="130">
        <f>(7167+18188-35878-31935+7359-129543+30966)*1000</f>
        <v>-133676000</v>
      </c>
      <c r="G42" s="130">
        <f>(18724+35594-26590-58403+9908-103895+47976)*1000</f>
        <v>-76686000</v>
      </c>
      <c r="I42" s="130">
        <f>(-29208+18921+60424-10049-11857+74707+31923)*1000</f>
        <v>134861000</v>
      </c>
      <c r="K42" s="130">
        <v>-73177000</v>
      </c>
      <c r="M42" s="130">
        <v>-63212000</v>
      </c>
      <c r="O42" s="132" t="s">
        <v>24</v>
      </c>
    </row>
    <row r="43" spans="1:28">
      <c r="A43" s="124" t="s">
        <v>1462</v>
      </c>
      <c r="B43" s="124" t="s">
        <v>1463</v>
      </c>
      <c r="C43" s="130">
        <v>477977000</v>
      </c>
      <c r="E43" s="130">
        <v>429828000</v>
      </c>
      <c r="G43" s="130">
        <v>391456000</v>
      </c>
      <c r="I43" s="130">
        <v>361083000</v>
      </c>
      <c r="K43" s="130">
        <v>319448000</v>
      </c>
      <c r="M43" s="130">
        <v>293096000</v>
      </c>
      <c r="O43" s="124" t="s">
        <v>25</v>
      </c>
      <c r="Q43" s="136">
        <f>ROUND(C21/C52,4)*100</f>
        <v>5.41</v>
      </c>
      <c r="R43" s="137" t="s">
        <v>18</v>
      </c>
      <c r="S43" s="136">
        <f>ROUND(E21/E52,4)*100</f>
        <v>4.8599999999999994</v>
      </c>
      <c r="T43" s="137" t="s">
        <v>18</v>
      </c>
      <c r="U43" s="136">
        <f>ROUND(G21/G52,4)*100</f>
        <v>4.2700000000000005</v>
      </c>
      <c r="V43" s="137" t="s">
        <v>18</v>
      </c>
      <c r="W43" s="136">
        <f>ROUND(I21/I52,4)*100</f>
        <v>6.2799999999999994</v>
      </c>
      <c r="X43" s="137" t="s">
        <v>18</v>
      </c>
      <c r="Y43" s="136">
        <f>ROUND(K21/K52,4)*100</f>
        <v>4.5699999999999994</v>
      </c>
      <c r="Z43" s="137" t="s">
        <v>18</v>
      </c>
      <c r="AA43" s="136">
        <f>ROUND(AVERAGE(Q43:Y43),2)</f>
        <v>5.08</v>
      </c>
      <c r="AB43" s="137" t="s">
        <v>18</v>
      </c>
    </row>
    <row r="44" spans="1:28">
      <c r="A44" s="124" t="s">
        <v>1464</v>
      </c>
      <c r="B44" s="124" t="s">
        <v>1465</v>
      </c>
      <c r="C44" s="130">
        <v>153736000</v>
      </c>
      <c r="E44" s="130">
        <v>145353000</v>
      </c>
      <c r="G44" s="130">
        <v>138903000</v>
      </c>
      <c r="I44" s="130">
        <v>8080000</v>
      </c>
      <c r="K44" s="130">
        <v>221383000</v>
      </c>
      <c r="M44" s="130">
        <v>200373000</v>
      </c>
      <c r="O44" s="124" t="s">
        <v>27</v>
      </c>
      <c r="Q44" s="136">
        <f>(ROUND((C52/(AVERAGE(C48,E48))*100),2))</f>
        <v>166.67</v>
      </c>
      <c r="S44" s="136">
        <f>(ROUND((E52/(AVERAGE(E48,G48))*100),2))</f>
        <v>196.87</v>
      </c>
      <c r="U44" s="136">
        <f>(ROUND((G52/(AVERAGE(G48,I48))*100),2))</f>
        <v>224.03</v>
      </c>
      <c r="W44" s="136">
        <f>(ROUND((I52/(AVERAGE(I48,K48))*100),2))</f>
        <v>217.06</v>
      </c>
      <c r="Y44" s="136">
        <f>(ROUND((K52/(AVERAGE(K48,M48))*100),2))</f>
        <v>225.01</v>
      </c>
      <c r="AA44" s="136">
        <f>ROUND(AVERAGE(Q44:Y44),2)</f>
        <v>205.93</v>
      </c>
    </row>
    <row r="45" spans="1:28">
      <c r="C45" s="130"/>
      <c r="E45" s="130"/>
      <c r="G45" s="130"/>
      <c r="I45" s="130"/>
      <c r="O45" s="124" t="s">
        <v>28</v>
      </c>
      <c r="Q45" s="136">
        <f>ROUND(((+C26/C52)*100),2)</f>
        <v>2.64</v>
      </c>
      <c r="S45" s="136">
        <f>ROUND(((+E26/E52)*100),2)</f>
        <v>2.29</v>
      </c>
      <c r="U45" s="136">
        <f>ROUND(((+G26/G52)*100),2)</f>
        <v>2.06</v>
      </c>
      <c r="W45" s="136">
        <f>ROUND(((+I26/I52)*100),2)</f>
        <v>2.25</v>
      </c>
      <c r="Y45" s="136">
        <f>ROUND(((+K26/K52)*100),2)</f>
        <v>2.2799999999999998</v>
      </c>
      <c r="AA45" s="136">
        <f>ROUND(AVERAGE(Q45:Y45),2)</f>
        <v>2.2999999999999998</v>
      </c>
    </row>
    <row r="46" spans="1:28">
      <c r="A46" s="124" t="s">
        <v>59</v>
      </c>
      <c r="C46" s="130"/>
      <c r="E46" s="130"/>
      <c r="G46" s="130"/>
      <c r="I46" s="130"/>
      <c r="K46" s="131"/>
      <c r="L46" s="131"/>
      <c r="M46" s="131"/>
      <c r="O46" s="124" t="s">
        <v>29</v>
      </c>
      <c r="P46" s="132"/>
      <c r="Q46" s="136">
        <f>ROUND(((+C38/C34)*100),2)</f>
        <v>48.67</v>
      </c>
      <c r="S46" s="136">
        <f>ROUND(((+E38/E34)*100),2)</f>
        <v>46.96</v>
      </c>
      <c r="U46" s="136">
        <f>ROUND(((+G38/G34)*100),2)</f>
        <v>48.05</v>
      </c>
      <c r="W46" s="136">
        <f>ROUND(((+I38/I34)*100),2)</f>
        <v>35.64</v>
      </c>
      <c r="Y46" s="136">
        <f>ROUND(((+K38/K34)*100),2)</f>
        <v>48.42</v>
      </c>
      <c r="AA46" s="136">
        <f>ROUND(AVERAGE(Q46:Y46),2)</f>
        <v>45.55</v>
      </c>
    </row>
    <row r="47" spans="1:28">
      <c r="C47" s="130"/>
      <c r="E47" s="130"/>
      <c r="G47" s="130"/>
      <c r="I47" s="130"/>
      <c r="K47" s="131"/>
      <c r="L47" s="131"/>
      <c r="M47" s="131"/>
      <c r="Q47" s="136"/>
      <c r="S47" s="136"/>
      <c r="U47" s="136"/>
      <c r="W47" s="136"/>
      <c r="Y47" s="136"/>
      <c r="AA47" s="136"/>
    </row>
    <row r="48" spans="1:28">
      <c r="A48" s="124" t="s">
        <v>7</v>
      </c>
      <c r="B48" s="124" t="s">
        <v>50</v>
      </c>
      <c r="C48" s="130">
        <f>C16/C15</f>
        <v>59.710796623289305</v>
      </c>
      <c r="E48" s="130">
        <f>E16/E15</f>
        <v>53.948755711249632</v>
      </c>
      <c r="G48" s="130">
        <f>G16/G15</f>
        <v>48.183968474661555</v>
      </c>
      <c r="I48" s="130">
        <f>I16/I15</f>
        <v>42.866838513829009</v>
      </c>
      <c r="K48" s="130">
        <f>K16/K15</f>
        <v>36.743597833813745</v>
      </c>
      <c r="L48" s="131"/>
      <c r="M48" s="130">
        <f>M16/M15</f>
        <v>33.320892334266262</v>
      </c>
      <c r="O48" s="132" t="s">
        <v>41</v>
      </c>
      <c r="P48" s="132"/>
      <c r="Q48" s="136">
        <f>ROUND(((C34/AVERAGE(C16,E16))*100),2)</f>
        <v>9.06</v>
      </c>
      <c r="R48" s="124" t="s">
        <v>18</v>
      </c>
      <c r="S48" s="136">
        <f>ROUND(((E34/AVERAGE(E16,G16))*100),2)</f>
        <v>9.59</v>
      </c>
      <c r="T48" s="124" t="s">
        <v>18</v>
      </c>
      <c r="U48" s="136">
        <f>ROUND(((G34/AVERAGE(G16,I16))*100),2)</f>
        <v>9.7200000000000006</v>
      </c>
      <c r="V48" s="124" t="s">
        <v>18</v>
      </c>
      <c r="W48" s="136">
        <f>ROUND(((I34/AVERAGE(I16,K16))*100),2)</f>
        <v>13.91</v>
      </c>
      <c r="X48" s="124" t="s">
        <v>18</v>
      </c>
      <c r="Y48" s="136">
        <f>ROUND(((K34/AVERAGE(K16,M16))*100),2)</f>
        <v>10.77</v>
      </c>
      <c r="Z48" s="124" t="s">
        <v>18</v>
      </c>
      <c r="AA48" s="136">
        <f>ROUND(AVERAGE(Q48:Y48),2)</f>
        <v>10.61</v>
      </c>
      <c r="AB48" s="124" t="s">
        <v>18</v>
      </c>
    </row>
    <row r="49" spans="1:28">
      <c r="C49" s="130"/>
      <c r="E49" s="130"/>
      <c r="G49" s="130"/>
      <c r="I49" s="130"/>
      <c r="K49" s="130"/>
      <c r="L49" s="131"/>
      <c r="M49" s="130"/>
      <c r="Q49" s="136"/>
      <c r="S49" s="136"/>
      <c r="U49" s="136"/>
      <c r="W49" s="136"/>
      <c r="Y49" s="136"/>
      <c r="AA49" s="137"/>
    </row>
    <row r="50" spans="1:28">
      <c r="A50" s="124" t="s">
        <v>13</v>
      </c>
      <c r="B50" s="124" t="s">
        <v>50</v>
      </c>
      <c r="C50" s="130">
        <f>SUM(C12:C13,C16:C17)</f>
        <v>13037546000</v>
      </c>
      <c r="E50" s="130">
        <f>SUM(E12:E13,E16:E17)</f>
        <v>11323147000</v>
      </c>
      <c r="G50" s="130">
        <f>SUM(G12:G13,G16:G17)</f>
        <v>9279675000</v>
      </c>
      <c r="I50" s="130">
        <f>SUM(I12:I13,I16:I17)</f>
        <v>7838616000</v>
      </c>
      <c r="K50" s="130">
        <f>SUM(K12:K13,K16:K17)</f>
        <v>6965711000</v>
      </c>
      <c r="L50" s="131"/>
      <c r="M50" s="130">
        <f>SUM(M12:M13,M16:M17)</f>
        <v>5901838000</v>
      </c>
      <c r="O50" s="132" t="s">
        <v>142</v>
      </c>
      <c r="Q50" s="136">
        <f>ROUND((C54/C62),2)</f>
        <v>3.72</v>
      </c>
      <c r="R50" s="137" t="s">
        <v>44</v>
      </c>
      <c r="S50" s="136">
        <f>ROUND((E54/E62),2)</f>
        <v>3.59</v>
      </c>
      <c r="T50" s="137" t="s">
        <v>44</v>
      </c>
      <c r="U50" s="136">
        <f>ROUND((G54/G62),2)</f>
        <v>3.49</v>
      </c>
      <c r="V50" s="137" t="s">
        <v>44</v>
      </c>
      <c r="W50" s="136">
        <f>ROUND((I54/I62),2)</f>
        <v>3.38</v>
      </c>
      <c r="X50" s="137" t="s">
        <v>44</v>
      </c>
      <c r="Y50" s="136">
        <f>ROUND((K54/K62),2)</f>
        <v>3.32</v>
      </c>
      <c r="Z50" s="137" t="s">
        <v>44</v>
      </c>
      <c r="AA50" s="136">
        <f>ROUND(AVERAGE(Q50:Y50),2)</f>
        <v>3.5</v>
      </c>
      <c r="AB50" s="124" t="s">
        <v>44</v>
      </c>
    </row>
    <row r="51" spans="1:28">
      <c r="C51" s="130"/>
      <c r="E51" s="130"/>
      <c r="G51" s="130"/>
      <c r="I51" s="130"/>
      <c r="K51" s="130"/>
      <c r="L51" s="131"/>
      <c r="M51" s="130"/>
      <c r="O51" s="132"/>
      <c r="Q51" s="136"/>
      <c r="S51" s="136"/>
      <c r="U51" s="136"/>
      <c r="W51" s="136"/>
      <c r="Y51" s="136"/>
      <c r="AA51" s="136"/>
    </row>
    <row r="52" spans="1:28">
      <c r="A52" s="124" t="s">
        <v>23</v>
      </c>
      <c r="B52" s="124" t="s">
        <v>50</v>
      </c>
      <c r="C52" s="130">
        <f>AVERAGE(C22:C23)</f>
        <v>94.72</v>
      </c>
      <c r="E52" s="130">
        <f>AVERAGE(E22:E23)</f>
        <v>100.535</v>
      </c>
      <c r="G52" s="130">
        <f>AVERAGE(G22:G23)</f>
        <v>101.99000000000001</v>
      </c>
      <c r="I52" s="130">
        <f>AVERAGE(I22:I23)</f>
        <v>86.4</v>
      </c>
      <c r="K52" s="130">
        <f>AVERAGE(K22:K23)</f>
        <v>78.824999999999989</v>
      </c>
      <c r="L52" s="131"/>
      <c r="M52" s="130">
        <f>AVERAGE(M22:M23)</f>
        <v>69.569999999999993</v>
      </c>
      <c r="O52" s="132" t="s">
        <v>57</v>
      </c>
      <c r="Q52" s="136">
        <f>ROUND(((C60/C54)*100),2)</f>
        <v>11.23</v>
      </c>
      <c r="R52" s="137" t="s">
        <v>18</v>
      </c>
      <c r="S52" s="136">
        <f>ROUND(((E60/E54)*100),2)</f>
        <v>19.25</v>
      </c>
      <c r="T52" s="137" t="s">
        <v>18</v>
      </c>
      <c r="U52" s="136">
        <f>ROUND(((G60/G54)*100),2)</f>
        <v>21.86</v>
      </c>
      <c r="V52" s="137" t="s">
        <v>18</v>
      </c>
      <c r="W52" s="136">
        <f>ROUND(((I60/I54)*100),2)</f>
        <v>34.369999999999997</v>
      </c>
      <c r="X52" s="137" t="s">
        <v>18</v>
      </c>
      <c r="Y52" s="136">
        <f>ROUND(((K60/K54)*100),2)</f>
        <v>22.52</v>
      </c>
      <c r="Z52" s="137" t="s">
        <v>18</v>
      </c>
      <c r="AA52" s="136">
        <f>ROUND(AVERAGE(Q52:Y52),2)</f>
        <v>21.85</v>
      </c>
      <c r="AB52" s="124" t="s">
        <v>18</v>
      </c>
    </row>
    <row r="53" spans="1:28">
      <c r="C53" s="130"/>
      <c r="E53" s="130"/>
      <c r="G53" s="130"/>
      <c r="I53" s="130"/>
      <c r="K53" s="130"/>
      <c r="L53" s="131"/>
      <c r="M53" s="130"/>
      <c r="O53" s="143"/>
      <c r="Q53" s="136"/>
      <c r="S53" s="136"/>
      <c r="U53" s="136"/>
      <c r="W53" s="136"/>
      <c r="Y53" s="136"/>
    </row>
    <row r="54" spans="1:28">
      <c r="A54" s="124" t="s">
        <v>53</v>
      </c>
      <c r="C54" s="214">
        <f>+C19+C12</f>
        <v>5130657000</v>
      </c>
      <c r="E54" s="214">
        <f>+E19+E12</f>
        <v>4531944000</v>
      </c>
      <c r="G54" s="214">
        <f>+G19+G12</f>
        <v>3994367000</v>
      </c>
      <c r="I54" s="214">
        <f>+I19+I12</f>
        <v>3644445000</v>
      </c>
      <c r="K54" s="214">
        <f>+K19+K12</f>
        <v>3514790000</v>
      </c>
      <c r="L54" s="215"/>
      <c r="M54" s="214">
        <f>+M19+M12</f>
        <v>3268590000</v>
      </c>
      <c r="O54" s="143" t="s">
        <v>56</v>
      </c>
      <c r="Q54" s="136">
        <f>Q33</f>
        <v>39.35</v>
      </c>
      <c r="R54" s="137" t="s">
        <v>18</v>
      </c>
      <c r="S54" s="136">
        <f>S33</f>
        <v>40.020000000000003</v>
      </c>
      <c r="T54" s="137" t="s">
        <v>18</v>
      </c>
      <c r="U54" s="136">
        <f>U33</f>
        <v>40.99</v>
      </c>
      <c r="V54" s="137" t="s">
        <v>18</v>
      </c>
      <c r="W54" s="136">
        <f>W33</f>
        <v>43.31</v>
      </c>
      <c r="X54" s="137" t="s">
        <v>18</v>
      </c>
      <c r="Y54" s="136">
        <f>Y33</f>
        <v>47.41</v>
      </c>
      <c r="Z54" s="137" t="s">
        <v>18</v>
      </c>
      <c r="AA54" s="136">
        <f>ROUND(AVERAGE(Q54:Y54),2)</f>
        <v>42.22</v>
      </c>
      <c r="AB54" s="137" t="s">
        <v>18</v>
      </c>
    </row>
    <row r="55" spans="1:28">
      <c r="C55" s="130"/>
      <c r="E55" s="130"/>
      <c r="G55" s="130"/>
      <c r="I55" s="130"/>
      <c r="K55" s="130"/>
      <c r="L55" s="131"/>
      <c r="M55" s="130"/>
    </row>
    <row r="56" spans="1:28">
      <c r="A56" s="124" t="s">
        <v>31</v>
      </c>
      <c r="B56" s="124" t="s">
        <v>50</v>
      </c>
      <c r="C56" s="130">
        <f>SUM(C50,C19)</f>
        <v>13037546000</v>
      </c>
      <c r="E56" s="130">
        <f>SUM(E50,E19)</f>
        <v>11323147000</v>
      </c>
      <c r="G56" s="130">
        <f>SUM(G50,G19)</f>
        <v>9744590000</v>
      </c>
      <c r="I56" s="130">
        <f>SUM(I50,I19)</f>
        <v>8414396000</v>
      </c>
      <c r="K56" s="130">
        <f>SUM(K50,K19)</f>
        <v>7413456000</v>
      </c>
      <c r="L56" s="131"/>
      <c r="M56" s="130">
        <f>SUM(M50,M19)</f>
        <v>6731649000</v>
      </c>
    </row>
    <row r="57" spans="1:28">
      <c r="C57" s="130"/>
      <c r="E57" s="130"/>
      <c r="G57" s="130"/>
      <c r="I57" s="130"/>
      <c r="K57" s="130"/>
      <c r="L57" s="131"/>
      <c r="M57" s="130"/>
    </row>
    <row r="58" spans="1:28">
      <c r="A58" s="124" t="s">
        <v>51</v>
      </c>
      <c r="B58" s="124" t="s">
        <v>50</v>
      </c>
      <c r="C58" s="130">
        <f>SUM(C13,C17)</f>
        <v>0</v>
      </c>
      <c r="E58" s="130">
        <f>SUM(E13,E17)</f>
        <v>0</v>
      </c>
      <c r="G58" s="130">
        <f>SUM(G13,G17)</f>
        <v>0</v>
      </c>
      <c r="I58" s="130">
        <f>SUM(I13,I17)</f>
        <v>0</v>
      </c>
      <c r="K58" s="130">
        <f>SUM(K13,K17)</f>
        <v>0</v>
      </c>
      <c r="L58" s="131"/>
      <c r="M58" s="130">
        <f>SUM(M13,M17)</f>
        <v>0</v>
      </c>
    </row>
    <row r="59" spans="1:28">
      <c r="C59" s="130"/>
      <c r="E59" s="130"/>
      <c r="G59" s="130"/>
      <c r="I59" s="130"/>
      <c r="K59" s="130"/>
      <c r="L59" s="131"/>
      <c r="M59" s="130"/>
    </row>
    <row r="60" spans="1:28">
      <c r="A60" s="126" t="s">
        <v>1466</v>
      </c>
      <c r="B60" s="124" t="s">
        <v>50</v>
      </c>
      <c r="C60" s="130">
        <f>ROUND(C41+C42-C28,3)</f>
        <v>576219652</v>
      </c>
      <c r="E60" s="130">
        <f>ROUND(E41+E42-E28,3)</f>
        <v>872394000</v>
      </c>
      <c r="G60" s="130">
        <f>ROUND(G41+G42-G28,3)</f>
        <v>873275000</v>
      </c>
      <c r="I60" s="130">
        <f>ROUND(I41+I42-I28,3)</f>
        <v>1252723000</v>
      </c>
      <c r="K60" s="130">
        <f>ROUND(K41+K42-K28,3)</f>
        <v>791413000</v>
      </c>
      <c r="L60" s="131"/>
      <c r="M60" s="130">
        <f>ROUND(M41+M42-M28,3)</f>
        <v>728978000</v>
      </c>
    </row>
    <row r="61" spans="1:28">
      <c r="A61" s="126"/>
      <c r="C61" s="130"/>
      <c r="E61" s="130"/>
      <c r="G61" s="130"/>
      <c r="I61" s="130"/>
      <c r="K61" s="130"/>
      <c r="L61" s="131"/>
      <c r="M61" s="130"/>
    </row>
    <row r="62" spans="1:28">
      <c r="A62" s="124" t="s">
        <v>1467</v>
      </c>
      <c r="B62" s="124" t="s">
        <v>50</v>
      </c>
      <c r="C62" s="130">
        <f>C40+C44+C43+C30</f>
        <v>1380830000</v>
      </c>
      <c r="E62" s="130">
        <f>E40+E44+E43+E30</f>
        <v>1261098000</v>
      </c>
      <c r="G62" s="130">
        <f>G40+G44+G43+G30</f>
        <v>1144918000</v>
      </c>
      <c r="I62" s="130">
        <f>I40+I44+I43+I30</f>
        <v>1078873000</v>
      </c>
      <c r="K62" s="130">
        <f>K40+K44+K43+K30</f>
        <v>1057434000</v>
      </c>
      <c r="M62" s="130">
        <f>M40+M44+M43+M30</f>
        <v>959521000</v>
      </c>
    </row>
    <row r="63" spans="1:28">
      <c r="E63" s="131"/>
      <c r="F63" s="131"/>
      <c r="G63" s="131"/>
      <c r="H63" s="131"/>
      <c r="I63" s="131"/>
      <c r="J63" s="131"/>
      <c r="K63" s="131"/>
      <c r="L63" s="131"/>
      <c r="M63" s="131"/>
    </row>
    <row r="64" spans="1:28">
      <c r="E64" s="131"/>
      <c r="F64" s="131"/>
      <c r="G64" s="131"/>
      <c r="H64" s="131"/>
      <c r="I64" s="131"/>
      <c r="J64" s="131"/>
      <c r="K64" s="131"/>
      <c r="L64" s="131"/>
      <c r="M64" s="131"/>
    </row>
    <row r="71" spans="5:13">
      <c r="E71" s="131"/>
      <c r="F71" s="131"/>
      <c r="G71" s="131"/>
      <c r="H71" s="131"/>
      <c r="I71" s="131"/>
      <c r="J71" s="131"/>
      <c r="K71" s="131"/>
      <c r="L71" s="131"/>
      <c r="M71" s="131"/>
    </row>
    <row r="81" spans="5:221">
      <c r="HI81" s="144"/>
      <c r="HJ81" s="144"/>
      <c r="HM81" s="124" t="s">
        <v>48</v>
      </c>
    </row>
    <row r="94" spans="5:221">
      <c r="E94" s="131"/>
      <c r="F94" s="131"/>
      <c r="G94" s="131"/>
      <c r="H94" s="131"/>
      <c r="I94" s="131"/>
      <c r="J94" s="131"/>
      <c r="K94" s="131"/>
      <c r="L94" s="131"/>
      <c r="M94" s="131"/>
    </row>
    <row r="95" spans="5:221">
      <c r="E95" s="131"/>
      <c r="F95" s="131"/>
      <c r="G95" s="131"/>
      <c r="H95" s="131"/>
      <c r="I95" s="131"/>
      <c r="J95" s="131"/>
      <c r="K95" s="131"/>
      <c r="L95" s="131"/>
      <c r="M95" s="131"/>
    </row>
    <row r="96" spans="5:221">
      <c r="E96" s="131"/>
      <c r="F96" s="131"/>
      <c r="G96" s="131"/>
      <c r="H96" s="131"/>
      <c r="I96" s="131"/>
      <c r="J96" s="131"/>
      <c r="K96" s="131"/>
      <c r="L96" s="131"/>
      <c r="M96" s="131"/>
    </row>
    <row r="97" spans="5:13">
      <c r="E97" s="131"/>
      <c r="F97" s="131"/>
      <c r="G97" s="131"/>
      <c r="H97" s="131"/>
      <c r="I97" s="131"/>
      <c r="J97" s="131"/>
      <c r="K97" s="131"/>
      <c r="L97" s="131"/>
      <c r="M97" s="131"/>
    </row>
    <row r="98" spans="5:13">
      <c r="E98" s="131"/>
      <c r="F98" s="131"/>
      <c r="G98" s="131"/>
      <c r="H98" s="131"/>
      <c r="I98" s="131"/>
      <c r="J98" s="131"/>
      <c r="K98" s="131"/>
      <c r="L98" s="131"/>
      <c r="M98" s="131"/>
    </row>
    <row r="99" spans="5:13">
      <c r="E99" s="131"/>
      <c r="F99" s="131"/>
      <c r="G99" s="131"/>
      <c r="H99" s="131"/>
      <c r="I99" s="131"/>
      <c r="J99" s="131"/>
      <c r="K99" s="131"/>
      <c r="L99" s="131"/>
      <c r="M99" s="131"/>
    </row>
    <row r="100" spans="5:13">
      <c r="E100" s="131"/>
      <c r="F100" s="131"/>
      <c r="G100" s="131"/>
      <c r="H100" s="131"/>
      <c r="I100" s="131"/>
      <c r="J100" s="131"/>
      <c r="K100" s="131"/>
      <c r="L100" s="131"/>
      <c r="M100" s="131"/>
    </row>
    <row r="101" spans="5:13">
      <c r="E101" s="131"/>
      <c r="F101" s="131"/>
      <c r="G101" s="131"/>
      <c r="H101" s="131"/>
      <c r="I101" s="131"/>
      <c r="J101" s="131"/>
      <c r="K101" s="131"/>
      <c r="L101" s="131"/>
      <c r="M101" s="131"/>
    </row>
    <row r="102" spans="5:13">
      <c r="E102" s="131"/>
      <c r="F102" s="131"/>
      <c r="G102" s="131"/>
      <c r="H102" s="131"/>
      <c r="I102" s="131"/>
      <c r="J102" s="131"/>
      <c r="K102" s="131"/>
      <c r="L102" s="131"/>
      <c r="M102" s="131"/>
    </row>
    <row r="103" spans="5:13">
      <c r="E103" s="131"/>
      <c r="F103" s="131"/>
      <c r="G103" s="131"/>
      <c r="H103" s="131"/>
      <c r="I103" s="131"/>
      <c r="J103" s="131"/>
      <c r="K103" s="131"/>
      <c r="L103" s="131"/>
      <c r="M103" s="131"/>
    </row>
    <row r="104" spans="5:13">
      <c r="E104" s="131"/>
      <c r="F104" s="131"/>
      <c r="G104" s="131"/>
      <c r="H104" s="131"/>
      <c r="I104" s="131"/>
      <c r="J104" s="131"/>
      <c r="K104" s="131"/>
      <c r="L104" s="131"/>
      <c r="M104" s="131"/>
    </row>
    <row r="105" spans="5:13">
      <c r="E105" s="131"/>
      <c r="F105" s="131"/>
      <c r="G105" s="131"/>
      <c r="H105" s="131"/>
      <c r="I105" s="131"/>
      <c r="J105" s="131"/>
      <c r="K105" s="131"/>
      <c r="L105" s="131"/>
      <c r="M105" s="131"/>
    </row>
    <row r="106" spans="5:13">
      <c r="E106" s="131"/>
      <c r="F106" s="131"/>
      <c r="G106" s="131"/>
      <c r="H106" s="131"/>
      <c r="I106" s="131"/>
      <c r="J106" s="131"/>
      <c r="K106" s="131"/>
      <c r="L106" s="131"/>
      <c r="M106" s="131"/>
    </row>
    <row r="107" spans="5:13">
      <c r="E107" s="131"/>
      <c r="F107" s="131"/>
      <c r="G107" s="131"/>
      <c r="H107" s="131"/>
      <c r="I107" s="131"/>
      <c r="J107" s="131"/>
      <c r="K107" s="131"/>
      <c r="L107" s="131"/>
      <c r="M107" s="131"/>
    </row>
    <row r="108" spans="5:13">
      <c r="E108" s="131"/>
      <c r="F108" s="131"/>
      <c r="G108" s="131"/>
      <c r="H108" s="131"/>
      <c r="I108" s="131"/>
      <c r="J108" s="131"/>
      <c r="K108" s="131"/>
      <c r="L108" s="131"/>
      <c r="M108" s="131"/>
    </row>
    <row r="109" spans="5:13">
      <c r="E109" s="131"/>
      <c r="F109" s="131"/>
      <c r="G109" s="131"/>
      <c r="H109" s="131"/>
      <c r="I109" s="131"/>
      <c r="J109" s="131"/>
      <c r="K109" s="131"/>
      <c r="L109" s="131"/>
      <c r="M109" s="131"/>
    </row>
    <row r="110" spans="5:13">
      <c r="E110" s="131"/>
      <c r="F110" s="131"/>
      <c r="G110" s="131"/>
      <c r="H110" s="131"/>
      <c r="I110" s="131"/>
      <c r="J110" s="131"/>
      <c r="K110" s="131"/>
      <c r="L110" s="131"/>
      <c r="M110" s="131"/>
    </row>
    <row r="111" spans="5:13">
      <c r="E111" s="131"/>
      <c r="F111" s="131"/>
      <c r="G111" s="131"/>
      <c r="H111" s="131"/>
      <c r="I111" s="131"/>
      <c r="J111" s="131"/>
      <c r="K111" s="131"/>
      <c r="L111" s="131"/>
      <c r="M111" s="131"/>
    </row>
    <row r="112" spans="5:13">
      <c r="E112" s="131"/>
      <c r="F112" s="131"/>
      <c r="G112" s="131"/>
      <c r="H112" s="131"/>
      <c r="I112" s="131"/>
      <c r="J112" s="131"/>
      <c r="K112" s="131"/>
      <c r="L112" s="131"/>
      <c r="M112" s="131"/>
    </row>
    <row r="113" spans="5:13">
      <c r="E113" s="131"/>
      <c r="F113" s="131"/>
      <c r="G113" s="131"/>
      <c r="H113" s="131"/>
      <c r="I113" s="131"/>
      <c r="J113" s="131"/>
      <c r="K113" s="131"/>
      <c r="L113" s="131"/>
      <c r="M113" s="131"/>
    </row>
    <row r="114" spans="5:13">
      <c r="E114" s="131"/>
      <c r="F114" s="131"/>
      <c r="G114" s="131"/>
      <c r="H114" s="131"/>
      <c r="I114" s="131"/>
      <c r="J114" s="131"/>
      <c r="K114" s="131"/>
      <c r="L114" s="131"/>
      <c r="M114" s="131"/>
    </row>
    <row r="115" spans="5:13">
      <c r="E115" s="131"/>
      <c r="F115" s="131"/>
      <c r="G115" s="131"/>
      <c r="H115" s="131"/>
      <c r="I115" s="131"/>
      <c r="J115" s="131"/>
      <c r="K115" s="131"/>
      <c r="L115" s="131"/>
      <c r="M115" s="131"/>
    </row>
    <row r="116" spans="5:13">
      <c r="E116" s="131"/>
      <c r="F116" s="131"/>
      <c r="G116" s="131"/>
      <c r="H116" s="131"/>
      <c r="I116" s="131"/>
      <c r="J116" s="131"/>
      <c r="K116" s="131"/>
      <c r="L116" s="131"/>
      <c r="M116" s="131"/>
    </row>
    <row r="117" spans="5:13">
      <c r="E117" s="131"/>
      <c r="F117" s="131"/>
      <c r="G117" s="131"/>
      <c r="H117" s="131"/>
      <c r="I117" s="131"/>
      <c r="J117" s="131"/>
      <c r="K117" s="131"/>
      <c r="L117" s="131"/>
      <c r="M117" s="131"/>
    </row>
    <row r="118" spans="5:13">
      <c r="E118" s="131"/>
      <c r="F118" s="131"/>
      <c r="G118" s="131"/>
      <c r="H118" s="131"/>
      <c r="I118" s="131"/>
      <c r="J118" s="131"/>
      <c r="K118" s="131"/>
      <c r="L118" s="131"/>
      <c r="M118" s="131"/>
    </row>
    <row r="119" spans="5:13">
      <c r="E119" s="131"/>
      <c r="F119" s="131"/>
      <c r="G119" s="131"/>
      <c r="H119" s="131"/>
      <c r="I119" s="131"/>
      <c r="J119" s="131"/>
      <c r="K119" s="131"/>
      <c r="L119" s="131"/>
      <c r="M119" s="131"/>
    </row>
    <row r="120" spans="5:13">
      <c r="E120" s="131"/>
      <c r="F120" s="131"/>
      <c r="G120" s="131"/>
      <c r="H120" s="131"/>
      <c r="I120" s="131"/>
      <c r="J120" s="131"/>
      <c r="K120" s="131"/>
      <c r="L120" s="131"/>
      <c r="M120" s="131"/>
    </row>
    <row r="121" spans="5:13">
      <c r="E121" s="131"/>
      <c r="F121" s="131"/>
      <c r="G121" s="131"/>
      <c r="H121" s="131"/>
      <c r="I121" s="131"/>
      <c r="J121" s="131"/>
      <c r="K121" s="131"/>
      <c r="L121" s="131"/>
      <c r="M121" s="131"/>
    </row>
    <row r="122" spans="5:13">
      <c r="E122" s="131"/>
      <c r="F122" s="131"/>
      <c r="G122" s="131"/>
      <c r="H122" s="131"/>
      <c r="I122" s="131"/>
      <c r="J122" s="131"/>
      <c r="K122" s="131"/>
      <c r="L122" s="131"/>
      <c r="M122" s="131"/>
    </row>
    <row r="123" spans="5:13">
      <c r="E123" s="131"/>
      <c r="F123" s="131"/>
      <c r="G123" s="131"/>
      <c r="H123" s="131"/>
      <c r="I123" s="131"/>
      <c r="J123" s="131"/>
      <c r="K123" s="131"/>
      <c r="L123" s="131"/>
      <c r="M123" s="131"/>
    </row>
    <row r="124" spans="5:13">
      <c r="E124" s="131"/>
      <c r="F124" s="131"/>
      <c r="G124" s="131"/>
      <c r="H124" s="131"/>
      <c r="I124" s="131"/>
      <c r="J124" s="131"/>
      <c r="K124" s="131"/>
      <c r="L124" s="131"/>
      <c r="M124" s="131"/>
    </row>
    <row r="125" spans="5:13">
      <c r="E125" s="131"/>
      <c r="F125" s="131"/>
      <c r="G125" s="131"/>
      <c r="H125" s="131"/>
      <c r="I125" s="131"/>
      <c r="J125" s="131"/>
      <c r="K125" s="131"/>
      <c r="L125" s="131"/>
      <c r="M125" s="131"/>
    </row>
    <row r="126" spans="5:13">
      <c r="E126" s="131"/>
      <c r="F126" s="131"/>
      <c r="G126" s="131"/>
      <c r="H126" s="131"/>
      <c r="I126" s="131"/>
      <c r="J126" s="131"/>
      <c r="K126" s="131"/>
      <c r="L126" s="131"/>
      <c r="M126" s="131"/>
    </row>
    <row r="127" spans="5:13">
      <c r="E127" s="131"/>
      <c r="F127" s="131"/>
      <c r="G127" s="131"/>
      <c r="H127" s="131"/>
      <c r="I127" s="131"/>
      <c r="J127" s="131"/>
      <c r="K127" s="131"/>
      <c r="L127" s="131"/>
      <c r="M127" s="131"/>
    </row>
    <row r="128" spans="5:13">
      <c r="E128" s="131"/>
      <c r="F128" s="131"/>
      <c r="G128" s="131"/>
      <c r="H128" s="131"/>
      <c r="I128" s="131"/>
      <c r="J128" s="131"/>
      <c r="K128" s="131"/>
      <c r="L128" s="131"/>
      <c r="M128" s="131"/>
    </row>
    <row r="129" spans="5:13">
      <c r="E129" s="131"/>
      <c r="F129" s="131"/>
      <c r="G129" s="131"/>
      <c r="H129" s="131"/>
      <c r="I129" s="131"/>
      <c r="J129" s="131"/>
      <c r="K129" s="131"/>
      <c r="L129" s="131"/>
      <c r="M129" s="131"/>
    </row>
    <row r="130" spans="5:13">
      <c r="E130" s="131"/>
      <c r="F130" s="131"/>
      <c r="G130" s="131"/>
      <c r="H130" s="131"/>
      <c r="I130" s="131"/>
      <c r="J130" s="131"/>
      <c r="K130" s="131"/>
      <c r="L130" s="131"/>
      <c r="M130" s="131"/>
    </row>
    <row r="131" spans="5:13">
      <c r="E131" s="131"/>
      <c r="F131" s="131"/>
      <c r="G131" s="131"/>
      <c r="H131" s="131"/>
      <c r="I131" s="131"/>
      <c r="J131" s="131"/>
      <c r="K131" s="131"/>
      <c r="L131" s="131"/>
    </row>
    <row r="132" spans="5:13">
      <c r="E132" s="131"/>
      <c r="F132" s="131"/>
      <c r="G132" s="131"/>
      <c r="H132" s="131"/>
      <c r="I132" s="131"/>
      <c r="J132" s="131"/>
      <c r="K132" s="131"/>
      <c r="L132" s="131"/>
    </row>
    <row r="133" spans="5:13">
      <c r="E133" s="131"/>
      <c r="F133" s="131"/>
      <c r="G133" s="131"/>
      <c r="H133" s="131"/>
      <c r="I133" s="131"/>
      <c r="J133" s="131"/>
      <c r="K133" s="131"/>
      <c r="L133" s="131"/>
    </row>
    <row r="134" spans="5:13">
      <c r="E134" s="131"/>
      <c r="F134" s="131"/>
      <c r="G134" s="131"/>
      <c r="H134" s="131"/>
      <c r="I134" s="131"/>
      <c r="J134" s="131"/>
      <c r="K134" s="131"/>
      <c r="L134" s="131"/>
    </row>
    <row r="135" spans="5:13">
      <c r="E135" s="131"/>
      <c r="F135" s="131"/>
      <c r="G135" s="131"/>
      <c r="H135" s="131"/>
      <c r="I135" s="131"/>
      <c r="J135" s="131"/>
      <c r="K135" s="131"/>
      <c r="L135" s="131"/>
    </row>
    <row r="136" spans="5:13">
      <c r="E136" s="131"/>
      <c r="F136" s="131"/>
      <c r="G136" s="131"/>
      <c r="H136" s="131"/>
      <c r="I136" s="131"/>
      <c r="J136" s="131"/>
      <c r="K136" s="131"/>
      <c r="L136" s="131"/>
    </row>
    <row r="137" spans="5:13">
      <c r="E137" s="131"/>
      <c r="F137" s="131"/>
      <c r="G137" s="131"/>
      <c r="H137" s="131"/>
      <c r="I137" s="131"/>
      <c r="J137" s="131"/>
      <c r="K137" s="131"/>
      <c r="L137" s="131"/>
    </row>
    <row r="138" spans="5:13">
      <c r="E138" s="131"/>
      <c r="F138" s="131"/>
      <c r="G138" s="131"/>
      <c r="H138" s="131"/>
      <c r="I138" s="131"/>
      <c r="J138" s="131"/>
      <c r="K138" s="131"/>
      <c r="L138" s="131"/>
    </row>
    <row r="139" spans="5:13">
      <c r="E139" s="131"/>
      <c r="F139" s="131"/>
      <c r="G139" s="131"/>
      <c r="H139" s="131"/>
      <c r="I139" s="131"/>
      <c r="J139" s="131"/>
      <c r="K139" s="131"/>
      <c r="L139" s="131"/>
    </row>
    <row r="140" spans="5:13">
      <c r="E140" s="131"/>
      <c r="F140" s="131"/>
      <c r="G140" s="131"/>
      <c r="H140" s="131"/>
      <c r="I140" s="131"/>
      <c r="J140" s="131"/>
      <c r="K140" s="131"/>
      <c r="L140" s="131"/>
    </row>
    <row r="141" spans="5:13">
      <c r="E141" s="131"/>
      <c r="F141" s="131"/>
      <c r="G141" s="131"/>
      <c r="H141" s="131"/>
      <c r="I141" s="131"/>
      <c r="J141" s="131"/>
      <c r="K141" s="131"/>
      <c r="L141" s="131"/>
    </row>
    <row r="142" spans="5:13">
      <c r="E142" s="131"/>
      <c r="F142" s="131"/>
      <c r="G142" s="131"/>
      <c r="H142" s="131"/>
      <c r="I142" s="131"/>
      <c r="J142" s="131"/>
      <c r="K142" s="131"/>
      <c r="L142" s="131"/>
    </row>
    <row r="143" spans="5:13">
      <c r="E143" s="131"/>
      <c r="F143" s="131"/>
      <c r="G143" s="131"/>
      <c r="H143" s="131"/>
      <c r="I143" s="131"/>
      <c r="J143" s="131"/>
      <c r="K143" s="131"/>
      <c r="L143" s="131"/>
    </row>
    <row r="144" spans="5:13">
      <c r="E144" s="131"/>
      <c r="F144" s="131"/>
      <c r="G144" s="131"/>
      <c r="H144" s="131"/>
      <c r="I144" s="131"/>
      <c r="J144" s="131"/>
      <c r="K144" s="131"/>
      <c r="L144" s="131"/>
    </row>
    <row r="145" spans="5:12">
      <c r="E145" s="131"/>
      <c r="F145" s="131"/>
      <c r="G145" s="131"/>
      <c r="H145" s="131"/>
      <c r="I145" s="131"/>
      <c r="J145" s="131"/>
      <c r="K145" s="131"/>
      <c r="L145" s="131"/>
    </row>
    <row r="146" spans="5:12">
      <c r="E146" s="131"/>
      <c r="F146" s="131"/>
      <c r="G146" s="131"/>
      <c r="H146" s="131"/>
      <c r="I146" s="131"/>
      <c r="J146" s="131"/>
      <c r="K146" s="131"/>
      <c r="L146" s="131"/>
    </row>
    <row r="147" spans="5:12">
      <c r="E147" s="131"/>
      <c r="F147" s="131"/>
      <c r="G147" s="131"/>
      <c r="H147" s="131"/>
      <c r="I147" s="131"/>
      <c r="J147" s="131"/>
      <c r="K147" s="131"/>
      <c r="L147" s="131"/>
    </row>
    <row r="148" spans="5:12">
      <c r="E148" s="131"/>
      <c r="F148" s="131"/>
      <c r="G148" s="131"/>
      <c r="H148" s="131"/>
      <c r="I148" s="131"/>
      <c r="J148" s="131"/>
      <c r="K148" s="131"/>
      <c r="L148" s="131"/>
    </row>
    <row r="149" spans="5:12">
      <c r="E149" s="131"/>
      <c r="F149" s="131"/>
      <c r="G149" s="131"/>
      <c r="H149" s="131"/>
      <c r="I149" s="131"/>
      <c r="J149" s="131"/>
      <c r="K149" s="131"/>
      <c r="L149" s="131"/>
    </row>
    <row r="150" spans="5:12">
      <c r="E150" s="131"/>
      <c r="F150" s="131"/>
      <c r="G150" s="131"/>
      <c r="H150" s="131"/>
      <c r="I150" s="131"/>
      <c r="J150" s="131"/>
      <c r="K150" s="131"/>
      <c r="L150" s="131"/>
    </row>
    <row r="151" spans="5:12">
      <c r="E151" s="131"/>
      <c r="F151" s="131"/>
      <c r="G151" s="131"/>
      <c r="H151" s="131"/>
      <c r="I151" s="131"/>
      <c r="J151" s="131"/>
      <c r="K151" s="131"/>
      <c r="L151" s="131"/>
    </row>
    <row r="152" spans="5:12">
      <c r="E152" s="131"/>
      <c r="F152" s="131"/>
      <c r="G152" s="131"/>
      <c r="H152" s="131"/>
      <c r="I152" s="131"/>
      <c r="J152" s="131"/>
      <c r="K152" s="131"/>
      <c r="L152" s="131"/>
    </row>
    <row r="153" spans="5:12">
      <c r="E153" s="131"/>
      <c r="F153" s="131"/>
      <c r="G153" s="131"/>
      <c r="H153" s="131"/>
      <c r="I153" s="131"/>
      <c r="J153" s="131"/>
      <c r="K153" s="131"/>
      <c r="L153" s="131"/>
    </row>
    <row r="154" spans="5:12">
      <c r="E154" s="131"/>
      <c r="F154" s="131"/>
      <c r="G154" s="131"/>
      <c r="H154" s="131"/>
      <c r="I154" s="131"/>
      <c r="J154" s="131"/>
      <c r="K154" s="131"/>
      <c r="L154" s="131"/>
    </row>
  </sheetData>
  <mergeCells count="3">
    <mergeCell ref="AA24:AB24"/>
    <mergeCell ref="AA25:AB25"/>
    <mergeCell ref="E8:I8"/>
  </mergeCells>
  <printOptions horizontalCentered="1"/>
  <pageMargins left="0.75" right="0.75" top="1" bottom="1" header="0.5" footer="0.5"/>
  <pageSetup scale="10" orientation="landscape"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M154"/>
  <sheetViews>
    <sheetView topLeftCell="M30" zoomScale="64" workbookViewId="0">
      <selection activeCell="X46" sqref="X46"/>
    </sheetView>
  </sheetViews>
  <sheetFormatPr defaultColWidth="9" defaultRowHeight="13.2"/>
  <cols>
    <col min="1" max="1" width="35.5546875" style="124" bestFit="1" customWidth="1"/>
    <col min="2" max="2" width="15.33203125" style="124" bestFit="1" customWidth="1"/>
    <col min="3" max="3" width="18.6640625" style="124" customWidth="1"/>
    <col min="4" max="4" width="2.33203125" style="124" customWidth="1"/>
    <col min="5" max="5" width="18.6640625" style="124" customWidth="1"/>
    <col min="6" max="6" width="2" style="124" customWidth="1"/>
    <col min="7" max="7" width="18.6640625" style="124" customWidth="1"/>
    <col min="8" max="8" width="1.88671875" style="124" customWidth="1"/>
    <col min="9" max="9" width="18.6640625" style="124" customWidth="1"/>
    <col min="10" max="10" width="1.88671875" style="124" customWidth="1"/>
    <col min="11" max="11" width="18.6640625" style="124" customWidth="1"/>
    <col min="12" max="12" width="2.33203125" style="124" customWidth="1"/>
    <col min="13" max="13" width="18.6640625" style="124" customWidth="1"/>
    <col min="14" max="14" width="9" style="124"/>
    <col min="15" max="15" width="53.88671875" style="124" bestFit="1" customWidth="1"/>
    <col min="16" max="16" width="6.6640625" style="124" customWidth="1"/>
    <col min="17" max="17" width="11.6640625" style="124" customWidth="1"/>
    <col min="18" max="18" width="2.6640625" style="124" bestFit="1" customWidth="1"/>
    <col min="19" max="19" width="11.6640625" style="124" customWidth="1"/>
    <col min="20" max="20" width="2.6640625" style="124" customWidth="1"/>
    <col min="21" max="21" width="12" style="124" customWidth="1"/>
    <col min="22" max="22" width="2.6640625" style="124" customWidth="1"/>
    <col min="23" max="23" width="12" style="124" customWidth="1"/>
    <col min="24" max="24" width="2.6640625" style="124" customWidth="1"/>
    <col min="25" max="25" width="12" style="124" customWidth="1"/>
    <col min="26" max="26" width="2.6640625" style="124" customWidth="1"/>
    <col min="27" max="27" width="7" style="124" customWidth="1"/>
    <col min="28" max="28" width="2.6640625" style="124" customWidth="1"/>
    <col min="29" max="29" width="9" style="124"/>
    <col min="30" max="30" width="4.33203125" style="124" customWidth="1"/>
    <col min="31" max="31" width="3.6640625" style="124" customWidth="1"/>
    <col min="32" max="32" width="22.33203125" style="124" customWidth="1"/>
    <col min="33" max="220" width="9" style="124"/>
    <col min="221" max="221" width="24.5546875" style="124" bestFit="1" customWidth="1"/>
    <col min="222" max="16384" width="9" style="124"/>
  </cols>
  <sheetData>
    <row r="1" spans="1:27" ht="16.2" customHeight="1">
      <c r="A1" s="505"/>
    </row>
    <row r="2" spans="1:27" ht="16.2" customHeight="1">
      <c r="A2" s="505"/>
    </row>
    <row r="3" spans="1:27" ht="16.2" customHeight="1">
      <c r="A3" s="505"/>
    </row>
    <row r="4" spans="1:27" ht="16.2" customHeight="1" thickBot="1">
      <c r="A4" s="505"/>
    </row>
    <row r="5" spans="1:27" ht="16.8">
      <c r="A5" s="506" t="s">
        <v>2255</v>
      </c>
    </row>
    <row r="6" spans="1:27" ht="14.4" thickBot="1">
      <c r="A6" s="507" t="s">
        <v>214</v>
      </c>
      <c r="E6" s="127" t="s">
        <v>4354</v>
      </c>
      <c r="F6" s="127"/>
      <c r="G6" s="128"/>
      <c r="H6" s="128"/>
      <c r="I6" s="128"/>
      <c r="J6" s="128"/>
      <c r="K6" s="128"/>
      <c r="L6" s="259"/>
      <c r="M6" s="259"/>
      <c r="O6" s="129" t="str">
        <f>E6</f>
        <v>NiSource Inc.</v>
      </c>
      <c r="P6" s="128"/>
      <c r="Q6" s="128"/>
      <c r="R6" s="127"/>
      <c r="S6" s="128"/>
      <c r="T6" s="128"/>
      <c r="U6" s="128"/>
      <c r="V6" s="128"/>
      <c r="W6" s="128"/>
      <c r="X6" s="128"/>
      <c r="Y6" s="128"/>
      <c r="Z6" s="128"/>
      <c r="AA6" s="128"/>
    </row>
    <row r="7" spans="1:27" ht="13.8">
      <c r="E7" s="128" t="s">
        <v>0</v>
      </c>
      <c r="F7" s="128"/>
      <c r="G7" s="128"/>
      <c r="H7" s="128"/>
      <c r="I7" s="128"/>
      <c r="J7" s="128"/>
      <c r="K7" s="128"/>
      <c r="L7" s="259"/>
      <c r="M7" s="259"/>
      <c r="O7" s="128" t="str">
        <f>E7</f>
        <v>CAPITALIZATION AND FINANCIAL STATISTICS  (1)</v>
      </c>
      <c r="P7" s="128"/>
      <c r="Q7" s="128"/>
      <c r="R7" s="128"/>
      <c r="S7" s="128"/>
      <c r="T7" s="128"/>
      <c r="U7" s="128"/>
      <c r="V7" s="128"/>
      <c r="W7" s="128"/>
      <c r="X7" s="128"/>
      <c r="Y7" s="128"/>
      <c r="Z7" s="128"/>
      <c r="AA7" s="128"/>
    </row>
    <row r="8" spans="1:27" ht="13.8">
      <c r="E8" s="127" t="s">
        <v>4355</v>
      </c>
      <c r="F8" s="127"/>
      <c r="G8" s="128"/>
      <c r="H8" s="128"/>
      <c r="I8" s="128"/>
      <c r="J8" s="128"/>
      <c r="K8" s="128"/>
      <c r="L8" s="259"/>
      <c r="M8" s="259"/>
      <c r="O8" s="127" t="s">
        <v>4356</v>
      </c>
      <c r="P8" s="128"/>
      <c r="Q8" s="128"/>
      <c r="R8" s="127"/>
      <c r="S8" s="128"/>
      <c r="T8" s="128"/>
      <c r="U8" s="128"/>
      <c r="V8" s="128"/>
      <c r="W8" s="128"/>
      <c r="X8" s="128"/>
      <c r="Y8" s="128"/>
      <c r="Z8" s="128"/>
      <c r="AA8" s="128"/>
    </row>
    <row r="9" spans="1:27">
      <c r="O9" s="128"/>
      <c r="P9" s="128"/>
      <c r="Q9" s="127"/>
      <c r="R9" s="127"/>
      <c r="S9" s="128"/>
      <c r="T9" s="128"/>
      <c r="U9" s="128"/>
      <c r="V9" s="128"/>
      <c r="W9" s="128"/>
      <c r="X9" s="128"/>
      <c r="Y9" s="128"/>
      <c r="Z9" s="128"/>
      <c r="AA9" s="128"/>
    </row>
    <row r="10" spans="1:27">
      <c r="B10" s="124" t="s">
        <v>4357</v>
      </c>
      <c r="C10" s="326">
        <v>2021</v>
      </c>
      <c r="E10" s="326">
        <v>2020</v>
      </c>
      <c r="G10" s="326">
        <v>2019</v>
      </c>
      <c r="I10" s="326">
        <v>2018</v>
      </c>
      <c r="K10" s="326">
        <v>2017</v>
      </c>
      <c r="M10" s="326">
        <v>2016</v>
      </c>
      <c r="Q10" s="127"/>
      <c r="R10" s="127"/>
      <c r="S10" s="128"/>
      <c r="T10" s="128"/>
      <c r="U10" s="128"/>
      <c r="V10" s="128"/>
      <c r="W10" s="128"/>
      <c r="X10" s="128"/>
      <c r="Y10" s="128"/>
    </row>
    <row r="11" spans="1:27">
      <c r="A11" s="124" t="s">
        <v>1</v>
      </c>
    </row>
    <row r="12" spans="1:27">
      <c r="A12" s="124" t="s">
        <v>2</v>
      </c>
      <c r="B12" s="124" t="s">
        <v>65</v>
      </c>
      <c r="C12" s="130">
        <f>9183400000+58100000</f>
        <v>9241500000</v>
      </c>
      <c r="E12" s="130">
        <f>9219800000+23300000</f>
        <v>9243100000</v>
      </c>
      <c r="F12" s="252"/>
      <c r="G12" s="130">
        <f>7856200000+13400000</f>
        <v>7869600000</v>
      </c>
      <c r="H12" s="252"/>
      <c r="I12" s="130">
        <v>7155400000</v>
      </c>
      <c r="J12" s="252"/>
      <c r="K12" s="130">
        <v>7796500000</v>
      </c>
      <c r="L12" s="252"/>
      <c r="M12" s="130">
        <v>6421300000</v>
      </c>
      <c r="Q12" s="326">
        <f>C10</f>
        <v>2021</v>
      </c>
      <c r="R12" s="326"/>
      <c r="S12" s="326">
        <f>E10</f>
        <v>2020</v>
      </c>
      <c r="T12" s="326"/>
      <c r="U12" s="326">
        <f>G10</f>
        <v>2019</v>
      </c>
      <c r="V12" s="326"/>
      <c r="W12" s="326">
        <f>I10</f>
        <v>2018</v>
      </c>
      <c r="X12" s="326"/>
      <c r="Y12" s="326">
        <f>K10</f>
        <v>2017</v>
      </c>
      <c r="Z12" s="326"/>
    </row>
    <row r="13" spans="1:27">
      <c r="A13" s="124" t="s">
        <v>3</v>
      </c>
      <c r="B13" s="124" t="s">
        <v>66</v>
      </c>
      <c r="C13" s="130">
        <v>1546500000</v>
      </c>
      <c r="E13" s="130">
        <v>880000000</v>
      </c>
      <c r="G13" s="130">
        <v>880000000</v>
      </c>
      <c r="I13" s="130">
        <v>880000000</v>
      </c>
      <c r="K13" s="130">
        <v>0</v>
      </c>
      <c r="M13" s="130">
        <v>0</v>
      </c>
      <c r="Q13" s="128" t="s">
        <v>4</v>
      </c>
      <c r="R13" s="128"/>
      <c r="S13" s="128"/>
      <c r="T13" s="128"/>
      <c r="U13" s="128"/>
      <c r="V13" s="128"/>
      <c r="W13" s="128"/>
      <c r="X13" s="128"/>
      <c r="Y13" s="128"/>
      <c r="Z13" s="128" t="s">
        <v>5</v>
      </c>
      <c r="AA13" s="128" t="s">
        <v>5</v>
      </c>
    </row>
    <row r="14" spans="1:27">
      <c r="C14" s="130"/>
      <c r="E14" s="130"/>
      <c r="G14" s="130"/>
      <c r="K14" s="130"/>
      <c r="O14" s="132" t="s">
        <v>6</v>
      </c>
      <c r="P14" s="132"/>
    </row>
    <row r="15" spans="1:27">
      <c r="A15" s="124" t="s">
        <v>8</v>
      </c>
      <c r="B15" s="124" t="s">
        <v>58</v>
      </c>
      <c r="C15" s="130">
        <v>405303023</v>
      </c>
      <c r="E15" s="130">
        <v>391760051</v>
      </c>
      <c r="G15" s="130">
        <v>382135680</v>
      </c>
      <c r="I15" s="130">
        <v>372363656</v>
      </c>
      <c r="K15" s="130">
        <v>337015806</v>
      </c>
      <c r="M15" s="130">
        <v>323159672</v>
      </c>
    </row>
    <row r="16" spans="1:27">
      <c r="A16" s="124" t="s">
        <v>10</v>
      </c>
      <c r="B16" s="124" t="s">
        <v>60</v>
      </c>
      <c r="C16" s="130">
        <f>6947300000-C13</f>
        <v>5400800000</v>
      </c>
      <c r="E16" s="130">
        <f>5752200000-E13</f>
        <v>4872200000</v>
      </c>
      <c r="F16" s="252"/>
      <c r="G16" s="130">
        <f>5986700000-G13</f>
        <v>5106700000</v>
      </c>
      <c r="H16" s="252"/>
      <c r="I16" s="130">
        <f>5750900000-I13</f>
        <v>4870900000</v>
      </c>
      <c r="J16" s="252"/>
      <c r="K16" s="130">
        <v>4320100000</v>
      </c>
      <c r="L16" s="252"/>
      <c r="M16" s="130">
        <v>4071200000</v>
      </c>
      <c r="O16" s="132" t="s">
        <v>9</v>
      </c>
      <c r="P16" s="132"/>
    </row>
    <row r="17" spans="1:28">
      <c r="A17" s="124" t="s">
        <v>49</v>
      </c>
      <c r="B17" s="124" t="s">
        <v>58</v>
      </c>
      <c r="C17" s="130">
        <v>0</v>
      </c>
      <c r="E17" s="130">
        <v>0</v>
      </c>
      <c r="F17" s="252"/>
      <c r="G17" s="130">
        <v>0</v>
      </c>
      <c r="H17" s="252"/>
      <c r="I17" s="261">
        <v>0</v>
      </c>
      <c r="J17" s="252"/>
      <c r="K17" s="130">
        <v>0</v>
      </c>
      <c r="L17" s="252"/>
      <c r="M17" s="261">
        <v>0</v>
      </c>
      <c r="O17" s="124" t="s">
        <v>11</v>
      </c>
      <c r="Q17" s="133">
        <f>C50/1000000</f>
        <v>16188.8</v>
      </c>
      <c r="R17" s="133"/>
      <c r="S17" s="133">
        <f>E50/1000000</f>
        <v>14995.3</v>
      </c>
      <c r="T17" s="133"/>
      <c r="U17" s="133">
        <f>G50/1000000</f>
        <v>13856.3</v>
      </c>
      <c r="V17" s="133"/>
      <c r="W17" s="133">
        <f>I50/1000000</f>
        <v>12906.3</v>
      </c>
      <c r="X17" s="133"/>
      <c r="Y17" s="133">
        <f>K50/1000000</f>
        <v>12116.6</v>
      </c>
    </row>
    <row r="18" spans="1:28">
      <c r="C18" s="130"/>
      <c r="E18" s="130"/>
      <c r="F18" s="252"/>
      <c r="G18" s="130"/>
      <c r="H18" s="252"/>
      <c r="I18" s="252"/>
      <c r="J18" s="252"/>
      <c r="K18" s="130"/>
      <c r="L18" s="252"/>
      <c r="M18" s="252"/>
      <c r="O18" s="124" t="s">
        <v>12</v>
      </c>
      <c r="Q18" s="134">
        <f>C19/1000000</f>
        <v>560</v>
      </c>
      <c r="R18" s="133"/>
      <c r="S18" s="134">
        <f>E19/1000000</f>
        <v>503</v>
      </c>
      <c r="T18" s="133"/>
      <c r="U18" s="134">
        <f>G19/1000000</f>
        <v>1773.2</v>
      </c>
      <c r="V18" s="133"/>
      <c r="W18" s="134">
        <f>I19/1000000</f>
        <v>1977.2</v>
      </c>
      <c r="X18" s="133"/>
      <c r="Y18" s="134">
        <f>K19/1000000</f>
        <v>1205.7</v>
      </c>
    </row>
    <row r="19" spans="1:28">
      <c r="A19" s="124" t="s">
        <v>15</v>
      </c>
      <c r="B19" s="124" t="s">
        <v>67</v>
      </c>
      <c r="C19" s="130">
        <v>560000000</v>
      </c>
      <c r="E19" s="130">
        <v>503000000</v>
      </c>
      <c r="F19" s="252"/>
      <c r="G19" s="130">
        <v>1773200000</v>
      </c>
      <c r="H19" s="252"/>
      <c r="I19" s="130">
        <v>1977200000</v>
      </c>
      <c r="J19" s="252"/>
      <c r="K19" s="130">
        <v>1205700000</v>
      </c>
      <c r="L19" s="252"/>
      <c r="M19" s="130">
        <v>1488000000</v>
      </c>
      <c r="O19" s="124" t="s">
        <v>14</v>
      </c>
      <c r="Q19" s="135">
        <f>SUM(Q17:Q18)</f>
        <v>16748.8</v>
      </c>
      <c r="R19" s="133"/>
      <c r="S19" s="135">
        <f>SUM(S17:S18)</f>
        <v>15498.3</v>
      </c>
      <c r="T19" s="133"/>
      <c r="U19" s="135">
        <f>SUM(U17:U18)</f>
        <v>15629.5</v>
      </c>
      <c r="V19" s="133"/>
      <c r="W19" s="135">
        <f>SUM(W17:W18)</f>
        <v>14883.5</v>
      </c>
      <c r="X19" s="133"/>
      <c r="Y19" s="135">
        <f>SUM(Y17:Y18)</f>
        <v>13322.300000000001</v>
      </c>
    </row>
    <row r="20" spans="1:28">
      <c r="C20" s="130"/>
      <c r="E20" s="130"/>
      <c r="F20" s="252"/>
      <c r="G20" s="130"/>
      <c r="H20" s="252"/>
      <c r="I20" s="260"/>
      <c r="J20" s="252"/>
      <c r="K20" s="130"/>
      <c r="L20" s="252"/>
      <c r="M20" s="260"/>
    </row>
    <row r="21" spans="1:28">
      <c r="A21" s="124" t="s">
        <v>17</v>
      </c>
      <c r="B21" s="124" t="s">
        <v>61</v>
      </c>
      <c r="C21" s="130">
        <v>1.27</v>
      </c>
      <c r="E21" s="130">
        <v>-0.19</v>
      </c>
      <c r="F21" s="252"/>
      <c r="G21" s="130">
        <v>0.87</v>
      </c>
      <c r="H21" s="252"/>
      <c r="I21" s="130">
        <v>-0.18</v>
      </c>
      <c r="J21" s="252"/>
      <c r="K21" s="130">
        <v>0.39</v>
      </c>
      <c r="L21" s="252"/>
      <c r="M21" s="130">
        <v>1.01</v>
      </c>
      <c r="O21" s="132" t="s">
        <v>16</v>
      </c>
      <c r="P21" s="132"/>
    </row>
    <row r="22" spans="1:28">
      <c r="A22" s="124" t="s">
        <v>19</v>
      </c>
      <c r="B22" s="124" t="s">
        <v>1375</v>
      </c>
      <c r="C22" s="124">
        <v>27.7</v>
      </c>
      <c r="E22" s="130">
        <v>30.21</v>
      </c>
      <c r="G22" s="130">
        <v>30.56</v>
      </c>
      <c r="I22" s="261">
        <v>28.08</v>
      </c>
      <c r="K22" s="130">
        <v>27.58</v>
      </c>
      <c r="M22" s="261">
        <v>26.77</v>
      </c>
      <c r="O22" s="124" t="s">
        <v>54</v>
      </c>
      <c r="Q22" s="136">
        <f>(ROUND((C30/(AVERAGE(C54,E54))*100),2))</f>
        <v>3.49</v>
      </c>
      <c r="R22" s="137" t="s">
        <v>18</v>
      </c>
      <c r="S22" s="136">
        <f>(ROUND((E30/(AVERAGE(E54,G54))*100),2))</f>
        <v>3.82</v>
      </c>
      <c r="T22" s="137" t="s">
        <v>18</v>
      </c>
      <c r="U22" s="136">
        <f>(ROUND((G30/(AVERAGE(G54,I54))*100),2))</f>
        <v>4.04</v>
      </c>
      <c r="V22" s="137" t="s">
        <v>18</v>
      </c>
      <c r="W22" s="136">
        <f>(ROUND((I30/(AVERAGE(I54,K54))*100),2))</f>
        <v>3.9</v>
      </c>
      <c r="X22" s="137" t="s">
        <v>18</v>
      </c>
      <c r="Y22" s="136">
        <f>(ROUND((K30/(AVERAGE(K54,M54))*100),2))</f>
        <v>4.18</v>
      </c>
      <c r="Z22" s="137" t="s">
        <v>18</v>
      </c>
      <c r="AA22" s="255"/>
    </row>
    <row r="23" spans="1:28">
      <c r="A23" s="124" t="s">
        <v>21</v>
      </c>
      <c r="B23" s="124" t="s">
        <v>1375</v>
      </c>
      <c r="C23" s="124">
        <v>21.26</v>
      </c>
      <c r="E23" s="130">
        <v>20.86</v>
      </c>
      <c r="G23" s="130">
        <v>25.07</v>
      </c>
      <c r="I23" s="261">
        <v>22.51</v>
      </c>
      <c r="K23" s="130">
        <v>21.84</v>
      </c>
      <c r="M23" s="261">
        <v>19.46</v>
      </c>
      <c r="O23" s="124" t="s">
        <v>20</v>
      </c>
      <c r="Q23" s="508">
        <f>(ROUND((C36/(AVERAGE(C58,E58))*100),2))</f>
        <v>4.54</v>
      </c>
      <c r="R23" s="137"/>
      <c r="S23" s="508">
        <f>(ROUND((E36/(AVERAGE(E58,G58))*100),2))</f>
        <v>6.26</v>
      </c>
      <c r="T23" s="137"/>
      <c r="U23" s="136"/>
      <c r="V23" s="137"/>
      <c r="W23" s="136"/>
      <c r="X23" s="137"/>
      <c r="Y23" s="136"/>
      <c r="Z23" s="137"/>
    </row>
    <row r="24" spans="1:28">
      <c r="C24" s="130"/>
      <c r="E24" s="130"/>
      <c r="G24" s="130"/>
      <c r="I24" s="252"/>
      <c r="K24" s="130"/>
      <c r="M24" s="252"/>
      <c r="AA24" s="1069" t="s">
        <v>52</v>
      </c>
      <c r="AB24" s="1069"/>
    </row>
    <row r="25" spans="1:28">
      <c r="C25" s="130"/>
      <c r="E25" s="130"/>
      <c r="G25" s="130"/>
      <c r="I25" s="260"/>
      <c r="K25" s="130"/>
      <c r="M25" s="260"/>
      <c r="O25" s="132" t="s">
        <v>30</v>
      </c>
      <c r="P25" s="132"/>
      <c r="AA25" s="1069" t="s">
        <v>22</v>
      </c>
      <c r="AB25" s="1069"/>
    </row>
    <row r="26" spans="1:28">
      <c r="A26" s="124" t="s">
        <v>26</v>
      </c>
      <c r="B26" s="124" t="s">
        <v>1375</v>
      </c>
      <c r="C26" s="130">
        <v>0.88</v>
      </c>
      <c r="E26" s="130">
        <v>0.84</v>
      </c>
      <c r="G26" s="130">
        <v>0.8</v>
      </c>
      <c r="I26" s="261">
        <v>0.78</v>
      </c>
      <c r="K26" s="130">
        <v>0.7</v>
      </c>
      <c r="M26" s="261">
        <v>0.64</v>
      </c>
      <c r="O26" s="124" t="s">
        <v>32</v>
      </c>
    </row>
    <row r="27" spans="1:28">
      <c r="C27" s="130"/>
      <c r="E27" s="130"/>
      <c r="F27" s="252"/>
      <c r="G27" s="130"/>
      <c r="H27" s="252"/>
      <c r="I27" s="260"/>
      <c r="J27" s="252"/>
      <c r="K27" s="130"/>
      <c r="L27" s="252"/>
      <c r="M27" s="260"/>
      <c r="O27" s="124" t="s">
        <v>33</v>
      </c>
      <c r="Q27" s="136">
        <f>ROUND(((C12/C50)*100),2)</f>
        <v>57.09</v>
      </c>
      <c r="R27" s="137" t="s">
        <v>18</v>
      </c>
      <c r="S27" s="136">
        <f>ROUND(((E12/E50)*100),2)</f>
        <v>61.64</v>
      </c>
      <c r="T27" s="137" t="s">
        <v>18</v>
      </c>
      <c r="U27" s="136">
        <f>ROUND(((G12/G50)*100),2)</f>
        <v>56.79</v>
      </c>
      <c r="V27" s="137" t="s">
        <v>18</v>
      </c>
      <c r="W27" s="136">
        <f>ROUND(((I12/I50)*100),2)</f>
        <v>55.44</v>
      </c>
      <c r="X27" s="137" t="s">
        <v>18</v>
      </c>
      <c r="Y27" s="136">
        <f>ROUND(((K12/K50)*100),2)</f>
        <v>64.349999999999994</v>
      </c>
      <c r="Z27" s="137" t="s">
        <v>18</v>
      </c>
      <c r="AA27" s="136">
        <f>ROUND(AVERAGE(Q27:Y27),2)</f>
        <v>59.06</v>
      </c>
      <c r="AB27" s="137" t="s">
        <v>18</v>
      </c>
    </row>
    <row r="28" spans="1:28">
      <c r="A28" s="124" t="s">
        <v>37</v>
      </c>
      <c r="B28" s="124" t="s">
        <v>37</v>
      </c>
      <c r="C28" s="130">
        <f>4600000+13100000</f>
        <v>17700000</v>
      </c>
      <c r="E28" s="130">
        <f>9900000+7000000</f>
        <v>16900000</v>
      </c>
      <c r="F28" s="252"/>
      <c r="G28" s="130">
        <f>8000000+7500000</f>
        <v>15500000</v>
      </c>
      <c r="H28" s="252"/>
      <c r="I28" s="261">
        <f>14200000+3800000</f>
        <v>18000000</v>
      </c>
      <c r="J28" s="252"/>
      <c r="K28" s="130">
        <v>18800000</v>
      </c>
      <c r="L28" s="252"/>
      <c r="M28" s="261">
        <v>17200000</v>
      </c>
      <c r="O28" s="124" t="s">
        <v>34</v>
      </c>
      <c r="Q28" s="136">
        <f>ROUND(((SUM(C13,C17)/C50)*100),2)</f>
        <v>9.5500000000000007</v>
      </c>
      <c r="R28" s="137"/>
      <c r="S28" s="136">
        <f>ROUND(((SUM(E13,E17)/E50)*100),2)</f>
        <v>5.87</v>
      </c>
      <c r="T28" s="137"/>
      <c r="U28" s="136">
        <f>ROUND(((SUM(G13,G17)/G50)*100),2)</f>
        <v>6.35</v>
      </c>
      <c r="V28" s="137"/>
      <c r="W28" s="136">
        <f>ROUND(((SUM(I13,I17)/I50)*100),2)</f>
        <v>6.82</v>
      </c>
      <c r="X28" s="137"/>
      <c r="Y28" s="136">
        <f>ROUND(((SUM(K13,K17)/K50)*100),2)</f>
        <v>0</v>
      </c>
      <c r="Z28" s="137"/>
      <c r="AA28" s="136">
        <f>ROUND(AVERAGE(Q28:Y28),2)</f>
        <v>5.72</v>
      </c>
      <c r="AB28" s="137"/>
    </row>
    <row r="29" spans="1:28">
      <c r="C29" s="130"/>
      <c r="E29" s="130"/>
      <c r="F29" s="252"/>
      <c r="G29" s="130"/>
      <c r="H29" s="252"/>
      <c r="I29" s="260"/>
      <c r="J29" s="252"/>
      <c r="K29" s="130"/>
      <c r="L29" s="252"/>
      <c r="M29" s="260"/>
      <c r="O29" s="124" t="s">
        <v>35</v>
      </c>
      <c r="Q29" s="138">
        <f>ROUND(((C16/C50)*100),2)</f>
        <v>33.36</v>
      </c>
      <c r="R29" s="137"/>
      <c r="S29" s="138">
        <f>ROUND(((E16/E50)*100),2)</f>
        <v>32.49</v>
      </c>
      <c r="T29" s="137"/>
      <c r="U29" s="138">
        <f>ROUND(((G16/G50)*100),2)</f>
        <v>36.85</v>
      </c>
      <c r="V29" s="137"/>
      <c r="W29" s="138">
        <f>ROUND(((I16/I50)*100),2)</f>
        <v>37.74</v>
      </c>
      <c r="X29" s="137"/>
      <c r="Y29" s="138">
        <f>ROUND(((K16/K50)*100),2)</f>
        <v>35.65</v>
      </c>
      <c r="Z29" s="137"/>
      <c r="AA29" s="138">
        <f>ROUND(AVERAGE(Q29:Y29),2)</f>
        <v>35.22</v>
      </c>
      <c r="AB29" s="137"/>
    </row>
    <row r="30" spans="1:28">
      <c r="A30" s="124" t="s">
        <v>42</v>
      </c>
      <c r="B30" s="124" t="s">
        <v>62</v>
      </c>
      <c r="C30" s="130">
        <v>341100000</v>
      </c>
      <c r="E30" s="130">
        <v>370700000</v>
      </c>
      <c r="F30" s="252"/>
      <c r="G30" s="130">
        <v>378900000</v>
      </c>
      <c r="H30" s="252"/>
      <c r="I30" s="130">
        <v>353300000</v>
      </c>
      <c r="J30" s="252"/>
      <c r="K30" s="130">
        <v>353200000</v>
      </c>
      <c r="L30" s="252"/>
      <c r="M30" s="130">
        <v>349500000</v>
      </c>
      <c r="O30" s="124" t="s">
        <v>36</v>
      </c>
      <c r="Q30" s="139">
        <f>SUM(Q27:Q29)</f>
        <v>100</v>
      </c>
      <c r="R30" s="137" t="s">
        <v>18</v>
      </c>
      <c r="S30" s="139">
        <f>SUM(S27:S29)</f>
        <v>100</v>
      </c>
      <c r="T30" s="137" t="s">
        <v>18</v>
      </c>
      <c r="U30" s="139">
        <f>SUM(U27:U29)</f>
        <v>99.990000000000009</v>
      </c>
      <c r="V30" s="137" t="s">
        <v>18</v>
      </c>
      <c r="W30" s="139">
        <f>SUM(W27:W29)</f>
        <v>100</v>
      </c>
      <c r="X30" s="137" t="s">
        <v>18</v>
      </c>
      <c r="Y30" s="139">
        <f>SUM(Y27:Y29)</f>
        <v>100</v>
      </c>
      <c r="Z30" s="137" t="s">
        <v>18</v>
      </c>
      <c r="AA30" s="139">
        <f>SUM(AA27:AA29)</f>
        <v>100</v>
      </c>
      <c r="AB30" s="137" t="s">
        <v>18</v>
      </c>
    </row>
    <row r="31" spans="1:28">
      <c r="C31" s="130"/>
      <c r="E31" s="130"/>
      <c r="F31" s="252"/>
      <c r="G31" s="130"/>
      <c r="H31" s="252"/>
      <c r="I31" s="260"/>
      <c r="J31" s="252"/>
      <c r="K31" s="130"/>
      <c r="L31" s="252"/>
      <c r="M31" s="260"/>
    </row>
    <row r="32" spans="1:28">
      <c r="A32" s="124" t="s">
        <v>43</v>
      </c>
      <c r="B32" s="124" t="s">
        <v>63</v>
      </c>
      <c r="C32" s="130">
        <v>584900000</v>
      </c>
      <c r="E32" s="130">
        <v>-17600000</v>
      </c>
      <c r="F32" s="252"/>
      <c r="G32" s="130">
        <v>383100000</v>
      </c>
      <c r="H32" s="252"/>
      <c r="I32" s="130">
        <v>-50600000</v>
      </c>
      <c r="J32" s="252"/>
      <c r="K32" s="130">
        <v>128500000</v>
      </c>
      <c r="L32" s="252"/>
      <c r="M32" s="130">
        <v>331500000</v>
      </c>
      <c r="O32" s="124" t="s">
        <v>38</v>
      </c>
    </row>
    <row r="33" spans="1:28">
      <c r="A33" s="140"/>
      <c r="B33" s="140"/>
      <c r="C33" s="141"/>
      <c r="D33" s="140"/>
      <c r="E33" s="141"/>
      <c r="F33" s="263"/>
      <c r="G33" s="141"/>
      <c r="H33" s="263"/>
      <c r="I33" s="262"/>
      <c r="J33" s="263"/>
      <c r="K33" s="141"/>
      <c r="L33" s="263"/>
      <c r="M33" s="262"/>
      <c r="O33" s="124" t="s">
        <v>39</v>
      </c>
      <c r="Q33" s="136">
        <f>ROUND((((C12+C19)/C56)*100),2)</f>
        <v>58.52</v>
      </c>
      <c r="R33" s="137" t="s">
        <v>18</v>
      </c>
      <c r="S33" s="136">
        <f>ROUND((((E12+E19)/E56)*100),2)</f>
        <v>62.88</v>
      </c>
      <c r="T33" s="137" t="s">
        <v>18</v>
      </c>
      <c r="U33" s="136">
        <f>ROUND((((G12+G19)/G56)*100),2)</f>
        <v>61.7</v>
      </c>
      <c r="V33" s="137" t="s">
        <v>18</v>
      </c>
      <c r="W33" s="136">
        <f>ROUND((((I12+I19)/I56)*100),2)</f>
        <v>61.36</v>
      </c>
      <c r="X33" s="137" t="s">
        <v>18</v>
      </c>
      <c r="Y33" s="136">
        <f>ROUND((((K12+K19)/K56)*100),2)</f>
        <v>67.569999999999993</v>
      </c>
      <c r="Z33" s="137" t="s">
        <v>18</v>
      </c>
      <c r="AA33" s="136">
        <f>ROUND(AVERAGE(Q33:Y33),2)</f>
        <v>62.41</v>
      </c>
      <c r="AB33" s="137" t="s">
        <v>18</v>
      </c>
    </row>
    <row r="34" spans="1:28">
      <c r="A34" s="124" t="s">
        <v>46</v>
      </c>
      <c r="B34" s="124" t="s">
        <v>70</v>
      </c>
      <c r="C34" s="130">
        <v>529800000</v>
      </c>
      <c r="E34" s="130">
        <v>-72700000</v>
      </c>
      <c r="F34" s="252"/>
      <c r="G34" s="130">
        <v>328000000</v>
      </c>
      <c r="H34" s="252"/>
      <c r="I34" s="261">
        <v>-65600000</v>
      </c>
      <c r="J34" s="252"/>
      <c r="K34" s="130">
        <v>128500000</v>
      </c>
      <c r="L34" s="252"/>
      <c r="M34" s="261">
        <v>331500000</v>
      </c>
      <c r="O34" s="124" t="s">
        <v>34</v>
      </c>
      <c r="Q34" s="136">
        <f>ROUND((((SUM(C13,C17))/C56)*100),2)</f>
        <v>9.23</v>
      </c>
      <c r="R34" s="137"/>
      <c r="S34" s="136">
        <f>ROUND((((SUM(E13,E17))/E56)*100),2)</f>
        <v>5.68</v>
      </c>
      <c r="T34" s="137"/>
      <c r="U34" s="136">
        <f>ROUND((((SUM(G13,G17))/G56)*100),2)</f>
        <v>5.63</v>
      </c>
      <c r="V34" s="137"/>
      <c r="W34" s="136">
        <f>ROUND((((SUM(I13,I17))/I56)*100),2)</f>
        <v>5.91</v>
      </c>
      <c r="X34" s="137"/>
      <c r="Y34" s="136">
        <f>ROUND((((SUM(K13,K17))/K56)*100),2)</f>
        <v>0</v>
      </c>
      <c r="Z34" s="137"/>
      <c r="AA34" s="136">
        <f>ROUND(AVERAGE(Q34:Y34),2)</f>
        <v>5.29</v>
      </c>
      <c r="AB34" s="137"/>
    </row>
    <row r="35" spans="1:28">
      <c r="C35" s="130"/>
      <c r="E35" s="130"/>
      <c r="F35" s="252"/>
      <c r="G35" s="130"/>
      <c r="H35" s="252"/>
      <c r="I35" s="252"/>
      <c r="J35" s="252"/>
      <c r="K35" s="130"/>
      <c r="L35" s="252"/>
      <c r="M35" s="252"/>
      <c r="O35" s="124" t="s">
        <v>35</v>
      </c>
      <c r="Q35" s="138">
        <f>ROUND((((C16)/C56)*100),2)</f>
        <v>32.25</v>
      </c>
      <c r="R35" s="137"/>
      <c r="S35" s="138">
        <f>ROUND((((E16)/E56)*100),2)</f>
        <v>31.44</v>
      </c>
      <c r="T35" s="137"/>
      <c r="U35" s="138">
        <f>ROUND((((G16)/G56)*100),2)</f>
        <v>32.67</v>
      </c>
      <c r="V35" s="137"/>
      <c r="W35" s="138">
        <f>ROUND((((I16)/I56)*100),2)</f>
        <v>32.729999999999997</v>
      </c>
      <c r="X35" s="137"/>
      <c r="Y35" s="138">
        <f>ROUND((((K16)/K56)*100),2)</f>
        <v>32.43</v>
      </c>
      <c r="Z35" s="137"/>
      <c r="AA35" s="138">
        <f>ROUND(AVERAGE(Q35:Y35),2)</f>
        <v>32.299999999999997</v>
      </c>
      <c r="AB35" s="137"/>
    </row>
    <row r="36" spans="1:28">
      <c r="A36" s="124" t="s">
        <v>45</v>
      </c>
      <c r="B36" s="124" t="s">
        <v>68</v>
      </c>
      <c r="C36" s="130">
        <v>55100000</v>
      </c>
      <c r="E36" s="130">
        <v>55100000</v>
      </c>
      <c r="F36" s="252"/>
      <c r="G36" s="130">
        <v>56100000</v>
      </c>
      <c r="H36" s="252"/>
      <c r="I36" s="261">
        <v>11600000</v>
      </c>
      <c r="J36" s="252"/>
      <c r="K36" s="130">
        <v>0</v>
      </c>
      <c r="L36" s="252"/>
      <c r="M36" s="261">
        <v>0</v>
      </c>
      <c r="O36" s="124" t="s">
        <v>36</v>
      </c>
      <c r="Q36" s="139">
        <f>SUM(Q33:Q35)</f>
        <v>100</v>
      </c>
      <c r="R36" s="137" t="s">
        <v>18</v>
      </c>
      <c r="S36" s="139">
        <f>SUM(S33:S35)</f>
        <v>100</v>
      </c>
      <c r="T36" s="137" t="s">
        <v>18</v>
      </c>
      <c r="U36" s="139">
        <f>SUM(U33:U35)</f>
        <v>100</v>
      </c>
      <c r="V36" s="137" t="s">
        <v>18</v>
      </c>
      <c r="W36" s="139">
        <f>SUM(W33:W35)</f>
        <v>100</v>
      </c>
      <c r="X36" s="137" t="s">
        <v>18</v>
      </c>
      <c r="Y36" s="139">
        <f>SUM(Y33:Y35)</f>
        <v>100</v>
      </c>
      <c r="Z36" s="137" t="s">
        <v>18</v>
      </c>
      <c r="AA36" s="139">
        <f>SUM(AA33:AA35)</f>
        <v>100</v>
      </c>
      <c r="AB36" s="137" t="s">
        <v>18</v>
      </c>
    </row>
    <row r="37" spans="1:28">
      <c r="C37" s="130"/>
      <c r="E37" s="130"/>
      <c r="F37" s="252"/>
      <c r="G37" s="130"/>
      <c r="H37" s="252"/>
      <c r="I37" s="252"/>
      <c r="J37" s="252"/>
      <c r="K37" s="130"/>
      <c r="L37" s="252"/>
      <c r="M37" s="252"/>
    </row>
    <row r="38" spans="1:28">
      <c r="A38" s="124" t="s">
        <v>47</v>
      </c>
      <c r="B38" s="124" t="s">
        <v>64</v>
      </c>
      <c r="C38" s="130">
        <v>345200000</v>
      </c>
      <c r="E38" s="130">
        <v>321600000</v>
      </c>
      <c r="F38" s="252"/>
      <c r="G38" s="130">
        <v>298500000</v>
      </c>
      <c r="H38" s="252"/>
      <c r="I38" s="130">
        <v>273300000</v>
      </c>
      <c r="J38" s="252"/>
      <c r="K38" s="130">
        <v>229100000</v>
      </c>
      <c r="L38" s="252"/>
      <c r="M38" s="130">
        <v>205500000</v>
      </c>
    </row>
    <row r="39" spans="1:28">
      <c r="C39" s="130"/>
      <c r="E39" s="130"/>
      <c r="F39" s="252"/>
      <c r="G39" s="130"/>
      <c r="H39" s="252"/>
      <c r="I39" s="260"/>
      <c r="J39" s="252"/>
      <c r="K39" s="130"/>
      <c r="L39" s="252"/>
      <c r="M39" s="260"/>
    </row>
    <row r="40" spans="1:28">
      <c r="A40" s="124" t="s">
        <v>55</v>
      </c>
      <c r="B40" s="124" t="s">
        <v>69</v>
      </c>
      <c r="C40" s="130">
        <f>C32</f>
        <v>584900000</v>
      </c>
      <c r="E40" s="130">
        <v>-14200000</v>
      </c>
      <c r="F40" s="252"/>
      <c r="G40" s="130">
        <f>G32</f>
        <v>383100000</v>
      </c>
      <c r="H40" s="252"/>
      <c r="I40" s="261">
        <f>I32</f>
        <v>-50600000</v>
      </c>
      <c r="J40" s="252"/>
      <c r="K40" s="130">
        <v>128500000</v>
      </c>
      <c r="L40" s="252"/>
      <c r="M40" s="261">
        <v>331500000</v>
      </c>
      <c r="O40" s="132" t="s">
        <v>40</v>
      </c>
      <c r="P40" s="132"/>
    </row>
    <row r="41" spans="1:28">
      <c r="A41" s="124" t="s">
        <v>72</v>
      </c>
      <c r="B41" s="124" t="s">
        <v>71</v>
      </c>
      <c r="C41" s="130">
        <v>1217900000</v>
      </c>
      <c r="E41" s="130">
        <v>1104000000</v>
      </c>
      <c r="F41" s="252"/>
      <c r="G41" s="130">
        <v>1583300000</v>
      </c>
      <c r="H41" s="252"/>
      <c r="I41" s="130">
        <v>540100000</v>
      </c>
      <c r="J41" s="252"/>
      <c r="K41" s="130">
        <v>742100000</v>
      </c>
      <c r="L41" s="252"/>
      <c r="M41" s="130">
        <v>803300000</v>
      </c>
      <c r="O41" s="132"/>
      <c r="P41" s="132"/>
    </row>
    <row r="42" spans="1:28">
      <c r="A42" s="124" t="s">
        <v>1460</v>
      </c>
      <c r="B42" s="124" t="s">
        <v>1461</v>
      </c>
      <c r="C42" s="130">
        <f>(-40.3-112.9+54.9-114.2+43-36.6+76.8-96.4-4.7-30)*1000000</f>
        <v>-260399999.99999997</v>
      </c>
      <c r="E42" s="130">
        <f>(-3.9-1.5-29.7+10+28.4+5.3+-6.9+-218.8-5.9+70.8-103.6-15+21.7)*1000000</f>
        <v>-249100000.00000009</v>
      </c>
      <c r="F42" s="252"/>
      <c r="G42" s="130">
        <f>(187.8-2-299.9+16.9+7.3+8.8+55.5+105.3-33.6-85.6-21.2-76.1+61.6)*1000000</f>
        <v>-75199999.999999955</v>
      </c>
      <c r="H42" s="252"/>
      <c r="I42" s="130">
        <f>(-186.2+41.4+268.4-25.4+20.2-21.7-21.5+43.5-14.5-53.2+58.2+3.8-2.8)*1000000</f>
        <v>110199999.99999999</v>
      </c>
      <c r="J42" s="252"/>
      <c r="K42" s="130">
        <v>-56500000</v>
      </c>
      <c r="L42" s="252"/>
      <c r="M42" s="130">
        <v>-58700000</v>
      </c>
      <c r="O42" s="132" t="s">
        <v>24</v>
      </c>
    </row>
    <row r="43" spans="1:28">
      <c r="A43" s="124" t="s">
        <v>1462</v>
      </c>
      <c r="B43" s="124" t="s">
        <v>1463</v>
      </c>
      <c r="C43" s="130">
        <v>748400000</v>
      </c>
      <c r="E43" s="130">
        <v>725900000</v>
      </c>
      <c r="F43" s="252"/>
      <c r="G43" s="130">
        <v>717400000</v>
      </c>
      <c r="H43" s="252"/>
      <c r="I43" s="130">
        <v>599600000</v>
      </c>
      <c r="J43" s="252"/>
      <c r="K43" s="130">
        <v>570300000</v>
      </c>
      <c r="L43" s="252"/>
      <c r="M43" s="130">
        <v>547100000</v>
      </c>
      <c r="O43" s="124" t="s">
        <v>25</v>
      </c>
      <c r="Q43" s="136">
        <f>ROUND(C21/C52,4)*100</f>
        <v>5.19</v>
      </c>
      <c r="R43" s="137" t="s">
        <v>18</v>
      </c>
      <c r="S43" s="136">
        <f>ROUND(E21/E52,4)*100</f>
        <v>-0.74</v>
      </c>
      <c r="T43" s="137" t="s">
        <v>18</v>
      </c>
      <c r="U43" s="136">
        <f>ROUND(G21/G52,4)*100</f>
        <v>3.1300000000000003</v>
      </c>
      <c r="V43" s="137" t="s">
        <v>18</v>
      </c>
      <c r="W43" s="136">
        <f>ROUND(I21/I52,4)*100</f>
        <v>-0.71000000000000008</v>
      </c>
      <c r="X43" s="137" t="s">
        <v>18</v>
      </c>
      <c r="Y43" s="136">
        <f>ROUND(K21/K52,4)*100</f>
        <v>1.58</v>
      </c>
      <c r="Z43" s="137" t="s">
        <v>18</v>
      </c>
      <c r="AA43" s="136">
        <f>ROUND(AVERAGE(Q43:Y43),2)</f>
        <v>1.69</v>
      </c>
      <c r="AB43" s="137" t="s">
        <v>18</v>
      </c>
    </row>
    <row r="44" spans="1:28">
      <c r="A44" s="124" t="s">
        <v>1464</v>
      </c>
      <c r="B44" s="124" t="s">
        <v>1465</v>
      </c>
      <c r="C44" s="130">
        <v>117800000</v>
      </c>
      <c r="E44" s="130">
        <v>-17100000</v>
      </c>
      <c r="F44" s="252"/>
      <c r="G44" s="130">
        <v>123500000</v>
      </c>
      <c r="H44" s="252"/>
      <c r="I44" s="261">
        <v>180000000</v>
      </c>
      <c r="J44" s="252"/>
      <c r="K44" s="130">
        <v>314500000</v>
      </c>
      <c r="L44" s="252"/>
      <c r="M44" s="261">
        <v>182100000</v>
      </c>
      <c r="O44" s="124" t="s">
        <v>27</v>
      </c>
      <c r="Q44" s="136">
        <f>(ROUND((C52/(AVERAGE(C48,E48))*100),2))</f>
        <v>190.05</v>
      </c>
      <c r="S44" s="136">
        <f>(ROUND((E52/(AVERAGE(E48,G48))*100),2))</f>
        <v>197.94</v>
      </c>
      <c r="U44" s="136">
        <f>(ROUND((G52/(AVERAGE(G48,I48))*100),2))</f>
        <v>210.36</v>
      </c>
      <c r="W44" s="136">
        <f>(ROUND((I52/(AVERAGE(I48,K48))*100),2))</f>
        <v>195.33</v>
      </c>
      <c r="Y44" s="136">
        <f>(ROUND((K52/(AVERAGE(K48,M48))*100),2))</f>
        <v>194.44</v>
      </c>
      <c r="AA44" s="136">
        <f>ROUND(AVERAGE(Q44:Y44),2)</f>
        <v>197.62</v>
      </c>
    </row>
    <row r="45" spans="1:28">
      <c r="C45" s="130"/>
      <c r="E45" s="130"/>
      <c r="G45" s="130"/>
      <c r="I45" s="130"/>
      <c r="K45" s="130"/>
      <c r="O45" s="124" t="s">
        <v>28</v>
      </c>
      <c r="Q45" s="136">
        <f>ROUND(((+C26/C52)*100),2)</f>
        <v>3.59</v>
      </c>
      <c r="S45" s="136">
        <f>ROUND(((+E26/E52)*100),2)</f>
        <v>3.29</v>
      </c>
      <c r="U45" s="136">
        <f>ROUND(((+G26/G52)*100),2)</f>
        <v>2.88</v>
      </c>
      <c r="W45" s="136">
        <f>ROUND(((+I26/I52)*100),2)</f>
        <v>3.08</v>
      </c>
      <c r="Y45" s="136">
        <f>ROUND(((+K26/K52)*100),2)</f>
        <v>2.83</v>
      </c>
      <c r="AA45" s="136">
        <f>ROUND(AVERAGE(Q45:Y45),2)</f>
        <v>3.13</v>
      </c>
    </row>
    <row r="46" spans="1:28">
      <c r="A46" s="124" t="s">
        <v>59</v>
      </c>
      <c r="C46" s="130"/>
      <c r="E46" s="130"/>
      <c r="G46" s="130"/>
      <c r="I46" s="130"/>
      <c r="K46" s="130"/>
      <c r="M46" s="131"/>
      <c r="O46" s="124" t="s">
        <v>29</v>
      </c>
      <c r="P46" s="132"/>
      <c r="Q46" s="136">
        <f>ROUND(((+C38/C34)*100),2)</f>
        <v>65.16</v>
      </c>
      <c r="S46" s="136" t="s">
        <v>4057</v>
      </c>
      <c r="U46" s="136">
        <f>ROUND(((+G38/G34)*100),2)</f>
        <v>91.01</v>
      </c>
      <c r="W46" s="136" t="s">
        <v>4057</v>
      </c>
      <c r="Y46" s="136">
        <f>ROUND(((+K38/K34)*100),2)</f>
        <v>178.29</v>
      </c>
      <c r="AA46" s="136">
        <f>ROUND(AVERAGE(Q46:Y46),2)</f>
        <v>111.49</v>
      </c>
    </row>
    <row r="47" spans="1:28">
      <c r="C47" s="130"/>
      <c r="E47" s="130"/>
      <c r="G47" s="130"/>
      <c r="I47" s="130"/>
      <c r="K47" s="130"/>
      <c r="M47" s="131"/>
      <c r="Q47" s="136"/>
      <c r="S47" s="136"/>
      <c r="U47" s="136"/>
      <c r="W47" s="136"/>
      <c r="Y47" s="136"/>
      <c r="AA47" s="136"/>
    </row>
    <row r="48" spans="1:28">
      <c r="A48" s="124" t="s">
        <v>7</v>
      </c>
      <c r="B48" s="124" t="s">
        <v>50</v>
      </c>
      <c r="C48" s="130">
        <f>C16/C15</f>
        <v>13.325338557862175</v>
      </c>
      <c r="E48" s="130">
        <f>E16/E15</f>
        <v>12.436694317256968</v>
      </c>
      <c r="G48" s="130">
        <f>G16/G15</f>
        <v>13.363578088285292</v>
      </c>
      <c r="I48" s="130">
        <f>I16/I15</f>
        <v>13.08102958361758</v>
      </c>
      <c r="K48" s="130">
        <f>K16/K15</f>
        <v>12.818686610799494</v>
      </c>
      <c r="M48" s="130">
        <f>M16/M15</f>
        <v>12.598106610282734</v>
      </c>
      <c r="O48" s="132" t="s">
        <v>41</v>
      </c>
      <c r="P48" s="132"/>
      <c r="Q48" s="136">
        <f>ROUND(((C34/AVERAGE(C16,E16))*100),2)</f>
        <v>10.31</v>
      </c>
      <c r="R48" s="124" t="s">
        <v>18</v>
      </c>
      <c r="S48" s="136">
        <f>ROUND(((E34/AVERAGE(E16,G16))*100),2)</f>
        <v>-1.46</v>
      </c>
      <c r="T48" s="124" t="s">
        <v>18</v>
      </c>
      <c r="U48" s="136">
        <f>ROUND(((G34/AVERAGE(G16,I16))*100),2)</f>
        <v>6.57</v>
      </c>
      <c r="V48" s="124" t="s">
        <v>18</v>
      </c>
      <c r="W48" s="136">
        <f>ROUND(((I34/AVERAGE(I16,K16))*100),2)</f>
        <v>-1.43</v>
      </c>
      <c r="X48" s="124" t="s">
        <v>18</v>
      </c>
      <c r="Y48" s="136">
        <f>ROUND(((K34/AVERAGE(K16,M16))*100),2)</f>
        <v>3.06</v>
      </c>
      <c r="Z48" s="124" t="s">
        <v>18</v>
      </c>
      <c r="AA48" s="136">
        <f>ROUND(AVERAGE(Q48:Y48),2)</f>
        <v>3.41</v>
      </c>
      <c r="AB48" s="124" t="s">
        <v>18</v>
      </c>
    </row>
    <row r="49" spans="1:28">
      <c r="C49" s="130"/>
      <c r="E49" s="130"/>
      <c r="G49" s="130"/>
      <c r="I49" s="130"/>
      <c r="K49" s="130"/>
      <c r="M49" s="130"/>
      <c r="Q49" s="136"/>
      <c r="S49" s="136"/>
      <c r="U49" s="136"/>
      <c r="W49" s="136"/>
      <c r="Y49" s="136"/>
      <c r="AA49" s="137"/>
    </row>
    <row r="50" spans="1:28">
      <c r="A50" s="124" t="s">
        <v>13</v>
      </c>
      <c r="B50" s="124" t="s">
        <v>50</v>
      </c>
      <c r="C50" s="130">
        <f>SUM(C12:C13,C16:C17)</f>
        <v>16188800000</v>
      </c>
      <c r="E50" s="130">
        <f>SUM(E12:E13,E16:E17)</f>
        <v>14995300000</v>
      </c>
      <c r="G50" s="130">
        <f>SUM(G12:G13,G16:G17)</f>
        <v>13856300000</v>
      </c>
      <c r="I50" s="130">
        <f>SUM(I12:I13,I16:I17)</f>
        <v>12906300000</v>
      </c>
      <c r="K50" s="130">
        <f>SUM(K12:K13,K16:K17)</f>
        <v>12116600000</v>
      </c>
      <c r="M50" s="130">
        <f>SUM(M12:M13,M16:M17)</f>
        <v>10492500000</v>
      </c>
      <c r="O50" s="132" t="s">
        <v>142</v>
      </c>
      <c r="Q50" s="136">
        <f>ROUND((C54/C62),2)</f>
        <v>5.47</v>
      </c>
      <c r="R50" s="137" t="s">
        <v>44</v>
      </c>
      <c r="S50" s="136">
        <f>ROUND((E54/E62),2)</f>
        <v>9.15</v>
      </c>
      <c r="T50" s="137" t="s">
        <v>44</v>
      </c>
      <c r="U50" s="136">
        <f>ROUND((G54/G62),2)</f>
        <v>6.02</v>
      </c>
      <c r="V50" s="137" t="s">
        <v>44</v>
      </c>
      <c r="W50" s="136">
        <f>ROUND((I54/I62),2)</f>
        <v>8.44</v>
      </c>
      <c r="X50" s="137" t="s">
        <v>44</v>
      </c>
      <c r="Y50" s="136">
        <f>ROUND((K54/K62),2)</f>
        <v>6.59</v>
      </c>
      <c r="Z50" s="137" t="s">
        <v>44</v>
      </c>
      <c r="AA50" s="136">
        <f>ROUND(AVERAGE(Q50:Y50),2)</f>
        <v>7.13</v>
      </c>
      <c r="AB50" s="124" t="s">
        <v>44</v>
      </c>
    </row>
    <row r="51" spans="1:28">
      <c r="C51" s="130"/>
      <c r="E51" s="130"/>
      <c r="G51" s="130"/>
      <c r="I51" s="130"/>
      <c r="K51" s="130"/>
      <c r="M51" s="130"/>
      <c r="O51" s="132"/>
      <c r="Q51" s="136"/>
      <c r="S51" s="136"/>
      <c r="U51" s="136"/>
      <c r="W51" s="136"/>
      <c r="Y51" s="136"/>
      <c r="AA51" s="136"/>
    </row>
    <row r="52" spans="1:28">
      <c r="A52" s="124" t="s">
        <v>23</v>
      </c>
      <c r="B52" s="124" t="s">
        <v>50</v>
      </c>
      <c r="C52" s="130">
        <f>AVERAGE(C22:C23)</f>
        <v>24.48</v>
      </c>
      <c r="E52" s="130">
        <f>AVERAGE(E22:E23)</f>
        <v>25.535</v>
      </c>
      <c r="G52" s="130">
        <f>AVERAGE(G22:G23)</f>
        <v>27.814999999999998</v>
      </c>
      <c r="I52" s="130">
        <f>AVERAGE(I22:I23)</f>
        <v>25.295000000000002</v>
      </c>
      <c r="K52" s="130">
        <f>AVERAGE(K22:K23)</f>
        <v>24.71</v>
      </c>
      <c r="M52" s="130">
        <f>AVERAGE(M22:M23)</f>
        <v>23.115000000000002</v>
      </c>
      <c r="O52" s="132" t="s">
        <v>57</v>
      </c>
      <c r="Q52" s="136">
        <f>ROUND(((C60/C54)*100),2)</f>
        <v>9.59</v>
      </c>
      <c r="R52" s="137" t="s">
        <v>18</v>
      </c>
      <c r="S52" s="136">
        <f>ROUND(((E60/E54)*100),2)</f>
        <v>8.6</v>
      </c>
      <c r="T52" s="137" t="s">
        <v>18</v>
      </c>
      <c r="U52" s="136">
        <f>ROUND(((G60/G54)*100),2)</f>
        <v>15.48</v>
      </c>
      <c r="V52" s="137" t="s">
        <v>18</v>
      </c>
      <c r="W52" s="136">
        <f>ROUND(((I60/I54)*100),2)</f>
        <v>6.92</v>
      </c>
      <c r="X52" s="137" t="s">
        <v>18</v>
      </c>
      <c r="Y52" s="136">
        <f>ROUND(((K60/K54)*100),2)</f>
        <v>7.41</v>
      </c>
      <c r="Z52" s="137" t="s">
        <v>18</v>
      </c>
      <c r="AA52" s="136">
        <f>ROUND(AVERAGE(Q52:Y52),2)</f>
        <v>9.6</v>
      </c>
      <c r="AB52" s="124" t="s">
        <v>18</v>
      </c>
    </row>
    <row r="53" spans="1:28">
      <c r="C53" s="130"/>
      <c r="E53" s="130"/>
      <c r="G53" s="130"/>
      <c r="I53" s="130"/>
      <c r="K53" s="130"/>
      <c r="M53" s="130"/>
      <c r="O53" s="143"/>
      <c r="Q53" s="136"/>
      <c r="S53" s="136"/>
      <c r="U53" s="136"/>
      <c r="W53" s="136"/>
      <c r="Y53" s="136"/>
    </row>
    <row r="54" spans="1:28">
      <c r="A54" s="124" t="s">
        <v>53</v>
      </c>
      <c r="C54" s="214">
        <f>+C19+C12</f>
        <v>9801500000</v>
      </c>
      <c r="E54" s="214">
        <f>+E19+E12</f>
        <v>9746100000</v>
      </c>
      <c r="G54" s="214">
        <f>+G19+G12</f>
        <v>9642800000</v>
      </c>
      <c r="I54" s="214">
        <f>+I19+I12</f>
        <v>9132600000</v>
      </c>
      <c r="K54" s="214">
        <f>+K19+K12</f>
        <v>9002200000</v>
      </c>
      <c r="M54" s="214">
        <f>+M19+M12</f>
        <v>7909300000</v>
      </c>
      <c r="O54" s="143" t="s">
        <v>56</v>
      </c>
      <c r="Q54" s="136">
        <f>Q33</f>
        <v>58.52</v>
      </c>
      <c r="R54" s="137" t="s">
        <v>18</v>
      </c>
      <c r="S54" s="136">
        <f>S33</f>
        <v>62.88</v>
      </c>
      <c r="T54" s="137" t="s">
        <v>18</v>
      </c>
      <c r="U54" s="136">
        <f>U33</f>
        <v>61.7</v>
      </c>
      <c r="V54" s="137" t="s">
        <v>18</v>
      </c>
      <c r="W54" s="136">
        <f>W33</f>
        <v>61.36</v>
      </c>
      <c r="X54" s="137" t="s">
        <v>18</v>
      </c>
      <c r="Y54" s="136">
        <f>Y33</f>
        <v>67.569999999999993</v>
      </c>
      <c r="Z54" s="137" t="s">
        <v>18</v>
      </c>
      <c r="AA54" s="136">
        <f>ROUND(AVERAGE(Q54:Y54),2)</f>
        <v>62.41</v>
      </c>
      <c r="AB54" s="137" t="s">
        <v>18</v>
      </c>
    </row>
    <row r="55" spans="1:28">
      <c r="C55" s="130"/>
      <c r="E55" s="130"/>
      <c r="G55" s="130"/>
      <c r="I55" s="130"/>
      <c r="K55" s="130"/>
      <c r="M55" s="130"/>
    </row>
    <row r="56" spans="1:28">
      <c r="A56" s="124" t="s">
        <v>31</v>
      </c>
      <c r="B56" s="124" t="s">
        <v>50</v>
      </c>
      <c r="C56" s="130">
        <f>SUM(C50,C19)</f>
        <v>16748800000</v>
      </c>
      <c r="E56" s="130">
        <f>SUM(E50,E19)</f>
        <v>15498300000</v>
      </c>
      <c r="G56" s="130">
        <f>SUM(G50,G19)</f>
        <v>15629500000</v>
      </c>
      <c r="I56" s="130">
        <f>SUM(I50,I19)</f>
        <v>14883500000</v>
      </c>
      <c r="K56" s="130">
        <f>SUM(K50,K19)</f>
        <v>13322300000</v>
      </c>
      <c r="M56" s="130">
        <f>SUM(M50,M19)</f>
        <v>11980500000</v>
      </c>
    </row>
    <row r="57" spans="1:28">
      <c r="C57" s="130"/>
      <c r="E57" s="130"/>
      <c r="G57" s="130"/>
      <c r="I57" s="130"/>
      <c r="K57" s="130"/>
      <c r="M57" s="130"/>
    </row>
    <row r="58" spans="1:28">
      <c r="A58" s="124" t="s">
        <v>51</v>
      </c>
      <c r="B58" s="124" t="s">
        <v>50</v>
      </c>
      <c r="C58" s="130">
        <f>SUM(C13,C17)</f>
        <v>1546500000</v>
      </c>
      <c r="E58" s="130">
        <f>SUM(E13,E17)</f>
        <v>880000000</v>
      </c>
      <c r="G58" s="130">
        <f>SUM(G13,G17)</f>
        <v>880000000</v>
      </c>
      <c r="I58" s="130">
        <f>SUM(I13,I17)</f>
        <v>880000000</v>
      </c>
      <c r="K58" s="130">
        <f>SUM(K13,K17)</f>
        <v>0</v>
      </c>
      <c r="M58" s="130">
        <f>SUM(M13,M17)</f>
        <v>0</v>
      </c>
    </row>
    <row r="59" spans="1:28">
      <c r="C59" s="130"/>
      <c r="E59" s="130"/>
      <c r="G59" s="130"/>
      <c r="I59" s="130"/>
      <c r="K59" s="130"/>
      <c r="M59" s="130"/>
    </row>
    <row r="60" spans="1:28">
      <c r="A60" s="126" t="s">
        <v>1466</v>
      </c>
      <c r="B60" s="124" t="s">
        <v>50</v>
      </c>
      <c r="C60" s="130">
        <f>ROUND(C41+C42-C28,3)</f>
        <v>939800000</v>
      </c>
      <c r="E60" s="130">
        <f>ROUND(E41+E42-E28,3)</f>
        <v>838000000</v>
      </c>
      <c r="G60" s="130">
        <f>ROUND(G41+G42-G28,3)</f>
        <v>1492600000</v>
      </c>
      <c r="I60" s="130">
        <f>ROUND(I41+I42-I28,3)</f>
        <v>632300000</v>
      </c>
      <c r="K60" s="130">
        <f>ROUND(K41+K42-K28,3)</f>
        <v>666800000</v>
      </c>
      <c r="M60" s="130">
        <f>ROUND(M41+M42-M28,3)</f>
        <v>727400000</v>
      </c>
    </row>
    <row r="61" spans="1:28">
      <c r="A61" s="126"/>
      <c r="C61" s="130"/>
      <c r="E61" s="130"/>
      <c r="G61" s="130"/>
      <c r="I61" s="130"/>
      <c r="K61" s="130"/>
      <c r="M61" s="130"/>
    </row>
    <row r="62" spans="1:28">
      <c r="A62" s="124" t="s">
        <v>1467</v>
      </c>
      <c r="B62" s="124" t="s">
        <v>50</v>
      </c>
      <c r="C62" s="130">
        <f>C40+C44+C43+C30</f>
        <v>1792200000</v>
      </c>
      <c r="E62" s="130">
        <f>E40+E44+E43+E30</f>
        <v>1065300000</v>
      </c>
      <c r="G62" s="130">
        <f>G40+G44+G43+G30</f>
        <v>1602900000</v>
      </c>
      <c r="I62" s="130">
        <f>I40+I44+I43+I30</f>
        <v>1082300000</v>
      </c>
      <c r="K62" s="130">
        <f>K40+K44+K43+K30</f>
        <v>1366500000</v>
      </c>
      <c r="M62" s="130">
        <f>M40+M44+M43+M30</f>
        <v>1410200000</v>
      </c>
    </row>
    <row r="63" spans="1:28">
      <c r="E63" s="131"/>
      <c r="F63" s="131"/>
      <c r="G63" s="131"/>
      <c r="H63" s="131"/>
      <c r="I63" s="131"/>
      <c r="J63" s="131"/>
      <c r="K63" s="131"/>
      <c r="L63" s="131"/>
      <c r="M63" s="131"/>
    </row>
    <row r="64" spans="1:28">
      <c r="F64" s="131"/>
      <c r="G64" s="131"/>
      <c r="H64" s="131"/>
      <c r="I64" s="131"/>
      <c r="J64" s="131"/>
      <c r="K64" s="131"/>
      <c r="L64" s="131"/>
      <c r="M64" s="131"/>
    </row>
    <row r="71" spans="5:13">
      <c r="E71" s="131"/>
      <c r="F71" s="131"/>
      <c r="G71" s="131"/>
      <c r="H71" s="131"/>
      <c r="I71" s="131"/>
      <c r="J71" s="131"/>
      <c r="K71" s="131"/>
      <c r="L71" s="131"/>
      <c r="M71" s="131"/>
    </row>
    <row r="81" spans="5:221">
      <c r="HI81" s="144"/>
      <c r="HJ81" s="144"/>
      <c r="HM81" s="124" t="s">
        <v>48</v>
      </c>
    </row>
    <row r="94" spans="5:221">
      <c r="E94" s="131"/>
      <c r="F94" s="131"/>
      <c r="G94" s="131"/>
      <c r="H94" s="131"/>
      <c r="I94" s="131"/>
      <c r="J94" s="131"/>
      <c r="K94" s="131"/>
      <c r="L94" s="131"/>
      <c r="M94" s="131"/>
    </row>
    <row r="95" spans="5:221">
      <c r="E95" s="131"/>
      <c r="F95" s="131"/>
      <c r="G95" s="131"/>
      <c r="H95" s="131"/>
      <c r="I95" s="131"/>
      <c r="J95" s="131"/>
      <c r="K95" s="131"/>
      <c r="L95" s="131"/>
      <c r="M95" s="131"/>
    </row>
    <row r="96" spans="5:221">
      <c r="E96" s="131"/>
      <c r="F96" s="131"/>
      <c r="G96" s="131"/>
      <c r="H96" s="131"/>
      <c r="I96" s="131"/>
      <c r="J96" s="131"/>
      <c r="K96" s="131"/>
      <c r="L96" s="131"/>
      <c r="M96" s="131"/>
    </row>
    <row r="97" spans="5:13">
      <c r="E97" s="131"/>
      <c r="F97" s="131"/>
      <c r="G97" s="131"/>
      <c r="H97" s="131"/>
      <c r="I97" s="131"/>
      <c r="J97" s="131"/>
      <c r="K97" s="131"/>
      <c r="L97" s="131"/>
      <c r="M97" s="131"/>
    </row>
    <row r="98" spans="5:13">
      <c r="E98" s="131"/>
      <c r="F98" s="131"/>
      <c r="G98" s="131"/>
      <c r="H98" s="131"/>
      <c r="I98" s="131"/>
      <c r="J98" s="131"/>
      <c r="K98" s="131"/>
      <c r="L98" s="131"/>
      <c r="M98" s="131"/>
    </row>
    <row r="99" spans="5:13">
      <c r="E99" s="131"/>
      <c r="F99" s="131"/>
      <c r="G99" s="131"/>
      <c r="H99" s="131"/>
      <c r="I99" s="131"/>
      <c r="J99" s="131"/>
      <c r="K99" s="131"/>
      <c r="L99" s="131"/>
      <c r="M99" s="131"/>
    </row>
    <row r="100" spans="5:13">
      <c r="E100" s="131"/>
      <c r="F100" s="131"/>
      <c r="G100" s="131"/>
      <c r="H100" s="131"/>
      <c r="I100" s="131"/>
      <c r="J100" s="131"/>
      <c r="K100" s="131"/>
      <c r="L100" s="131"/>
      <c r="M100" s="131"/>
    </row>
    <row r="101" spans="5:13">
      <c r="E101" s="131"/>
      <c r="F101" s="131"/>
      <c r="G101" s="131"/>
      <c r="H101" s="131"/>
      <c r="I101" s="131"/>
      <c r="J101" s="131"/>
      <c r="K101" s="131"/>
      <c r="L101" s="131"/>
      <c r="M101" s="131"/>
    </row>
    <row r="102" spans="5:13">
      <c r="E102" s="131"/>
      <c r="F102" s="131"/>
      <c r="G102" s="131"/>
      <c r="H102" s="131"/>
      <c r="I102" s="131"/>
      <c r="J102" s="131"/>
      <c r="K102" s="131"/>
      <c r="L102" s="131"/>
      <c r="M102" s="131"/>
    </row>
    <row r="103" spans="5:13">
      <c r="E103" s="131"/>
      <c r="F103" s="131"/>
      <c r="G103" s="131"/>
      <c r="H103" s="131"/>
      <c r="I103" s="131"/>
      <c r="J103" s="131"/>
      <c r="K103" s="131"/>
      <c r="L103" s="131"/>
      <c r="M103" s="131"/>
    </row>
    <row r="104" spans="5:13">
      <c r="E104" s="131"/>
      <c r="F104" s="131"/>
      <c r="G104" s="131"/>
      <c r="H104" s="131"/>
      <c r="I104" s="131"/>
      <c r="J104" s="131"/>
      <c r="K104" s="131"/>
      <c r="L104" s="131"/>
      <c r="M104" s="131"/>
    </row>
    <row r="105" spans="5:13">
      <c r="E105" s="131"/>
      <c r="F105" s="131"/>
      <c r="G105" s="131"/>
      <c r="H105" s="131"/>
      <c r="I105" s="131"/>
      <c r="J105" s="131"/>
      <c r="K105" s="131"/>
      <c r="L105" s="131"/>
      <c r="M105" s="131"/>
    </row>
    <row r="106" spans="5:13">
      <c r="E106" s="131"/>
      <c r="F106" s="131"/>
      <c r="G106" s="131"/>
      <c r="H106" s="131"/>
      <c r="I106" s="131"/>
      <c r="J106" s="131"/>
      <c r="K106" s="131"/>
      <c r="L106" s="131"/>
      <c r="M106" s="131"/>
    </row>
    <row r="107" spans="5:13">
      <c r="E107" s="131"/>
      <c r="F107" s="131"/>
      <c r="G107" s="131"/>
      <c r="H107" s="131"/>
      <c r="I107" s="131"/>
      <c r="J107" s="131"/>
      <c r="K107" s="131"/>
      <c r="L107" s="131"/>
      <c r="M107" s="131"/>
    </row>
    <row r="108" spans="5:13">
      <c r="E108" s="131"/>
      <c r="F108" s="131"/>
      <c r="G108" s="131"/>
      <c r="H108" s="131"/>
      <c r="I108" s="131"/>
      <c r="J108" s="131"/>
      <c r="K108" s="131"/>
      <c r="L108" s="131"/>
      <c r="M108" s="131"/>
    </row>
    <row r="109" spans="5:13">
      <c r="E109" s="131"/>
      <c r="F109" s="131"/>
      <c r="G109" s="131"/>
      <c r="H109" s="131"/>
      <c r="I109" s="131"/>
      <c r="J109" s="131"/>
      <c r="K109" s="131"/>
      <c r="L109" s="131"/>
      <c r="M109" s="131"/>
    </row>
    <row r="110" spans="5:13">
      <c r="E110" s="131"/>
      <c r="F110" s="131"/>
      <c r="G110" s="131"/>
      <c r="H110" s="131"/>
      <c r="I110" s="131"/>
      <c r="J110" s="131"/>
      <c r="K110" s="131"/>
      <c r="L110" s="131"/>
      <c r="M110" s="131"/>
    </row>
    <row r="111" spans="5:13">
      <c r="E111" s="131"/>
      <c r="F111" s="131"/>
      <c r="G111" s="131"/>
      <c r="H111" s="131"/>
      <c r="I111" s="131"/>
      <c r="J111" s="131"/>
      <c r="K111" s="131"/>
      <c r="L111" s="131"/>
      <c r="M111" s="131"/>
    </row>
    <row r="112" spans="5:13">
      <c r="E112" s="131"/>
      <c r="F112" s="131"/>
      <c r="G112" s="131"/>
      <c r="H112" s="131"/>
      <c r="I112" s="131"/>
      <c r="J112" s="131"/>
      <c r="K112" s="131"/>
      <c r="L112" s="131"/>
      <c r="M112" s="131"/>
    </row>
    <row r="113" spans="5:13">
      <c r="E113" s="131"/>
      <c r="F113" s="131"/>
      <c r="G113" s="131"/>
      <c r="H113" s="131"/>
      <c r="I113" s="131"/>
      <c r="J113" s="131"/>
      <c r="K113" s="131"/>
      <c r="L113" s="131"/>
      <c r="M113" s="131"/>
    </row>
    <row r="114" spans="5:13">
      <c r="E114" s="131"/>
      <c r="F114" s="131"/>
      <c r="G114" s="131"/>
      <c r="H114" s="131"/>
      <c r="I114" s="131"/>
      <c r="J114" s="131"/>
      <c r="K114" s="131"/>
      <c r="L114" s="131"/>
      <c r="M114" s="131"/>
    </row>
    <row r="115" spans="5:13">
      <c r="E115" s="131"/>
      <c r="F115" s="131"/>
      <c r="G115" s="131"/>
      <c r="H115" s="131"/>
      <c r="I115" s="131"/>
      <c r="J115" s="131"/>
      <c r="K115" s="131"/>
      <c r="L115" s="131"/>
      <c r="M115" s="131"/>
    </row>
    <row r="116" spans="5:13">
      <c r="E116" s="131"/>
      <c r="F116" s="131"/>
      <c r="G116" s="131"/>
      <c r="H116" s="131"/>
      <c r="I116" s="131"/>
      <c r="J116" s="131"/>
      <c r="K116" s="131"/>
      <c r="L116" s="131"/>
      <c r="M116" s="131"/>
    </row>
    <row r="117" spans="5:13">
      <c r="E117" s="131"/>
      <c r="F117" s="131"/>
      <c r="G117" s="131"/>
      <c r="H117" s="131"/>
      <c r="I117" s="131"/>
      <c r="J117" s="131"/>
      <c r="K117" s="131"/>
      <c r="L117" s="131"/>
      <c r="M117" s="131"/>
    </row>
    <row r="118" spans="5:13">
      <c r="E118" s="131"/>
      <c r="F118" s="131"/>
      <c r="G118" s="131"/>
      <c r="H118" s="131"/>
      <c r="I118" s="131"/>
      <c r="J118" s="131"/>
      <c r="K118" s="131"/>
      <c r="L118" s="131"/>
      <c r="M118" s="131"/>
    </row>
    <row r="119" spans="5:13">
      <c r="E119" s="131"/>
      <c r="F119" s="131"/>
      <c r="G119" s="131"/>
      <c r="H119" s="131"/>
      <c r="I119" s="131"/>
      <c r="J119" s="131"/>
      <c r="K119" s="131"/>
      <c r="L119" s="131"/>
      <c r="M119" s="131"/>
    </row>
    <row r="120" spans="5:13">
      <c r="E120" s="131"/>
      <c r="F120" s="131"/>
      <c r="G120" s="131"/>
      <c r="H120" s="131"/>
      <c r="I120" s="131"/>
      <c r="J120" s="131"/>
      <c r="K120" s="131"/>
      <c r="L120" s="131"/>
      <c r="M120" s="131"/>
    </row>
    <row r="121" spans="5:13">
      <c r="E121" s="131"/>
      <c r="F121" s="131"/>
      <c r="G121" s="131"/>
      <c r="H121" s="131"/>
      <c r="I121" s="131"/>
      <c r="J121" s="131"/>
      <c r="K121" s="131"/>
      <c r="L121" s="131"/>
      <c r="M121" s="131"/>
    </row>
    <row r="122" spans="5:13">
      <c r="E122" s="131"/>
      <c r="F122" s="131"/>
      <c r="G122" s="131"/>
      <c r="H122" s="131"/>
      <c r="I122" s="131"/>
      <c r="J122" s="131"/>
      <c r="K122" s="131"/>
      <c r="L122" s="131"/>
      <c r="M122" s="131"/>
    </row>
    <row r="123" spans="5:13">
      <c r="E123" s="131"/>
      <c r="F123" s="131"/>
      <c r="G123" s="131"/>
      <c r="H123" s="131"/>
      <c r="I123" s="131"/>
      <c r="J123" s="131"/>
      <c r="K123" s="131"/>
      <c r="L123" s="131"/>
      <c r="M123" s="131"/>
    </row>
    <row r="124" spans="5:13">
      <c r="E124" s="131"/>
      <c r="F124" s="131"/>
      <c r="G124" s="131"/>
      <c r="H124" s="131"/>
      <c r="I124" s="131"/>
      <c r="J124" s="131"/>
      <c r="K124" s="131"/>
      <c r="L124" s="131"/>
      <c r="M124" s="131"/>
    </row>
    <row r="125" spans="5:13">
      <c r="E125" s="131"/>
      <c r="F125" s="131"/>
      <c r="G125" s="131"/>
      <c r="H125" s="131"/>
      <c r="I125" s="131"/>
      <c r="J125" s="131"/>
      <c r="K125" s="131"/>
      <c r="L125" s="131"/>
      <c r="M125" s="131"/>
    </row>
    <row r="126" spans="5:13">
      <c r="E126" s="131"/>
      <c r="F126" s="131"/>
      <c r="G126" s="131"/>
      <c r="H126" s="131"/>
      <c r="I126" s="131"/>
      <c r="J126" s="131"/>
      <c r="K126" s="131"/>
      <c r="L126" s="131"/>
      <c r="M126" s="131"/>
    </row>
    <row r="127" spans="5:13">
      <c r="E127" s="131"/>
      <c r="F127" s="131"/>
      <c r="G127" s="131"/>
      <c r="H127" s="131"/>
      <c r="I127" s="131"/>
      <c r="J127" s="131"/>
      <c r="K127" s="131"/>
      <c r="L127" s="131"/>
      <c r="M127" s="131"/>
    </row>
    <row r="128" spans="5:13">
      <c r="E128" s="131"/>
      <c r="F128" s="131"/>
      <c r="G128" s="131"/>
      <c r="H128" s="131"/>
      <c r="I128" s="131"/>
      <c r="J128" s="131"/>
      <c r="K128" s="131"/>
      <c r="L128" s="131"/>
      <c r="M128" s="131"/>
    </row>
    <row r="129" spans="5:13">
      <c r="E129" s="131"/>
      <c r="F129" s="131"/>
      <c r="G129" s="131"/>
      <c r="H129" s="131"/>
      <c r="I129" s="131"/>
      <c r="J129" s="131"/>
      <c r="K129" s="131"/>
      <c r="L129" s="131"/>
      <c r="M129" s="131"/>
    </row>
    <row r="130" spans="5:13">
      <c r="E130" s="131"/>
      <c r="F130" s="131"/>
      <c r="G130" s="131"/>
      <c r="H130" s="131"/>
      <c r="I130" s="131"/>
      <c r="J130" s="131"/>
      <c r="K130" s="131"/>
      <c r="L130" s="131"/>
      <c r="M130" s="131"/>
    </row>
    <row r="131" spans="5:13">
      <c r="E131" s="131"/>
      <c r="F131" s="131"/>
      <c r="G131" s="131"/>
      <c r="H131" s="131"/>
      <c r="I131" s="131"/>
      <c r="J131" s="131"/>
      <c r="K131" s="131"/>
      <c r="L131" s="131"/>
      <c r="M131" s="131"/>
    </row>
    <row r="132" spans="5:13">
      <c r="E132" s="131"/>
      <c r="F132" s="131"/>
      <c r="G132" s="131"/>
      <c r="H132" s="131"/>
      <c r="I132" s="131"/>
      <c r="J132" s="131"/>
      <c r="K132" s="131"/>
      <c r="L132" s="131"/>
      <c r="M132" s="131"/>
    </row>
    <row r="133" spans="5:13">
      <c r="E133" s="131"/>
      <c r="F133" s="131"/>
      <c r="G133" s="131"/>
      <c r="H133" s="131"/>
      <c r="I133" s="131"/>
      <c r="J133" s="131"/>
      <c r="K133" s="131"/>
      <c r="L133" s="131"/>
      <c r="M133" s="131"/>
    </row>
    <row r="134" spans="5:13">
      <c r="E134" s="131"/>
      <c r="F134" s="131"/>
      <c r="G134" s="131"/>
      <c r="H134" s="131"/>
      <c r="I134" s="131"/>
      <c r="J134" s="131"/>
      <c r="K134" s="131"/>
      <c r="L134" s="131"/>
      <c r="M134" s="131"/>
    </row>
    <row r="135" spans="5:13">
      <c r="E135" s="131"/>
      <c r="F135" s="131"/>
      <c r="G135" s="131"/>
      <c r="H135" s="131"/>
      <c r="I135" s="131"/>
      <c r="J135" s="131"/>
      <c r="K135" s="131"/>
      <c r="L135" s="131"/>
      <c r="M135" s="131"/>
    </row>
    <row r="136" spans="5:13">
      <c r="E136" s="131"/>
      <c r="F136" s="131"/>
      <c r="G136" s="131"/>
      <c r="H136" s="131"/>
      <c r="I136" s="131"/>
      <c r="J136" s="131"/>
      <c r="K136" s="131"/>
      <c r="L136" s="131"/>
      <c r="M136" s="131"/>
    </row>
    <row r="137" spans="5:13">
      <c r="E137" s="131"/>
      <c r="F137" s="131"/>
      <c r="G137" s="131"/>
      <c r="H137" s="131"/>
      <c r="I137" s="131"/>
      <c r="J137" s="131"/>
      <c r="K137" s="131"/>
      <c r="L137" s="131"/>
      <c r="M137" s="131"/>
    </row>
    <row r="138" spans="5:13">
      <c r="E138" s="131"/>
      <c r="F138" s="131"/>
      <c r="G138" s="131"/>
      <c r="H138" s="131"/>
      <c r="I138" s="131"/>
      <c r="J138" s="131"/>
      <c r="K138" s="131"/>
      <c r="L138" s="131"/>
      <c r="M138" s="131"/>
    </row>
    <row r="139" spans="5:13">
      <c r="E139" s="131"/>
      <c r="F139" s="131"/>
      <c r="G139" s="131"/>
      <c r="H139" s="131"/>
      <c r="I139" s="131"/>
      <c r="J139" s="131"/>
      <c r="K139" s="131"/>
      <c r="L139" s="131"/>
      <c r="M139" s="131"/>
    </row>
    <row r="140" spans="5:13">
      <c r="E140" s="131"/>
      <c r="F140" s="131"/>
      <c r="G140" s="131"/>
      <c r="H140" s="131"/>
      <c r="I140" s="131"/>
      <c r="J140" s="131"/>
      <c r="K140" s="131"/>
      <c r="L140" s="131"/>
      <c r="M140" s="131"/>
    </row>
    <row r="141" spans="5:13">
      <c r="E141" s="131"/>
      <c r="F141" s="131"/>
      <c r="G141" s="131"/>
      <c r="H141" s="131"/>
      <c r="I141" s="131"/>
      <c r="J141" s="131"/>
      <c r="K141" s="131"/>
      <c r="L141" s="131"/>
      <c r="M141" s="131"/>
    </row>
    <row r="142" spans="5:13">
      <c r="E142" s="131"/>
      <c r="F142" s="131"/>
      <c r="G142" s="131"/>
      <c r="H142" s="131"/>
      <c r="I142" s="131"/>
      <c r="J142" s="131"/>
      <c r="K142" s="131"/>
      <c r="L142" s="131"/>
      <c r="M142" s="131"/>
    </row>
    <row r="143" spans="5:13">
      <c r="E143" s="131"/>
      <c r="F143" s="131"/>
      <c r="G143" s="131"/>
      <c r="H143" s="131"/>
      <c r="I143" s="131"/>
      <c r="J143" s="131"/>
      <c r="K143" s="131"/>
      <c r="L143" s="131"/>
      <c r="M143" s="131"/>
    </row>
    <row r="144" spans="5:13">
      <c r="E144" s="131"/>
      <c r="F144" s="131"/>
      <c r="G144" s="131"/>
      <c r="H144" s="131"/>
      <c r="I144" s="131"/>
      <c r="J144" s="131"/>
      <c r="K144" s="131"/>
      <c r="L144" s="131"/>
      <c r="M144" s="131"/>
    </row>
    <row r="145" spans="5:13">
      <c r="E145" s="131"/>
      <c r="F145" s="131"/>
      <c r="G145" s="131"/>
      <c r="H145" s="131"/>
      <c r="I145" s="131"/>
      <c r="J145" s="131"/>
      <c r="K145" s="131"/>
      <c r="L145" s="131"/>
      <c r="M145" s="131"/>
    </row>
    <row r="146" spans="5:13">
      <c r="E146" s="131"/>
      <c r="F146" s="131"/>
      <c r="G146" s="131"/>
      <c r="H146" s="131"/>
      <c r="I146" s="131"/>
      <c r="J146" s="131"/>
      <c r="K146" s="131"/>
      <c r="L146" s="131"/>
      <c r="M146" s="131"/>
    </row>
    <row r="147" spans="5:13">
      <c r="E147" s="131"/>
      <c r="F147" s="131"/>
      <c r="G147" s="131"/>
      <c r="H147" s="131"/>
      <c r="I147" s="131"/>
      <c r="J147" s="131"/>
      <c r="K147" s="131"/>
      <c r="L147" s="131"/>
      <c r="M147" s="131"/>
    </row>
    <row r="148" spans="5:13">
      <c r="E148" s="131"/>
      <c r="F148" s="131"/>
      <c r="G148" s="131"/>
      <c r="H148" s="131"/>
      <c r="I148" s="131"/>
      <c r="J148" s="131"/>
      <c r="K148" s="131"/>
      <c r="L148" s="131"/>
      <c r="M148" s="131"/>
    </row>
    <row r="149" spans="5:13">
      <c r="E149" s="131"/>
      <c r="F149" s="131"/>
      <c r="G149" s="131"/>
      <c r="H149" s="131"/>
      <c r="I149" s="131"/>
      <c r="J149" s="131"/>
      <c r="K149" s="131"/>
      <c r="L149" s="131"/>
      <c r="M149" s="131"/>
    </row>
    <row r="150" spans="5:13">
      <c r="E150" s="131"/>
      <c r="F150" s="131"/>
      <c r="G150" s="131"/>
      <c r="H150" s="131"/>
      <c r="I150" s="131"/>
      <c r="J150" s="131"/>
      <c r="K150" s="131"/>
      <c r="L150" s="131"/>
      <c r="M150" s="131"/>
    </row>
    <row r="151" spans="5:13">
      <c r="E151" s="131"/>
      <c r="F151" s="131"/>
      <c r="G151" s="131"/>
      <c r="H151" s="131"/>
      <c r="I151" s="131"/>
      <c r="J151" s="131"/>
      <c r="K151" s="131"/>
      <c r="L151" s="131"/>
      <c r="M151" s="131"/>
    </row>
    <row r="152" spans="5:13">
      <c r="E152" s="131"/>
      <c r="F152" s="131"/>
      <c r="G152" s="131"/>
      <c r="H152" s="131"/>
      <c r="I152" s="131"/>
      <c r="J152" s="131"/>
      <c r="K152" s="131"/>
      <c r="L152" s="131"/>
      <c r="M152" s="131"/>
    </row>
    <row r="153" spans="5:13">
      <c r="E153" s="131"/>
      <c r="F153" s="131"/>
      <c r="G153" s="131"/>
      <c r="H153" s="131"/>
      <c r="I153" s="131"/>
      <c r="J153" s="131"/>
      <c r="K153" s="131"/>
      <c r="L153" s="131"/>
      <c r="M153" s="131"/>
    </row>
    <row r="154" spans="5:13">
      <c r="E154" s="131"/>
      <c r="F154" s="131"/>
      <c r="G154" s="131"/>
      <c r="H154" s="131"/>
      <c r="I154" s="131"/>
      <c r="J154" s="131"/>
      <c r="K154" s="131"/>
      <c r="L154" s="131"/>
      <c r="M154" s="131"/>
    </row>
  </sheetData>
  <mergeCells count="2">
    <mergeCell ref="AA24:AB24"/>
    <mergeCell ref="AA25:AB25"/>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HM154"/>
  <sheetViews>
    <sheetView topLeftCell="O39" zoomScaleNormal="100" workbookViewId="0">
      <selection activeCell="E9" sqref="E9"/>
    </sheetView>
  </sheetViews>
  <sheetFormatPr defaultColWidth="9" defaultRowHeight="13.2"/>
  <cols>
    <col min="1" max="1" width="36.33203125" style="124" customWidth="1"/>
    <col min="2" max="2" width="15.33203125" style="124" bestFit="1" customWidth="1"/>
    <col min="3" max="3" width="18.6640625" style="124" customWidth="1"/>
    <col min="4" max="4" width="1.88671875" style="124" customWidth="1"/>
    <col min="5" max="5" width="18.6640625" style="124" customWidth="1"/>
    <col min="6" max="6" width="2" style="124" customWidth="1"/>
    <col min="7" max="7" width="18.6640625" style="124" customWidth="1"/>
    <col min="8" max="8" width="1.88671875" style="124" customWidth="1"/>
    <col min="9" max="9" width="18.6640625" style="124" customWidth="1"/>
    <col min="10" max="10" width="1.88671875" style="124" customWidth="1"/>
    <col min="11" max="11" width="18.6640625" style="124" customWidth="1"/>
    <col min="12" max="12" width="2" style="124" customWidth="1"/>
    <col min="13" max="13" width="18.6640625" style="124" customWidth="1"/>
    <col min="14" max="14" width="9" style="124"/>
    <col min="15" max="15" width="53.33203125" style="124" bestFit="1" customWidth="1"/>
    <col min="16" max="16" width="6.6640625" style="124" customWidth="1"/>
    <col min="17" max="17" width="10.6640625" style="124" bestFit="1" customWidth="1"/>
    <col min="18" max="18" width="2.6640625" style="124" bestFit="1" customWidth="1"/>
    <col min="19" max="19" width="10.6640625" style="124" bestFit="1" customWidth="1"/>
    <col min="20" max="20" width="2.6640625" style="124" customWidth="1"/>
    <col min="21" max="21" width="10.6640625" style="124" bestFit="1" customWidth="1"/>
    <col min="22" max="22" width="2.6640625" style="124" customWidth="1"/>
    <col min="23" max="23" width="10.6640625" style="124" bestFit="1" customWidth="1"/>
    <col min="24" max="24" width="2.6640625" style="124" customWidth="1"/>
    <col min="25" max="25" width="10.6640625" style="124" bestFit="1" customWidth="1"/>
    <col min="26" max="26" width="2.6640625" style="124" customWidth="1"/>
    <col min="27" max="27" width="10.5546875" style="124" customWidth="1"/>
    <col min="28" max="28" width="2.6640625" style="124" customWidth="1"/>
    <col min="29" max="29" width="9" style="124"/>
    <col min="30" max="30" width="4.33203125" style="124" customWidth="1"/>
    <col min="31" max="31" width="3.6640625" style="124" customWidth="1"/>
    <col min="32" max="32" width="22.33203125" style="124" customWidth="1"/>
    <col min="33" max="16384" width="9" style="124"/>
  </cols>
  <sheetData>
    <row r="1" spans="1:27" ht="16.2" customHeight="1">
      <c r="A1" s="329"/>
    </row>
    <row r="2" spans="1:27" ht="16.2" customHeight="1">
      <c r="A2" s="329"/>
    </row>
    <row r="3" spans="1:27" ht="16.2" customHeight="1">
      <c r="A3" s="329"/>
    </row>
    <row r="4" spans="1:27" ht="16.2" customHeight="1" thickBot="1">
      <c r="A4" s="329"/>
    </row>
    <row r="5" spans="1:27" ht="16.8">
      <c r="A5" s="328" t="s">
        <v>2255</v>
      </c>
    </row>
    <row r="6" spans="1:27" ht="14.4" thickBot="1">
      <c r="A6" s="327" t="s">
        <v>3051</v>
      </c>
      <c r="E6" s="127" t="s">
        <v>3064</v>
      </c>
      <c r="F6" s="127"/>
      <c r="G6" s="128"/>
      <c r="H6" s="128"/>
      <c r="I6" s="128"/>
      <c r="J6" s="128"/>
      <c r="K6" s="128"/>
      <c r="L6" s="259"/>
      <c r="O6" s="129" t="str">
        <f>E6</f>
        <v>New Jersey Resources</v>
      </c>
      <c r="P6" s="128"/>
      <c r="Q6" s="128"/>
      <c r="R6" s="127"/>
      <c r="S6" s="128"/>
      <c r="T6" s="128"/>
      <c r="U6" s="128"/>
      <c r="V6" s="128"/>
      <c r="W6" s="128"/>
      <c r="X6" s="128"/>
      <c r="Y6" s="128"/>
      <c r="Z6" s="128"/>
      <c r="AA6" s="128"/>
    </row>
    <row r="7" spans="1:27" ht="13.8">
      <c r="E7" s="128" t="s">
        <v>0</v>
      </c>
      <c r="F7" s="128"/>
      <c r="G7" s="128"/>
      <c r="H7" s="128"/>
      <c r="I7" s="128"/>
      <c r="J7" s="128"/>
      <c r="K7" s="128"/>
      <c r="L7" s="259"/>
      <c r="O7" s="128" t="str">
        <f>E7</f>
        <v>CAPITALIZATION AND FINANCIAL STATISTICS  (1)</v>
      </c>
      <c r="P7" s="128"/>
      <c r="Q7" s="128"/>
      <c r="R7" s="128"/>
      <c r="S7" s="128"/>
      <c r="T7" s="128"/>
      <c r="U7" s="128"/>
      <c r="V7" s="128"/>
      <c r="W7" s="128"/>
      <c r="X7" s="128"/>
      <c r="Y7" s="128"/>
      <c r="Z7" s="128"/>
      <c r="AA7" s="128"/>
    </row>
    <row r="8" spans="1:27">
      <c r="E8" s="127" t="s">
        <v>4355</v>
      </c>
      <c r="F8" s="127"/>
      <c r="G8" s="128"/>
      <c r="H8" s="128"/>
      <c r="I8" s="128"/>
      <c r="J8" s="128"/>
      <c r="K8" s="128"/>
      <c r="O8" s="127" t="str">
        <f>E8</f>
        <v>2016 - 2021, Inclusive</v>
      </c>
      <c r="P8" s="128"/>
      <c r="Q8" s="128"/>
      <c r="R8" s="127"/>
      <c r="S8" s="128"/>
      <c r="T8" s="128"/>
      <c r="U8" s="128"/>
      <c r="V8" s="128"/>
      <c r="W8" s="128"/>
      <c r="X8" s="128"/>
      <c r="Y8" s="128"/>
      <c r="Z8" s="128"/>
      <c r="AA8" s="128"/>
    </row>
    <row r="9" spans="1:27">
      <c r="O9" s="128"/>
      <c r="P9" s="128"/>
      <c r="Q9" s="127"/>
      <c r="R9" s="127"/>
      <c r="S9" s="128"/>
      <c r="T9" s="128"/>
      <c r="U9" s="128"/>
      <c r="V9" s="128"/>
      <c r="W9" s="128"/>
      <c r="X9" s="128"/>
      <c r="Y9" s="128"/>
      <c r="Z9" s="128"/>
      <c r="AA9" s="128"/>
    </row>
    <row r="10" spans="1:27">
      <c r="B10" s="124" t="s">
        <v>4382</v>
      </c>
      <c r="C10" s="326">
        <v>2021</v>
      </c>
      <c r="E10" s="326">
        <v>2020</v>
      </c>
      <c r="G10" s="326">
        <v>2019</v>
      </c>
      <c r="I10" s="326">
        <v>2018</v>
      </c>
      <c r="K10" s="326">
        <v>2017</v>
      </c>
      <c r="M10" s="326">
        <v>2016</v>
      </c>
      <c r="Q10" s="127"/>
      <c r="R10" s="127"/>
      <c r="S10" s="128"/>
      <c r="T10" s="128"/>
      <c r="U10" s="128"/>
      <c r="V10" s="128"/>
      <c r="W10" s="128"/>
      <c r="X10" s="128"/>
      <c r="Y10" s="128"/>
    </row>
    <row r="11" spans="1:27">
      <c r="A11" s="124" t="s">
        <v>1</v>
      </c>
    </row>
    <row r="12" spans="1:27">
      <c r="A12" s="124" t="s">
        <v>2</v>
      </c>
      <c r="B12" s="124" t="s">
        <v>65</v>
      </c>
      <c r="C12" s="213">
        <f>2162164000+72840000</f>
        <v>2235004000</v>
      </c>
      <c r="E12" s="213">
        <f>2259466000+27236000</f>
        <v>2286702000</v>
      </c>
      <c r="G12" s="130">
        <f>1537177000+21419000</f>
        <v>1558596000</v>
      </c>
      <c r="I12" s="130">
        <f>1180619000+123545000</f>
        <v>1304164000</v>
      </c>
      <c r="K12" s="130">
        <v>1162455000</v>
      </c>
      <c r="L12" s="131"/>
      <c r="M12" s="130">
        <v>1125002000</v>
      </c>
      <c r="Q12" s="326">
        <f>C10</f>
        <v>2021</v>
      </c>
      <c r="R12" s="326"/>
      <c r="S12" s="326">
        <f>E10</f>
        <v>2020</v>
      </c>
      <c r="T12" s="326"/>
      <c r="U12" s="326">
        <f>G10</f>
        <v>2019</v>
      </c>
      <c r="V12" s="326"/>
      <c r="W12" s="326">
        <f>I10</f>
        <v>2018</v>
      </c>
      <c r="X12" s="326"/>
      <c r="Y12" s="326">
        <f>K10</f>
        <v>2017</v>
      </c>
      <c r="Z12" s="326"/>
    </row>
    <row r="13" spans="1:27">
      <c r="A13" s="124" t="s">
        <v>3</v>
      </c>
      <c r="B13" s="124" t="s">
        <v>66</v>
      </c>
      <c r="C13" s="130">
        <v>0</v>
      </c>
      <c r="E13" s="130">
        <v>0</v>
      </c>
      <c r="G13" s="130">
        <v>0</v>
      </c>
      <c r="I13" s="130">
        <v>0</v>
      </c>
      <c r="K13" s="130">
        <v>0</v>
      </c>
      <c r="L13" s="131"/>
      <c r="M13" s="130">
        <v>0</v>
      </c>
      <c r="Q13" s="128" t="s">
        <v>4</v>
      </c>
      <c r="R13" s="128"/>
      <c r="S13" s="128"/>
      <c r="T13" s="128"/>
      <c r="U13" s="128"/>
      <c r="V13" s="128"/>
      <c r="W13" s="128"/>
      <c r="X13" s="128"/>
      <c r="Y13" s="128"/>
      <c r="Z13" s="128" t="s">
        <v>5</v>
      </c>
      <c r="AA13" s="128" t="s">
        <v>5</v>
      </c>
    </row>
    <row r="14" spans="1:27">
      <c r="C14" s="130"/>
      <c r="E14" s="130"/>
      <c r="G14" s="130"/>
      <c r="I14" s="130"/>
      <c r="O14" s="132" t="s">
        <v>6</v>
      </c>
      <c r="P14" s="132"/>
    </row>
    <row r="15" spans="1:27">
      <c r="A15" s="124" t="s">
        <v>8</v>
      </c>
      <c r="B15" s="124" t="s">
        <v>58</v>
      </c>
      <c r="C15" s="213">
        <v>95709662</v>
      </c>
      <c r="E15" s="213">
        <v>95949183</v>
      </c>
      <c r="G15" s="130">
        <f>89998788-660734</f>
        <v>89338054</v>
      </c>
      <c r="I15" s="130">
        <f>88292956-2185013</f>
        <v>86107943</v>
      </c>
      <c r="K15" s="130">
        <v>86555507</v>
      </c>
      <c r="L15" s="131"/>
      <c r="M15" s="130">
        <v>86086355</v>
      </c>
    </row>
    <row r="16" spans="1:27">
      <c r="A16" s="124" t="s">
        <v>10</v>
      </c>
      <c r="B16" s="124" t="s">
        <v>60</v>
      </c>
      <c r="C16" s="213">
        <v>1630862000</v>
      </c>
      <c r="E16" s="213">
        <v>1844692000</v>
      </c>
      <c r="G16" s="130">
        <v>1551717000</v>
      </c>
      <c r="I16" s="130">
        <v>1418978000</v>
      </c>
      <c r="K16" s="130">
        <v>1236643000</v>
      </c>
      <c r="L16" s="131"/>
      <c r="M16" s="130">
        <v>1166591000</v>
      </c>
      <c r="O16" s="132" t="s">
        <v>9</v>
      </c>
      <c r="P16" s="132"/>
    </row>
    <row r="17" spans="1:28">
      <c r="A17" s="124" t="s">
        <v>49</v>
      </c>
      <c r="B17" s="124" t="s">
        <v>58</v>
      </c>
      <c r="C17" s="130">
        <v>0</v>
      </c>
      <c r="E17" s="130">
        <v>0</v>
      </c>
      <c r="G17" s="130">
        <v>0</v>
      </c>
      <c r="I17" s="130">
        <v>0</v>
      </c>
      <c r="K17" s="130">
        <v>0</v>
      </c>
      <c r="L17" s="131"/>
      <c r="M17" s="130">
        <v>0</v>
      </c>
      <c r="O17" s="124" t="s">
        <v>11</v>
      </c>
      <c r="Q17" s="133">
        <f>C50/1000000</f>
        <v>3865.866</v>
      </c>
      <c r="R17" s="133"/>
      <c r="S17" s="133">
        <f>E50/1000000</f>
        <v>4131.3940000000002</v>
      </c>
      <c r="T17" s="133"/>
      <c r="U17" s="133">
        <f>G50/1000000</f>
        <v>3110.3130000000001</v>
      </c>
      <c r="V17" s="133"/>
      <c r="W17" s="133">
        <f>I50/1000000</f>
        <v>2723.1419999999998</v>
      </c>
      <c r="X17" s="133"/>
      <c r="Y17" s="133">
        <f>K50/1000000</f>
        <v>2399.098</v>
      </c>
    </row>
    <row r="18" spans="1:28">
      <c r="C18" s="130"/>
      <c r="E18" s="130"/>
      <c r="G18" s="130"/>
      <c r="I18" s="130"/>
      <c r="O18" s="124" t="s">
        <v>12</v>
      </c>
      <c r="Q18" s="134">
        <f>C19/1000000</f>
        <v>377.3</v>
      </c>
      <c r="R18" s="133"/>
      <c r="S18" s="134">
        <f>E19/1000000</f>
        <v>125.35</v>
      </c>
      <c r="T18" s="133"/>
      <c r="U18" s="134">
        <f>G19/1000000</f>
        <v>25.45</v>
      </c>
      <c r="V18" s="133"/>
      <c r="W18" s="134">
        <f>I19/1000000</f>
        <v>151.94999999999999</v>
      </c>
      <c r="X18" s="133"/>
      <c r="Y18" s="134">
        <f>K19/1000000</f>
        <v>266</v>
      </c>
    </row>
    <row r="19" spans="1:28">
      <c r="A19" s="124" t="s">
        <v>15</v>
      </c>
      <c r="B19" s="124" t="s">
        <v>67</v>
      </c>
      <c r="C19" s="213">
        <v>377300000</v>
      </c>
      <c r="E19" s="213">
        <v>125350000</v>
      </c>
      <c r="G19" s="130">
        <v>25450000</v>
      </c>
      <c r="I19" s="130">
        <v>151950000</v>
      </c>
      <c r="K19" s="130">
        <v>266000000</v>
      </c>
      <c r="L19" s="131"/>
      <c r="M19" s="130">
        <v>121700000</v>
      </c>
      <c r="O19" s="124" t="s">
        <v>14</v>
      </c>
      <c r="Q19" s="135">
        <f>SUM(Q17:Q18)</f>
        <v>4243.1660000000002</v>
      </c>
      <c r="R19" s="133"/>
      <c r="S19" s="135">
        <f>SUM(S17:S18)</f>
        <v>4256.7440000000006</v>
      </c>
      <c r="T19" s="133"/>
      <c r="U19" s="135">
        <f>SUM(U17:U18)</f>
        <v>3135.7629999999999</v>
      </c>
      <c r="V19" s="133"/>
      <c r="W19" s="135">
        <f>SUM(W17:W18)</f>
        <v>2875.0919999999996</v>
      </c>
      <c r="X19" s="133"/>
      <c r="Y19" s="135">
        <f>SUM(Y17:Y18)</f>
        <v>2665.098</v>
      </c>
    </row>
    <row r="20" spans="1:28">
      <c r="C20" s="130"/>
      <c r="E20" s="130"/>
      <c r="G20" s="130"/>
      <c r="I20" s="130"/>
      <c r="K20" s="131"/>
      <c r="L20" s="131"/>
      <c r="M20" s="131"/>
    </row>
    <row r="21" spans="1:28">
      <c r="A21" s="124" t="s">
        <v>17</v>
      </c>
      <c r="B21" s="124" t="s">
        <v>61</v>
      </c>
      <c r="C21" s="130">
        <v>1.22</v>
      </c>
      <c r="E21" s="130">
        <v>2.04</v>
      </c>
      <c r="G21" s="130">
        <v>1.89</v>
      </c>
      <c r="I21" s="130">
        <v>2.64</v>
      </c>
      <c r="K21" s="130">
        <v>1.52</v>
      </c>
      <c r="L21" s="131"/>
      <c r="M21" s="130">
        <v>1.52</v>
      </c>
      <c r="O21" s="132" t="s">
        <v>16</v>
      </c>
      <c r="P21" s="132"/>
    </row>
    <row r="22" spans="1:28">
      <c r="A22" s="124" t="s">
        <v>19</v>
      </c>
      <c r="B22" s="124" t="s">
        <v>1375</v>
      </c>
      <c r="C22" s="124">
        <v>44.15</v>
      </c>
      <c r="E22" s="130">
        <v>45.46</v>
      </c>
      <c r="G22" s="130">
        <v>51.13</v>
      </c>
      <c r="I22" s="130">
        <v>47.55</v>
      </c>
      <c r="K22" s="130">
        <v>44.25</v>
      </c>
      <c r="L22" s="131"/>
      <c r="M22" s="130">
        <v>38.71</v>
      </c>
      <c r="O22" s="124" t="s">
        <v>54</v>
      </c>
      <c r="Q22" s="136">
        <f>(ROUND((C30/(AVERAGE(C54,E54))*100),2))</f>
        <v>3.13</v>
      </c>
      <c r="R22" s="137" t="s">
        <v>18</v>
      </c>
      <c r="S22" s="136">
        <f>(ROUND((E30/(AVERAGE(E54,G54))*100),2))</f>
        <v>3.38</v>
      </c>
      <c r="T22" s="137" t="s">
        <v>18</v>
      </c>
      <c r="U22" s="136">
        <f>(ROUND((G30/(AVERAGE(G54,I54))*100),2))</f>
        <v>3.1</v>
      </c>
      <c r="V22" s="137" t="s">
        <v>18</v>
      </c>
      <c r="W22" s="136">
        <f>(ROUND((I30/(AVERAGE(I54,K54))*100),2))</f>
        <v>3.21</v>
      </c>
      <c r="X22" s="137" t="s">
        <v>18</v>
      </c>
      <c r="Y22" s="136">
        <f>(ROUND((K30/(AVERAGE(K54,M54))*100),2))</f>
        <v>3.36</v>
      </c>
      <c r="Z22" s="137" t="s">
        <v>18</v>
      </c>
      <c r="AA22" s="255"/>
    </row>
    <row r="23" spans="1:28">
      <c r="A23" s="124" t="s">
        <v>21</v>
      </c>
      <c r="B23" s="124" t="s">
        <v>1375</v>
      </c>
      <c r="C23" s="124">
        <v>33.67</v>
      </c>
      <c r="E23" s="130">
        <v>24.61</v>
      </c>
      <c r="G23" s="130">
        <v>43.82</v>
      </c>
      <c r="I23" s="130">
        <v>36.25</v>
      </c>
      <c r="K23" s="130">
        <v>31.07</v>
      </c>
      <c r="L23" s="131"/>
      <c r="M23" s="130">
        <v>28.14</v>
      </c>
      <c r="O23" s="124" t="s">
        <v>20</v>
      </c>
      <c r="Q23" s="136"/>
      <c r="R23" s="137"/>
      <c r="S23" s="136"/>
      <c r="T23" s="137"/>
      <c r="U23" s="136"/>
      <c r="V23" s="137"/>
      <c r="W23" s="136"/>
      <c r="X23" s="137"/>
      <c r="Y23" s="136"/>
      <c r="Z23" s="137"/>
    </row>
    <row r="24" spans="1:28">
      <c r="C24" s="130"/>
      <c r="E24" s="130"/>
      <c r="G24" s="130"/>
      <c r="I24" s="130"/>
      <c r="AA24" s="1069" t="s">
        <v>52</v>
      </c>
      <c r="AB24" s="1069"/>
    </row>
    <row r="25" spans="1:28">
      <c r="C25" s="130"/>
      <c r="E25" s="130"/>
      <c r="G25" s="130"/>
      <c r="I25" s="130"/>
      <c r="K25" s="131"/>
      <c r="L25" s="131"/>
      <c r="M25" s="131"/>
      <c r="O25" s="132" t="s">
        <v>30</v>
      </c>
      <c r="P25" s="132"/>
      <c r="AA25" s="1069" t="s">
        <v>22</v>
      </c>
      <c r="AB25" s="1069"/>
    </row>
    <row r="26" spans="1:28">
      <c r="A26" s="124" t="s">
        <v>26</v>
      </c>
      <c r="B26" s="124" t="s">
        <v>1375</v>
      </c>
      <c r="C26" s="130">
        <v>1.36</v>
      </c>
      <c r="E26" s="130">
        <v>1.27</v>
      </c>
      <c r="G26" s="130">
        <v>1.19</v>
      </c>
      <c r="I26" s="130">
        <v>1.1100000000000001</v>
      </c>
      <c r="K26" s="130">
        <v>1.0375000000000001</v>
      </c>
      <c r="L26" s="131"/>
      <c r="M26" s="130">
        <v>0.97499999999999998</v>
      </c>
      <c r="O26" s="124" t="s">
        <v>32</v>
      </c>
    </row>
    <row r="27" spans="1:28">
      <c r="C27" s="130"/>
      <c r="E27" s="130"/>
      <c r="G27" s="130"/>
      <c r="I27" s="130"/>
      <c r="K27" s="131"/>
      <c r="L27" s="131"/>
      <c r="M27" s="131"/>
      <c r="O27" s="124" t="s">
        <v>33</v>
      </c>
      <c r="Q27" s="136">
        <f>ROUND(((C12/C50)*100),2)</f>
        <v>57.81</v>
      </c>
      <c r="R27" s="137" t="s">
        <v>18</v>
      </c>
      <c r="S27" s="136">
        <f>ROUND(((E12/E50)*100),2)</f>
        <v>55.35</v>
      </c>
      <c r="T27" s="137" t="s">
        <v>18</v>
      </c>
      <c r="U27" s="136">
        <f>ROUND(((G12/G50)*100),2)</f>
        <v>50.11</v>
      </c>
      <c r="V27" s="137" t="s">
        <v>18</v>
      </c>
      <c r="W27" s="136">
        <f>ROUND(((I12/I50)*100),2)</f>
        <v>47.89</v>
      </c>
      <c r="X27" s="137" t="s">
        <v>18</v>
      </c>
      <c r="Y27" s="136">
        <f>ROUND(((K12/K50)*100),2)</f>
        <v>48.45</v>
      </c>
      <c r="Z27" s="137" t="s">
        <v>18</v>
      </c>
      <c r="AA27" s="136">
        <f>ROUND(AVERAGE(Q27:Y27),2)</f>
        <v>51.92</v>
      </c>
      <c r="AB27" s="137" t="s">
        <v>18</v>
      </c>
    </row>
    <row r="28" spans="1:28">
      <c r="A28" s="124" t="s">
        <v>37</v>
      </c>
      <c r="B28" s="124" t="s">
        <v>37</v>
      </c>
      <c r="C28" s="130">
        <v>22253000</v>
      </c>
      <c r="E28" s="130">
        <v>19733000</v>
      </c>
      <c r="G28" s="130">
        <v>10202000</v>
      </c>
      <c r="I28" s="130">
        <v>7510000</v>
      </c>
      <c r="K28" s="130">
        <v>5178000</v>
      </c>
      <c r="L28" s="131"/>
      <c r="M28" s="130">
        <v>9384000</v>
      </c>
      <c r="O28" s="124" t="s">
        <v>34</v>
      </c>
      <c r="Q28" s="136">
        <f>ROUND(((SUM(C13,C17)/C50)*100),2)</f>
        <v>0</v>
      </c>
      <c r="R28" s="137"/>
      <c r="S28" s="136">
        <f>ROUND(((SUM(E13,E17)/E50)*100),2)</f>
        <v>0</v>
      </c>
      <c r="T28" s="137"/>
      <c r="U28" s="136">
        <f>ROUND(((SUM(G13,G17)/G50)*100),2)</f>
        <v>0</v>
      </c>
      <c r="V28" s="137"/>
      <c r="W28" s="136">
        <f>ROUND(((SUM(I13,I17)/I50)*100),2)</f>
        <v>0</v>
      </c>
      <c r="X28" s="137"/>
      <c r="Y28" s="136">
        <f>ROUND(((SUM(K13,K17)/K50)*100),2)</f>
        <v>0</v>
      </c>
      <c r="Z28" s="137"/>
      <c r="AA28" s="136">
        <f>ROUND(AVERAGE(Q28:Y28),2)</f>
        <v>0</v>
      </c>
      <c r="AB28" s="137"/>
    </row>
    <row r="29" spans="1:28">
      <c r="C29" s="130"/>
      <c r="E29" s="130"/>
      <c r="G29" s="130"/>
      <c r="I29" s="130"/>
      <c r="K29" s="131"/>
      <c r="L29" s="131"/>
      <c r="M29" s="131"/>
      <c r="O29" s="124" t="s">
        <v>35</v>
      </c>
      <c r="Q29" s="138">
        <f>ROUND(((C16/C50)*100),2)</f>
        <v>42.19</v>
      </c>
      <c r="R29" s="137"/>
      <c r="S29" s="138">
        <f>ROUND(((E16/E50)*100),2)</f>
        <v>44.65</v>
      </c>
      <c r="T29" s="137"/>
      <c r="U29" s="138">
        <f>ROUND(((G16/G50)*100),2)</f>
        <v>49.89</v>
      </c>
      <c r="V29" s="137"/>
      <c r="W29" s="138">
        <f>ROUND(((I16/I50)*100),2)</f>
        <v>52.11</v>
      </c>
      <c r="X29" s="137"/>
      <c r="Y29" s="138">
        <f>ROUND(((K16/K50)*100),2)</f>
        <v>51.55</v>
      </c>
      <c r="Z29" s="137"/>
      <c r="AA29" s="138">
        <f>ROUND(AVERAGE(Q29:Y29),2)</f>
        <v>48.08</v>
      </c>
      <c r="AB29" s="137"/>
    </row>
    <row r="30" spans="1:28">
      <c r="A30" s="124" t="s">
        <v>42</v>
      </c>
      <c r="B30" s="124" t="s">
        <v>62</v>
      </c>
      <c r="C30" s="130">
        <v>78559000</v>
      </c>
      <c r="E30" s="130">
        <v>67597000</v>
      </c>
      <c r="G30" s="130">
        <v>47082000</v>
      </c>
      <c r="I30" s="130">
        <v>46286000</v>
      </c>
      <c r="K30" s="130">
        <v>44886000</v>
      </c>
      <c r="L30" s="131"/>
      <c r="M30" s="130">
        <v>31044000</v>
      </c>
      <c r="O30" s="124" t="s">
        <v>36</v>
      </c>
      <c r="Q30" s="139">
        <f>SUM(Q27:Q29)</f>
        <v>100</v>
      </c>
      <c r="R30" s="137" t="s">
        <v>18</v>
      </c>
      <c r="S30" s="139">
        <f>SUM(S27:S29)</f>
        <v>100</v>
      </c>
      <c r="T30" s="137" t="s">
        <v>18</v>
      </c>
      <c r="U30" s="139">
        <f>SUM(U27:U29)</f>
        <v>100</v>
      </c>
      <c r="V30" s="137" t="s">
        <v>18</v>
      </c>
      <c r="W30" s="139">
        <f>SUM(W27:W29)</f>
        <v>100</v>
      </c>
      <c r="X30" s="137" t="s">
        <v>18</v>
      </c>
      <c r="Y30" s="139">
        <f>SUM(Y27:Y29)</f>
        <v>100</v>
      </c>
      <c r="Z30" s="137" t="s">
        <v>18</v>
      </c>
      <c r="AA30" s="139">
        <f>SUM(AA27:AA29)</f>
        <v>100</v>
      </c>
      <c r="AB30" s="137" t="s">
        <v>18</v>
      </c>
    </row>
    <row r="31" spans="1:28">
      <c r="C31" s="130"/>
      <c r="E31" s="130"/>
      <c r="G31" s="130"/>
      <c r="I31" s="130"/>
      <c r="K31" s="131"/>
      <c r="L31" s="131"/>
      <c r="M31" s="131"/>
    </row>
    <row r="32" spans="1:28">
      <c r="A32" s="124" t="s">
        <v>43</v>
      </c>
      <c r="B32" s="124" t="s">
        <v>63</v>
      </c>
      <c r="C32" s="130">
        <v>193919000</v>
      </c>
      <c r="E32" s="130">
        <v>193919000</v>
      </c>
      <c r="G32" s="130">
        <v>169505000</v>
      </c>
      <c r="I32" s="130">
        <v>233436000</v>
      </c>
      <c r="K32" s="130">
        <v>132065000</v>
      </c>
      <c r="L32" s="131"/>
      <c r="M32" s="130">
        <v>131672000</v>
      </c>
      <c r="O32" s="124" t="s">
        <v>38</v>
      </c>
    </row>
    <row r="33" spans="1:28">
      <c r="A33" s="140"/>
      <c r="B33" s="140"/>
      <c r="C33" s="141"/>
      <c r="D33" s="140"/>
      <c r="E33" s="141"/>
      <c r="F33" s="140"/>
      <c r="G33" s="141"/>
      <c r="H33" s="140"/>
      <c r="I33" s="141"/>
      <c r="J33" s="140"/>
      <c r="K33" s="142"/>
      <c r="L33" s="142"/>
      <c r="M33" s="142"/>
      <c r="O33" s="124" t="s">
        <v>39</v>
      </c>
      <c r="Q33" s="136">
        <f>ROUND((((C12+C19)/C56)*100),2)</f>
        <v>61.56</v>
      </c>
      <c r="R33" s="137" t="s">
        <v>18</v>
      </c>
      <c r="S33" s="136">
        <f>ROUND((((E12+E19)/E56)*100),2)</f>
        <v>56.66</v>
      </c>
      <c r="T33" s="137" t="s">
        <v>18</v>
      </c>
      <c r="U33" s="136">
        <f>ROUND((((G12+G19)/G56)*100),2)</f>
        <v>50.52</v>
      </c>
      <c r="V33" s="137" t="s">
        <v>18</v>
      </c>
      <c r="W33" s="136">
        <f>ROUND((((I12+I19)/I56)*100),2)</f>
        <v>50.65</v>
      </c>
      <c r="X33" s="137" t="s">
        <v>18</v>
      </c>
      <c r="Y33" s="136">
        <f>ROUND((((K12+K19)/K56)*100),2)</f>
        <v>53.6</v>
      </c>
      <c r="Z33" s="137" t="s">
        <v>18</v>
      </c>
      <c r="AA33" s="136">
        <f>ROUND(AVERAGE(Q33:Y33),2)</f>
        <v>54.6</v>
      </c>
      <c r="AB33" s="137" t="s">
        <v>18</v>
      </c>
    </row>
    <row r="34" spans="1:28">
      <c r="A34" s="124" t="s">
        <v>46</v>
      </c>
      <c r="B34" s="124" t="s">
        <v>70</v>
      </c>
      <c r="C34" s="130">
        <v>193919000</v>
      </c>
      <c r="E34" s="130">
        <v>193919000</v>
      </c>
      <c r="G34" s="130">
        <v>169505000</v>
      </c>
      <c r="I34" s="130">
        <f>I32</f>
        <v>233436000</v>
      </c>
      <c r="K34" s="130">
        <v>132065000</v>
      </c>
      <c r="L34" s="131"/>
      <c r="M34" s="130">
        <v>131672000</v>
      </c>
      <c r="O34" s="124" t="s">
        <v>34</v>
      </c>
      <c r="Q34" s="136">
        <f>ROUND((((SUM(C13,C17))/C56)*100),2)</f>
        <v>0</v>
      </c>
      <c r="R34" s="137"/>
      <c r="S34" s="136">
        <f>ROUND((((SUM(E13,E17))/E56)*100),2)</f>
        <v>0</v>
      </c>
      <c r="T34" s="137"/>
      <c r="U34" s="136">
        <f>ROUND((((SUM(G13,G17))/G56)*100),2)</f>
        <v>0</v>
      </c>
      <c r="V34" s="137"/>
      <c r="W34" s="136">
        <f>ROUND((((SUM(I13,I17))/I56)*100),2)</f>
        <v>0</v>
      </c>
      <c r="X34" s="137"/>
      <c r="Y34" s="136">
        <f>ROUND((((SUM(K13,K17))/K56)*100),2)</f>
        <v>0</v>
      </c>
      <c r="Z34" s="137"/>
      <c r="AA34" s="136">
        <f>ROUND(AVERAGE(Q34:Y34),2)</f>
        <v>0</v>
      </c>
      <c r="AB34" s="137"/>
    </row>
    <row r="35" spans="1:28">
      <c r="C35" s="130"/>
      <c r="E35" s="130"/>
      <c r="G35" s="130"/>
      <c r="I35" s="130"/>
      <c r="O35" s="124" t="s">
        <v>35</v>
      </c>
      <c r="Q35" s="138">
        <f>ROUND((((C16)/C56)*100),2)</f>
        <v>38.44</v>
      </c>
      <c r="R35" s="137"/>
      <c r="S35" s="138">
        <f>ROUND((((E16)/E56)*100),2)</f>
        <v>43.34</v>
      </c>
      <c r="T35" s="137"/>
      <c r="U35" s="138">
        <f>ROUND((((G16)/G56)*100),2)</f>
        <v>49.48</v>
      </c>
      <c r="V35" s="137"/>
      <c r="W35" s="138">
        <f>ROUND((((I16)/I56)*100),2)</f>
        <v>49.35</v>
      </c>
      <c r="X35" s="137"/>
      <c r="Y35" s="138">
        <f>ROUND((((K16)/K56)*100),2)</f>
        <v>46.4</v>
      </c>
      <c r="Z35" s="137"/>
      <c r="AA35" s="138">
        <f>ROUND(AVERAGE(Q35:Y35),2)</f>
        <v>45.4</v>
      </c>
      <c r="AB35" s="137"/>
    </row>
    <row r="36" spans="1:28">
      <c r="A36" s="124" t="s">
        <v>45</v>
      </c>
      <c r="B36" s="124" t="s">
        <v>68</v>
      </c>
      <c r="C36" s="130">
        <v>0</v>
      </c>
      <c r="E36" s="130">
        <v>0</v>
      </c>
      <c r="G36" s="130">
        <v>0</v>
      </c>
      <c r="I36" s="130">
        <v>0</v>
      </c>
      <c r="K36" s="130">
        <v>0</v>
      </c>
      <c r="L36" s="131"/>
      <c r="M36" s="130">
        <v>0</v>
      </c>
      <c r="O36" s="124" t="s">
        <v>36</v>
      </c>
      <c r="Q36" s="139">
        <f>SUM(Q33:Q35)</f>
        <v>100</v>
      </c>
      <c r="R36" s="137" t="s">
        <v>18</v>
      </c>
      <c r="S36" s="139">
        <f>SUM(S33:S35)</f>
        <v>100</v>
      </c>
      <c r="T36" s="137" t="s">
        <v>18</v>
      </c>
      <c r="U36" s="139">
        <f>SUM(U33:U35)</f>
        <v>100</v>
      </c>
      <c r="V36" s="137" t="s">
        <v>18</v>
      </c>
      <c r="W36" s="139">
        <f>SUM(W33:W35)</f>
        <v>100</v>
      </c>
      <c r="X36" s="137" t="s">
        <v>18</v>
      </c>
      <c r="Y36" s="139">
        <f>SUM(Y33:Y35)</f>
        <v>100</v>
      </c>
      <c r="Z36" s="137" t="s">
        <v>18</v>
      </c>
      <c r="AA36" s="139">
        <f>SUM(AA33:AA35)</f>
        <v>100</v>
      </c>
      <c r="AB36" s="137" t="s">
        <v>18</v>
      </c>
    </row>
    <row r="37" spans="1:28">
      <c r="C37" s="130"/>
      <c r="E37" s="130"/>
      <c r="G37" s="130"/>
      <c r="I37" s="130"/>
    </row>
    <row r="38" spans="1:28">
      <c r="A38" s="124" t="s">
        <v>47</v>
      </c>
      <c r="B38" s="124" t="s">
        <v>64</v>
      </c>
      <c r="C38" s="130">
        <v>116960000</v>
      </c>
      <c r="E38" s="130">
        <v>117804000</v>
      </c>
      <c r="G38" s="130">
        <v>104059000</v>
      </c>
      <c r="I38" s="130">
        <v>95835000</v>
      </c>
      <c r="K38" s="130">
        <v>87988000</v>
      </c>
      <c r="L38" s="131"/>
      <c r="M38" s="130">
        <v>82445000</v>
      </c>
    </row>
    <row r="39" spans="1:28">
      <c r="C39" s="130"/>
      <c r="E39" s="130"/>
      <c r="G39" s="130"/>
      <c r="I39" s="130"/>
      <c r="K39" s="131"/>
      <c r="L39" s="131"/>
      <c r="M39" s="131"/>
    </row>
    <row r="40" spans="1:28">
      <c r="A40" s="124" t="s">
        <v>55</v>
      </c>
      <c r="B40" s="124" t="s">
        <v>69</v>
      </c>
      <c r="C40" s="130">
        <f>C32</f>
        <v>193919000</v>
      </c>
      <c r="E40" s="130">
        <v>193919000</v>
      </c>
      <c r="G40" s="130">
        <v>169505000</v>
      </c>
      <c r="I40" s="130">
        <f>I32</f>
        <v>233436000</v>
      </c>
      <c r="K40" s="130">
        <v>132065000</v>
      </c>
      <c r="L40" s="131"/>
      <c r="M40" s="130">
        <v>131672000</v>
      </c>
      <c r="O40" s="132" t="s">
        <v>40</v>
      </c>
      <c r="P40" s="132"/>
    </row>
    <row r="41" spans="1:28">
      <c r="A41" s="124" t="s">
        <v>72</v>
      </c>
      <c r="B41" s="124" t="s">
        <v>71</v>
      </c>
      <c r="C41" s="130">
        <v>390954000</v>
      </c>
      <c r="E41" s="130">
        <v>213481000</v>
      </c>
      <c r="G41" s="130">
        <v>189350000</v>
      </c>
      <c r="I41" s="130">
        <v>398286000</v>
      </c>
      <c r="K41" s="130">
        <v>248046000</v>
      </c>
      <c r="L41" s="131"/>
      <c r="M41" s="130">
        <v>142630000</v>
      </c>
      <c r="O41" s="132"/>
      <c r="P41" s="132"/>
    </row>
    <row r="42" spans="1:28">
      <c r="A42" s="124" t="s">
        <v>1460</v>
      </c>
      <c r="B42" s="124" t="s">
        <v>1461</v>
      </c>
      <c r="C42" s="130">
        <v>10254000</v>
      </c>
      <c r="E42" s="130">
        <v>-8096000</v>
      </c>
      <c r="G42" s="130">
        <v>-27759000</v>
      </c>
      <c r="I42" s="130">
        <v>97004000</v>
      </c>
      <c r="K42" s="130">
        <v>17081000</v>
      </c>
      <c r="L42" s="131"/>
      <c r="M42" s="130">
        <v>-123325000</v>
      </c>
      <c r="O42" s="132" t="s">
        <v>24</v>
      </c>
    </row>
    <row r="43" spans="1:28">
      <c r="A43" s="124" t="s">
        <v>1462</v>
      </c>
      <c r="B43" s="124" t="s">
        <v>1463</v>
      </c>
      <c r="C43" s="130">
        <v>111387000</v>
      </c>
      <c r="E43" s="130">
        <v>119894000</v>
      </c>
      <c r="G43" s="130">
        <v>91730000</v>
      </c>
      <c r="I43" s="130">
        <v>85701000</v>
      </c>
      <c r="K43" s="130">
        <v>81841000</v>
      </c>
      <c r="L43" s="131"/>
      <c r="M43" s="130">
        <v>72748000</v>
      </c>
      <c r="O43" s="124" t="s">
        <v>25</v>
      </c>
      <c r="Q43" s="136">
        <f>ROUND(C21/C52,4)*100</f>
        <v>3.1399999999999997</v>
      </c>
      <c r="R43" s="137" t="s">
        <v>18</v>
      </c>
      <c r="S43" s="136">
        <f>ROUND(E21/E52,4)*100</f>
        <v>5.82</v>
      </c>
      <c r="T43" s="137" t="s">
        <v>18</v>
      </c>
      <c r="U43" s="136">
        <f>ROUND(G21/G52,4)*100</f>
        <v>3.9800000000000004</v>
      </c>
      <c r="V43" s="137" t="s">
        <v>18</v>
      </c>
      <c r="W43" s="136">
        <f>ROUND(I21/I52,4)*100</f>
        <v>6.3</v>
      </c>
      <c r="X43" s="137" t="s">
        <v>18</v>
      </c>
      <c r="Y43" s="136">
        <f>ROUND(K21/K52,4)*100</f>
        <v>4.04</v>
      </c>
      <c r="Z43" s="137" t="s">
        <v>18</v>
      </c>
      <c r="AA43" s="136">
        <f>ROUND(AVERAGE(Q43:Y43),2)</f>
        <v>4.66</v>
      </c>
      <c r="AB43" s="137" t="s">
        <v>18</v>
      </c>
    </row>
    <row r="44" spans="1:28">
      <c r="A44" s="124" t="s">
        <v>1464</v>
      </c>
      <c r="B44" s="124" t="s">
        <v>1465</v>
      </c>
      <c r="C44" s="130">
        <v>33286000</v>
      </c>
      <c r="E44" s="130">
        <v>-6944000</v>
      </c>
      <c r="G44" s="130">
        <v>-37751000</v>
      </c>
      <c r="I44" s="130">
        <v>-53785000</v>
      </c>
      <c r="K44" s="130">
        <v>18343000</v>
      </c>
      <c r="M44" s="130">
        <v>23530000</v>
      </c>
      <c r="O44" s="124" t="s">
        <v>27</v>
      </c>
      <c r="Q44" s="136">
        <f>(ROUND((C52/(AVERAGE(C48,E48))*100),2))</f>
        <v>214.58</v>
      </c>
      <c r="S44" s="136">
        <f>(ROUND((E52/(AVERAGE(E48,G48))*100),2))</f>
        <v>191.48</v>
      </c>
      <c r="U44" s="136">
        <f>(ROUND((G52/(AVERAGE(G48,I48))*100),2))</f>
        <v>280.52</v>
      </c>
      <c r="W44" s="136">
        <f>(ROUND((I52/(AVERAGE(I48,K48))*100),2))</f>
        <v>272.38</v>
      </c>
      <c r="Y44" s="136">
        <f>(ROUND((K52/(AVERAGE(K48,M48))*100),2))</f>
        <v>270.56</v>
      </c>
      <c r="AA44" s="136">
        <f>ROUND(AVERAGE(Q44:Y44),2)</f>
        <v>245.9</v>
      </c>
    </row>
    <row r="45" spans="1:28">
      <c r="C45" s="130"/>
      <c r="E45" s="130"/>
      <c r="G45" s="130"/>
      <c r="I45" s="130"/>
      <c r="O45" s="124" t="s">
        <v>28</v>
      </c>
      <c r="Q45" s="136">
        <f>ROUND(((+C26/C52)*100),2)</f>
        <v>3.5</v>
      </c>
      <c r="S45" s="136">
        <f>ROUND(((+E26/E52)*100),2)</f>
        <v>3.62</v>
      </c>
      <c r="U45" s="136">
        <f>ROUND(((+G26/G52)*100),2)</f>
        <v>2.5099999999999998</v>
      </c>
      <c r="W45" s="136">
        <f>ROUND(((+I26/I52)*100),2)</f>
        <v>2.65</v>
      </c>
      <c r="Y45" s="136">
        <f>ROUND(((+K26/K52)*100),2)</f>
        <v>2.75</v>
      </c>
      <c r="AA45" s="136">
        <f>ROUND(AVERAGE(Q45:Y45),2)</f>
        <v>3.01</v>
      </c>
    </row>
    <row r="46" spans="1:28">
      <c r="A46" s="124" t="s">
        <v>59</v>
      </c>
      <c r="C46" s="130"/>
      <c r="E46" s="130"/>
      <c r="G46" s="130"/>
      <c r="I46" s="130"/>
      <c r="K46" s="131"/>
      <c r="L46" s="131"/>
      <c r="M46" s="131"/>
      <c r="O46" s="124" t="s">
        <v>29</v>
      </c>
      <c r="P46" s="132"/>
      <c r="Q46" s="136">
        <f>ROUND(((+C38/C34)*100),2)</f>
        <v>60.31</v>
      </c>
      <c r="S46" s="136">
        <f>ROUND(((+E38/E34)*100),2)</f>
        <v>60.75</v>
      </c>
      <c r="U46" s="136">
        <f>ROUND(((+G38/G34)*100),2)</f>
        <v>61.39</v>
      </c>
      <c r="W46" s="136">
        <f>ROUND(((+I38/I34)*100),2)</f>
        <v>41.05</v>
      </c>
      <c r="Y46" s="136">
        <f>ROUND(((+K38/K34)*100),2)</f>
        <v>66.62</v>
      </c>
      <c r="AA46" s="136">
        <f>ROUND(AVERAGE(Q46:Y46),2)</f>
        <v>58.02</v>
      </c>
    </row>
    <row r="47" spans="1:28">
      <c r="C47" s="130"/>
      <c r="E47" s="130"/>
      <c r="G47" s="130"/>
      <c r="I47" s="130"/>
      <c r="K47" s="131"/>
      <c r="L47" s="131"/>
      <c r="M47" s="131"/>
      <c r="Q47" s="136"/>
      <c r="S47" s="136"/>
      <c r="U47" s="136"/>
      <c r="W47" s="136"/>
      <c r="Y47" s="136"/>
      <c r="AA47" s="136"/>
    </row>
    <row r="48" spans="1:28">
      <c r="A48" s="124" t="s">
        <v>7</v>
      </c>
      <c r="B48" s="124" t="s">
        <v>50</v>
      </c>
      <c r="C48" s="130">
        <f>C16/C15</f>
        <v>17.039679860116944</v>
      </c>
      <c r="E48" s="130">
        <f>E16/E15</f>
        <v>19.22571868068955</v>
      </c>
      <c r="G48" s="130">
        <f>G16/G15</f>
        <v>17.369048580350764</v>
      </c>
      <c r="I48" s="130">
        <f>I16/I15</f>
        <v>16.479060474130709</v>
      </c>
      <c r="K48" s="130">
        <f>K16/K15</f>
        <v>14.287282725985303</v>
      </c>
      <c r="M48" s="130">
        <f>M16/M15</f>
        <v>13.551404284685999</v>
      </c>
      <c r="O48" s="132" t="s">
        <v>41</v>
      </c>
      <c r="P48" s="132"/>
      <c r="Q48" s="136">
        <f>ROUND(((C34/AVERAGE(C16,E16))*100),2)</f>
        <v>11.16</v>
      </c>
      <c r="R48" s="124" t="s">
        <v>18</v>
      </c>
      <c r="S48" s="136">
        <f>ROUND(((E34/AVERAGE(E16,G16))*100),2)</f>
        <v>11.42</v>
      </c>
      <c r="T48" s="124" t="s">
        <v>18</v>
      </c>
      <c r="U48" s="136">
        <f>ROUND(((G34/AVERAGE(G16,I16))*100),2)</f>
        <v>11.41</v>
      </c>
      <c r="V48" s="124" t="s">
        <v>18</v>
      </c>
      <c r="W48" s="136">
        <f>ROUND(((I34/AVERAGE(I16,K16))*100),2)</f>
        <v>17.579999999999998</v>
      </c>
      <c r="X48" s="124" t="s">
        <v>18</v>
      </c>
      <c r="Y48" s="136">
        <f>ROUND(((K34/AVERAGE(K16,M16))*100),2)</f>
        <v>10.99</v>
      </c>
      <c r="Z48" s="124" t="s">
        <v>18</v>
      </c>
      <c r="AA48" s="136">
        <f>ROUND(AVERAGE(Q48:Y48),2)</f>
        <v>12.51</v>
      </c>
      <c r="AB48" s="124" t="s">
        <v>18</v>
      </c>
    </row>
    <row r="49" spans="1:28">
      <c r="C49" s="130"/>
      <c r="E49" s="130"/>
      <c r="G49" s="130"/>
      <c r="I49" s="130"/>
      <c r="K49" s="130"/>
      <c r="M49" s="130"/>
      <c r="Q49" s="136"/>
      <c r="S49" s="136"/>
      <c r="U49" s="136"/>
      <c r="W49" s="136"/>
      <c r="Y49" s="136"/>
      <c r="AA49" s="137"/>
    </row>
    <row r="50" spans="1:28">
      <c r="A50" s="124" t="s">
        <v>13</v>
      </c>
      <c r="B50" s="124" t="s">
        <v>50</v>
      </c>
      <c r="C50" s="130">
        <f>SUM(C12:C13,C16:C17)</f>
        <v>3865866000</v>
      </c>
      <c r="E50" s="130">
        <f>SUM(E12:E13,E16:E17)</f>
        <v>4131394000</v>
      </c>
      <c r="G50" s="130">
        <f>SUM(G12:G13,G16:G17)</f>
        <v>3110313000</v>
      </c>
      <c r="I50" s="130">
        <f>SUM(I12:I13,I16:I17)</f>
        <v>2723142000</v>
      </c>
      <c r="K50" s="130">
        <f>SUM(K12:K13,K16:K17)</f>
        <v>2399098000</v>
      </c>
      <c r="M50" s="130">
        <f>SUM(M12:M13,M16:M17)</f>
        <v>2291593000</v>
      </c>
      <c r="O50" s="132" t="s">
        <v>142</v>
      </c>
      <c r="Q50" s="136">
        <f>ROUND((C54/C62),2)</f>
        <v>6.26</v>
      </c>
      <c r="R50" s="137" t="s">
        <v>44</v>
      </c>
      <c r="S50" s="136">
        <f>ROUND((E54/E62),2)</f>
        <v>6.44</v>
      </c>
      <c r="T50" s="137" t="s">
        <v>44</v>
      </c>
      <c r="U50" s="136">
        <f>ROUND((G54/G62),2)</f>
        <v>5.85</v>
      </c>
      <c r="V50" s="137" t="s">
        <v>44</v>
      </c>
      <c r="W50" s="136">
        <f>ROUND((I54/I62),2)</f>
        <v>4.67</v>
      </c>
      <c r="X50" s="137" t="s">
        <v>44</v>
      </c>
      <c r="Y50" s="136">
        <f>ROUND((K54/K62),2)</f>
        <v>5.15</v>
      </c>
      <c r="Z50" s="137" t="s">
        <v>44</v>
      </c>
      <c r="AA50" s="136">
        <f>ROUND(AVERAGE(Q50:Y50),2)</f>
        <v>5.67</v>
      </c>
      <c r="AB50" s="124" t="s">
        <v>44</v>
      </c>
    </row>
    <row r="51" spans="1:28">
      <c r="C51" s="130"/>
      <c r="E51" s="130"/>
      <c r="G51" s="130"/>
      <c r="I51" s="130"/>
      <c r="K51" s="130"/>
      <c r="M51" s="130"/>
      <c r="O51" s="132"/>
      <c r="Q51" s="136"/>
      <c r="S51" s="136"/>
      <c r="U51" s="136"/>
      <c r="W51" s="136"/>
      <c r="Y51" s="136"/>
      <c r="AA51" s="136"/>
    </row>
    <row r="52" spans="1:28">
      <c r="A52" s="124" t="s">
        <v>23</v>
      </c>
      <c r="B52" s="124" t="s">
        <v>50</v>
      </c>
      <c r="C52" s="130">
        <f>AVERAGE(C22:C23)</f>
        <v>38.909999999999997</v>
      </c>
      <c r="E52" s="130">
        <f>AVERAGE(E22:E23)</f>
        <v>35.034999999999997</v>
      </c>
      <c r="G52" s="130">
        <f>AVERAGE(G22:G23)</f>
        <v>47.475000000000001</v>
      </c>
      <c r="I52" s="130">
        <f>AVERAGE(I22:I23)</f>
        <v>41.9</v>
      </c>
      <c r="K52" s="130">
        <f>AVERAGE(K22:K23)</f>
        <v>37.659999999999997</v>
      </c>
      <c r="M52" s="130">
        <f>AVERAGE(M22:M23)</f>
        <v>33.424999999999997</v>
      </c>
      <c r="O52" s="132" t="s">
        <v>57</v>
      </c>
      <c r="Q52" s="136">
        <f>ROUND(((C60/C54)*100),2)</f>
        <v>14.51</v>
      </c>
      <c r="R52" s="137" t="s">
        <v>18</v>
      </c>
      <c r="S52" s="136">
        <f>ROUND(((E60/E54)*100),2)</f>
        <v>7.7</v>
      </c>
      <c r="T52" s="137" t="s">
        <v>18</v>
      </c>
      <c r="U52" s="136">
        <f>ROUND(((G60/G54)*100),2)</f>
        <v>9.56</v>
      </c>
      <c r="V52" s="137" t="s">
        <v>18</v>
      </c>
      <c r="W52" s="136">
        <f>ROUND(((I60/I54)*100),2)</f>
        <v>33.5</v>
      </c>
      <c r="X52" s="137" t="s">
        <v>18</v>
      </c>
      <c r="Y52" s="136">
        <f>ROUND(((K60/K54)*100),2)</f>
        <v>18.2</v>
      </c>
      <c r="Z52" s="137" t="s">
        <v>18</v>
      </c>
      <c r="AA52" s="136">
        <f>ROUND(AVERAGE(Q52:Y52),2)</f>
        <v>16.690000000000001</v>
      </c>
      <c r="AB52" s="124" t="s">
        <v>18</v>
      </c>
    </row>
    <row r="53" spans="1:28">
      <c r="C53" s="130"/>
      <c r="E53" s="130"/>
      <c r="G53" s="130"/>
      <c r="I53" s="130"/>
      <c r="K53" s="130"/>
      <c r="M53" s="130"/>
      <c r="O53" s="143"/>
      <c r="Q53" s="136"/>
      <c r="S53" s="136"/>
      <c r="U53" s="136"/>
      <c r="W53" s="136"/>
      <c r="Y53" s="136"/>
    </row>
    <row r="54" spans="1:28">
      <c r="A54" s="124" t="s">
        <v>53</v>
      </c>
      <c r="C54" s="214">
        <f>+C19+C12</f>
        <v>2612304000</v>
      </c>
      <c r="E54" s="214">
        <f>+E19+E12</f>
        <v>2412052000</v>
      </c>
      <c r="G54" s="214">
        <f>+G19+G12</f>
        <v>1584046000</v>
      </c>
      <c r="I54" s="214">
        <f>+I19+I12</f>
        <v>1456114000</v>
      </c>
      <c r="K54" s="214">
        <f>+K19+K12</f>
        <v>1428455000</v>
      </c>
      <c r="M54" s="214">
        <f>+M19+M12</f>
        <v>1246702000</v>
      </c>
      <c r="O54" s="143" t="s">
        <v>56</v>
      </c>
      <c r="Q54" s="136">
        <f>Q33</f>
        <v>61.56</v>
      </c>
      <c r="R54" s="137" t="s">
        <v>18</v>
      </c>
      <c r="S54" s="136">
        <f>S33</f>
        <v>56.66</v>
      </c>
      <c r="T54" s="137" t="s">
        <v>18</v>
      </c>
      <c r="U54" s="136">
        <f>U33</f>
        <v>50.52</v>
      </c>
      <c r="V54" s="137" t="s">
        <v>18</v>
      </c>
      <c r="W54" s="136">
        <f>W33</f>
        <v>50.65</v>
      </c>
      <c r="X54" s="137" t="s">
        <v>18</v>
      </c>
      <c r="Y54" s="136">
        <f>Y33</f>
        <v>53.6</v>
      </c>
      <c r="Z54" s="137" t="s">
        <v>18</v>
      </c>
      <c r="AA54" s="136">
        <f>ROUND(AVERAGE(Q54:Y54),2)</f>
        <v>54.6</v>
      </c>
      <c r="AB54" s="137" t="s">
        <v>18</v>
      </c>
    </row>
    <row r="55" spans="1:28">
      <c r="C55" s="130"/>
      <c r="E55" s="130"/>
      <c r="G55" s="130"/>
      <c r="I55" s="130"/>
      <c r="K55" s="130"/>
      <c r="M55" s="130"/>
    </row>
    <row r="56" spans="1:28">
      <c r="A56" s="124" t="s">
        <v>31</v>
      </c>
      <c r="B56" s="124" t="s">
        <v>50</v>
      </c>
      <c r="C56" s="130">
        <f>SUM(C50,C19)</f>
        <v>4243166000</v>
      </c>
      <c r="E56" s="130">
        <f>SUM(E50,E19)</f>
        <v>4256744000</v>
      </c>
      <c r="G56" s="130">
        <f>SUM(G50,G19)</f>
        <v>3135763000</v>
      </c>
      <c r="I56" s="130">
        <f>SUM(I50,I19)</f>
        <v>2875092000</v>
      </c>
      <c r="K56" s="130">
        <f>SUM(K50,K19)</f>
        <v>2665098000</v>
      </c>
      <c r="M56" s="130">
        <f>SUM(M50,M19)</f>
        <v>2413293000</v>
      </c>
    </row>
    <row r="57" spans="1:28">
      <c r="C57" s="130"/>
      <c r="E57" s="130"/>
      <c r="G57" s="130"/>
      <c r="I57" s="130"/>
      <c r="K57" s="130"/>
      <c r="M57" s="130"/>
    </row>
    <row r="58" spans="1:28">
      <c r="A58" s="124" t="s">
        <v>51</v>
      </c>
      <c r="B58" s="124" t="s">
        <v>50</v>
      </c>
      <c r="C58" s="130">
        <f>SUM(C13,C17)</f>
        <v>0</v>
      </c>
      <c r="E58" s="130">
        <f>SUM(E13,E17)</f>
        <v>0</v>
      </c>
      <c r="G58" s="130">
        <f>SUM(G13,G17)</f>
        <v>0</v>
      </c>
      <c r="I58" s="130">
        <f>SUM(I13,I17)</f>
        <v>0</v>
      </c>
      <c r="K58" s="130">
        <f>SUM(K13,K17)</f>
        <v>0</v>
      </c>
      <c r="M58" s="130">
        <f>SUM(M13,M17)</f>
        <v>0</v>
      </c>
    </row>
    <row r="59" spans="1:28">
      <c r="C59" s="130"/>
      <c r="E59" s="130"/>
      <c r="G59" s="130"/>
      <c r="I59" s="130"/>
      <c r="K59" s="130"/>
      <c r="M59" s="130"/>
    </row>
    <row r="60" spans="1:28">
      <c r="A60" s="126" t="s">
        <v>1466</v>
      </c>
      <c r="B60" s="124" t="s">
        <v>50</v>
      </c>
      <c r="C60" s="130">
        <f>ROUND(C41+C42-C28,3)</f>
        <v>378955000</v>
      </c>
      <c r="E60" s="130">
        <f>ROUND(E41+E42-E28,3)</f>
        <v>185652000</v>
      </c>
      <c r="G60" s="130">
        <f>ROUND(G41+G42-G28,3)</f>
        <v>151389000</v>
      </c>
      <c r="I60" s="130">
        <f>ROUND(I41+I42-I28,3)</f>
        <v>487780000</v>
      </c>
      <c r="K60" s="130">
        <f>ROUND(K41+K42-K28,3)</f>
        <v>259949000</v>
      </c>
      <c r="M60" s="130">
        <f>ROUND(M41+M42-M28,3)</f>
        <v>9921000</v>
      </c>
    </row>
    <row r="61" spans="1:28">
      <c r="A61" s="126"/>
      <c r="C61" s="130"/>
      <c r="E61" s="130"/>
      <c r="G61" s="130"/>
      <c r="I61" s="130"/>
      <c r="K61" s="130"/>
      <c r="M61" s="130"/>
    </row>
    <row r="62" spans="1:28">
      <c r="A62" s="124" t="s">
        <v>1467</v>
      </c>
      <c r="B62" s="124" t="s">
        <v>50</v>
      </c>
      <c r="C62" s="130">
        <f>C40+C44+C43+C30</f>
        <v>417151000</v>
      </c>
      <c r="E62" s="130">
        <f>E40+E44+E43+E30</f>
        <v>374466000</v>
      </c>
      <c r="G62" s="130">
        <f>G40+G44+G43+G30</f>
        <v>270566000</v>
      </c>
      <c r="I62" s="130">
        <f>I40+I44+I43+I30</f>
        <v>311638000</v>
      </c>
      <c r="K62" s="130">
        <f>K40+K44+K43+K30</f>
        <v>277135000</v>
      </c>
      <c r="M62" s="130">
        <f>M40+M44+M43+M30</f>
        <v>258994000</v>
      </c>
    </row>
    <row r="63" spans="1:28">
      <c r="E63" s="131"/>
      <c r="F63" s="131"/>
      <c r="G63" s="131"/>
      <c r="H63" s="131"/>
      <c r="I63" s="131"/>
      <c r="J63" s="131"/>
      <c r="K63" s="131"/>
      <c r="L63" s="131"/>
      <c r="M63" s="131"/>
    </row>
    <row r="64" spans="1:28">
      <c r="E64" s="131"/>
      <c r="F64" s="131"/>
      <c r="G64" s="131"/>
      <c r="H64" s="131"/>
      <c r="I64" s="131"/>
      <c r="J64" s="131"/>
      <c r="K64" s="131"/>
      <c r="L64" s="131"/>
      <c r="M64" s="131"/>
    </row>
    <row r="65" spans="5:13">
      <c r="I65" s="130"/>
      <c r="K65" s="130"/>
    </row>
    <row r="71" spans="5:13">
      <c r="E71" s="131"/>
      <c r="F71" s="131"/>
      <c r="G71" s="131"/>
      <c r="H71" s="131"/>
      <c r="I71" s="131"/>
      <c r="J71" s="131"/>
      <c r="K71" s="131"/>
      <c r="L71" s="131"/>
      <c r="M71" s="131"/>
    </row>
    <row r="81" spans="5:221">
      <c r="HI81" s="144"/>
      <c r="HJ81" s="144"/>
      <c r="HM81" s="124" t="s">
        <v>48</v>
      </c>
    </row>
    <row r="94" spans="5:221">
      <c r="E94" s="131"/>
      <c r="F94" s="131"/>
      <c r="G94" s="131"/>
      <c r="H94" s="131"/>
      <c r="I94" s="131"/>
      <c r="J94" s="131"/>
      <c r="K94" s="131"/>
      <c r="L94" s="131"/>
      <c r="M94" s="131"/>
    </row>
    <row r="95" spans="5:221">
      <c r="E95" s="131"/>
      <c r="F95" s="131"/>
      <c r="G95" s="131"/>
      <c r="H95" s="131"/>
      <c r="I95" s="131"/>
      <c r="J95" s="131"/>
      <c r="K95" s="131"/>
      <c r="L95" s="131"/>
      <c r="M95" s="131"/>
    </row>
    <row r="96" spans="5:221">
      <c r="E96" s="131"/>
      <c r="F96" s="131"/>
      <c r="G96" s="131"/>
      <c r="H96" s="131"/>
      <c r="I96" s="131"/>
      <c r="J96" s="131"/>
      <c r="K96" s="131"/>
      <c r="L96" s="131"/>
      <c r="M96" s="131"/>
    </row>
    <row r="97" spans="5:13">
      <c r="E97" s="131"/>
      <c r="F97" s="131"/>
      <c r="G97" s="131"/>
      <c r="H97" s="131"/>
      <c r="I97" s="131"/>
      <c r="J97" s="131"/>
      <c r="K97" s="131"/>
      <c r="L97" s="131"/>
      <c r="M97" s="131"/>
    </row>
    <row r="98" spans="5:13">
      <c r="E98" s="131"/>
      <c r="F98" s="131"/>
      <c r="G98" s="131"/>
      <c r="H98" s="131"/>
      <c r="I98" s="131"/>
      <c r="J98" s="131"/>
      <c r="K98" s="131"/>
      <c r="L98" s="131"/>
      <c r="M98" s="131"/>
    </row>
    <row r="99" spans="5:13">
      <c r="E99" s="131"/>
      <c r="F99" s="131"/>
      <c r="G99" s="131"/>
      <c r="H99" s="131"/>
      <c r="I99" s="131"/>
      <c r="J99" s="131"/>
      <c r="K99" s="131"/>
      <c r="L99" s="131"/>
      <c r="M99" s="131"/>
    </row>
    <row r="100" spans="5:13">
      <c r="E100" s="131"/>
      <c r="F100" s="131"/>
      <c r="G100" s="131"/>
      <c r="H100" s="131"/>
      <c r="I100" s="131"/>
      <c r="J100" s="131"/>
      <c r="K100" s="131"/>
      <c r="L100" s="131"/>
      <c r="M100" s="131"/>
    </row>
    <row r="101" spans="5:13">
      <c r="E101" s="131"/>
      <c r="F101" s="131"/>
      <c r="G101" s="131"/>
      <c r="H101" s="131"/>
      <c r="I101" s="131"/>
      <c r="J101" s="131"/>
      <c r="K101" s="131"/>
      <c r="L101" s="131"/>
      <c r="M101" s="131"/>
    </row>
    <row r="102" spans="5:13">
      <c r="E102" s="131"/>
      <c r="F102" s="131"/>
      <c r="G102" s="131"/>
      <c r="H102" s="131"/>
      <c r="I102" s="131"/>
      <c r="J102" s="131"/>
      <c r="K102" s="131"/>
      <c r="L102" s="131"/>
      <c r="M102" s="131"/>
    </row>
    <row r="103" spans="5:13">
      <c r="E103" s="131"/>
      <c r="F103" s="131"/>
      <c r="G103" s="131"/>
      <c r="H103" s="131"/>
      <c r="I103" s="131"/>
      <c r="J103" s="131"/>
      <c r="K103" s="131"/>
      <c r="L103" s="131"/>
      <c r="M103" s="131"/>
    </row>
    <row r="104" spans="5:13">
      <c r="E104" s="131"/>
      <c r="F104" s="131"/>
      <c r="G104" s="131"/>
      <c r="H104" s="131"/>
      <c r="I104" s="131"/>
      <c r="J104" s="131"/>
      <c r="K104" s="131"/>
      <c r="L104" s="131"/>
      <c r="M104" s="131"/>
    </row>
    <row r="105" spans="5:13">
      <c r="E105" s="131"/>
      <c r="F105" s="131"/>
      <c r="G105" s="131"/>
      <c r="H105" s="131"/>
      <c r="I105" s="131"/>
      <c r="J105" s="131"/>
      <c r="K105" s="131"/>
      <c r="L105" s="131"/>
      <c r="M105" s="131"/>
    </row>
    <row r="106" spans="5:13">
      <c r="E106" s="131"/>
      <c r="F106" s="131"/>
      <c r="G106" s="131"/>
      <c r="H106" s="131"/>
      <c r="I106" s="131"/>
      <c r="J106" s="131"/>
      <c r="K106" s="131"/>
      <c r="L106" s="131"/>
      <c r="M106" s="131"/>
    </row>
    <row r="107" spans="5:13">
      <c r="E107" s="131"/>
      <c r="F107" s="131"/>
      <c r="G107" s="131"/>
      <c r="H107" s="131"/>
      <c r="I107" s="131"/>
      <c r="J107" s="131"/>
      <c r="K107" s="131"/>
      <c r="L107" s="131"/>
      <c r="M107" s="131"/>
    </row>
    <row r="108" spans="5:13">
      <c r="E108" s="131"/>
      <c r="F108" s="131"/>
      <c r="G108" s="131"/>
      <c r="H108" s="131"/>
      <c r="I108" s="131"/>
      <c r="J108" s="131"/>
      <c r="K108" s="131"/>
      <c r="L108" s="131"/>
      <c r="M108" s="131"/>
    </row>
    <row r="109" spans="5:13">
      <c r="E109" s="131"/>
      <c r="F109" s="131"/>
      <c r="G109" s="131"/>
      <c r="H109" s="131"/>
      <c r="I109" s="131"/>
      <c r="J109" s="131"/>
      <c r="K109" s="131"/>
      <c r="L109" s="131"/>
      <c r="M109" s="131"/>
    </row>
    <row r="110" spans="5:13">
      <c r="E110" s="131"/>
      <c r="F110" s="131"/>
      <c r="G110" s="131"/>
      <c r="H110" s="131"/>
      <c r="I110" s="131"/>
      <c r="J110" s="131"/>
      <c r="K110" s="131"/>
      <c r="L110" s="131"/>
      <c r="M110" s="131"/>
    </row>
    <row r="111" spans="5:13">
      <c r="E111" s="131"/>
      <c r="F111" s="131"/>
      <c r="G111" s="131"/>
      <c r="H111" s="131"/>
      <c r="I111" s="131"/>
      <c r="J111" s="131"/>
      <c r="K111" s="131"/>
      <c r="L111" s="131"/>
      <c r="M111" s="131"/>
    </row>
    <row r="112" spans="5:13">
      <c r="E112" s="131"/>
      <c r="F112" s="131"/>
      <c r="G112" s="131"/>
      <c r="H112" s="131"/>
      <c r="I112" s="131"/>
      <c r="J112" s="131"/>
      <c r="K112" s="131"/>
      <c r="L112" s="131"/>
      <c r="M112" s="131"/>
    </row>
    <row r="113" spans="5:13">
      <c r="E113" s="131"/>
      <c r="F113" s="131"/>
      <c r="G113" s="131"/>
      <c r="H113" s="131"/>
      <c r="I113" s="131"/>
      <c r="J113" s="131"/>
      <c r="K113" s="131"/>
      <c r="L113" s="131"/>
      <c r="M113" s="131"/>
    </row>
    <row r="114" spans="5:13">
      <c r="E114" s="131"/>
      <c r="F114" s="131"/>
      <c r="G114" s="131"/>
      <c r="H114" s="131"/>
      <c r="I114" s="131"/>
      <c r="J114" s="131"/>
      <c r="K114" s="131"/>
      <c r="L114" s="131"/>
      <c r="M114" s="131"/>
    </row>
    <row r="115" spans="5:13">
      <c r="E115" s="131"/>
      <c r="F115" s="131"/>
      <c r="G115" s="131"/>
      <c r="H115" s="131"/>
      <c r="I115" s="131"/>
      <c r="J115" s="131"/>
      <c r="K115" s="131"/>
      <c r="L115" s="131"/>
      <c r="M115" s="131"/>
    </row>
    <row r="116" spans="5:13">
      <c r="E116" s="131"/>
      <c r="F116" s="131"/>
      <c r="G116" s="131"/>
      <c r="H116" s="131"/>
      <c r="I116" s="131"/>
      <c r="J116" s="131"/>
      <c r="K116" s="131"/>
      <c r="L116" s="131"/>
      <c r="M116" s="131"/>
    </row>
    <row r="117" spans="5:13">
      <c r="E117" s="131"/>
      <c r="F117" s="131"/>
      <c r="G117" s="131"/>
      <c r="H117" s="131"/>
      <c r="I117" s="131"/>
      <c r="J117" s="131"/>
      <c r="K117" s="131"/>
      <c r="L117" s="131"/>
      <c r="M117" s="131"/>
    </row>
    <row r="118" spans="5:13">
      <c r="E118" s="131"/>
      <c r="F118" s="131"/>
      <c r="G118" s="131"/>
      <c r="H118" s="131"/>
      <c r="I118" s="131"/>
      <c r="J118" s="131"/>
      <c r="K118" s="131"/>
      <c r="L118" s="131"/>
      <c r="M118" s="131"/>
    </row>
    <row r="119" spans="5:13">
      <c r="E119" s="131"/>
      <c r="F119" s="131"/>
      <c r="G119" s="131"/>
      <c r="H119" s="131"/>
      <c r="I119" s="131"/>
      <c r="J119" s="131"/>
      <c r="K119" s="131"/>
      <c r="L119" s="131"/>
      <c r="M119" s="131"/>
    </row>
    <row r="120" spans="5:13">
      <c r="E120" s="131"/>
      <c r="F120" s="131"/>
      <c r="G120" s="131"/>
      <c r="H120" s="131"/>
      <c r="I120" s="131"/>
      <c r="J120" s="131"/>
      <c r="K120" s="131"/>
      <c r="L120" s="131"/>
      <c r="M120" s="131"/>
    </row>
    <row r="121" spans="5:13">
      <c r="E121" s="131"/>
      <c r="F121" s="131"/>
      <c r="G121" s="131"/>
      <c r="H121" s="131"/>
      <c r="I121" s="131"/>
      <c r="J121" s="131"/>
      <c r="K121" s="131"/>
      <c r="L121" s="131"/>
      <c r="M121" s="131"/>
    </row>
    <row r="122" spans="5:13">
      <c r="E122" s="131"/>
      <c r="F122" s="131"/>
      <c r="G122" s="131"/>
      <c r="H122" s="131"/>
      <c r="I122" s="131"/>
      <c r="J122" s="131"/>
      <c r="K122" s="131"/>
      <c r="L122" s="131"/>
      <c r="M122" s="131"/>
    </row>
    <row r="123" spans="5:13">
      <c r="E123" s="131"/>
      <c r="F123" s="131"/>
      <c r="G123" s="131"/>
      <c r="H123" s="131"/>
      <c r="I123" s="131"/>
      <c r="J123" s="131"/>
      <c r="K123" s="131"/>
      <c r="L123" s="131"/>
      <c r="M123" s="131"/>
    </row>
    <row r="124" spans="5:13">
      <c r="E124" s="131"/>
      <c r="F124" s="131"/>
      <c r="G124" s="131"/>
      <c r="H124" s="131"/>
      <c r="I124" s="131"/>
      <c r="J124" s="131"/>
      <c r="K124" s="131"/>
      <c r="L124" s="131"/>
      <c r="M124" s="131"/>
    </row>
    <row r="125" spans="5:13">
      <c r="E125" s="131"/>
      <c r="F125" s="131"/>
      <c r="G125" s="131"/>
      <c r="H125" s="131"/>
      <c r="I125" s="131"/>
      <c r="J125" s="131"/>
      <c r="K125" s="131"/>
      <c r="L125" s="131"/>
      <c r="M125" s="131"/>
    </row>
    <row r="126" spans="5:13">
      <c r="E126" s="131"/>
      <c r="F126" s="131"/>
      <c r="G126" s="131"/>
      <c r="H126" s="131"/>
      <c r="I126" s="131"/>
      <c r="J126" s="131"/>
      <c r="K126" s="131"/>
      <c r="L126" s="131"/>
      <c r="M126" s="131"/>
    </row>
    <row r="127" spans="5:13">
      <c r="E127" s="131"/>
      <c r="F127" s="131"/>
      <c r="G127" s="131"/>
      <c r="H127" s="131"/>
      <c r="I127" s="131"/>
      <c r="J127" s="131"/>
      <c r="K127" s="131"/>
      <c r="L127" s="131"/>
      <c r="M127" s="131"/>
    </row>
    <row r="128" spans="5:13">
      <c r="E128" s="131"/>
      <c r="F128" s="131"/>
      <c r="G128" s="131"/>
      <c r="H128" s="131"/>
      <c r="I128" s="131"/>
      <c r="J128" s="131"/>
      <c r="K128" s="131"/>
      <c r="L128" s="131"/>
      <c r="M128" s="131"/>
    </row>
    <row r="129" spans="5:13">
      <c r="E129" s="131"/>
      <c r="F129" s="131"/>
      <c r="G129" s="131"/>
      <c r="H129" s="131"/>
      <c r="I129" s="131"/>
      <c r="J129" s="131"/>
      <c r="K129" s="131"/>
      <c r="L129" s="131"/>
      <c r="M129" s="131"/>
    </row>
    <row r="130" spans="5:13">
      <c r="E130" s="131"/>
      <c r="F130" s="131"/>
      <c r="G130" s="131"/>
      <c r="H130" s="131"/>
      <c r="I130" s="131"/>
      <c r="J130" s="131"/>
      <c r="K130" s="131"/>
      <c r="L130" s="131"/>
      <c r="M130" s="131"/>
    </row>
    <row r="131" spans="5:13">
      <c r="E131" s="131"/>
      <c r="F131" s="131"/>
      <c r="G131" s="131"/>
      <c r="H131" s="131"/>
      <c r="I131" s="131"/>
      <c r="J131" s="131"/>
      <c r="K131" s="131"/>
      <c r="L131" s="131"/>
      <c r="M131" s="131"/>
    </row>
    <row r="132" spans="5:13">
      <c r="E132" s="131"/>
      <c r="F132" s="131"/>
      <c r="G132" s="131"/>
      <c r="H132" s="131"/>
      <c r="I132" s="131"/>
      <c r="J132" s="131"/>
      <c r="K132" s="131"/>
      <c r="L132" s="131"/>
      <c r="M132" s="131"/>
    </row>
    <row r="133" spans="5:13">
      <c r="E133" s="131"/>
      <c r="F133" s="131"/>
      <c r="G133" s="131"/>
      <c r="H133" s="131"/>
      <c r="I133" s="131"/>
      <c r="J133" s="131"/>
      <c r="K133" s="131"/>
      <c r="L133" s="131"/>
      <c r="M133" s="131"/>
    </row>
    <row r="134" spans="5:13">
      <c r="E134" s="131"/>
      <c r="F134" s="131"/>
      <c r="G134" s="131"/>
      <c r="H134" s="131"/>
      <c r="I134" s="131"/>
      <c r="J134" s="131"/>
      <c r="K134" s="131"/>
      <c r="L134" s="131"/>
      <c r="M134" s="131"/>
    </row>
    <row r="135" spans="5:13">
      <c r="E135" s="131"/>
      <c r="F135" s="131"/>
      <c r="G135" s="131"/>
      <c r="H135" s="131"/>
      <c r="I135" s="131"/>
      <c r="J135" s="131"/>
      <c r="K135" s="131"/>
      <c r="L135" s="131"/>
      <c r="M135" s="131"/>
    </row>
    <row r="136" spans="5:13">
      <c r="E136" s="131"/>
      <c r="F136" s="131"/>
      <c r="G136" s="131"/>
      <c r="H136" s="131"/>
      <c r="I136" s="131"/>
      <c r="J136" s="131"/>
      <c r="K136" s="131"/>
      <c r="L136" s="131"/>
      <c r="M136" s="131"/>
    </row>
    <row r="137" spans="5:13">
      <c r="E137" s="131"/>
      <c r="F137" s="131"/>
      <c r="G137" s="131"/>
      <c r="H137" s="131"/>
      <c r="I137" s="131"/>
      <c r="J137" s="131"/>
      <c r="K137" s="131"/>
      <c r="L137" s="131"/>
      <c r="M137" s="131"/>
    </row>
    <row r="138" spans="5:13">
      <c r="E138" s="131"/>
      <c r="F138" s="131"/>
      <c r="G138" s="131"/>
      <c r="H138" s="131"/>
      <c r="I138" s="131"/>
      <c r="J138" s="131"/>
      <c r="K138" s="131"/>
      <c r="L138" s="131"/>
      <c r="M138" s="131"/>
    </row>
    <row r="139" spans="5:13">
      <c r="E139" s="131"/>
      <c r="F139" s="131"/>
      <c r="G139" s="131"/>
      <c r="H139" s="131"/>
      <c r="I139" s="131"/>
      <c r="J139" s="131"/>
      <c r="K139" s="131"/>
      <c r="L139" s="131"/>
      <c r="M139" s="131"/>
    </row>
    <row r="140" spans="5:13">
      <c r="E140" s="131"/>
      <c r="F140" s="131"/>
      <c r="G140" s="131"/>
      <c r="H140" s="131"/>
      <c r="I140" s="131"/>
      <c r="J140" s="131"/>
      <c r="K140" s="131"/>
      <c r="L140" s="131"/>
      <c r="M140" s="131"/>
    </row>
    <row r="141" spans="5:13">
      <c r="E141" s="131"/>
      <c r="F141" s="131"/>
      <c r="G141" s="131"/>
      <c r="H141" s="131"/>
      <c r="I141" s="131"/>
      <c r="J141" s="131"/>
      <c r="K141" s="131"/>
      <c r="L141" s="131"/>
      <c r="M141" s="131"/>
    </row>
    <row r="142" spans="5:13">
      <c r="E142" s="131"/>
      <c r="F142" s="131"/>
      <c r="G142" s="131"/>
      <c r="H142" s="131"/>
      <c r="I142" s="131"/>
      <c r="J142" s="131"/>
      <c r="K142" s="131"/>
      <c r="L142" s="131"/>
      <c r="M142" s="131"/>
    </row>
    <row r="143" spans="5:13">
      <c r="E143" s="131"/>
      <c r="F143" s="131"/>
      <c r="G143" s="131"/>
      <c r="H143" s="131"/>
      <c r="I143" s="131"/>
      <c r="J143" s="131"/>
      <c r="K143" s="131"/>
      <c r="L143" s="131"/>
      <c r="M143" s="131"/>
    </row>
    <row r="144" spans="5:13">
      <c r="E144" s="131"/>
      <c r="F144" s="131"/>
      <c r="G144" s="131"/>
      <c r="H144" s="131"/>
      <c r="I144" s="131"/>
      <c r="J144" s="131"/>
      <c r="K144" s="131"/>
      <c r="L144" s="131"/>
      <c r="M144" s="131"/>
    </row>
    <row r="145" spans="5:13">
      <c r="E145" s="131"/>
      <c r="F145" s="131"/>
      <c r="G145" s="131"/>
      <c r="H145" s="131"/>
      <c r="I145" s="131"/>
      <c r="J145" s="131"/>
      <c r="K145" s="131"/>
      <c r="L145" s="131"/>
      <c r="M145" s="131"/>
    </row>
    <row r="146" spans="5:13">
      <c r="E146" s="131"/>
      <c r="F146" s="131"/>
      <c r="G146" s="131"/>
      <c r="H146" s="131"/>
      <c r="I146" s="131"/>
      <c r="J146" s="131"/>
      <c r="K146" s="131"/>
      <c r="L146" s="131"/>
      <c r="M146" s="131"/>
    </row>
    <row r="147" spans="5:13">
      <c r="E147" s="131"/>
      <c r="F147" s="131"/>
      <c r="G147" s="131"/>
      <c r="H147" s="131"/>
      <c r="I147" s="131"/>
      <c r="J147" s="131"/>
      <c r="K147" s="131"/>
      <c r="L147" s="131"/>
      <c r="M147" s="131"/>
    </row>
    <row r="148" spans="5:13">
      <c r="E148" s="131"/>
      <c r="F148" s="131"/>
      <c r="G148" s="131"/>
      <c r="H148" s="131"/>
      <c r="I148" s="131"/>
      <c r="J148" s="131"/>
      <c r="K148" s="131"/>
      <c r="L148" s="131"/>
      <c r="M148" s="131"/>
    </row>
    <row r="149" spans="5:13">
      <c r="E149" s="131"/>
      <c r="F149" s="131"/>
      <c r="G149" s="131"/>
      <c r="H149" s="131"/>
      <c r="I149" s="131"/>
      <c r="J149" s="131"/>
      <c r="K149" s="131"/>
      <c r="L149" s="131"/>
      <c r="M149" s="131"/>
    </row>
    <row r="150" spans="5:13">
      <c r="E150" s="131"/>
      <c r="F150" s="131"/>
      <c r="G150" s="131"/>
      <c r="H150" s="131"/>
      <c r="I150" s="131"/>
      <c r="J150" s="131"/>
      <c r="K150" s="131"/>
      <c r="L150" s="131"/>
      <c r="M150" s="131"/>
    </row>
    <row r="151" spans="5:13">
      <c r="E151" s="131"/>
      <c r="F151" s="131"/>
      <c r="G151" s="131"/>
      <c r="H151" s="131"/>
      <c r="I151" s="131"/>
      <c r="J151" s="131"/>
      <c r="K151" s="131"/>
      <c r="L151" s="131"/>
      <c r="M151" s="131"/>
    </row>
    <row r="152" spans="5:13">
      <c r="E152" s="131"/>
      <c r="F152" s="131"/>
      <c r="G152" s="131"/>
      <c r="H152" s="131"/>
      <c r="I152" s="131"/>
      <c r="J152" s="131"/>
      <c r="K152" s="131"/>
      <c r="L152" s="131"/>
      <c r="M152" s="131"/>
    </row>
    <row r="153" spans="5:13">
      <c r="E153" s="131"/>
      <c r="F153" s="131"/>
      <c r="G153" s="131"/>
      <c r="H153" s="131"/>
      <c r="I153" s="131"/>
      <c r="J153" s="131"/>
      <c r="K153" s="131"/>
      <c r="L153" s="131"/>
      <c r="M153" s="131"/>
    </row>
    <row r="154" spans="5:13">
      <c r="E154" s="131"/>
      <c r="F154" s="131"/>
      <c r="G154" s="131"/>
      <c r="H154" s="131"/>
      <c r="I154" s="131"/>
      <c r="J154" s="131"/>
      <c r="K154" s="131"/>
      <c r="L154" s="131"/>
      <c r="M154" s="131"/>
    </row>
  </sheetData>
  <mergeCells count="2">
    <mergeCell ref="AA24:AB24"/>
    <mergeCell ref="AA25:AB25"/>
  </mergeCells>
  <printOptions horizontalCentered="1"/>
  <pageMargins left="0.75" right="0.75" top="1" bottom="1" header="0.5" footer="0.5"/>
  <pageSetup scale="10" orientation="landscape"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HM134"/>
  <sheetViews>
    <sheetView workbookViewId="0">
      <selection activeCell="C13" sqref="C13"/>
    </sheetView>
  </sheetViews>
  <sheetFormatPr defaultColWidth="9" defaultRowHeight="13.2"/>
  <cols>
    <col min="1" max="1" width="36.33203125" style="124" customWidth="1"/>
    <col min="2" max="2" width="15.33203125" style="124" bestFit="1" customWidth="1"/>
    <col min="3" max="3" width="18.6640625" style="124" customWidth="1"/>
    <col min="4" max="4" width="2.6640625" style="124" customWidth="1"/>
    <col min="5" max="5" width="18.6640625" style="124" customWidth="1"/>
    <col min="6" max="6" width="2" style="124" customWidth="1"/>
    <col min="7" max="7" width="18.6640625" style="124" customWidth="1"/>
    <col min="8" max="8" width="1.88671875" style="124" customWidth="1"/>
    <col min="9" max="9" width="18.6640625" style="124" customWidth="1"/>
    <col min="10" max="10" width="1.88671875" style="124" customWidth="1"/>
    <col min="11" max="11" width="18.6640625" style="124" customWidth="1"/>
    <col min="12" max="12" width="2" style="124" customWidth="1"/>
    <col min="13" max="13" width="18.6640625" style="124" customWidth="1"/>
    <col min="14" max="14" width="9" style="124"/>
    <col min="15" max="15" width="53.33203125" style="124" bestFit="1" customWidth="1"/>
    <col min="16" max="16" width="6.6640625" style="124" customWidth="1"/>
    <col min="17" max="17" width="10.6640625" style="124" bestFit="1" customWidth="1"/>
    <col min="18" max="18" width="2.6640625" style="124" bestFit="1" customWidth="1"/>
    <col min="19" max="19" width="10.6640625" style="124" bestFit="1" customWidth="1"/>
    <col min="20" max="20" width="2.6640625" style="124" customWidth="1"/>
    <col min="21" max="21" width="10.6640625" style="124" bestFit="1" customWidth="1"/>
    <col min="22" max="22" width="2.6640625" style="124" customWidth="1"/>
    <col min="23" max="23" width="10.6640625" style="124" bestFit="1" customWidth="1"/>
    <col min="24" max="24" width="2.6640625" style="124" customWidth="1"/>
    <col min="25" max="25" width="10.6640625" style="124" bestFit="1" customWidth="1"/>
    <col min="26" max="26" width="2.6640625" style="124" customWidth="1"/>
    <col min="27" max="27" width="10.5546875" style="124" customWidth="1"/>
    <col min="28" max="28" width="2.6640625" style="124" customWidth="1"/>
    <col min="29" max="29" width="9" style="124"/>
    <col min="30" max="30" width="4.33203125" style="124" customWidth="1"/>
    <col min="31" max="31" width="3.6640625" style="124" customWidth="1"/>
    <col min="32" max="32" width="22.33203125" style="124" customWidth="1"/>
    <col min="33" max="16384" width="9" style="124"/>
  </cols>
  <sheetData>
    <row r="1" spans="1:27" ht="16.2" customHeight="1">
      <c r="A1" s="329"/>
    </row>
    <row r="2" spans="1:27" ht="16.2" customHeight="1">
      <c r="A2" s="329"/>
    </row>
    <row r="3" spans="1:27" ht="16.2" customHeight="1">
      <c r="A3" s="329"/>
    </row>
    <row r="4" spans="1:27" ht="16.2" customHeight="1" thickBot="1">
      <c r="A4" s="329"/>
      <c r="K4" s="130"/>
    </row>
    <row r="5" spans="1:27" ht="16.8">
      <c r="A5" s="328" t="s">
        <v>2255</v>
      </c>
    </row>
    <row r="6" spans="1:27" ht="14.4" thickBot="1">
      <c r="A6" s="327" t="s">
        <v>3052</v>
      </c>
      <c r="E6" s="127" t="s">
        <v>3065</v>
      </c>
      <c r="F6" s="127"/>
      <c r="G6" s="128"/>
      <c r="H6" s="128"/>
      <c r="I6" s="128"/>
      <c r="J6" s="128"/>
      <c r="K6" s="128"/>
      <c r="L6" s="259"/>
      <c r="O6" s="129" t="str">
        <f>E6</f>
        <v xml:space="preserve">Northwest Nat. Gas  </v>
      </c>
      <c r="P6" s="128"/>
      <c r="Q6" s="128"/>
      <c r="R6" s="127"/>
      <c r="S6" s="128"/>
      <c r="T6" s="128"/>
      <c r="U6" s="128"/>
      <c r="V6" s="128"/>
      <c r="W6" s="128"/>
      <c r="X6" s="128"/>
      <c r="Y6" s="128"/>
      <c r="Z6" s="128"/>
      <c r="AA6" s="128"/>
    </row>
    <row r="7" spans="1:27" ht="13.8">
      <c r="E7" s="128" t="s">
        <v>0</v>
      </c>
      <c r="F7" s="128"/>
      <c r="G7" s="128"/>
      <c r="H7" s="128"/>
      <c r="I7" s="128"/>
      <c r="J7" s="128"/>
      <c r="K7" s="128"/>
      <c r="L7" s="259"/>
      <c r="O7" s="128" t="str">
        <f>E7</f>
        <v>CAPITALIZATION AND FINANCIAL STATISTICS  (1)</v>
      </c>
      <c r="P7" s="128"/>
      <c r="Q7" s="128"/>
      <c r="R7" s="128"/>
      <c r="S7" s="128"/>
      <c r="T7" s="128"/>
      <c r="U7" s="128"/>
      <c r="V7" s="128"/>
      <c r="W7" s="128"/>
      <c r="X7" s="128"/>
      <c r="Y7" s="128"/>
      <c r="Z7" s="128"/>
      <c r="AA7" s="128"/>
    </row>
    <row r="8" spans="1:27">
      <c r="E8" s="127" t="s">
        <v>4355</v>
      </c>
      <c r="F8" s="127"/>
      <c r="G8" s="128"/>
      <c r="H8" s="128"/>
      <c r="I8" s="128"/>
      <c r="J8" s="128"/>
      <c r="K8" s="128"/>
      <c r="O8" s="127" t="str">
        <f>E8</f>
        <v>2016 - 2021, Inclusive</v>
      </c>
      <c r="P8" s="128"/>
      <c r="Q8" s="128"/>
      <c r="R8" s="127"/>
      <c r="S8" s="128"/>
      <c r="T8" s="128"/>
      <c r="U8" s="128"/>
      <c r="V8" s="128"/>
      <c r="W8" s="128"/>
      <c r="X8" s="128"/>
      <c r="Y8" s="128"/>
      <c r="Z8" s="128"/>
      <c r="AA8" s="128"/>
    </row>
    <row r="9" spans="1:27">
      <c r="O9" s="128"/>
      <c r="P9" s="128"/>
      <c r="Q9" s="127"/>
      <c r="R9" s="127"/>
      <c r="S9" s="128"/>
      <c r="T9" s="128"/>
      <c r="U9" s="128"/>
      <c r="V9" s="128"/>
      <c r="W9" s="128"/>
      <c r="X9" s="128"/>
      <c r="Y9" s="128"/>
      <c r="Z9" s="128"/>
      <c r="AA9" s="128"/>
    </row>
    <row r="10" spans="1:27">
      <c r="B10" s="124" t="s">
        <v>4357</v>
      </c>
      <c r="C10" s="326">
        <v>2021</v>
      </c>
      <c r="E10" s="326">
        <v>2020</v>
      </c>
      <c r="G10" s="326">
        <v>2019</v>
      </c>
      <c r="I10" s="326">
        <v>2018</v>
      </c>
      <c r="K10" s="326">
        <v>2017</v>
      </c>
      <c r="M10" s="326">
        <v>2016</v>
      </c>
      <c r="Q10" s="127"/>
      <c r="R10" s="127"/>
      <c r="S10" s="128"/>
      <c r="T10" s="128"/>
      <c r="U10" s="128"/>
      <c r="V10" s="128"/>
      <c r="W10" s="128"/>
      <c r="X10" s="128"/>
      <c r="Y10" s="128"/>
    </row>
    <row r="11" spans="1:27">
      <c r="A11" s="124" t="s">
        <v>1</v>
      </c>
    </row>
    <row r="12" spans="1:27">
      <c r="A12" s="124" t="s">
        <v>2</v>
      </c>
      <c r="B12" s="124" t="s">
        <v>65</v>
      </c>
      <c r="C12" s="130">
        <f>1044587000+345000-27000000</f>
        <v>1017932000</v>
      </c>
      <c r="E12" s="130">
        <f>860081000+95344000</f>
        <v>955425000</v>
      </c>
      <c r="G12" s="130">
        <f>805955000+75109000</f>
        <v>881064000</v>
      </c>
      <c r="I12" s="130">
        <f>706247000+29989000</f>
        <v>736236000</v>
      </c>
      <c r="K12" s="130">
        <v>779887000</v>
      </c>
      <c r="L12" s="131"/>
      <c r="M12" s="130">
        <v>719323000</v>
      </c>
      <c r="Q12" s="326">
        <f>C10</f>
        <v>2021</v>
      </c>
      <c r="R12" s="326"/>
      <c r="S12" s="326">
        <f>E10</f>
        <v>2020</v>
      </c>
      <c r="T12" s="326"/>
      <c r="U12" s="326">
        <f>G10</f>
        <v>2019</v>
      </c>
      <c r="V12" s="326"/>
      <c r="W12" s="326">
        <f>I10</f>
        <v>2018</v>
      </c>
      <c r="X12" s="326"/>
      <c r="Y12" s="326">
        <f>K10</f>
        <v>2017</v>
      </c>
      <c r="Z12" s="326"/>
    </row>
    <row r="13" spans="1:27">
      <c r="A13" s="124" t="s">
        <v>3</v>
      </c>
      <c r="B13" s="124" t="s">
        <v>66</v>
      </c>
      <c r="C13" s="130">
        <v>0</v>
      </c>
      <c r="E13" s="130">
        <v>0</v>
      </c>
      <c r="G13" s="130">
        <v>0</v>
      </c>
      <c r="I13" s="130">
        <v>0</v>
      </c>
      <c r="K13" s="130">
        <v>0</v>
      </c>
      <c r="L13" s="131"/>
      <c r="M13" s="130">
        <v>0</v>
      </c>
      <c r="Q13" s="128" t="s">
        <v>4</v>
      </c>
      <c r="R13" s="128"/>
      <c r="S13" s="128"/>
      <c r="T13" s="128"/>
      <c r="U13" s="128"/>
      <c r="V13" s="128"/>
      <c r="W13" s="128"/>
      <c r="X13" s="128"/>
      <c r="Y13" s="128"/>
      <c r="Z13" s="128" t="s">
        <v>5</v>
      </c>
      <c r="AA13" s="128" t="s">
        <v>5</v>
      </c>
    </row>
    <row r="14" spans="1:27">
      <c r="C14" s="130"/>
      <c r="E14" s="130"/>
      <c r="G14" s="130"/>
      <c r="I14" s="130"/>
      <c r="O14" s="132" t="s">
        <v>6</v>
      </c>
      <c r="P14" s="132"/>
    </row>
    <row r="15" spans="1:27">
      <c r="A15" s="124" t="s">
        <v>8</v>
      </c>
      <c r="B15" s="124" t="s">
        <v>58</v>
      </c>
      <c r="C15" s="130">
        <v>31129000</v>
      </c>
      <c r="E15" s="130">
        <v>30589000</v>
      </c>
      <c r="G15" s="130">
        <v>30472000</v>
      </c>
      <c r="I15" s="130">
        <v>28880000</v>
      </c>
      <c r="K15" s="130">
        <v>28736000</v>
      </c>
      <c r="L15" s="131"/>
      <c r="M15" s="130">
        <v>28630000</v>
      </c>
    </row>
    <row r="16" spans="1:27">
      <c r="A16" s="124" t="s">
        <v>10</v>
      </c>
      <c r="B16" s="124" t="s">
        <v>60</v>
      </c>
      <c r="C16" s="130">
        <v>935146000</v>
      </c>
      <c r="E16" s="130">
        <v>888733000</v>
      </c>
      <c r="G16" s="130">
        <v>865999000</v>
      </c>
      <c r="I16" s="130">
        <v>762634000</v>
      </c>
      <c r="K16" s="130">
        <v>742776000</v>
      </c>
      <c r="L16" s="131"/>
      <c r="M16" s="130">
        <v>850497000</v>
      </c>
      <c r="O16" s="132" t="s">
        <v>9</v>
      </c>
      <c r="P16" s="132"/>
    </row>
    <row r="17" spans="1:28">
      <c r="A17" s="124" t="s">
        <v>49</v>
      </c>
      <c r="B17" s="124" t="s">
        <v>58</v>
      </c>
      <c r="C17" s="130">
        <v>0</v>
      </c>
      <c r="E17" s="130">
        <v>0</v>
      </c>
      <c r="G17" s="130">
        <v>0</v>
      </c>
      <c r="I17" s="130">
        <v>0</v>
      </c>
      <c r="K17" s="130">
        <v>0</v>
      </c>
      <c r="L17" s="131"/>
      <c r="M17" s="130">
        <v>0</v>
      </c>
      <c r="O17" s="124" t="s">
        <v>11</v>
      </c>
      <c r="Q17" s="133">
        <f>C50/1000000</f>
        <v>1953.078</v>
      </c>
      <c r="R17" s="133"/>
      <c r="S17" s="133">
        <f>E50/1000000</f>
        <v>1844.1579999999999</v>
      </c>
      <c r="T17" s="133"/>
      <c r="U17" s="133">
        <f>G50/1000000</f>
        <v>1747.0630000000001</v>
      </c>
      <c r="V17" s="133"/>
      <c r="W17" s="133">
        <f>I50/1000000</f>
        <v>1498.87</v>
      </c>
      <c r="X17" s="133"/>
      <c r="Y17" s="133">
        <f>K50/1000000</f>
        <v>1522.663</v>
      </c>
    </row>
    <row r="18" spans="1:28">
      <c r="C18" s="130"/>
      <c r="E18" s="130"/>
      <c r="G18" s="130"/>
      <c r="I18" s="130"/>
      <c r="O18" s="124" t="s">
        <v>12</v>
      </c>
      <c r="Q18" s="134">
        <f>C19/1000000</f>
        <v>389.5</v>
      </c>
      <c r="R18" s="133"/>
      <c r="S18" s="134">
        <f>E19/1000000</f>
        <v>304.52499999999998</v>
      </c>
      <c r="T18" s="133"/>
      <c r="U18" s="134">
        <f>G19/1000000</f>
        <v>149.1</v>
      </c>
      <c r="V18" s="133"/>
      <c r="W18" s="134">
        <f>I19/1000000</f>
        <v>217.62</v>
      </c>
      <c r="X18" s="133"/>
      <c r="Y18" s="134">
        <f>K19/1000000</f>
        <v>54.2</v>
      </c>
    </row>
    <row r="19" spans="1:28">
      <c r="A19" s="124" t="s">
        <v>15</v>
      </c>
      <c r="B19" s="124" t="s">
        <v>67</v>
      </c>
      <c r="C19" s="130">
        <v>389500000</v>
      </c>
      <c r="E19" s="130">
        <v>304525000</v>
      </c>
      <c r="G19" s="130">
        <v>149100000</v>
      </c>
      <c r="I19" s="130">
        <v>217620000</v>
      </c>
      <c r="K19" s="130">
        <v>54200000</v>
      </c>
      <c r="L19" s="131"/>
      <c r="M19" s="130">
        <v>53300000</v>
      </c>
      <c r="O19" s="124" t="s">
        <v>14</v>
      </c>
      <c r="Q19" s="135">
        <f>SUM(Q17:Q18)</f>
        <v>2342.578</v>
      </c>
      <c r="R19" s="133"/>
      <c r="S19" s="135">
        <f>SUM(S17:S18)</f>
        <v>2148.683</v>
      </c>
      <c r="T19" s="133"/>
      <c r="U19" s="135">
        <f>SUM(U17:U18)</f>
        <v>1896.163</v>
      </c>
      <c r="V19" s="133"/>
      <c r="W19" s="135">
        <f>SUM(W17:W18)</f>
        <v>1716.4899999999998</v>
      </c>
      <c r="X19" s="133"/>
      <c r="Y19" s="135">
        <f>SUM(Y17:Y18)</f>
        <v>1576.8630000000001</v>
      </c>
    </row>
    <row r="20" spans="1:28">
      <c r="C20" s="130"/>
      <c r="E20" s="130"/>
      <c r="G20" s="130"/>
      <c r="I20" s="130"/>
      <c r="K20" s="131"/>
      <c r="L20" s="131"/>
      <c r="M20" s="131"/>
    </row>
    <row r="21" spans="1:28">
      <c r="A21" s="124" t="s">
        <v>17</v>
      </c>
      <c r="B21" s="124" t="s">
        <v>61</v>
      </c>
      <c r="C21" s="130">
        <v>2.56</v>
      </c>
      <c r="E21" s="130">
        <v>2.5099999999999998</v>
      </c>
      <c r="G21" s="130">
        <v>2.0699999999999998</v>
      </c>
      <c r="I21" s="130">
        <v>2.2400000000000002</v>
      </c>
      <c r="K21" s="130">
        <v>-1.94</v>
      </c>
      <c r="L21" s="131"/>
      <c r="M21" s="130">
        <v>2.12</v>
      </c>
      <c r="O21" s="132" t="s">
        <v>16</v>
      </c>
      <c r="P21" s="132"/>
    </row>
    <row r="22" spans="1:28">
      <c r="A22" s="124" t="s">
        <v>19</v>
      </c>
      <c r="B22" s="124" t="s">
        <v>1375</v>
      </c>
      <c r="C22" s="124">
        <v>56.39</v>
      </c>
      <c r="E22" s="130">
        <v>76.900000000000006</v>
      </c>
      <c r="G22" s="130">
        <v>73.86</v>
      </c>
      <c r="I22" s="130">
        <v>70.709999999999994</v>
      </c>
      <c r="K22" s="130">
        <v>69.150000000000006</v>
      </c>
      <c r="L22" s="131"/>
      <c r="M22" s="130">
        <v>65.599999999999994</v>
      </c>
      <c r="O22" s="124" t="s">
        <v>54</v>
      </c>
      <c r="Q22" s="136">
        <f>(ROUND((C30/(AVERAGE(C54,E54))*100),2))</f>
        <v>3.34</v>
      </c>
      <c r="R22" s="137" t="s">
        <v>18</v>
      </c>
      <c r="S22" s="136">
        <f>(ROUND((E30/(AVERAGE(E54,G54))*100),2))</f>
        <v>3.76</v>
      </c>
      <c r="T22" s="137" t="s">
        <v>18</v>
      </c>
      <c r="U22" s="136">
        <f>(ROUND((G30/(AVERAGE(G54,I54))*100),2))</f>
        <v>4.3</v>
      </c>
      <c r="V22" s="137" t="s">
        <v>18</v>
      </c>
      <c r="W22" s="136">
        <f>(ROUND((I30/(AVERAGE(I54,K54))*100),2))</f>
        <v>4.1500000000000004</v>
      </c>
      <c r="X22" s="137" t="s">
        <v>18</v>
      </c>
      <c r="Y22" s="136">
        <f>(ROUND((K30/(AVERAGE(K54,M54))*100),2))</f>
        <v>4.79</v>
      </c>
      <c r="Z22" s="137" t="s">
        <v>18</v>
      </c>
      <c r="AA22" s="255"/>
    </row>
    <row r="23" spans="1:28">
      <c r="A23" s="124" t="s">
        <v>21</v>
      </c>
      <c r="B23" s="124" t="s">
        <v>1375</v>
      </c>
      <c r="C23" s="124">
        <v>42.44</v>
      </c>
      <c r="E23" s="130">
        <v>43.41</v>
      </c>
      <c r="G23" s="130">
        <v>57.46</v>
      </c>
      <c r="I23" s="130">
        <v>51.95</v>
      </c>
      <c r="K23" s="130">
        <v>56.85</v>
      </c>
      <c r="L23" s="131"/>
      <c r="M23" s="130">
        <v>49.44</v>
      </c>
      <c r="O23" s="124" t="s">
        <v>20</v>
      </c>
      <c r="Q23" s="136"/>
      <c r="R23" s="137"/>
      <c r="S23" s="136"/>
      <c r="T23" s="137"/>
      <c r="U23" s="136"/>
      <c r="V23" s="137"/>
      <c r="W23" s="136"/>
      <c r="X23" s="137"/>
      <c r="Y23" s="136"/>
      <c r="Z23" s="137"/>
    </row>
    <row r="24" spans="1:28">
      <c r="C24" s="130"/>
      <c r="E24" s="130"/>
      <c r="G24" s="130"/>
      <c r="I24" s="130"/>
      <c r="AA24" s="1069" t="s">
        <v>52</v>
      </c>
      <c r="AB24" s="1069"/>
    </row>
    <row r="25" spans="1:28">
      <c r="C25" s="130"/>
      <c r="E25" s="130"/>
      <c r="G25" s="130"/>
      <c r="I25" s="130"/>
      <c r="K25" s="131"/>
      <c r="L25" s="131"/>
      <c r="M25" s="131"/>
      <c r="O25" s="132" t="s">
        <v>30</v>
      </c>
      <c r="P25" s="132"/>
      <c r="AA25" s="1069" t="s">
        <v>22</v>
      </c>
      <c r="AB25" s="1069"/>
    </row>
    <row r="26" spans="1:28">
      <c r="A26" s="124" t="s">
        <v>26</v>
      </c>
      <c r="B26" s="124" t="s">
        <v>1375</v>
      </c>
      <c r="C26" s="130">
        <v>1.92</v>
      </c>
      <c r="E26" s="130">
        <v>1.91</v>
      </c>
      <c r="G26" s="130">
        <v>1.9</v>
      </c>
      <c r="I26" s="130">
        <v>1.89</v>
      </c>
      <c r="K26" s="130">
        <v>1.8824999999999998</v>
      </c>
      <c r="L26" s="131"/>
      <c r="M26" s="130">
        <v>1.8725000000000001</v>
      </c>
      <c r="O26" s="124" t="s">
        <v>32</v>
      </c>
    </row>
    <row r="27" spans="1:28">
      <c r="C27" s="130"/>
      <c r="E27" s="130"/>
      <c r="G27" s="130"/>
      <c r="I27" s="130"/>
      <c r="K27" s="131"/>
      <c r="L27" s="131"/>
      <c r="M27" s="131"/>
      <c r="O27" s="124" t="s">
        <v>33</v>
      </c>
      <c r="Q27" s="136">
        <f>ROUND(((C12/C50)*100),2)</f>
        <v>52.12</v>
      </c>
      <c r="R27" s="137" t="s">
        <v>18</v>
      </c>
      <c r="S27" s="136">
        <f>ROUND(((E12/E50)*100),2)</f>
        <v>51.81</v>
      </c>
      <c r="T27" s="137" t="s">
        <v>18</v>
      </c>
      <c r="U27" s="136">
        <f>ROUND(((G12/G50)*100),2)</f>
        <v>50.43</v>
      </c>
      <c r="V27" s="137" t="s">
        <v>18</v>
      </c>
      <c r="W27" s="136">
        <f>ROUND(((I12/I50)*100),2)</f>
        <v>49.12</v>
      </c>
      <c r="X27" s="137" t="s">
        <v>18</v>
      </c>
      <c r="Y27" s="136">
        <f>ROUND(((K12/K50)*100),2)</f>
        <v>51.22</v>
      </c>
      <c r="Z27" s="137" t="s">
        <v>18</v>
      </c>
      <c r="AA27" s="136">
        <f>ROUND(AVERAGE(Q27:Y27),2)</f>
        <v>50.94</v>
      </c>
      <c r="AB27" s="137" t="s">
        <v>18</v>
      </c>
    </row>
    <row r="28" spans="1:28">
      <c r="A28" s="124" t="s">
        <v>37</v>
      </c>
      <c r="B28" s="124" t="s">
        <v>37</v>
      </c>
      <c r="C28" s="130">
        <v>0</v>
      </c>
      <c r="E28" s="130">
        <v>0</v>
      </c>
      <c r="G28" s="130">
        <f>700000</f>
        <v>700000</v>
      </c>
      <c r="I28" s="130">
        <f>4100000</f>
        <v>4100000</v>
      </c>
      <c r="K28" s="130">
        <v>5298000</v>
      </c>
      <c r="L28" s="131"/>
      <c r="M28" s="130">
        <v>0</v>
      </c>
      <c r="O28" s="124" t="s">
        <v>34</v>
      </c>
      <c r="Q28" s="136">
        <f>ROUND(((SUM(C13,C17)/C50)*100),2)</f>
        <v>0</v>
      </c>
      <c r="R28" s="137"/>
      <c r="S28" s="136">
        <f>ROUND(((SUM(E13,E17)/E50)*100),2)</f>
        <v>0</v>
      </c>
      <c r="T28" s="137"/>
      <c r="U28" s="136">
        <f>ROUND(((SUM(G13,G17)/G50)*100),2)</f>
        <v>0</v>
      </c>
      <c r="V28" s="137"/>
      <c r="W28" s="136">
        <f>ROUND(((SUM(I13,I17)/I50)*100),2)</f>
        <v>0</v>
      </c>
      <c r="X28" s="137"/>
      <c r="Y28" s="136">
        <f>ROUND(((SUM(K13,K17)/K50)*100),2)</f>
        <v>0</v>
      </c>
      <c r="Z28" s="137"/>
      <c r="AA28" s="136">
        <f>ROUND(AVERAGE(Q28:Y28),2)</f>
        <v>0</v>
      </c>
      <c r="AB28" s="137"/>
    </row>
    <row r="29" spans="1:28">
      <c r="C29" s="130"/>
      <c r="E29" s="130"/>
      <c r="G29" s="130"/>
      <c r="I29" s="130"/>
      <c r="K29" s="131"/>
      <c r="L29" s="131"/>
      <c r="M29" s="131"/>
      <c r="O29" s="124" t="s">
        <v>35</v>
      </c>
      <c r="Q29" s="138">
        <f>ROUND(((C16/C50)*100),2)</f>
        <v>47.88</v>
      </c>
      <c r="R29" s="137"/>
      <c r="S29" s="138">
        <f>ROUND(((E16/E50)*100),2)</f>
        <v>48.19</v>
      </c>
      <c r="T29" s="137"/>
      <c r="U29" s="138">
        <f>ROUND(((G16/G50)*100),2)</f>
        <v>49.57</v>
      </c>
      <c r="V29" s="137"/>
      <c r="W29" s="138">
        <f>ROUND(((I16/I50)*100),2)</f>
        <v>50.88</v>
      </c>
      <c r="X29" s="137"/>
      <c r="Y29" s="138">
        <f>ROUND(((K16/K50)*100),2)</f>
        <v>48.78</v>
      </c>
      <c r="Z29" s="137"/>
      <c r="AA29" s="138">
        <f>ROUND(AVERAGE(Q29:Y29),2)</f>
        <v>49.06</v>
      </c>
      <c r="AB29" s="137"/>
    </row>
    <row r="30" spans="1:28">
      <c r="A30" s="124" t="s">
        <v>42</v>
      </c>
      <c r="B30" s="124" t="s">
        <v>62</v>
      </c>
      <c r="C30" s="130">
        <v>44486000</v>
      </c>
      <c r="E30" s="130">
        <v>43052000</v>
      </c>
      <c r="G30" s="130">
        <v>42685000</v>
      </c>
      <c r="I30" s="130">
        <v>37059000</v>
      </c>
      <c r="K30" s="130">
        <v>38501000</v>
      </c>
      <c r="L30" s="131"/>
      <c r="M30" s="130">
        <v>39128000</v>
      </c>
      <c r="O30" s="124" t="s">
        <v>36</v>
      </c>
      <c r="Q30" s="139">
        <f>SUM(Q27:Q29)</f>
        <v>100</v>
      </c>
      <c r="R30" s="137" t="s">
        <v>18</v>
      </c>
      <c r="S30" s="139">
        <f>SUM(S27:S29)</f>
        <v>100</v>
      </c>
      <c r="T30" s="137" t="s">
        <v>18</v>
      </c>
      <c r="U30" s="139">
        <f>SUM(U27:U29)</f>
        <v>100</v>
      </c>
      <c r="V30" s="137" t="s">
        <v>18</v>
      </c>
      <c r="W30" s="139">
        <f>SUM(W27:W29)</f>
        <v>100</v>
      </c>
      <c r="X30" s="137" t="s">
        <v>18</v>
      </c>
      <c r="Y30" s="139">
        <f>SUM(Y27:Y29)</f>
        <v>100</v>
      </c>
      <c r="Z30" s="137" t="s">
        <v>18</v>
      </c>
      <c r="AA30" s="139">
        <f>SUM(AA27:AA29)</f>
        <v>100</v>
      </c>
      <c r="AB30" s="137" t="s">
        <v>18</v>
      </c>
    </row>
    <row r="31" spans="1:28">
      <c r="C31" s="130"/>
      <c r="E31" s="130"/>
      <c r="G31" s="130"/>
      <c r="I31" s="130"/>
      <c r="K31" s="131"/>
      <c r="L31" s="131"/>
      <c r="M31" s="131"/>
    </row>
    <row r="32" spans="1:28">
      <c r="A32" s="124" t="s">
        <v>43</v>
      </c>
      <c r="B32" s="124" t="s">
        <v>63</v>
      </c>
      <c r="C32" s="130">
        <v>78666000</v>
      </c>
      <c r="E32" s="130">
        <v>76781000</v>
      </c>
      <c r="G32" s="130">
        <v>61735000</v>
      </c>
      <c r="I32" s="130">
        <v>64569000</v>
      </c>
      <c r="K32" s="130">
        <v>-55623000</v>
      </c>
      <c r="L32" s="131"/>
      <c r="M32" s="130">
        <v>58895000</v>
      </c>
      <c r="O32" s="124" t="s">
        <v>38</v>
      </c>
    </row>
    <row r="33" spans="1:28">
      <c r="A33" s="140"/>
      <c r="B33" s="140"/>
      <c r="C33" s="141"/>
      <c r="D33" s="140"/>
      <c r="E33" s="141"/>
      <c r="F33" s="140"/>
      <c r="G33" s="141"/>
      <c r="H33" s="140"/>
      <c r="I33" s="141"/>
      <c r="J33" s="140"/>
      <c r="K33" s="142"/>
      <c r="L33" s="142"/>
      <c r="M33" s="142"/>
      <c r="O33" s="124" t="s">
        <v>39</v>
      </c>
      <c r="Q33" s="136">
        <f>ROUND((((C12+C19)/C56)*100),2)</f>
        <v>60.08</v>
      </c>
      <c r="R33" s="137" t="s">
        <v>18</v>
      </c>
      <c r="S33" s="136">
        <f>ROUND((((E12+E19)/E56)*100),2)</f>
        <v>58.64</v>
      </c>
      <c r="T33" s="137" t="s">
        <v>18</v>
      </c>
      <c r="U33" s="136">
        <f>ROUND((((G12+G19)/G56)*100),2)</f>
        <v>54.33</v>
      </c>
      <c r="V33" s="137" t="s">
        <v>18</v>
      </c>
      <c r="W33" s="136">
        <f>ROUND((((I12+I19)/I56)*100),2)</f>
        <v>55.57</v>
      </c>
      <c r="X33" s="137" t="s">
        <v>18</v>
      </c>
      <c r="Y33" s="136">
        <f>ROUND((((K12+K19)/K56)*100),2)</f>
        <v>52.9</v>
      </c>
      <c r="Z33" s="137" t="s">
        <v>18</v>
      </c>
      <c r="AA33" s="136">
        <f>ROUND(AVERAGE(Q33:Y33),2)</f>
        <v>56.3</v>
      </c>
      <c r="AB33" s="137" t="s">
        <v>18</v>
      </c>
    </row>
    <row r="34" spans="1:28">
      <c r="A34" s="124" t="s">
        <v>46</v>
      </c>
      <c r="B34" s="124" t="s">
        <v>70</v>
      </c>
      <c r="C34" s="130">
        <f>C32</f>
        <v>78666000</v>
      </c>
      <c r="E34" s="130">
        <f>E32</f>
        <v>76781000</v>
      </c>
      <c r="G34" s="130">
        <f>G32</f>
        <v>61735000</v>
      </c>
      <c r="I34" s="130">
        <f>I32</f>
        <v>64569000</v>
      </c>
      <c r="K34" s="130">
        <v>-55623000</v>
      </c>
      <c r="L34" s="131"/>
      <c r="M34" s="130">
        <v>58895000</v>
      </c>
      <c r="O34" s="124" t="s">
        <v>34</v>
      </c>
      <c r="Q34" s="136">
        <f>ROUND((((SUM(C13,C17))/C56)*100),2)</f>
        <v>0</v>
      </c>
      <c r="R34" s="137"/>
      <c r="S34" s="136">
        <f>ROUND((((SUM(E13,E17))/E56)*100),2)</f>
        <v>0</v>
      </c>
      <c r="T34" s="137"/>
      <c r="U34" s="136">
        <f>ROUND((((SUM(G13,G17))/G56)*100),2)</f>
        <v>0</v>
      </c>
      <c r="V34" s="137"/>
      <c r="W34" s="136">
        <f>ROUND((((SUM(I13,I17))/I56)*100),2)</f>
        <v>0</v>
      </c>
      <c r="X34" s="137"/>
      <c r="Y34" s="136">
        <f>ROUND((((SUM(K13,K17))/K56)*100),2)</f>
        <v>0</v>
      </c>
      <c r="Z34" s="137"/>
      <c r="AA34" s="136">
        <f>ROUND(AVERAGE(Q34:Y34),2)</f>
        <v>0</v>
      </c>
      <c r="AB34" s="137"/>
    </row>
    <row r="35" spans="1:28">
      <c r="C35" s="130"/>
      <c r="E35" s="130"/>
      <c r="G35" s="130"/>
      <c r="I35" s="130"/>
      <c r="O35" s="124" t="s">
        <v>35</v>
      </c>
      <c r="Q35" s="138">
        <f>ROUND((((C16)/C56)*100),2)</f>
        <v>39.92</v>
      </c>
      <c r="R35" s="137"/>
      <c r="S35" s="138">
        <f>ROUND((((E16)/E56)*100),2)</f>
        <v>41.36</v>
      </c>
      <c r="T35" s="137"/>
      <c r="U35" s="138">
        <f>ROUND((((G16)/G56)*100),2)</f>
        <v>45.67</v>
      </c>
      <c r="V35" s="137"/>
      <c r="W35" s="138">
        <f>ROUND((((I16)/I56)*100),2)</f>
        <v>44.43</v>
      </c>
      <c r="X35" s="137"/>
      <c r="Y35" s="138">
        <f>ROUND((((K16)/K56)*100),2)</f>
        <v>47.1</v>
      </c>
      <c r="Z35" s="137"/>
      <c r="AA35" s="138">
        <f>ROUND(AVERAGE(Q35:Y35),2)</f>
        <v>43.7</v>
      </c>
      <c r="AB35" s="137"/>
    </row>
    <row r="36" spans="1:28">
      <c r="A36" s="124" t="s">
        <v>45</v>
      </c>
      <c r="B36" s="124" t="s">
        <v>68</v>
      </c>
      <c r="C36" s="130">
        <v>0</v>
      </c>
      <c r="E36" s="130">
        <v>0</v>
      </c>
      <c r="G36" s="130">
        <v>0</v>
      </c>
      <c r="I36" s="130">
        <v>0</v>
      </c>
      <c r="K36" s="130">
        <v>0</v>
      </c>
      <c r="L36" s="131"/>
      <c r="M36" s="130">
        <v>0</v>
      </c>
      <c r="O36" s="124" t="s">
        <v>36</v>
      </c>
      <c r="Q36" s="139">
        <f>SUM(Q33:Q35)</f>
        <v>100</v>
      </c>
      <c r="R36" s="137" t="s">
        <v>18</v>
      </c>
      <c r="S36" s="139">
        <f>SUM(S33:S35)</f>
        <v>100</v>
      </c>
      <c r="T36" s="137" t="s">
        <v>18</v>
      </c>
      <c r="U36" s="139">
        <f>SUM(U33:U35)</f>
        <v>100</v>
      </c>
      <c r="V36" s="137" t="s">
        <v>18</v>
      </c>
      <c r="W36" s="139">
        <f>SUM(W33:W35)</f>
        <v>100</v>
      </c>
      <c r="X36" s="137" t="s">
        <v>18</v>
      </c>
      <c r="Y36" s="139">
        <f>SUM(Y33:Y35)</f>
        <v>100</v>
      </c>
      <c r="Z36" s="137" t="s">
        <v>18</v>
      </c>
      <c r="AA36" s="139">
        <f>SUM(AA33:AA35)</f>
        <v>100</v>
      </c>
      <c r="AB36" s="137" t="s">
        <v>18</v>
      </c>
    </row>
    <row r="37" spans="1:28">
      <c r="C37" s="130"/>
      <c r="E37" s="130"/>
      <c r="G37" s="130"/>
      <c r="I37" s="130"/>
    </row>
    <row r="38" spans="1:28">
      <c r="A38" s="124" t="s">
        <v>47</v>
      </c>
      <c r="B38" s="124" t="s">
        <v>64</v>
      </c>
      <c r="C38" s="130">
        <v>59410000</v>
      </c>
      <c r="E38" s="130">
        <v>58708000</v>
      </c>
      <c r="G38" s="130">
        <v>56833000</v>
      </c>
      <c r="I38" s="130">
        <v>54736000</v>
      </c>
      <c r="K38" s="130">
        <v>53957000</v>
      </c>
      <c r="L38" s="131"/>
      <c r="M38" s="130">
        <v>51508000</v>
      </c>
    </row>
    <row r="39" spans="1:28">
      <c r="C39" s="130"/>
      <c r="E39" s="130"/>
      <c r="G39" s="130"/>
      <c r="I39" s="130"/>
      <c r="K39" s="131"/>
      <c r="L39" s="131"/>
      <c r="M39" s="131"/>
    </row>
    <row r="40" spans="1:28">
      <c r="A40" s="124" t="s">
        <v>55</v>
      </c>
      <c r="B40" s="124" t="s">
        <v>69</v>
      </c>
      <c r="C40" s="130">
        <f>C34</f>
        <v>78666000</v>
      </c>
      <c r="E40" s="130">
        <f>E34</f>
        <v>76781000</v>
      </c>
      <c r="G40" s="130">
        <f>G34</f>
        <v>61735000</v>
      </c>
      <c r="I40" s="130">
        <f>I34</f>
        <v>64569000</v>
      </c>
      <c r="K40" s="130">
        <v>-55623000</v>
      </c>
      <c r="L40" s="131"/>
      <c r="M40" s="130">
        <v>58895000</v>
      </c>
      <c r="O40" s="132" t="s">
        <v>40</v>
      </c>
      <c r="P40" s="132"/>
    </row>
    <row r="41" spans="1:28">
      <c r="A41" s="124" t="s">
        <v>72</v>
      </c>
      <c r="B41" s="124" t="s">
        <v>71</v>
      </c>
      <c r="C41" s="130">
        <v>160353000</v>
      </c>
      <c r="E41" s="130">
        <v>143020000</v>
      </c>
      <c r="G41" s="130">
        <v>185298000</v>
      </c>
      <c r="I41" s="130">
        <v>168771000</v>
      </c>
      <c r="K41" s="130">
        <v>206704000</v>
      </c>
      <c r="L41" s="131"/>
      <c r="M41" s="130">
        <v>222147000</v>
      </c>
      <c r="O41" s="132"/>
      <c r="P41" s="132"/>
    </row>
    <row r="42" spans="1:28">
      <c r="A42" s="124" t="s">
        <v>1460</v>
      </c>
      <c r="B42" s="124" t="s">
        <v>1461</v>
      </c>
      <c r="C42" s="130">
        <f>(-44128-14571+3292+12118)*1000</f>
        <v>-43289000</v>
      </c>
      <c r="E42" s="130">
        <f>(-16799+1262-10710-15910+17590)*1000</f>
        <v>-24567000</v>
      </c>
      <c r="G42" s="130">
        <f>(5844-5969+4528-16485+145-23471)*1000</f>
        <v>-35408000</v>
      </c>
      <c r="I42" s="130">
        <f>(181+3207-16904+16792+526-14395+552)*1000</f>
        <v>-10041000</v>
      </c>
      <c r="K42" s="130">
        <v>30696000</v>
      </c>
      <c r="L42" s="131"/>
      <c r="M42" s="130">
        <v>33237000</v>
      </c>
      <c r="O42" s="132" t="s">
        <v>24</v>
      </c>
    </row>
    <row r="43" spans="1:28">
      <c r="A43" s="124" t="s">
        <v>1462</v>
      </c>
      <c r="B43" s="124" t="s">
        <v>1463</v>
      </c>
      <c r="C43" s="130">
        <v>113534000</v>
      </c>
      <c r="E43" s="130">
        <v>103683000</v>
      </c>
      <c r="G43" s="130">
        <v>91496000</v>
      </c>
      <c r="I43" s="130">
        <v>85156000</v>
      </c>
      <c r="K43" s="130">
        <v>85578000</v>
      </c>
      <c r="L43" s="131"/>
      <c r="M43" s="130">
        <v>82289000</v>
      </c>
      <c r="O43" s="124" t="s">
        <v>25</v>
      </c>
      <c r="Q43" s="136">
        <f>ROUND(C21/C52,4)*100</f>
        <v>5.18</v>
      </c>
      <c r="R43" s="137" t="s">
        <v>18</v>
      </c>
      <c r="S43" s="136">
        <f>ROUND(E21/E52,4)*100</f>
        <v>4.17</v>
      </c>
      <c r="T43" s="137" t="s">
        <v>18</v>
      </c>
      <c r="U43" s="136">
        <f>ROUND(G21/G52,4)*100</f>
        <v>3.15</v>
      </c>
      <c r="V43" s="137" t="s">
        <v>18</v>
      </c>
      <c r="W43" s="136">
        <f>ROUND(I21/I52,4)*100</f>
        <v>3.65</v>
      </c>
      <c r="X43" s="137" t="s">
        <v>18</v>
      </c>
      <c r="Y43" s="136">
        <f>ROUND(K21/K52,4)*100</f>
        <v>-3.08</v>
      </c>
      <c r="Z43" s="137" t="s">
        <v>18</v>
      </c>
      <c r="AA43" s="136">
        <f>ROUND(AVERAGE(Q43:Y43),2)</f>
        <v>2.61</v>
      </c>
      <c r="AB43" s="137" t="s">
        <v>18</v>
      </c>
    </row>
    <row r="44" spans="1:28">
      <c r="A44" s="124" t="s">
        <v>1464</v>
      </c>
      <c r="B44" s="124" t="s">
        <v>1465</v>
      </c>
      <c r="C44" s="130">
        <v>27406000</v>
      </c>
      <c r="E44" s="130">
        <v>21082000</v>
      </c>
      <c r="G44" s="130">
        <v>12642000</v>
      </c>
      <c r="I44" s="130">
        <v>24191000</v>
      </c>
      <c r="K44" s="130">
        <v>-30757000</v>
      </c>
      <c r="M44" s="130">
        <v>40714000</v>
      </c>
      <c r="O44" s="124" t="s">
        <v>27</v>
      </c>
      <c r="Q44" s="136">
        <f>(ROUND((C52/(AVERAGE(C48,E48))*100),2))</f>
        <v>167.24</v>
      </c>
      <c r="S44" s="136">
        <f>(ROUND((E52/(AVERAGE(E48,G48))*100),2))</f>
        <v>209.33</v>
      </c>
      <c r="U44" s="136">
        <f>(ROUND((G52/(AVERAGE(G48,I48))*100),2))</f>
        <v>239.52</v>
      </c>
      <c r="W44" s="136">
        <f>(ROUND((I52/(AVERAGE(I48,K48))*100),2))</f>
        <v>234.73</v>
      </c>
      <c r="Y44" s="136">
        <f>(ROUND((K52/(AVERAGE(K48,M48))*100),2))</f>
        <v>226.8</v>
      </c>
      <c r="AA44" s="136">
        <f>ROUND(AVERAGE(Q44:Y44),2)</f>
        <v>215.52</v>
      </c>
    </row>
    <row r="45" spans="1:28">
      <c r="C45" s="130"/>
      <c r="E45" s="130"/>
      <c r="G45" s="130"/>
      <c r="I45" s="130"/>
      <c r="O45" s="124" t="s">
        <v>28</v>
      </c>
      <c r="Q45" s="136">
        <f>ROUND(((+C26/C52)*100),2)</f>
        <v>3.89</v>
      </c>
      <c r="S45" s="136">
        <f>ROUND(((+E26/E52)*100),2)</f>
        <v>3.18</v>
      </c>
      <c r="U45" s="136">
        <f>ROUND(((+G26/G52)*100),2)</f>
        <v>2.89</v>
      </c>
      <c r="W45" s="136">
        <f>ROUND(((+I26/I52)*100),2)</f>
        <v>3.08</v>
      </c>
      <c r="Y45" s="136">
        <f>ROUND(((+K26/K52)*100),2)</f>
        <v>2.99</v>
      </c>
      <c r="AA45" s="136">
        <f>ROUND(AVERAGE(Q45:Y45),2)</f>
        <v>3.21</v>
      </c>
    </row>
    <row r="46" spans="1:28">
      <c r="A46" s="124" t="s">
        <v>59</v>
      </c>
      <c r="C46" s="130"/>
      <c r="E46" s="130"/>
      <c r="G46" s="130"/>
      <c r="I46" s="130"/>
      <c r="K46" s="131"/>
      <c r="L46" s="131"/>
      <c r="M46" s="131"/>
      <c r="O46" s="124" t="s">
        <v>29</v>
      </c>
      <c r="P46" s="132"/>
      <c r="Q46" s="136">
        <f>ROUND(((+C38/C34)*100),2)</f>
        <v>75.52</v>
      </c>
      <c r="S46" s="136">
        <f>ROUND(((+E38/E34)*100),2)</f>
        <v>76.459999999999994</v>
      </c>
      <c r="U46" s="136">
        <f>ROUND(((+G38/G34)*100),2)</f>
        <v>92.06</v>
      </c>
      <c r="W46" s="136">
        <f>ROUND(((+I38/I34)*100),2)</f>
        <v>84.77</v>
      </c>
      <c r="Y46" s="136">
        <f>ROUND(((+K38/K34)*100),2)</f>
        <v>-97</v>
      </c>
      <c r="AA46" s="136">
        <f>ROUND(AVERAGE(Q46:Y46),2)</f>
        <v>46.36</v>
      </c>
    </row>
    <row r="47" spans="1:28">
      <c r="C47" s="130"/>
      <c r="E47" s="130"/>
      <c r="G47" s="130"/>
      <c r="I47" s="130"/>
      <c r="K47" s="131"/>
      <c r="L47" s="131"/>
      <c r="M47" s="131"/>
      <c r="Q47" s="136"/>
      <c r="S47" s="136"/>
      <c r="U47" s="136"/>
      <c r="W47" s="136"/>
      <c r="Y47" s="136"/>
      <c r="AA47" s="136"/>
    </row>
    <row r="48" spans="1:28">
      <c r="A48" s="124" t="s">
        <v>7</v>
      </c>
      <c r="B48" s="124" t="s">
        <v>50</v>
      </c>
      <c r="C48" s="130">
        <f>C16/C15</f>
        <v>30.040990716052555</v>
      </c>
      <c r="E48" s="130">
        <f>E16/E15</f>
        <v>29.05400634214914</v>
      </c>
      <c r="G48" s="130">
        <f>G16/G15</f>
        <v>28.41949986873195</v>
      </c>
      <c r="I48" s="130">
        <f>I16/I15</f>
        <v>26.406994459833793</v>
      </c>
      <c r="K48" s="130">
        <f>K16/K15</f>
        <v>25.848273942093542</v>
      </c>
      <c r="M48" s="130">
        <f>M16/M15</f>
        <v>29.706496681802307</v>
      </c>
      <c r="O48" s="132" t="s">
        <v>41</v>
      </c>
      <c r="P48" s="132"/>
      <c r="Q48" s="136">
        <f>ROUND(((C34/AVERAGE(C16,E16))*100),2)</f>
        <v>8.6300000000000008</v>
      </c>
      <c r="R48" s="124" t="s">
        <v>18</v>
      </c>
      <c r="S48" s="136">
        <f>ROUND(((E34/AVERAGE(E16,G16))*100),2)</f>
        <v>8.75</v>
      </c>
      <c r="T48" s="124" t="s">
        <v>18</v>
      </c>
      <c r="U48" s="136">
        <f>ROUND(((G34/AVERAGE(G16,I16))*100),2)</f>
        <v>7.58</v>
      </c>
      <c r="V48" s="124" t="s">
        <v>18</v>
      </c>
      <c r="W48" s="136">
        <f>ROUND(((I34/AVERAGE(I16,K16))*100),2)</f>
        <v>8.58</v>
      </c>
      <c r="X48" s="124" t="s">
        <v>18</v>
      </c>
      <c r="Y48" s="136">
        <f>ROUND(((K34/AVERAGE(K16,M16))*100),2)</f>
        <v>-6.98</v>
      </c>
      <c r="Z48" s="124" t="s">
        <v>18</v>
      </c>
      <c r="AA48" s="136">
        <f>ROUND(AVERAGE(Q48:Y48),2)</f>
        <v>5.31</v>
      </c>
      <c r="AB48" s="124" t="s">
        <v>18</v>
      </c>
    </row>
    <row r="49" spans="1:28">
      <c r="C49" s="130"/>
      <c r="E49" s="130"/>
      <c r="G49" s="130"/>
      <c r="I49" s="130"/>
      <c r="K49" s="130"/>
      <c r="M49" s="130"/>
      <c r="Q49" s="136"/>
      <c r="S49" s="136"/>
      <c r="U49" s="136"/>
      <c r="W49" s="136"/>
      <c r="Y49" s="136"/>
      <c r="AA49" s="137"/>
    </row>
    <row r="50" spans="1:28">
      <c r="A50" s="124" t="s">
        <v>13</v>
      </c>
      <c r="B50" s="124" t="s">
        <v>50</v>
      </c>
      <c r="C50" s="130">
        <f>SUM(C12:C13,C16:C17)</f>
        <v>1953078000</v>
      </c>
      <c r="E50" s="130">
        <f>SUM(E12:E13,E16:E17)</f>
        <v>1844158000</v>
      </c>
      <c r="G50" s="130">
        <f>SUM(G12:G13,G16:G17)</f>
        <v>1747063000</v>
      </c>
      <c r="I50" s="130">
        <f>SUM(I12:I13,I16:I17)</f>
        <v>1498870000</v>
      </c>
      <c r="K50" s="130">
        <f>SUM(K12:K13,K16:K17)</f>
        <v>1522663000</v>
      </c>
      <c r="M50" s="130">
        <f>SUM(M12:M13,M16:M17)</f>
        <v>1569820000</v>
      </c>
      <c r="O50" s="132" t="s">
        <v>142</v>
      </c>
      <c r="Q50" s="136">
        <f>ROUND((C54/C62),2)</f>
        <v>5.33</v>
      </c>
      <c r="R50" s="137" t="s">
        <v>44</v>
      </c>
      <c r="S50" s="136">
        <f>ROUND((E54/E62),2)</f>
        <v>5.15</v>
      </c>
      <c r="T50" s="137" t="s">
        <v>44</v>
      </c>
      <c r="U50" s="136">
        <f>ROUND((G54/G62),2)</f>
        <v>4.9400000000000004</v>
      </c>
      <c r="V50" s="137" t="s">
        <v>44</v>
      </c>
      <c r="W50" s="136">
        <f>ROUND((I54/I62),2)</f>
        <v>4.5199999999999996</v>
      </c>
      <c r="X50" s="137" t="s">
        <v>44</v>
      </c>
      <c r="Y50" s="136">
        <f>ROUND((K54/K62),2)</f>
        <v>22.12</v>
      </c>
      <c r="Z50" s="137" t="s">
        <v>44</v>
      </c>
      <c r="AA50" s="136">
        <f>ROUND(AVERAGE(Q50:Y50),2)</f>
        <v>8.41</v>
      </c>
      <c r="AB50" s="124" t="s">
        <v>44</v>
      </c>
    </row>
    <row r="51" spans="1:28">
      <c r="C51" s="130"/>
      <c r="E51" s="130"/>
      <c r="G51" s="130"/>
      <c r="I51" s="130"/>
      <c r="K51" s="130"/>
      <c r="M51" s="130"/>
      <c r="O51" s="132"/>
      <c r="Q51" s="136"/>
      <c r="S51" s="136"/>
      <c r="U51" s="136"/>
      <c r="W51" s="136"/>
      <c r="Y51" s="136"/>
      <c r="AA51" s="136"/>
    </row>
    <row r="52" spans="1:28">
      <c r="A52" s="124" t="s">
        <v>23</v>
      </c>
      <c r="B52" s="124" t="s">
        <v>50</v>
      </c>
      <c r="C52" s="130">
        <f>AVERAGE(C22:C23)</f>
        <v>49.414999999999999</v>
      </c>
      <c r="E52" s="130">
        <f>AVERAGE(E22:E23)</f>
        <v>60.155000000000001</v>
      </c>
      <c r="G52" s="130">
        <f>AVERAGE(G22:G23)</f>
        <v>65.66</v>
      </c>
      <c r="I52" s="130">
        <f>AVERAGE(I22:I23)</f>
        <v>61.33</v>
      </c>
      <c r="K52" s="130">
        <f>AVERAGE(K22:K23)</f>
        <v>63</v>
      </c>
      <c r="M52" s="130">
        <f>AVERAGE(M22:M23)</f>
        <v>57.519999999999996</v>
      </c>
      <c r="O52" s="132" t="s">
        <v>57</v>
      </c>
      <c r="Q52" s="136">
        <f>ROUND(((C60/C54)*100),2)</f>
        <v>8.32</v>
      </c>
      <c r="R52" s="137" t="s">
        <v>18</v>
      </c>
      <c r="S52" s="136">
        <f>ROUND(((E60/E54)*100),2)</f>
        <v>9.4</v>
      </c>
      <c r="T52" s="137" t="s">
        <v>18</v>
      </c>
      <c r="U52" s="136">
        <f>ROUND(((G60/G54)*100),2)</f>
        <v>14.48</v>
      </c>
      <c r="V52" s="137" t="s">
        <v>18</v>
      </c>
      <c r="W52" s="136">
        <f>ROUND(((I60/I54)*100),2)</f>
        <v>16.21</v>
      </c>
      <c r="X52" s="137" t="s">
        <v>18</v>
      </c>
      <c r="Y52" s="136">
        <f>ROUND(((K60/K54)*100),2)</f>
        <v>27.83</v>
      </c>
      <c r="Z52" s="137" t="s">
        <v>18</v>
      </c>
      <c r="AA52" s="136">
        <f>ROUND(AVERAGE(Q52:Y52),2)</f>
        <v>15.25</v>
      </c>
      <c r="AB52" s="124" t="s">
        <v>18</v>
      </c>
    </row>
    <row r="53" spans="1:28">
      <c r="C53" s="130"/>
      <c r="E53" s="130"/>
      <c r="G53" s="130"/>
      <c r="I53" s="130"/>
      <c r="K53" s="130"/>
      <c r="M53" s="130"/>
      <c r="O53" s="143"/>
      <c r="Q53" s="136"/>
      <c r="S53" s="136"/>
      <c r="U53" s="136"/>
      <c r="W53" s="136"/>
      <c r="Y53" s="136"/>
    </row>
    <row r="54" spans="1:28">
      <c r="A54" s="124" t="s">
        <v>53</v>
      </c>
      <c r="C54" s="214">
        <f>+C19+C12</f>
        <v>1407432000</v>
      </c>
      <c r="E54" s="214">
        <f>+E19+E12</f>
        <v>1259950000</v>
      </c>
      <c r="G54" s="214">
        <f>+G19+G12</f>
        <v>1030164000</v>
      </c>
      <c r="I54" s="214">
        <f>+I19+I12</f>
        <v>953856000</v>
      </c>
      <c r="K54" s="214">
        <f>+K19+K12</f>
        <v>834087000</v>
      </c>
      <c r="M54" s="214">
        <f>+M19+M12</f>
        <v>772623000</v>
      </c>
      <c r="O54" s="143" t="s">
        <v>56</v>
      </c>
      <c r="Q54" s="136">
        <f>Q33</f>
        <v>60.08</v>
      </c>
      <c r="R54" s="137" t="s">
        <v>18</v>
      </c>
      <c r="S54" s="136">
        <f>S33</f>
        <v>58.64</v>
      </c>
      <c r="T54" s="137" t="s">
        <v>18</v>
      </c>
      <c r="U54" s="136">
        <f>U33</f>
        <v>54.33</v>
      </c>
      <c r="V54" s="137" t="s">
        <v>18</v>
      </c>
      <c r="W54" s="136">
        <f>W33</f>
        <v>55.57</v>
      </c>
      <c r="X54" s="137" t="s">
        <v>18</v>
      </c>
      <c r="Y54" s="136">
        <f>Y33</f>
        <v>52.9</v>
      </c>
      <c r="Z54" s="137" t="s">
        <v>18</v>
      </c>
      <c r="AA54" s="136">
        <f>ROUND(AVERAGE(Q54:Y54),2)</f>
        <v>56.3</v>
      </c>
      <c r="AB54" s="137" t="s">
        <v>18</v>
      </c>
    </row>
    <row r="55" spans="1:28">
      <c r="C55" s="130"/>
      <c r="E55" s="130"/>
      <c r="G55" s="130"/>
      <c r="I55" s="130"/>
      <c r="K55" s="130"/>
      <c r="M55" s="130"/>
    </row>
    <row r="56" spans="1:28">
      <c r="A56" s="124" t="s">
        <v>31</v>
      </c>
      <c r="B56" s="124" t="s">
        <v>50</v>
      </c>
      <c r="C56" s="130">
        <f>SUM(C50,C19)</f>
        <v>2342578000</v>
      </c>
      <c r="E56" s="130">
        <f>SUM(E50,E19)</f>
        <v>2148683000</v>
      </c>
      <c r="G56" s="130">
        <f>SUM(G50,G19)</f>
        <v>1896163000</v>
      </c>
      <c r="I56" s="130">
        <f>SUM(I50,I19)</f>
        <v>1716490000</v>
      </c>
      <c r="K56" s="130">
        <f>SUM(K50,K19)</f>
        <v>1576863000</v>
      </c>
      <c r="M56" s="130">
        <f>SUM(M50,M19)</f>
        <v>1623120000</v>
      </c>
    </row>
    <row r="57" spans="1:28">
      <c r="C57" s="130"/>
      <c r="E57" s="130"/>
      <c r="G57" s="130"/>
      <c r="I57" s="130"/>
      <c r="K57" s="130"/>
      <c r="M57" s="130"/>
    </row>
    <row r="58" spans="1:28">
      <c r="A58" s="124" t="s">
        <v>51</v>
      </c>
      <c r="B58" s="124" t="s">
        <v>50</v>
      </c>
      <c r="C58" s="130">
        <f>SUM(C13,C17)</f>
        <v>0</v>
      </c>
      <c r="E58" s="130">
        <f>SUM(E13,E17)</f>
        <v>0</v>
      </c>
      <c r="G58" s="130">
        <f>SUM(G13,G17)</f>
        <v>0</v>
      </c>
      <c r="I58" s="130">
        <f>SUM(I13,I17)</f>
        <v>0</v>
      </c>
      <c r="K58" s="130">
        <f>SUM(K13,K17)</f>
        <v>0</v>
      </c>
      <c r="M58" s="130">
        <f>SUM(M13,M17)</f>
        <v>0</v>
      </c>
    </row>
    <row r="59" spans="1:28">
      <c r="C59" s="130"/>
      <c r="E59" s="130"/>
      <c r="G59" s="130"/>
      <c r="I59" s="130"/>
      <c r="K59" s="130"/>
      <c r="M59" s="130"/>
    </row>
    <row r="60" spans="1:28">
      <c r="A60" s="126" t="s">
        <v>1466</v>
      </c>
      <c r="B60" s="124" t="s">
        <v>50</v>
      </c>
      <c r="C60" s="130">
        <f>ROUND(C41+C42-C28,3)</f>
        <v>117064000</v>
      </c>
      <c r="E60" s="130">
        <f>ROUND(E41+E42-E28,3)</f>
        <v>118453000</v>
      </c>
      <c r="G60" s="130">
        <f>ROUND(G41+G42-G28,3)</f>
        <v>149190000</v>
      </c>
      <c r="I60" s="130">
        <f>ROUND(I41+I42-I28,3)</f>
        <v>154630000</v>
      </c>
      <c r="K60" s="130">
        <f>ROUND(K41+K42-K28,3)</f>
        <v>232102000</v>
      </c>
      <c r="M60" s="130">
        <f>ROUND(M41+M42-M28,3)</f>
        <v>255384000</v>
      </c>
    </row>
    <row r="61" spans="1:28">
      <c r="A61" s="126"/>
      <c r="C61" s="130"/>
      <c r="E61" s="130"/>
      <c r="G61" s="130"/>
      <c r="I61" s="130"/>
      <c r="K61" s="130"/>
      <c r="M61" s="130"/>
    </row>
    <row r="62" spans="1:28">
      <c r="A62" s="124" t="s">
        <v>1467</v>
      </c>
      <c r="B62" s="124" t="s">
        <v>50</v>
      </c>
      <c r="C62" s="130">
        <f>C40+C44+C43+C30</f>
        <v>264092000</v>
      </c>
      <c r="E62" s="130">
        <f>E40+E44+E43+E30</f>
        <v>244598000</v>
      </c>
      <c r="G62" s="130">
        <f>G40+G44+G43+G30</f>
        <v>208558000</v>
      </c>
      <c r="I62" s="130">
        <f>I40+I44+I43+I30</f>
        <v>210975000</v>
      </c>
      <c r="K62" s="130">
        <f>K40+K44+K43+K30</f>
        <v>37699000</v>
      </c>
      <c r="M62" s="130">
        <f>M40+M44+M43+M30</f>
        <v>221026000</v>
      </c>
    </row>
    <row r="63" spans="1:28">
      <c r="E63" s="131"/>
      <c r="F63" s="131"/>
      <c r="G63" s="131"/>
      <c r="H63" s="131"/>
      <c r="I63" s="131"/>
      <c r="J63" s="131"/>
      <c r="K63" s="131"/>
      <c r="L63" s="131"/>
      <c r="M63" s="131"/>
    </row>
    <row r="64" spans="1:28">
      <c r="E64" s="131"/>
      <c r="F64" s="131"/>
      <c r="G64" s="131"/>
      <c r="H64" s="131"/>
      <c r="I64" s="131"/>
      <c r="J64" s="131"/>
      <c r="K64" s="131"/>
      <c r="L64" s="131"/>
      <c r="M64" s="131"/>
    </row>
    <row r="74" spans="5:13">
      <c r="E74" s="131"/>
      <c r="F74" s="131"/>
      <c r="G74" s="131"/>
      <c r="H74" s="131"/>
      <c r="I74" s="131"/>
      <c r="J74" s="131"/>
      <c r="K74" s="131"/>
      <c r="L74" s="131"/>
      <c r="M74" s="131"/>
    </row>
    <row r="75" spans="5:13">
      <c r="E75" s="131"/>
      <c r="F75" s="131"/>
      <c r="G75" s="131"/>
      <c r="H75" s="131"/>
      <c r="I75" s="131"/>
      <c r="J75" s="131"/>
      <c r="K75" s="131"/>
      <c r="L75" s="131"/>
      <c r="M75" s="131"/>
    </row>
    <row r="76" spans="5:13">
      <c r="E76" s="131"/>
      <c r="F76" s="131"/>
      <c r="G76" s="131"/>
      <c r="H76" s="131"/>
      <c r="I76" s="131"/>
      <c r="J76" s="131"/>
      <c r="K76" s="131"/>
      <c r="L76" s="131"/>
      <c r="M76" s="131"/>
    </row>
    <row r="77" spans="5:13">
      <c r="E77" s="131"/>
      <c r="F77" s="131"/>
      <c r="G77" s="131"/>
      <c r="H77" s="131"/>
      <c r="I77" s="131"/>
      <c r="J77" s="131"/>
      <c r="K77" s="131"/>
      <c r="L77" s="131"/>
      <c r="M77" s="131"/>
    </row>
    <row r="78" spans="5:13">
      <c r="E78" s="131"/>
      <c r="F78" s="131"/>
      <c r="G78" s="131"/>
      <c r="H78" s="131"/>
      <c r="I78" s="131"/>
      <c r="J78" s="131"/>
      <c r="K78" s="131"/>
      <c r="L78" s="131"/>
      <c r="M78" s="131"/>
    </row>
    <row r="79" spans="5:13">
      <c r="E79" s="131"/>
      <c r="F79" s="131"/>
      <c r="G79" s="131"/>
      <c r="H79" s="131"/>
      <c r="I79" s="131"/>
      <c r="J79" s="131"/>
      <c r="K79" s="131"/>
      <c r="L79" s="131"/>
      <c r="M79" s="131"/>
    </row>
    <row r="80" spans="5:13">
      <c r="E80" s="131"/>
      <c r="F80" s="131"/>
      <c r="G80" s="131"/>
      <c r="H80" s="131"/>
      <c r="I80" s="131"/>
      <c r="J80" s="131"/>
      <c r="K80" s="131"/>
      <c r="L80" s="131"/>
      <c r="M80" s="131"/>
    </row>
    <row r="81" spans="5:221">
      <c r="E81" s="131"/>
      <c r="F81" s="131"/>
      <c r="G81" s="131"/>
      <c r="H81" s="131"/>
      <c r="I81" s="131"/>
      <c r="J81" s="131"/>
      <c r="K81" s="131"/>
      <c r="L81" s="131"/>
      <c r="M81" s="131"/>
      <c r="HI81" s="144"/>
      <c r="HJ81" s="144"/>
      <c r="HM81" s="124" t="s">
        <v>48</v>
      </c>
    </row>
    <row r="82" spans="5:221">
      <c r="F82" s="131"/>
      <c r="H82" s="131"/>
      <c r="J82" s="131"/>
      <c r="L82" s="131"/>
    </row>
    <row r="83" spans="5:221">
      <c r="F83" s="131"/>
      <c r="H83" s="131"/>
      <c r="J83" s="131"/>
      <c r="L83" s="131"/>
    </row>
    <row r="84" spans="5:221">
      <c r="F84" s="131"/>
      <c r="H84" s="131"/>
      <c r="J84" s="131"/>
      <c r="L84" s="131"/>
    </row>
    <row r="85" spans="5:221">
      <c r="F85" s="131"/>
      <c r="H85" s="131"/>
      <c r="J85" s="131"/>
      <c r="L85" s="131"/>
    </row>
    <row r="86" spans="5:221">
      <c r="F86" s="131"/>
      <c r="H86" s="131"/>
      <c r="J86" s="131"/>
      <c r="L86" s="131"/>
    </row>
    <row r="87" spans="5:221">
      <c r="F87" s="131"/>
      <c r="H87" s="131"/>
      <c r="J87" s="131"/>
      <c r="L87" s="131"/>
    </row>
    <row r="88" spans="5:221">
      <c r="F88" s="131"/>
      <c r="H88" s="131"/>
      <c r="J88" s="131"/>
      <c r="L88" s="131"/>
    </row>
    <row r="89" spans="5:221">
      <c r="F89" s="131"/>
      <c r="H89" s="131"/>
      <c r="J89" s="131"/>
      <c r="L89" s="131"/>
    </row>
    <row r="90" spans="5:221">
      <c r="F90" s="131"/>
      <c r="H90" s="131"/>
      <c r="J90" s="131"/>
      <c r="L90" s="131"/>
    </row>
    <row r="91" spans="5:221">
      <c r="F91" s="131"/>
      <c r="H91" s="131"/>
      <c r="J91" s="131"/>
      <c r="L91" s="131"/>
    </row>
    <row r="92" spans="5:221">
      <c r="F92" s="131"/>
      <c r="H92" s="131"/>
      <c r="J92" s="131"/>
      <c r="L92" s="131"/>
    </row>
    <row r="93" spans="5:221">
      <c r="F93" s="131"/>
      <c r="H93" s="131"/>
      <c r="J93" s="131"/>
      <c r="L93" s="131"/>
    </row>
    <row r="94" spans="5:221">
      <c r="F94" s="131"/>
      <c r="H94" s="131"/>
      <c r="J94" s="131"/>
      <c r="L94" s="131"/>
    </row>
    <row r="95" spans="5:221">
      <c r="F95" s="131"/>
      <c r="H95" s="131"/>
      <c r="J95" s="131"/>
      <c r="L95" s="131"/>
    </row>
    <row r="96" spans="5:221">
      <c r="F96" s="131"/>
      <c r="H96" s="131"/>
      <c r="J96" s="131"/>
      <c r="L96" s="131"/>
    </row>
    <row r="97" spans="5:13">
      <c r="F97" s="131"/>
      <c r="H97" s="131"/>
      <c r="J97" s="131"/>
      <c r="L97" s="131"/>
    </row>
    <row r="98" spans="5:13">
      <c r="E98" s="131"/>
      <c r="F98" s="131"/>
      <c r="G98" s="131"/>
      <c r="H98" s="131"/>
      <c r="I98" s="131"/>
      <c r="J98" s="131"/>
      <c r="K98" s="131"/>
      <c r="L98" s="131"/>
      <c r="M98" s="131"/>
    </row>
    <row r="99" spans="5:13">
      <c r="E99" s="131"/>
      <c r="F99" s="131"/>
      <c r="G99" s="131"/>
      <c r="H99" s="131"/>
      <c r="I99" s="131"/>
      <c r="J99" s="131"/>
      <c r="K99" s="131"/>
      <c r="L99" s="131"/>
      <c r="M99" s="131"/>
    </row>
    <row r="100" spans="5:13">
      <c r="E100" s="131"/>
      <c r="F100" s="131"/>
      <c r="G100" s="131"/>
      <c r="H100" s="131"/>
      <c r="I100" s="131"/>
      <c r="J100" s="131"/>
      <c r="K100" s="131"/>
      <c r="L100" s="131"/>
      <c r="M100" s="131"/>
    </row>
    <row r="101" spans="5:13">
      <c r="E101" s="131"/>
      <c r="F101" s="131"/>
      <c r="G101" s="131"/>
      <c r="H101" s="131"/>
      <c r="I101" s="131"/>
      <c r="J101" s="131"/>
      <c r="K101" s="131"/>
      <c r="L101" s="131"/>
      <c r="M101" s="131"/>
    </row>
    <row r="102" spans="5:13">
      <c r="E102" s="131"/>
      <c r="F102" s="131"/>
      <c r="G102" s="131"/>
      <c r="H102" s="131"/>
      <c r="I102" s="131"/>
      <c r="J102" s="131"/>
      <c r="K102" s="131"/>
      <c r="L102" s="131"/>
      <c r="M102" s="131"/>
    </row>
    <row r="103" spans="5:13">
      <c r="E103" s="131"/>
      <c r="F103" s="131"/>
      <c r="G103" s="131"/>
      <c r="H103" s="131"/>
      <c r="I103" s="131"/>
      <c r="J103" s="131"/>
      <c r="K103" s="131"/>
      <c r="L103" s="131"/>
      <c r="M103" s="131"/>
    </row>
    <row r="104" spans="5:13">
      <c r="E104" s="131"/>
      <c r="F104" s="131"/>
      <c r="G104" s="131"/>
      <c r="H104" s="131"/>
      <c r="I104" s="131"/>
      <c r="J104" s="131"/>
      <c r="K104" s="131"/>
      <c r="L104" s="131"/>
      <c r="M104" s="131"/>
    </row>
    <row r="105" spans="5:13">
      <c r="E105" s="131"/>
      <c r="F105" s="131"/>
      <c r="G105" s="131"/>
      <c r="H105" s="131"/>
      <c r="I105" s="131"/>
      <c r="J105" s="131"/>
      <c r="K105" s="131"/>
      <c r="L105" s="131"/>
      <c r="M105" s="131"/>
    </row>
    <row r="106" spans="5:13">
      <c r="E106" s="131"/>
      <c r="F106" s="131"/>
      <c r="G106" s="131"/>
      <c r="H106" s="131"/>
      <c r="I106" s="131"/>
      <c r="J106" s="131"/>
      <c r="K106" s="131"/>
      <c r="L106" s="131"/>
      <c r="M106" s="131"/>
    </row>
    <row r="107" spans="5:13">
      <c r="E107" s="131"/>
      <c r="F107" s="131"/>
      <c r="G107" s="131"/>
      <c r="H107" s="131"/>
      <c r="I107" s="131"/>
      <c r="J107" s="131"/>
      <c r="K107" s="131"/>
      <c r="L107" s="131"/>
      <c r="M107" s="131"/>
    </row>
    <row r="108" spans="5:13">
      <c r="E108" s="131"/>
      <c r="F108" s="131"/>
      <c r="G108" s="131"/>
      <c r="H108" s="131"/>
      <c r="I108" s="131"/>
      <c r="J108" s="131"/>
      <c r="K108" s="131"/>
      <c r="L108" s="131"/>
      <c r="M108" s="131"/>
    </row>
    <row r="109" spans="5:13">
      <c r="E109" s="131"/>
      <c r="F109" s="131"/>
      <c r="G109" s="131"/>
      <c r="H109" s="131"/>
      <c r="I109" s="131"/>
      <c r="J109" s="131"/>
      <c r="K109" s="131"/>
      <c r="L109" s="131"/>
      <c r="M109" s="131"/>
    </row>
    <row r="110" spans="5:13">
      <c r="E110" s="131"/>
      <c r="F110" s="131"/>
      <c r="G110" s="131"/>
      <c r="H110" s="131"/>
      <c r="I110" s="131"/>
      <c r="J110" s="131"/>
      <c r="K110" s="131"/>
      <c r="L110" s="131"/>
      <c r="M110" s="131"/>
    </row>
    <row r="111" spans="5:13">
      <c r="E111" s="131"/>
      <c r="F111" s="131"/>
      <c r="G111" s="131"/>
      <c r="H111" s="131"/>
      <c r="I111" s="131"/>
      <c r="J111" s="131"/>
      <c r="K111" s="131"/>
      <c r="L111" s="131"/>
      <c r="M111" s="131"/>
    </row>
    <row r="112" spans="5:13">
      <c r="E112" s="131"/>
      <c r="F112" s="131"/>
      <c r="G112" s="131"/>
      <c r="H112" s="131"/>
      <c r="I112" s="131"/>
      <c r="J112" s="131"/>
      <c r="K112" s="131"/>
      <c r="L112" s="131"/>
      <c r="M112" s="131"/>
    </row>
    <row r="113" spans="5:13">
      <c r="E113" s="131"/>
      <c r="F113" s="131"/>
      <c r="G113" s="131"/>
      <c r="H113" s="131"/>
      <c r="I113" s="131"/>
      <c r="J113" s="131"/>
      <c r="K113" s="131"/>
      <c r="L113" s="131"/>
      <c r="M113" s="131"/>
    </row>
    <row r="114" spans="5:13">
      <c r="E114" s="131"/>
      <c r="F114" s="131"/>
      <c r="G114" s="131"/>
      <c r="H114" s="131"/>
      <c r="I114" s="131"/>
      <c r="J114" s="131"/>
      <c r="K114" s="131"/>
      <c r="L114" s="131"/>
      <c r="M114" s="131"/>
    </row>
    <row r="115" spans="5:13">
      <c r="E115" s="131"/>
      <c r="F115" s="131"/>
      <c r="G115" s="131"/>
      <c r="H115" s="131"/>
      <c r="I115" s="131"/>
      <c r="J115" s="131"/>
      <c r="K115" s="131"/>
      <c r="L115" s="131"/>
      <c r="M115" s="131"/>
    </row>
    <row r="116" spans="5:13">
      <c r="E116" s="131"/>
      <c r="F116" s="131"/>
      <c r="G116" s="131"/>
      <c r="H116" s="131"/>
      <c r="I116" s="131"/>
      <c r="J116" s="131"/>
      <c r="K116" s="131"/>
      <c r="L116" s="131"/>
      <c r="M116" s="131"/>
    </row>
    <row r="117" spans="5:13">
      <c r="E117" s="131"/>
      <c r="F117" s="131"/>
      <c r="G117" s="131"/>
      <c r="H117" s="131"/>
      <c r="I117" s="131"/>
      <c r="J117" s="131"/>
      <c r="K117" s="131"/>
      <c r="L117" s="131"/>
      <c r="M117" s="131"/>
    </row>
    <row r="118" spans="5:13">
      <c r="E118" s="131"/>
      <c r="F118" s="131"/>
      <c r="G118" s="131"/>
      <c r="H118" s="131"/>
      <c r="I118" s="131"/>
      <c r="J118" s="131"/>
      <c r="K118" s="131"/>
      <c r="L118" s="131"/>
      <c r="M118" s="131"/>
    </row>
    <row r="119" spans="5:13">
      <c r="E119" s="131"/>
      <c r="F119" s="131"/>
      <c r="G119" s="131"/>
      <c r="H119" s="131"/>
      <c r="I119" s="131"/>
      <c r="J119" s="131"/>
      <c r="K119" s="131"/>
      <c r="L119" s="131"/>
      <c r="M119" s="131"/>
    </row>
    <row r="120" spans="5:13">
      <c r="E120" s="131"/>
      <c r="F120" s="131"/>
      <c r="G120" s="131"/>
      <c r="H120" s="131"/>
      <c r="I120" s="131"/>
      <c r="J120" s="131"/>
      <c r="K120" s="131"/>
      <c r="L120" s="131"/>
      <c r="M120" s="131"/>
    </row>
    <row r="121" spans="5:13">
      <c r="E121" s="131"/>
      <c r="F121" s="131"/>
      <c r="G121" s="131"/>
      <c r="H121" s="131"/>
      <c r="I121" s="131"/>
      <c r="J121" s="131"/>
      <c r="K121" s="131"/>
      <c r="L121" s="131"/>
      <c r="M121" s="131"/>
    </row>
    <row r="122" spans="5:13">
      <c r="E122" s="131"/>
      <c r="F122" s="131"/>
      <c r="G122" s="131"/>
      <c r="H122" s="131"/>
      <c r="I122" s="131"/>
      <c r="J122" s="131"/>
      <c r="K122" s="131"/>
      <c r="L122" s="131"/>
      <c r="M122" s="131"/>
    </row>
    <row r="123" spans="5:13">
      <c r="E123" s="131"/>
      <c r="F123" s="131"/>
      <c r="G123" s="131"/>
      <c r="H123" s="131"/>
      <c r="I123" s="131"/>
      <c r="J123" s="131"/>
      <c r="K123" s="131"/>
      <c r="L123" s="131"/>
      <c r="M123" s="131"/>
    </row>
    <row r="124" spans="5:13">
      <c r="E124" s="131"/>
      <c r="F124" s="131"/>
      <c r="G124" s="131"/>
      <c r="H124" s="131"/>
      <c r="I124" s="131"/>
      <c r="J124" s="131"/>
      <c r="K124" s="131"/>
      <c r="L124" s="131"/>
      <c r="M124" s="131"/>
    </row>
    <row r="125" spans="5:13">
      <c r="E125" s="131"/>
      <c r="F125" s="131"/>
      <c r="G125" s="131"/>
      <c r="H125" s="131"/>
      <c r="I125" s="131"/>
      <c r="J125" s="131"/>
      <c r="K125" s="131"/>
      <c r="L125" s="131"/>
      <c r="M125" s="131"/>
    </row>
    <row r="126" spans="5:13">
      <c r="E126" s="131"/>
      <c r="F126" s="131"/>
      <c r="G126" s="131"/>
      <c r="H126" s="131"/>
      <c r="I126" s="131"/>
      <c r="J126" s="131"/>
      <c r="K126" s="131"/>
      <c r="L126" s="131"/>
      <c r="M126" s="131"/>
    </row>
    <row r="127" spans="5:13">
      <c r="E127" s="131"/>
      <c r="F127" s="131"/>
      <c r="G127" s="131"/>
      <c r="H127" s="131"/>
      <c r="I127" s="131"/>
      <c r="J127" s="131"/>
      <c r="K127" s="131"/>
      <c r="L127" s="131"/>
      <c r="M127" s="131"/>
    </row>
    <row r="128" spans="5:13">
      <c r="E128" s="131"/>
      <c r="F128" s="131"/>
      <c r="G128" s="131"/>
      <c r="H128" s="131"/>
      <c r="I128" s="131"/>
      <c r="J128" s="131"/>
      <c r="K128" s="131"/>
      <c r="L128" s="131"/>
      <c r="M128" s="131"/>
    </row>
    <row r="129" spans="5:13">
      <c r="E129" s="131"/>
      <c r="F129" s="131"/>
      <c r="G129" s="131"/>
      <c r="H129" s="131"/>
      <c r="I129" s="131"/>
      <c r="J129" s="131"/>
      <c r="K129" s="131"/>
      <c r="L129" s="131"/>
      <c r="M129" s="131"/>
    </row>
    <row r="130" spans="5:13">
      <c r="E130" s="131"/>
      <c r="F130" s="131"/>
      <c r="G130" s="131"/>
      <c r="H130" s="131"/>
      <c r="I130" s="131"/>
      <c r="J130" s="131"/>
      <c r="K130" s="131"/>
      <c r="L130" s="131"/>
      <c r="M130" s="131"/>
    </row>
    <row r="131" spans="5:13">
      <c r="E131" s="131"/>
      <c r="F131" s="131"/>
      <c r="G131" s="131"/>
      <c r="H131" s="131"/>
      <c r="I131" s="131"/>
      <c r="J131" s="131"/>
      <c r="K131" s="131"/>
      <c r="L131" s="131"/>
      <c r="M131" s="131"/>
    </row>
    <row r="132" spans="5:13">
      <c r="E132" s="131"/>
      <c r="F132" s="131"/>
      <c r="G132" s="131"/>
      <c r="H132" s="131"/>
      <c r="I132" s="131"/>
      <c r="J132" s="131"/>
      <c r="K132" s="131"/>
      <c r="L132" s="131"/>
      <c r="M132" s="131"/>
    </row>
    <row r="133" spans="5:13">
      <c r="E133" s="131"/>
      <c r="F133" s="131"/>
      <c r="G133" s="131"/>
      <c r="H133" s="131"/>
      <c r="I133" s="131"/>
      <c r="J133" s="131"/>
      <c r="K133" s="131"/>
      <c r="L133" s="131"/>
      <c r="M133" s="131"/>
    </row>
    <row r="134" spans="5:13">
      <c r="E134" s="131"/>
      <c r="F134" s="131"/>
      <c r="G134" s="131"/>
      <c r="H134" s="131"/>
      <c r="I134" s="131"/>
      <c r="J134" s="131"/>
      <c r="K134" s="131"/>
      <c r="L134" s="131"/>
      <c r="M134" s="131"/>
    </row>
  </sheetData>
  <mergeCells count="2">
    <mergeCell ref="AA24:AB24"/>
    <mergeCell ref="AA25:AB25"/>
  </mergeCells>
  <printOptions horizontalCentered="1"/>
  <pageMargins left="0.75" right="0.75" top="1" bottom="1" header="0.5" footer="0.5"/>
  <pageSetup scale="10" orientation="landscape"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HM154"/>
  <sheetViews>
    <sheetView zoomScale="77" workbookViewId="0">
      <selection activeCell="C9" sqref="C9"/>
    </sheetView>
  </sheetViews>
  <sheetFormatPr defaultColWidth="9" defaultRowHeight="13.2"/>
  <cols>
    <col min="1" max="1" width="36.33203125" style="252" customWidth="1"/>
    <col min="2" max="2" width="15.33203125" style="252" bestFit="1" customWidth="1"/>
    <col min="3" max="3" width="18.6640625" style="252" customWidth="1"/>
    <col min="4" max="4" width="3" style="252" customWidth="1"/>
    <col min="5" max="5" width="18.6640625" style="252" customWidth="1"/>
    <col min="6" max="6" width="2" style="252" customWidth="1"/>
    <col min="7" max="7" width="18.6640625" style="252" customWidth="1"/>
    <col min="8" max="8" width="1.88671875" style="252" customWidth="1"/>
    <col min="9" max="9" width="18.6640625" style="252" customWidth="1"/>
    <col min="10" max="10" width="1.88671875" style="252" customWidth="1"/>
    <col min="11" max="11" width="18.6640625" style="252" customWidth="1"/>
    <col min="12" max="12" width="2" style="252" customWidth="1"/>
    <col min="13" max="13" width="18.6640625" style="252" customWidth="1"/>
    <col min="14" max="14" width="9" style="252" customWidth="1"/>
    <col min="15" max="15" width="53.33203125" style="252" bestFit="1" customWidth="1"/>
    <col min="16" max="16" width="6.6640625" style="252" customWidth="1"/>
    <col min="17" max="17" width="10.6640625" style="252" bestFit="1" customWidth="1"/>
    <col min="18" max="18" width="2.6640625" style="252" bestFit="1" customWidth="1"/>
    <col min="19" max="19" width="10.6640625" style="252" bestFit="1" customWidth="1"/>
    <col min="20" max="20" width="2.6640625" style="252" customWidth="1"/>
    <col min="21" max="21" width="10.6640625" style="252" bestFit="1" customWidth="1"/>
    <col min="22" max="22" width="2.6640625" style="252" customWidth="1"/>
    <col min="23" max="23" width="10.6640625" style="252" bestFit="1" customWidth="1"/>
    <col min="24" max="24" width="2.6640625" style="252" customWidth="1"/>
    <col min="25" max="25" width="10.6640625" style="252" bestFit="1" customWidth="1"/>
    <col min="26" max="26" width="2.6640625" style="252" customWidth="1"/>
    <col min="27" max="27" width="10.5546875" style="252" customWidth="1"/>
    <col min="28" max="28" width="2.6640625" style="252" customWidth="1"/>
    <col min="29" max="29" width="9" style="252"/>
    <col min="30" max="30" width="4.33203125" style="252" customWidth="1"/>
    <col min="31" max="31" width="3.6640625" style="252" customWidth="1"/>
    <col min="32" max="32" width="22.33203125" style="252" customWidth="1"/>
    <col min="33" max="16384" width="9" style="252"/>
  </cols>
  <sheetData>
    <row r="1" spans="1:28" ht="16.2" customHeight="1">
      <c r="A1" s="329"/>
    </row>
    <row r="2" spans="1:28" ht="16.2" customHeight="1">
      <c r="A2" s="329"/>
    </row>
    <row r="3" spans="1:28" ht="16.2" customHeight="1">
      <c r="A3" s="329"/>
    </row>
    <row r="4" spans="1:28" ht="16.2" customHeight="1" thickBot="1">
      <c r="A4" s="329"/>
    </row>
    <row r="5" spans="1:28" ht="16.8">
      <c r="A5" s="328" t="s">
        <v>2255</v>
      </c>
      <c r="C5" s="271"/>
    </row>
    <row r="6" spans="1:28" ht="13.8" thickBot="1">
      <c r="A6" s="327" t="s">
        <v>3053</v>
      </c>
      <c r="E6" s="269" t="s">
        <v>3062</v>
      </c>
      <c r="F6" s="269"/>
      <c r="G6" s="268"/>
      <c r="H6" s="268"/>
      <c r="I6" s="268"/>
      <c r="J6" s="268"/>
      <c r="K6" s="268"/>
      <c r="O6" s="270" t="str">
        <f>E6</f>
        <v>ONE Gas, Inc.</v>
      </c>
      <c r="P6" s="268"/>
      <c r="Q6" s="268"/>
      <c r="R6" s="269"/>
      <c r="S6" s="268"/>
      <c r="T6" s="268"/>
      <c r="U6" s="268"/>
      <c r="V6" s="268"/>
      <c r="W6" s="268"/>
      <c r="X6" s="268"/>
      <c r="Y6" s="268"/>
      <c r="Z6" s="268"/>
      <c r="AA6" s="268"/>
    </row>
    <row r="7" spans="1:28">
      <c r="E7" s="268" t="s">
        <v>0</v>
      </c>
      <c r="F7" s="268"/>
      <c r="G7" s="268"/>
      <c r="H7" s="268"/>
      <c r="I7" s="268"/>
      <c r="J7" s="268"/>
      <c r="K7" s="268"/>
      <c r="O7" s="268" t="str">
        <f>E7</f>
        <v>CAPITALIZATION AND FINANCIAL STATISTICS  (1)</v>
      </c>
      <c r="P7" s="268"/>
      <c r="Q7" s="268"/>
      <c r="R7" s="268"/>
      <c r="S7" s="268"/>
      <c r="T7" s="268"/>
      <c r="U7" s="268"/>
      <c r="V7" s="268"/>
      <c r="W7" s="268"/>
      <c r="X7" s="268"/>
      <c r="Y7" s="268"/>
      <c r="Z7" s="268"/>
      <c r="AA7" s="268"/>
    </row>
    <row r="8" spans="1:28">
      <c r="B8" s="124"/>
      <c r="C8" s="124"/>
      <c r="D8" s="124"/>
      <c r="E8" s="127" t="s">
        <v>4355</v>
      </c>
      <c r="F8" s="127"/>
      <c r="G8" s="128"/>
      <c r="H8" s="128"/>
      <c r="I8" s="128"/>
      <c r="J8" s="128"/>
      <c r="K8" s="128"/>
      <c r="O8" s="269" t="str">
        <f>E8</f>
        <v>2016 - 2021, Inclusive</v>
      </c>
      <c r="P8" s="268"/>
      <c r="Q8" s="268"/>
      <c r="R8" s="269"/>
      <c r="S8" s="268"/>
      <c r="T8" s="268"/>
      <c r="U8" s="268"/>
      <c r="V8" s="268"/>
      <c r="W8" s="268"/>
      <c r="X8" s="268"/>
      <c r="Y8" s="268"/>
      <c r="Z8" s="268"/>
      <c r="AA8" s="268"/>
    </row>
    <row r="9" spans="1:28">
      <c r="B9" s="124"/>
      <c r="C9" s="124"/>
      <c r="D9" s="124"/>
      <c r="E9" s="124"/>
      <c r="F9" s="124"/>
      <c r="G9" s="124"/>
      <c r="H9" s="124"/>
      <c r="I9" s="124"/>
      <c r="J9" s="124"/>
      <c r="K9" s="124"/>
      <c r="O9" s="268"/>
      <c r="P9" s="268"/>
      <c r="Q9" s="269"/>
      <c r="R9" s="269"/>
      <c r="S9" s="268"/>
      <c r="T9" s="268"/>
      <c r="U9" s="268"/>
      <c r="V9" s="268"/>
      <c r="W9" s="268"/>
      <c r="X9" s="268"/>
      <c r="Y9" s="268"/>
      <c r="Z9" s="268"/>
      <c r="AA9" s="268"/>
    </row>
    <row r="10" spans="1:28">
      <c r="B10" s="124" t="s">
        <v>4357</v>
      </c>
      <c r="C10" s="326">
        <v>2021</v>
      </c>
      <c r="D10" s="124"/>
      <c r="E10" s="326">
        <v>2020</v>
      </c>
      <c r="F10" s="124"/>
      <c r="G10" s="326">
        <v>2019</v>
      </c>
      <c r="H10" s="124"/>
      <c r="I10" s="326">
        <v>2018</v>
      </c>
      <c r="J10" s="124"/>
      <c r="K10" s="326">
        <v>2017</v>
      </c>
      <c r="L10" s="124"/>
      <c r="M10" s="326">
        <v>2016</v>
      </c>
      <c r="Q10" s="269"/>
      <c r="R10" s="269"/>
      <c r="S10" s="268"/>
      <c r="T10" s="268"/>
      <c r="U10" s="268"/>
      <c r="V10" s="268"/>
      <c r="W10" s="268"/>
      <c r="X10" s="268"/>
      <c r="Y10" s="268"/>
    </row>
    <row r="11" spans="1:28">
      <c r="A11" s="252" t="s">
        <v>1</v>
      </c>
    </row>
    <row r="12" spans="1:28">
      <c r="A12" s="252" t="s">
        <v>2</v>
      </c>
      <c r="B12" s="252" t="s">
        <v>65</v>
      </c>
      <c r="C12" s="130">
        <f>3683378000-2000000000</f>
        <v>1683378000</v>
      </c>
      <c r="E12" s="130">
        <v>1601300000</v>
      </c>
      <c r="G12" s="130">
        <v>1286064000</v>
      </c>
      <c r="I12" s="130">
        <v>1285483000</v>
      </c>
      <c r="K12" s="130">
        <v>1193257000</v>
      </c>
      <c r="L12" s="260"/>
      <c r="M12" s="130">
        <v>1192453000</v>
      </c>
      <c r="Q12" s="326">
        <f>C10</f>
        <v>2021</v>
      </c>
      <c r="R12" s="326"/>
      <c r="S12" s="326">
        <f>E10</f>
        <v>2020</v>
      </c>
      <c r="T12" s="326"/>
      <c r="U12" s="326">
        <f>G10</f>
        <v>2019</v>
      </c>
      <c r="V12" s="326"/>
      <c r="W12" s="326">
        <f>I10</f>
        <v>2018</v>
      </c>
      <c r="X12" s="326"/>
      <c r="Y12" s="326">
        <f>K10</f>
        <v>2017</v>
      </c>
      <c r="Z12" s="326"/>
      <c r="AA12" s="124"/>
      <c r="AB12" s="124"/>
    </row>
    <row r="13" spans="1:28">
      <c r="A13" s="252" t="s">
        <v>3</v>
      </c>
      <c r="B13" s="252" t="s">
        <v>66</v>
      </c>
      <c r="C13" s="130">
        <v>0</v>
      </c>
      <c r="E13" s="130">
        <v>0</v>
      </c>
      <c r="G13" s="130">
        <v>0</v>
      </c>
      <c r="I13" s="130">
        <v>0</v>
      </c>
      <c r="K13" s="261">
        <v>0</v>
      </c>
      <c r="L13" s="260"/>
      <c r="M13" s="261">
        <v>0</v>
      </c>
      <c r="Q13" s="128" t="s">
        <v>4</v>
      </c>
      <c r="R13" s="128"/>
      <c r="S13" s="128"/>
      <c r="T13" s="128"/>
      <c r="U13" s="128"/>
      <c r="V13" s="128"/>
      <c r="W13" s="128"/>
      <c r="X13" s="128"/>
      <c r="Y13" s="128"/>
      <c r="Z13" s="128" t="s">
        <v>5</v>
      </c>
      <c r="AA13" s="128" t="s">
        <v>5</v>
      </c>
      <c r="AB13" s="124"/>
    </row>
    <row r="14" spans="1:28">
      <c r="C14" s="130"/>
      <c r="E14" s="130"/>
      <c r="G14" s="130"/>
      <c r="I14" s="130"/>
      <c r="O14" s="267" t="s">
        <v>6</v>
      </c>
      <c r="P14" s="267"/>
      <c r="Q14" s="124"/>
      <c r="R14" s="124"/>
      <c r="S14" s="124"/>
      <c r="T14" s="124"/>
      <c r="U14" s="124"/>
      <c r="V14" s="124"/>
      <c r="W14" s="124"/>
      <c r="X14" s="124"/>
      <c r="Y14" s="124"/>
      <c r="Z14" s="124"/>
      <c r="AA14" s="124"/>
      <c r="AB14" s="124"/>
    </row>
    <row r="15" spans="1:28">
      <c r="A15" s="252" t="s">
        <v>8</v>
      </c>
      <c r="B15" s="252" t="s">
        <v>58</v>
      </c>
      <c r="C15" s="130">
        <v>53633210</v>
      </c>
      <c r="E15" s="130">
        <v>53166733</v>
      </c>
      <c r="G15" s="130">
        <f>52771749</f>
        <v>52771749</v>
      </c>
      <c r="I15" s="130">
        <f>52564902</f>
        <v>52564902</v>
      </c>
      <c r="K15" s="261">
        <v>52312516</v>
      </c>
      <c r="L15" s="260"/>
      <c r="M15" s="261">
        <v>52598005</v>
      </c>
      <c r="Q15" s="124"/>
      <c r="R15" s="124"/>
      <c r="S15" s="124"/>
      <c r="T15" s="124"/>
      <c r="U15" s="124"/>
      <c r="V15" s="124"/>
      <c r="W15" s="124"/>
      <c r="X15" s="124"/>
      <c r="Y15" s="124"/>
      <c r="Z15" s="124"/>
      <c r="AA15" s="124"/>
      <c r="AB15" s="124"/>
    </row>
    <row r="16" spans="1:28">
      <c r="A16" s="252" t="s">
        <v>10</v>
      </c>
      <c r="B16" s="252" t="s">
        <v>60</v>
      </c>
      <c r="C16" s="130">
        <v>2349532000</v>
      </c>
      <c r="E16" s="130">
        <v>2233311000</v>
      </c>
      <c r="G16" s="130">
        <v>2129390000</v>
      </c>
      <c r="I16" s="130">
        <v>2042656000</v>
      </c>
      <c r="K16" s="130">
        <v>1960209000</v>
      </c>
      <c r="L16" s="260"/>
      <c r="M16" s="130">
        <v>1888280000</v>
      </c>
      <c r="O16" s="267" t="s">
        <v>9</v>
      </c>
      <c r="P16" s="267"/>
      <c r="Q16" s="124"/>
      <c r="R16" s="124"/>
      <c r="S16" s="124"/>
      <c r="T16" s="124"/>
      <c r="U16" s="124"/>
      <c r="V16" s="124"/>
      <c r="W16" s="124"/>
      <c r="X16" s="124"/>
      <c r="Y16" s="124"/>
      <c r="Z16" s="124"/>
      <c r="AA16" s="124"/>
      <c r="AB16" s="124"/>
    </row>
    <row r="17" spans="1:28">
      <c r="A17" s="252" t="s">
        <v>49</v>
      </c>
      <c r="B17" s="252" t="s">
        <v>58</v>
      </c>
      <c r="C17" s="130">
        <v>0</v>
      </c>
      <c r="E17" s="130">
        <v>0</v>
      </c>
      <c r="G17" s="130">
        <v>0</v>
      </c>
      <c r="I17" s="130">
        <v>0</v>
      </c>
      <c r="K17" s="261">
        <v>0</v>
      </c>
      <c r="L17" s="260"/>
      <c r="M17" s="261">
        <v>0</v>
      </c>
      <c r="O17" s="252" t="s">
        <v>11</v>
      </c>
      <c r="Q17" s="133">
        <f>C50/1000000</f>
        <v>4032.91</v>
      </c>
      <c r="R17" s="133"/>
      <c r="S17" s="133">
        <f>E50/1000000</f>
        <v>3834.6109999999999</v>
      </c>
      <c r="T17" s="133"/>
      <c r="U17" s="133">
        <f>G50/1000000</f>
        <v>3415.4540000000002</v>
      </c>
      <c r="V17" s="133"/>
      <c r="W17" s="133">
        <f>I50/1000000</f>
        <v>3328.1390000000001</v>
      </c>
      <c r="X17" s="133"/>
      <c r="Y17" s="133">
        <f>K50/1000000</f>
        <v>3153.4659999999999</v>
      </c>
      <c r="Z17" s="124"/>
      <c r="AA17" s="124"/>
      <c r="AB17" s="124"/>
    </row>
    <row r="18" spans="1:28">
      <c r="C18" s="130"/>
      <c r="E18" s="130"/>
      <c r="G18" s="130"/>
      <c r="I18" s="130"/>
      <c r="O18" s="252" t="s">
        <v>12</v>
      </c>
      <c r="Q18" s="134">
        <f>C19/1000000</f>
        <v>494</v>
      </c>
      <c r="R18" s="133"/>
      <c r="S18" s="134">
        <f>E19/1000000</f>
        <v>418.22500000000002</v>
      </c>
      <c r="T18" s="133"/>
      <c r="U18" s="134">
        <f>G19/1000000</f>
        <v>516.5</v>
      </c>
      <c r="V18" s="133"/>
      <c r="W18" s="134">
        <f>I19/1000000</f>
        <v>299.5</v>
      </c>
      <c r="X18" s="133"/>
      <c r="Y18" s="134">
        <f>K19/1000000</f>
        <v>357.21499999999997</v>
      </c>
      <c r="Z18" s="124"/>
      <c r="AA18" s="124"/>
      <c r="AB18" s="124"/>
    </row>
    <row r="19" spans="1:28">
      <c r="A19" s="252" t="s">
        <v>15</v>
      </c>
      <c r="B19" s="252" t="s">
        <v>67</v>
      </c>
      <c r="C19" s="130">
        <v>494000000</v>
      </c>
      <c r="E19" s="130">
        <v>418225000</v>
      </c>
      <c r="G19" s="130">
        <v>516500000</v>
      </c>
      <c r="I19" s="130">
        <v>299500000</v>
      </c>
      <c r="K19" s="130">
        <v>357215000</v>
      </c>
      <c r="L19" s="260"/>
      <c r="M19" s="130">
        <v>145000000</v>
      </c>
      <c r="O19" s="252" t="s">
        <v>14</v>
      </c>
      <c r="Q19" s="135">
        <f>SUM(Q17:Q18)</f>
        <v>4526.91</v>
      </c>
      <c r="R19" s="133"/>
      <c r="S19" s="135">
        <f>SUM(S17:S18)</f>
        <v>4252.8360000000002</v>
      </c>
      <c r="T19" s="133"/>
      <c r="U19" s="135">
        <f>SUM(U17:U18)</f>
        <v>3931.9540000000002</v>
      </c>
      <c r="V19" s="133"/>
      <c r="W19" s="135">
        <f>SUM(W17:W18)</f>
        <v>3627.6390000000001</v>
      </c>
      <c r="X19" s="133"/>
      <c r="Y19" s="135">
        <f>SUM(Y17:Y18)</f>
        <v>3510.681</v>
      </c>
      <c r="Z19" s="124"/>
      <c r="AA19" s="124"/>
      <c r="AB19" s="124"/>
    </row>
    <row r="20" spans="1:28">
      <c r="C20" s="130"/>
      <c r="E20" s="130"/>
      <c r="G20" s="130"/>
      <c r="I20" s="130"/>
      <c r="K20" s="260"/>
      <c r="L20" s="260"/>
      <c r="M20" s="260"/>
      <c r="Q20" s="124"/>
      <c r="R20" s="124"/>
      <c r="S20" s="124"/>
      <c r="T20" s="124"/>
      <c r="U20" s="124"/>
      <c r="V20" s="124"/>
      <c r="W20" s="124"/>
      <c r="X20" s="124"/>
      <c r="Y20" s="124"/>
      <c r="Z20" s="124"/>
      <c r="AA20" s="124"/>
      <c r="AB20" s="124"/>
    </row>
    <row r="21" spans="1:28">
      <c r="A21" s="252" t="s">
        <v>17</v>
      </c>
      <c r="B21" s="252" t="s">
        <v>61</v>
      </c>
      <c r="C21" s="130">
        <v>3.85</v>
      </c>
      <c r="E21" s="130">
        <v>3.68</v>
      </c>
      <c r="G21" s="130">
        <v>3.51</v>
      </c>
      <c r="I21" s="130">
        <v>3.25</v>
      </c>
      <c r="K21" s="130">
        <v>3.08</v>
      </c>
      <c r="L21" s="260"/>
      <c r="M21" s="130">
        <v>2.65</v>
      </c>
      <c r="O21" s="267" t="s">
        <v>16</v>
      </c>
      <c r="P21" s="267"/>
      <c r="Q21" s="124"/>
      <c r="R21" s="124"/>
      <c r="S21" s="124"/>
      <c r="T21" s="124"/>
      <c r="U21" s="124"/>
      <c r="V21" s="124"/>
      <c r="W21" s="124"/>
      <c r="X21" s="124"/>
      <c r="Y21" s="124"/>
      <c r="Z21" s="124"/>
      <c r="AA21" s="124"/>
      <c r="AB21" s="124"/>
    </row>
    <row r="22" spans="1:28">
      <c r="A22" s="252" t="s">
        <v>19</v>
      </c>
      <c r="B22" s="124" t="s">
        <v>1375</v>
      </c>
      <c r="C22" s="252">
        <v>81.37</v>
      </c>
      <c r="D22" s="124"/>
      <c r="E22" s="130">
        <v>96.69</v>
      </c>
      <c r="F22" s="124"/>
      <c r="G22" s="130">
        <v>96.27</v>
      </c>
      <c r="H22" s="124"/>
      <c r="I22" s="130">
        <v>87.03</v>
      </c>
      <c r="J22" s="124"/>
      <c r="K22" s="261">
        <v>79.25</v>
      </c>
      <c r="L22" s="260"/>
      <c r="M22" s="261">
        <v>66.59</v>
      </c>
      <c r="O22" s="252" t="s">
        <v>54</v>
      </c>
      <c r="Q22" s="136">
        <f>(ROUND((C30/(AVERAGE(C54,E54))*100),2))</f>
        <v>2.87</v>
      </c>
      <c r="R22" s="137" t="s">
        <v>18</v>
      </c>
      <c r="S22" s="136">
        <f>(ROUND((E30/(AVERAGE(E54,G54))*100),2))</f>
        <v>3.27</v>
      </c>
      <c r="T22" s="137" t="s">
        <v>18</v>
      </c>
      <c r="U22" s="136">
        <f>(ROUND((G30/(AVERAGE(G54,I54))*100),2))</f>
        <v>3.7</v>
      </c>
      <c r="V22" s="137" t="s">
        <v>18</v>
      </c>
      <c r="W22" s="136">
        <f>(ROUND((I30/(AVERAGE(I54,K54))*100),2))</f>
        <v>3.27</v>
      </c>
      <c r="X22" s="137" t="s">
        <v>18</v>
      </c>
      <c r="Y22" s="136">
        <f>(ROUND((K30/(AVERAGE(K54,M54))*100),2))</f>
        <v>3.19</v>
      </c>
      <c r="Z22" s="137" t="s">
        <v>18</v>
      </c>
      <c r="AA22" s="255"/>
      <c r="AB22" s="124"/>
    </row>
    <row r="23" spans="1:28">
      <c r="A23" s="252" t="s">
        <v>21</v>
      </c>
      <c r="B23" s="124" t="s">
        <v>1375</v>
      </c>
      <c r="C23" s="252">
        <v>63.3</v>
      </c>
      <c r="D23" s="124"/>
      <c r="E23" s="130">
        <v>66.55</v>
      </c>
      <c r="F23" s="124"/>
      <c r="G23" s="130">
        <v>76.13</v>
      </c>
      <c r="H23" s="124"/>
      <c r="I23" s="130">
        <v>62.75</v>
      </c>
      <c r="J23" s="124"/>
      <c r="K23" s="261">
        <v>62.3</v>
      </c>
      <c r="L23" s="260"/>
      <c r="M23" s="261">
        <v>48.4</v>
      </c>
      <c r="O23" s="252" t="s">
        <v>20</v>
      </c>
      <c r="Q23" s="136"/>
      <c r="R23" s="137"/>
      <c r="S23" s="136"/>
      <c r="T23" s="137"/>
      <c r="U23" s="136"/>
      <c r="V23" s="137"/>
      <c r="W23" s="136"/>
      <c r="X23" s="137"/>
      <c r="Y23" s="136"/>
      <c r="Z23" s="137"/>
      <c r="AA23" s="124"/>
      <c r="AB23" s="124"/>
    </row>
    <row r="24" spans="1:28">
      <c r="B24" s="124"/>
      <c r="C24" s="130"/>
      <c r="D24" s="124"/>
      <c r="E24" s="130"/>
      <c r="F24" s="124"/>
      <c r="G24" s="130"/>
      <c r="H24" s="124"/>
      <c r="I24" s="130"/>
      <c r="J24" s="124"/>
      <c r="Q24" s="124"/>
      <c r="R24" s="124"/>
      <c r="S24" s="124"/>
      <c r="T24" s="124"/>
      <c r="U24" s="124"/>
      <c r="V24" s="124"/>
      <c r="W24" s="124"/>
      <c r="X24" s="124"/>
      <c r="Y24" s="124"/>
      <c r="Z24" s="124"/>
      <c r="AA24" s="1069" t="s">
        <v>52</v>
      </c>
      <c r="AB24" s="1069"/>
    </row>
    <row r="25" spans="1:28">
      <c r="B25" s="124"/>
      <c r="C25" s="130"/>
      <c r="D25" s="124"/>
      <c r="E25" s="130"/>
      <c r="F25" s="124"/>
      <c r="G25" s="130"/>
      <c r="H25" s="124"/>
      <c r="I25" s="130"/>
      <c r="J25" s="124"/>
      <c r="K25" s="260"/>
      <c r="L25" s="260"/>
      <c r="M25" s="260"/>
      <c r="O25" s="267" t="s">
        <v>30</v>
      </c>
      <c r="P25" s="267"/>
      <c r="Q25" s="124"/>
      <c r="R25" s="124"/>
      <c r="S25" s="124"/>
      <c r="T25" s="124"/>
      <c r="U25" s="124"/>
      <c r="V25" s="124"/>
      <c r="W25" s="124"/>
      <c r="X25" s="124"/>
      <c r="Y25" s="124"/>
      <c r="Z25" s="124"/>
      <c r="AA25" s="1069" t="s">
        <v>22</v>
      </c>
      <c r="AB25" s="1069"/>
    </row>
    <row r="26" spans="1:28">
      <c r="A26" s="252" t="s">
        <v>26</v>
      </c>
      <c r="B26" s="124" t="s">
        <v>1375</v>
      </c>
      <c r="C26" s="130">
        <v>2.3199999999999998</v>
      </c>
      <c r="D26" s="124"/>
      <c r="E26" s="130">
        <v>2.16</v>
      </c>
      <c r="F26" s="124"/>
      <c r="G26" s="130">
        <v>2</v>
      </c>
      <c r="H26" s="124"/>
      <c r="I26" s="130">
        <v>1.84</v>
      </c>
      <c r="J26" s="124"/>
      <c r="K26" s="261">
        <v>1.68</v>
      </c>
      <c r="L26" s="260"/>
      <c r="M26" s="261">
        <v>1.4</v>
      </c>
      <c r="O26" s="252" t="s">
        <v>32</v>
      </c>
      <c r="Q26" s="124"/>
      <c r="R26" s="124"/>
      <c r="S26" s="124"/>
      <c r="T26" s="124"/>
      <c r="U26" s="124"/>
      <c r="V26" s="124"/>
      <c r="W26" s="124"/>
      <c r="X26" s="124"/>
      <c r="Y26" s="124"/>
      <c r="Z26" s="124"/>
      <c r="AA26" s="124"/>
      <c r="AB26" s="124"/>
    </row>
    <row r="27" spans="1:28">
      <c r="C27" s="130"/>
      <c r="E27" s="130"/>
      <c r="G27" s="130"/>
      <c r="I27" s="130"/>
      <c r="K27" s="260"/>
      <c r="L27" s="260"/>
      <c r="M27" s="260"/>
      <c r="O27" s="252" t="s">
        <v>33</v>
      </c>
      <c r="Q27" s="136">
        <f>ROUND(((C12/C50)*100),2)</f>
        <v>41.74</v>
      </c>
      <c r="R27" s="137" t="s">
        <v>18</v>
      </c>
      <c r="S27" s="136">
        <f>ROUND(((E12/E50)*100),2)</f>
        <v>41.76</v>
      </c>
      <c r="T27" s="137" t="s">
        <v>18</v>
      </c>
      <c r="U27" s="136">
        <f>ROUND(((G12/G50)*100),2)</f>
        <v>37.65</v>
      </c>
      <c r="V27" s="137" t="s">
        <v>18</v>
      </c>
      <c r="W27" s="136">
        <f>ROUND(((I12/I50)*100),2)</f>
        <v>38.619999999999997</v>
      </c>
      <c r="X27" s="137" t="s">
        <v>18</v>
      </c>
      <c r="Y27" s="136">
        <f>ROUND(((K12/K50)*100),2)</f>
        <v>37.840000000000003</v>
      </c>
      <c r="Z27" s="137" t="s">
        <v>18</v>
      </c>
      <c r="AA27" s="136">
        <f>ROUND(AVERAGE(Q27:Y27),2)</f>
        <v>39.520000000000003</v>
      </c>
      <c r="AB27" s="137" t="s">
        <v>18</v>
      </c>
    </row>
    <row r="28" spans="1:28">
      <c r="A28" s="252" t="s">
        <v>37</v>
      </c>
      <c r="B28" s="252" t="s">
        <v>37</v>
      </c>
      <c r="C28" s="130">
        <v>4200000</v>
      </c>
      <c r="E28" s="130">
        <v>4200000</v>
      </c>
      <c r="G28" s="130">
        <v>4600000</v>
      </c>
      <c r="I28" s="130">
        <v>3400000</v>
      </c>
      <c r="K28" s="261">
        <v>3000000</v>
      </c>
      <c r="L28" s="260"/>
      <c r="M28" s="261">
        <v>3600000</v>
      </c>
      <c r="O28" s="252" t="s">
        <v>34</v>
      </c>
      <c r="Q28" s="136">
        <f>ROUND(((SUM(C13,C17)/C50)*100),2)</f>
        <v>0</v>
      </c>
      <c r="R28" s="137"/>
      <c r="S28" s="136">
        <f>ROUND(((SUM(E13,E17)/E50)*100),2)</f>
        <v>0</v>
      </c>
      <c r="T28" s="137"/>
      <c r="U28" s="136">
        <f>ROUND(((SUM(G13,G17)/G50)*100),2)</f>
        <v>0</v>
      </c>
      <c r="V28" s="137"/>
      <c r="W28" s="136">
        <f>ROUND(((SUM(I13,I17)/I50)*100),2)</f>
        <v>0</v>
      </c>
      <c r="X28" s="137"/>
      <c r="Y28" s="136">
        <f>ROUND(((SUM(K13,K17)/K50)*100),2)</f>
        <v>0</v>
      </c>
      <c r="Z28" s="137"/>
      <c r="AA28" s="136">
        <f>ROUND(AVERAGE(Q28:Y28),2)</f>
        <v>0</v>
      </c>
      <c r="AB28" s="137"/>
    </row>
    <row r="29" spans="1:28">
      <c r="C29" s="130"/>
      <c r="E29" s="130"/>
      <c r="G29" s="130"/>
      <c r="I29" s="130"/>
      <c r="K29" s="260"/>
      <c r="L29" s="260"/>
      <c r="M29" s="260"/>
      <c r="O29" s="252" t="s">
        <v>35</v>
      </c>
      <c r="Q29" s="138">
        <f>ROUND(((C16/C50)*100),2)</f>
        <v>58.26</v>
      </c>
      <c r="R29" s="137"/>
      <c r="S29" s="138">
        <f>ROUND(((E16/E50)*100),2)</f>
        <v>58.24</v>
      </c>
      <c r="T29" s="137"/>
      <c r="U29" s="138">
        <f>ROUND(((G16/G50)*100),2)</f>
        <v>62.35</v>
      </c>
      <c r="V29" s="137"/>
      <c r="W29" s="138">
        <f>ROUND(((I16/I50)*100),2)</f>
        <v>61.38</v>
      </c>
      <c r="X29" s="137"/>
      <c r="Y29" s="138">
        <f>ROUND(((K16/K50)*100),2)</f>
        <v>62.16</v>
      </c>
      <c r="Z29" s="137"/>
      <c r="AA29" s="138">
        <f>ROUND(AVERAGE(Q29:Y29),2)</f>
        <v>60.48</v>
      </c>
      <c r="AB29" s="137"/>
    </row>
    <row r="30" spans="1:28">
      <c r="A30" s="252" t="s">
        <v>42</v>
      </c>
      <c r="B30" s="252" t="s">
        <v>62</v>
      </c>
      <c r="C30" s="130">
        <v>60301000</v>
      </c>
      <c r="E30" s="130">
        <v>62505000</v>
      </c>
      <c r="G30" s="130">
        <v>62681000</v>
      </c>
      <c r="I30" s="130">
        <v>51305000</v>
      </c>
      <c r="K30" s="130">
        <v>46065000</v>
      </c>
      <c r="L30" s="260"/>
      <c r="M30" s="130">
        <v>43739000</v>
      </c>
      <c r="O30" s="252" t="s">
        <v>36</v>
      </c>
      <c r="Q30" s="139">
        <f>SUM(Q27:Q29)</f>
        <v>100</v>
      </c>
      <c r="R30" s="137" t="s">
        <v>18</v>
      </c>
      <c r="S30" s="139">
        <f>SUM(S27:S29)</f>
        <v>100</v>
      </c>
      <c r="T30" s="137" t="s">
        <v>18</v>
      </c>
      <c r="U30" s="139">
        <f>SUM(U27:U29)</f>
        <v>100</v>
      </c>
      <c r="V30" s="137" t="s">
        <v>18</v>
      </c>
      <c r="W30" s="139">
        <f>SUM(W27:W29)</f>
        <v>100</v>
      </c>
      <c r="X30" s="137" t="s">
        <v>18</v>
      </c>
      <c r="Y30" s="139">
        <f>SUM(Y27:Y29)</f>
        <v>100</v>
      </c>
      <c r="Z30" s="137" t="s">
        <v>18</v>
      </c>
      <c r="AA30" s="139">
        <f>SUM(AA27:AA29)</f>
        <v>100</v>
      </c>
      <c r="AB30" s="137" t="s">
        <v>18</v>
      </c>
    </row>
    <row r="31" spans="1:28">
      <c r="C31" s="130"/>
      <c r="E31" s="130"/>
      <c r="G31" s="130"/>
      <c r="I31" s="130"/>
      <c r="K31" s="260"/>
      <c r="L31" s="260"/>
      <c r="M31" s="260"/>
      <c r="Q31" s="124"/>
      <c r="R31" s="124"/>
      <c r="S31" s="124"/>
      <c r="T31" s="124"/>
      <c r="U31" s="124"/>
      <c r="V31" s="124"/>
      <c r="W31" s="124"/>
      <c r="X31" s="124"/>
      <c r="Y31" s="124"/>
      <c r="Z31" s="124"/>
      <c r="AA31" s="124"/>
      <c r="AB31" s="124"/>
    </row>
    <row r="32" spans="1:28">
      <c r="A32" s="252" t="s">
        <v>43</v>
      </c>
      <c r="B32" s="252" t="s">
        <v>63</v>
      </c>
      <c r="C32" s="130">
        <v>206434000</v>
      </c>
      <c r="E32" s="130">
        <v>196412000</v>
      </c>
      <c r="G32" s="130">
        <v>186749000</v>
      </c>
      <c r="I32" s="130">
        <v>172234000</v>
      </c>
      <c r="K32" s="130">
        <v>162995000</v>
      </c>
      <c r="L32" s="260"/>
      <c r="M32" s="130">
        <v>140095000</v>
      </c>
      <c r="O32" s="252" t="s">
        <v>38</v>
      </c>
      <c r="Q32" s="124"/>
      <c r="R32" s="124"/>
      <c r="S32" s="124"/>
      <c r="T32" s="124"/>
      <c r="U32" s="124"/>
      <c r="V32" s="124"/>
      <c r="W32" s="124"/>
      <c r="X32" s="124"/>
      <c r="Y32" s="124"/>
      <c r="Z32" s="124"/>
      <c r="AA32" s="124"/>
      <c r="AB32" s="124"/>
    </row>
    <row r="33" spans="1:28">
      <c r="A33" s="263"/>
      <c r="B33" s="263"/>
      <c r="C33" s="141"/>
      <c r="D33" s="263"/>
      <c r="E33" s="141"/>
      <c r="F33" s="263"/>
      <c r="G33" s="141"/>
      <c r="H33" s="263"/>
      <c r="I33" s="141"/>
      <c r="J33" s="263"/>
      <c r="K33" s="262"/>
      <c r="L33" s="262"/>
      <c r="M33" s="262"/>
      <c r="O33" s="252" t="s">
        <v>39</v>
      </c>
      <c r="Q33" s="136">
        <f>ROUND((((C12+C19)/C56)*100),2)</f>
        <v>48.1</v>
      </c>
      <c r="R33" s="137" t="s">
        <v>18</v>
      </c>
      <c r="S33" s="136">
        <f>ROUND((((E12+E19)/E56)*100),2)</f>
        <v>47.49</v>
      </c>
      <c r="T33" s="137" t="s">
        <v>18</v>
      </c>
      <c r="U33" s="136">
        <f>ROUND((((G12+G19)/G56)*100),2)</f>
        <v>45.84</v>
      </c>
      <c r="V33" s="137" t="s">
        <v>18</v>
      </c>
      <c r="W33" s="136">
        <f>ROUND((((I12+I19)/I56)*100),2)</f>
        <v>43.69</v>
      </c>
      <c r="X33" s="137" t="s">
        <v>18</v>
      </c>
      <c r="Y33" s="136">
        <f>ROUND((((K12+K19)/K56)*100),2)</f>
        <v>44.16</v>
      </c>
      <c r="Z33" s="137" t="s">
        <v>18</v>
      </c>
      <c r="AA33" s="136">
        <f>ROUND(AVERAGE(Q33:Y33),2)</f>
        <v>45.86</v>
      </c>
      <c r="AB33" s="137" t="s">
        <v>18</v>
      </c>
    </row>
    <row r="34" spans="1:28">
      <c r="A34" s="252" t="s">
        <v>46</v>
      </c>
      <c r="B34" s="252" t="s">
        <v>70</v>
      </c>
      <c r="C34" s="213">
        <f>C32</f>
        <v>206434000</v>
      </c>
      <c r="E34" s="213">
        <f>E32</f>
        <v>196412000</v>
      </c>
      <c r="G34" s="130">
        <f>G32</f>
        <v>186749000</v>
      </c>
      <c r="I34" s="130">
        <f>I32</f>
        <v>172234000</v>
      </c>
      <c r="K34" s="261">
        <v>162995000</v>
      </c>
      <c r="L34" s="260"/>
      <c r="M34" s="261">
        <v>140095000</v>
      </c>
      <c r="O34" s="252" t="s">
        <v>34</v>
      </c>
      <c r="Q34" s="136">
        <f>ROUND((((SUM(C13,C17))/C56)*100),2)</f>
        <v>0</v>
      </c>
      <c r="R34" s="137"/>
      <c r="S34" s="136">
        <f>ROUND((((SUM(E13,E17))/E56)*100),2)</f>
        <v>0</v>
      </c>
      <c r="T34" s="137"/>
      <c r="U34" s="136">
        <f>ROUND((((SUM(G13,G17))/G56)*100),2)</f>
        <v>0</v>
      </c>
      <c r="V34" s="137"/>
      <c r="W34" s="136">
        <f>ROUND((((SUM(I13,I17))/I56)*100),2)</f>
        <v>0</v>
      </c>
      <c r="X34" s="137"/>
      <c r="Y34" s="136">
        <f>ROUND((((SUM(K13,K17))/K56)*100),2)</f>
        <v>0</v>
      </c>
      <c r="Z34" s="137"/>
      <c r="AA34" s="136">
        <f>ROUND(AVERAGE(Q34:Y34),2)</f>
        <v>0</v>
      </c>
      <c r="AB34" s="137"/>
    </row>
    <row r="35" spans="1:28">
      <c r="C35" s="130"/>
      <c r="E35" s="130"/>
      <c r="G35" s="130"/>
      <c r="I35" s="130"/>
      <c r="O35" s="252" t="s">
        <v>35</v>
      </c>
      <c r="Q35" s="138">
        <f>ROUND((((C16)/C56)*100),2)</f>
        <v>51.9</v>
      </c>
      <c r="R35" s="137"/>
      <c r="S35" s="138">
        <f>ROUND((((E16)/E56)*100),2)</f>
        <v>52.51</v>
      </c>
      <c r="T35" s="137"/>
      <c r="U35" s="138">
        <f>ROUND((((G16)/G56)*100),2)</f>
        <v>54.16</v>
      </c>
      <c r="V35" s="137"/>
      <c r="W35" s="138">
        <f>ROUND((((I16)/I56)*100),2)</f>
        <v>56.31</v>
      </c>
      <c r="X35" s="137"/>
      <c r="Y35" s="138">
        <f>ROUND((((K16)/K56)*100),2)</f>
        <v>55.84</v>
      </c>
      <c r="Z35" s="137"/>
      <c r="AA35" s="138">
        <f>ROUND(AVERAGE(Q35:Y35),2)</f>
        <v>54.14</v>
      </c>
      <c r="AB35" s="137"/>
    </row>
    <row r="36" spans="1:28">
      <c r="A36" s="252" t="s">
        <v>45</v>
      </c>
      <c r="B36" s="252" t="s">
        <v>68</v>
      </c>
      <c r="C36" s="213">
        <v>0</v>
      </c>
      <c r="E36" s="213">
        <v>0</v>
      </c>
      <c r="G36" s="130">
        <v>0</v>
      </c>
      <c r="I36" s="130">
        <v>0</v>
      </c>
      <c r="K36" s="261">
        <v>0</v>
      </c>
      <c r="L36" s="260"/>
      <c r="M36" s="261">
        <v>0</v>
      </c>
      <c r="O36" s="252" t="s">
        <v>36</v>
      </c>
      <c r="Q36" s="139">
        <f>SUM(Q33:Q35)</f>
        <v>100</v>
      </c>
      <c r="R36" s="137" t="s">
        <v>18</v>
      </c>
      <c r="S36" s="139">
        <f>SUM(S33:S35)</f>
        <v>100</v>
      </c>
      <c r="T36" s="137" t="s">
        <v>18</v>
      </c>
      <c r="U36" s="139">
        <f>SUM(U33:U35)</f>
        <v>100</v>
      </c>
      <c r="V36" s="137" t="s">
        <v>18</v>
      </c>
      <c r="W36" s="139">
        <f>SUM(W33:W35)</f>
        <v>100</v>
      </c>
      <c r="X36" s="137" t="s">
        <v>18</v>
      </c>
      <c r="Y36" s="139">
        <f>SUM(Y33:Y35)</f>
        <v>100</v>
      </c>
      <c r="Z36" s="137" t="s">
        <v>18</v>
      </c>
      <c r="AA36" s="139">
        <f>SUM(AA33:AA35)</f>
        <v>100</v>
      </c>
      <c r="AB36" s="137" t="s">
        <v>18</v>
      </c>
    </row>
    <row r="37" spans="1:28">
      <c r="C37" s="130"/>
      <c r="E37" s="130"/>
      <c r="G37" s="130"/>
      <c r="I37" s="130"/>
      <c r="Q37" s="124"/>
      <c r="R37" s="124"/>
      <c r="S37" s="124"/>
      <c r="T37" s="124"/>
      <c r="U37" s="124"/>
      <c r="V37" s="124"/>
      <c r="W37" s="124"/>
      <c r="X37" s="124"/>
      <c r="Y37" s="124"/>
      <c r="Z37" s="124"/>
      <c r="AA37" s="124"/>
      <c r="AB37" s="124"/>
    </row>
    <row r="38" spans="1:28">
      <c r="A38" s="252" t="s">
        <v>47</v>
      </c>
      <c r="B38" s="252" t="s">
        <v>64</v>
      </c>
      <c r="C38" s="213">
        <v>123912000</v>
      </c>
      <c r="E38" s="213">
        <v>114372000</v>
      </c>
      <c r="G38" s="130">
        <v>105424000</v>
      </c>
      <c r="I38" s="130">
        <v>96594000</v>
      </c>
      <c r="K38" s="130">
        <v>87951000</v>
      </c>
      <c r="L38" s="260"/>
      <c r="M38" s="130">
        <v>73209000</v>
      </c>
      <c r="Q38" s="124"/>
      <c r="R38" s="124"/>
      <c r="S38" s="124"/>
      <c r="T38" s="124"/>
      <c r="U38" s="124"/>
      <c r="V38" s="124"/>
      <c r="W38" s="124"/>
      <c r="X38" s="124"/>
      <c r="Y38" s="124"/>
      <c r="Z38" s="124"/>
      <c r="AA38" s="124"/>
      <c r="AB38" s="124"/>
    </row>
    <row r="39" spans="1:28">
      <c r="C39" s="130"/>
      <c r="E39" s="130"/>
      <c r="G39" s="130"/>
      <c r="I39" s="130"/>
      <c r="K39" s="260"/>
      <c r="L39" s="260"/>
      <c r="M39" s="260"/>
      <c r="Q39" s="124"/>
      <c r="R39" s="124"/>
      <c r="S39" s="124"/>
      <c r="T39" s="124"/>
      <c r="U39" s="124"/>
      <c r="V39" s="124"/>
      <c r="W39" s="124"/>
      <c r="X39" s="124"/>
      <c r="Y39" s="124"/>
      <c r="Z39" s="124"/>
      <c r="AA39" s="124"/>
      <c r="AB39" s="124"/>
    </row>
    <row r="40" spans="1:28">
      <c r="A40" s="252" t="s">
        <v>55</v>
      </c>
      <c r="B40" s="252" t="s">
        <v>69</v>
      </c>
      <c r="C40" s="130">
        <f>C32</f>
        <v>206434000</v>
      </c>
      <c r="E40" s="130">
        <f>E32</f>
        <v>196412000</v>
      </c>
      <c r="G40" s="130">
        <f>G32</f>
        <v>186749000</v>
      </c>
      <c r="I40" s="130">
        <f>I32</f>
        <v>172234000</v>
      </c>
      <c r="K40" s="261">
        <v>162995000</v>
      </c>
      <c r="L40" s="260"/>
      <c r="M40" s="261">
        <v>140095000</v>
      </c>
      <c r="O40" s="267" t="s">
        <v>40</v>
      </c>
      <c r="P40" s="267"/>
      <c r="Q40" s="124"/>
      <c r="R40" s="124"/>
      <c r="S40" s="124"/>
      <c r="T40" s="124"/>
      <c r="U40" s="124"/>
      <c r="V40" s="124"/>
      <c r="W40" s="124"/>
      <c r="X40" s="124"/>
      <c r="Y40" s="124"/>
      <c r="Z40" s="124"/>
      <c r="AA40" s="124"/>
      <c r="AB40" s="124"/>
    </row>
    <row r="41" spans="1:28">
      <c r="A41" s="252" t="s">
        <v>72</v>
      </c>
      <c r="B41" s="252" t="s">
        <v>71</v>
      </c>
      <c r="C41" s="130">
        <f>-1535657000+1562574000+367210000</f>
        <v>394127000</v>
      </c>
      <c r="E41" s="130">
        <v>364500000</v>
      </c>
      <c r="G41" s="130">
        <v>310345000</v>
      </c>
      <c r="I41" s="130">
        <v>467694000</v>
      </c>
      <c r="K41" s="130">
        <v>253800000</v>
      </c>
      <c r="L41" s="260"/>
      <c r="M41" s="130">
        <v>281567000</v>
      </c>
      <c r="O41" s="267"/>
      <c r="P41" s="267"/>
      <c r="Q41" s="124"/>
      <c r="R41" s="124"/>
      <c r="S41" s="124"/>
      <c r="T41" s="124"/>
      <c r="U41" s="124"/>
      <c r="V41" s="124"/>
      <c r="W41" s="124"/>
      <c r="X41" s="124"/>
      <c r="Y41" s="124"/>
      <c r="Z41" s="124"/>
      <c r="AA41" s="124"/>
      <c r="AB41" s="124"/>
    </row>
    <row r="42" spans="1:28">
      <c r="A42" s="252" t="s">
        <v>1460</v>
      </c>
      <c r="B42" s="252" t="s">
        <v>1461</v>
      </c>
      <c r="C42" s="130">
        <f>(-57902-2126-85700-49029+107207+3235-5574+18461-11190)*1000</f>
        <v>-82618000</v>
      </c>
      <c r="E42" s="130">
        <f>(-58423+2966+10313-40833+28376+15844+10041-38773+23648-3109-12877-7704)*1000</f>
        <v>-70531000</v>
      </c>
      <c r="G42" s="130">
        <f>(26415-11399+3036-47784-59293+316-3196+28203-35401+10689)*1000</f>
        <v>-88414000</v>
      </c>
      <c r="I42" s="130">
        <f>(-5159-4661+22859-52855+36885+148+6316+236+372+109437-50100+1953)*1000</f>
        <v>65431000</v>
      </c>
      <c r="K42" s="130">
        <v>-18108000</v>
      </c>
      <c r="L42" s="260"/>
      <c r="M42" s="130">
        <v>-30653000</v>
      </c>
      <c r="O42" s="267" t="s">
        <v>24</v>
      </c>
      <c r="Q42" s="124"/>
      <c r="R42" s="124"/>
      <c r="S42" s="124"/>
      <c r="T42" s="124"/>
      <c r="U42" s="124"/>
      <c r="V42" s="124"/>
      <c r="W42" s="124"/>
      <c r="X42" s="124"/>
      <c r="Y42" s="124"/>
      <c r="Z42" s="124"/>
      <c r="AA42" s="124"/>
      <c r="AB42" s="124"/>
    </row>
    <row r="43" spans="1:28">
      <c r="A43" s="252" t="s">
        <v>1462</v>
      </c>
      <c r="B43" s="252" t="s">
        <v>1463</v>
      </c>
      <c r="C43" s="130">
        <v>207233000</v>
      </c>
      <c r="E43" s="130">
        <v>194881000</v>
      </c>
      <c r="G43" s="130">
        <v>180395000</v>
      </c>
      <c r="I43" s="130">
        <v>160086000</v>
      </c>
      <c r="K43" s="130">
        <v>151889000</v>
      </c>
      <c r="L43" s="260"/>
      <c r="M43" s="130">
        <v>143829000</v>
      </c>
      <c r="O43" s="252" t="s">
        <v>25</v>
      </c>
      <c r="Q43" s="136">
        <f>ROUND(C21/C52,4)*100</f>
        <v>5.3199999999999994</v>
      </c>
      <c r="R43" s="137" t="s">
        <v>18</v>
      </c>
      <c r="S43" s="136">
        <f>ROUND(E21/E52,4)*100</f>
        <v>4.51</v>
      </c>
      <c r="T43" s="137" t="s">
        <v>18</v>
      </c>
      <c r="U43" s="136">
        <f>ROUND(G21/G52,4)*100</f>
        <v>4.07</v>
      </c>
      <c r="V43" s="137" t="s">
        <v>18</v>
      </c>
      <c r="W43" s="136">
        <f>ROUND(I21/I52,4)*100</f>
        <v>4.34</v>
      </c>
      <c r="X43" s="137" t="s">
        <v>18</v>
      </c>
      <c r="Y43" s="136">
        <f>ROUND(K21/K52,4)*100</f>
        <v>4.3499999999999996</v>
      </c>
      <c r="Z43" s="137" t="s">
        <v>18</v>
      </c>
      <c r="AA43" s="136">
        <f>ROUND(AVERAGE(Q43:Y43),2)</f>
        <v>4.5199999999999996</v>
      </c>
      <c r="AB43" s="137" t="s">
        <v>18</v>
      </c>
    </row>
    <row r="44" spans="1:28">
      <c r="A44" s="252" t="s">
        <v>1464</v>
      </c>
      <c r="B44" s="252" t="s">
        <v>1465</v>
      </c>
      <c r="C44" s="130">
        <v>40316000</v>
      </c>
      <c r="E44" s="130">
        <v>41579000</v>
      </c>
      <c r="G44" s="130">
        <v>42852000</v>
      </c>
      <c r="I44" s="130">
        <v>53531000</v>
      </c>
      <c r="K44" s="130">
        <v>93143000</v>
      </c>
      <c r="M44" s="261">
        <v>85243000</v>
      </c>
      <c r="O44" s="252" t="s">
        <v>27</v>
      </c>
      <c r="Q44" s="136">
        <f>(ROUND((C52/(AVERAGE(C48,E48))*100),2))</f>
        <v>168.59</v>
      </c>
      <c r="R44" s="124"/>
      <c r="S44" s="136">
        <f>(ROUND((E52/(AVERAGE(E48,G48))*100),2))</f>
        <v>198.21</v>
      </c>
      <c r="T44" s="124"/>
      <c r="U44" s="136">
        <f>(ROUND((G52/(AVERAGE(G48,I48))*100),2))</f>
        <v>217.65</v>
      </c>
      <c r="V44" s="124"/>
      <c r="W44" s="136">
        <f>(ROUND((I52/(AVERAGE(I48,K48))*100),2))</f>
        <v>196.22</v>
      </c>
      <c r="X44" s="124"/>
      <c r="Y44" s="136">
        <f>(ROUND((K52/(AVERAGE(K48,M48))*100),2))</f>
        <v>192.92</v>
      </c>
      <c r="Z44" s="124"/>
      <c r="AA44" s="136">
        <f>ROUND(AVERAGE(Q44:Y44),2)</f>
        <v>194.72</v>
      </c>
      <c r="AB44" s="124"/>
    </row>
    <row r="45" spans="1:28">
      <c r="C45" s="261"/>
      <c r="E45" s="261"/>
      <c r="G45" s="261"/>
      <c r="I45" s="261"/>
      <c r="O45" s="252" t="s">
        <v>28</v>
      </c>
      <c r="Q45" s="136">
        <f>ROUND(((+C26/C52)*100),2)</f>
        <v>3.21</v>
      </c>
      <c r="R45" s="124"/>
      <c r="S45" s="136">
        <f>ROUND(((+E26/E52)*100),2)</f>
        <v>2.65</v>
      </c>
      <c r="T45" s="124"/>
      <c r="U45" s="136">
        <f>ROUND(((+G26/G52)*100),2)</f>
        <v>2.3199999999999998</v>
      </c>
      <c r="V45" s="124"/>
      <c r="W45" s="136">
        <f>ROUND(((+I26/I52)*100),2)</f>
        <v>2.46</v>
      </c>
      <c r="X45" s="124"/>
      <c r="Y45" s="136">
        <f>ROUND(((+K26/K52)*100),2)</f>
        <v>2.37</v>
      </c>
      <c r="Z45" s="124"/>
      <c r="AA45" s="136">
        <f>ROUND(AVERAGE(Q45:Y45),2)</f>
        <v>2.6</v>
      </c>
      <c r="AB45" s="124"/>
    </row>
    <row r="46" spans="1:28">
      <c r="A46" s="252" t="s">
        <v>59</v>
      </c>
      <c r="C46" s="261"/>
      <c r="E46" s="261"/>
      <c r="G46" s="261"/>
      <c r="I46" s="261"/>
      <c r="K46" s="260"/>
      <c r="L46" s="260"/>
      <c r="M46" s="260"/>
      <c r="O46" s="252" t="s">
        <v>29</v>
      </c>
      <c r="P46" s="267"/>
      <c r="Q46" s="136">
        <f>ROUND(((+C38/C34)*100),2)</f>
        <v>60.02</v>
      </c>
      <c r="R46" s="124"/>
      <c r="S46" s="136">
        <f>ROUND(((+E38/E34)*100),2)</f>
        <v>58.23</v>
      </c>
      <c r="T46" s="124"/>
      <c r="U46" s="136">
        <f>ROUND(((+G38/G34)*100),2)</f>
        <v>56.45</v>
      </c>
      <c r="V46" s="124"/>
      <c r="W46" s="136">
        <f>ROUND(((+I38/I34)*100),2)</f>
        <v>56.08</v>
      </c>
      <c r="X46" s="124"/>
      <c r="Y46" s="136">
        <f>ROUND(((+K38/K34)*100),2)</f>
        <v>53.96</v>
      </c>
      <c r="Z46" s="124"/>
      <c r="AA46" s="136">
        <f>ROUND(AVERAGE(Q46:Y46),2)</f>
        <v>56.95</v>
      </c>
      <c r="AB46" s="124"/>
    </row>
    <row r="47" spans="1:28">
      <c r="C47" s="261"/>
      <c r="E47" s="261"/>
      <c r="G47" s="261"/>
      <c r="I47" s="261"/>
      <c r="K47" s="260"/>
      <c r="L47" s="260"/>
      <c r="M47" s="260"/>
      <c r="Q47" s="136"/>
      <c r="R47" s="124"/>
      <c r="S47" s="136"/>
      <c r="T47" s="124"/>
      <c r="U47" s="136"/>
      <c r="V47" s="124"/>
      <c r="W47" s="136"/>
      <c r="X47" s="124"/>
      <c r="Y47" s="136"/>
      <c r="Z47" s="124"/>
      <c r="AA47" s="136"/>
      <c r="AB47" s="124"/>
    </row>
    <row r="48" spans="1:28">
      <c r="A48" s="252" t="s">
        <v>7</v>
      </c>
      <c r="B48" s="252" t="s">
        <v>50</v>
      </c>
      <c r="C48" s="130">
        <f>C16/C15</f>
        <v>43.807409625491367</v>
      </c>
      <c r="E48" s="130">
        <f>E16/E15</f>
        <v>42.005797121293874</v>
      </c>
      <c r="F48" s="124"/>
      <c r="G48" s="130">
        <f>G16/G15</f>
        <v>40.350946109442006</v>
      </c>
      <c r="H48" s="124"/>
      <c r="I48" s="130">
        <f>I16/I15</f>
        <v>38.859693869494897</v>
      </c>
      <c r="J48" s="124"/>
      <c r="K48" s="130">
        <f>K16/K15</f>
        <v>37.471128324242713</v>
      </c>
      <c r="L48" s="124"/>
      <c r="M48" s="130">
        <f>M16/M15</f>
        <v>35.900220930432624</v>
      </c>
      <c r="O48" s="267" t="s">
        <v>41</v>
      </c>
      <c r="P48" s="267"/>
      <c r="Q48" s="136">
        <f>ROUND(((C34/AVERAGE(C16,E16))*100),2)</f>
        <v>9.01</v>
      </c>
      <c r="R48" s="124" t="s">
        <v>18</v>
      </c>
      <c r="S48" s="136">
        <f>ROUND(((E34/AVERAGE(E16,G16))*100),2)</f>
        <v>9</v>
      </c>
      <c r="T48" s="124" t="s">
        <v>18</v>
      </c>
      <c r="U48" s="136">
        <f>ROUND(((G34/AVERAGE(G16,I16))*100),2)</f>
        <v>8.9499999999999993</v>
      </c>
      <c r="V48" s="124" t="s">
        <v>18</v>
      </c>
      <c r="W48" s="136">
        <f>ROUND(((I34/AVERAGE(I16,K16))*100),2)</f>
        <v>8.61</v>
      </c>
      <c r="X48" s="124" t="s">
        <v>18</v>
      </c>
      <c r="Y48" s="136">
        <f>ROUND(((K34/AVERAGE(K16,M16))*100),2)</f>
        <v>8.4700000000000006</v>
      </c>
      <c r="Z48" s="124" t="s">
        <v>18</v>
      </c>
      <c r="AA48" s="136">
        <f>ROUND(AVERAGE(Q48:Y48),2)</f>
        <v>8.81</v>
      </c>
      <c r="AB48" s="124" t="s">
        <v>18</v>
      </c>
    </row>
    <row r="49" spans="1:28">
      <c r="C49" s="130"/>
      <c r="E49" s="130"/>
      <c r="F49" s="124"/>
      <c r="G49" s="130"/>
      <c r="H49" s="124"/>
      <c r="I49" s="130"/>
      <c r="J49" s="124"/>
      <c r="K49" s="130"/>
      <c r="L49" s="124"/>
      <c r="M49" s="130"/>
      <c r="Q49" s="136"/>
      <c r="R49" s="124"/>
      <c r="S49" s="136"/>
      <c r="T49" s="124"/>
      <c r="U49" s="136"/>
      <c r="V49" s="124"/>
      <c r="W49" s="136"/>
      <c r="X49" s="124"/>
      <c r="Y49" s="136"/>
      <c r="Z49" s="124"/>
      <c r="AA49" s="137"/>
      <c r="AB49" s="124"/>
    </row>
    <row r="50" spans="1:28">
      <c r="A50" s="252" t="s">
        <v>13</v>
      </c>
      <c r="B50" s="252" t="s">
        <v>50</v>
      </c>
      <c r="C50" s="130">
        <f>SUM(C12:C13,C16:C17)</f>
        <v>4032910000</v>
      </c>
      <c r="E50" s="130">
        <f>SUM(E12:E13,E16:E17)</f>
        <v>3834611000</v>
      </c>
      <c r="F50" s="124"/>
      <c r="G50" s="130">
        <f>SUM(G12:G13,G16:G17)</f>
        <v>3415454000</v>
      </c>
      <c r="H50" s="124"/>
      <c r="I50" s="130">
        <f>SUM(I12:I13,I16:I17)</f>
        <v>3328139000</v>
      </c>
      <c r="J50" s="124"/>
      <c r="K50" s="130">
        <f>SUM(K12:K13,K16:K17)</f>
        <v>3153466000</v>
      </c>
      <c r="L50" s="124"/>
      <c r="M50" s="130">
        <f>SUM(M12:M13,M16:M17)</f>
        <v>3080733000</v>
      </c>
      <c r="O50" s="267" t="s">
        <v>142</v>
      </c>
      <c r="Q50" s="136">
        <f>ROUND((C54/C62),2)</f>
        <v>4.2300000000000004</v>
      </c>
      <c r="R50" s="137" t="s">
        <v>44</v>
      </c>
      <c r="S50" s="136">
        <f>ROUND((E54/E62),2)</f>
        <v>4.08</v>
      </c>
      <c r="T50" s="137" t="s">
        <v>44</v>
      </c>
      <c r="U50" s="136">
        <f>ROUND((G54/G62),2)</f>
        <v>3.81</v>
      </c>
      <c r="V50" s="137" t="s">
        <v>44</v>
      </c>
      <c r="W50" s="136">
        <f>ROUND((I54/I62),2)</f>
        <v>3.63</v>
      </c>
      <c r="X50" s="137" t="s">
        <v>44</v>
      </c>
      <c r="Y50" s="136">
        <f>ROUND((K54/K62),2)</f>
        <v>3.41</v>
      </c>
      <c r="Z50" s="137" t="s">
        <v>44</v>
      </c>
      <c r="AA50" s="136">
        <f>ROUND(AVERAGE(Q50:Y50),2)</f>
        <v>3.83</v>
      </c>
      <c r="AB50" s="124" t="s">
        <v>44</v>
      </c>
    </row>
    <row r="51" spans="1:28">
      <c r="C51" s="130"/>
      <c r="E51" s="130"/>
      <c r="F51" s="124"/>
      <c r="G51" s="130"/>
      <c r="H51" s="124"/>
      <c r="I51" s="130"/>
      <c r="J51" s="124"/>
      <c r="K51" s="130"/>
      <c r="L51" s="124"/>
      <c r="M51" s="130"/>
      <c r="O51" s="267"/>
      <c r="Q51" s="136"/>
      <c r="R51" s="124"/>
      <c r="S51" s="136"/>
      <c r="T51" s="124"/>
      <c r="U51" s="136"/>
      <c r="V51" s="124"/>
      <c r="W51" s="136"/>
      <c r="X51" s="124"/>
      <c r="Y51" s="136"/>
      <c r="Z51" s="124"/>
      <c r="AA51" s="136"/>
      <c r="AB51" s="124"/>
    </row>
    <row r="52" spans="1:28">
      <c r="A52" s="252" t="s">
        <v>23</v>
      </c>
      <c r="B52" s="252" t="s">
        <v>50</v>
      </c>
      <c r="C52" s="130">
        <f>AVERAGE(C22:C23)</f>
        <v>72.335000000000008</v>
      </c>
      <c r="E52" s="130">
        <f>AVERAGE(E22:E23)</f>
        <v>81.62</v>
      </c>
      <c r="F52" s="124"/>
      <c r="G52" s="130">
        <f>AVERAGE(G22:G23)</f>
        <v>86.199999999999989</v>
      </c>
      <c r="H52" s="124"/>
      <c r="I52" s="130">
        <f>AVERAGE(I22:I23)</f>
        <v>74.89</v>
      </c>
      <c r="J52" s="124"/>
      <c r="K52" s="130">
        <f>AVERAGE(K22:K23)</f>
        <v>70.775000000000006</v>
      </c>
      <c r="L52" s="124"/>
      <c r="M52" s="130">
        <f>AVERAGE(M22:M23)</f>
        <v>57.495000000000005</v>
      </c>
      <c r="O52" s="267" t="s">
        <v>57</v>
      </c>
      <c r="Q52" s="136">
        <f>ROUND(((C60/C54)*100),2)</f>
        <v>14.11</v>
      </c>
      <c r="R52" s="137" t="s">
        <v>18</v>
      </c>
      <c r="S52" s="136">
        <f>ROUND(((E60/E54)*100),2)</f>
        <v>14.35</v>
      </c>
      <c r="T52" s="137" t="s">
        <v>18</v>
      </c>
      <c r="U52" s="136">
        <f>ROUND(((G60/G54)*100),2)</f>
        <v>12.06</v>
      </c>
      <c r="V52" s="137" t="s">
        <v>18</v>
      </c>
      <c r="W52" s="136">
        <f>ROUND(((I60/I54)*100),2)</f>
        <v>33.42</v>
      </c>
      <c r="X52" s="137" t="s">
        <v>18</v>
      </c>
      <c r="Y52" s="136">
        <f>ROUND(((K60/K54)*100),2)</f>
        <v>15.01</v>
      </c>
      <c r="Z52" s="137" t="s">
        <v>18</v>
      </c>
      <c r="AA52" s="136">
        <f>ROUND(AVERAGE(Q52:Y52),2)</f>
        <v>17.79</v>
      </c>
      <c r="AB52" s="124" t="s">
        <v>18</v>
      </c>
    </row>
    <row r="53" spans="1:28">
      <c r="C53" s="130"/>
      <c r="E53" s="130"/>
      <c r="F53" s="124"/>
      <c r="G53" s="130"/>
      <c r="H53" s="124"/>
      <c r="I53" s="130"/>
      <c r="J53" s="124"/>
      <c r="K53" s="130"/>
      <c r="L53" s="124"/>
      <c r="M53" s="130"/>
      <c r="O53" s="266"/>
      <c r="Q53" s="136"/>
      <c r="R53" s="124"/>
      <c r="S53" s="136"/>
      <c r="T53" s="124"/>
      <c r="U53" s="136"/>
      <c r="V53" s="124"/>
      <c r="W53" s="136"/>
      <c r="X53" s="124"/>
      <c r="Y53" s="136"/>
      <c r="Z53" s="124"/>
      <c r="AA53" s="124"/>
      <c r="AB53" s="124"/>
    </row>
    <row r="54" spans="1:28">
      <c r="A54" s="252" t="s">
        <v>53</v>
      </c>
      <c r="C54" s="214">
        <f>+C19+C12</f>
        <v>2177378000</v>
      </c>
      <c r="E54" s="214">
        <f>+E19+E12</f>
        <v>2019525000</v>
      </c>
      <c r="F54" s="124"/>
      <c r="G54" s="214">
        <f>+G19+G12</f>
        <v>1802564000</v>
      </c>
      <c r="H54" s="124"/>
      <c r="I54" s="214">
        <f>+I19+I12</f>
        <v>1584983000</v>
      </c>
      <c r="J54" s="124"/>
      <c r="K54" s="214">
        <f>+K19+K12</f>
        <v>1550472000</v>
      </c>
      <c r="L54" s="124"/>
      <c r="M54" s="214">
        <f>+M19+M12</f>
        <v>1337453000</v>
      </c>
      <c r="O54" s="266" t="s">
        <v>56</v>
      </c>
      <c r="Q54" s="136">
        <f>Q33</f>
        <v>48.1</v>
      </c>
      <c r="R54" s="137" t="s">
        <v>18</v>
      </c>
      <c r="S54" s="136">
        <f>S33</f>
        <v>47.49</v>
      </c>
      <c r="T54" s="137" t="s">
        <v>18</v>
      </c>
      <c r="U54" s="136">
        <f>U33</f>
        <v>45.84</v>
      </c>
      <c r="V54" s="137" t="s">
        <v>18</v>
      </c>
      <c r="W54" s="136">
        <f>W33</f>
        <v>43.69</v>
      </c>
      <c r="X54" s="137" t="s">
        <v>18</v>
      </c>
      <c r="Y54" s="136">
        <f>Y33</f>
        <v>44.16</v>
      </c>
      <c r="Z54" s="137" t="s">
        <v>18</v>
      </c>
      <c r="AA54" s="136">
        <f>ROUND(AVERAGE(Q54:Y54),2)</f>
        <v>45.86</v>
      </c>
      <c r="AB54" s="137" t="s">
        <v>18</v>
      </c>
    </row>
    <row r="55" spans="1:28">
      <c r="C55" s="130"/>
      <c r="E55" s="130"/>
      <c r="F55" s="124"/>
      <c r="G55" s="130"/>
      <c r="H55" s="124"/>
      <c r="I55" s="130"/>
      <c r="J55" s="124"/>
      <c r="K55" s="130"/>
      <c r="L55" s="124"/>
      <c r="M55" s="130"/>
      <c r="Q55" s="124"/>
      <c r="R55" s="124"/>
      <c r="S55" s="124"/>
      <c r="T55" s="124"/>
      <c r="U55" s="124"/>
      <c r="V55" s="124"/>
      <c r="W55" s="124"/>
      <c r="X55" s="124"/>
      <c r="Y55" s="124"/>
      <c r="Z55" s="124"/>
      <c r="AA55" s="124"/>
      <c r="AB55" s="124"/>
    </row>
    <row r="56" spans="1:28">
      <c r="A56" s="252" t="s">
        <v>31</v>
      </c>
      <c r="B56" s="252" t="s">
        <v>50</v>
      </c>
      <c r="C56" s="130">
        <f>SUM(C50,C19)</f>
        <v>4526910000</v>
      </c>
      <c r="E56" s="130">
        <f>SUM(E50,E19)</f>
        <v>4252836000</v>
      </c>
      <c r="F56" s="124"/>
      <c r="G56" s="130">
        <f>SUM(G50,G19)</f>
        <v>3931954000</v>
      </c>
      <c r="H56" s="124"/>
      <c r="I56" s="130">
        <f>SUM(I50,I19)</f>
        <v>3627639000</v>
      </c>
      <c r="J56" s="124"/>
      <c r="K56" s="130">
        <f>SUM(K50,K19)</f>
        <v>3510681000</v>
      </c>
      <c r="L56" s="124"/>
      <c r="M56" s="130">
        <f>SUM(M50,M19)</f>
        <v>3225733000</v>
      </c>
    </row>
    <row r="57" spans="1:28">
      <c r="C57" s="130"/>
      <c r="E57" s="130"/>
      <c r="F57" s="124"/>
      <c r="G57" s="130"/>
      <c r="H57" s="124"/>
      <c r="I57" s="130"/>
      <c r="J57" s="124"/>
      <c r="K57" s="130"/>
      <c r="L57" s="124"/>
      <c r="M57" s="130"/>
    </row>
    <row r="58" spans="1:28">
      <c r="A58" s="252" t="s">
        <v>51</v>
      </c>
      <c r="B58" s="252" t="s">
        <v>50</v>
      </c>
      <c r="C58" s="130">
        <f>SUM(C13,C17)</f>
        <v>0</v>
      </c>
      <c r="E58" s="130">
        <f>SUM(E13,E17)</f>
        <v>0</v>
      </c>
      <c r="F58" s="124"/>
      <c r="G58" s="130">
        <f>SUM(G13,G17)</f>
        <v>0</v>
      </c>
      <c r="H58" s="124"/>
      <c r="I58" s="130">
        <f>SUM(I13,I17)</f>
        <v>0</v>
      </c>
      <c r="J58" s="124"/>
      <c r="K58" s="130">
        <f>SUM(K13,K17)</f>
        <v>0</v>
      </c>
      <c r="L58" s="124"/>
      <c r="M58" s="130">
        <f>SUM(M13,M17)</f>
        <v>0</v>
      </c>
    </row>
    <row r="59" spans="1:28">
      <c r="C59" s="130"/>
      <c r="E59" s="130"/>
      <c r="F59" s="124"/>
      <c r="G59" s="130"/>
      <c r="H59" s="124"/>
      <c r="I59" s="130"/>
      <c r="J59" s="124"/>
      <c r="K59" s="130"/>
      <c r="L59" s="124"/>
      <c r="M59" s="130"/>
    </row>
    <row r="60" spans="1:28">
      <c r="A60" s="265" t="s">
        <v>1466</v>
      </c>
      <c r="B60" s="252" t="s">
        <v>50</v>
      </c>
      <c r="C60" s="130">
        <f>ROUND(C41+C42-C28,3)</f>
        <v>307309000</v>
      </c>
      <c r="E60" s="130">
        <f>ROUND(E41+E42-E28,3)</f>
        <v>289769000</v>
      </c>
      <c r="F60" s="124"/>
      <c r="G60" s="130">
        <f>ROUND(G41+G42-G28,3)</f>
        <v>217331000</v>
      </c>
      <c r="H60" s="124"/>
      <c r="I60" s="130">
        <f>ROUND(I41+I42-I28,3)</f>
        <v>529725000</v>
      </c>
      <c r="J60" s="124"/>
      <c r="K60" s="130">
        <f>ROUND(K41+K42-K28,3)</f>
        <v>232692000</v>
      </c>
      <c r="L60" s="124"/>
      <c r="M60" s="130">
        <f>ROUND(M41+M42-M28,3)</f>
        <v>247314000</v>
      </c>
    </row>
    <row r="61" spans="1:28">
      <c r="A61" s="265"/>
      <c r="C61" s="130"/>
      <c r="E61" s="130"/>
      <c r="F61" s="124"/>
      <c r="G61" s="130"/>
      <c r="H61" s="124"/>
      <c r="I61" s="130"/>
      <c r="J61" s="124"/>
      <c r="K61" s="130"/>
      <c r="L61" s="124"/>
      <c r="M61" s="130"/>
    </row>
    <row r="62" spans="1:28">
      <c r="A62" s="252" t="s">
        <v>1467</v>
      </c>
      <c r="B62" s="252" t="s">
        <v>50</v>
      </c>
      <c r="C62" s="130">
        <f>C40+C44+C43+C30</f>
        <v>514284000</v>
      </c>
      <c r="E62" s="130">
        <f>E40+E44+E43+E30</f>
        <v>495377000</v>
      </c>
      <c r="F62" s="124"/>
      <c r="G62" s="130">
        <f>G40+G44+G43+G30</f>
        <v>472677000</v>
      </c>
      <c r="H62" s="124"/>
      <c r="I62" s="130">
        <f>I40+I44+I43+I30</f>
        <v>437156000</v>
      </c>
      <c r="J62" s="124"/>
      <c r="K62" s="130">
        <f>K40+K44+K43+K30</f>
        <v>454092000</v>
      </c>
      <c r="L62" s="124"/>
      <c r="M62" s="130">
        <f>M40+M44+M43+M30</f>
        <v>412906000</v>
      </c>
    </row>
    <row r="63" spans="1:28">
      <c r="E63" s="260"/>
      <c r="F63" s="260"/>
      <c r="G63" s="260"/>
      <c r="H63" s="260"/>
      <c r="I63" s="260"/>
      <c r="J63" s="260"/>
      <c r="K63" s="260"/>
    </row>
    <row r="64" spans="1:28">
      <c r="E64" s="260"/>
      <c r="F64" s="260"/>
      <c r="G64" s="260"/>
      <c r="H64" s="260"/>
      <c r="I64" s="260"/>
      <c r="J64" s="260"/>
      <c r="K64" s="260"/>
    </row>
    <row r="71" spans="5:11">
      <c r="E71" s="260"/>
      <c r="F71" s="260"/>
      <c r="G71" s="260"/>
      <c r="H71" s="260"/>
      <c r="I71" s="260"/>
      <c r="J71" s="260"/>
      <c r="K71" s="260"/>
    </row>
    <row r="81" spans="5:221">
      <c r="HI81" s="264"/>
      <c r="HJ81" s="264"/>
      <c r="HM81" s="252" t="s">
        <v>48</v>
      </c>
    </row>
    <row r="94" spans="5:221">
      <c r="E94" s="260"/>
      <c r="F94" s="260"/>
      <c r="G94" s="260"/>
      <c r="H94" s="260"/>
      <c r="I94" s="260"/>
      <c r="J94" s="260"/>
      <c r="K94" s="260"/>
    </row>
    <row r="95" spans="5:221">
      <c r="E95" s="260"/>
      <c r="F95" s="260"/>
      <c r="G95" s="260"/>
      <c r="H95" s="260"/>
      <c r="I95" s="260"/>
      <c r="J95" s="260"/>
      <c r="K95" s="260"/>
    </row>
    <row r="96" spans="5:221">
      <c r="E96" s="260"/>
      <c r="F96" s="260"/>
      <c r="G96" s="260"/>
      <c r="H96" s="260"/>
      <c r="I96" s="260"/>
      <c r="J96" s="260"/>
      <c r="K96" s="260"/>
    </row>
    <row r="97" spans="5:11">
      <c r="E97" s="260"/>
      <c r="F97" s="260"/>
      <c r="G97" s="260"/>
      <c r="H97" s="260"/>
      <c r="I97" s="260"/>
      <c r="J97" s="260"/>
      <c r="K97" s="260"/>
    </row>
    <row r="98" spans="5:11">
      <c r="E98" s="260"/>
      <c r="F98" s="260"/>
      <c r="G98" s="260"/>
      <c r="H98" s="260"/>
      <c r="I98" s="260"/>
      <c r="J98" s="260"/>
      <c r="K98" s="260"/>
    </row>
    <row r="99" spans="5:11">
      <c r="E99" s="260"/>
      <c r="F99" s="260"/>
      <c r="G99" s="260"/>
      <c r="H99" s="260"/>
      <c r="I99" s="260"/>
      <c r="J99" s="260"/>
      <c r="K99" s="260"/>
    </row>
    <row r="100" spans="5:11">
      <c r="E100" s="260"/>
      <c r="F100" s="260"/>
      <c r="G100" s="260"/>
      <c r="H100" s="260"/>
      <c r="I100" s="260"/>
      <c r="J100" s="260"/>
      <c r="K100" s="260"/>
    </row>
    <row r="101" spans="5:11">
      <c r="E101" s="260"/>
      <c r="F101" s="260"/>
      <c r="G101" s="260"/>
      <c r="H101" s="260"/>
      <c r="I101" s="260"/>
      <c r="J101" s="260"/>
      <c r="K101" s="260"/>
    </row>
    <row r="102" spans="5:11">
      <c r="E102" s="260"/>
      <c r="F102" s="260"/>
      <c r="G102" s="260"/>
      <c r="H102" s="260"/>
      <c r="I102" s="260"/>
      <c r="J102" s="260"/>
      <c r="K102" s="260"/>
    </row>
    <row r="103" spans="5:11">
      <c r="E103" s="260"/>
      <c r="F103" s="260"/>
      <c r="G103" s="260"/>
      <c r="H103" s="260"/>
      <c r="I103" s="260"/>
      <c r="J103" s="260"/>
      <c r="K103" s="260"/>
    </row>
    <row r="104" spans="5:11">
      <c r="E104" s="260"/>
      <c r="F104" s="260"/>
      <c r="G104" s="260"/>
      <c r="H104" s="260"/>
      <c r="I104" s="260"/>
      <c r="J104" s="260"/>
      <c r="K104" s="260"/>
    </row>
    <row r="105" spans="5:11">
      <c r="E105" s="260"/>
      <c r="F105" s="260"/>
      <c r="G105" s="260"/>
      <c r="H105" s="260"/>
      <c r="I105" s="260"/>
      <c r="J105" s="260"/>
      <c r="K105" s="260"/>
    </row>
    <row r="106" spans="5:11">
      <c r="E106" s="260"/>
      <c r="F106" s="260"/>
      <c r="G106" s="260"/>
      <c r="H106" s="260"/>
      <c r="I106" s="260"/>
      <c r="J106" s="260"/>
      <c r="K106" s="260"/>
    </row>
    <row r="107" spans="5:11">
      <c r="E107" s="260"/>
      <c r="F107" s="260"/>
      <c r="G107" s="260"/>
      <c r="H107" s="260"/>
      <c r="I107" s="260"/>
      <c r="J107" s="260"/>
      <c r="K107" s="260"/>
    </row>
    <row r="108" spans="5:11">
      <c r="E108" s="260"/>
      <c r="F108" s="260"/>
      <c r="G108" s="260"/>
      <c r="H108" s="260"/>
      <c r="I108" s="260"/>
      <c r="J108" s="260"/>
      <c r="K108" s="260"/>
    </row>
    <row r="109" spans="5:11">
      <c r="E109" s="260"/>
      <c r="F109" s="260"/>
      <c r="G109" s="260"/>
      <c r="H109" s="260"/>
      <c r="I109" s="260"/>
      <c r="J109" s="260"/>
      <c r="K109" s="260"/>
    </row>
    <row r="110" spans="5:11">
      <c r="E110" s="260"/>
      <c r="F110" s="260"/>
      <c r="G110" s="260"/>
      <c r="H110" s="260"/>
      <c r="I110" s="260"/>
      <c r="J110" s="260"/>
      <c r="K110" s="260"/>
    </row>
    <row r="111" spans="5:11">
      <c r="E111" s="260"/>
      <c r="F111" s="260"/>
      <c r="G111" s="260"/>
      <c r="H111" s="260"/>
      <c r="I111" s="260"/>
      <c r="J111" s="260"/>
      <c r="K111" s="260"/>
    </row>
    <row r="112" spans="5:11">
      <c r="E112" s="260"/>
      <c r="F112" s="260"/>
      <c r="G112" s="260"/>
      <c r="H112" s="260"/>
      <c r="I112" s="260"/>
      <c r="J112" s="260"/>
      <c r="K112" s="260"/>
    </row>
    <row r="113" spans="5:11">
      <c r="E113" s="260"/>
      <c r="F113" s="260"/>
      <c r="G113" s="260"/>
      <c r="H113" s="260"/>
      <c r="I113" s="260"/>
      <c r="J113" s="260"/>
      <c r="K113" s="260"/>
    </row>
    <row r="114" spans="5:11">
      <c r="E114" s="260"/>
      <c r="F114" s="260"/>
      <c r="G114" s="260"/>
      <c r="H114" s="260"/>
      <c r="I114" s="260"/>
      <c r="J114" s="260"/>
      <c r="K114" s="260"/>
    </row>
    <row r="115" spans="5:11">
      <c r="E115" s="260"/>
      <c r="F115" s="260"/>
      <c r="G115" s="260"/>
      <c r="H115" s="260"/>
      <c r="I115" s="260"/>
      <c r="J115" s="260"/>
      <c r="K115" s="260"/>
    </row>
    <row r="116" spans="5:11">
      <c r="E116" s="260"/>
      <c r="F116" s="260"/>
      <c r="G116" s="260"/>
      <c r="H116" s="260"/>
      <c r="I116" s="260"/>
      <c r="J116" s="260"/>
      <c r="K116" s="260"/>
    </row>
    <row r="117" spans="5:11">
      <c r="E117" s="260"/>
      <c r="F117" s="260"/>
      <c r="G117" s="260"/>
      <c r="H117" s="260"/>
      <c r="I117" s="260"/>
      <c r="J117" s="260"/>
      <c r="K117" s="260"/>
    </row>
    <row r="118" spans="5:11">
      <c r="E118" s="260"/>
      <c r="F118" s="260"/>
      <c r="G118" s="260"/>
      <c r="H118" s="260"/>
      <c r="I118" s="260"/>
      <c r="J118" s="260"/>
      <c r="K118" s="260"/>
    </row>
    <row r="119" spans="5:11">
      <c r="E119" s="260"/>
      <c r="F119" s="260"/>
      <c r="G119" s="260"/>
      <c r="H119" s="260"/>
      <c r="I119" s="260"/>
      <c r="J119" s="260"/>
      <c r="K119" s="260"/>
    </row>
    <row r="120" spans="5:11">
      <c r="E120" s="260"/>
      <c r="F120" s="260"/>
      <c r="G120" s="260"/>
      <c r="H120" s="260"/>
      <c r="I120" s="260"/>
      <c r="J120" s="260"/>
      <c r="K120" s="260"/>
    </row>
    <row r="121" spans="5:11">
      <c r="E121" s="260"/>
      <c r="F121" s="260"/>
      <c r="G121" s="260"/>
      <c r="H121" s="260"/>
      <c r="I121" s="260"/>
      <c r="J121" s="260"/>
      <c r="K121" s="260"/>
    </row>
    <row r="122" spans="5:11">
      <c r="E122" s="260"/>
      <c r="F122" s="260"/>
      <c r="G122" s="260"/>
      <c r="H122" s="260"/>
      <c r="I122" s="260"/>
      <c r="J122" s="260"/>
      <c r="K122" s="260"/>
    </row>
    <row r="123" spans="5:11">
      <c r="E123" s="260"/>
      <c r="F123" s="260"/>
      <c r="G123" s="260"/>
      <c r="H123" s="260"/>
      <c r="I123" s="260"/>
      <c r="J123" s="260"/>
      <c r="K123" s="260"/>
    </row>
    <row r="124" spans="5:11">
      <c r="E124" s="260"/>
      <c r="F124" s="260"/>
      <c r="G124" s="260"/>
      <c r="H124" s="260"/>
      <c r="I124" s="260"/>
      <c r="J124" s="260"/>
      <c r="K124" s="260"/>
    </row>
    <row r="125" spans="5:11">
      <c r="E125" s="260"/>
      <c r="F125" s="260"/>
      <c r="G125" s="260"/>
      <c r="H125" s="260"/>
      <c r="I125" s="260"/>
      <c r="J125" s="260"/>
      <c r="K125" s="260"/>
    </row>
    <row r="126" spans="5:11">
      <c r="E126" s="260"/>
      <c r="F126" s="260"/>
      <c r="G126" s="260"/>
      <c r="H126" s="260"/>
      <c r="I126" s="260"/>
      <c r="J126" s="260"/>
      <c r="K126" s="260"/>
    </row>
    <row r="127" spans="5:11">
      <c r="E127" s="260"/>
      <c r="F127" s="260"/>
      <c r="G127" s="260"/>
      <c r="H127" s="260"/>
      <c r="I127" s="260"/>
      <c r="J127" s="260"/>
      <c r="K127" s="260"/>
    </row>
    <row r="128" spans="5:11">
      <c r="E128" s="260"/>
      <c r="F128" s="260"/>
      <c r="G128" s="260"/>
      <c r="H128" s="260"/>
      <c r="I128" s="260"/>
      <c r="J128" s="260"/>
      <c r="K128" s="260"/>
    </row>
    <row r="129" spans="5:11">
      <c r="E129" s="260"/>
      <c r="F129" s="260"/>
      <c r="G129" s="260"/>
      <c r="H129" s="260"/>
      <c r="I129" s="260"/>
      <c r="J129" s="260"/>
      <c r="K129" s="260"/>
    </row>
    <row r="130" spans="5:11">
      <c r="E130" s="260"/>
      <c r="F130" s="260"/>
      <c r="G130" s="260"/>
      <c r="H130" s="260"/>
      <c r="I130" s="260"/>
      <c r="J130" s="260"/>
      <c r="K130" s="260"/>
    </row>
    <row r="131" spans="5:11">
      <c r="E131" s="260"/>
      <c r="F131" s="260"/>
      <c r="G131" s="260"/>
      <c r="H131" s="260"/>
      <c r="I131" s="260"/>
      <c r="J131" s="260"/>
      <c r="K131" s="260"/>
    </row>
    <row r="132" spans="5:11">
      <c r="E132" s="260"/>
      <c r="F132" s="260"/>
      <c r="G132" s="260"/>
      <c r="H132" s="260"/>
      <c r="I132" s="260"/>
      <c r="J132" s="260"/>
      <c r="K132" s="260"/>
    </row>
    <row r="133" spans="5:11">
      <c r="E133" s="260"/>
      <c r="F133" s="260"/>
      <c r="G133" s="260"/>
      <c r="H133" s="260"/>
      <c r="I133" s="260"/>
      <c r="J133" s="260"/>
      <c r="K133" s="260"/>
    </row>
    <row r="134" spans="5:11">
      <c r="E134" s="260"/>
      <c r="F134" s="260"/>
      <c r="G134" s="260"/>
      <c r="H134" s="260"/>
      <c r="I134" s="260"/>
      <c r="J134" s="260"/>
      <c r="K134" s="260"/>
    </row>
    <row r="135" spans="5:11">
      <c r="E135" s="260"/>
      <c r="F135" s="260"/>
      <c r="G135" s="260"/>
      <c r="H135" s="260"/>
      <c r="I135" s="260"/>
      <c r="J135" s="260"/>
      <c r="K135" s="260"/>
    </row>
    <row r="136" spans="5:11">
      <c r="E136" s="260"/>
      <c r="F136" s="260"/>
      <c r="G136" s="260"/>
      <c r="H136" s="260"/>
      <c r="I136" s="260"/>
      <c r="J136" s="260"/>
      <c r="K136" s="260"/>
    </row>
    <row r="137" spans="5:11">
      <c r="E137" s="260"/>
      <c r="F137" s="260"/>
      <c r="G137" s="260"/>
      <c r="H137" s="260"/>
      <c r="I137" s="260"/>
      <c r="J137" s="260"/>
      <c r="K137" s="260"/>
    </row>
    <row r="138" spans="5:11">
      <c r="E138" s="260"/>
      <c r="F138" s="260"/>
      <c r="G138" s="260"/>
      <c r="H138" s="260"/>
      <c r="I138" s="260"/>
      <c r="J138" s="260"/>
      <c r="K138" s="260"/>
    </row>
    <row r="139" spans="5:11">
      <c r="E139" s="260"/>
      <c r="F139" s="260"/>
      <c r="G139" s="260"/>
      <c r="H139" s="260"/>
      <c r="I139" s="260"/>
      <c r="J139" s="260"/>
      <c r="K139" s="260"/>
    </row>
    <row r="140" spans="5:11">
      <c r="E140" s="260"/>
      <c r="F140" s="260"/>
      <c r="G140" s="260"/>
      <c r="H140" s="260"/>
      <c r="I140" s="260"/>
      <c r="J140" s="260"/>
      <c r="K140" s="260"/>
    </row>
    <row r="141" spans="5:11">
      <c r="E141" s="260"/>
      <c r="F141" s="260"/>
      <c r="G141" s="260"/>
      <c r="H141" s="260"/>
      <c r="I141" s="260"/>
      <c r="J141" s="260"/>
      <c r="K141" s="260"/>
    </row>
    <row r="142" spans="5:11">
      <c r="E142" s="260"/>
      <c r="F142" s="260"/>
      <c r="G142" s="260"/>
      <c r="H142" s="260"/>
      <c r="I142" s="260"/>
      <c r="J142" s="260"/>
      <c r="K142" s="260"/>
    </row>
    <row r="143" spans="5:11">
      <c r="E143" s="260"/>
      <c r="F143" s="260"/>
      <c r="G143" s="260"/>
      <c r="H143" s="260"/>
      <c r="I143" s="260"/>
      <c r="J143" s="260"/>
      <c r="K143" s="260"/>
    </row>
    <row r="144" spans="5:11">
      <c r="E144" s="260"/>
      <c r="F144" s="260"/>
      <c r="G144" s="260"/>
      <c r="H144" s="260"/>
      <c r="I144" s="260"/>
      <c r="J144" s="260"/>
      <c r="K144" s="260"/>
    </row>
    <row r="145" spans="5:11">
      <c r="E145" s="260"/>
      <c r="F145" s="260"/>
      <c r="G145" s="260"/>
      <c r="H145" s="260"/>
      <c r="I145" s="260"/>
      <c r="J145" s="260"/>
      <c r="K145" s="260"/>
    </row>
    <row r="146" spans="5:11">
      <c r="E146" s="260"/>
      <c r="F146" s="260"/>
      <c r="G146" s="260"/>
      <c r="H146" s="260"/>
      <c r="I146" s="260"/>
      <c r="J146" s="260"/>
      <c r="K146" s="260"/>
    </row>
    <row r="147" spans="5:11">
      <c r="E147" s="260"/>
      <c r="F147" s="260"/>
      <c r="G147" s="260"/>
      <c r="H147" s="260"/>
      <c r="I147" s="260"/>
      <c r="J147" s="260"/>
      <c r="K147" s="260"/>
    </row>
    <row r="148" spans="5:11">
      <c r="E148" s="260"/>
      <c r="F148" s="260"/>
      <c r="G148" s="260"/>
      <c r="H148" s="260"/>
      <c r="I148" s="260"/>
      <c r="J148" s="260"/>
      <c r="K148" s="260"/>
    </row>
    <row r="149" spans="5:11">
      <c r="E149" s="260"/>
      <c r="F149" s="260"/>
      <c r="G149" s="260"/>
      <c r="H149" s="260"/>
      <c r="I149" s="260"/>
      <c r="J149" s="260"/>
      <c r="K149" s="260"/>
    </row>
    <row r="150" spans="5:11">
      <c r="E150" s="260"/>
      <c r="F150" s="260"/>
      <c r="G150" s="260"/>
      <c r="H150" s="260"/>
      <c r="I150" s="260"/>
      <c r="J150" s="260"/>
      <c r="K150" s="260"/>
    </row>
    <row r="151" spans="5:11">
      <c r="E151" s="260"/>
      <c r="F151" s="260"/>
      <c r="G151" s="260"/>
      <c r="H151" s="260"/>
      <c r="I151" s="260"/>
      <c r="J151" s="260"/>
      <c r="K151" s="260"/>
    </row>
    <row r="152" spans="5:11">
      <c r="E152" s="260"/>
      <c r="F152" s="260"/>
      <c r="G152" s="260"/>
      <c r="H152" s="260"/>
      <c r="I152" s="260"/>
      <c r="J152" s="260"/>
      <c r="K152" s="260"/>
    </row>
    <row r="153" spans="5:11">
      <c r="E153" s="260"/>
      <c r="F153" s="260"/>
      <c r="G153" s="260"/>
      <c r="H153" s="260"/>
      <c r="I153" s="260"/>
      <c r="J153" s="260"/>
      <c r="K153" s="260"/>
    </row>
    <row r="154" spans="5:11">
      <c r="E154" s="260"/>
      <c r="F154" s="260"/>
      <c r="G154" s="260"/>
      <c r="H154" s="260"/>
      <c r="I154" s="260"/>
      <c r="J154" s="260"/>
      <c r="K154" s="260"/>
    </row>
  </sheetData>
  <mergeCells count="2">
    <mergeCell ref="AA24:AB24"/>
    <mergeCell ref="AA25:AB25"/>
  </mergeCells>
  <printOptions horizontalCentered="1"/>
  <pageMargins left="0.75" right="0.75" top="1" bottom="1" header="0.5" footer="0.5"/>
  <pageSetup scale="10"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HM154"/>
  <sheetViews>
    <sheetView topLeftCell="A19" zoomScale="65" workbookViewId="0">
      <selection activeCell="C41" sqref="C41"/>
    </sheetView>
  </sheetViews>
  <sheetFormatPr defaultColWidth="9" defaultRowHeight="13.2"/>
  <cols>
    <col min="1" max="1" width="36.33203125" style="124" customWidth="1"/>
    <col min="2" max="2" width="15.33203125" style="124" bestFit="1" customWidth="1"/>
    <col min="3" max="3" width="18.6640625" style="124" customWidth="1"/>
    <col min="4" max="4" width="2.5546875" style="124" customWidth="1"/>
    <col min="5" max="5" width="18.6640625" style="124" customWidth="1"/>
    <col min="6" max="6" width="2" style="124" customWidth="1"/>
    <col min="7" max="7" width="18.6640625" style="124" customWidth="1"/>
    <col min="8" max="8" width="1.88671875" style="124" customWidth="1"/>
    <col min="9" max="9" width="18.6640625" style="124" customWidth="1"/>
    <col min="10" max="10" width="1.88671875" style="124" customWidth="1"/>
    <col min="11" max="11" width="18.6640625" style="124" customWidth="1"/>
    <col min="12" max="12" width="2.33203125" style="124" customWidth="1"/>
    <col min="13" max="13" width="18.6640625" style="124" customWidth="1"/>
    <col min="14" max="14" width="9" style="124"/>
    <col min="15" max="15" width="53.33203125" style="124" bestFit="1" customWidth="1"/>
    <col min="16" max="16" width="6.6640625" style="124" customWidth="1"/>
    <col min="17" max="17" width="10.6640625" style="124" bestFit="1" customWidth="1"/>
    <col min="18" max="18" width="2.6640625" style="124" bestFit="1" customWidth="1"/>
    <col min="19" max="19" width="10.6640625" style="124" bestFit="1" customWidth="1"/>
    <col min="20" max="20" width="2.6640625" style="124" customWidth="1"/>
    <col min="21" max="21" width="10.33203125" style="124" bestFit="1" customWidth="1"/>
    <col min="22" max="22" width="2.6640625" style="124" customWidth="1"/>
    <col min="23" max="23" width="10.6640625" style="124" bestFit="1" customWidth="1"/>
    <col min="24" max="24" width="2.6640625" style="124" customWidth="1"/>
    <col min="25" max="25" width="10.6640625" style="124" bestFit="1" customWidth="1"/>
    <col min="26" max="26" width="2.6640625" style="124" customWidth="1"/>
    <col min="27" max="27" width="10.5546875" style="124" customWidth="1"/>
    <col min="28" max="28" width="2.6640625" style="124" customWidth="1"/>
    <col min="29" max="29" width="9" style="124"/>
    <col min="30" max="30" width="4.33203125" style="124" customWidth="1"/>
    <col min="31" max="31" width="3.6640625" style="124" customWidth="1"/>
    <col min="32" max="32" width="22.33203125" style="124" customWidth="1"/>
    <col min="33" max="16384" width="9" style="124"/>
  </cols>
  <sheetData>
    <row r="1" spans="1:27" ht="16.2" customHeight="1">
      <c r="A1" s="333"/>
    </row>
    <row r="2" spans="1:27" ht="16.2" customHeight="1">
      <c r="A2" s="333"/>
    </row>
    <row r="3" spans="1:27" ht="16.2" customHeight="1">
      <c r="A3" s="333"/>
    </row>
    <row r="4" spans="1:27" ht="16.2" customHeight="1" thickBot="1">
      <c r="A4" s="333"/>
    </row>
    <row r="5" spans="1:27" ht="16.8">
      <c r="A5" s="332" t="s">
        <v>2255</v>
      </c>
    </row>
    <row r="6" spans="1:27" ht="14.4" thickBot="1">
      <c r="A6" s="331" t="s">
        <v>3055</v>
      </c>
      <c r="E6" s="127" t="s">
        <v>3066</v>
      </c>
      <c r="F6" s="127"/>
      <c r="G6" s="128"/>
      <c r="H6" s="128"/>
      <c r="I6" s="128"/>
      <c r="J6" s="128"/>
      <c r="K6" s="128"/>
      <c r="L6" s="259"/>
      <c r="M6" s="259"/>
      <c r="O6" s="129" t="str">
        <f>E6</f>
        <v>Spire Inc.</v>
      </c>
      <c r="P6" s="128"/>
      <c r="Q6" s="128"/>
      <c r="R6" s="127"/>
      <c r="S6" s="128"/>
      <c r="T6" s="128"/>
      <c r="U6" s="128"/>
      <c r="V6" s="128"/>
      <c r="W6" s="128"/>
      <c r="X6" s="128"/>
      <c r="Y6" s="128"/>
      <c r="Z6" s="128"/>
      <c r="AA6" s="128"/>
    </row>
    <row r="7" spans="1:27" ht="13.8">
      <c r="E7" s="128" t="s">
        <v>0</v>
      </c>
      <c r="F7" s="128"/>
      <c r="G7" s="128"/>
      <c r="H7" s="128"/>
      <c r="I7" s="128"/>
      <c r="J7" s="128"/>
      <c r="K7" s="128"/>
      <c r="L7" s="259"/>
      <c r="M7" s="259"/>
      <c r="O7" s="128" t="str">
        <f>E7</f>
        <v>CAPITALIZATION AND FINANCIAL STATISTICS  (1)</v>
      </c>
      <c r="P7" s="128"/>
      <c r="Q7" s="128"/>
      <c r="R7" s="128"/>
      <c r="S7" s="128"/>
      <c r="T7" s="128"/>
      <c r="U7" s="128"/>
      <c r="V7" s="128"/>
      <c r="W7" s="128"/>
      <c r="X7" s="128"/>
      <c r="Y7" s="128"/>
      <c r="Z7" s="128"/>
      <c r="AA7" s="128"/>
    </row>
    <row r="8" spans="1:27" ht="13.8">
      <c r="E8" s="127" t="s">
        <v>4355</v>
      </c>
      <c r="F8" s="127"/>
      <c r="G8" s="128"/>
      <c r="H8" s="128"/>
      <c r="I8" s="128"/>
      <c r="J8" s="128"/>
      <c r="K8" s="128"/>
      <c r="L8" s="259"/>
      <c r="M8" s="259"/>
      <c r="O8" s="127" t="str">
        <f>E8</f>
        <v>2016 - 2021, Inclusive</v>
      </c>
      <c r="P8" s="128"/>
      <c r="Q8" s="128"/>
      <c r="R8" s="127"/>
      <c r="S8" s="128"/>
      <c r="T8" s="128"/>
      <c r="U8" s="128"/>
      <c r="V8" s="128"/>
      <c r="W8" s="128"/>
      <c r="X8" s="128"/>
      <c r="Y8" s="128"/>
      <c r="Z8" s="128"/>
      <c r="AA8" s="128"/>
    </row>
    <row r="9" spans="1:27">
      <c r="O9" s="128"/>
      <c r="P9" s="128"/>
      <c r="Q9" s="127"/>
      <c r="R9" s="127"/>
      <c r="S9" s="128"/>
      <c r="T9" s="128"/>
      <c r="U9" s="128"/>
      <c r="V9" s="128"/>
      <c r="W9" s="128"/>
      <c r="X9" s="128"/>
      <c r="Y9" s="128"/>
      <c r="Z9" s="128"/>
      <c r="AA9" s="128"/>
    </row>
    <row r="10" spans="1:27">
      <c r="B10" s="124" t="s">
        <v>4381</v>
      </c>
      <c r="C10" s="326">
        <v>2021</v>
      </c>
      <c r="E10" s="326">
        <v>2020</v>
      </c>
      <c r="G10" s="326">
        <v>2019</v>
      </c>
      <c r="I10" s="326">
        <v>2018</v>
      </c>
      <c r="K10" s="326">
        <v>2017</v>
      </c>
      <c r="M10" s="326">
        <v>2016</v>
      </c>
      <c r="Q10" s="127"/>
      <c r="R10" s="127"/>
      <c r="S10" s="128"/>
      <c r="T10" s="128"/>
      <c r="U10" s="128"/>
      <c r="V10" s="128"/>
      <c r="W10" s="128"/>
      <c r="X10" s="128"/>
      <c r="Y10" s="128"/>
    </row>
    <row r="11" spans="1:27">
      <c r="A11" s="124" t="s">
        <v>1</v>
      </c>
    </row>
    <row r="12" spans="1:27">
      <c r="A12" s="124" t="s">
        <v>2</v>
      </c>
      <c r="B12" s="124" t="s">
        <v>65</v>
      </c>
      <c r="C12" s="130">
        <f>2939100000+55800000</f>
        <v>2994900000</v>
      </c>
      <c r="E12" s="130">
        <f>2423700000+60400000</f>
        <v>2484100000</v>
      </c>
      <c r="G12" s="130">
        <f>2082600000+40000000</f>
        <v>2122600000</v>
      </c>
      <c r="I12" s="130">
        <f>1900100000+17500000</f>
        <v>1917600000</v>
      </c>
      <c r="K12" s="130">
        <v>2095000000</v>
      </c>
      <c r="L12" s="131"/>
      <c r="M12" s="130">
        <v>2083700000</v>
      </c>
      <c r="Q12" s="326">
        <f>C10</f>
        <v>2021</v>
      </c>
      <c r="R12" s="326"/>
      <c r="S12" s="326">
        <f>E10</f>
        <v>2020</v>
      </c>
      <c r="T12" s="326"/>
      <c r="U12" s="326">
        <f>G10</f>
        <v>2019</v>
      </c>
      <c r="V12" s="326"/>
      <c r="W12" s="326">
        <f>I10</f>
        <v>2018</v>
      </c>
      <c r="X12" s="326"/>
      <c r="Y12" s="326">
        <f>K10</f>
        <v>2017</v>
      </c>
      <c r="Z12" s="326"/>
    </row>
    <row r="13" spans="1:27">
      <c r="A13" s="124" t="s">
        <v>3</v>
      </c>
      <c r="B13" s="124" t="s">
        <v>66</v>
      </c>
      <c r="C13" s="130">
        <v>242000000</v>
      </c>
      <c r="E13" s="130">
        <v>242000000</v>
      </c>
      <c r="G13" s="130">
        <v>242000000</v>
      </c>
      <c r="I13" s="130">
        <v>0</v>
      </c>
      <c r="K13" s="130">
        <v>0</v>
      </c>
      <c r="L13" s="131"/>
      <c r="M13" s="130">
        <v>0</v>
      </c>
      <c r="Q13" s="128" t="s">
        <v>4</v>
      </c>
      <c r="R13" s="128"/>
      <c r="S13" s="128"/>
      <c r="T13" s="128"/>
      <c r="U13" s="128"/>
      <c r="V13" s="128"/>
      <c r="W13" s="128"/>
      <c r="X13" s="128"/>
      <c r="Y13" s="128"/>
      <c r="Z13" s="128" t="s">
        <v>5</v>
      </c>
      <c r="AA13" s="128" t="s">
        <v>5</v>
      </c>
    </row>
    <row r="14" spans="1:27">
      <c r="C14" s="130"/>
      <c r="E14" s="130"/>
      <c r="G14" s="130"/>
      <c r="I14" s="130"/>
      <c r="O14" s="132" t="s">
        <v>6</v>
      </c>
      <c r="P14" s="132"/>
    </row>
    <row r="15" spans="1:27">
      <c r="A15" s="124" t="s">
        <v>8</v>
      </c>
      <c r="B15" s="124" t="s">
        <v>58</v>
      </c>
      <c r="C15" s="272">
        <v>51684883</v>
      </c>
      <c r="E15" s="272">
        <v>51611789</v>
      </c>
      <c r="G15" s="130">
        <v>50973515</v>
      </c>
      <c r="I15" s="130">
        <v>50671903</v>
      </c>
      <c r="K15" s="130">
        <v>48263243</v>
      </c>
      <c r="L15" s="131"/>
      <c r="M15" s="130">
        <v>45650642</v>
      </c>
    </row>
    <row r="16" spans="1:27">
      <c r="A16" s="124" t="s">
        <v>10</v>
      </c>
      <c r="B16" s="124" t="s">
        <v>60</v>
      </c>
      <c r="C16" s="130">
        <f>2658200000-C13</f>
        <v>2416200000</v>
      </c>
      <c r="E16" s="130">
        <f>2522300000-E13</f>
        <v>2280300000</v>
      </c>
      <c r="G16" s="130">
        <f>2543000000-G13</f>
        <v>2301000000</v>
      </c>
      <c r="I16" s="130">
        <v>2255400000</v>
      </c>
      <c r="K16" s="130">
        <v>1991300000</v>
      </c>
      <c r="L16" s="131"/>
      <c r="M16" s="130">
        <v>1768200000</v>
      </c>
      <c r="O16" s="132" t="s">
        <v>9</v>
      </c>
      <c r="P16" s="132"/>
    </row>
    <row r="17" spans="1:28">
      <c r="A17" s="124" t="s">
        <v>49</v>
      </c>
      <c r="B17" s="124" t="s">
        <v>58</v>
      </c>
      <c r="C17" s="130">
        <v>0</v>
      </c>
      <c r="E17" s="130">
        <v>0</v>
      </c>
      <c r="G17" s="130">
        <v>0</v>
      </c>
      <c r="I17" s="130">
        <v>0</v>
      </c>
      <c r="K17" s="130">
        <v>0</v>
      </c>
      <c r="L17" s="131"/>
      <c r="M17" s="130">
        <v>0</v>
      </c>
      <c r="O17" s="124" t="s">
        <v>11</v>
      </c>
      <c r="Q17" s="133">
        <f>C50/1000000</f>
        <v>5653.1</v>
      </c>
      <c r="R17" s="133"/>
      <c r="S17" s="133">
        <f>E50/1000000</f>
        <v>5006.3999999999996</v>
      </c>
      <c r="T17" s="133"/>
      <c r="U17" s="133">
        <f>G50/1000000</f>
        <v>4665.6000000000004</v>
      </c>
      <c r="V17" s="133"/>
      <c r="W17" s="133">
        <f>I50/1000000</f>
        <v>4173</v>
      </c>
      <c r="X17" s="133"/>
      <c r="Y17" s="133">
        <f>K50/1000000</f>
        <v>4086.3</v>
      </c>
    </row>
    <row r="18" spans="1:28">
      <c r="C18" s="130"/>
      <c r="E18" s="130"/>
      <c r="G18" s="130"/>
      <c r="I18" s="130"/>
      <c r="O18" s="124" t="s">
        <v>12</v>
      </c>
      <c r="Q18" s="134">
        <f>C19/1000000</f>
        <v>672</v>
      </c>
      <c r="R18" s="133"/>
      <c r="S18" s="134">
        <f>E19/1000000</f>
        <v>648</v>
      </c>
      <c r="T18" s="133"/>
      <c r="U18" s="134">
        <f>G19/1000000</f>
        <v>743.2</v>
      </c>
      <c r="V18" s="133"/>
      <c r="W18" s="134">
        <f>I19/1000000</f>
        <v>553.6</v>
      </c>
      <c r="X18" s="133"/>
      <c r="Y18" s="134">
        <f>K19/1000000</f>
        <v>477.3</v>
      </c>
    </row>
    <row r="19" spans="1:28">
      <c r="A19" s="124" t="s">
        <v>15</v>
      </c>
      <c r="B19" s="124" t="s">
        <v>67</v>
      </c>
      <c r="C19" s="130">
        <v>672000000</v>
      </c>
      <c r="E19" s="130">
        <v>648000000</v>
      </c>
      <c r="G19" s="130">
        <v>743200000</v>
      </c>
      <c r="I19" s="130">
        <v>553600000</v>
      </c>
      <c r="K19" s="130">
        <v>477300000</v>
      </c>
      <c r="L19" s="131"/>
      <c r="M19" s="130">
        <v>398700000</v>
      </c>
      <c r="O19" s="124" t="s">
        <v>14</v>
      </c>
      <c r="Q19" s="135">
        <f>SUM(Q17:Q18)</f>
        <v>6325.1</v>
      </c>
      <c r="R19" s="133"/>
      <c r="S19" s="135">
        <f>SUM(S17:S18)</f>
        <v>5654.4</v>
      </c>
      <c r="T19" s="133"/>
      <c r="U19" s="135">
        <f>SUM(U17:U18)</f>
        <v>5408.8</v>
      </c>
      <c r="V19" s="133"/>
      <c r="W19" s="135">
        <f>SUM(W17:W18)</f>
        <v>4726.6000000000004</v>
      </c>
      <c r="X19" s="133"/>
      <c r="Y19" s="135">
        <f>SUM(Y17:Y18)</f>
        <v>4563.6000000000004</v>
      </c>
    </row>
    <row r="20" spans="1:28">
      <c r="C20" s="130"/>
      <c r="E20" s="130"/>
      <c r="G20" s="130"/>
      <c r="I20" s="130"/>
      <c r="K20" s="131"/>
      <c r="L20" s="131"/>
      <c r="M20" s="131"/>
    </row>
    <row r="21" spans="1:28">
      <c r="A21" s="124" t="s">
        <v>17</v>
      </c>
      <c r="B21" s="124" t="s">
        <v>61</v>
      </c>
      <c r="C21" s="130">
        <v>4.96</v>
      </c>
      <c r="E21" s="130">
        <v>1.44</v>
      </c>
      <c r="G21" s="130">
        <v>3.52</v>
      </c>
      <c r="I21" s="130">
        <v>4.33</v>
      </c>
      <c r="K21" s="130">
        <v>3.43</v>
      </c>
      <c r="L21" s="131"/>
      <c r="M21" s="130">
        <v>3.24</v>
      </c>
      <c r="O21" s="132" t="s">
        <v>16</v>
      </c>
      <c r="P21" s="132"/>
    </row>
    <row r="22" spans="1:28">
      <c r="A22" s="124" t="s">
        <v>19</v>
      </c>
      <c r="B22" s="124" t="s">
        <v>1375</v>
      </c>
      <c r="C22" s="124">
        <v>77.48</v>
      </c>
      <c r="E22" s="130">
        <v>87.6</v>
      </c>
      <c r="G22" s="130">
        <v>87.24</v>
      </c>
      <c r="I22" s="130">
        <v>82.25</v>
      </c>
      <c r="K22" s="130">
        <v>77.400000000000006</v>
      </c>
      <c r="L22" s="131"/>
      <c r="M22" s="130">
        <v>70.84</v>
      </c>
      <c r="O22" s="124" t="s">
        <v>54</v>
      </c>
      <c r="Q22" s="136">
        <f>(ROUND((C30/(AVERAGE(C54,E54))*100),2))</f>
        <v>3.14</v>
      </c>
      <c r="R22" s="137" t="s">
        <v>18</v>
      </c>
      <c r="S22" s="136">
        <f>(ROUND((E30/(AVERAGE(E54,G54))*100),2))</f>
        <v>3.52</v>
      </c>
      <c r="T22" s="137" t="s">
        <v>18</v>
      </c>
      <c r="U22" s="136">
        <f>(ROUND((G30/(AVERAGE(G54,I54))*100),2))</f>
        <v>3.91</v>
      </c>
      <c r="V22" s="137" t="s">
        <v>18</v>
      </c>
      <c r="W22" s="136">
        <f>(ROUND((I30/(AVERAGE(I54,K54))*100),2))</f>
        <v>3.9</v>
      </c>
      <c r="X22" s="137" t="s">
        <v>18</v>
      </c>
      <c r="Y22" s="136">
        <f>(ROUND((K30/(AVERAGE(K54,M54))*100),2))</f>
        <v>3.53</v>
      </c>
      <c r="Z22" s="137" t="s">
        <v>18</v>
      </c>
      <c r="AA22" s="255"/>
    </row>
    <row r="23" spans="1:28">
      <c r="A23" s="124" t="s">
        <v>21</v>
      </c>
      <c r="B23" s="124" t="s">
        <v>1375</v>
      </c>
      <c r="C23" s="124">
        <v>59.64</v>
      </c>
      <c r="E23" s="130">
        <v>51.52</v>
      </c>
      <c r="G23" s="130">
        <v>71.150000000000006</v>
      </c>
      <c r="I23" s="130">
        <v>61.3</v>
      </c>
      <c r="K23" s="130">
        <v>59.97</v>
      </c>
      <c r="L23" s="131"/>
      <c r="M23" s="130">
        <v>54.58</v>
      </c>
      <c r="O23" s="124" t="s">
        <v>20</v>
      </c>
      <c r="Q23" s="330">
        <f>(ROUND((C36/(AVERAGE(C58,E58))*100),2))</f>
        <v>6.12</v>
      </c>
      <c r="R23" s="137"/>
      <c r="S23" s="330">
        <f>(ROUND((E36/(AVERAGE(E58,G58))*100),2))</f>
        <v>6.12</v>
      </c>
      <c r="T23" s="137"/>
      <c r="U23" s="330"/>
      <c r="V23" s="137"/>
      <c r="W23" s="330"/>
      <c r="X23" s="137"/>
      <c r="Y23" s="330"/>
      <c r="Z23" s="137"/>
    </row>
    <row r="24" spans="1:28">
      <c r="C24" s="130"/>
      <c r="E24" s="130"/>
      <c r="G24" s="130"/>
      <c r="I24" s="130"/>
      <c r="AA24" s="1069" t="s">
        <v>52</v>
      </c>
      <c r="AB24" s="1069"/>
    </row>
    <row r="25" spans="1:28">
      <c r="C25" s="130"/>
      <c r="E25" s="130"/>
      <c r="G25" s="130"/>
      <c r="I25" s="130"/>
      <c r="K25" s="131"/>
      <c r="L25" s="131"/>
      <c r="M25" s="131"/>
      <c r="O25" s="132" t="s">
        <v>30</v>
      </c>
      <c r="P25" s="132"/>
      <c r="AA25" s="1069" t="s">
        <v>22</v>
      </c>
      <c r="AB25" s="1069"/>
    </row>
    <row r="26" spans="1:28">
      <c r="A26" s="124" t="s">
        <v>26</v>
      </c>
      <c r="B26" s="124" t="s">
        <v>1375</v>
      </c>
      <c r="C26" s="130">
        <v>2.6</v>
      </c>
      <c r="E26" s="130">
        <v>2.4900000000000002</v>
      </c>
      <c r="G26" s="130">
        <v>2.37</v>
      </c>
      <c r="I26" s="130">
        <v>2.25</v>
      </c>
      <c r="K26" s="130">
        <v>2.1</v>
      </c>
      <c r="L26" s="131"/>
      <c r="M26" s="130">
        <v>1.96</v>
      </c>
      <c r="O26" s="124" t="s">
        <v>32</v>
      </c>
    </row>
    <row r="27" spans="1:28">
      <c r="C27" s="130"/>
      <c r="E27" s="130"/>
      <c r="G27" s="130"/>
      <c r="I27" s="130"/>
      <c r="K27" s="131"/>
      <c r="L27" s="131"/>
      <c r="M27" s="131"/>
      <c r="O27" s="124" t="s">
        <v>33</v>
      </c>
      <c r="Q27" s="136">
        <f>ROUND(((C12/C50)*100),2)</f>
        <v>52.98</v>
      </c>
      <c r="R27" s="137" t="s">
        <v>18</v>
      </c>
      <c r="S27" s="136">
        <f>ROUND(((E12/E50)*100),2)</f>
        <v>49.62</v>
      </c>
      <c r="T27" s="137" t="s">
        <v>18</v>
      </c>
      <c r="U27" s="136">
        <f>ROUND(((G12/G50)*100),2)</f>
        <v>45.49</v>
      </c>
      <c r="V27" s="137" t="s">
        <v>18</v>
      </c>
      <c r="W27" s="136">
        <f>ROUND(((I12/I50)*100),2)</f>
        <v>45.95</v>
      </c>
      <c r="X27" s="137" t="s">
        <v>18</v>
      </c>
      <c r="Y27" s="136">
        <f>ROUND(((K12/K50)*100),2)</f>
        <v>51.27</v>
      </c>
      <c r="Z27" s="137" t="s">
        <v>18</v>
      </c>
      <c r="AA27" s="136">
        <f>ROUND(AVERAGE(Q27:Y27),2)</f>
        <v>49.06</v>
      </c>
      <c r="AB27" s="137" t="s">
        <v>18</v>
      </c>
    </row>
    <row r="28" spans="1:28">
      <c r="A28" s="124" t="s">
        <v>37</v>
      </c>
      <c r="B28" s="124" t="s">
        <v>37</v>
      </c>
      <c r="C28" s="130">
        <v>0</v>
      </c>
      <c r="E28" s="130">
        <v>0</v>
      </c>
      <c r="G28" s="130">
        <v>0</v>
      </c>
      <c r="I28" s="130">
        <v>0</v>
      </c>
      <c r="K28" s="130">
        <v>0</v>
      </c>
      <c r="L28" s="131"/>
      <c r="M28" s="130">
        <v>0</v>
      </c>
      <c r="O28" s="124" t="s">
        <v>34</v>
      </c>
      <c r="Q28" s="136">
        <f>ROUND(((SUM(C13,C17)/C50)*100),2)</f>
        <v>4.28</v>
      </c>
      <c r="R28" s="137"/>
      <c r="S28" s="136">
        <f>ROUND(((SUM(E13,E17)/E50)*100),2)</f>
        <v>4.83</v>
      </c>
      <c r="T28" s="137"/>
      <c r="U28" s="136">
        <f>ROUND(((SUM(G13,G17)/G50)*100),2)</f>
        <v>5.19</v>
      </c>
      <c r="V28" s="137"/>
      <c r="W28" s="136">
        <f>ROUND(((SUM(I13,I17)/I50)*100),2)</f>
        <v>0</v>
      </c>
      <c r="X28" s="137"/>
      <c r="Y28" s="136">
        <f>ROUND(((SUM(K13,K17)/K50)*100),2)</f>
        <v>0</v>
      </c>
      <c r="Z28" s="137"/>
      <c r="AA28" s="136">
        <f>ROUND(AVERAGE(Q28:Y28),2)</f>
        <v>2.86</v>
      </c>
      <c r="AB28" s="137"/>
    </row>
    <row r="29" spans="1:28">
      <c r="C29" s="130"/>
      <c r="E29" s="130"/>
      <c r="G29" s="130"/>
      <c r="I29" s="130"/>
      <c r="K29" s="131"/>
      <c r="L29" s="131"/>
      <c r="M29" s="131"/>
      <c r="O29" s="124" t="s">
        <v>35</v>
      </c>
      <c r="Q29" s="138">
        <f>ROUND(((C16/C50)*100),2)</f>
        <v>42.74</v>
      </c>
      <c r="R29" s="137"/>
      <c r="S29" s="138">
        <f>ROUND(((E16/E50)*100),2)</f>
        <v>45.55</v>
      </c>
      <c r="T29" s="137"/>
      <c r="U29" s="138">
        <f>ROUND(((G16/G50)*100),2)</f>
        <v>49.32</v>
      </c>
      <c r="V29" s="137"/>
      <c r="W29" s="138">
        <f>ROUND(((I16/I50)*100),2)</f>
        <v>54.05</v>
      </c>
      <c r="X29" s="137"/>
      <c r="Y29" s="138">
        <f>ROUND(((K16/K50)*100),2)</f>
        <v>48.73</v>
      </c>
      <c r="Z29" s="137"/>
      <c r="AA29" s="138">
        <f>ROUND(AVERAGE(Q29:Y29),2)</f>
        <v>48.08</v>
      </c>
      <c r="AB29" s="137"/>
    </row>
    <row r="30" spans="1:28">
      <c r="A30" s="124" t="s">
        <v>42</v>
      </c>
      <c r="B30" s="124" t="s">
        <v>62</v>
      </c>
      <c r="C30" s="130">
        <v>106600000</v>
      </c>
      <c r="E30" s="130">
        <v>105500000</v>
      </c>
      <c r="G30" s="130">
        <v>104400000</v>
      </c>
      <c r="I30" s="130">
        <v>98400000</v>
      </c>
      <c r="K30" s="130">
        <v>89100000</v>
      </c>
      <c r="L30" s="131"/>
      <c r="M30" s="130">
        <v>77200000</v>
      </c>
      <c r="O30" s="124" t="s">
        <v>36</v>
      </c>
      <c r="Q30" s="139">
        <f>SUM(Q27:Q29)</f>
        <v>100</v>
      </c>
      <c r="R30" s="137" t="s">
        <v>18</v>
      </c>
      <c r="S30" s="139">
        <f>SUM(S27:S29)</f>
        <v>100</v>
      </c>
      <c r="T30" s="137" t="s">
        <v>18</v>
      </c>
      <c r="U30" s="139">
        <f>SUM(U27:U29)</f>
        <v>100</v>
      </c>
      <c r="V30" s="137" t="s">
        <v>18</v>
      </c>
      <c r="W30" s="139">
        <f>SUM(W27:W29)</f>
        <v>100</v>
      </c>
      <c r="X30" s="137" t="s">
        <v>18</v>
      </c>
      <c r="Y30" s="139">
        <f>SUM(Y27:Y29)</f>
        <v>100</v>
      </c>
      <c r="Z30" s="137" t="s">
        <v>18</v>
      </c>
      <c r="AA30" s="139">
        <f>SUM(AA27:AA29)</f>
        <v>100</v>
      </c>
      <c r="AB30" s="137" t="s">
        <v>18</v>
      </c>
    </row>
    <row r="31" spans="1:28">
      <c r="C31" s="130"/>
      <c r="E31" s="130"/>
      <c r="G31" s="130"/>
      <c r="I31" s="130"/>
      <c r="K31" s="131"/>
      <c r="L31" s="131"/>
      <c r="M31" s="131"/>
    </row>
    <row r="32" spans="1:28">
      <c r="A32" s="124" t="s">
        <v>43</v>
      </c>
      <c r="B32" s="124" t="s">
        <v>63</v>
      </c>
      <c r="C32" s="130">
        <v>271700000</v>
      </c>
      <c r="E32" s="130">
        <v>88600000</v>
      </c>
      <c r="G32" s="130">
        <v>184600000</v>
      </c>
      <c r="I32" s="130">
        <v>214200000</v>
      </c>
      <c r="K32" s="130">
        <v>161600000</v>
      </c>
      <c r="L32" s="131"/>
      <c r="M32" s="130">
        <v>144200000</v>
      </c>
      <c r="O32" s="124" t="s">
        <v>38</v>
      </c>
    </row>
    <row r="33" spans="1:28">
      <c r="A33" s="140"/>
      <c r="B33" s="140"/>
      <c r="C33" s="141"/>
      <c r="D33" s="140"/>
      <c r="E33" s="141"/>
      <c r="F33" s="140"/>
      <c r="G33" s="141"/>
      <c r="H33" s="140"/>
      <c r="I33" s="141"/>
      <c r="J33" s="140"/>
      <c r="K33" s="142"/>
      <c r="L33" s="142"/>
      <c r="M33" s="142"/>
      <c r="O33" s="124" t="s">
        <v>39</v>
      </c>
      <c r="Q33" s="136">
        <f>ROUND((((C12+C19)/C56)*100),2)</f>
        <v>57.97</v>
      </c>
      <c r="R33" s="137" t="s">
        <v>18</v>
      </c>
      <c r="S33" s="136">
        <f>ROUND((((E12+E19)/E56)*100),2)</f>
        <v>55.39</v>
      </c>
      <c r="T33" s="137" t="s">
        <v>18</v>
      </c>
      <c r="U33" s="136">
        <f>ROUND((((G12+G19)/G56)*100),2)</f>
        <v>52.98</v>
      </c>
      <c r="V33" s="137" t="s">
        <v>18</v>
      </c>
      <c r="W33" s="136">
        <f>ROUND((((I12+I19)/I56)*100),2)</f>
        <v>52.28</v>
      </c>
      <c r="X33" s="137" t="s">
        <v>18</v>
      </c>
      <c r="Y33" s="136">
        <f>ROUND((((K12+K19)/K56)*100),2)</f>
        <v>56.37</v>
      </c>
      <c r="Z33" s="137" t="s">
        <v>18</v>
      </c>
      <c r="AA33" s="136">
        <f>ROUND(AVERAGE(Q33:Y33),2)</f>
        <v>55</v>
      </c>
      <c r="AB33" s="137" t="s">
        <v>18</v>
      </c>
    </row>
    <row r="34" spans="1:28">
      <c r="A34" s="124" t="s">
        <v>46</v>
      </c>
      <c r="B34" s="124" t="s">
        <v>70</v>
      </c>
      <c r="C34" s="130">
        <v>256500000</v>
      </c>
      <c r="E34" s="130">
        <v>73700000</v>
      </c>
      <c r="G34" s="130">
        <v>178900000</v>
      </c>
      <c r="I34" s="130">
        <v>213700000</v>
      </c>
      <c r="K34" s="130">
        <v>161600000</v>
      </c>
      <c r="L34" s="131"/>
      <c r="M34" s="130">
        <v>144200000</v>
      </c>
      <c r="O34" s="124" t="s">
        <v>34</v>
      </c>
      <c r="Q34" s="136">
        <f>ROUND((((SUM(C13,C17))/C56)*100),2)</f>
        <v>3.83</v>
      </c>
      <c r="R34" s="137"/>
      <c r="S34" s="136">
        <f>ROUND((((SUM(E13,E17))/E56)*100),2)</f>
        <v>4.28</v>
      </c>
      <c r="T34" s="137"/>
      <c r="U34" s="136">
        <f>ROUND((((SUM(G13,G17))/G56)*100),2)</f>
        <v>4.47</v>
      </c>
      <c r="V34" s="137"/>
      <c r="W34" s="136">
        <f>ROUND((((SUM(I13,I17))/I56)*100),2)</f>
        <v>0</v>
      </c>
      <c r="X34" s="137"/>
      <c r="Y34" s="136">
        <f>ROUND((((SUM(K13,K17))/K56)*100),2)</f>
        <v>0</v>
      </c>
      <c r="Z34" s="137"/>
      <c r="AA34" s="136">
        <f>ROUND(AVERAGE(Q34:Y34),2)</f>
        <v>2.52</v>
      </c>
      <c r="AB34" s="137"/>
    </row>
    <row r="35" spans="1:28">
      <c r="C35" s="130"/>
      <c r="E35" s="130"/>
      <c r="G35" s="130"/>
      <c r="I35" s="130"/>
      <c r="O35" s="124" t="s">
        <v>35</v>
      </c>
      <c r="Q35" s="138">
        <f>ROUND((((C16)/C56)*100),2)</f>
        <v>38.200000000000003</v>
      </c>
      <c r="R35" s="137"/>
      <c r="S35" s="138">
        <f>ROUND((((E16)/E56)*100),2)</f>
        <v>40.33</v>
      </c>
      <c r="T35" s="137"/>
      <c r="U35" s="138">
        <f>ROUND((((G16)/G56)*100),2)</f>
        <v>42.54</v>
      </c>
      <c r="V35" s="137"/>
      <c r="W35" s="138">
        <f>ROUND((((I16)/I56)*100),2)</f>
        <v>47.72</v>
      </c>
      <c r="X35" s="137"/>
      <c r="Y35" s="138">
        <f>ROUND((((K16)/K56)*100),2)</f>
        <v>43.63</v>
      </c>
      <c r="Z35" s="137"/>
      <c r="AA35" s="138">
        <f>ROUND(AVERAGE(Q35:Y35),2)</f>
        <v>42.48</v>
      </c>
      <c r="AB35" s="137"/>
    </row>
    <row r="36" spans="1:28">
      <c r="A36" s="124" t="s">
        <v>45</v>
      </c>
      <c r="B36" s="124" t="s">
        <v>68</v>
      </c>
      <c r="C36" s="130">
        <v>14800000</v>
      </c>
      <c r="E36" s="130">
        <v>14800000</v>
      </c>
      <c r="G36" s="130">
        <v>3400000</v>
      </c>
      <c r="I36" s="130">
        <v>0</v>
      </c>
      <c r="K36" s="130">
        <v>0</v>
      </c>
      <c r="L36" s="131"/>
      <c r="M36" s="130">
        <v>0</v>
      </c>
      <c r="O36" s="124" t="s">
        <v>36</v>
      </c>
      <c r="Q36" s="139">
        <f>SUM(Q33:Q35)</f>
        <v>100</v>
      </c>
      <c r="R36" s="137" t="s">
        <v>18</v>
      </c>
      <c r="S36" s="139">
        <f>SUM(S33:S35)</f>
        <v>100</v>
      </c>
      <c r="T36" s="137" t="s">
        <v>18</v>
      </c>
      <c r="U36" s="139">
        <f>SUM(U33:U35)</f>
        <v>99.99</v>
      </c>
      <c r="V36" s="137" t="s">
        <v>18</v>
      </c>
      <c r="W36" s="139">
        <f>SUM(W33:W35)</f>
        <v>100</v>
      </c>
      <c r="X36" s="137" t="s">
        <v>18</v>
      </c>
      <c r="Y36" s="139">
        <f>SUM(Y33:Y35)</f>
        <v>100</v>
      </c>
      <c r="Z36" s="137" t="s">
        <v>18</v>
      </c>
      <c r="AA36" s="139">
        <f>SUM(AA33:AA35)</f>
        <v>100</v>
      </c>
      <c r="AB36" s="137" t="s">
        <v>18</v>
      </c>
    </row>
    <row r="37" spans="1:28">
      <c r="C37" s="130"/>
      <c r="E37" s="130"/>
      <c r="G37" s="130"/>
      <c r="I37" s="130"/>
    </row>
    <row r="38" spans="1:28">
      <c r="A38" s="124" t="s">
        <v>47</v>
      </c>
      <c r="B38" s="124" t="s">
        <v>64</v>
      </c>
      <c r="C38" s="130">
        <f>133200000</f>
        <v>133200000</v>
      </c>
      <c r="E38" s="130">
        <f>128000000</f>
        <v>128000000</v>
      </c>
      <c r="G38" s="130">
        <v>119000000</v>
      </c>
      <c r="I38" s="130">
        <v>112100000</v>
      </c>
      <c r="K38" s="130">
        <v>96200000</v>
      </c>
      <c r="L38" s="131"/>
      <c r="M38" s="130">
        <v>85200000</v>
      </c>
    </row>
    <row r="39" spans="1:28">
      <c r="C39" s="130"/>
      <c r="E39" s="130"/>
      <c r="G39" s="130"/>
      <c r="I39" s="130"/>
      <c r="K39" s="131"/>
      <c r="L39" s="131"/>
      <c r="M39" s="131"/>
    </row>
    <row r="40" spans="1:28">
      <c r="A40" s="124" t="s">
        <v>55</v>
      </c>
      <c r="B40" s="124" t="s">
        <v>69</v>
      </c>
      <c r="C40" s="130">
        <f>C32</f>
        <v>271700000</v>
      </c>
      <c r="E40" s="130">
        <f>E32</f>
        <v>88600000</v>
      </c>
      <c r="G40" s="130">
        <f>G32</f>
        <v>184600000</v>
      </c>
      <c r="I40" s="130">
        <f>I32</f>
        <v>214200000</v>
      </c>
      <c r="K40" s="130">
        <v>161600000</v>
      </c>
      <c r="L40" s="131"/>
      <c r="M40" s="130">
        <v>144200000</v>
      </c>
      <c r="O40" s="132" t="s">
        <v>40</v>
      </c>
      <c r="P40" s="132"/>
    </row>
    <row r="41" spans="1:28">
      <c r="A41" s="124" t="s">
        <v>72</v>
      </c>
      <c r="B41" s="124" t="s">
        <v>71</v>
      </c>
      <c r="C41" s="130">
        <f>249800000+(195.8*1000000)</f>
        <v>445600000</v>
      </c>
      <c r="E41" s="130">
        <v>469900000</v>
      </c>
      <c r="G41" s="130">
        <v>450900000</v>
      </c>
      <c r="I41" s="130">
        <v>456600000</v>
      </c>
      <c r="K41" s="130">
        <v>288300000</v>
      </c>
      <c r="L41" s="131"/>
      <c r="M41" s="130">
        <v>328300000</v>
      </c>
      <c r="O41" s="132"/>
      <c r="P41" s="132"/>
    </row>
    <row r="42" spans="1:28">
      <c r="A42" s="124" t="s">
        <v>1460</v>
      </c>
      <c r="B42" s="124" t="s">
        <v>1461</v>
      </c>
      <c r="C42" s="130">
        <f>((-343+195.8)-111+76.6+177.7-12.4+8.9+17.3)*1000000</f>
        <v>9899999.9999999963</v>
      </c>
      <c r="E42" s="130">
        <f>(36.2+2.6+0.6+-43.1+7+2.9+8.2)*1000000</f>
        <v>14400000.000000004</v>
      </c>
      <c r="G42" s="130">
        <f>(2.7+13.6+12.4-6.4+3.5-4)*1000000</f>
        <v>21800000.000000004</v>
      </c>
      <c r="I42" s="130">
        <f>(-32.7+15.5+109+12.6-12.8+6.4-39.5)*1000000</f>
        <v>58500000</v>
      </c>
      <c r="K42" s="130">
        <v>-104400000</v>
      </c>
      <c r="L42" s="131"/>
      <c r="M42" s="130">
        <v>-27100000</v>
      </c>
      <c r="O42" s="132" t="s">
        <v>24</v>
      </c>
    </row>
    <row r="43" spans="1:28">
      <c r="A43" s="124" t="s">
        <v>1462</v>
      </c>
      <c r="B43" s="124" t="s">
        <v>1463</v>
      </c>
      <c r="C43" s="130">
        <v>213100000</v>
      </c>
      <c r="E43" s="130">
        <v>197300000</v>
      </c>
      <c r="G43" s="130">
        <v>181700000</v>
      </c>
      <c r="I43" s="130">
        <v>168400000</v>
      </c>
      <c r="K43" s="130">
        <v>154100000</v>
      </c>
      <c r="L43" s="131"/>
      <c r="M43" s="130">
        <v>137500000</v>
      </c>
      <c r="O43" s="124" t="s">
        <v>25</v>
      </c>
      <c r="Q43" s="136">
        <f>ROUND(C21/C52,4)*100</f>
        <v>7.23</v>
      </c>
      <c r="R43" s="137" t="s">
        <v>18</v>
      </c>
      <c r="S43" s="136">
        <f>ROUND(E21/E52,4)*100</f>
        <v>2.0699999999999998</v>
      </c>
      <c r="T43" s="137" t="s">
        <v>18</v>
      </c>
      <c r="U43" s="136">
        <f>ROUND(G21/G52,4)*100</f>
        <v>4.4400000000000004</v>
      </c>
      <c r="V43" s="137" t="s">
        <v>18</v>
      </c>
      <c r="W43" s="136">
        <f>ROUND(I21/I52,4)*100</f>
        <v>6.03</v>
      </c>
      <c r="X43" s="137" t="s">
        <v>18</v>
      </c>
      <c r="Y43" s="136">
        <f>ROUND(K21/K52,4)*100</f>
        <v>4.99</v>
      </c>
      <c r="Z43" s="137" t="s">
        <v>18</v>
      </c>
      <c r="AA43" s="136">
        <f>ROUND(AVERAGE(Q43:Y43),2)</f>
        <v>4.95</v>
      </c>
      <c r="AB43" s="137" t="s">
        <v>18</v>
      </c>
    </row>
    <row r="44" spans="1:28">
      <c r="A44" s="124" t="s">
        <v>1464</v>
      </c>
      <c r="B44" s="124" t="s">
        <v>1465</v>
      </c>
      <c r="C44" s="130">
        <v>68500000</v>
      </c>
      <c r="E44" s="130">
        <v>12400000</v>
      </c>
      <c r="G44" s="130">
        <v>34500000</v>
      </c>
      <c r="I44" s="130">
        <v>-26500000</v>
      </c>
      <c r="K44" s="130">
        <v>77600000</v>
      </c>
      <c r="M44" s="130">
        <v>69500000</v>
      </c>
      <c r="O44" s="124" t="s">
        <v>27</v>
      </c>
      <c r="Q44" s="136">
        <f>(ROUND((C52/(AVERAGE(C48,E48))*100),2))</f>
        <v>150.80000000000001</v>
      </c>
      <c r="S44" s="136">
        <f>(ROUND((E52/(AVERAGE(E48,G48))*100),2))</f>
        <v>155.75</v>
      </c>
      <c r="U44" s="136">
        <f>(ROUND((G52/(AVERAGE(G48,I48))*100),2))</f>
        <v>176.67</v>
      </c>
      <c r="W44" s="136">
        <f>(ROUND((I52/(AVERAGE(I48,K48))*100),2))</f>
        <v>167.37</v>
      </c>
      <c r="Y44" s="136">
        <f>(ROUND((K52/(AVERAGE(K48,M48))*100),2))</f>
        <v>171.73</v>
      </c>
      <c r="AA44" s="136">
        <f>ROUND(AVERAGE(Q44:Y44),2)</f>
        <v>164.46</v>
      </c>
    </row>
    <row r="45" spans="1:28">
      <c r="C45" s="130"/>
      <c r="E45" s="130"/>
      <c r="G45" s="130"/>
      <c r="I45" s="130"/>
      <c r="O45" s="124" t="s">
        <v>28</v>
      </c>
      <c r="Q45" s="136">
        <f>ROUND(((+C26/C52)*100),2)</f>
        <v>3.79</v>
      </c>
      <c r="S45" s="136">
        <f>ROUND(((+E26/E52)*100),2)</f>
        <v>3.58</v>
      </c>
      <c r="U45" s="136">
        <f>ROUND(((+G26/G52)*100),2)</f>
        <v>2.99</v>
      </c>
      <c r="W45" s="136">
        <f>ROUND(((+I26/I52)*100),2)</f>
        <v>3.13</v>
      </c>
      <c r="Y45" s="136">
        <f>ROUND(((+K26/K52)*100),2)</f>
        <v>3.06</v>
      </c>
      <c r="AA45" s="136">
        <f>ROUND(AVERAGE(Q45:Y45),2)</f>
        <v>3.31</v>
      </c>
    </row>
    <row r="46" spans="1:28">
      <c r="A46" s="124" t="s">
        <v>59</v>
      </c>
      <c r="C46" s="130"/>
      <c r="E46" s="130"/>
      <c r="G46" s="130"/>
      <c r="I46" s="130"/>
      <c r="K46" s="131"/>
      <c r="L46" s="131"/>
      <c r="M46" s="131"/>
      <c r="O46" s="124" t="s">
        <v>29</v>
      </c>
      <c r="P46" s="132"/>
      <c r="Q46" s="136">
        <f>ROUND(((+C38/C34)*100),2)</f>
        <v>51.93</v>
      </c>
      <c r="S46" s="136">
        <f>ROUND(((+E38/E34)*100),2)</f>
        <v>173.68</v>
      </c>
      <c r="U46" s="136">
        <f>ROUND(((+G38/G34)*100),2)</f>
        <v>66.52</v>
      </c>
      <c r="W46" s="136">
        <f>ROUND(((+I38/I34)*100),2)</f>
        <v>52.46</v>
      </c>
      <c r="Y46" s="136">
        <f>ROUND(((+K38/K34)*100),2)</f>
        <v>59.53</v>
      </c>
      <c r="AA46" s="136">
        <f>ROUND(AVERAGE(Q46:Y46),2)</f>
        <v>80.819999999999993</v>
      </c>
    </row>
    <row r="47" spans="1:28">
      <c r="C47" s="130"/>
      <c r="E47" s="130"/>
      <c r="G47" s="130"/>
      <c r="I47" s="130"/>
      <c r="K47" s="131"/>
      <c r="L47" s="131"/>
      <c r="M47" s="131"/>
      <c r="Q47" s="136"/>
      <c r="S47" s="136"/>
      <c r="U47" s="136"/>
      <c r="W47" s="136"/>
      <c r="Y47" s="136"/>
      <c r="AA47" s="136"/>
    </row>
    <row r="48" spans="1:28">
      <c r="A48" s="124" t="s">
        <v>7</v>
      </c>
      <c r="B48" s="124" t="s">
        <v>50</v>
      </c>
      <c r="C48" s="130">
        <f>C16/C15</f>
        <v>46.748678912555533</v>
      </c>
      <c r="E48" s="130">
        <f>E16/E15</f>
        <v>44.181766301493639</v>
      </c>
      <c r="G48" s="130">
        <f>G16/G15</f>
        <v>45.141089446156499</v>
      </c>
      <c r="I48" s="130">
        <f>I16/I15</f>
        <v>44.5098736473347</v>
      </c>
      <c r="K48" s="130">
        <f>K16/K15</f>
        <v>41.259142076300179</v>
      </c>
      <c r="M48" s="130">
        <f>M16/M15</f>
        <v>38.733299741983913</v>
      </c>
      <c r="O48" s="132" t="s">
        <v>41</v>
      </c>
      <c r="P48" s="132"/>
      <c r="Q48" s="136">
        <f>ROUND(((C34/AVERAGE(C16,E16))*100),2)</f>
        <v>10.92</v>
      </c>
      <c r="R48" s="124" t="s">
        <v>18</v>
      </c>
      <c r="S48" s="136">
        <f>ROUND(((E34/AVERAGE(E16,G16))*100),2)</f>
        <v>3.22</v>
      </c>
      <c r="T48" s="124" t="s">
        <v>18</v>
      </c>
      <c r="U48" s="136">
        <f>ROUND(((G34/AVERAGE(G16,I16))*100),2)</f>
        <v>7.85</v>
      </c>
      <c r="V48" s="124" t="s">
        <v>18</v>
      </c>
      <c r="W48" s="136">
        <f>ROUND(((I34/AVERAGE(I16,K16))*100),2)</f>
        <v>10.06</v>
      </c>
      <c r="X48" s="124" t="s">
        <v>18</v>
      </c>
      <c r="Y48" s="136">
        <f>ROUND(((K34/AVERAGE(K16,M16))*100),2)</f>
        <v>8.6</v>
      </c>
      <c r="Z48" s="124" t="s">
        <v>18</v>
      </c>
      <c r="AA48" s="136">
        <f>ROUND(AVERAGE(Q48:Y48),2)</f>
        <v>8.1300000000000008</v>
      </c>
      <c r="AB48" s="124" t="s">
        <v>18</v>
      </c>
    </row>
    <row r="49" spans="1:28">
      <c r="C49" s="130"/>
      <c r="E49" s="130"/>
      <c r="G49" s="130"/>
      <c r="I49" s="130"/>
      <c r="K49" s="130"/>
      <c r="M49" s="130"/>
      <c r="Q49" s="136"/>
      <c r="S49" s="136"/>
      <c r="U49" s="136"/>
      <c r="W49" s="136"/>
      <c r="Y49" s="136"/>
      <c r="AA49" s="137"/>
    </row>
    <row r="50" spans="1:28">
      <c r="A50" s="124" t="s">
        <v>13</v>
      </c>
      <c r="B50" s="124" t="s">
        <v>50</v>
      </c>
      <c r="C50" s="130">
        <f>SUM(C12:C13,C16:C17)</f>
        <v>5653100000</v>
      </c>
      <c r="E50" s="130">
        <f>SUM(E12:E13,E16:E17)</f>
        <v>5006400000</v>
      </c>
      <c r="G50" s="130">
        <f>SUM(G12:G13,G16:G17)</f>
        <v>4665600000</v>
      </c>
      <c r="I50" s="130">
        <f>SUM(I12:I13,I16:I17)</f>
        <v>4173000000</v>
      </c>
      <c r="K50" s="130">
        <f>SUM(K12:K13,K16:K17)</f>
        <v>4086300000</v>
      </c>
      <c r="M50" s="130">
        <f>SUM(M12:M13,M16:M17)</f>
        <v>3851900000</v>
      </c>
      <c r="O50" s="132" t="s">
        <v>142</v>
      </c>
      <c r="Q50" s="136">
        <f>ROUND((C54/C62),2)</f>
        <v>5.56</v>
      </c>
      <c r="R50" s="137" t="s">
        <v>44</v>
      </c>
      <c r="S50" s="136">
        <f>ROUND((E54/E62),2)</f>
        <v>7.76</v>
      </c>
      <c r="T50" s="137" t="s">
        <v>44</v>
      </c>
      <c r="U50" s="136">
        <f>ROUND((G54/G62),2)</f>
        <v>5.67</v>
      </c>
      <c r="V50" s="137" t="s">
        <v>44</v>
      </c>
      <c r="W50" s="136">
        <f>ROUND((I54/I62),2)</f>
        <v>5.44</v>
      </c>
      <c r="X50" s="137" t="s">
        <v>44</v>
      </c>
      <c r="Y50" s="136">
        <f>ROUND((K54/K62),2)</f>
        <v>5.33</v>
      </c>
      <c r="Z50" s="137" t="s">
        <v>44</v>
      </c>
      <c r="AA50" s="136">
        <f>ROUND(AVERAGE(Q50:Y50),2)</f>
        <v>5.95</v>
      </c>
      <c r="AB50" s="124" t="s">
        <v>44</v>
      </c>
    </row>
    <row r="51" spans="1:28">
      <c r="C51" s="130"/>
      <c r="E51" s="130"/>
      <c r="G51" s="130"/>
      <c r="I51" s="130"/>
      <c r="K51" s="130"/>
      <c r="M51" s="130"/>
      <c r="O51" s="132"/>
      <c r="Q51" s="136"/>
      <c r="S51" s="136"/>
      <c r="U51" s="136"/>
      <c r="W51" s="136"/>
      <c r="Y51" s="136"/>
      <c r="AA51" s="136"/>
    </row>
    <row r="52" spans="1:28">
      <c r="A52" s="124" t="s">
        <v>23</v>
      </c>
      <c r="B52" s="124" t="s">
        <v>50</v>
      </c>
      <c r="C52" s="130">
        <f>AVERAGE(C22:C23)</f>
        <v>68.56</v>
      </c>
      <c r="E52" s="130">
        <f>AVERAGE(E22:E23)</f>
        <v>69.56</v>
      </c>
      <c r="G52" s="130">
        <f>AVERAGE(G22:G23)</f>
        <v>79.194999999999993</v>
      </c>
      <c r="I52" s="130">
        <f>AVERAGE(I22:I23)</f>
        <v>71.775000000000006</v>
      </c>
      <c r="K52" s="130">
        <f>AVERAGE(K22:K23)</f>
        <v>68.685000000000002</v>
      </c>
      <c r="M52" s="130">
        <f>AVERAGE(M22:M23)</f>
        <v>62.71</v>
      </c>
      <c r="O52" s="132" t="s">
        <v>57</v>
      </c>
      <c r="Q52" s="136">
        <f>ROUND(((C60/C54)*100),2)</f>
        <v>12.42</v>
      </c>
      <c r="R52" s="137" t="s">
        <v>18</v>
      </c>
      <c r="S52" s="136">
        <f>ROUND(((E60/E54)*100),2)</f>
        <v>15.46</v>
      </c>
      <c r="T52" s="137" t="s">
        <v>18</v>
      </c>
      <c r="U52" s="136">
        <f>ROUND(((G60/G54)*100),2)</f>
        <v>16.489999999999998</v>
      </c>
      <c r="V52" s="137" t="s">
        <v>18</v>
      </c>
      <c r="W52" s="136">
        <f>ROUND(((I60/I54)*100),2)</f>
        <v>20.84</v>
      </c>
      <c r="X52" s="137" t="s">
        <v>18</v>
      </c>
      <c r="Y52" s="136">
        <f>ROUND(((K60/K54)*100),2)</f>
        <v>7.15</v>
      </c>
      <c r="Z52" s="137" t="s">
        <v>18</v>
      </c>
      <c r="AA52" s="136">
        <f>ROUND(AVERAGE(Q52:Y52),2)</f>
        <v>14.47</v>
      </c>
      <c r="AB52" s="124" t="s">
        <v>18</v>
      </c>
    </row>
    <row r="53" spans="1:28">
      <c r="C53" s="130"/>
      <c r="E53" s="130"/>
      <c r="G53" s="130"/>
      <c r="I53" s="130"/>
      <c r="K53" s="130"/>
      <c r="M53" s="130"/>
      <c r="O53" s="143"/>
      <c r="Q53" s="136"/>
      <c r="S53" s="136"/>
      <c r="U53" s="136"/>
      <c r="W53" s="136"/>
      <c r="Y53" s="136"/>
    </row>
    <row r="54" spans="1:28">
      <c r="A54" s="124" t="s">
        <v>53</v>
      </c>
      <c r="C54" s="214">
        <f>+C19+C12</f>
        <v>3666900000</v>
      </c>
      <c r="E54" s="214">
        <f>+E19+E12</f>
        <v>3132100000</v>
      </c>
      <c r="G54" s="214">
        <f>+G19+G12</f>
        <v>2865800000</v>
      </c>
      <c r="I54" s="214">
        <f>+I19+I12</f>
        <v>2471200000</v>
      </c>
      <c r="K54" s="214">
        <f>+K19+K12</f>
        <v>2572300000</v>
      </c>
      <c r="M54" s="214">
        <f>+M19+M12</f>
        <v>2482400000</v>
      </c>
      <c r="O54" s="143" t="s">
        <v>56</v>
      </c>
      <c r="Q54" s="136">
        <f>Q33</f>
        <v>57.97</v>
      </c>
      <c r="R54" s="137" t="s">
        <v>18</v>
      </c>
      <c r="S54" s="136">
        <f>S33</f>
        <v>55.39</v>
      </c>
      <c r="T54" s="137" t="s">
        <v>18</v>
      </c>
      <c r="U54" s="136">
        <f>U33</f>
        <v>52.98</v>
      </c>
      <c r="V54" s="137" t="s">
        <v>18</v>
      </c>
      <c r="W54" s="136">
        <f>W33</f>
        <v>52.28</v>
      </c>
      <c r="X54" s="137" t="s">
        <v>18</v>
      </c>
      <c r="Y54" s="136">
        <f>Y33</f>
        <v>56.37</v>
      </c>
      <c r="Z54" s="137" t="s">
        <v>18</v>
      </c>
      <c r="AA54" s="136">
        <f>ROUND(AVERAGE(Q54:Y54),2)</f>
        <v>55</v>
      </c>
      <c r="AB54" s="137" t="s">
        <v>18</v>
      </c>
    </row>
    <row r="55" spans="1:28">
      <c r="C55" s="130"/>
      <c r="E55" s="130"/>
      <c r="G55" s="130"/>
      <c r="I55" s="130"/>
      <c r="K55" s="130"/>
      <c r="M55" s="130"/>
    </row>
    <row r="56" spans="1:28">
      <c r="A56" s="124" t="s">
        <v>31</v>
      </c>
      <c r="B56" s="124" t="s">
        <v>50</v>
      </c>
      <c r="C56" s="130">
        <f>SUM(C50,C19)</f>
        <v>6325100000</v>
      </c>
      <c r="E56" s="130">
        <f>SUM(E50,E19)</f>
        <v>5654400000</v>
      </c>
      <c r="G56" s="130">
        <f>SUM(G50,G19)</f>
        <v>5408800000</v>
      </c>
      <c r="I56" s="130">
        <f>SUM(I50,I19)</f>
        <v>4726600000</v>
      </c>
      <c r="K56" s="130">
        <f>SUM(K50,K19)</f>
        <v>4563600000</v>
      </c>
      <c r="M56" s="130">
        <f>SUM(M50,M19)</f>
        <v>4250600000</v>
      </c>
    </row>
    <row r="57" spans="1:28">
      <c r="C57" s="130"/>
      <c r="E57" s="130"/>
      <c r="G57" s="130"/>
      <c r="I57" s="130"/>
      <c r="K57" s="130"/>
      <c r="M57" s="130"/>
    </row>
    <row r="58" spans="1:28">
      <c r="A58" s="124" t="s">
        <v>51</v>
      </c>
      <c r="B58" s="124" t="s">
        <v>50</v>
      </c>
      <c r="C58" s="130">
        <f>SUM(C13,C17)</f>
        <v>242000000</v>
      </c>
      <c r="E58" s="130">
        <f>SUM(E13,E17)</f>
        <v>242000000</v>
      </c>
      <c r="G58" s="130">
        <f>SUM(G13,G17)</f>
        <v>242000000</v>
      </c>
      <c r="I58" s="130">
        <f>SUM(I13,I17)</f>
        <v>0</v>
      </c>
      <c r="K58" s="130">
        <f>SUM(K13,K17)</f>
        <v>0</v>
      </c>
      <c r="M58" s="130">
        <f>SUM(M13,M17)</f>
        <v>0</v>
      </c>
    </row>
    <row r="59" spans="1:28">
      <c r="C59" s="130"/>
      <c r="E59" s="130"/>
      <c r="G59" s="130"/>
      <c r="I59" s="130"/>
      <c r="K59" s="130"/>
      <c r="M59" s="130"/>
    </row>
    <row r="60" spans="1:28">
      <c r="A60" s="126" t="s">
        <v>1466</v>
      </c>
      <c r="B60" s="124" t="s">
        <v>50</v>
      </c>
      <c r="C60" s="130">
        <f>ROUND(C41+C42-C28,3)</f>
        <v>455500000</v>
      </c>
      <c r="E60" s="130">
        <f>ROUND(E41+E42-E28,3)</f>
        <v>484300000</v>
      </c>
      <c r="G60" s="130">
        <f>ROUND(G41+G42-G28,3)</f>
        <v>472700000</v>
      </c>
      <c r="I60" s="130">
        <f>ROUND(I41+I42-I28,3)</f>
        <v>515100000</v>
      </c>
      <c r="K60" s="130">
        <f>ROUND(K41+K42-K28,3)</f>
        <v>183900000</v>
      </c>
      <c r="M60" s="130">
        <f>ROUND(M41+M42-M28,3)</f>
        <v>301200000</v>
      </c>
    </row>
    <row r="61" spans="1:28">
      <c r="A61" s="126"/>
      <c r="C61" s="130"/>
      <c r="E61" s="130"/>
      <c r="G61" s="130"/>
      <c r="I61" s="130"/>
      <c r="K61" s="130"/>
      <c r="M61" s="130"/>
    </row>
    <row r="62" spans="1:28">
      <c r="A62" s="124" t="s">
        <v>1467</v>
      </c>
      <c r="B62" s="124" t="s">
        <v>50</v>
      </c>
      <c r="C62" s="130">
        <f>C40+C44+C43+C30</f>
        <v>659900000</v>
      </c>
      <c r="E62" s="130">
        <f>E40+E44+E43+E30</f>
        <v>403800000</v>
      </c>
      <c r="G62" s="130">
        <f>G40+G44+G43+G30</f>
        <v>505200000</v>
      </c>
      <c r="I62" s="130">
        <f>I40+I44+I43+I30</f>
        <v>454500000</v>
      </c>
      <c r="K62" s="130">
        <f>K40+K44+K43+K30</f>
        <v>482400000</v>
      </c>
      <c r="M62" s="130">
        <f>M40+M44+M43+M30</f>
        <v>428400000</v>
      </c>
    </row>
    <row r="63" spans="1:28">
      <c r="E63" s="131"/>
      <c r="F63" s="131"/>
      <c r="G63" s="131"/>
      <c r="H63" s="131"/>
      <c r="I63" s="131"/>
      <c r="J63" s="131"/>
      <c r="K63" s="131"/>
      <c r="L63" s="131"/>
      <c r="M63" s="131"/>
    </row>
    <row r="64" spans="1:28">
      <c r="E64" s="131"/>
      <c r="F64" s="131"/>
      <c r="G64" s="131"/>
      <c r="H64" s="131"/>
      <c r="I64" s="131"/>
      <c r="J64" s="131"/>
      <c r="K64" s="131"/>
      <c r="L64" s="131"/>
      <c r="M64" s="131"/>
    </row>
    <row r="71" spans="5:13">
      <c r="E71" s="131"/>
      <c r="F71" s="131"/>
      <c r="G71" s="131"/>
      <c r="H71" s="131"/>
      <c r="I71" s="131"/>
      <c r="J71" s="131"/>
      <c r="K71" s="131"/>
      <c r="L71" s="131"/>
      <c r="M71" s="131"/>
    </row>
    <row r="81" spans="5:221">
      <c r="HI81" s="144"/>
      <c r="HJ81" s="144"/>
      <c r="HM81" s="124" t="s">
        <v>48</v>
      </c>
    </row>
    <row r="94" spans="5:221">
      <c r="E94" s="131"/>
      <c r="F94" s="131"/>
      <c r="G94" s="131"/>
      <c r="H94" s="131"/>
      <c r="I94" s="131"/>
      <c r="J94" s="131"/>
      <c r="K94" s="131"/>
      <c r="L94" s="131"/>
      <c r="M94" s="131"/>
    </row>
    <row r="95" spans="5:221">
      <c r="E95" s="131"/>
      <c r="F95" s="131"/>
      <c r="G95" s="131"/>
      <c r="H95" s="131"/>
      <c r="I95" s="131"/>
      <c r="J95" s="131"/>
      <c r="K95" s="131"/>
      <c r="L95" s="131"/>
      <c r="M95" s="131"/>
    </row>
    <row r="96" spans="5:221">
      <c r="E96" s="131"/>
      <c r="F96" s="131"/>
      <c r="G96" s="131"/>
      <c r="H96" s="131"/>
      <c r="I96" s="131"/>
      <c r="J96" s="131"/>
      <c r="K96" s="131"/>
      <c r="L96" s="131"/>
      <c r="M96" s="131"/>
    </row>
    <row r="97" spans="5:13">
      <c r="E97" s="131"/>
      <c r="F97" s="131"/>
      <c r="G97" s="131"/>
      <c r="H97" s="131"/>
      <c r="I97" s="131"/>
      <c r="J97" s="131"/>
      <c r="K97" s="131"/>
      <c r="L97" s="131"/>
      <c r="M97" s="131"/>
    </row>
    <row r="98" spans="5:13">
      <c r="E98" s="131"/>
      <c r="F98" s="131"/>
      <c r="G98" s="131"/>
      <c r="H98" s="131"/>
      <c r="I98" s="131"/>
      <c r="J98" s="131"/>
      <c r="K98" s="131"/>
      <c r="L98" s="131"/>
      <c r="M98" s="131"/>
    </row>
    <row r="99" spans="5:13">
      <c r="E99" s="131"/>
      <c r="F99" s="131"/>
      <c r="G99" s="131"/>
      <c r="H99" s="131"/>
      <c r="I99" s="131"/>
      <c r="J99" s="131"/>
      <c r="K99" s="131"/>
      <c r="L99" s="131"/>
      <c r="M99" s="131"/>
    </row>
    <row r="100" spans="5:13">
      <c r="E100" s="131"/>
      <c r="F100" s="131"/>
      <c r="G100" s="131"/>
      <c r="H100" s="131"/>
      <c r="I100" s="131"/>
      <c r="J100" s="131"/>
      <c r="K100" s="131"/>
      <c r="L100" s="131"/>
      <c r="M100" s="131"/>
    </row>
    <row r="101" spans="5:13">
      <c r="E101" s="131"/>
      <c r="F101" s="131"/>
      <c r="G101" s="131"/>
      <c r="H101" s="131"/>
      <c r="I101" s="131"/>
      <c r="J101" s="131"/>
      <c r="K101" s="131"/>
      <c r="L101" s="131"/>
      <c r="M101" s="131"/>
    </row>
    <row r="102" spans="5:13">
      <c r="E102" s="131"/>
      <c r="F102" s="131"/>
      <c r="G102" s="131"/>
      <c r="H102" s="131"/>
      <c r="I102" s="131"/>
      <c r="J102" s="131"/>
      <c r="K102" s="131"/>
      <c r="L102" s="131"/>
      <c r="M102" s="131"/>
    </row>
    <row r="103" spans="5:13">
      <c r="E103" s="131"/>
      <c r="F103" s="131"/>
      <c r="G103" s="131"/>
      <c r="H103" s="131"/>
      <c r="I103" s="131"/>
      <c r="J103" s="131"/>
      <c r="K103" s="131"/>
      <c r="L103" s="131"/>
      <c r="M103" s="131"/>
    </row>
    <row r="104" spans="5:13">
      <c r="E104" s="131"/>
      <c r="F104" s="131"/>
      <c r="G104" s="131"/>
      <c r="H104" s="131"/>
      <c r="I104" s="131"/>
      <c r="J104" s="131"/>
      <c r="K104" s="131"/>
      <c r="L104" s="131"/>
      <c r="M104" s="131"/>
    </row>
    <row r="105" spans="5:13">
      <c r="E105" s="131"/>
      <c r="F105" s="131"/>
      <c r="G105" s="131"/>
      <c r="H105" s="131"/>
      <c r="I105" s="131"/>
      <c r="J105" s="131"/>
      <c r="K105" s="131"/>
      <c r="L105" s="131"/>
      <c r="M105" s="131"/>
    </row>
    <row r="106" spans="5:13">
      <c r="E106" s="131"/>
      <c r="F106" s="131"/>
      <c r="G106" s="131"/>
      <c r="H106" s="131"/>
      <c r="I106" s="131"/>
      <c r="J106" s="131"/>
      <c r="K106" s="131"/>
      <c r="L106" s="131"/>
      <c r="M106" s="131"/>
    </row>
    <row r="107" spans="5:13">
      <c r="E107" s="131"/>
      <c r="F107" s="131"/>
      <c r="G107" s="131"/>
      <c r="H107" s="131"/>
      <c r="I107" s="131"/>
      <c r="J107" s="131"/>
      <c r="K107" s="131"/>
      <c r="L107" s="131"/>
      <c r="M107" s="131"/>
    </row>
    <row r="108" spans="5:13">
      <c r="E108" s="131"/>
      <c r="F108" s="131"/>
      <c r="G108" s="131"/>
      <c r="H108" s="131"/>
      <c r="I108" s="131"/>
      <c r="J108" s="131"/>
      <c r="K108" s="131"/>
      <c r="L108" s="131"/>
      <c r="M108" s="131"/>
    </row>
    <row r="109" spans="5:13">
      <c r="E109" s="131"/>
      <c r="F109" s="131"/>
      <c r="G109" s="131"/>
      <c r="H109" s="131"/>
      <c r="I109" s="131"/>
      <c r="J109" s="131"/>
      <c r="K109" s="131"/>
      <c r="L109" s="131"/>
      <c r="M109" s="131"/>
    </row>
    <row r="110" spans="5:13">
      <c r="E110" s="131"/>
      <c r="F110" s="131"/>
      <c r="G110" s="131"/>
      <c r="H110" s="131"/>
      <c r="I110" s="131"/>
      <c r="J110" s="131"/>
      <c r="K110" s="131"/>
      <c r="L110" s="131"/>
      <c r="M110" s="131"/>
    </row>
    <row r="111" spans="5:13">
      <c r="E111" s="131"/>
      <c r="F111" s="131"/>
      <c r="G111" s="131"/>
      <c r="H111" s="131"/>
      <c r="I111" s="131"/>
      <c r="J111" s="131"/>
      <c r="K111" s="131"/>
      <c r="L111" s="131"/>
      <c r="M111" s="131"/>
    </row>
    <row r="112" spans="5:13">
      <c r="E112" s="131"/>
      <c r="F112" s="131"/>
      <c r="G112" s="131"/>
      <c r="H112" s="131"/>
      <c r="I112" s="131"/>
      <c r="J112" s="131"/>
      <c r="K112" s="131"/>
      <c r="L112" s="131"/>
      <c r="M112" s="131"/>
    </row>
    <row r="113" spans="5:13">
      <c r="E113" s="131"/>
      <c r="F113" s="131"/>
      <c r="G113" s="131"/>
      <c r="H113" s="131"/>
      <c r="I113" s="131"/>
      <c r="J113" s="131"/>
      <c r="K113" s="131"/>
      <c r="L113" s="131"/>
      <c r="M113" s="131"/>
    </row>
    <row r="114" spans="5:13">
      <c r="E114" s="131"/>
      <c r="F114" s="131"/>
      <c r="G114" s="131"/>
      <c r="H114" s="131"/>
      <c r="I114" s="131"/>
      <c r="J114" s="131"/>
      <c r="K114" s="131"/>
      <c r="L114" s="131"/>
      <c r="M114" s="131"/>
    </row>
    <row r="115" spans="5:13">
      <c r="E115" s="131"/>
      <c r="F115" s="131"/>
      <c r="G115" s="131"/>
      <c r="H115" s="131"/>
      <c r="I115" s="131"/>
      <c r="J115" s="131"/>
      <c r="K115" s="131"/>
      <c r="L115" s="131"/>
      <c r="M115" s="131"/>
    </row>
    <row r="116" spans="5:13">
      <c r="E116" s="131"/>
      <c r="F116" s="131"/>
      <c r="G116" s="131"/>
      <c r="H116" s="131"/>
      <c r="I116" s="131"/>
      <c r="J116" s="131"/>
      <c r="K116" s="131"/>
      <c r="L116" s="131"/>
      <c r="M116" s="131"/>
    </row>
    <row r="117" spans="5:13">
      <c r="E117" s="131"/>
      <c r="F117" s="131"/>
      <c r="G117" s="131"/>
      <c r="H117" s="131"/>
      <c r="I117" s="131"/>
      <c r="J117" s="131"/>
      <c r="K117" s="131"/>
      <c r="L117" s="131"/>
      <c r="M117" s="131"/>
    </row>
    <row r="118" spans="5:13">
      <c r="E118" s="131"/>
      <c r="F118" s="131"/>
      <c r="G118" s="131"/>
      <c r="H118" s="131"/>
      <c r="I118" s="131"/>
      <c r="J118" s="131"/>
      <c r="K118" s="131"/>
      <c r="L118" s="131"/>
      <c r="M118" s="131"/>
    </row>
    <row r="119" spans="5:13">
      <c r="E119" s="131"/>
      <c r="F119" s="131"/>
      <c r="G119" s="131"/>
      <c r="H119" s="131"/>
      <c r="I119" s="131"/>
      <c r="J119" s="131"/>
      <c r="K119" s="131"/>
      <c r="L119" s="131"/>
      <c r="M119" s="131"/>
    </row>
    <row r="120" spans="5:13">
      <c r="E120" s="131"/>
      <c r="F120" s="131"/>
      <c r="G120" s="131"/>
      <c r="H120" s="131"/>
      <c r="I120" s="131"/>
      <c r="J120" s="131"/>
      <c r="K120" s="131"/>
      <c r="L120" s="131"/>
      <c r="M120" s="131"/>
    </row>
    <row r="121" spans="5:13">
      <c r="E121" s="131"/>
      <c r="F121" s="131"/>
      <c r="G121" s="131"/>
      <c r="H121" s="131"/>
      <c r="I121" s="131"/>
      <c r="J121" s="131"/>
      <c r="K121" s="131"/>
      <c r="L121" s="131"/>
      <c r="M121" s="131"/>
    </row>
    <row r="122" spans="5:13">
      <c r="E122" s="131"/>
      <c r="F122" s="131"/>
      <c r="G122" s="131"/>
      <c r="H122" s="131"/>
      <c r="I122" s="131"/>
      <c r="J122" s="131"/>
      <c r="K122" s="131"/>
      <c r="L122" s="131"/>
      <c r="M122" s="131"/>
    </row>
    <row r="123" spans="5:13">
      <c r="E123" s="131"/>
      <c r="F123" s="131"/>
      <c r="G123" s="131"/>
      <c r="H123" s="131"/>
      <c r="I123" s="131"/>
      <c r="J123" s="131"/>
      <c r="K123" s="131"/>
      <c r="L123" s="131"/>
      <c r="M123" s="131"/>
    </row>
    <row r="124" spans="5:13">
      <c r="E124" s="131"/>
      <c r="F124" s="131"/>
      <c r="G124" s="131"/>
      <c r="H124" s="131"/>
      <c r="I124" s="131"/>
      <c r="J124" s="131"/>
      <c r="K124" s="131"/>
      <c r="L124" s="131"/>
      <c r="M124" s="131"/>
    </row>
    <row r="125" spans="5:13">
      <c r="E125" s="131"/>
      <c r="F125" s="131"/>
      <c r="G125" s="131"/>
      <c r="H125" s="131"/>
      <c r="I125" s="131"/>
      <c r="J125" s="131"/>
      <c r="K125" s="131"/>
      <c r="L125" s="131"/>
      <c r="M125" s="131"/>
    </row>
    <row r="126" spans="5:13">
      <c r="E126" s="131"/>
      <c r="F126" s="131"/>
      <c r="G126" s="131"/>
      <c r="H126" s="131"/>
      <c r="I126" s="131"/>
      <c r="J126" s="131"/>
      <c r="K126" s="131"/>
      <c r="L126" s="131"/>
      <c r="M126" s="131"/>
    </row>
    <row r="127" spans="5:13">
      <c r="E127" s="131"/>
      <c r="F127" s="131"/>
      <c r="G127" s="131"/>
      <c r="H127" s="131"/>
      <c r="I127" s="131"/>
      <c r="J127" s="131"/>
      <c r="K127" s="131"/>
      <c r="L127" s="131"/>
      <c r="M127" s="131"/>
    </row>
    <row r="128" spans="5:13">
      <c r="E128" s="131"/>
      <c r="F128" s="131"/>
      <c r="G128" s="131"/>
      <c r="H128" s="131"/>
      <c r="I128" s="131"/>
      <c r="J128" s="131"/>
      <c r="K128" s="131"/>
      <c r="L128" s="131"/>
      <c r="M128" s="131"/>
    </row>
    <row r="129" spans="5:13">
      <c r="E129" s="131"/>
      <c r="F129" s="131"/>
      <c r="G129" s="131"/>
      <c r="H129" s="131"/>
      <c r="I129" s="131"/>
      <c r="J129" s="131"/>
      <c r="K129" s="131"/>
      <c r="L129" s="131"/>
      <c r="M129" s="131"/>
    </row>
    <row r="130" spans="5:13">
      <c r="E130" s="131"/>
      <c r="F130" s="131"/>
      <c r="G130" s="131"/>
      <c r="H130" s="131"/>
      <c r="I130" s="131"/>
      <c r="J130" s="131"/>
      <c r="K130" s="131"/>
      <c r="L130" s="131"/>
      <c r="M130" s="131"/>
    </row>
    <row r="131" spans="5:13">
      <c r="E131" s="131"/>
      <c r="F131" s="131"/>
      <c r="G131" s="131"/>
      <c r="H131" s="131"/>
      <c r="I131" s="131"/>
      <c r="J131" s="131"/>
      <c r="K131" s="131"/>
      <c r="L131" s="131"/>
      <c r="M131" s="131"/>
    </row>
    <row r="132" spans="5:13">
      <c r="E132" s="131"/>
      <c r="F132" s="131"/>
      <c r="G132" s="131"/>
      <c r="H132" s="131"/>
      <c r="I132" s="131"/>
      <c r="J132" s="131"/>
      <c r="K132" s="131"/>
      <c r="L132" s="131"/>
      <c r="M132" s="131"/>
    </row>
    <row r="133" spans="5:13">
      <c r="E133" s="131"/>
      <c r="F133" s="131"/>
      <c r="G133" s="131"/>
      <c r="H133" s="131"/>
      <c r="I133" s="131"/>
      <c r="J133" s="131"/>
      <c r="K133" s="131"/>
      <c r="L133" s="131"/>
      <c r="M133" s="131"/>
    </row>
    <row r="134" spans="5:13">
      <c r="E134" s="131"/>
      <c r="F134" s="131"/>
      <c r="G134" s="131"/>
      <c r="H134" s="131"/>
      <c r="I134" s="131"/>
      <c r="J134" s="131"/>
      <c r="K134" s="131"/>
      <c r="L134" s="131"/>
      <c r="M134" s="131"/>
    </row>
    <row r="135" spans="5:13">
      <c r="E135" s="131"/>
      <c r="F135" s="131"/>
      <c r="G135" s="131"/>
      <c r="H135" s="131"/>
      <c r="I135" s="131"/>
      <c r="J135" s="131"/>
      <c r="K135" s="131"/>
      <c r="L135" s="131"/>
      <c r="M135" s="131"/>
    </row>
    <row r="136" spans="5:13">
      <c r="E136" s="131"/>
      <c r="F136" s="131"/>
      <c r="G136" s="131"/>
      <c r="H136" s="131"/>
      <c r="I136" s="131"/>
      <c r="J136" s="131"/>
      <c r="K136" s="131"/>
      <c r="L136" s="131"/>
      <c r="M136" s="131"/>
    </row>
    <row r="137" spans="5:13">
      <c r="E137" s="131"/>
      <c r="F137" s="131"/>
      <c r="G137" s="131"/>
      <c r="H137" s="131"/>
      <c r="I137" s="131"/>
      <c r="J137" s="131"/>
      <c r="K137" s="131"/>
      <c r="L137" s="131"/>
      <c r="M137" s="131"/>
    </row>
    <row r="138" spans="5:13">
      <c r="E138" s="131"/>
      <c r="F138" s="131"/>
      <c r="G138" s="131"/>
      <c r="H138" s="131"/>
      <c r="I138" s="131"/>
      <c r="J138" s="131"/>
      <c r="K138" s="131"/>
      <c r="L138" s="131"/>
      <c r="M138" s="131"/>
    </row>
    <row r="139" spans="5:13">
      <c r="E139" s="131"/>
      <c r="F139" s="131"/>
      <c r="G139" s="131"/>
      <c r="H139" s="131"/>
      <c r="I139" s="131"/>
      <c r="J139" s="131"/>
      <c r="K139" s="131"/>
      <c r="L139" s="131"/>
      <c r="M139" s="131"/>
    </row>
    <row r="140" spans="5:13">
      <c r="E140" s="131"/>
      <c r="F140" s="131"/>
      <c r="G140" s="131"/>
      <c r="H140" s="131"/>
      <c r="I140" s="131"/>
      <c r="J140" s="131"/>
      <c r="K140" s="131"/>
      <c r="L140" s="131"/>
      <c r="M140" s="131"/>
    </row>
    <row r="141" spans="5:13">
      <c r="E141" s="131"/>
      <c r="F141" s="131"/>
      <c r="G141" s="131"/>
      <c r="H141" s="131"/>
      <c r="I141" s="131"/>
      <c r="J141" s="131"/>
      <c r="K141" s="131"/>
      <c r="L141" s="131"/>
      <c r="M141" s="131"/>
    </row>
    <row r="142" spans="5:13">
      <c r="E142" s="131"/>
      <c r="F142" s="131"/>
      <c r="G142" s="131"/>
      <c r="H142" s="131"/>
      <c r="I142" s="131"/>
      <c r="J142" s="131"/>
      <c r="K142" s="131"/>
      <c r="L142" s="131"/>
      <c r="M142" s="131"/>
    </row>
    <row r="143" spans="5:13">
      <c r="E143" s="131"/>
      <c r="F143" s="131"/>
      <c r="G143" s="131"/>
      <c r="H143" s="131"/>
      <c r="I143" s="131"/>
      <c r="J143" s="131"/>
      <c r="K143" s="131"/>
      <c r="L143" s="131"/>
      <c r="M143" s="131"/>
    </row>
    <row r="144" spans="5:13">
      <c r="E144" s="131"/>
      <c r="F144" s="131"/>
      <c r="G144" s="131"/>
      <c r="H144" s="131"/>
      <c r="I144" s="131"/>
      <c r="J144" s="131"/>
      <c r="K144" s="131"/>
      <c r="L144" s="131"/>
      <c r="M144" s="131"/>
    </row>
    <row r="145" spans="5:13">
      <c r="E145" s="131"/>
      <c r="F145" s="131"/>
      <c r="G145" s="131"/>
      <c r="H145" s="131"/>
      <c r="I145" s="131"/>
      <c r="J145" s="131"/>
      <c r="K145" s="131"/>
      <c r="L145" s="131"/>
      <c r="M145" s="131"/>
    </row>
    <row r="146" spans="5:13">
      <c r="E146" s="131"/>
      <c r="F146" s="131"/>
      <c r="G146" s="131"/>
      <c r="H146" s="131"/>
      <c r="I146" s="131"/>
      <c r="J146" s="131"/>
      <c r="K146" s="131"/>
      <c r="L146" s="131"/>
      <c r="M146" s="131"/>
    </row>
    <row r="147" spans="5:13">
      <c r="E147" s="131"/>
      <c r="F147" s="131"/>
      <c r="G147" s="131"/>
      <c r="H147" s="131"/>
      <c r="I147" s="131"/>
      <c r="J147" s="131"/>
      <c r="K147" s="131"/>
      <c r="L147" s="131"/>
      <c r="M147" s="131"/>
    </row>
    <row r="148" spans="5:13">
      <c r="E148" s="131"/>
      <c r="F148" s="131"/>
      <c r="G148" s="131"/>
      <c r="H148" s="131"/>
      <c r="I148" s="131"/>
      <c r="J148" s="131"/>
      <c r="K148" s="131"/>
      <c r="L148" s="131"/>
      <c r="M148" s="131"/>
    </row>
    <row r="149" spans="5:13">
      <c r="E149" s="131"/>
      <c r="F149" s="131"/>
      <c r="G149" s="131"/>
      <c r="H149" s="131"/>
      <c r="I149" s="131"/>
      <c r="J149" s="131"/>
      <c r="K149" s="131"/>
      <c r="L149" s="131"/>
      <c r="M149" s="131"/>
    </row>
    <row r="150" spans="5:13">
      <c r="E150" s="131"/>
      <c r="F150" s="131"/>
      <c r="G150" s="131"/>
      <c r="H150" s="131"/>
      <c r="I150" s="131"/>
      <c r="J150" s="131"/>
      <c r="K150" s="131"/>
      <c r="L150" s="131"/>
      <c r="M150" s="131"/>
    </row>
    <row r="151" spans="5:13">
      <c r="E151" s="131"/>
      <c r="F151" s="131"/>
      <c r="G151" s="131"/>
      <c r="H151" s="131"/>
      <c r="I151" s="131"/>
      <c r="J151" s="131"/>
      <c r="K151" s="131"/>
      <c r="L151" s="131"/>
      <c r="M151" s="131"/>
    </row>
    <row r="152" spans="5:13">
      <c r="E152" s="131"/>
      <c r="F152" s="131"/>
      <c r="G152" s="131"/>
      <c r="H152" s="131"/>
      <c r="I152" s="131"/>
      <c r="J152" s="131"/>
      <c r="K152" s="131"/>
      <c r="L152" s="131"/>
      <c r="M152" s="131"/>
    </row>
    <row r="153" spans="5:13">
      <c r="E153" s="131"/>
      <c r="F153" s="131"/>
      <c r="G153" s="131"/>
      <c r="H153" s="131"/>
      <c r="I153" s="131"/>
      <c r="J153" s="131"/>
      <c r="K153" s="131"/>
      <c r="L153" s="131"/>
      <c r="M153" s="131"/>
    </row>
    <row r="154" spans="5:13">
      <c r="E154" s="131"/>
      <c r="F154" s="131"/>
      <c r="G154" s="131"/>
      <c r="H154" s="131"/>
      <c r="I154" s="131"/>
      <c r="J154" s="131"/>
      <c r="K154" s="131"/>
      <c r="L154" s="131"/>
      <c r="M154" s="131"/>
    </row>
  </sheetData>
  <mergeCells count="2">
    <mergeCell ref="AA24:AB24"/>
    <mergeCell ref="AA25:AB25"/>
  </mergeCells>
  <printOptions horizontalCentered="1"/>
  <pageMargins left="0.75" right="0.75" top="1" bottom="1" header="0.5" footer="0.5"/>
  <pageSetup scale="1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39"/>
  <sheetViews>
    <sheetView showOutlineSymbols="0" workbookViewId="0">
      <selection activeCell="D34" sqref="D34"/>
    </sheetView>
  </sheetViews>
  <sheetFormatPr defaultColWidth="9" defaultRowHeight="13.8"/>
  <cols>
    <col min="1" max="1" width="9" style="386"/>
    <col min="2" max="2" width="39.88671875" style="386" bestFit="1" customWidth="1"/>
    <col min="3" max="3" width="18.33203125" style="386" bestFit="1" customWidth="1"/>
    <col min="4" max="4" width="28.88671875" style="386" bestFit="1" customWidth="1"/>
    <col min="5" max="5" width="27" style="386" bestFit="1" customWidth="1"/>
    <col min="6" max="6" width="27" style="386" customWidth="1"/>
    <col min="7" max="7" width="26" style="386" bestFit="1" customWidth="1"/>
    <col min="8" max="8" width="2" style="386" bestFit="1" customWidth="1"/>
    <col min="9" max="9" width="9" style="386" bestFit="1" customWidth="1"/>
    <col min="10" max="10" width="2" style="386" customWidth="1"/>
    <col min="11" max="16384" width="9" style="386"/>
  </cols>
  <sheetData>
    <row r="1" spans="1:15">
      <c r="B1" s="387">
        <v>1</v>
      </c>
      <c r="C1" s="387">
        <f>B1+1</f>
        <v>2</v>
      </c>
      <c r="D1" s="387">
        <f t="shared" ref="D1:E1" si="0">C1+1</f>
        <v>3</v>
      </c>
      <c r="E1" s="387">
        <f t="shared" si="0"/>
        <v>4</v>
      </c>
      <c r="F1" s="387">
        <v>5</v>
      </c>
      <c r="G1" s="387">
        <v>6</v>
      </c>
      <c r="H1" s="387"/>
      <c r="I1" s="387">
        <f>G1+1</f>
        <v>7</v>
      </c>
      <c r="J1" s="387"/>
      <c r="K1" s="387">
        <f>I1+1</f>
        <v>8</v>
      </c>
      <c r="M1" s="386">
        <v>9</v>
      </c>
    </row>
    <row r="2" spans="1:15" ht="27.6">
      <c r="A2" s="388" t="s">
        <v>181</v>
      </c>
      <c r="B2" s="389" t="s">
        <v>4105</v>
      </c>
      <c r="C2" s="389" t="s">
        <v>4106</v>
      </c>
      <c r="D2" s="390" t="s">
        <v>4107</v>
      </c>
      <c r="E2" s="390" t="s">
        <v>4108</v>
      </c>
      <c r="F2" s="390" t="s">
        <v>4109</v>
      </c>
      <c r="G2" s="390" t="s">
        <v>4110</v>
      </c>
      <c r="H2" s="388"/>
      <c r="I2" s="388"/>
      <c r="J2" s="388"/>
      <c r="K2" s="388"/>
    </row>
    <row r="3" spans="1:15" ht="46.2" customHeight="1">
      <c r="A3" s="388"/>
      <c r="B3" s="391">
        <v>130509</v>
      </c>
      <c r="C3" s="391">
        <v>130992</v>
      </c>
      <c r="D3" s="391">
        <v>132384</v>
      </c>
      <c r="E3" s="391">
        <v>132383</v>
      </c>
      <c r="F3" s="391">
        <v>134229</v>
      </c>
      <c r="G3" s="391">
        <v>132351</v>
      </c>
      <c r="H3" s="388"/>
      <c r="I3" s="392" t="s">
        <v>4111</v>
      </c>
      <c r="J3" s="392"/>
      <c r="K3" s="392" t="s">
        <v>4112</v>
      </c>
      <c r="M3" s="393" t="s">
        <v>4113</v>
      </c>
      <c r="O3" s="386" t="s">
        <v>4114</v>
      </c>
    </row>
    <row r="4" spans="1:15">
      <c r="A4" s="388"/>
      <c r="B4" s="388"/>
      <c r="C4" s="388"/>
      <c r="D4" s="394" t="s">
        <v>4115</v>
      </c>
      <c r="E4" s="394" t="s">
        <v>4115</v>
      </c>
      <c r="F4" s="394" t="s">
        <v>4115</v>
      </c>
      <c r="G4" s="394" t="s">
        <v>4115</v>
      </c>
      <c r="H4" s="388"/>
      <c r="I4" s="394" t="s">
        <v>4115</v>
      </c>
      <c r="J4" s="394"/>
      <c r="K4" s="394" t="s">
        <v>4115</v>
      </c>
      <c r="M4" s="386" t="s">
        <v>4115</v>
      </c>
    </row>
    <row r="5" spans="1:15">
      <c r="A5" s="388"/>
      <c r="B5" s="388"/>
      <c r="C5" s="388"/>
      <c r="D5" s="394"/>
      <c r="E5" s="394"/>
      <c r="F5" s="394"/>
      <c r="G5" s="394"/>
      <c r="H5" s="388"/>
      <c r="I5" s="388"/>
      <c r="J5" s="388"/>
      <c r="K5" s="388"/>
    </row>
    <row r="6" spans="1:15">
      <c r="A6" s="388" t="s">
        <v>2333</v>
      </c>
      <c r="B6" s="388" t="s">
        <v>3928</v>
      </c>
      <c r="C6" s="388">
        <v>4057157</v>
      </c>
      <c r="D6" s="395">
        <v>6791203</v>
      </c>
      <c r="E6" s="395">
        <v>0</v>
      </c>
      <c r="F6" s="395">
        <v>4768731</v>
      </c>
      <c r="G6" s="395">
        <v>0</v>
      </c>
      <c r="H6" s="388"/>
      <c r="I6" s="396">
        <f>(D6-E6)/SUM(D6,-E6,G6,F6)</f>
        <v>0.58747766206969698</v>
      </c>
      <c r="J6" s="396"/>
      <c r="K6" s="396">
        <f>F6/SUM(D6,-E6,F6,G6)</f>
        <v>0.41252233793030307</v>
      </c>
      <c r="M6" s="396">
        <f>G6/SUM(D6,-E6,F6,G6)</f>
        <v>0</v>
      </c>
      <c r="O6" s="397">
        <f>SUM(I6:M6)</f>
        <v>1</v>
      </c>
    </row>
    <row r="7" spans="1:15">
      <c r="A7" s="398" t="s">
        <v>3051</v>
      </c>
      <c r="B7" s="399" t="s">
        <v>4116</v>
      </c>
      <c r="C7" s="394">
        <v>4061755</v>
      </c>
      <c r="D7" s="395">
        <v>1310923</v>
      </c>
      <c r="E7" s="395">
        <v>0</v>
      </c>
      <c r="F7" s="395">
        <v>1158405</v>
      </c>
      <c r="G7" s="395">
        <v>0</v>
      </c>
      <c r="H7" s="388"/>
      <c r="I7" s="396">
        <f t="shared" ref="I7:I16" si="1">(D7-E7)/SUM(D7,-E7,G7,F7)</f>
        <v>0.53088249110689223</v>
      </c>
      <c r="J7" s="396"/>
      <c r="K7" s="396">
        <f>F7/SUM(D7,-E7,F7,G7)</f>
        <v>0.46911750889310777</v>
      </c>
      <c r="M7" s="396">
        <f t="shared" ref="M7:M16" si="2">G7/SUM(D7,-E7,F7,G7)</f>
        <v>0</v>
      </c>
      <c r="O7" s="397">
        <f>SUM(I7:M7)</f>
        <v>1</v>
      </c>
    </row>
    <row r="8" spans="1:15">
      <c r="A8" s="398" t="s">
        <v>3052</v>
      </c>
      <c r="B8" s="399" t="s">
        <v>4040</v>
      </c>
      <c r="C8" s="394">
        <v>10344596</v>
      </c>
      <c r="D8" s="395">
        <v>835184</v>
      </c>
      <c r="E8" s="395">
        <v>0</v>
      </c>
      <c r="F8" s="395">
        <v>998833</v>
      </c>
      <c r="G8" s="395">
        <v>231525</v>
      </c>
      <c r="H8" s="388"/>
      <c r="I8" s="396">
        <f>(D8-E8)/SUM(D8,-E8,G8,F8)</f>
        <v>0.40434133026585756</v>
      </c>
      <c r="J8" s="396"/>
      <c r="K8" s="396">
        <f>F8/SUM(D8,-E8,F8,G8)</f>
        <v>0.48356944569512506</v>
      </c>
      <c r="M8" s="396">
        <f t="shared" si="2"/>
        <v>0.11208922403901736</v>
      </c>
      <c r="O8" s="397">
        <f>SUM(I8:M8)</f>
        <v>0.99999999999999989</v>
      </c>
    </row>
    <row r="9" spans="1:15">
      <c r="A9" s="398" t="s">
        <v>3053</v>
      </c>
      <c r="B9" s="400" t="s">
        <v>3062</v>
      </c>
      <c r="C9" s="394">
        <v>4427129</v>
      </c>
      <c r="D9" s="395">
        <v>2233311</v>
      </c>
      <c r="E9" s="395">
        <v>0</v>
      </c>
      <c r="F9" s="395">
        <v>1620228</v>
      </c>
      <c r="G9" s="395">
        <v>418225</v>
      </c>
      <c r="H9" s="388"/>
      <c r="I9" s="396">
        <f t="shared" si="1"/>
        <v>0.52280767383216864</v>
      </c>
      <c r="J9" s="396"/>
      <c r="K9" s="396">
        <f>F9/SUM(D9,-E9,F9,G9)</f>
        <v>0.37928780709795767</v>
      </c>
      <c r="M9" s="396">
        <f t="shared" si="2"/>
        <v>9.7904519069873713E-2</v>
      </c>
      <c r="O9" s="397">
        <f>SUM(I9:M9)</f>
        <v>1</v>
      </c>
    </row>
    <row r="10" spans="1:15">
      <c r="A10" s="398" t="s">
        <v>3054</v>
      </c>
      <c r="B10" s="388" t="s">
        <v>3057</v>
      </c>
      <c r="C10" s="388">
        <v>6337719</v>
      </c>
      <c r="D10" s="395" t="s">
        <v>1447</v>
      </c>
      <c r="E10" s="395" t="s">
        <v>1447</v>
      </c>
      <c r="F10" s="395" t="s">
        <v>1447</v>
      </c>
      <c r="G10" s="395" t="s">
        <v>1447</v>
      </c>
      <c r="H10" s="388"/>
      <c r="I10" s="395" t="s">
        <v>1447</v>
      </c>
      <c r="J10" s="395"/>
      <c r="K10" s="395" t="s">
        <v>1447</v>
      </c>
      <c r="M10" s="395" t="s">
        <v>1447</v>
      </c>
      <c r="O10" s="395" t="s">
        <v>1447</v>
      </c>
    </row>
    <row r="11" spans="1:15">
      <c r="A11" s="398" t="s">
        <v>3054</v>
      </c>
      <c r="B11" s="399" t="s">
        <v>3058</v>
      </c>
      <c r="C11" s="394">
        <v>4063023</v>
      </c>
      <c r="D11" s="395">
        <v>1303726</v>
      </c>
      <c r="E11" s="395">
        <v>0</v>
      </c>
      <c r="F11" s="395">
        <v>1069089</v>
      </c>
      <c r="G11" s="395">
        <v>47500</v>
      </c>
      <c r="H11" s="388"/>
      <c r="I11" s="396">
        <f>(D11-E11)/SUM(D11,-E11,G11,F11)</f>
        <v>0.53865963727861865</v>
      </c>
      <c r="J11" s="396"/>
      <c r="K11" s="396">
        <f>F11/SUM(D11,-E11,F11,G11)</f>
        <v>0.44171481811251839</v>
      </c>
      <c r="M11" s="396">
        <f t="shared" si="2"/>
        <v>1.9625544608862896E-2</v>
      </c>
      <c r="O11" s="397">
        <f>SUM(I11:M11)</f>
        <v>1</v>
      </c>
    </row>
    <row r="12" spans="1:15">
      <c r="A12" s="398" t="s">
        <v>3055</v>
      </c>
      <c r="B12" s="399" t="s">
        <v>3063</v>
      </c>
      <c r="C12" s="394">
        <v>4114790</v>
      </c>
      <c r="D12" s="395" t="s">
        <v>1447</v>
      </c>
      <c r="E12" s="395" t="s">
        <v>1447</v>
      </c>
      <c r="F12" s="395" t="s">
        <v>1447</v>
      </c>
      <c r="G12" s="395" t="s">
        <v>1447</v>
      </c>
      <c r="H12" s="388"/>
      <c r="I12" s="395" t="s">
        <v>1447</v>
      </c>
      <c r="J12" s="395"/>
      <c r="K12" s="395" t="s">
        <v>1447</v>
      </c>
      <c r="M12" s="395" t="s">
        <v>1447</v>
      </c>
      <c r="O12" s="395" t="s">
        <v>1447</v>
      </c>
    </row>
    <row r="13" spans="1:15">
      <c r="A13" s="398" t="s">
        <v>3055</v>
      </c>
      <c r="B13" s="399" t="s">
        <v>3059</v>
      </c>
      <c r="C13" s="394">
        <v>4004296</v>
      </c>
      <c r="D13" s="395">
        <v>851700</v>
      </c>
      <c r="E13" s="395">
        <v>0</v>
      </c>
      <c r="F13" s="395">
        <v>478400</v>
      </c>
      <c r="G13" s="395">
        <v>121300</v>
      </c>
      <c r="H13" s="388"/>
      <c r="I13" s="396">
        <f t="shared" si="1"/>
        <v>0.58681273253410504</v>
      </c>
      <c r="J13" s="396"/>
      <c r="K13" s="396">
        <f>F13/SUM(D13,-E13,F13,G13)</f>
        <v>0.32961278765330027</v>
      </c>
      <c r="M13" s="396">
        <f t="shared" si="2"/>
        <v>8.3574479812594735E-2</v>
      </c>
      <c r="O13" s="397">
        <f>SUM(I13:M13)</f>
        <v>1</v>
      </c>
    </row>
    <row r="14" spans="1:15">
      <c r="A14" s="398" t="s">
        <v>3055</v>
      </c>
      <c r="B14" s="399" t="s">
        <v>4029</v>
      </c>
      <c r="C14" s="394">
        <v>4076603</v>
      </c>
      <c r="D14" s="395" t="s">
        <v>1447</v>
      </c>
      <c r="E14" s="395" t="s">
        <v>1447</v>
      </c>
      <c r="F14" s="395" t="s">
        <v>1447</v>
      </c>
      <c r="G14" s="395" t="s">
        <v>1447</v>
      </c>
      <c r="H14" s="388"/>
      <c r="I14" s="395" t="s">
        <v>1447</v>
      </c>
      <c r="J14" s="395"/>
      <c r="K14" s="395" t="s">
        <v>1447</v>
      </c>
      <c r="M14" s="395" t="s">
        <v>1447</v>
      </c>
      <c r="O14" s="395" t="s">
        <v>1447</v>
      </c>
    </row>
    <row r="15" spans="1:15">
      <c r="A15" s="398" t="s">
        <v>3055</v>
      </c>
      <c r="B15" s="399" t="s">
        <v>4039</v>
      </c>
      <c r="C15" s="394">
        <v>4064035</v>
      </c>
      <c r="D15" s="395" t="s">
        <v>1447</v>
      </c>
      <c r="E15" s="395" t="s">
        <v>1447</v>
      </c>
      <c r="F15" s="395" t="s">
        <v>1447</v>
      </c>
      <c r="G15" s="395" t="s">
        <v>1447</v>
      </c>
      <c r="H15" s="388"/>
      <c r="I15" s="395" t="s">
        <v>1447</v>
      </c>
      <c r="J15" s="395"/>
      <c r="K15" s="395" t="s">
        <v>1447</v>
      </c>
      <c r="M15" s="395" t="s">
        <v>1447</v>
      </c>
      <c r="O15" s="395" t="s">
        <v>1447</v>
      </c>
    </row>
    <row r="16" spans="1:15">
      <c r="A16" s="398" t="s">
        <v>3055</v>
      </c>
      <c r="B16" s="399" t="s">
        <v>3060</v>
      </c>
      <c r="C16" s="394">
        <v>4060957</v>
      </c>
      <c r="D16" s="395">
        <v>1435100</v>
      </c>
      <c r="E16" s="395">
        <v>0</v>
      </c>
      <c r="F16" s="395">
        <v>1093700</v>
      </c>
      <c r="G16" s="395">
        <v>301200</v>
      </c>
      <c r="H16" s="388"/>
      <c r="I16" s="396">
        <f t="shared" si="1"/>
        <v>0.50710247349823323</v>
      </c>
      <c r="J16" s="396"/>
      <c r="K16" s="396">
        <f>F16/SUM(D16,-E16,F16,G16)</f>
        <v>0.38646643109540635</v>
      </c>
      <c r="M16" s="396">
        <f t="shared" si="2"/>
        <v>0.10643109540636042</v>
      </c>
      <c r="O16" s="397">
        <f>SUM(I16:M16)</f>
        <v>1</v>
      </c>
    </row>
    <row r="17" spans="1:15">
      <c r="A17" s="398"/>
      <c r="B17" s="399"/>
      <c r="C17" s="394"/>
      <c r="D17" s="395"/>
      <c r="E17" s="395"/>
      <c r="F17" s="395"/>
      <c r="G17" s="395"/>
      <c r="H17" s="388"/>
      <c r="I17" s="395"/>
      <c r="J17" s="395"/>
      <c r="K17" s="395"/>
      <c r="M17" s="395"/>
      <c r="O17" s="395"/>
    </row>
    <row r="18" spans="1:15">
      <c r="B18" s="401"/>
      <c r="C18" s="402"/>
      <c r="D18" s="403"/>
      <c r="E18" s="403"/>
      <c r="F18" s="403"/>
      <c r="G18" s="403"/>
      <c r="I18" s="395"/>
      <c r="J18" s="395"/>
      <c r="K18" s="395"/>
      <c r="M18" s="395"/>
      <c r="O18" s="395"/>
    </row>
    <row r="19" spans="1:15">
      <c r="B19" s="401"/>
      <c r="C19" s="402"/>
      <c r="D19" s="403"/>
      <c r="E19" s="403"/>
      <c r="F19" s="403"/>
      <c r="G19" s="403"/>
      <c r="I19" s="396"/>
      <c r="J19" s="396"/>
      <c r="K19" s="396"/>
      <c r="M19" s="396"/>
      <c r="O19" s="397"/>
    </row>
    <row r="20" spans="1:15">
      <c r="B20" s="401"/>
      <c r="C20" s="402"/>
      <c r="D20" s="403"/>
      <c r="E20" s="403"/>
      <c r="F20" s="403"/>
      <c r="G20" s="403"/>
      <c r="I20" s="396"/>
      <c r="J20" s="396"/>
      <c r="K20" s="396"/>
      <c r="M20" s="396"/>
      <c r="O20" s="397"/>
    </row>
    <row r="21" spans="1:15">
      <c r="B21" s="401"/>
      <c r="C21" s="402"/>
      <c r="D21" s="403"/>
      <c r="E21" s="403"/>
      <c r="F21" s="403"/>
      <c r="G21" s="403"/>
      <c r="I21" s="396"/>
      <c r="J21" s="396"/>
    </row>
    <row r="22" spans="1:15">
      <c r="B22" s="401"/>
      <c r="C22" s="402"/>
      <c r="D22" s="403"/>
      <c r="E22" s="403"/>
      <c r="F22" s="403"/>
      <c r="G22" s="403"/>
      <c r="I22" s="396"/>
      <c r="J22" s="396"/>
    </row>
    <row r="23" spans="1:15">
      <c r="B23" s="401"/>
      <c r="C23" s="402"/>
      <c r="D23" s="403"/>
      <c r="E23" s="403"/>
      <c r="F23" s="403"/>
      <c r="G23" s="403"/>
      <c r="I23" s="396"/>
      <c r="J23" s="396"/>
    </row>
    <row r="24" spans="1:15">
      <c r="B24" s="401"/>
      <c r="C24" s="402"/>
      <c r="D24" s="403"/>
      <c r="E24" s="403"/>
      <c r="F24" s="403"/>
      <c r="G24" s="403"/>
      <c r="I24" s="396"/>
      <c r="J24" s="396"/>
    </row>
    <row r="25" spans="1:15">
      <c r="B25" s="401"/>
      <c r="C25" s="402"/>
      <c r="D25" s="403"/>
      <c r="E25" s="403"/>
      <c r="F25" s="403"/>
      <c r="G25" s="403"/>
      <c r="I25" s="396"/>
      <c r="J25" s="396"/>
    </row>
    <row r="26" spans="1:15">
      <c r="B26" s="401"/>
      <c r="C26" s="402"/>
      <c r="D26" s="403"/>
      <c r="E26" s="403"/>
      <c r="F26" s="403"/>
      <c r="G26" s="403"/>
      <c r="I26" s="396"/>
      <c r="J26" s="396"/>
    </row>
    <row r="27" spans="1:15">
      <c r="B27" s="401"/>
      <c r="C27" s="402"/>
      <c r="D27" s="403"/>
      <c r="E27" s="403"/>
      <c r="F27" s="403"/>
      <c r="G27" s="403"/>
      <c r="I27" s="396"/>
      <c r="J27" s="396"/>
    </row>
    <row r="28" spans="1:15">
      <c r="B28" s="401"/>
      <c r="C28" s="402"/>
      <c r="D28" s="403"/>
      <c r="E28" s="403"/>
      <c r="F28" s="403"/>
      <c r="G28" s="403"/>
      <c r="I28" s="396"/>
      <c r="J28" s="396"/>
    </row>
    <row r="29" spans="1:15">
      <c r="B29" s="401"/>
      <c r="C29" s="402"/>
      <c r="D29" s="403"/>
      <c r="E29" s="403"/>
      <c r="F29" s="403"/>
      <c r="G29" s="403"/>
      <c r="I29" s="396"/>
      <c r="J29" s="396"/>
    </row>
    <row r="30" spans="1:15">
      <c r="B30" s="401"/>
      <c r="C30" s="402"/>
      <c r="D30" s="403"/>
      <c r="E30" s="403"/>
      <c r="F30" s="403"/>
      <c r="G30" s="403"/>
      <c r="I30" s="396"/>
      <c r="J30" s="396"/>
    </row>
    <row r="31" spans="1:15">
      <c r="B31" s="401"/>
      <c r="C31" s="402"/>
      <c r="D31" s="403"/>
      <c r="E31" s="403"/>
      <c r="F31" s="403"/>
      <c r="G31" s="403"/>
      <c r="I31" s="396"/>
      <c r="J31" s="396"/>
    </row>
    <row r="32" spans="1:15">
      <c r="B32" s="401"/>
      <c r="C32" s="402"/>
      <c r="D32" s="403"/>
      <c r="E32" s="403"/>
      <c r="F32" s="403"/>
      <c r="G32" s="403"/>
      <c r="I32" s="396"/>
      <c r="J32" s="396"/>
    </row>
    <row r="33" spans="2:10">
      <c r="B33" s="401"/>
      <c r="C33" s="402"/>
      <c r="D33" s="403"/>
      <c r="E33" s="403"/>
      <c r="F33" s="403"/>
      <c r="G33" s="403"/>
      <c r="I33" s="396"/>
      <c r="J33" s="396"/>
    </row>
    <row r="36" spans="2:10">
      <c r="B36" s="404"/>
      <c r="C36" s="404"/>
      <c r="D36" s="404"/>
      <c r="E36" s="404"/>
      <c r="F36" s="404"/>
      <c r="G36" s="404"/>
    </row>
    <row r="37" spans="2:10">
      <c r="B37" s="402"/>
      <c r="C37" s="402"/>
      <c r="D37" s="402"/>
      <c r="E37" s="402"/>
      <c r="F37" s="402"/>
      <c r="G37" s="402"/>
    </row>
    <row r="38" spans="2:10">
      <c r="B38" s="405"/>
      <c r="C38" s="405"/>
      <c r="D38" s="405"/>
      <c r="E38" s="405"/>
      <c r="F38" s="405"/>
      <c r="G38" s="405"/>
    </row>
    <row r="39" spans="2:10">
      <c r="B39" s="405"/>
      <c r="C39" s="405"/>
      <c r="D39" s="405"/>
      <c r="E39" s="405"/>
      <c r="F39" s="405"/>
      <c r="G39" s="405"/>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showOutlineSymbols="0" view="pageBreakPreview" zoomScale="74" zoomScaleNormal="100" zoomScaleSheetLayoutView="85" workbookViewId="0"/>
  </sheetViews>
  <sheetFormatPr defaultColWidth="9" defaultRowHeight="15"/>
  <cols>
    <col min="1" max="1" width="56.6640625" style="605" customWidth="1"/>
    <col min="2" max="2" width="2.6640625" style="605" customWidth="1"/>
    <col min="3" max="3" width="15.109375" style="606" customWidth="1"/>
    <col min="4" max="4" width="2.6640625" style="605" customWidth="1"/>
    <col min="5" max="5" width="13.6640625" style="606" customWidth="1"/>
    <col min="6" max="6" width="2.6640625" style="606" customWidth="1"/>
    <col min="7" max="7" width="15.6640625" style="606" customWidth="1"/>
    <col min="8" max="8" width="2.6640625" style="606" customWidth="1"/>
    <col min="9" max="9" width="13.44140625" style="606" bestFit="1" customWidth="1"/>
    <col min="10" max="10" width="9" style="605"/>
    <col min="11" max="11" width="22.44140625" style="605" bestFit="1" customWidth="1"/>
    <col min="12" max="12" width="15.5546875" style="605" bestFit="1" customWidth="1"/>
    <col min="13" max="13" width="18.109375" style="605" bestFit="1" customWidth="1"/>
    <col min="14" max="14" width="9" style="605"/>
    <col min="15" max="15" width="16.109375" style="605" bestFit="1" customWidth="1"/>
    <col min="16" max="16" width="9" style="605"/>
    <col min="17" max="17" width="16.109375" style="605" bestFit="1" customWidth="1"/>
    <col min="18" max="18" width="9" style="605"/>
    <col min="19" max="19" width="16.109375" style="605" bestFit="1" customWidth="1"/>
    <col min="20" max="16384" width="9" style="605"/>
  </cols>
  <sheetData>
    <row r="1" spans="1:17" ht="20.399999999999999">
      <c r="A1" s="794" t="str">
        <f>Input!G28</f>
        <v>Peoples Gas System</v>
      </c>
      <c r="B1" s="794"/>
      <c r="C1" s="794"/>
      <c r="D1" s="794"/>
      <c r="E1" s="794"/>
      <c r="F1" s="794"/>
      <c r="G1" s="794"/>
      <c r="H1" s="794"/>
      <c r="I1" s="794"/>
    </row>
    <row r="2" spans="1:17" ht="20.399999999999999">
      <c r="A2" s="1011" t="s">
        <v>4117</v>
      </c>
      <c r="B2" s="1011"/>
      <c r="C2" s="1011"/>
      <c r="D2" s="1011"/>
      <c r="E2" s="1011"/>
      <c r="F2" s="1011"/>
      <c r="G2" s="1011"/>
      <c r="H2" s="1011"/>
      <c r="I2" s="1011"/>
    </row>
    <row r="3" spans="1:17" ht="20.399999999999999">
      <c r="A3" s="1012" t="str">
        <f>Input!I30</f>
        <v>Proxy Group of Six Natural Gas Companies</v>
      </c>
      <c r="B3" s="1012"/>
      <c r="C3" s="1012"/>
      <c r="D3" s="1012"/>
      <c r="E3" s="1012"/>
      <c r="F3" s="1012"/>
      <c r="G3" s="1012"/>
      <c r="H3" s="1012"/>
      <c r="I3" s="1012"/>
    </row>
    <row r="4" spans="1:17" ht="20.399999999999999">
      <c r="A4" s="796"/>
      <c r="B4" s="796"/>
      <c r="C4" s="795"/>
      <c r="D4" s="796"/>
      <c r="E4" s="795"/>
      <c r="F4" s="795"/>
      <c r="G4" s="795"/>
      <c r="H4" s="795"/>
      <c r="I4" s="795"/>
    </row>
    <row r="5" spans="1:17" ht="20.399999999999999">
      <c r="A5" s="796"/>
      <c r="B5" s="796"/>
      <c r="C5" s="795"/>
      <c r="D5" s="796"/>
      <c r="E5" s="1011">
        <v>2021</v>
      </c>
      <c r="F5" s="1011"/>
      <c r="G5" s="1011"/>
      <c r="H5" s="1011"/>
      <c r="I5" s="1011"/>
    </row>
    <row r="6" spans="1:17" ht="61.2">
      <c r="A6" s="797" t="s">
        <v>155</v>
      </c>
      <c r="B6" s="796"/>
      <c r="C6" s="798" t="s">
        <v>4118</v>
      </c>
      <c r="D6" s="796"/>
      <c r="E6" s="798" t="s">
        <v>10</v>
      </c>
      <c r="F6" s="799"/>
      <c r="G6" s="798" t="s">
        <v>4056</v>
      </c>
      <c r="H6" s="799"/>
      <c r="I6" s="798" t="s">
        <v>31</v>
      </c>
    </row>
    <row r="7" spans="1:17" ht="20.399999999999999">
      <c r="A7" s="800" t="s">
        <v>3928</v>
      </c>
      <c r="B7" s="796"/>
      <c r="C7" s="801" t="s">
        <v>2333</v>
      </c>
      <c r="D7" s="796"/>
      <c r="E7" s="802">
        <f>INDEX('GASOpCo Cap Str WP'!I$5:I$21,MATCH('2.3 OpCo Proxy Cap Str'!$A7,'GASOpCo Cap Str WP'!$B$5:$B$21,0))</f>
        <v>0.51111181211041079</v>
      </c>
      <c r="F7" s="802"/>
      <c r="G7" s="802">
        <f>INDEX('GASOpCo Cap Str WP'!K$5:K$21,MATCH('2.3 OpCo Proxy Cap Str'!$A7,'GASOpCo Cap Str WP'!$B$5:$B$21,0))</f>
        <v>0.48888818788958927</v>
      </c>
      <c r="H7" s="802"/>
      <c r="I7" s="803">
        <f t="shared" ref="I7:I13" si="0">IFERROR(E7+G7,"NA")</f>
        <v>1</v>
      </c>
      <c r="K7" s="609">
        <f>MAX(E7:E13)</f>
        <v>0.58482054003847939</v>
      </c>
      <c r="L7" s="605" t="s">
        <v>4119</v>
      </c>
      <c r="M7" s="406"/>
      <c r="N7" s="406"/>
      <c r="O7" s="406"/>
      <c r="P7" s="406"/>
      <c r="Q7" s="406"/>
    </row>
    <row r="8" spans="1:17" ht="20.399999999999999">
      <c r="A8" s="800" t="s">
        <v>4116</v>
      </c>
      <c r="B8" s="796"/>
      <c r="C8" s="801" t="s">
        <v>3051</v>
      </c>
      <c r="D8" s="796"/>
      <c r="E8" s="802">
        <f>INDEX('GASOpCo Cap Str WP'!I$5:I$21,MATCH('2.3 OpCo Proxy Cap Str'!$A8,'GASOpCo Cap Str WP'!$B$5:$B$21,0))</f>
        <v>0.56229007754642479</v>
      </c>
      <c r="F8" s="802"/>
      <c r="G8" s="802">
        <f>INDEX('GASOpCo Cap Str WP'!K$5:K$21,MATCH('2.3 OpCo Proxy Cap Str'!$A8,'GASOpCo Cap Str WP'!$B$5:$B$21,0))</f>
        <v>0.43770992245357521</v>
      </c>
      <c r="H8" s="802"/>
      <c r="I8" s="803">
        <f t="shared" si="0"/>
        <v>1</v>
      </c>
      <c r="K8" s="609">
        <f>MIN(E7:E13)</f>
        <v>0.38744807367794937</v>
      </c>
      <c r="L8" s="605" t="s">
        <v>4120</v>
      </c>
      <c r="M8" s="406"/>
      <c r="N8" s="406"/>
      <c r="O8" s="406"/>
      <c r="P8" s="406"/>
      <c r="Q8" s="406"/>
    </row>
    <row r="9" spans="1:17" ht="20.399999999999999">
      <c r="A9" s="800" t="s">
        <v>4250</v>
      </c>
      <c r="B9" s="796"/>
      <c r="C9" s="801" t="s">
        <v>214</v>
      </c>
      <c r="D9" s="796"/>
      <c r="E9" s="802">
        <f>INDEX('GASOpCo Cap Str WP'!I$5:I$21,MATCH('2.3 OpCo Proxy Cap Str'!$A9,'GASOpCo Cap Str WP'!$B$5:$B$21,0))</f>
        <v>0.50007371600112838</v>
      </c>
      <c r="F9" s="802"/>
      <c r="G9" s="802">
        <f>INDEX('GASOpCo Cap Str WP'!K$5:K$21,MATCH('2.3 OpCo Proxy Cap Str'!$A9,'GASOpCo Cap Str WP'!$B$5:$B$21,0))</f>
        <v>0.49992628399887151</v>
      </c>
      <c r="H9" s="802"/>
      <c r="I9" s="803">
        <f t="shared" si="0"/>
        <v>0.99999999999999989</v>
      </c>
      <c r="M9" s="406"/>
      <c r="N9" s="406"/>
      <c r="O9" s="406"/>
      <c r="P9" s="406"/>
      <c r="Q9" s="406"/>
    </row>
    <row r="10" spans="1:17" ht="20.399999999999999">
      <c r="A10" s="800" t="s">
        <v>4040</v>
      </c>
      <c r="B10" s="796"/>
      <c r="C10" s="801" t="s">
        <v>3052</v>
      </c>
      <c r="D10" s="796"/>
      <c r="E10" s="802">
        <f>INDEX('GASOpCo Cap Str WP'!I$5:I$21,MATCH('2.3 OpCo Proxy Cap Str'!$A10,'GASOpCo Cap Str WP'!$B$5:$B$21,0))</f>
        <v>0.47814382940685751</v>
      </c>
      <c r="F10" s="802"/>
      <c r="G10" s="802">
        <f>INDEX('GASOpCo Cap Str WP'!K$5:K$21,MATCH('2.3 OpCo Proxy Cap Str'!$A10,'GASOpCo Cap Str WP'!$B$5:$B$21,0))</f>
        <v>0.52185617059314249</v>
      </c>
      <c r="H10" s="802"/>
      <c r="I10" s="803">
        <f t="shared" si="0"/>
        <v>1</v>
      </c>
      <c r="K10" s="609"/>
      <c r="M10" s="406"/>
      <c r="N10" s="406"/>
      <c r="O10" s="406"/>
      <c r="P10" s="406"/>
      <c r="Q10" s="406"/>
    </row>
    <row r="11" spans="1:17" ht="20.399999999999999">
      <c r="A11" s="800" t="s">
        <v>3062</v>
      </c>
      <c r="B11" s="796"/>
      <c r="C11" s="801" t="s">
        <v>3053</v>
      </c>
      <c r="D11" s="796"/>
      <c r="E11" s="802">
        <f>INDEX('GASOpCo Cap Str WP'!I$5:I$21,MATCH('2.3 OpCo Proxy Cap Str'!$A11,'GASOpCo Cap Str WP'!$B$5:$B$21,0))</f>
        <v>0.38744807367794937</v>
      </c>
      <c r="F11" s="802"/>
      <c r="G11" s="802">
        <f>INDEX('GASOpCo Cap Str WP'!K$5:K$21,MATCH('2.3 OpCo Proxy Cap Str'!$A11,'GASOpCo Cap Str WP'!$B$5:$B$21,0))</f>
        <v>0.61255192632205058</v>
      </c>
      <c r="H11" s="802"/>
      <c r="I11" s="803">
        <f t="shared" si="0"/>
        <v>1</v>
      </c>
      <c r="K11" s="609"/>
      <c r="M11" s="406"/>
      <c r="N11" s="406"/>
      <c r="O11" s="406"/>
      <c r="P11" s="406"/>
      <c r="Q11" s="406"/>
    </row>
    <row r="12" spans="1:17" ht="20.399999999999999">
      <c r="A12" s="800" t="s">
        <v>3059</v>
      </c>
      <c r="B12" s="796"/>
      <c r="C12" s="801" t="s">
        <v>3055</v>
      </c>
      <c r="D12" s="796"/>
      <c r="E12" s="802">
        <f>INDEX('GASOpCo Cap Str WP'!I$5:I$21,MATCH('2.3 OpCo Proxy Cap Str'!$A12,'GASOpCo Cap Str WP'!$B$5:$B$21,0))</f>
        <v>0.58482054003847939</v>
      </c>
      <c r="F12" s="802"/>
      <c r="G12" s="802">
        <f>INDEX('GASOpCo Cap Str WP'!K$5:K$21,MATCH('2.3 OpCo Proxy Cap Str'!$A12,'GASOpCo Cap Str WP'!$B$5:$B$21,0))</f>
        <v>0.41517945996152061</v>
      </c>
      <c r="H12" s="802"/>
      <c r="I12" s="803">
        <f t="shared" si="0"/>
        <v>1</v>
      </c>
      <c r="M12" s="406"/>
      <c r="N12" s="406"/>
      <c r="O12" s="406"/>
      <c r="P12" s="406"/>
      <c r="Q12" s="406"/>
    </row>
    <row r="13" spans="1:17" ht="20.399999999999999">
      <c r="A13" s="800" t="s">
        <v>3060</v>
      </c>
      <c r="B13" s="796"/>
      <c r="C13" s="801" t="s">
        <v>3055</v>
      </c>
      <c r="D13" s="796"/>
      <c r="E13" s="802">
        <f>INDEX('GASOpCo Cap Str WP'!I$5:I$21,MATCH('2.3 OpCo Proxy Cap Str'!$A13,'GASOpCo Cap Str WP'!$B$5:$B$21,0))</f>
        <v>0.54082122292295032</v>
      </c>
      <c r="F13" s="802"/>
      <c r="G13" s="802">
        <f>INDEX('GASOpCo Cap Str WP'!K$5:K$21,MATCH('2.3 OpCo Proxy Cap Str'!$A13,'GASOpCo Cap Str WP'!$B$5:$B$21,0))</f>
        <v>0.45917877707704963</v>
      </c>
      <c r="H13" s="802"/>
      <c r="I13" s="803">
        <f t="shared" si="0"/>
        <v>1</v>
      </c>
      <c r="M13" s="406"/>
      <c r="N13" s="406"/>
      <c r="O13" s="406"/>
      <c r="P13" s="406"/>
      <c r="Q13" s="406"/>
    </row>
    <row r="14" spans="1:17" ht="20.399999999999999">
      <c r="A14" s="800"/>
      <c r="B14" s="800"/>
      <c r="C14" s="795"/>
      <c r="D14" s="796"/>
      <c r="E14" s="802"/>
      <c r="F14" s="802"/>
      <c r="G14" s="802"/>
      <c r="H14" s="802"/>
      <c r="I14" s="803"/>
      <c r="M14" s="406"/>
      <c r="N14" s="406"/>
      <c r="O14" s="406"/>
      <c r="P14" s="406"/>
      <c r="Q14" s="406"/>
    </row>
    <row r="15" spans="1:17" ht="21" thickBot="1">
      <c r="A15" s="800"/>
      <c r="B15" s="800"/>
      <c r="C15" s="804" t="s">
        <v>4391</v>
      </c>
      <c r="D15" s="796"/>
      <c r="E15" s="805">
        <f>MAX(E7:E13)</f>
        <v>0.58482054003847939</v>
      </c>
      <c r="F15" s="803"/>
      <c r="G15" s="805">
        <f>MAX(G7:G13)</f>
        <v>0.61255192632205058</v>
      </c>
      <c r="H15" s="803"/>
      <c r="I15" s="803"/>
    </row>
    <row r="16" spans="1:17" ht="21" thickTop="1">
      <c r="A16" s="800"/>
      <c r="B16" s="800"/>
      <c r="C16" s="796"/>
      <c r="D16" s="796"/>
      <c r="E16" s="803"/>
      <c r="F16" s="803"/>
      <c r="G16" s="803"/>
      <c r="H16" s="803"/>
      <c r="I16" s="803"/>
    </row>
    <row r="17" spans="1:19" ht="21" thickBot="1">
      <c r="A17" s="800"/>
      <c r="B17" s="800"/>
      <c r="C17" s="804" t="s">
        <v>4392</v>
      </c>
      <c r="D17" s="796"/>
      <c r="E17" s="805">
        <f>MIN(E7:E13)</f>
        <v>0.38744807367794937</v>
      </c>
      <c r="F17" s="803"/>
      <c r="G17" s="805">
        <f>MIN(G7:G13)</f>
        <v>0.41517945996152061</v>
      </c>
      <c r="H17" s="803"/>
      <c r="I17" s="803"/>
    </row>
    <row r="18" spans="1:19" ht="21" thickTop="1">
      <c r="A18" s="796" t="s">
        <v>4228</v>
      </c>
      <c r="B18" s="800"/>
      <c r="C18" s="804"/>
      <c r="D18" s="796"/>
      <c r="E18" s="803"/>
      <c r="F18" s="803"/>
      <c r="G18" s="803"/>
      <c r="H18" s="803"/>
      <c r="I18" s="803"/>
    </row>
    <row r="19" spans="1:19" ht="20.399999999999999">
      <c r="A19" s="796" t="s">
        <v>4383</v>
      </c>
      <c r="B19" s="796"/>
      <c r="C19" s="795"/>
      <c r="D19" s="796"/>
      <c r="E19" s="795"/>
      <c r="F19" s="795"/>
      <c r="G19" s="795"/>
      <c r="H19" s="795"/>
      <c r="I19" s="795"/>
    </row>
    <row r="20" spans="1:19">
      <c r="E20" s="608"/>
      <c r="G20" s="608"/>
      <c r="I20" s="608"/>
    </row>
    <row r="21" spans="1:19">
      <c r="F21" s="628"/>
    </row>
    <row r="25" spans="1:19">
      <c r="K25" s="744"/>
      <c r="M25" s="744"/>
      <c r="O25" s="744"/>
      <c r="Q25" s="744"/>
      <c r="S25" s="744"/>
    </row>
    <row r="26" spans="1:19">
      <c r="K26" s="745"/>
      <c r="M26" s="745"/>
      <c r="O26" s="745"/>
      <c r="Q26" s="745"/>
      <c r="S26" s="745"/>
    </row>
    <row r="27" spans="1:19">
      <c r="K27" s="745"/>
      <c r="M27" s="745"/>
      <c r="O27" s="745"/>
      <c r="Q27" s="745"/>
      <c r="S27" s="745"/>
    </row>
    <row r="28" spans="1:19">
      <c r="K28" s="746"/>
      <c r="M28" s="746"/>
      <c r="O28" s="746"/>
      <c r="Q28" s="746"/>
      <c r="S28" s="746"/>
    </row>
    <row r="29" spans="1:19">
      <c r="M29" s="406"/>
      <c r="N29" s="406"/>
      <c r="O29" s="406"/>
      <c r="P29" s="406"/>
      <c r="Q29" s="406"/>
    </row>
  </sheetData>
  <mergeCells count="3">
    <mergeCell ref="A2:I2"/>
    <mergeCell ref="A3:I3"/>
    <mergeCell ref="E5:I5"/>
  </mergeCells>
  <printOptions horizontalCentered="1"/>
  <pageMargins left="0.7" right="0.7" top="0.75" bottom="0.75" header="0.3" footer="0.3"/>
  <pageSetup scale="70"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B32"/>
  <sheetViews>
    <sheetView view="pageBreakPreview" zoomScale="72" zoomScaleNormal="80" zoomScaleSheetLayoutView="85" workbookViewId="0">
      <selection activeCell="K14" sqref="K14"/>
    </sheetView>
  </sheetViews>
  <sheetFormatPr defaultColWidth="9" defaultRowHeight="15"/>
  <cols>
    <col min="1" max="1" width="9" style="3"/>
    <col min="2" max="2" width="39.5546875" style="3" customWidth="1"/>
    <col min="3" max="3" width="2.6640625" style="3" customWidth="1"/>
    <col min="4" max="4" width="8.5546875" style="3" customWidth="1"/>
    <col min="5" max="5" width="3.88671875" style="3" customWidth="1"/>
    <col min="6" max="6" width="2.6640625" style="3" customWidth="1"/>
    <col min="7" max="7" width="11.5546875" style="3" bestFit="1" customWidth="1"/>
    <col min="8" max="8" width="3.88671875" style="3" customWidth="1"/>
    <col min="9" max="9" width="2.6640625" style="3" customWidth="1"/>
    <col min="10" max="10" width="11.5546875" style="3" customWidth="1"/>
    <col min="11" max="11" width="3.88671875" style="3" customWidth="1"/>
    <col min="12" max="12" width="2.6640625" style="3" customWidth="1"/>
    <col min="13" max="13" width="11.88671875" style="3" customWidth="1"/>
    <col min="14" max="14" width="3.88671875" style="3" customWidth="1"/>
    <col min="15" max="15" width="2.6640625" style="3" customWidth="1"/>
    <col min="16" max="16" width="11.6640625" style="3" customWidth="1"/>
    <col min="17" max="17" width="3.88671875" style="3" customWidth="1"/>
    <col min="18" max="18" width="2.6640625" style="3" customWidth="1"/>
    <col min="19" max="19" width="12" style="3" customWidth="1"/>
    <col min="20" max="20" width="3.88671875" style="3" customWidth="1"/>
    <col min="21" max="21" width="2.6640625" style="3" customWidth="1"/>
    <col min="22" max="22" width="10.33203125" style="3" bestFit="1" customWidth="1"/>
    <col min="23" max="23" width="3.88671875" style="3" customWidth="1"/>
    <col min="24" max="24" width="2.6640625" style="3" customWidth="1"/>
    <col min="25" max="16384" width="9" style="3"/>
  </cols>
  <sheetData>
    <row r="1" spans="1:28">
      <c r="B1" s="1" t="str">
        <f>Input!G28</f>
        <v>Peoples Gas System</v>
      </c>
      <c r="C1" s="2"/>
      <c r="D1" s="2"/>
      <c r="E1" s="2"/>
      <c r="F1" s="2"/>
      <c r="G1" s="2"/>
      <c r="H1" s="2"/>
      <c r="I1" s="2"/>
      <c r="J1" s="2"/>
      <c r="K1" s="2"/>
      <c r="L1" s="2"/>
      <c r="M1" s="2"/>
      <c r="N1" s="2"/>
      <c r="O1" s="2"/>
      <c r="P1" s="2"/>
      <c r="Q1" s="2"/>
      <c r="R1" s="2"/>
      <c r="S1" s="2"/>
      <c r="T1" s="2"/>
      <c r="U1" s="2"/>
      <c r="V1" s="2"/>
      <c r="W1" s="2"/>
    </row>
    <row r="2" spans="1:28">
      <c r="B2" s="2" t="s">
        <v>2934</v>
      </c>
      <c r="C2" s="2"/>
      <c r="D2" s="2"/>
      <c r="E2" s="2"/>
      <c r="F2" s="2"/>
      <c r="G2" s="2"/>
      <c r="H2" s="2"/>
      <c r="I2" s="2"/>
      <c r="J2" s="2"/>
      <c r="K2" s="2"/>
      <c r="L2" s="2"/>
      <c r="M2" s="2"/>
      <c r="N2" s="2"/>
      <c r="O2" s="2"/>
      <c r="P2" s="2"/>
      <c r="Q2" s="2"/>
      <c r="R2" s="2"/>
      <c r="S2" s="2"/>
      <c r="T2" s="2"/>
      <c r="U2" s="2"/>
      <c r="V2" s="2"/>
      <c r="W2" s="2"/>
    </row>
    <row r="3" spans="1:28">
      <c r="B3" s="1" t="str">
        <f>Input!I29</f>
        <v>Utility Proxy Group</v>
      </c>
      <c r="C3" s="1"/>
      <c r="D3" s="1"/>
      <c r="E3" s="1"/>
      <c r="F3" s="1"/>
      <c r="G3" s="1"/>
      <c r="H3" s="1"/>
      <c r="I3" s="1"/>
      <c r="J3" s="1"/>
      <c r="K3" s="1"/>
      <c r="L3" s="1"/>
      <c r="M3" s="1"/>
      <c r="N3" s="1"/>
      <c r="O3" s="1"/>
      <c r="P3" s="1"/>
      <c r="Q3" s="1"/>
      <c r="R3" s="1"/>
      <c r="S3" s="1"/>
      <c r="T3" s="1"/>
      <c r="U3" s="1"/>
      <c r="V3" s="1"/>
      <c r="W3" s="1"/>
    </row>
    <row r="5" spans="1:28">
      <c r="D5" s="246" t="s">
        <v>1337</v>
      </c>
      <c r="E5" s="2"/>
      <c r="G5" s="246" t="s">
        <v>1336</v>
      </c>
      <c r="H5" s="2"/>
      <c r="J5" s="246" t="s">
        <v>1335</v>
      </c>
      <c r="K5" s="2"/>
      <c r="M5" s="76" t="s">
        <v>1341</v>
      </c>
      <c r="N5" s="76"/>
      <c r="P5" s="76" t="s">
        <v>1342</v>
      </c>
      <c r="Q5" s="76"/>
      <c r="S5" s="1014" t="s">
        <v>1345</v>
      </c>
      <c r="T5" s="1014"/>
      <c r="V5" s="1014" t="s">
        <v>1346</v>
      </c>
      <c r="W5" s="1014"/>
      <c r="X5" s="246"/>
      <c r="Y5" s="2"/>
    </row>
    <row r="7" spans="1:28" ht="94.5" customHeight="1">
      <c r="B7" s="438" t="str">
        <f>'4.2 Ind. PRPM Results'!B8</f>
        <v>Proxy Group of Six Natural Gas Companies</v>
      </c>
      <c r="D7" s="464" t="s">
        <v>159</v>
      </c>
      <c r="E7" s="442"/>
      <c r="G7" s="464" t="s">
        <v>160</v>
      </c>
      <c r="H7" s="442"/>
      <c r="J7" s="464" t="s">
        <v>161</v>
      </c>
      <c r="K7" s="442"/>
      <c r="M7" s="464" t="s">
        <v>162</v>
      </c>
      <c r="N7" s="442"/>
      <c r="P7" s="464" t="s">
        <v>163</v>
      </c>
      <c r="Q7" s="442"/>
      <c r="S7" s="464" t="s">
        <v>164</v>
      </c>
      <c r="T7" s="442"/>
      <c r="V7" s="464" t="s">
        <v>165</v>
      </c>
      <c r="W7" s="442"/>
    </row>
    <row r="8" spans="1:28" ht="15.6">
      <c r="Y8" s="123"/>
      <c r="Z8" s="123"/>
      <c r="AA8" s="123"/>
      <c r="AB8" s="123"/>
    </row>
    <row r="9" spans="1:28">
      <c r="A9" s="3" t="str">
        <f>'4.2 Ind. PRPM Results'!A10</f>
        <v>ATO</v>
      </c>
      <c r="B9" s="340" t="str">
        <f>'Proxy Data Lookup'!B3</f>
        <v>Atmos Energy Corporation</v>
      </c>
      <c r="D9" s="51">
        <f>HLOOKUP(A9,'Proxy Prices'!$B$4:$M$71,68,FALSE)*100</f>
        <v>2.69</v>
      </c>
      <c r="E9" s="51" t="s">
        <v>18</v>
      </c>
      <c r="F9" s="51"/>
      <c r="G9" s="7">
        <f>'Proxy Data Lookup'!E3*100</f>
        <v>7.5</v>
      </c>
      <c r="H9" s="51" t="s">
        <v>18</v>
      </c>
      <c r="I9" s="51"/>
      <c r="J9" s="247">
        <f>'Proxy Data Lookup'!C3*100</f>
        <v>7.5</v>
      </c>
      <c r="K9" s="51" t="s">
        <v>18</v>
      </c>
      <c r="L9" s="51"/>
      <c r="M9" s="247">
        <f>'Proxy Data Lookup'!D3*100</f>
        <v>8.16</v>
      </c>
      <c r="N9" s="51" t="s">
        <v>18</v>
      </c>
      <c r="O9" s="51"/>
      <c r="P9" s="51">
        <f>IFERROR(ROUND(AVERAGE(G9,J9,M9),2),"NA")</f>
        <v>7.72</v>
      </c>
      <c r="Q9" s="51" t="s">
        <v>18</v>
      </c>
      <c r="R9" s="51"/>
      <c r="S9" s="70">
        <f>IFERROR(D9*(1+(0.5*(P9/100))),"NA")</f>
        <v>2.7938339999999999</v>
      </c>
      <c r="T9" s="51" t="s">
        <v>18</v>
      </c>
      <c r="U9" s="51"/>
      <c r="V9" s="51">
        <f>IFERROR(S9 + P9,"NA")</f>
        <v>10.513833999999999</v>
      </c>
      <c r="W9" s="3" t="s">
        <v>18</v>
      </c>
      <c r="Y9" s="115"/>
      <c r="Z9" s="470">
        <f>AVERAGE(V9:V14)</f>
        <v>10.118696083333333</v>
      </c>
      <c r="AA9" s="115"/>
      <c r="AB9" s="115"/>
    </row>
    <row r="10" spans="1:28">
      <c r="A10" s="3" t="str">
        <f>'4.2 Ind. PRPM Results'!A11</f>
        <v>NJR</v>
      </c>
      <c r="B10" s="340" t="str">
        <f>'Proxy Data Lookup'!B4</f>
        <v>New Jersey Resources Corporation</v>
      </c>
      <c r="D10" s="51">
        <f>HLOOKUP(A10,'Proxy Prices'!$B$4:$M$71,68,FALSE)*100</f>
        <v>3.4000000000000004</v>
      </c>
      <c r="E10" s="51"/>
      <c r="F10" s="51"/>
      <c r="G10" s="7">
        <f>'Proxy Data Lookup'!E4*100</f>
        <v>5</v>
      </c>
      <c r="H10" s="51"/>
      <c r="I10" s="51"/>
      <c r="J10" s="247">
        <f>'Proxy Data Lookup'!C4*100</f>
        <v>6</v>
      </c>
      <c r="K10" s="51"/>
      <c r="L10" s="51"/>
      <c r="M10" s="247">
        <f>'Proxy Data Lookup'!D4*100</f>
        <v>6</v>
      </c>
      <c r="N10" s="51"/>
      <c r="O10" s="51"/>
      <c r="P10" s="51">
        <f t="shared" ref="P10:P13" si="0">IFERROR(ROUND(AVERAGE(G10,J10,M10),2),"NA")</f>
        <v>5.67</v>
      </c>
      <c r="Q10" s="51"/>
      <c r="R10" s="51"/>
      <c r="S10" s="70">
        <f t="shared" ref="S10:S14" si="1">IFERROR(D10*(1+(0.5*(P10/100))),"NA")</f>
        <v>3.4963900000000008</v>
      </c>
      <c r="T10" s="51"/>
      <c r="U10" s="51"/>
      <c r="V10" s="51">
        <f>IFERROR(S10 + P10,"NA")</f>
        <v>9.1663899999999998</v>
      </c>
      <c r="W10" s="51"/>
      <c r="Y10" s="115"/>
      <c r="Z10" s="475">
        <f>2*(_xlfn.STDEV.P(V9:V14))</f>
        <v>2.2161373834840368</v>
      </c>
      <c r="AA10" s="224"/>
      <c r="AB10" s="224"/>
    </row>
    <row r="11" spans="1:28">
      <c r="A11" s="3" t="str">
        <f>'4.2 Ind. PRPM Results'!A12</f>
        <v>NI</v>
      </c>
      <c r="B11" s="340" t="str">
        <f>'Proxy Data Lookup'!B5</f>
        <v>NiSource Inc.</v>
      </c>
      <c r="D11" s="51">
        <f>HLOOKUP(A11,'Proxy Prices'!$B$4:$M$71,68,FALSE)*100</f>
        <v>3.58</v>
      </c>
      <c r="E11" s="51"/>
      <c r="F11" s="51"/>
      <c r="G11" s="7">
        <f>'Proxy Data Lookup'!E5*100</f>
        <v>9.5</v>
      </c>
      <c r="H11" s="51"/>
      <c r="I11" s="51"/>
      <c r="J11" s="247">
        <f>'Proxy Data Lookup'!C5*100</f>
        <v>6.8000000000000007</v>
      </c>
      <c r="K11" s="51"/>
      <c r="L11" s="51"/>
      <c r="M11" s="247">
        <f>'Proxy Data Lookup'!D5*100</f>
        <v>6.35</v>
      </c>
      <c r="N11" s="51"/>
      <c r="O11" s="51"/>
      <c r="P11" s="51">
        <f t="shared" si="0"/>
        <v>7.55</v>
      </c>
      <c r="Q11" s="51"/>
      <c r="R11" s="51"/>
      <c r="S11" s="70">
        <f t="shared" si="1"/>
        <v>3.7151449999999997</v>
      </c>
      <c r="T11" s="51"/>
      <c r="U11" s="51"/>
      <c r="V11" s="51">
        <f t="shared" ref="V11:V14" si="2">IFERROR(S11 + P11,"NA")</f>
        <v>11.265145</v>
      </c>
      <c r="W11" s="51"/>
      <c r="Y11" s="115"/>
      <c r="Z11" s="470">
        <f>Z9+Z10</f>
        <v>12.33483346681737</v>
      </c>
      <c r="AA11" s="224"/>
      <c r="AB11" s="224"/>
    </row>
    <row r="12" spans="1:28">
      <c r="A12" s="3" t="str">
        <f>'4.2 Ind. PRPM Results'!A13</f>
        <v>NWN</v>
      </c>
      <c r="B12" s="340" t="str">
        <f>'Proxy Data Lookup'!B6</f>
        <v>Northwest Natural Holding Company</v>
      </c>
      <c r="D12" s="51">
        <f>HLOOKUP(A12,'Proxy Prices'!$B$4:$M$71,68,FALSE)*100</f>
        <v>4.1300000000000008</v>
      </c>
      <c r="E12" s="51"/>
      <c r="F12" s="51"/>
      <c r="G12" s="7">
        <f>'Proxy Data Lookup'!E6*100</f>
        <v>6.5</v>
      </c>
      <c r="H12" s="51"/>
      <c r="I12" s="51"/>
      <c r="J12" s="247">
        <f>'Proxy Data Lookup'!C6*100</f>
        <v>4.3</v>
      </c>
      <c r="K12" s="51"/>
      <c r="L12" s="51"/>
      <c r="M12" s="247">
        <f>'Proxy Data Lookup'!D6*100</f>
        <v>4.3</v>
      </c>
      <c r="N12" s="51"/>
      <c r="O12" s="51"/>
      <c r="P12" s="51">
        <f t="shared" si="0"/>
        <v>5.03</v>
      </c>
      <c r="Q12" s="51"/>
      <c r="R12" s="51"/>
      <c r="S12" s="70">
        <f t="shared" si="1"/>
        <v>4.2338695000000008</v>
      </c>
      <c r="T12" s="51"/>
      <c r="U12" s="51"/>
      <c r="V12" s="51">
        <f t="shared" si="2"/>
        <v>9.263869500000002</v>
      </c>
      <c r="W12" s="51"/>
      <c r="Y12" s="465"/>
      <c r="Z12" s="470">
        <f>Z9-Z10</f>
        <v>7.9025586998492958</v>
      </c>
      <c r="AA12" s="224"/>
      <c r="AB12" s="224"/>
    </row>
    <row r="13" spans="1:28">
      <c r="A13" s="3" t="str">
        <f>'4.2 Ind. PRPM Results'!A14</f>
        <v>OGS</v>
      </c>
      <c r="B13" s="340" t="str">
        <f>'Proxy Data Lookup'!B7</f>
        <v>ONE Gas, Inc.</v>
      </c>
      <c r="D13" s="51">
        <f>HLOOKUP(A13,'Proxy Prices'!$B$4:$M$71,68,FALSE)*100</f>
        <v>3.2099999999999995</v>
      </c>
      <c r="E13" s="51"/>
      <c r="F13" s="51"/>
      <c r="G13" s="7">
        <f>'Proxy Data Lookup'!E7*100</f>
        <v>6.5</v>
      </c>
      <c r="H13" s="51"/>
      <c r="I13" s="51"/>
      <c r="J13" s="247">
        <f>'Proxy Data Lookup'!C7*100</f>
        <v>5</v>
      </c>
      <c r="K13" s="51"/>
      <c r="L13" s="51"/>
      <c r="M13" s="247">
        <f>'Proxy Data Lookup'!D7*100</f>
        <v>5</v>
      </c>
      <c r="N13" s="51"/>
      <c r="O13" s="51"/>
      <c r="P13" s="51">
        <f t="shared" si="0"/>
        <v>5.5</v>
      </c>
      <c r="Q13" s="51"/>
      <c r="R13" s="51"/>
      <c r="S13" s="70">
        <f t="shared" si="1"/>
        <v>3.2982749999999998</v>
      </c>
      <c r="T13" s="51"/>
      <c r="U13" s="51"/>
      <c r="V13" s="51">
        <f t="shared" si="2"/>
        <v>8.7982750000000003</v>
      </c>
      <c r="W13" s="51"/>
      <c r="Y13" s="465"/>
      <c r="Z13" s="115"/>
      <c r="AA13" s="224"/>
      <c r="AB13" s="224"/>
    </row>
    <row r="14" spans="1:28">
      <c r="A14" s="3" t="str">
        <f>'4.2 Ind. PRPM Results'!A15</f>
        <v>SR</v>
      </c>
      <c r="B14" s="340" t="str">
        <f>'Proxy Data Lookup'!B8</f>
        <v>Spire Inc.</v>
      </c>
      <c r="D14" s="51">
        <f>HLOOKUP(A14,'Proxy Prices'!$B$4:$M$71,68,FALSE)*100</f>
        <v>4.22</v>
      </c>
      <c r="E14" s="51"/>
      <c r="F14" s="51"/>
      <c r="G14" s="7">
        <f>'Proxy Data Lookup'!E8*100</f>
        <v>9</v>
      </c>
      <c r="H14" s="51"/>
      <c r="I14" s="51"/>
      <c r="J14" s="247">
        <f>'Proxy Data Lookup'!C8*100</f>
        <v>5</v>
      </c>
      <c r="K14" s="51"/>
      <c r="L14" s="51"/>
      <c r="M14" s="247">
        <f>'Proxy Data Lookup'!D8*100</f>
        <v>8</v>
      </c>
      <c r="N14" s="51"/>
      <c r="O14" s="51"/>
      <c r="P14" s="51">
        <f>IFERROR(ROUND(AVERAGE(G14,J14,M14),2),"NA")</f>
        <v>7.33</v>
      </c>
      <c r="Q14" s="51"/>
      <c r="R14" s="51"/>
      <c r="S14" s="70">
        <f t="shared" si="1"/>
        <v>4.374663</v>
      </c>
      <c r="T14" s="51"/>
      <c r="U14" s="51"/>
      <c r="V14" s="51">
        <f t="shared" si="2"/>
        <v>11.704663</v>
      </c>
      <c r="W14" s="51"/>
      <c r="Y14" s="465"/>
      <c r="Z14" s="115"/>
      <c r="AA14" s="224"/>
      <c r="AB14" s="224"/>
    </row>
    <row r="15" spans="1:28">
      <c r="D15" s="51"/>
      <c r="E15" s="51"/>
      <c r="F15" s="51"/>
      <c r="G15" s="51"/>
      <c r="H15" s="51"/>
      <c r="I15" s="51"/>
      <c r="J15" s="247"/>
      <c r="K15" s="51"/>
      <c r="L15" s="51"/>
      <c r="M15" s="247"/>
      <c r="N15" s="51"/>
      <c r="O15" s="51"/>
      <c r="P15" s="51"/>
      <c r="Q15" s="51"/>
      <c r="R15" s="51"/>
      <c r="T15" s="51"/>
      <c r="U15" s="51"/>
      <c r="V15" s="466"/>
      <c r="AA15" s="224"/>
      <c r="AB15" s="224"/>
    </row>
    <row r="16" spans="1:28" ht="15.6" thickBot="1">
      <c r="D16" s="51"/>
      <c r="E16" s="51"/>
      <c r="F16" s="51"/>
      <c r="G16" s="51"/>
      <c r="H16" s="51"/>
      <c r="I16" s="51"/>
      <c r="J16" s="51"/>
      <c r="K16" s="51"/>
      <c r="L16" s="51"/>
      <c r="M16" s="51"/>
      <c r="N16" s="51"/>
      <c r="O16" s="51"/>
      <c r="P16" s="51"/>
      <c r="Q16" s="51"/>
      <c r="R16" s="51"/>
      <c r="S16" s="10" t="s">
        <v>80</v>
      </c>
      <c r="T16" s="51"/>
      <c r="U16" s="51"/>
      <c r="V16" s="71">
        <f>AVERAGE(V9:V14)</f>
        <v>10.118696083333333</v>
      </c>
      <c r="W16" s="3" t="s">
        <v>18</v>
      </c>
      <c r="AA16" s="224"/>
      <c r="AB16" s="224"/>
    </row>
    <row r="17" spans="4:28" ht="15.6" thickTop="1">
      <c r="D17" s="51"/>
      <c r="E17" s="51"/>
      <c r="F17" s="51"/>
      <c r="G17" s="51"/>
      <c r="H17" s="51"/>
      <c r="I17" s="51"/>
      <c r="J17" s="51"/>
      <c r="K17" s="51"/>
      <c r="L17" s="51"/>
      <c r="M17" s="51"/>
      <c r="N17" s="51"/>
      <c r="O17" s="51"/>
      <c r="P17" s="51"/>
      <c r="Q17" s="51"/>
      <c r="R17" s="51"/>
      <c r="T17" s="51"/>
      <c r="U17" s="51"/>
      <c r="V17" s="51"/>
      <c r="AA17" s="224"/>
      <c r="AB17" s="224"/>
    </row>
    <row r="18" spans="4:28" ht="15.6" thickBot="1">
      <c r="E18" s="51"/>
      <c r="F18" s="51"/>
      <c r="G18" s="51"/>
      <c r="H18" s="51"/>
      <c r="I18" s="51"/>
      <c r="J18" s="51"/>
      <c r="K18" s="51"/>
      <c r="L18" s="51"/>
      <c r="M18" s="51"/>
      <c r="N18" s="51"/>
      <c r="O18" s="51"/>
      <c r="P18" s="51"/>
      <c r="Q18" s="51"/>
      <c r="R18" s="51"/>
      <c r="S18" s="10" t="s">
        <v>183</v>
      </c>
      <c r="T18" s="51"/>
      <c r="U18" s="51"/>
      <c r="V18" s="71">
        <f>MEDIAN(V9:V14)</f>
        <v>9.8888517500000006</v>
      </c>
      <c r="W18" s="3" t="s">
        <v>18</v>
      </c>
    </row>
    <row r="19" spans="4:28" ht="15.6" thickTop="1"/>
    <row r="20" spans="4:28" ht="15.6" thickBot="1">
      <c r="S20" s="10" t="s">
        <v>1376</v>
      </c>
      <c r="V20" s="71">
        <f>ROUND(AVERAGE(V16:V18),2)</f>
        <v>10</v>
      </c>
      <c r="W20" s="3" t="s">
        <v>18</v>
      </c>
    </row>
    <row r="21" spans="4:28" ht="15.6" thickTop="1">
      <c r="S21" s="10"/>
      <c r="V21" s="51"/>
    </row>
    <row r="22" spans="4:28">
      <c r="D22" s="10" t="s">
        <v>94</v>
      </c>
      <c r="S22" s="10"/>
      <c r="V22" s="51"/>
    </row>
    <row r="23" spans="4:28" ht="32.25" customHeight="1">
      <c r="E23" s="231" t="s">
        <v>95</v>
      </c>
      <c r="F23" s="1013" t="str">
        <f>CONCATENATE("Indicated dividend at ",TEXT(Input!E2,"mm/dd/yyyy")," divided by the average closing price of the last 60 trading days ending ",TEXT(Input!E2,"mm/dd/yyyy")," for each company.")</f>
        <v>Indicated dividend at 12/30/2022 divided by the average closing price of the last 60 trading days ending 12/30/2022 for each company.</v>
      </c>
      <c r="G23" s="1013"/>
      <c r="H23" s="1013"/>
      <c r="I23" s="1013"/>
      <c r="J23" s="1013"/>
      <c r="K23" s="1013"/>
      <c r="L23" s="1013"/>
      <c r="M23" s="1013"/>
      <c r="N23" s="1013"/>
      <c r="O23" s="1013"/>
      <c r="P23" s="1013"/>
      <c r="Q23" s="1013"/>
      <c r="R23" s="1013"/>
      <c r="S23" s="1013"/>
      <c r="T23" s="1013"/>
      <c r="U23" s="1013"/>
      <c r="V23" s="1013"/>
      <c r="W23" s="1013"/>
    </row>
    <row r="24" spans="4:28" ht="18" customHeight="1">
      <c r="E24" s="231" t="s">
        <v>96</v>
      </c>
      <c r="F24" s="495" t="s">
        <v>4513</v>
      </c>
      <c r="G24" s="494"/>
    </row>
    <row r="25" spans="4:28">
      <c r="E25" s="72" t="s">
        <v>97</v>
      </c>
      <c r="F25" s="495" t="s">
        <v>4217</v>
      </c>
    </row>
    <row r="26" spans="4:28" ht="52.5" customHeight="1">
      <c r="E26" s="231" t="s">
        <v>98</v>
      </c>
      <c r="F26" s="1013" t="str">
        <f>CONCATENATE("This reflects a growth rate component equal to one-half the conclusion of growth rate (from column 5) x column 1 to reflect the periodic payment of dividends (Gordon Model) as opposed to the continuous payment.  Thus, for ",B9,", ",TEXT(D9,"#0.00"),"% x (1+( 1/2 x ",TEXT(P9,"#0.00"),"%) ) = ",TEXT(S9,"#0.00"),"%.")</f>
        <v>This reflects a growth rate component equal to one-half the conclusion of growth rate (from column 5) x column 1 to reflect the periodic payment of dividends (Gordon Model) as opposed to the continuous payment.  Thus, for Atmos Energy Corporation, 2.69% x (1+( 1/2 x 7.72%) ) = 2.79%.</v>
      </c>
      <c r="G26" s="1013"/>
      <c r="H26" s="1013"/>
      <c r="I26" s="1013"/>
      <c r="J26" s="1013"/>
      <c r="K26" s="1013"/>
      <c r="L26" s="1013"/>
      <c r="M26" s="1013"/>
      <c r="N26" s="1013"/>
      <c r="O26" s="1013"/>
      <c r="P26" s="1013"/>
      <c r="Q26" s="1013"/>
      <c r="R26" s="1013"/>
      <c r="S26" s="1013"/>
      <c r="T26" s="1013"/>
      <c r="U26" s="1013"/>
      <c r="V26" s="1013"/>
      <c r="W26" s="1013"/>
    </row>
    <row r="27" spans="4:28" ht="15" customHeight="1">
      <c r="E27" s="72" t="s">
        <v>110</v>
      </c>
      <c r="F27" s="495" t="s">
        <v>4232</v>
      </c>
    </row>
    <row r="28" spans="4:28">
      <c r="F28" s="304"/>
      <c r="G28" s="304"/>
      <c r="H28" s="304"/>
      <c r="I28" s="304"/>
      <c r="J28" s="304"/>
      <c r="K28" s="304"/>
      <c r="L28" s="304"/>
      <c r="M28" s="304"/>
      <c r="N28" s="304"/>
      <c r="O28" s="304"/>
      <c r="P28" s="304"/>
      <c r="Q28" s="304"/>
      <c r="R28" s="304"/>
      <c r="S28" s="304"/>
    </row>
    <row r="29" spans="4:28">
      <c r="D29" s="10" t="s">
        <v>146</v>
      </c>
      <c r="E29" s="3" t="s">
        <v>4231</v>
      </c>
    </row>
    <row r="30" spans="4:28">
      <c r="E30" s="3" t="str">
        <f>CONCATENATE("www.zacks.com, Downloaded on ",TEXT(Input!E2,"mm/dd/yyyy"))&amp;"."</f>
        <v>www.zacks.com, Downloaded on 12/30/2022.</v>
      </c>
    </row>
    <row r="31" spans="4:28">
      <c r="E31" s="3" t="str">
        <f>CONCATENATE("www.yahoo.com, Downloaded on ",TEXT(Input!E2,"mm/dd/yyyy"))&amp;"."</f>
        <v>www.yahoo.com, Downloaded on 12/30/2022.</v>
      </c>
    </row>
    <row r="32" spans="4:28">
      <c r="W32" s="304"/>
    </row>
  </sheetData>
  <mergeCells count="4">
    <mergeCell ref="F26:W26"/>
    <mergeCell ref="S5:T5"/>
    <mergeCell ref="V5:W5"/>
    <mergeCell ref="F23:W23"/>
  </mergeCells>
  <printOptions horizontalCentered="1"/>
  <pageMargins left="0.7" right="0.7" top="0.75" bottom="0.75" header="0.3" footer="0.3"/>
  <pageSetup scale="53" orientation="portrait" horizontalDpi="4294967294"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961404F3F6B34988E14CCD792B016F" ma:contentTypeVersion="4" ma:contentTypeDescription="Create a new document." ma:contentTypeScope="" ma:versionID="e2b9750623e9e809d78ee09474a05ce2">
  <xsd:schema xmlns:xsd="http://www.w3.org/2001/XMLSchema" xmlns:xs="http://www.w3.org/2001/XMLSchema" xmlns:p="http://schemas.microsoft.com/office/2006/metadata/properties" xmlns:ns2="48215e7f-c7c9-482e-8541-9f0dcdf0a62e" xmlns:ns3="f5f9a743-18e3-40ef-b0a4-47096f190587" targetNamespace="http://schemas.microsoft.com/office/2006/metadata/properties" ma:root="true" ma:fieldsID="987123375e93d0f6cbdbe1f9c6a12d70" ns2:_="" ns3:_="">
    <xsd:import namespace="48215e7f-c7c9-482e-8541-9f0dcdf0a62e"/>
    <xsd:import namespace="f5f9a743-18e3-40ef-b0a4-47096f1905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215e7f-c7c9-482e-8541-9f0dcdf0a6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f9a743-18e3-40ef-b0a4-47096f1905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69714C-57F8-40F5-9269-60F0075418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215e7f-c7c9-482e-8541-9f0dcdf0a62e"/>
    <ds:schemaRef ds:uri="f5f9a743-18e3-40ef-b0a4-47096f1905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FE7462-B498-4B77-B8B7-54DC5D861491}">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f5f9a743-18e3-40ef-b0a4-47096f190587"/>
    <ds:schemaRef ds:uri="http://purl.org/dc/terms/"/>
    <ds:schemaRef ds:uri="48215e7f-c7c9-482e-8541-9f0dcdf0a62e"/>
    <ds:schemaRef ds:uri="http://purl.org/dc/dcmitype/"/>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6A920CA3-A77D-4728-8FA6-6E97567A15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47</vt:i4>
      </vt:variant>
    </vt:vector>
  </HeadingPairs>
  <TitlesOfParts>
    <vt:vector size="111" baseType="lpstr">
      <vt:lpstr>1.1 Recommended Cap Structure</vt:lpstr>
      <vt:lpstr>1.2 Summary of CE Models</vt:lpstr>
      <vt:lpstr>2.4 OpCo Proxy Cap Str</vt:lpstr>
      <vt:lpstr>2.1 GasProxy CapStr Summary</vt:lpstr>
      <vt:lpstr>2.2 GasProxy CapStr</vt:lpstr>
      <vt:lpstr>11.3-4 WP</vt:lpstr>
      <vt:lpstr>2.3 OpCo Proxy Cap Str</vt:lpstr>
      <vt:lpstr>3.1 DCF Summary</vt:lpstr>
      <vt:lpstr>4.1 RP Summary</vt:lpstr>
      <vt:lpstr>4.2 Ind. PRPM Results</vt:lpstr>
      <vt:lpstr>4.3 Risk Premium Summary</vt:lpstr>
      <vt:lpstr>4.4 Moody's Bond Yields</vt:lpstr>
      <vt:lpstr>4.5 Bond Ratings</vt:lpstr>
      <vt:lpstr>4.6 Moody's_S&amp;P numbericl</vt:lpstr>
      <vt:lpstr>4.7 ERP Determination</vt:lpstr>
      <vt:lpstr>4.8-4.9 Beta Adjusted ERP</vt:lpstr>
      <vt:lpstr>4.12 S&amp;P RPM Study Returns</vt:lpstr>
      <vt:lpstr>4.13 Past Rate Cases Gas</vt:lpstr>
      <vt:lpstr>5.1 CAPM</vt:lpstr>
      <vt:lpstr>5.2 CAPM Notes</vt:lpstr>
      <vt:lpstr>6.1 Comp Earnings Criteria</vt:lpstr>
      <vt:lpstr>6.2 Proxy Group Equivalent</vt:lpstr>
      <vt:lpstr>7.1 CEM Summary</vt:lpstr>
      <vt:lpstr>7.2 CEM DCF</vt:lpstr>
      <vt:lpstr>7.3 CEM RPM Summary</vt:lpstr>
      <vt:lpstr>7.4 CEM RPM Bond Ratings</vt:lpstr>
      <vt:lpstr>7.5 CEM Beta Adjusted RP</vt:lpstr>
      <vt:lpstr>7.6 CEM CAPM Backup</vt:lpstr>
      <vt:lpstr>8.1 Equity Contributions</vt:lpstr>
      <vt:lpstr>9.1 Risk Adjustment</vt:lpstr>
      <vt:lpstr>9.2 Market Cap</vt:lpstr>
      <vt:lpstr>10.1 CAPEX to Net Plant</vt:lpstr>
      <vt:lpstr>Input</vt:lpstr>
      <vt:lpstr>Market Data</vt:lpstr>
      <vt:lpstr>Proxy Data Lookup</vt:lpstr>
      <vt:lpstr>Proxy Price Data</vt:lpstr>
      <vt:lpstr>Proxy Prices</vt:lpstr>
      <vt:lpstr>CEM Data Lookup</vt:lpstr>
      <vt:lpstr>CEM Price Data</vt:lpstr>
      <vt:lpstr>CEM PricesDivs</vt:lpstr>
      <vt:lpstr>MRP WP1</vt:lpstr>
      <vt:lpstr>MRP WP2</vt:lpstr>
      <vt:lpstr>MRP WP3</vt:lpstr>
      <vt:lpstr>ERP WP1</vt:lpstr>
      <vt:lpstr>ERP WP 2</vt:lpstr>
      <vt:lpstr>MRP ERP WP</vt:lpstr>
      <vt:lpstr>GASOpCo Cap Str WP</vt:lpstr>
      <vt:lpstr>PRPM WP1</vt:lpstr>
      <vt:lpstr>PRPM WP2</vt:lpstr>
      <vt:lpstr>PRPM WP3</vt:lpstr>
      <vt:lpstr>PRPM WP4</vt:lpstr>
      <vt:lpstr>PRPM WP5</vt:lpstr>
      <vt:lpstr>PRPM WP6</vt:lpstr>
      <vt:lpstr>PRPM WP7</vt:lpstr>
      <vt:lpstr>PRPM WP8</vt:lpstr>
      <vt:lpstr>PRPM WP9</vt:lpstr>
      <vt:lpstr>PRPM WP10</vt:lpstr>
      <vt:lpstr>PRPM WP11</vt:lpstr>
      <vt:lpstr>3. ATO</vt:lpstr>
      <vt:lpstr>3. NI</vt:lpstr>
      <vt:lpstr>3. NJR</vt:lpstr>
      <vt:lpstr>3. NWN</vt:lpstr>
      <vt:lpstr>3. OGS</vt:lpstr>
      <vt:lpstr>3. SR</vt:lpstr>
      <vt:lpstr>'1.1 Recommended Cap Structure'!Print_Area</vt:lpstr>
      <vt:lpstr>'1.2 Summary of CE Models'!Print_Area</vt:lpstr>
      <vt:lpstr>'10.1 CAPEX to Net Plant'!Print_Area</vt:lpstr>
      <vt:lpstr>'2.1 GasProxy CapStr Summary'!Print_Area</vt:lpstr>
      <vt:lpstr>'2.2 GasProxy CapStr'!Print_Area</vt:lpstr>
      <vt:lpstr>'2.3 OpCo Proxy Cap Str'!Print_Area</vt:lpstr>
      <vt:lpstr>'2.4 OpCo Proxy Cap Str'!Print_Area</vt:lpstr>
      <vt:lpstr>'3.1 DCF Summary'!Print_Area</vt:lpstr>
      <vt:lpstr>'4.1 RP Summary'!Print_Area</vt:lpstr>
      <vt:lpstr>'4.12 S&amp;P RPM Study Returns'!Print_Area</vt:lpstr>
      <vt:lpstr>'4.13 Past Rate Cases Gas'!Print_Area</vt:lpstr>
      <vt:lpstr>'4.2 Ind. PRPM Results'!Print_Area</vt:lpstr>
      <vt:lpstr>'4.3 Risk Premium Summary'!Print_Area</vt:lpstr>
      <vt:lpstr>'4.5 Bond Ratings'!Print_Area</vt:lpstr>
      <vt:lpstr>'4.6 Moody''s_S&amp;P numbericl'!Print_Area</vt:lpstr>
      <vt:lpstr>'4.7 ERP Determination'!Print_Area</vt:lpstr>
      <vt:lpstr>'4.8-4.9 Beta Adjusted ERP'!Print_Area</vt:lpstr>
      <vt:lpstr>'5.1 CAPM'!Print_Area</vt:lpstr>
      <vt:lpstr>'5.2 CAPM Notes'!Print_Area</vt:lpstr>
      <vt:lpstr>'6.1 Comp Earnings Criteria'!Print_Area</vt:lpstr>
      <vt:lpstr>'6.2 Proxy Group Equivalent'!Print_Area</vt:lpstr>
      <vt:lpstr>'7.1 CEM Summary'!Print_Area</vt:lpstr>
      <vt:lpstr>'7.2 CEM DCF'!Print_Area</vt:lpstr>
      <vt:lpstr>'7.3 CEM RPM Summary'!Print_Area</vt:lpstr>
      <vt:lpstr>'7.4 CEM RPM Bond Ratings'!Print_Area</vt:lpstr>
      <vt:lpstr>'7.5 CEM Beta Adjusted RP'!Print_Area</vt:lpstr>
      <vt:lpstr>'7.6 CEM CAPM Backup'!Print_Area</vt:lpstr>
      <vt:lpstr>'8.1 Equity Contributions'!Print_Area</vt:lpstr>
      <vt:lpstr>'9.1 Risk Adjustment'!Print_Area</vt:lpstr>
      <vt:lpstr>'9.2 Market Cap'!Print_Area</vt:lpstr>
      <vt:lpstr>'PRPM WP10'!Print_Area</vt:lpstr>
      <vt:lpstr>'PRPM WP11'!Print_Area</vt:lpstr>
      <vt:lpstr>'PRPM WP3'!Print_Area</vt:lpstr>
      <vt:lpstr>'PRPM WP4'!Print_Area</vt:lpstr>
      <vt:lpstr>'PRPM WP5'!Print_Area</vt:lpstr>
      <vt:lpstr>'PRPM WP6'!Print_Area</vt:lpstr>
      <vt:lpstr>'PRPM WP7'!Print_Area</vt:lpstr>
      <vt:lpstr>'PRPM WP8'!Print_Area</vt:lpstr>
      <vt:lpstr>'PRPM WP9'!Print_Area</vt:lpstr>
      <vt:lpstr>'4.8-4.9 Beta Adjusted ERP'!Print_Titles</vt:lpstr>
      <vt:lpstr>'6.2 Proxy Group Equivalent'!Print_Titles</vt:lpstr>
      <vt:lpstr>'7.2 CEM DCF'!Print_Titles</vt:lpstr>
      <vt:lpstr>'7.4 CEM RPM Bond Ratings'!Print_Titles</vt:lpstr>
      <vt:lpstr>'7.6 CEM CAPM Backup'!Print_Titles</vt:lpstr>
      <vt:lpstr>'PRPM WP3'!Print_Titles</vt:lpstr>
      <vt:lpstr>'PRPM WP4'!Print_Titles</vt:lpstr>
      <vt:lpstr>'PRPM WP5'!Print_Titles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2021-08-25T20:06:43Z</dcterms:created>
  <dcterms:modified xsi:type="dcterms:W3CDTF">2023-08-25T13:07:41Z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{E4457BE0-FE27-443B-999A-602349199768}</vt:lpwstr>
  </property>
  <property fmtid="{D5CDD505-2E9C-101B-9397-08002B2CF9AE}" pid="3" name="cap" linkTarget="prop_cap">
    <vt:lpwstr>#REF!</vt:lpwstr>
  </property>
  <property fmtid="{D5CDD505-2E9C-101B-9397-08002B2CF9AE}" pid="4" name="sum_blk1_chg" linkTarget="prop_sum_blk1_chg">
    <vt:lpwstr>#REF!</vt:lpwstr>
  </property>
  <property fmtid="{D5CDD505-2E9C-101B-9397-08002B2CF9AE}" pid="5" name="sum_cust_chg" linkTarget="prop_sum_cust_chg">
    <vt:lpwstr>#REF!</vt:lpwstr>
  </property>
  <property fmtid="{D5CDD505-2E9C-101B-9397-08002B2CF9AE}" pid="6" name="win_blk1_chg" linkTarget="prop_win_blk1_chg">
    <vt:lpwstr>#REF!</vt:lpwstr>
  </property>
  <property fmtid="{D5CDD505-2E9C-101B-9397-08002B2CF9AE}" pid="7" name="win_cust_chg" linkTarget="prop_win_cust_chg">
    <vt:lpwstr>#REF!</vt:lpwstr>
  </property>
  <property fmtid="{D5CDD505-2E9C-101B-9397-08002B2CF9AE}" pid="8" name="win_xs_chg" linkTarget="prop_win_xs_chg">
    <vt:lpwstr>#REF!</vt:lpwstr>
  </property>
  <property fmtid="{D5CDD505-2E9C-101B-9397-08002B2CF9AE}" pid="9" name="ContentTypeId">
    <vt:lpwstr>0x01010093961404F3F6B34988E14CCD792B016F</vt:lpwstr>
  </property>
</Properties>
</file>